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D:\18_NUPLLP MYT Petition\57_Documents for Uploading - NUPLLP\"/>
    </mc:Choice>
  </mc:AlternateContent>
  <xr:revisionPtr revIDLastSave="0" documentId="13_ncr:1_{ABADB752-9465-461F-8716-73025E29D460}" xr6:coauthVersionLast="47" xr6:coauthVersionMax="47" xr10:uidLastSave="{00000000-0000-0000-0000-000000000000}"/>
  <bookViews>
    <workbookView xWindow="-98" yWindow="-98" windowWidth="20715" windowHeight="13155" tabRatio="951" activeTab="3" xr2:uid="{00000000-000D-0000-FFFF-FFFF00000000}"/>
  </bookViews>
  <sheets>
    <sheet name="CPI WPI" sheetId="158" r:id="rId1"/>
    <sheet name="SBI MCLR" sheetId="159" r:id="rId2"/>
    <sheet name="Sales Proj" sheetId="155" r:id="rId3"/>
    <sheet name="Index" sheetId="57" r:id="rId4"/>
    <sheet name="Assum" sheetId="151" r:id="rId5"/>
    <sheet name="Recon" sheetId="157" r:id="rId6"/>
    <sheet name="ARR-Summary" sheetId="58" r:id="rId7"/>
    <sheet name="F1" sheetId="88" r:id="rId8"/>
    <sheet name="F1 SEZ" sheetId="153" r:id="rId9"/>
    <sheet name="F1 Non-SEZ" sheetId="154" r:id="rId10"/>
    <sheet name="F1.1" sheetId="156" r:id="rId11"/>
    <sheet name="F1.2" sheetId="121" r:id="rId12"/>
    <sheet name="F1.3" sheetId="90" r:id="rId13"/>
    <sheet name="F1.4" sheetId="122" r:id="rId14"/>
    <sheet name="F1.5" sheetId="110" r:id="rId15"/>
    <sheet name="F2" sheetId="82" r:id="rId16"/>
    <sheet name="F2.1" sheetId="117" r:id="rId17"/>
    <sheet name="F2.2" sheetId="107" r:id="rId18"/>
    <sheet name="F2.3" sheetId="132" r:id="rId19"/>
    <sheet name="F3" sheetId="65" r:id="rId20"/>
    <sheet name="F3.1" sheetId="66" r:id="rId21"/>
    <sheet name="F3.2" sheetId="67" r:id="rId22"/>
    <sheet name="F3.3" sheetId="68" r:id="rId23"/>
    <sheet name="F3.4" sheetId="69" r:id="rId24"/>
    <sheet name="FA Bifrucation" sheetId="176" r:id="rId25"/>
    <sheet name="Capitalisation" sheetId="160" r:id="rId26"/>
    <sheet name="F4" sheetId="120" r:id="rId27"/>
    <sheet name="F4.1" sheetId="123" r:id="rId28"/>
    <sheet name="F4.2" sheetId="124" r:id="rId29"/>
    <sheet name="F4.3" sheetId="125" r:id="rId30"/>
    <sheet name="F21" sheetId="129" r:id="rId31"/>
    <sheet name="F5" sheetId="70" r:id="rId32"/>
    <sheet name="F5.1 (E) Exisiting" sheetId="115" r:id="rId33"/>
    <sheet name="F5.1 (N) New" sheetId="149" r:id="rId34"/>
    <sheet name="F5.2 (E) Existing" sheetId="116" r:id="rId35"/>
    <sheet name="F5.2 (N) New" sheetId="131" r:id="rId36"/>
    <sheet name="F6" sheetId="54" r:id="rId37"/>
    <sheet name="F7" sheetId="61" r:id="rId38"/>
    <sheet name="F8" sheetId="55" r:id="rId39"/>
    <sheet name="F9" sheetId="75" r:id="rId40"/>
    <sheet name="F10" sheetId="96" r:id="rId41"/>
    <sheet name="F11" sheetId="114" r:id="rId42"/>
    <sheet name="F12" sheetId="76" r:id="rId43"/>
    <sheet name="F12 A" sheetId="150" r:id="rId44"/>
    <sheet name="F13" sheetId="72" r:id="rId45"/>
    <sheet name="F13 SEZ" sheetId="163" r:id="rId46"/>
    <sheet name="F13 Non SEZ" sheetId="164" r:id="rId47"/>
    <sheet name="ToD 25-26" sheetId="167" r:id="rId48"/>
    <sheet name="F13.1" sheetId="73" r:id="rId49"/>
    <sheet name="F13.2" sheetId="168" r:id="rId50"/>
    <sheet name="F13.3" sheetId="169" r:id="rId51"/>
    <sheet name="F13.4" sheetId="170" r:id="rId52"/>
    <sheet name="F13.5" sheetId="171" r:id="rId53"/>
    <sheet name="CSS" sheetId="179" r:id="rId54"/>
    <sheet name="Gap Adjustment" sheetId="178" r:id="rId55"/>
    <sheet name="Tariff Schedule" sheetId="166" r:id="rId56"/>
    <sheet name="F14.2" sheetId="172" r:id="rId57"/>
    <sheet name="F14.3" sheetId="173" r:id="rId58"/>
    <sheet name="F14.4" sheetId="174" r:id="rId59"/>
    <sheet name="F14.5" sheetId="175" r:id="rId60"/>
    <sheet name="F15" sheetId="106" r:id="rId61"/>
    <sheet name="F16" sheetId="113" r:id="rId62"/>
    <sheet name="F17" sheetId="98" r:id="rId63"/>
    <sheet name="F18" sheetId="112" r:id="rId64"/>
    <sheet name="F19" sheetId="109" r:id="rId65"/>
    <sheet name="F20" sheetId="78" r:id="rId66"/>
    <sheet name="F22" sheetId="147" r:id="rId67"/>
    <sheet name="Voltage Wise Asset Details ---&gt;" sheetId="133" r:id="rId68"/>
    <sheet name="Note" sheetId="135" r:id="rId69"/>
    <sheet name="Summary" sheetId="136" r:id="rId70"/>
    <sheet name="Block of Assets" sheetId="137" state="hidden" r:id="rId71"/>
    <sheet name="Voltage identifiable" sheetId="138" r:id="rId72"/>
    <sheet name="Common to Voltage" sheetId="139" r:id="rId73"/>
    <sheet name="Common to business" sheetId="140" r:id="rId74"/>
    <sheet name="Unallocable Assets" sheetId="141" state="hidden" r:id="rId75"/>
    <sheet name="O&amp;M" sheetId="142" state="hidden" r:id="rId76"/>
    <sheet name="Employee Cost" sheetId="143" state="hidden" r:id="rId77"/>
    <sheet name="R&amp;M Cost" sheetId="144" state="hidden" r:id="rId78"/>
    <sheet name="A&amp;G Cost" sheetId="145" state="hidden" r:id="rId79"/>
    <sheet name="Employee and Network" sheetId="146" state="hidden" r:id="rId80"/>
  </sheets>
  <definedNames>
    <definedName name="\\ggn">#REF!</definedName>
    <definedName name="\_">#REF!</definedName>
    <definedName name="\0">#N/A</definedName>
    <definedName name="\a" localSheetId="0">#REF!</definedName>
    <definedName name="\a" localSheetId="11">#REF!</definedName>
    <definedName name="\a" localSheetId="13">#REF!</definedName>
    <definedName name="\a" localSheetId="16">#REF!</definedName>
    <definedName name="\a" localSheetId="26">#REF!</definedName>
    <definedName name="\a" localSheetId="32">#REF!</definedName>
    <definedName name="\a" localSheetId="33">#REF!</definedName>
    <definedName name="\a" localSheetId="34">#REF!</definedName>
    <definedName name="\a" localSheetId="35">#REF!</definedName>
    <definedName name="\a">#REF!</definedName>
    <definedName name="\aa">#REF!</definedName>
    <definedName name="\b" localSheetId="0">#REF!</definedName>
    <definedName name="\b" localSheetId="11">#REF!</definedName>
    <definedName name="\b" localSheetId="13">#REF!</definedName>
    <definedName name="\b" localSheetId="16">#REF!</definedName>
    <definedName name="\b" localSheetId="26">#REF!</definedName>
    <definedName name="\b" localSheetId="32">#REF!</definedName>
    <definedName name="\b" localSheetId="33">#REF!</definedName>
    <definedName name="\b" localSheetId="34">#REF!</definedName>
    <definedName name="\b" localSheetId="35">#REF!</definedName>
    <definedName name="\b">#REF!</definedName>
    <definedName name="\c" localSheetId="11">#REF!</definedName>
    <definedName name="\c" localSheetId="13">#REF!</definedName>
    <definedName name="\c" localSheetId="16">#REF!</definedName>
    <definedName name="\c" localSheetId="26">#REF!</definedName>
    <definedName name="\c" localSheetId="32">#REF!</definedName>
    <definedName name="\c" localSheetId="33">#REF!</definedName>
    <definedName name="\c" localSheetId="34">#REF!</definedName>
    <definedName name="\c" localSheetId="35">#REF!</definedName>
    <definedName name="\c">#REF!</definedName>
    <definedName name="\cd">#REF!</definedName>
    <definedName name="\d" localSheetId="0">#REF!</definedName>
    <definedName name="\d" localSheetId="11">#REF!</definedName>
    <definedName name="\d" localSheetId="13">#REF!</definedName>
    <definedName name="\d" localSheetId="16">#REF!</definedName>
    <definedName name="\d" localSheetId="26">#REF!</definedName>
    <definedName name="\d" localSheetId="32">#REF!</definedName>
    <definedName name="\d" localSheetId="33">#REF!</definedName>
    <definedName name="\d" localSheetId="34">#REF!</definedName>
    <definedName name="\d" localSheetId="35">#REF!</definedName>
    <definedName name="\d">#REF!</definedName>
    <definedName name="\DUA">#REF!</definedName>
    <definedName name="\DUB">#REF!</definedName>
    <definedName name="\DUC">#REF!</definedName>
    <definedName name="\DUD">#REF!</definedName>
    <definedName name="\DUTY">#REF!</definedName>
    <definedName name="\e" localSheetId="0">#REF!</definedName>
    <definedName name="\e" localSheetId="11">#REF!</definedName>
    <definedName name="\e" localSheetId="13">#REF!</definedName>
    <definedName name="\e" localSheetId="16">#REF!</definedName>
    <definedName name="\e" localSheetId="26">#REF!</definedName>
    <definedName name="\e" localSheetId="32">#REF!</definedName>
    <definedName name="\e" localSheetId="33">#REF!</definedName>
    <definedName name="\e" localSheetId="34">#REF!</definedName>
    <definedName name="\e" localSheetId="35">#REF!</definedName>
    <definedName name="\e">#REF!</definedName>
    <definedName name="\ee">#REF!</definedName>
    <definedName name="\f" localSheetId="11">#REF!</definedName>
    <definedName name="\f" localSheetId="13">#REF!</definedName>
    <definedName name="\f" localSheetId="16">#REF!</definedName>
    <definedName name="\f" localSheetId="26">#REF!</definedName>
    <definedName name="\f" localSheetId="32">#REF!</definedName>
    <definedName name="\f" localSheetId="33">#REF!</definedName>
    <definedName name="\f" localSheetId="34">#REF!</definedName>
    <definedName name="\f" localSheetId="35">#REF!</definedName>
    <definedName name="\f">#REF!</definedName>
    <definedName name="\FF" localSheetId="0">#REF!</definedName>
    <definedName name="\FF">#REF!</definedName>
    <definedName name="\fff">#REF!</definedName>
    <definedName name="\FG" localSheetId="0">#REF!</definedName>
    <definedName name="\FG">#REF!</definedName>
    <definedName name="\fgg">#REF!</definedName>
    <definedName name="\g" localSheetId="11">#REF!</definedName>
    <definedName name="\g" localSheetId="13">#REF!</definedName>
    <definedName name="\g" localSheetId="16">#REF!</definedName>
    <definedName name="\g" localSheetId="26">#REF!</definedName>
    <definedName name="\g" localSheetId="32">#REF!</definedName>
    <definedName name="\g" localSheetId="33">#REF!</definedName>
    <definedName name="\g" localSheetId="34">#REF!</definedName>
    <definedName name="\g" localSheetId="35">#REF!</definedName>
    <definedName name="\g">#REF!</definedName>
    <definedName name="\h">#REF!</definedName>
    <definedName name="\i">#REF!</definedName>
    <definedName name="\ij">#REF!</definedName>
    <definedName name="\j" localSheetId="0">#REF!</definedName>
    <definedName name="\j" localSheetId="11">#REF!</definedName>
    <definedName name="\j" localSheetId="13">#REF!</definedName>
    <definedName name="\j" localSheetId="16">#REF!</definedName>
    <definedName name="\j" localSheetId="26">#REF!</definedName>
    <definedName name="\j" localSheetId="32">#REF!</definedName>
    <definedName name="\j" localSheetId="33">#REF!</definedName>
    <definedName name="\j" localSheetId="34">#REF!</definedName>
    <definedName name="\j" localSheetId="35">#REF!</definedName>
    <definedName name="\j">#REF!</definedName>
    <definedName name="\k" localSheetId="0">#REF!</definedName>
    <definedName name="\k" localSheetId="11">#REF!</definedName>
    <definedName name="\k" localSheetId="13">#REF!</definedName>
    <definedName name="\k" localSheetId="16">#REF!</definedName>
    <definedName name="\k" localSheetId="26">#REF!</definedName>
    <definedName name="\k" localSheetId="32">#REF!</definedName>
    <definedName name="\k" localSheetId="33">#REF!</definedName>
    <definedName name="\k" localSheetId="34">#REF!</definedName>
    <definedName name="\k" localSheetId="35">#REF!</definedName>
    <definedName name="\k">#REF!</definedName>
    <definedName name="\L" localSheetId="0">#REF!</definedName>
    <definedName name="\L">#REF!</definedName>
    <definedName name="\m" localSheetId="0">#REF!</definedName>
    <definedName name="\m" localSheetId="11">#REF!</definedName>
    <definedName name="\m" localSheetId="13">#REF!</definedName>
    <definedName name="\m" localSheetId="16">#REF!</definedName>
    <definedName name="\m" localSheetId="26">#REF!</definedName>
    <definedName name="\m" localSheetId="32">#REF!</definedName>
    <definedName name="\m" localSheetId="33">#REF!</definedName>
    <definedName name="\m" localSheetId="34">#REF!</definedName>
    <definedName name="\m" localSheetId="35">#REF!</definedName>
    <definedName name="\m">#REF!</definedName>
    <definedName name="\MD">#REF!</definedName>
    <definedName name="\mmn">#REF!</definedName>
    <definedName name="\n" localSheetId="0">#REF!</definedName>
    <definedName name="\n" localSheetId="11">#REF!</definedName>
    <definedName name="\n" localSheetId="13">#REF!</definedName>
    <definedName name="\n" localSheetId="16">#REF!</definedName>
    <definedName name="\n" localSheetId="26">#REF!</definedName>
    <definedName name="\n" localSheetId="32">#REF!</definedName>
    <definedName name="\n" localSheetId="33">#REF!</definedName>
    <definedName name="\n" localSheetId="34">#REF!</definedName>
    <definedName name="\n" localSheetId="35">#REF!</definedName>
    <definedName name="\n">#REF!</definedName>
    <definedName name="\new">#REF!</definedName>
    <definedName name="\o" localSheetId="11">#REF!</definedName>
    <definedName name="\o" localSheetId="13">#REF!</definedName>
    <definedName name="\o" localSheetId="16">#REF!</definedName>
    <definedName name="\o" localSheetId="26">#REF!</definedName>
    <definedName name="\o" localSheetId="32">#REF!</definedName>
    <definedName name="\o" localSheetId="33">#REF!</definedName>
    <definedName name="\o" localSheetId="34">#REF!</definedName>
    <definedName name="\o" localSheetId="35">#REF!</definedName>
    <definedName name="\o">#REF!</definedName>
    <definedName name="\opk">#REF!</definedName>
    <definedName name="\p" localSheetId="11">#REF!</definedName>
    <definedName name="\p" localSheetId="13">#REF!</definedName>
    <definedName name="\p" localSheetId="16">#REF!</definedName>
    <definedName name="\p" localSheetId="26">#REF!</definedName>
    <definedName name="\p" localSheetId="32">#REF!</definedName>
    <definedName name="\p" localSheetId="33">#REF!</definedName>
    <definedName name="\p" localSheetId="34">#REF!</definedName>
    <definedName name="\p" localSheetId="35">#REF!</definedName>
    <definedName name="\p">#REF!</definedName>
    <definedName name="\PP" localSheetId="0">#REF!</definedName>
    <definedName name="\PP">#REF!</definedName>
    <definedName name="\PSP1">#REF!</definedName>
    <definedName name="\PSP2">#REF!</definedName>
    <definedName name="\PSP3">#REF!</definedName>
    <definedName name="\PU">#REF!</definedName>
    <definedName name="\q">#REF!</definedName>
    <definedName name="\r">#N/A</definedName>
    <definedName name="\rt" localSheetId="0" hidden="1">{#N/A,#N/A,FALSE,"A"}</definedName>
    <definedName name="\rt" hidden="1">{#N/A,#N/A,FALSE,"A"}</definedName>
    <definedName name="\s" localSheetId="0">#REF!</definedName>
    <definedName name="\s" localSheetId="11">#REF!</definedName>
    <definedName name="\s" localSheetId="13">#REF!</definedName>
    <definedName name="\s" localSheetId="16">#REF!</definedName>
    <definedName name="\s" localSheetId="26">#REF!</definedName>
    <definedName name="\s" localSheetId="32">#REF!</definedName>
    <definedName name="\s" localSheetId="33">#REF!</definedName>
    <definedName name="\s" localSheetId="34">#REF!</definedName>
    <definedName name="\s" localSheetId="35">#REF!</definedName>
    <definedName name="\s">#REF!</definedName>
    <definedName name="\ST">#REF!</definedName>
    <definedName name="\SUM">#REF!</definedName>
    <definedName name="\t" localSheetId="0">#REF!</definedName>
    <definedName name="\t" localSheetId="11">#REF!</definedName>
    <definedName name="\t" localSheetId="13">#REF!</definedName>
    <definedName name="\t" localSheetId="16">#REF!</definedName>
    <definedName name="\t" localSheetId="26">#REF!</definedName>
    <definedName name="\t" localSheetId="32">#REF!</definedName>
    <definedName name="\t" localSheetId="33">#REF!</definedName>
    <definedName name="\t" localSheetId="34">#REF!</definedName>
    <definedName name="\t" localSheetId="35">#REF!</definedName>
    <definedName name="\t">#REF!</definedName>
    <definedName name="\u">#N/A</definedName>
    <definedName name="\UTL">#REF!</definedName>
    <definedName name="\v" localSheetId="0">#N/A</definedName>
    <definedName name="\V">#REF!</definedName>
    <definedName name="\w" localSheetId="11">#REF!</definedName>
    <definedName name="\w" localSheetId="13">#REF!</definedName>
    <definedName name="\w" localSheetId="16">#REF!</definedName>
    <definedName name="\w" localSheetId="26">#REF!</definedName>
    <definedName name="\w" localSheetId="32">#REF!</definedName>
    <definedName name="\w" localSheetId="33">#REF!</definedName>
    <definedName name="\w" localSheetId="34">#REF!</definedName>
    <definedName name="\w" localSheetId="35">#REF!</definedName>
    <definedName name="\w">#REF!</definedName>
    <definedName name="\WDR">#REF!</definedName>
    <definedName name="\x" localSheetId="11">#REF!</definedName>
    <definedName name="\x" localSheetId="13">#REF!</definedName>
    <definedName name="\x" localSheetId="16">#REF!</definedName>
    <definedName name="\x" localSheetId="26">#REF!</definedName>
    <definedName name="\x" localSheetId="32">#REF!</definedName>
    <definedName name="\x" localSheetId="33">#REF!</definedName>
    <definedName name="\x" localSheetId="34">#REF!</definedName>
    <definedName name="\x" localSheetId="35">#REF!</definedName>
    <definedName name="\x">#REF!</definedName>
    <definedName name="\XC">#REF!</definedName>
    <definedName name="\XXC">#REF!</definedName>
    <definedName name="\XXX">#REF!</definedName>
    <definedName name="\y">#N/A</definedName>
    <definedName name="\YRL">#REF!</definedName>
    <definedName name="\z" localSheetId="0">#REF!</definedName>
    <definedName name="\z" localSheetId="11">#REF!</definedName>
    <definedName name="\z" localSheetId="13">#REF!</definedName>
    <definedName name="\z" localSheetId="16">#REF!</definedName>
    <definedName name="\z" localSheetId="26">#REF!</definedName>
    <definedName name="\z" localSheetId="32">#REF!</definedName>
    <definedName name="\z" localSheetId="33">#REF!</definedName>
    <definedName name="\z" localSheetId="34">#REF!</definedName>
    <definedName name="\z" localSheetId="35">#REF!</definedName>
    <definedName name="\z">#REF!</definedName>
    <definedName name="\ZC">#REF!</definedName>
    <definedName name="_" localSheetId="11">#REF!</definedName>
    <definedName name="_" localSheetId="13">#REF!</definedName>
    <definedName name="_" localSheetId="16">#REF!</definedName>
    <definedName name="_" localSheetId="26">#REF!</definedName>
    <definedName name="_" localSheetId="32">#REF!</definedName>
    <definedName name="_" localSheetId="33">#REF!</definedName>
    <definedName name="_" localSheetId="34">#REF!</definedName>
    <definedName name="_" localSheetId="35">#REF!</definedName>
    <definedName name="_">#REF!</definedName>
    <definedName name="_.._D__D__D__D_" localSheetId="11">#REF!</definedName>
    <definedName name="_.._D__D__D__D_" localSheetId="13">#REF!</definedName>
    <definedName name="_.._D__D__D__D_" localSheetId="16">#REF!</definedName>
    <definedName name="_.._D__D__D__D_" localSheetId="26">#REF!</definedName>
    <definedName name="_.._D__D__D__D_" localSheetId="32">#REF!</definedName>
    <definedName name="_.._D__D__D__D_" localSheetId="33">#REF!</definedName>
    <definedName name="_.._D__D__D__D_" localSheetId="34">#REF!</definedName>
    <definedName name="_.._D__D__D__D_" localSheetId="35">#REF!</definedName>
    <definedName name="_.._D__D__D__D_">#REF!</definedName>
    <definedName name="__">#REF!</definedName>
    <definedName name="_________________________________________________________AAA1">#REF!</definedName>
    <definedName name="_________________________________________________________dap20">#REF!</definedName>
    <definedName name="_________________________________________________________dap25">#REF!</definedName>
    <definedName name="_________________________________________________________DAT12">#REF!</definedName>
    <definedName name="_________________________________________________________DAT21">#REF!</definedName>
    <definedName name="_________________________________________________________DAT22">#REF!</definedName>
    <definedName name="_________________________________________________________DAT23">#REF!</definedName>
    <definedName name="_________________________________________________________DAT24">#REF!</definedName>
    <definedName name="_________________________________________________________DAT25">#REF!</definedName>
    <definedName name="_________________________________________________________DAT26">#REF!</definedName>
    <definedName name="_________________________________________________________DAT27">#REF!</definedName>
    <definedName name="_________________________________________________________DAT28">#REF!</definedName>
    <definedName name="_________________________________________________________DAT29">#REF!</definedName>
    <definedName name="_________________________________________________________DAT30">#REF!</definedName>
    <definedName name="_________________________________________________________DAT31">#REF!</definedName>
    <definedName name="_________________________________________________________DAT32">#REF!</definedName>
    <definedName name="_________________________________________________________DAT33">#REF!</definedName>
    <definedName name="_________________________________________________________DAT34">#REF!</definedName>
    <definedName name="_________________________________________________________DAT35">#REF!</definedName>
    <definedName name="_________________________________________________________DAT36">#REF!</definedName>
    <definedName name="_________________________________________________________DAT37">#REF!</definedName>
    <definedName name="_________________________________________________________DAT38">#REF!</definedName>
    <definedName name="_________________________________________________________DAT39">#REF!</definedName>
    <definedName name="_________________________________________________________DAT40">#REF!</definedName>
    <definedName name="_________________________________________________________DAT41">#REF!</definedName>
    <definedName name="_________________________________________________________PEX1">#REF!</definedName>
    <definedName name="_________________________________________________________PLO1">#REF!</definedName>
    <definedName name="_________________________________________________________PRN1">#REF!</definedName>
    <definedName name="_________________________________________________________PV2">#REF!</definedName>
    <definedName name="________________________________________________________AAA1">#REF!</definedName>
    <definedName name="________________________________________________________dap20">#REF!</definedName>
    <definedName name="________________________________________________________dap25">#REF!</definedName>
    <definedName name="________________________________________________________DAT1">#REF!</definedName>
    <definedName name="________________________________________________________DAT10">#REF!</definedName>
    <definedName name="________________________________________________________DAT11">#REF!</definedName>
    <definedName name="________________________________________________________DAT13">#REF!</definedName>
    <definedName name="________________________________________________________DAT14">#REF!</definedName>
    <definedName name="________________________________________________________DAT15">#REF!</definedName>
    <definedName name="________________________________________________________DAT16">#REF!</definedName>
    <definedName name="________________________________________________________DAT17">#REF!</definedName>
    <definedName name="________________________________________________________DAT18">#REF!</definedName>
    <definedName name="________________________________________________________DAT19">#REF!</definedName>
    <definedName name="________________________________________________________DAT2">#REF!</definedName>
    <definedName name="________________________________________________________DAT20">#REF!</definedName>
    <definedName name="________________________________________________________DAT3">#REF!</definedName>
    <definedName name="________________________________________________________DAT4">#REF!</definedName>
    <definedName name="________________________________________________________DAT5">#REF!</definedName>
    <definedName name="________________________________________________________DAT6">#REF!</definedName>
    <definedName name="________________________________________________________DAT7">#REF!</definedName>
    <definedName name="________________________________________________________DAT8">#REF!</definedName>
    <definedName name="________________________________________________________DAT9">#REF!</definedName>
    <definedName name="________________________________________________________Exp1">#REF!</definedName>
    <definedName name="________________________________________________________PV1">#REF!</definedName>
    <definedName name="________________________________________________________ts1">#REF!</definedName>
    <definedName name="________________________________________________________ts2">#REF!</definedName>
    <definedName name="___________________________________________PG2">#REF!</definedName>
    <definedName name="___________________________________________PG3">#REF!</definedName>
    <definedName name="__________________________________________PG2">#REF!</definedName>
    <definedName name="__________________________________________PG3">#REF!</definedName>
    <definedName name="_________________________________________PG2">#REF!</definedName>
    <definedName name="_________________________________________PG3">#REF!</definedName>
    <definedName name="________________________________________PG2">#REF!</definedName>
    <definedName name="________________________________________PG3">#REF!</definedName>
    <definedName name="_______________________________________PG1" localSheetId="0">#REF!</definedName>
    <definedName name="_______________________________________PG1">#REF!</definedName>
    <definedName name="_______________________________________PG2">#REF!</definedName>
    <definedName name="_______________________________________PG3">#REF!</definedName>
    <definedName name="_______________________________________PG5" localSheetId="0">#REF!</definedName>
    <definedName name="_______________________________________PG5">#REF!</definedName>
    <definedName name="______________________________________PG1" localSheetId="0">#REF!</definedName>
    <definedName name="______________________________________PG1">#REF!</definedName>
    <definedName name="______________________________________PG2">#REF!</definedName>
    <definedName name="______________________________________PG3">#REF!</definedName>
    <definedName name="______________________________________PG5" localSheetId="0">#REF!</definedName>
    <definedName name="______________________________________PG5">#REF!</definedName>
    <definedName name="______________________________________zz1">#REF!</definedName>
    <definedName name="_____________________________________PG1" localSheetId="0">#REF!</definedName>
    <definedName name="_____________________________________PG1">#REF!</definedName>
    <definedName name="_____________________________________PG2">#REF!</definedName>
    <definedName name="_____________________________________PG3">#REF!</definedName>
    <definedName name="_____________________________________PG5" localSheetId="0">#REF!</definedName>
    <definedName name="_____________________________________PG5">#REF!</definedName>
    <definedName name="_____________________________________zz1">#REF!</definedName>
    <definedName name="____________________________________DB2" hidden="1">{"'Sheet1'!$A$5:$E$42"}</definedName>
    <definedName name="____________________________________PG1" localSheetId="0">#REF!</definedName>
    <definedName name="____________________________________PG1">#REF!</definedName>
    <definedName name="____________________________________PG2">#REF!</definedName>
    <definedName name="____________________________________PG3">#REF!</definedName>
    <definedName name="____________________________________PG5" localSheetId="0">#REF!</definedName>
    <definedName name="____________________________________PG5">#REF!</definedName>
    <definedName name="____________________________________za1">#REF!</definedName>
    <definedName name="____________________________________zz1">#REF!</definedName>
    <definedName name="___________________________________PG1" localSheetId="0">#REF!</definedName>
    <definedName name="___________________________________PG1">#REF!</definedName>
    <definedName name="___________________________________PG2">#REF!</definedName>
    <definedName name="___________________________________PG3">#REF!</definedName>
    <definedName name="___________________________________PG5" localSheetId="0">#REF!</definedName>
    <definedName name="___________________________________PG5">#REF!</definedName>
    <definedName name="___________________________________pg6" localSheetId="0">#REF!</definedName>
    <definedName name="___________________________________pg6">#REF!</definedName>
    <definedName name="___________________________________pg7" localSheetId="0">#REF!</definedName>
    <definedName name="___________________________________pg7">#REF!</definedName>
    <definedName name="___________________________________za1">#REF!</definedName>
    <definedName name="___________________________________zz1">#REF!</definedName>
    <definedName name="__________________________________PG1" localSheetId="0">#REF!</definedName>
    <definedName name="__________________________________PG1">#REF!</definedName>
    <definedName name="__________________________________PG2">#REF!</definedName>
    <definedName name="__________________________________PG3">#REF!</definedName>
    <definedName name="__________________________________PG5" localSheetId="0">#REF!</definedName>
    <definedName name="__________________________________PG5">#REF!</definedName>
    <definedName name="__________________________________pg6" localSheetId="0">#REF!</definedName>
    <definedName name="__________________________________pg6">#REF!</definedName>
    <definedName name="__________________________________pg7" localSheetId="0">#REF!</definedName>
    <definedName name="__________________________________pg7">#REF!</definedName>
    <definedName name="__________________________________za1">#REF!</definedName>
    <definedName name="__________________________________zz1">#REF!</definedName>
    <definedName name="_________________________________PG1" localSheetId="0">#REF!</definedName>
    <definedName name="_________________________________PG1">#REF!</definedName>
    <definedName name="_________________________________PG2">#REF!</definedName>
    <definedName name="_________________________________PG3">#REF!</definedName>
    <definedName name="_________________________________PG5" localSheetId="0">#REF!</definedName>
    <definedName name="_________________________________PG5">#REF!</definedName>
    <definedName name="_________________________________pg6" localSheetId="0">#REF!</definedName>
    <definedName name="_________________________________pg6">#REF!</definedName>
    <definedName name="_________________________________pg7" localSheetId="0">#REF!</definedName>
    <definedName name="_________________________________pg7">#REF!</definedName>
    <definedName name="_________________________________za1">#REF!</definedName>
    <definedName name="_________________________________zz1">#REF!</definedName>
    <definedName name="________________________________pg7" localSheetId="0">#REF!</definedName>
    <definedName name="________________________________pg7">#REF!</definedName>
    <definedName name="________________________________za1" localSheetId="0">#REF!</definedName>
    <definedName name="________________________________za1">#REF!</definedName>
    <definedName name="________________________________zz1" localSheetId="0">#REF!</definedName>
    <definedName name="________________________________zz1">#REF!</definedName>
    <definedName name="_______________________________PG1" localSheetId="0">#REF!</definedName>
    <definedName name="_______________________________PG1">#REF!</definedName>
    <definedName name="_______________________________pg7" localSheetId="0">#REF!</definedName>
    <definedName name="_______________________________pg7">#REF!</definedName>
    <definedName name="_______________________________za1">#REF!</definedName>
    <definedName name="_______________________________zz1">#REF!</definedName>
    <definedName name="______________________________PG1" localSheetId="0">#REF!</definedName>
    <definedName name="______________________________PG1">#REF!</definedName>
    <definedName name="______________________________pg7" localSheetId="0">#REF!</definedName>
    <definedName name="______________________________pg7">#REF!</definedName>
    <definedName name="______________________________za1">#REF!</definedName>
    <definedName name="______________________________zz1">#REF!</definedName>
    <definedName name="_____________________________PG1" localSheetId="0">#REF!</definedName>
    <definedName name="_____________________________PG1">#REF!</definedName>
    <definedName name="__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SCH1">#REF!</definedName>
    <definedName name="_________________________SCH10">#REF!</definedName>
    <definedName name="_________________________SCH11">#REF!</definedName>
    <definedName name="_________________________SCH2">#REF!</definedName>
    <definedName name="_________________________SCH3">#REF!</definedName>
    <definedName name="_________________________SCH4">#REF!</definedName>
    <definedName name="_________________________SCH5">#REF!</definedName>
    <definedName name="_________________________SCH6">#REF!</definedName>
    <definedName name="_________________________SCH7">#REF!</definedName>
    <definedName name="_________________________SCH8">#REF!</definedName>
    <definedName name="_________________________SCH9">#REF!</definedName>
    <definedName name="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SCH1">#REF!</definedName>
    <definedName name="________________________SCH10">#REF!</definedName>
    <definedName name="________________________SCH11">#REF!</definedName>
    <definedName name="________________________SCH2">#REF!</definedName>
    <definedName name="________________________SCH3">#REF!</definedName>
    <definedName name="________________________SCH4">#REF!</definedName>
    <definedName name="________________________SCH5">#REF!</definedName>
    <definedName name="________________________SCH6">#REF!</definedName>
    <definedName name="________________________SCH7">#REF!</definedName>
    <definedName name="________________________SCH8">#REF!</definedName>
    <definedName name="________________________SCH9">#REF!</definedName>
    <definedName name="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SCH1">#REF!</definedName>
    <definedName name="_______________________SCH10">#REF!</definedName>
    <definedName name="_______________________SCH11">#REF!</definedName>
    <definedName name="_______________________SCH2">#REF!</definedName>
    <definedName name="_______________________SCH3">#REF!</definedName>
    <definedName name="_______________________SCH4">#REF!</definedName>
    <definedName name="_______________________SCH5">#REF!</definedName>
    <definedName name="_______________________SCH6">#REF!</definedName>
    <definedName name="_______________________SCH7">#REF!</definedName>
    <definedName name="_______________________SCH8">#REF!</definedName>
    <definedName name="_______________________SCH9">#REF!</definedName>
    <definedName name="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DAT2">#REF!</definedName>
    <definedName name="______________________DAT3">#REF!</definedName>
    <definedName name="______________________DAT4">#REF!</definedName>
    <definedName name="______________________PG1" localSheetId="0">#REF!</definedName>
    <definedName name="______________________PG1">#REF!</definedName>
    <definedName name="______________________SCH1">#REF!</definedName>
    <definedName name="______________________SCH10">#REF!</definedName>
    <definedName name="______________________SCH11">#REF!</definedName>
    <definedName name="______________________SCH2">#REF!</definedName>
    <definedName name="______________________SCH3">#REF!</definedName>
    <definedName name="______________________SCH4">#REF!</definedName>
    <definedName name="______________________SCH5">#REF!</definedName>
    <definedName name="______________________SCH6">#REF!</definedName>
    <definedName name="______________________SCH7">#REF!</definedName>
    <definedName name="______________________SCH8">#REF!</definedName>
    <definedName name="______________________SCH9">#REF!</definedName>
    <definedName name="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DAT12" localSheetId="0">#REF!</definedName>
    <definedName name="_____________________DAT12">#REF!</definedName>
    <definedName name="_____________________DAT13" localSheetId="0">#REF!</definedName>
    <definedName name="_____________________DAT13">#REF!</definedName>
    <definedName name="_____________________DAT15" localSheetId="0">#REF!</definedName>
    <definedName name="_____________________DAT15">#REF!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SCH1">#REF!</definedName>
    <definedName name="_____________________SCH10">#REF!</definedName>
    <definedName name="_____________________SCH11">#REF!</definedName>
    <definedName name="_____________________SCH2">#REF!</definedName>
    <definedName name="_____________________SCH3">#REF!</definedName>
    <definedName name="_____________________SCH4">#REF!</definedName>
    <definedName name="_____________________SCH5">#REF!</definedName>
    <definedName name="_____________________SCH6">#REF!</definedName>
    <definedName name="_____________________SCH7">#REF!</definedName>
    <definedName name="_____________________SCH8">#REF!</definedName>
    <definedName name="_____________________SCH9">#REF!</definedName>
    <definedName name="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za1">#REF!</definedName>
    <definedName name="_____________________zz1">#REF!</definedName>
    <definedName name="____________________DAT12" localSheetId="0">#REF!</definedName>
    <definedName name="____________________DAT12">#REF!</definedName>
    <definedName name="____________________DAT13" localSheetId="0">#REF!</definedName>
    <definedName name="____________________DAT13">#REF!</definedName>
    <definedName name="____________________DAT15" localSheetId="0">#REF!</definedName>
    <definedName name="____________________DAT15">#REF!</definedName>
    <definedName name="____________________DAT16" localSheetId="0">#REF!</definedName>
    <definedName name="____________________DAT16">#REF!</definedName>
    <definedName name="____________________DAT18" localSheetId="0">#REF!</definedName>
    <definedName name="____________________DAT18">#REF!</definedName>
    <definedName name="____________________DAT19" localSheetId="0">#REF!</definedName>
    <definedName name="____________________DAT19">#REF!</definedName>
    <definedName name="____________________DAT2">#REF!</definedName>
    <definedName name="____________________DAT20" localSheetId="0">#REF!</definedName>
    <definedName name="____________________DAT20">#REF!</definedName>
    <definedName name="____________________DAT21" localSheetId="0">#REF!</definedName>
    <definedName name="____________________DAT21">#REF!</definedName>
    <definedName name="____________________DAT22" localSheetId="0">#REF!</definedName>
    <definedName name="____________________DAT22">#REF!</definedName>
    <definedName name="____________________DAT23" localSheetId="0">#REF!</definedName>
    <definedName name="____________________DAT23">#REF!</definedName>
    <definedName name="____________________DAT24" localSheetId="0">#REF!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PG1" localSheetId="0">#REF!</definedName>
    <definedName name="____________________PG1">#REF!</definedName>
    <definedName name="____________________pg7" localSheetId="0">#REF!</definedName>
    <definedName name="____________________pg7">#REF!</definedName>
    <definedName name="____________________SCH1">#REF!</definedName>
    <definedName name="____________________SCH10">#REF!</definedName>
    <definedName name="____________________SCH11">#REF!</definedName>
    <definedName name="____________________SCH2">#REF!</definedName>
    <definedName name="____________________SCH3">#REF!</definedName>
    <definedName name="____________________SCH4">#REF!</definedName>
    <definedName name="____________________SCH5">#REF!</definedName>
    <definedName name="____________________SCH6">#REF!</definedName>
    <definedName name="____________________SCH7">#REF!</definedName>
    <definedName name="____________________SCH8">#REF!</definedName>
    <definedName name="____________________SCH9">#REF!</definedName>
    <definedName name="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za1">#REF!</definedName>
    <definedName name="____________________zz1">#REF!</definedName>
    <definedName name="___________________DAT1">#REF!</definedName>
    <definedName name="___________________DAT10">#REF!</definedName>
    <definedName name="___________________DAT11">#REF!</definedName>
    <definedName name="___________________DAT12" localSheetId="0">#REF!</definedName>
    <definedName name="___________________DAT12">#REF!</definedName>
    <definedName name="___________________DAT13" localSheetId="0">#REF!</definedName>
    <definedName name="___________________DAT13">#REF!</definedName>
    <definedName name="___________________DAT15" localSheetId="0">#REF!</definedName>
    <definedName name="___________________DAT15">#REF!</definedName>
    <definedName name="___________________DAT16" localSheetId="0">#REF!</definedName>
    <definedName name="___________________DAT16">#REF!</definedName>
    <definedName name="___________________DAT18" localSheetId="0">#REF!</definedName>
    <definedName name="___________________DAT18">#REF!</definedName>
    <definedName name="___________________DAT19" localSheetId="0">#REF!</definedName>
    <definedName name="___________________DAT19">#REF!</definedName>
    <definedName name="___________________DAT2">#REF!</definedName>
    <definedName name="___________________DAT20" localSheetId="0">#REF!</definedName>
    <definedName name="___________________DAT20">#REF!</definedName>
    <definedName name="___________________DAT21" localSheetId="0">#REF!</definedName>
    <definedName name="___________________DAT21">#REF!</definedName>
    <definedName name="___________________DAT22" localSheetId="0">#REF!</definedName>
    <definedName name="___________________DAT22">#REF!</definedName>
    <definedName name="___________________DAT23" localSheetId="0">#REF!</definedName>
    <definedName name="___________________DAT23">#REF!</definedName>
    <definedName name="___________________DAT24" localSheetId="0">#REF!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PG1" localSheetId="0">#REF!</definedName>
    <definedName name="___________________PG1">#REF!</definedName>
    <definedName name="___________________PG2">#REF!</definedName>
    <definedName name="___________________PG3">#REF!</definedName>
    <definedName name="___________________PG5" localSheetId="0">#REF!</definedName>
    <definedName name="___________________PG5">#REF!</definedName>
    <definedName name="___________________pg7" localSheetId="0">#REF!</definedName>
    <definedName name="___________________pg7">#REF!</definedName>
    <definedName name="___________________SCH1">#REF!</definedName>
    <definedName name="___________________SCH10">#REF!</definedName>
    <definedName name="___________________SCH11">#REF!</definedName>
    <definedName name="___________________SCH2">#REF!</definedName>
    <definedName name="___________________SCH3">#REF!</definedName>
    <definedName name="___________________SCH4">#REF!</definedName>
    <definedName name="___________________SCH5">#REF!</definedName>
    <definedName name="___________________SCH6">#REF!</definedName>
    <definedName name="___________________SCH7">#REF!</definedName>
    <definedName name="___________________SCH8">#REF!</definedName>
    <definedName name="___________________SCH9">#REF!</definedName>
    <definedName name="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za1">#REF!</definedName>
    <definedName name="___________________zz1">#REF!</definedName>
    <definedName name="__________________BSD1">#REF!</definedName>
    <definedName name="__________________BSD2">#REF!</definedName>
    <definedName name="__________________DAT1">#REF!</definedName>
    <definedName name="__________________DAT10">#REF!</definedName>
    <definedName name="__________________DAT11">#REF!</definedName>
    <definedName name="__________________DAT12" localSheetId="0">#REF!</definedName>
    <definedName name="__________________DAT12">#REF!</definedName>
    <definedName name="__________________DAT13" localSheetId="0">#REF!</definedName>
    <definedName name="__________________DAT13">#REF!</definedName>
    <definedName name="__________________DAT15" localSheetId="0">#REF!</definedName>
    <definedName name="__________________DAT15">#REF!</definedName>
    <definedName name="__________________DAT16">#REF!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IED1">#REF!</definedName>
    <definedName name="__________________IED2">#REF!</definedName>
    <definedName name="__________________PG1" localSheetId="0">#REF!</definedName>
    <definedName name="__________________PG1">#REF!</definedName>
    <definedName name="__________________PG2">#REF!</definedName>
    <definedName name="__________________PG3">#REF!</definedName>
    <definedName name="__________________PG5" localSheetId="0">#REF!</definedName>
    <definedName name="__________________PG5">#REF!</definedName>
    <definedName name="__________________pg6" localSheetId="0">#REF!</definedName>
    <definedName name="__________________pg6">#REF!</definedName>
    <definedName name="__________________pg7">#REF!</definedName>
    <definedName name="__________________SCH1">#REF!</definedName>
    <definedName name="__________________SCH10">#REF!</definedName>
    <definedName name="__________________SCH11">#REF!</definedName>
    <definedName name="__________________SCH2">#REF!</definedName>
    <definedName name="__________________SCH3">#REF!</definedName>
    <definedName name="__________________SCH4">#REF!</definedName>
    <definedName name="__________________SCH5">#REF!</definedName>
    <definedName name="__________________SCH6">#REF!</definedName>
    <definedName name="__________________SCH7">#REF!</definedName>
    <definedName name="__________________SCH8">#REF!</definedName>
    <definedName name="__________________SCH9">#REF!</definedName>
    <definedName name="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za1">#REF!</definedName>
    <definedName name="__________________zz1">#REF!</definedName>
    <definedName name="_________________BSD1">#REF!</definedName>
    <definedName name="_________________BSD2">#REF!</definedName>
    <definedName name="_________________DAT1">#REF!</definedName>
    <definedName name="_________________DAT10">#REF!</definedName>
    <definedName name="_________________DAT11">#REF!</definedName>
    <definedName name="_________________DAT12" localSheetId="0">#REF!</definedName>
    <definedName name="_________________DAT12">#REF!</definedName>
    <definedName name="_________________DAT13" localSheetId="0">#REF!</definedName>
    <definedName name="_________________DAT13">#REF!</definedName>
    <definedName name="_________________DAT15" localSheetId="0">#REF!</definedName>
    <definedName name="_________________DAT15">#REF!</definedName>
    <definedName name="_________________DAT16" localSheetId="0">#REF!</definedName>
    <definedName name="_________________DAT16">#REF!</definedName>
    <definedName name="_________________DAT18" localSheetId="0">#REF!</definedName>
    <definedName name="_________________DAT18">#REF!</definedName>
    <definedName name="_________________DAT19" localSheetId="0">#REF!</definedName>
    <definedName name="_________________DAT19">#REF!</definedName>
    <definedName name="_________________DAT2">#REF!</definedName>
    <definedName name="_________________DAT20" localSheetId="0">#REF!</definedName>
    <definedName name="_________________DAT20">#REF!</definedName>
    <definedName name="_________________DAT21" localSheetId="0">#REF!</definedName>
    <definedName name="_________________DAT21">#REF!</definedName>
    <definedName name="_________________DAT22" localSheetId="0">#REF!</definedName>
    <definedName name="_________________DAT22">#REF!</definedName>
    <definedName name="_________________DAT23" localSheetId="0">#REF!</definedName>
    <definedName name="_________________DAT23">#REF!</definedName>
    <definedName name="_________________DAT24" localSheetId="0">#REF!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G87634">#REF!</definedName>
    <definedName name="_________________IED1">#REF!</definedName>
    <definedName name="_________________IED2">#REF!</definedName>
    <definedName name="_________________PG1" localSheetId="0">#REF!</definedName>
    <definedName name="_________________PG1">#REF!</definedName>
    <definedName name="_________________PG2">#REF!</definedName>
    <definedName name="_________________PG3">#REF!</definedName>
    <definedName name="_________________PG5" localSheetId="0">#REF!</definedName>
    <definedName name="_________________PG5">#REF!</definedName>
    <definedName name="_________________pg6">#REF!</definedName>
    <definedName name="_________________pg7">#REF!</definedName>
    <definedName name="_________________SCH1">#REF!</definedName>
    <definedName name="_________________SCH10">#REF!</definedName>
    <definedName name="_________________SCH11">#REF!</definedName>
    <definedName name="_________________SCH2">#REF!</definedName>
    <definedName name="_________________SCH3">#REF!</definedName>
    <definedName name="_________________SCH4">#REF!</definedName>
    <definedName name="_________________SCH5">#REF!</definedName>
    <definedName name="_________________SCH6">#REF!</definedName>
    <definedName name="_________________SCH7">#REF!</definedName>
    <definedName name="_________________SCH8">#REF!</definedName>
    <definedName name="_________________SCH9">#REF!</definedName>
    <definedName name="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za1">#REF!</definedName>
    <definedName name="_________________zz1">#REF!</definedName>
    <definedName name="________________BSD1">#REF!</definedName>
    <definedName name="________________BSD2">#REF!</definedName>
    <definedName name="________________DAT1">#REF!</definedName>
    <definedName name="________________DAT10">#REF!</definedName>
    <definedName name="________________DAT11">#REF!</definedName>
    <definedName name="________________DAT12" localSheetId="0">#REF!</definedName>
    <definedName name="________________DAT12">#REF!</definedName>
    <definedName name="________________DAT13" localSheetId="0">#REF!</definedName>
    <definedName name="________________DAT13">#REF!</definedName>
    <definedName name="________________DAT15" localSheetId="0">#REF!</definedName>
    <definedName name="________________DAT15">#REF!</definedName>
    <definedName name="________________DAT16" localSheetId="0">#REF!</definedName>
    <definedName name="________________DAT16">#REF!</definedName>
    <definedName name="________________DAT18" localSheetId="0">#REF!</definedName>
    <definedName name="________________DAT18">#REF!</definedName>
    <definedName name="________________DAT19" localSheetId="0">#REF!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 localSheetId="0">#REF!</definedName>
    <definedName name="________________DAT23">#REF!</definedName>
    <definedName name="________________DAT24" localSheetId="0">#REF!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87634">#REF!</definedName>
    <definedName name="________________IED1">#REF!</definedName>
    <definedName name="________________IED2">#REF!</definedName>
    <definedName name="________________PG1" localSheetId="0">#REF!</definedName>
    <definedName name="________________PG1">#REF!</definedName>
    <definedName name="________________PG2">#REF!</definedName>
    <definedName name="________________PG3">#REF!</definedName>
    <definedName name="________________PG5" localSheetId="0">#REF!</definedName>
    <definedName name="________________PG5">#REF!</definedName>
    <definedName name="________________pg6">#REF!</definedName>
    <definedName name="________________pg7">#REF!</definedName>
    <definedName name="________________SCH1">#REF!</definedName>
    <definedName name="________________SCH10">#REF!</definedName>
    <definedName name="________________SCH11">#REF!</definedName>
    <definedName name="________________SCH2">#REF!</definedName>
    <definedName name="________________SCH3">#REF!</definedName>
    <definedName name="________________SCH4">#REF!</definedName>
    <definedName name="________________SCH5">#REF!</definedName>
    <definedName name="________________SCH6">#REF!</definedName>
    <definedName name="________________SCH7">#REF!</definedName>
    <definedName name="________________SCH8">#REF!</definedName>
    <definedName name="________________SCH9">#REF!</definedName>
    <definedName name="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za1">#REF!</definedName>
    <definedName name="________________zz1">#REF!</definedName>
    <definedName name="_______________BSD1">#REF!</definedName>
    <definedName name="_______________BS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5">#REF!</definedName>
    <definedName name="_______________DAT16">#REF!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 localSheetId="0">#REF!</definedName>
    <definedName name="_______________DAT23">#REF!</definedName>
    <definedName name="_______________DAT24" localSheetId="0">#REF!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IED1">#REF!</definedName>
    <definedName name="_______________IED2">#REF!</definedName>
    <definedName name="_______________PG1" localSheetId="0">#REF!</definedName>
    <definedName name="_______________PG1">#REF!</definedName>
    <definedName name="_______________PG2">#REF!</definedName>
    <definedName name="_______________PG3">#REF!</definedName>
    <definedName name="_______________PG5" localSheetId="0">#REF!</definedName>
    <definedName name="_______________PG5">#REF!</definedName>
    <definedName name="_______________pg6">#REF!</definedName>
    <definedName name="_______________pg7">#REF!</definedName>
    <definedName name="_______________SCH1">#REF!</definedName>
    <definedName name="_______________SCH10">#REF!</definedName>
    <definedName name="_______________SCH11">#REF!</definedName>
    <definedName name="_______________SCH2">#REF!</definedName>
    <definedName name="_______________SCH3">#REF!</definedName>
    <definedName name="_______________SCH4">#REF!</definedName>
    <definedName name="_______________SCH5">#REF!</definedName>
    <definedName name="_______________SCH6">#REF!</definedName>
    <definedName name="_______________SCH7">#REF!</definedName>
    <definedName name="_______________SCH8">#REF!</definedName>
    <definedName name="_______________SCH9">#REF!</definedName>
    <definedName name="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za1">#REF!</definedName>
    <definedName name="_______________zz1">#REF!</definedName>
    <definedName name="______________ADB1" localSheetId="0">#REF!</definedName>
    <definedName name="______________ADB1">#REF!</definedName>
    <definedName name="______________BSD1">#REF!</definedName>
    <definedName name="______________BS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16">#REF!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 localSheetId="0">#REF!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IED1">#REF!</definedName>
    <definedName name="______________IED2">#REF!</definedName>
    <definedName name="______________key2" hidden="1">#REF!</definedName>
    <definedName name="______________PG1" localSheetId="0">#REF!</definedName>
    <definedName name="______________PG1">#REF!</definedName>
    <definedName name="______________PG2">#REF!</definedName>
    <definedName name="______________PG3">#REF!</definedName>
    <definedName name="______________PG5" localSheetId="0">#REF!</definedName>
    <definedName name="______________PG5">#REF!</definedName>
    <definedName name="______________pg6">#REF!</definedName>
    <definedName name="______________pg7">#REF!</definedName>
    <definedName name="______________SCH1">#REF!</definedName>
    <definedName name="______________SCH10">#REF!</definedName>
    <definedName name="______________SCH11">#REF!</definedName>
    <definedName name="______________SCH2">#REF!</definedName>
    <definedName name="______________SCH3">#REF!</definedName>
    <definedName name="______________SCH4">#REF!</definedName>
    <definedName name="______________SCH5">#REF!</definedName>
    <definedName name="______________SCH6">#REF!</definedName>
    <definedName name="______________SCH7">#REF!</definedName>
    <definedName name="______________SCH8">#REF!</definedName>
    <definedName name="______________SCH9">#REF!</definedName>
    <definedName name="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za1">#REF!</definedName>
    <definedName name="______________zz1">#REF!</definedName>
    <definedName name="_____________ADB1" localSheetId="0">#REF!</definedName>
    <definedName name="_____________ADB1">#REF!</definedName>
    <definedName name="_____________BSD1">#REF!</definedName>
    <definedName name="_____________BS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5">#REF!</definedName>
    <definedName name="_____________DAT16">#REF!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 localSheetId="0">#REF!</definedName>
    <definedName name="_____________DAT23">#REF!</definedName>
    <definedName name="_____________DAT24" localSheetId="0">#REF!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IED1">#REF!</definedName>
    <definedName name="_____________IED2">#REF!</definedName>
    <definedName name="_____________key2" hidden="1">#REF!</definedName>
    <definedName name="_____________PG1" localSheetId="0">#REF!</definedName>
    <definedName name="_____________PG1">#REF!</definedName>
    <definedName name="_____________PG2">#REF!</definedName>
    <definedName name="_____________PG3">#REF!</definedName>
    <definedName name="_____________PG5" localSheetId="0">#REF!</definedName>
    <definedName name="_____________PG5">#REF!</definedName>
    <definedName name="_____________pg6" localSheetId="0">#REF!</definedName>
    <definedName name="_____________pg6">#REF!</definedName>
    <definedName name="_____________pg7">#REF!</definedName>
    <definedName name="_____________SCH1">#REF!</definedName>
    <definedName name="_____________SCH10">#REF!</definedName>
    <definedName name="_____________SCH11">#REF!</definedName>
    <definedName name="_____________SCH2">#REF!</definedName>
    <definedName name="_____________SCH3">#REF!</definedName>
    <definedName name="_____________SCH4">#REF!</definedName>
    <definedName name="_____________SCH5">#REF!</definedName>
    <definedName name="_____________SCH6">#REF!</definedName>
    <definedName name="_____________SCH7">#REF!</definedName>
    <definedName name="_____________SCH8">#REF!</definedName>
    <definedName name="_____________SCH9">#REF!</definedName>
    <definedName name="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za1">#REF!</definedName>
    <definedName name="_____________zz1">#REF!</definedName>
    <definedName name="____________ADB1" localSheetId="0">#REF!</definedName>
    <definedName name="____________ADB1">#REF!</definedName>
    <definedName name="____________BSD1">#REF!</definedName>
    <definedName name="____________BSD2">#REF!</definedName>
    <definedName name="____________DAT1">#REF!</definedName>
    <definedName name="____________DAT10">#REF!</definedName>
    <definedName name="____________DAT11">#REF!</definedName>
    <definedName name="____________DAT12" localSheetId="0">#REF!</definedName>
    <definedName name="____________DAT12">#REF!</definedName>
    <definedName name="____________DAT13" localSheetId="0">#REF!</definedName>
    <definedName name="____________DAT13">#REF!</definedName>
    <definedName name="____________DAT15" localSheetId="0">#REF!</definedName>
    <definedName name="____________DAT15">#REF!</definedName>
    <definedName name="____________DAT16" localSheetId="0">#REF!</definedName>
    <definedName name="____________DAT16">#REF!</definedName>
    <definedName name="____________DAT18" localSheetId="0">#REF!</definedName>
    <definedName name="____________DAT18">#REF!</definedName>
    <definedName name="____________DAT19" localSheetId="0">#REF!</definedName>
    <definedName name="____________DAT19">#REF!</definedName>
    <definedName name="____________DAT2">#REF!</definedName>
    <definedName name="____________DAT20" localSheetId="0">#REF!</definedName>
    <definedName name="____________DAT20">#REF!</definedName>
    <definedName name="____________DAT21" localSheetId="0">#REF!</definedName>
    <definedName name="____________DAT21">#REF!</definedName>
    <definedName name="____________DAT22" localSheetId="0">#REF!</definedName>
    <definedName name="____________DAT22">#REF!</definedName>
    <definedName name="____________DAT23" localSheetId="0">#REF!</definedName>
    <definedName name="____________DAT23">#REF!</definedName>
    <definedName name="____________DAT24" localSheetId="0">#REF!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IED1">#REF!</definedName>
    <definedName name="____________IED2">#REF!</definedName>
    <definedName name="____________key2" hidden="1">#REF!</definedName>
    <definedName name="____________PG1" localSheetId="0">#REF!</definedName>
    <definedName name="____________PG1">#REF!</definedName>
    <definedName name="____________PG2">#REF!</definedName>
    <definedName name="____________PG3">#REF!</definedName>
    <definedName name="____________PG5" localSheetId="0">#REF!</definedName>
    <definedName name="____________PG5">#REF!</definedName>
    <definedName name="____________pg6" localSheetId="0">#REF!</definedName>
    <definedName name="____________pg6">#REF!</definedName>
    <definedName name="____________pg7" localSheetId="0">#REF!</definedName>
    <definedName name="____________pg7">#REF!</definedName>
    <definedName name="____________SCH1">#REF!</definedName>
    <definedName name="____________SCH10">#REF!</definedName>
    <definedName name="____________SCH11">#REF!</definedName>
    <definedName name="____________SCH2">#REF!</definedName>
    <definedName name="____________SCH3">#REF!</definedName>
    <definedName name="____________SCH4">#REF!</definedName>
    <definedName name="____________SCH5">#REF!</definedName>
    <definedName name="____________SCH6">#REF!</definedName>
    <definedName name="____________SCH7">#REF!</definedName>
    <definedName name="____________SCH8">#REF!</definedName>
    <definedName name="____________SCH9">#REF!</definedName>
    <definedName name="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za1">#REF!</definedName>
    <definedName name="____________zz1">#REF!</definedName>
    <definedName name="___________aa1" localSheetId="25" hidden="1">{#N/A,#N/A,TRUE,"Financials";#N/A,#N/A,TRUE,"Operating Statistics";#N/A,#N/A,TRUE,"Capex &amp; Depreciation";#N/A,#N/A,TRUE,"Debt"}</definedName>
    <definedName name="___________aa1" localSheetId="5" hidden="1">{#N/A,#N/A,TRUE,"Financials";#N/A,#N/A,TRUE,"Operating Statistics";#N/A,#N/A,TRUE,"Capex &amp; Depreciation";#N/A,#N/A,TRUE,"Debt"}</definedName>
    <definedName name="___________aa1" hidden="1">{#N/A,#N/A,TRUE,"Financials";#N/A,#N/A,TRUE,"Operating Statistics";#N/A,#N/A,TRUE,"Capex &amp; Depreciation";#N/A,#N/A,TRUE,"Debt"}</definedName>
    <definedName name="___________ADB1" localSheetId="0">#REF!</definedName>
    <definedName name="___________ADB1">#REF!</definedName>
    <definedName name="___________BSD1">#REF!</definedName>
    <definedName name="___________BSD2">#REF!</definedName>
    <definedName name="___________D87840">#REF!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5">#REF!</definedName>
    <definedName name="___________DAT16">#REF!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db1" hidden="1">{"'Sheet1'!$A$5:$E$42"}</definedName>
    <definedName name="___________G87634">#REF!</definedName>
    <definedName name="___________IED1">#REF!</definedName>
    <definedName name="___________IED2">#REF!</definedName>
    <definedName name="___________key2" hidden="1">#REF!</definedName>
    <definedName name="___________PG1" localSheetId="0">#REF!</definedName>
    <definedName name="___________PG1">#REF!</definedName>
    <definedName name="___________PG2">#REF!</definedName>
    <definedName name="___________PG3">#REF!</definedName>
    <definedName name="___________PG5" localSheetId="0">#REF!</definedName>
    <definedName name="___________PG5">#REF!</definedName>
    <definedName name="___________pg6" localSheetId="0">#REF!</definedName>
    <definedName name="___________pg6">#REF!</definedName>
    <definedName name="___________pg7">#REF!</definedName>
    <definedName name="___________SCH1">#REF!</definedName>
    <definedName name="___________SCH10">#REF!</definedName>
    <definedName name="___________SCH11">#REF!</definedName>
    <definedName name="___________SCH2">#REF!</definedName>
    <definedName name="___________SCH3">#REF!</definedName>
    <definedName name="___________SCH4">#REF!</definedName>
    <definedName name="___________SCH5">#REF!</definedName>
    <definedName name="___________SCH6">#REF!</definedName>
    <definedName name="___________SCH7">#REF!</definedName>
    <definedName name="___________SCH8">#REF!</definedName>
    <definedName name="___________SCH9">#REF!</definedName>
    <definedName name="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za1">#REF!</definedName>
    <definedName name="___________zz1">#REF!</definedName>
    <definedName name="__________aa1" localSheetId="25" hidden="1">{#N/A,#N/A,TRUE,"Financials";#N/A,#N/A,TRUE,"Operating Statistics";#N/A,#N/A,TRUE,"Capex &amp; Depreciation";#N/A,#N/A,TRUE,"Debt"}</definedName>
    <definedName name="__________aa1" localSheetId="5" hidden="1">{#N/A,#N/A,TRUE,"Financials";#N/A,#N/A,TRUE,"Operating Statistics";#N/A,#N/A,TRUE,"Capex &amp; Depreciation";#N/A,#N/A,TRUE,"Debt"}</definedName>
    <definedName name="__________aa1" hidden="1">{#N/A,#N/A,TRUE,"Financials";#N/A,#N/A,TRUE,"Operating Statistics";#N/A,#N/A,TRUE,"Capex &amp; Depreciation";#N/A,#N/A,TRUE,"Debt"}</definedName>
    <definedName name="__________ADB1" localSheetId="0">#REF!</definedName>
    <definedName name="__________ADB1">#REF!</definedName>
    <definedName name="__________BS1">#REF!</definedName>
    <definedName name="__________bs2">#REF!</definedName>
    <definedName name="__________BSD1">#REF!</definedName>
    <definedName name="__________BSD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29">#REF!</definedName>
    <definedName name="__________DAT3">#REF!</definedName>
    <definedName name="__________DAT30">#REF!</definedName>
    <definedName name="__________DAT31">#REF!</definedName>
    <definedName name="__________DAT32">#REF!</definedName>
    <definedName name="__________DAT33">#REF!</definedName>
    <definedName name="__________DAT34">#REF!</definedName>
    <definedName name="__________DAT35">#REF!</definedName>
    <definedName name="__________DAT36">#REF!</definedName>
    <definedName name="__________DAT37">#REF!</definedName>
    <definedName name="__________DAT38">#REF!</definedName>
    <definedName name="__________DAT39">#REF!</definedName>
    <definedName name="__________DAT4">#REF!</definedName>
    <definedName name="__________DAT40">#REF!</definedName>
    <definedName name="__________DAT41">#REF!</definedName>
    <definedName name="__________DAT5">#REF!</definedName>
    <definedName name="__________DAT6">#REF!</definedName>
    <definedName name="__________DAT7">#REF!</definedName>
    <definedName name="__________DAT8">#REF!</definedName>
    <definedName name="__________DAT9">#REF!</definedName>
    <definedName name="__________IED1">#REF!</definedName>
    <definedName name="__________IED2">#REF!</definedName>
    <definedName name="__________IX19">#REF!</definedName>
    <definedName name="__________key2" hidden="1">#REF!</definedName>
    <definedName name="__________PG1" localSheetId="0">#REF!</definedName>
    <definedName name="__________PG1">#REF!</definedName>
    <definedName name="__________PG2">#REF!</definedName>
    <definedName name="__________PG3">#REF!</definedName>
    <definedName name="__________PG5" localSheetId="0">#REF!</definedName>
    <definedName name="__________PG5">#REF!</definedName>
    <definedName name="__________pg6" localSheetId="0">#REF!</definedName>
    <definedName name="__________pg6">#REF!</definedName>
    <definedName name="__________pg7">#REF!</definedName>
    <definedName name="__________PL1">#REF!</definedName>
    <definedName name="__________SCH1">#REF!</definedName>
    <definedName name="__________SCH10">#REF!</definedName>
    <definedName name="__________SCH11">#REF!</definedName>
    <definedName name="__________SCH12">#REF!</definedName>
    <definedName name="__________sch13">#REF!</definedName>
    <definedName name="__________SCH2">#REF!</definedName>
    <definedName name="__________SCH3">#REF!</definedName>
    <definedName name="__________SCH4">#REF!</definedName>
    <definedName name="__________SCH5">#REF!</definedName>
    <definedName name="__________SCH6">#REF!</definedName>
    <definedName name="__________SCH7">#REF!</definedName>
    <definedName name="__________SCH8">#REF!</definedName>
    <definedName name="__________SCH9">#REF!</definedName>
    <definedName name="__________sy14">#REF!</definedName>
    <definedName name="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za1">#REF!</definedName>
    <definedName name="__________zz1">#REF!</definedName>
    <definedName name="_________A65600">#REF!</definedName>
    <definedName name="_________aa1" localSheetId="25" hidden="1">{#N/A,#N/A,TRUE,"Financials";#N/A,#N/A,TRUE,"Operating Statistics";#N/A,#N/A,TRUE,"Capex &amp; Depreciation";#N/A,#N/A,TRUE,"Debt"}</definedName>
    <definedName name="_________aa1" localSheetId="5" hidden="1">{#N/A,#N/A,TRUE,"Financials";#N/A,#N/A,TRUE,"Operating Statistics";#N/A,#N/A,TRUE,"Capex &amp; Depreciation";#N/A,#N/A,TRUE,"Debt"}</definedName>
    <definedName name="_________aa1" hidden="1">{#N/A,#N/A,TRUE,"Financials";#N/A,#N/A,TRUE,"Operating Statistics";#N/A,#N/A,TRUE,"Capex &amp; Depreciation";#N/A,#N/A,TRUE,"Debt"}</definedName>
    <definedName name="_________ADB1" localSheetId="0">#REF!</definedName>
    <definedName name="_________ADB1">#REF!</definedName>
    <definedName name="_________BS1">#REF!</definedName>
    <definedName name="_________bs2">#REF!</definedName>
    <definedName name="_________BSD1">#REF!</definedName>
    <definedName name="_________BSD2">#REF!</definedName>
    <definedName name="_________cat12" localSheetId="25" hidden="1">{#N/A,#N/A,TRUE,"Front";#N/A,#N/A,TRUE,"Simple Letter";#N/A,#N/A,TRUE,"Inside";#N/A,#N/A,TRUE,"Contents";#N/A,#N/A,TRUE,"Basis";#N/A,#N/A,TRUE,"Inclusions";#N/A,#N/A,TRUE,"Exclusions";#N/A,#N/A,TRUE,"Areas";#N/A,#N/A,TRUE,"Summary";#N/A,#N/A,TRUE,"Detail"}</definedName>
    <definedName name="_________cat12" localSheetId="5" hidden="1">{#N/A,#N/A,TRUE,"Front";#N/A,#N/A,TRUE,"Simple Letter";#N/A,#N/A,TRUE,"Inside";#N/A,#N/A,TRUE,"Contents";#N/A,#N/A,TRUE,"Basis";#N/A,#N/A,TRUE,"Inclusions";#N/A,#N/A,TRUE,"Exclusions";#N/A,#N/A,TRUE,"Areas";#N/A,#N/A,TRUE,"Summary";#N/A,#N/A,TRUE,"Detail"}</definedName>
    <definedName name="_________cat12" hidden="1">{#N/A,#N/A,TRUE,"Front";#N/A,#N/A,TRUE,"Simple Letter";#N/A,#N/A,TRUE,"Inside";#N/A,#N/A,TRUE,"Contents";#N/A,#N/A,TRUE,"Basis";#N/A,#N/A,TRUE,"Inclusions";#N/A,#N/A,TRUE,"Exclusions";#N/A,#N/A,TRUE,"Areas";#N/A,#N/A,TRUE,"Summary";#N/A,#N/A,TRUE,"Detail"}</definedName>
    <definedName name="_________D87840">#REF!</definedName>
    <definedName name="_________DAT1">#REF!</definedName>
    <definedName name="_________DAT10">#REF!</definedName>
    <definedName name="_________DAT11">#REF!</definedName>
    <definedName name="_________DAT12" localSheetId="0">#REF!</definedName>
    <definedName name="_________DAT12">#REF!</definedName>
    <definedName name="_________DAT13" localSheetId="0">#REF!</definedName>
    <definedName name="_________DAT13">#REF!</definedName>
    <definedName name="_________DAT15" localSheetId="0">#REF!</definedName>
    <definedName name="_________DAT15">#REF!</definedName>
    <definedName name="_________DAT16" localSheetId="0">#REF!</definedName>
    <definedName name="_________DAT16">#REF!</definedName>
    <definedName name="_________DAT17">#REF!</definedName>
    <definedName name="_________DAT18" localSheetId="0">#REF!</definedName>
    <definedName name="_________DAT18">#REF!</definedName>
    <definedName name="_________DAT19" localSheetId="0">#REF!</definedName>
    <definedName name="_________DAT19">#REF!</definedName>
    <definedName name="_________DAT2">#REF!</definedName>
    <definedName name="_________DAT20" localSheetId="0">#REF!</definedName>
    <definedName name="_________DAT20">#REF!</definedName>
    <definedName name="_________DAT21" localSheetId="0">#REF!</definedName>
    <definedName name="_________DAT21">#REF!</definedName>
    <definedName name="_________DAT22" localSheetId="0">#REF!</definedName>
    <definedName name="_________DAT22">#REF!</definedName>
    <definedName name="_________DAT23" localSheetId="0">#REF!</definedName>
    <definedName name="_________DAT23">#REF!</definedName>
    <definedName name="_________DAT24" localSheetId="0">#REF!</definedName>
    <definedName name="_________DAT24">#REF!</definedName>
    <definedName name="_________DAT25">#REF!</definedName>
    <definedName name="_________DAT26">#REF!</definedName>
    <definedName name="_________DAT27">#REF!</definedName>
    <definedName name="_________DAT28">#REF!</definedName>
    <definedName name="_________DAT29">#REF!</definedName>
    <definedName name="_________DAT3">#REF!</definedName>
    <definedName name="_________DAT30">#REF!</definedName>
    <definedName name="_________DAT31">#REF!</definedName>
    <definedName name="_________DAT32">#REF!</definedName>
    <definedName name="_________DAT33">#REF!</definedName>
    <definedName name="_________DAT34">#REF!</definedName>
    <definedName name="_________DAT35">#REF!</definedName>
    <definedName name="_________DAT36">#REF!</definedName>
    <definedName name="_________DAT37">#REF!</definedName>
    <definedName name="_________DAT38">#REF!</definedName>
    <definedName name="_________DAT39">#REF!</definedName>
    <definedName name="_________DAT4">#REF!</definedName>
    <definedName name="_________DAT40">#REF!</definedName>
    <definedName name="_________DAT41">#REF!</definedName>
    <definedName name="_________DAT5">#REF!</definedName>
    <definedName name="_________DAT6">#REF!</definedName>
    <definedName name="_________DAT7">#REF!</definedName>
    <definedName name="_________DAT8">#REF!</definedName>
    <definedName name="_________DAT9">#REF!</definedName>
    <definedName name="_________G87634">#REF!</definedName>
    <definedName name="_________IED1">#REF!</definedName>
    <definedName name="_________IED2">#REF!</definedName>
    <definedName name="_________IX19">#REF!</definedName>
    <definedName name="_________key2" hidden="1">#REF!</definedName>
    <definedName name="_________PG1" localSheetId="0">#REF!</definedName>
    <definedName name="_________PG1">#REF!</definedName>
    <definedName name="_________PG2">#REF!</definedName>
    <definedName name="_________PG3">#REF!</definedName>
    <definedName name="_________PG5" localSheetId="0">#REF!</definedName>
    <definedName name="_________PG5">#REF!</definedName>
    <definedName name="_________pg6" localSheetId="0">#REF!</definedName>
    <definedName name="_________pg6">#REF!</definedName>
    <definedName name="_________pg7" localSheetId="0">#REF!</definedName>
    <definedName name="_________pg7">#REF!</definedName>
    <definedName name="_________PL1">#REF!</definedName>
    <definedName name="_________SCH1">#REF!</definedName>
    <definedName name="_________SCH10">#REF!</definedName>
    <definedName name="_________SCH11">#REF!</definedName>
    <definedName name="_________SCH12">#REF!</definedName>
    <definedName name="_________sch13">#REF!</definedName>
    <definedName name="_________SCH2">#REF!</definedName>
    <definedName name="_________SCH3">#REF!</definedName>
    <definedName name="_________SCH4">#REF!</definedName>
    <definedName name="_________SCH5">#REF!</definedName>
    <definedName name="_________SCH6">#REF!</definedName>
    <definedName name="_________SCH7">#REF!</definedName>
    <definedName name="_________SCH8">#REF!</definedName>
    <definedName name="_________SCH9">#REF!</definedName>
    <definedName name="_________sy14">#REF!</definedName>
    <definedName name="_________ts1">#REF!</definedName>
    <definedName name="_________ts2">#REF!</definedName>
    <definedName name="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XL__ENTER_UNIT" localSheetId="11">#REF!</definedName>
    <definedName name="_________XL__ENTER_UNIT" localSheetId="13">#REF!</definedName>
    <definedName name="_________XL__ENTER_UNIT" localSheetId="16">#REF!</definedName>
    <definedName name="_________XL__ENTER_UNIT" localSheetId="26">#REF!</definedName>
    <definedName name="_________XL__ENTER_UNIT" localSheetId="32">#REF!</definedName>
    <definedName name="_________XL__ENTER_UNIT" localSheetId="33">#REF!</definedName>
    <definedName name="_________XL__ENTER_UNIT" localSheetId="34">#REF!</definedName>
    <definedName name="_________XL__ENTER_UNIT" localSheetId="35">#REF!</definedName>
    <definedName name="_________XL__ENTER_UNIT">#REF!</definedName>
    <definedName name="_________za1">#REF!</definedName>
    <definedName name="_________zz1">#REF!</definedName>
    <definedName name="________A65600">#REF!</definedName>
    <definedName name="________aa1" localSheetId="25" hidden="1">{#N/A,#N/A,TRUE,"Financials";#N/A,#N/A,TRUE,"Operating Statistics";#N/A,#N/A,TRUE,"Capex &amp; Depreciation";#N/A,#N/A,TRUE,"Debt"}</definedName>
    <definedName name="________aa1" localSheetId="5" hidden="1">{#N/A,#N/A,TRUE,"Financials";#N/A,#N/A,TRUE,"Operating Statistics";#N/A,#N/A,TRUE,"Capex &amp; Depreciation";#N/A,#N/A,TRUE,"Debt"}</definedName>
    <definedName name="________aa1" hidden="1">{#N/A,#N/A,TRUE,"Financials";#N/A,#N/A,TRUE,"Operating Statistics";#N/A,#N/A,TRUE,"Capex &amp; Depreciation";#N/A,#N/A,TRUE,"Debt"}</definedName>
    <definedName name="________ADB1" localSheetId="0">#REF!</definedName>
    <definedName name="________ADB1">#REF!</definedName>
    <definedName name="________App4">#REF!</definedName>
    <definedName name="________BS1">#REF!</definedName>
    <definedName name="________bs2">#REF!</definedName>
    <definedName name="________BSD1">#REF!</definedName>
    <definedName name="________BSD2">#REF!</definedName>
    <definedName name="________D87840">#REF!</definedName>
    <definedName name="________DAT1">#REF!</definedName>
    <definedName name="________DAT10">#REF!</definedName>
    <definedName name="________DAT11">#REF!</definedName>
    <definedName name="________DAT12" localSheetId="0">#REF!</definedName>
    <definedName name="________DAT12">#REF!</definedName>
    <definedName name="________DAT13" localSheetId="0">#REF!</definedName>
    <definedName name="________DAT13">#REF!</definedName>
    <definedName name="________DAT14">#REF!</definedName>
    <definedName name="________DAT15" localSheetId="0">#REF!</definedName>
    <definedName name="________DAT15">#REF!</definedName>
    <definedName name="________DAT16" localSheetId="0">#REF!</definedName>
    <definedName name="________DAT16">#REF!</definedName>
    <definedName name="________DAT17">#REF!</definedName>
    <definedName name="________DAT18" localSheetId="0">#REF!</definedName>
    <definedName name="________DAT18">#REF!</definedName>
    <definedName name="________DAT19" localSheetId="0">#REF!</definedName>
    <definedName name="________DAT19">#REF!</definedName>
    <definedName name="________DAT2">#REF!</definedName>
    <definedName name="________DAT20" localSheetId="0">#REF!</definedName>
    <definedName name="________DAT20">#REF!</definedName>
    <definedName name="________DAT21" localSheetId="0">#REF!</definedName>
    <definedName name="________DAT21">#REF!</definedName>
    <definedName name="________DAT22" localSheetId="0">#REF!</definedName>
    <definedName name="________DAT22">#REF!</definedName>
    <definedName name="________DAT23" localSheetId="0">#REF!</definedName>
    <definedName name="________DAT23">#REF!</definedName>
    <definedName name="________DAT24" localSheetId="0">#REF!</definedName>
    <definedName name="________DAT24">#REF!</definedName>
    <definedName name="________DAT25">#REF!</definedName>
    <definedName name="________DAT26">#REF!</definedName>
    <definedName name="________DAT27">#REF!</definedName>
    <definedName name="________DAT28">#REF!</definedName>
    <definedName name="________DAT29">#REF!</definedName>
    <definedName name="________DAT3">#REF!</definedName>
    <definedName name="________DAT30">#REF!</definedName>
    <definedName name="________DAT31">#REF!</definedName>
    <definedName name="________DAT32">#REF!</definedName>
    <definedName name="________DAT33">#REF!</definedName>
    <definedName name="________DAT34">#REF!</definedName>
    <definedName name="________DAT35">#REF!</definedName>
    <definedName name="________DAT36">#REF!</definedName>
    <definedName name="________DAT37">#REF!</definedName>
    <definedName name="________DAT38">#REF!</definedName>
    <definedName name="________DAT39">#REF!</definedName>
    <definedName name="________DAT4">#REF!</definedName>
    <definedName name="________DAT40">#REF!</definedName>
    <definedName name="________DAT41">#REF!</definedName>
    <definedName name="________DAT5">#REF!</definedName>
    <definedName name="________DAT6">#REF!</definedName>
    <definedName name="________DAT7">#REF!</definedName>
    <definedName name="________DAT8">#REF!</definedName>
    <definedName name="________DAT9">#REF!</definedName>
    <definedName name="________exp2" localSheetId="0" hidden="1">{"VIEW1",#N/A,FALSE,"P&amp;L Account 2001-2002";"VIEW2",#N/A,FALSE,"P&amp;L Account 2001-2002";"VIEW3",#N/A,FALSE,"P&amp;L Account 2001-2002";"VIEW4",#N/A,FALSE,"P&amp;L Account 2001-2002"}</definedName>
    <definedName name="________exp2" hidden="1">{"VIEW1",#N/A,FALSE,"P&amp;L Account 2001-2002";"VIEW2",#N/A,FALSE,"P&amp;L Account 2001-2002";"VIEW3",#N/A,FALSE,"P&amp;L Account 2001-2002";"VIEW4",#N/A,FALSE,"P&amp;L Account 2001-2002"}</definedName>
    <definedName name="________FSE8" localSheetId="0" hidden="1">{"VIEW1",#N/A,FALSE,"P&amp;L Account 2001-2002";"VIEW2",#N/A,FALSE,"P&amp;L Account 2001-2002";"VIEW3",#N/A,FALSE,"P&amp;L Account 2001-2002";"VIEW4",#N/A,FALSE,"P&amp;L Account 2001-2002"}</definedName>
    <definedName name="________FSE8" hidden="1">{"VIEW1",#N/A,FALSE,"P&amp;L Account 2001-2002";"VIEW2",#N/A,FALSE,"P&amp;L Account 2001-2002";"VIEW3",#N/A,FALSE,"P&amp;L Account 2001-2002";"VIEW4",#N/A,FALSE,"P&amp;L Account 2001-2002"}</definedName>
    <definedName name="________G87634">#REF!</definedName>
    <definedName name="________IED1">#REF!</definedName>
    <definedName name="________IED2">#REF!</definedName>
    <definedName name="________IX19">#REF!</definedName>
    <definedName name="________key2" hidden="1">#REF!</definedName>
    <definedName name="________mul1">#REF!</definedName>
    <definedName name="________Net1">#REF!</definedName>
    <definedName name="________NEW1" localSheetId="0" hidden="1">{"VIEW1",#N/A,FALSE,"P&amp;L Account 2001-2002";"VIEW2",#N/A,FALSE,"P&amp;L Account 2001-2002";"VIEW3",#N/A,FALSE,"P&amp;L Account 2001-2002";"VIEW4",#N/A,FALSE,"P&amp;L Account 2001-2002"}</definedName>
    <definedName name="________NEW1" hidden="1">{"VIEW1",#N/A,FALSE,"P&amp;L Account 2001-2002";"VIEW2",#N/A,FALSE,"P&amp;L Account 2001-2002";"VIEW3",#N/A,FALSE,"P&amp;L Account 2001-2002";"VIEW4",#N/A,FALSE,"P&amp;L Account 2001-2002"}</definedName>
    <definedName name="________NEW2" localSheetId="0" hidden="1">{"VIEW1",#N/A,FALSE,"P&amp;L Account 2001-2002";"VIEW2",#N/A,FALSE,"P&amp;L Account 2001-2002";"VIEW3",#N/A,FALSE,"P&amp;L Account 2001-2002";"VIEW4",#N/A,FALSE,"P&amp;L Account 2001-2002"}</definedName>
    <definedName name="________NEW2" hidden="1">{"VIEW1",#N/A,FALSE,"P&amp;L Account 2001-2002";"VIEW2",#N/A,FALSE,"P&amp;L Account 2001-2002";"VIEW3",#N/A,FALSE,"P&amp;L Account 2001-2002";"VIEW4",#N/A,FALSE,"P&amp;L Account 2001-2002"}</definedName>
    <definedName name="________Pet1">#REF!</definedName>
    <definedName name="________Pet2">#REF!</definedName>
    <definedName name="________PG1" localSheetId="0">#REF!</definedName>
    <definedName name="________PG1">#REF!</definedName>
    <definedName name="________PG2">#REF!</definedName>
    <definedName name="________PG3">#REF!</definedName>
    <definedName name="________PG5" localSheetId="0">#REF!</definedName>
    <definedName name="________PG5">#REF!</definedName>
    <definedName name="________pg6" localSheetId="0">#REF!</definedName>
    <definedName name="________pg6">#REF!</definedName>
    <definedName name="________pg7" localSheetId="0">#REF!</definedName>
    <definedName name="________pg7">#REF!</definedName>
    <definedName name="________PL1">#REF!</definedName>
    <definedName name="________s3" localSheetId="0" hidden="1">{"VIEW1",#N/A,FALSE,"P&amp;L Account 2001-2002";"VIEW2",#N/A,FALSE,"P&amp;L Account 2001-2002";"VIEW3",#N/A,FALSE,"P&amp;L Account 2001-2002";"VIEW4",#N/A,FALSE,"P&amp;L Account 2001-2002"}</definedName>
    <definedName name="________s3" hidden="1">{"VIEW1",#N/A,FALSE,"P&amp;L Account 2001-2002";"VIEW2",#N/A,FALSE,"P&amp;L Account 2001-2002";"VIEW3",#N/A,FALSE,"P&amp;L Account 2001-2002";"VIEW4",#N/A,FALSE,"P&amp;L Account 2001-2002"}</definedName>
    <definedName name="________S5" localSheetId="0" hidden="1">{"VIEW1",#N/A,FALSE,"P&amp;L Account 2001-2002";"VIEW2",#N/A,FALSE,"P&amp;L Account 2001-2002";"VIEW3",#N/A,FALSE,"P&amp;L Account 2001-2002";"VIEW4",#N/A,FALSE,"P&amp;L Account 2001-2002"}</definedName>
    <definedName name="________S5" hidden="1">{"VIEW1",#N/A,FALSE,"P&amp;L Account 2001-2002";"VIEW2",#N/A,FALSE,"P&amp;L Account 2001-2002";"VIEW3",#N/A,FALSE,"P&amp;L Account 2001-2002";"VIEW4",#N/A,FALSE,"P&amp;L Account 2001-2002"}</definedName>
    <definedName name="________SCH1">#REF!</definedName>
    <definedName name="________SCH10">#REF!</definedName>
    <definedName name="________SCH11">#REF!</definedName>
    <definedName name="________SCH12">#REF!</definedName>
    <definedName name="________sch13">#REF!</definedName>
    <definedName name="________SCH2">#REF!</definedName>
    <definedName name="________SCH3">#REF!</definedName>
    <definedName name="________SCH4">#REF!</definedName>
    <definedName name="________SCH5">#REF!</definedName>
    <definedName name="________SCH6" localSheetId="0">#REF!</definedName>
    <definedName name="________SCH6">#REF!</definedName>
    <definedName name="________SCH7">#REF!</definedName>
    <definedName name="________SCH8">#REF!</definedName>
    <definedName name="________SCH9">#REF!</definedName>
    <definedName name="________sy14">#REF!</definedName>
    <definedName name="________ts1">#REF!</definedName>
    <definedName name="________ts2">#REF!</definedName>
    <definedName name="________vid5" localSheetId="0" hidden="1">{"VIEW1",#N/A,FALSE,"P&amp;L Account 2001-2002";"VIEW2",#N/A,FALSE,"P&amp;L Account 2001-2002";"VIEW3",#N/A,FALSE,"P&amp;L Account 2001-2002";"VIEW4",#N/A,FALSE,"P&amp;L Account 2001-2002"}</definedName>
    <definedName name="________vid5" hidden="1">{"VIEW1",#N/A,FALSE,"P&amp;L Account 2001-2002";"VIEW2",#N/A,FALSE,"P&amp;L Account 2001-2002";"VIEW3",#N/A,FALSE,"P&amp;L Account 2001-2002";"VIEW4",#N/A,FALSE,"P&amp;L Account 2001-2002"}</definedName>
    <definedName name="________vid6" localSheetId="0" hidden="1">{"VIEW1",#N/A,FALSE,"P&amp;L Account 2001-2002";"VIEW2",#N/A,FALSE,"P&amp;L Account 2001-2002";"VIEW3",#N/A,FALSE,"P&amp;L Account 2001-2002";"VIEW4",#N/A,FALSE,"P&amp;L Account 2001-2002"}</definedName>
    <definedName name="________vid6" hidden="1">{"VIEW1",#N/A,FALSE,"P&amp;L Account 2001-2002";"VIEW2",#N/A,FALSE,"P&amp;L Account 2001-2002";"VIEW3",#N/A,FALSE,"P&amp;L Account 2001-2002";"VIEW4",#N/A,FALSE,"P&amp;L Account 2001-2002"}</definedName>
    <definedName name="________VID7" localSheetId="0" hidden="1">{"VIEW1",#N/A,FALSE,"P&amp;L Account 2001-2002";"VIEW2",#N/A,FALSE,"P&amp;L Account 2001-2002";"VIEW3",#N/A,FALSE,"P&amp;L Account 2001-2002";"VIEW4",#N/A,FALSE,"P&amp;L Account 2001-2002"}</definedName>
    <definedName name="________VID7" hidden="1">{"VIEW1",#N/A,FALSE,"P&amp;L Account 2001-2002";"VIEW2",#N/A,FALSE,"P&amp;L Account 2001-2002";"VIEW3",#N/A,FALSE,"P&amp;L Account 2001-2002";"VIEW4",#N/A,FALSE,"P&amp;L Account 2001-2002"}</definedName>
    <definedName name="________VIR5" localSheetId="0" hidden="1">{"VIEW1",#N/A,FALSE,"P&amp;L Account 2001-2002";"VIEW2",#N/A,FALSE,"P&amp;L Account 2001-2002";"VIEW3",#N/A,FALSE,"P&amp;L Account 2001-2002";"VIEW4",#N/A,FALSE,"P&amp;L Account 2001-2002"}</definedName>
    <definedName name="________VIR5" hidden="1">{"VIEW1",#N/A,FALSE,"P&amp;L Account 2001-2002";"VIEW2",#N/A,FALSE,"P&amp;L Account 2001-2002";"VIEW3",#N/A,FALSE,"P&amp;L Account 2001-2002";"VIEW4",#N/A,FALSE,"P&amp;L Account 2001-2002"}</definedName>
    <definedName name="________VIR6" localSheetId="0" hidden="1">{"VIEW1",#N/A,FALSE,"P&amp;L Account 2001-2002";"VIEW2",#N/A,FALSE,"P&amp;L Account 2001-2002";"VIEW3",#N/A,FALSE,"P&amp;L Account 2001-2002";"VIEW4",#N/A,FALSE,"P&amp;L Account 2001-2002"}</definedName>
    <definedName name="________VIR6" hidden="1">{"VIEW1",#N/A,FALSE,"P&amp;L Account 2001-2002";"VIEW2",#N/A,FALSE,"P&amp;L Account 2001-2002";"VIEW3",#N/A,FALSE,"P&amp;L Account 2001-2002";"VIEW4",#N/A,FALSE,"P&amp;L Account 2001-2002"}</definedName>
    <definedName name="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XL__ENTER_UNIT">#REF!</definedName>
    <definedName name="________za1">#REF!</definedName>
    <definedName name="________zz1">#REF!</definedName>
    <definedName name="_______A65600">#REF!</definedName>
    <definedName name="_______aa1" localSheetId="25" hidden="1">{#N/A,#N/A,TRUE,"Financials";#N/A,#N/A,TRUE,"Operating Statistics";#N/A,#N/A,TRUE,"Capex &amp; Depreciation";#N/A,#N/A,TRUE,"Debt"}</definedName>
    <definedName name="_______aa1" localSheetId="5" hidden="1">{#N/A,#N/A,TRUE,"Financials";#N/A,#N/A,TRUE,"Operating Statistics";#N/A,#N/A,TRUE,"Capex &amp; Depreciation";#N/A,#N/A,TRUE,"Debt"}</definedName>
    <definedName name="_______aa1" hidden="1">{#N/A,#N/A,TRUE,"Financials";#N/A,#N/A,TRUE,"Operating Statistics";#N/A,#N/A,TRUE,"Capex &amp; Depreciation";#N/A,#N/A,TRUE,"Debt"}</definedName>
    <definedName name="_______AAA1">#REF!</definedName>
    <definedName name="_______ADB1" localSheetId="0">#REF!</definedName>
    <definedName name="_______ADB1">#REF!</definedName>
    <definedName name="_______App4">#REF!</definedName>
    <definedName name="_______boe96">#REF!</definedName>
    <definedName name="_______boe97">#REF!</definedName>
    <definedName name="_______boe98">#REF!</definedName>
    <definedName name="_______boe99">#REF!</definedName>
    <definedName name="_______BS1">#REF!</definedName>
    <definedName name="_______bs2">#REF!</definedName>
    <definedName name="_______BSD1">#REF!</definedName>
    <definedName name="_______BSD2">#REF!</definedName>
    <definedName name="_______cat12" localSheetId="25" hidden="1">{#N/A,#N/A,TRUE,"Front";#N/A,#N/A,TRUE,"Simple Letter";#N/A,#N/A,TRUE,"Inside";#N/A,#N/A,TRUE,"Contents";#N/A,#N/A,TRUE,"Basis";#N/A,#N/A,TRUE,"Inclusions";#N/A,#N/A,TRUE,"Exclusions";#N/A,#N/A,TRUE,"Areas";#N/A,#N/A,TRUE,"Summary";#N/A,#N/A,TRUE,"Detail"}</definedName>
    <definedName name="_______cat12" localSheetId="5" hidden="1">{#N/A,#N/A,TRUE,"Front";#N/A,#N/A,TRUE,"Simple Letter";#N/A,#N/A,TRUE,"Inside";#N/A,#N/A,TRUE,"Contents";#N/A,#N/A,TRUE,"Basis";#N/A,#N/A,TRUE,"Inclusions";#N/A,#N/A,TRUE,"Exclusions";#N/A,#N/A,TRUE,"Areas";#N/A,#N/A,TRUE,"Summary";#N/A,#N/A,TRUE,"Detail"}</definedName>
    <definedName name="_______cat12" hidden="1">{#N/A,#N/A,TRUE,"Front";#N/A,#N/A,TRUE,"Simple Letter";#N/A,#N/A,TRUE,"Inside";#N/A,#N/A,TRUE,"Contents";#N/A,#N/A,TRUE,"Basis";#N/A,#N/A,TRUE,"Inclusions";#N/A,#N/A,TRUE,"Exclusions";#N/A,#N/A,TRUE,"Areas";#N/A,#N/A,TRUE,"Summary";#N/A,#N/A,TRUE,"Detail"}</definedName>
    <definedName name="_______D87840">#REF!</definedName>
    <definedName name="_______DAT1">#REF!</definedName>
    <definedName name="_______DAT10">#REF!</definedName>
    <definedName name="_______DAT11">#REF!</definedName>
    <definedName name="_______DAT12" localSheetId="0">#REF!</definedName>
    <definedName name="_______DAT12">#REF!</definedName>
    <definedName name="_______DAT13" localSheetId="0">#REF!</definedName>
    <definedName name="_______DAT13">#REF!</definedName>
    <definedName name="_______DAT14">#REF!</definedName>
    <definedName name="_______DAT15" localSheetId="0">#REF!</definedName>
    <definedName name="_______DAT15">#REF!</definedName>
    <definedName name="_______DAT16" localSheetId="0">#REF!</definedName>
    <definedName name="_______DAT16">#REF!</definedName>
    <definedName name="_______DAT17">#REF!</definedName>
    <definedName name="_______DAT18" localSheetId="0">#REF!</definedName>
    <definedName name="_______DAT18">#REF!</definedName>
    <definedName name="_______DAT19" localSheetId="0">#REF!</definedName>
    <definedName name="_______DAT19">#REF!</definedName>
    <definedName name="_______DAT2">#REF!</definedName>
    <definedName name="_______DAT20" localSheetId="0">#REF!</definedName>
    <definedName name="_______DAT20">#REF!</definedName>
    <definedName name="_______DAT21" localSheetId="0">#REF!</definedName>
    <definedName name="_______DAT21">#REF!</definedName>
    <definedName name="_______DAT22" localSheetId="0">#REF!</definedName>
    <definedName name="_______DAT22">#REF!</definedName>
    <definedName name="_______DAT23" localSheetId="0">#REF!</definedName>
    <definedName name="_______DAT23">#REF!</definedName>
    <definedName name="_______DAT24" localSheetId="0">#REF!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5">#REF!</definedName>
    <definedName name="_______DAT6">#REF!</definedName>
    <definedName name="_______DAT7">#REF!</definedName>
    <definedName name="_______DAT8">#REF!</definedName>
    <definedName name="_______DAT9">#REF!</definedName>
    <definedName name="_______db1" hidden="1">{"'Sheet1'!$A$5:$E$42"}</definedName>
    <definedName name="_______DCF95">#REF!</definedName>
    <definedName name="_______DCF96">#REF!</definedName>
    <definedName name="_______DCF97">#REF!</definedName>
    <definedName name="_______EPS95">#REF!</definedName>
    <definedName name="_______EPS96">#REF!</definedName>
    <definedName name="_______EPS97">#REF!</definedName>
    <definedName name="_______exp2" localSheetId="0" hidden="1">{"VIEW1",#N/A,FALSE,"P&amp;L Account 2001-2002";"VIEW2",#N/A,FALSE,"P&amp;L Account 2001-2002";"VIEW3",#N/A,FALSE,"P&amp;L Account 2001-2002";"VIEW4",#N/A,FALSE,"P&amp;L Account 2001-2002"}</definedName>
    <definedName name="_______exp2" hidden="1">{"VIEW1",#N/A,FALSE,"P&amp;L Account 2001-2002";"VIEW2",#N/A,FALSE,"P&amp;L Account 2001-2002";"VIEW3",#N/A,FALSE,"P&amp;L Account 2001-2002";"VIEW4",#N/A,FALSE,"P&amp;L Account 2001-2002"}</definedName>
    <definedName name="_______FSE8" localSheetId="0" hidden="1">{"VIEW1",#N/A,FALSE,"P&amp;L Account 2001-2002";"VIEW2",#N/A,FALSE,"P&amp;L Account 2001-2002";"VIEW3",#N/A,FALSE,"P&amp;L Account 2001-2002";"VIEW4",#N/A,FALSE,"P&amp;L Account 2001-2002"}</definedName>
    <definedName name="_______FSE8" hidden="1">{"VIEW1",#N/A,FALSE,"P&amp;L Account 2001-2002";"VIEW2",#N/A,FALSE,"P&amp;L Account 2001-2002";"VIEW3",#N/A,FALSE,"P&amp;L Account 2001-2002";"VIEW4",#N/A,FALSE,"P&amp;L Account 2001-2002"}</definedName>
    <definedName name="_______G87634">#REF!</definedName>
    <definedName name="_______iea1">#REF!</definedName>
    <definedName name="_______iea2">#REF!</definedName>
    <definedName name="_______IED1">#REF!</definedName>
    <definedName name="_______IED2">#REF!</definedName>
    <definedName name="_______IX19">#REF!</definedName>
    <definedName name="_______Jet1">#REF!</definedName>
    <definedName name="_______Jet2">#REF!</definedName>
    <definedName name="_______Jet3">#REF!</definedName>
    <definedName name="_______Jet4">#REF!</definedName>
    <definedName name="_______key2" hidden="1">#REF!</definedName>
    <definedName name="_______NEW1" localSheetId="0" hidden="1">{"VIEW1",#N/A,FALSE,"P&amp;L Account 2001-2002";"VIEW2",#N/A,FALSE,"P&amp;L Account 2001-2002";"VIEW3",#N/A,FALSE,"P&amp;L Account 2001-2002";"VIEW4",#N/A,FALSE,"P&amp;L Account 2001-2002"}</definedName>
    <definedName name="_______NEW1" hidden="1">{"VIEW1",#N/A,FALSE,"P&amp;L Account 2001-2002";"VIEW2",#N/A,FALSE,"P&amp;L Account 2001-2002";"VIEW3",#N/A,FALSE,"P&amp;L Account 2001-2002";"VIEW4",#N/A,FALSE,"P&amp;L Account 2001-2002"}</definedName>
    <definedName name="_______new10">#REF!</definedName>
    <definedName name="_______new11">#REF!</definedName>
    <definedName name="_______new2" localSheetId="0">#REF!</definedName>
    <definedName name="_______NEW2" hidden="1">{"VIEW1",#N/A,FALSE,"P&amp;L Account 2001-2002";"VIEW2",#N/A,FALSE,"P&amp;L Account 2001-2002";"VIEW3",#N/A,FALSE,"P&amp;L Account 2001-2002";"VIEW4",#N/A,FALSE,"P&amp;L Account 2001-2002"}</definedName>
    <definedName name="_______new4">#REF!</definedName>
    <definedName name="_______new5">#REF!</definedName>
    <definedName name="_______new6">#REF!</definedName>
    <definedName name="_______new7">#REF!</definedName>
    <definedName name="_______new8">#REF!</definedName>
    <definedName name="_______new9">#REF!</definedName>
    <definedName name="_______PEX1">#REF!</definedName>
    <definedName name="_______PG1" localSheetId="0">#REF!</definedName>
    <definedName name="_______PG1">#REF!</definedName>
    <definedName name="_______PG2">#REF!</definedName>
    <definedName name="_______PG3">#REF!</definedName>
    <definedName name="_______PG5" localSheetId="0">#REF!</definedName>
    <definedName name="_______PG5">#REF!</definedName>
    <definedName name="_______pg6" localSheetId="0">#REF!</definedName>
    <definedName name="_______pg6">#REF!</definedName>
    <definedName name="_______pg7" localSheetId="0">#REF!</definedName>
    <definedName name="_______pg7">#REF!</definedName>
    <definedName name="_______PL1">#REF!</definedName>
    <definedName name="_______PLO1">#REF!</definedName>
    <definedName name="_______PRN1">#REF!</definedName>
    <definedName name="_______PV2">#REF!</definedName>
    <definedName name="_______s3" localSheetId="0" hidden="1">{"VIEW1",#N/A,FALSE,"P&amp;L Account 2001-2002";"VIEW2",#N/A,FALSE,"P&amp;L Account 2001-2002";"VIEW3",#N/A,FALSE,"P&amp;L Account 2001-2002";"VIEW4",#N/A,FALSE,"P&amp;L Account 2001-2002"}</definedName>
    <definedName name="_______s3" hidden="1">{"VIEW1",#N/A,FALSE,"P&amp;L Account 2001-2002";"VIEW2",#N/A,FALSE,"P&amp;L Account 2001-2002";"VIEW3",#N/A,FALSE,"P&amp;L Account 2001-2002";"VIEW4",#N/A,FALSE,"P&amp;L Account 2001-2002"}</definedName>
    <definedName name="_______S5" localSheetId="0" hidden="1">{"VIEW1",#N/A,FALSE,"P&amp;L Account 2001-2002";"VIEW2",#N/A,FALSE,"P&amp;L Account 2001-2002";"VIEW3",#N/A,FALSE,"P&amp;L Account 2001-2002";"VIEW4",#N/A,FALSE,"P&amp;L Account 2001-2002"}</definedName>
    <definedName name="_______S5" hidden="1">{"VIEW1",#N/A,FALSE,"P&amp;L Account 2001-2002";"VIEW2",#N/A,FALSE,"P&amp;L Account 2001-2002";"VIEW3",#N/A,FALSE,"P&amp;L Account 2001-2002";"VIEW4",#N/A,FALSE,"P&amp;L Account 2001-2002"}</definedName>
    <definedName name="_______SCH1">#REF!</definedName>
    <definedName name="_______SCH10">#REF!</definedName>
    <definedName name="_______SCH11">#REF!</definedName>
    <definedName name="_______SCH12">#REF!</definedName>
    <definedName name="_______sch13">#REF!</definedName>
    <definedName name="_______SCH2">#REF!</definedName>
    <definedName name="_______SCH3">#REF!</definedName>
    <definedName name="_______SCH4">#REF!</definedName>
    <definedName name="_______SCH5">#REF!</definedName>
    <definedName name="_______SCH6" localSheetId="25">#REF!</definedName>
    <definedName name="_______SCH6" localSheetId="0">#REF!</definedName>
    <definedName name="_______SCH6" localSheetId="11">#REF!</definedName>
    <definedName name="_______SCH6" localSheetId="13">#REF!</definedName>
    <definedName name="_______SCH6" localSheetId="14">#REF!</definedName>
    <definedName name="_______SCH6" localSheetId="43">#REF!</definedName>
    <definedName name="_______SCH6" localSheetId="61">#REF!</definedName>
    <definedName name="_______SCH6" localSheetId="63">#REF!</definedName>
    <definedName name="_______SCH6" localSheetId="64">#REF!</definedName>
    <definedName name="_______SCH6" localSheetId="16">#REF!</definedName>
    <definedName name="_______SCH6" localSheetId="17">#REF!</definedName>
    <definedName name="_______SCH6" localSheetId="26">#REF!</definedName>
    <definedName name="_______SCH6" localSheetId="32">#REF!</definedName>
    <definedName name="_______SCH6" localSheetId="33">#REF!</definedName>
    <definedName name="_______SCH6" localSheetId="34">#REF!</definedName>
    <definedName name="_______SCH6" localSheetId="35">#REF!</definedName>
    <definedName name="_______SCH6" localSheetId="5">#REF!</definedName>
    <definedName name="_______SCH6">#REF!</definedName>
    <definedName name="_______SCH7">#REF!</definedName>
    <definedName name="_______SCH8">#REF!</definedName>
    <definedName name="_______SCH9">#REF!</definedName>
    <definedName name="_______sy14">#REF!</definedName>
    <definedName name="_______ts1">#REF!</definedName>
    <definedName name="_______ts2">#REF!</definedName>
    <definedName name="_______vid5" localSheetId="0" hidden="1">{"VIEW1",#N/A,FALSE,"P&amp;L Account 2001-2002";"VIEW2",#N/A,FALSE,"P&amp;L Account 2001-2002";"VIEW3",#N/A,FALSE,"P&amp;L Account 2001-2002";"VIEW4",#N/A,FALSE,"P&amp;L Account 2001-2002"}</definedName>
    <definedName name="_______vid5" hidden="1">{"VIEW1",#N/A,FALSE,"P&amp;L Account 2001-2002";"VIEW2",#N/A,FALSE,"P&amp;L Account 2001-2002";"VIEW3",#N/A,FALSE,"P&amp;L Account 2001-2002";"VIEW4",#N/A,FALSE,"P&amp;L Account 2001-2002"}</definedName>
    <definedName name="_______vid6" localSheetId="0" hidden="1">{"VIEW1",#N/A,FALSE,"P&amp;L Account 2001-2002";"VIEW2",#N/A,FALSE,"P&amp;L Account 2001-2002";"VIEW3",#N/A,FALSE,"P&amp;L Account 2001-2002";"VIEW4",#N/A,FALSE,"P&amp;L Account 2001-2002"}</definedName>
    <definedName name="_______vid6" hidden="1">{"VIEW1",#N/A,FALSE,"P&amp;L Account 2001-2002";"VIEW2",#N/A,FALSE,"P&amp;L Account 2001-2002";"VIEW3",#N/A,FALSE,"P&amp;L Account 2001-2002";"VIEW4",#N/A,FALSE,"P&amp;L Account 2001-2002"}</definedName>
    <definedName name="_______VID7" localSheetId="0" hidden="1">{"VIEW1",#N/A,FALSE,"P&amp;L Account 2001-2002";"VIEW2",#N/A,FALSE,"P&amp;L Account 2001-2002";"VIEW3",#N/A,FALSE,"P&amp;L Account 2001-2002";"VIEW4",#N/A,FALSE,"P&amp;L Account 2001-2002"}</definedName>
    <definedName name="_______VID7" hidden="1">{"VIEW1",#N/A,FALSE,"P&amp;L Account 2001-2002";"VIEW2",#N/A,FALSE,"P&amp;L Account 2001-2002";"VIEW3",#N/A,FALSE,"P&amp;L Account 2001-2002";"VIEW4",#N/A,FALSE,"P&amp;L Account 2001-2002"}</definedName>
    <definedName name="_______VIR5" localSheetId="0" hidden="1">{"VIEW1",#N/A,FALSE,"P&amp;L Account 2001-2002";"VIEW2",#N/A,FALSE,"P&amp;L Account 2001-2002";"VIEW3",#N/A,FALSE,"P&amp;L Account 2001-2002";"VIEW4",#N/A,FALSE,"P&amp;L Account 2001-2002"}</definedName>
    <definedName name="_______VIR5" hidden="1">{"VIEW1",#N/A,FALSE,"P&amp;L Account 2001-2002";"VIEW2",#N/A,FALSE,"P&amp;L Account 2001-2002";"VIEW3",#N/A,FALSE,"P&amp;L Account 2001-2002";"VIEW4",#N/A,FALSE,"P&amp;L Account 2001-2002"}</definedName>
    <definedName name="_______VIR6" localSheetId="0" hidden="1">{"VIEW1",#N/A,FALSE,"P&amp;L Account 2001-2002";"VIEW2",#N/A,FALSE,"P&amp;L Account 2001-2002";"VIEW3",#N/A,FALSE,"P&amp;L Account 2001-2002";"VIEW4",#N/A,FALSE,"P&amp;L Account 2001-2002"}</definedName>
    <definedName name="_______VIR6" hidden="1">{"VIEW1",#N/A,FALSE,"P&amp;L Account 2001-2002";"VIEW2",#N/A,FALSE,"P&amp;L Account 2001-2002";"VIEW3",#N/A,FALSE,"P&amp;L Account 2001-2002";"VIEW4",#N/A,FALSE,"P&amp;L Account 2001-2002"}</definedName>
    <definedName name="_______XL__ENTER_UNIT" localSheetId="11">#REF!</definedName>
    <definedName name="_______XL__ENTER_UNIT" localSheetId="13">#REF!</definedName>
    <definedName name="_______XL__ENTER_UNIT" localSheetId="16">#REF!</definedName>
    <definedName name="_______XL__ENTER_UNIT" localSheetId="26">#REF!</definedName>
    <definedName name="_______XL__ENTER_UNIT" localSheetId="32">#REF!</definedName>
    <definedName name="_______XL__ENTER_UNIT" localSheetId="33">#REF!</definedName>
    <definedName name="_______XL__ENTER_UNIT" localSheetId="34">#REF!</definedName>
    <definedName name="_______XL__ENTER_UNIT" localSheetId="35">#REF!</definedName>
    <definedName name="_______XL__ENTER_UNIT">#REF!</definedName>
    <definedName name="_______za1">#REF!</definedName>
    <definedName name="_______zz1">#REF!</definedName>
    <definedName name="______8749600_Guj_State_energy">#REF!</definedName>
    <definedName name="______A3" localSheetId="0" hidden="1">{"VIEW1",#N/A,FALSE,"P&amp;L Account 2001-2002";"VIEW2",#N/A,FALSE,"P&amp;L Account 2001-2002";"VIEW3",#N/A,FALSE,"P&amp;L Account 2001-2002";"VIEW4",#N/A,FALSE,"P&amp;L Account 2001-2002"}</definedName>
    <definedName name="______A3" hidden="1">{"VIEW1",#N/A,FALSE,"P&amp;L Account 2001-2002";"VIEW2",#N/A,FALSE,"P&amp;L Account 2001-2002";"VIEW3",#N/A,FALSE,"P&amp;L Account 2001-2002";"VIEW4",#N/A,FALSE,"P&amp;L Account 2001-2002"}</definedName>
    <definedName name="______A65600">#REF!</definedName>
    <definedName name="______aa1" localSheetId="25" hidden="1">{#N/A,#N/A,TRUE,"Financials";#N/A,#N/A,TRUE,"Operating Statistics";#N/A,#N/A,TRUE,"Capex &amp; Depreciation";#N/A,#N/A,TRUE,"Debt"}</definedName>
    <definedName name="______aa1" localSheetId="5" hidden="1">{#N/A,#N/A,TRUE,"Financials";#N/A,#N/A,TRUE,"Operating Statistics";#N/A,#N/A,TRUE,"Capex &amp; Depreciation";#N/A,#N/A,TRUE,"Debt"}</definedName>
    <definedName name="______aa1" hidden="1">{#N/A,#N/A,TRUE,"Financials";#N/A,#N/A,TRUE,"Operating Statistics";#N/A,#N/A,TRUE,"Capex &amp; Depreciation";#N/A,#N/A,TRUE,"Debt"}</definedName>
    <definedName name="______AA36" localSheetId="0" hidden="1">{"VIEW1",#N/A,FALSE,"P&amp;L Account 2001-2002";"VIEW2",#N/A,FALSE,"P&amp;L Account 2001-2002";"VIEW3",#N/A,FALSE,"P&amp;L Account 2001-2002";"VIEW4",#N/A,FALSE,"P&amp;L Account 2001-2002"}</definedName>
    <definedName name="______AA36" hidden="1">{"VIEW1",#N/A,FALSE,"P&amp;L Account 2001-2002";"VIEW2",#N/A,FALSE,"P&amp;L Account 2001-2002";"VIEW3",#N/A,FALSE,"P&amp;L Account 2001-2002";"VIEW4",#N/A,FALSE,"P&amp;L Account 2001-2002"}</definedName>
    <definedName name="______acq97">#REF!</definedName>
    <definedName name="______acq98">#REF!</definedName>
    <definedName name="______acq99">#REF!</definedName>
    <definedName name="______ADB1" localSheetId="0">#REF!</definedName>
    <definedName name="______ADB1">#REF!</definedName>
    <definedName name="______amt01">#REF!</definedName>
    <definedName name="______amt94">#REF!</definedName>
    <definedName name="______amt95">#REF!</definedName>
    <definedName name="______amt96">#REF!</definedName>
    <definedName name="______amt97">#REF!</definedName>
    <definedName name="______amt98">#REF!</definedName>
    <definedName name="______amt99">#REF!</definedName>
    <definedName name="______App4">#REF!</definedName>
    <definedName name="______as3" localSheetId="0">#REF!</definedName>
    <definedName name="______as3">#REF!</definedName>
    <definedName name="______boe96">#REF!</definedName>
    <definedName name="______boe97">#REF!</definedName>
    <definedName name="______boe98">#REF!</definedName>
    <definedName name="______boe99">#REF!</definedName>
    <definedName name="______BS1">#REF!</definedName>
    <definedName name="______bs2">#REF!</definedName>
    <definedName name="______BSD1">#REF!</definedName>
    <definedName name="______BSD2">#REF!</definedName>
    <definedName name="______cap97">#REF!</definedName>
    <definedName name="______cap98">#REF!</definedName>
    <definedName name="______ccf93">#REF!</definedName>
    <definedName name="______ccf94">#REF!</definedName>
    <definedName name="______cni93">#REF!</definedName>
    <definedName name="______cni94">#REF!</definedName>
    <definedName name="______D87840">#REF!</definedName>
    <definedName name="______dap25">#REF!</definedName>
    <definedName name="______DAT1">#REF!</definedName>
    <definedName name="______DAT10">#REF!</definedName>
    <definedName name="______DAT11">#REF!</definedName>
    <definedName name="______DAT12" localSheetId="0">#REF!</definedName>
    <definedName name="______DAT12">#REF!</definedName>
    <definedName name="______DAT13" localSheetId="0">#REF!</definedName>
    <definedName name="______DAT13">#REF!</definedName>
    <definedName name="______DAT14">#REF!</definedName>
    <definedName name="______DAT15" localSheetId="0">#REF!</definedName>
    <definedName name="______DAT15">#REF!</definedName>
    <definedName name="______DAT16" localSheetId="0">#REF!</definedName>
    <definedName name="______DAT16">#REF!</definedName>
    <definedName name="______DAT17">#REF!</definedName>
    <definedName name="______DAT18" localSheetId="0">#REF!</definedName>
    <definedName name="______DAT18">#REF!</definedName>
    <definedName name="______DAT19" localSheetId="0">#REF!</definedName>
    <definedName name="______DAT19">#REF!</definedName>
    <definedName name="______DAT2">#REF!</definedName>
    <definedName name="______DAT20" localSheetId="0">#REF!</definedName>
    <definedName name="______DAT20">#REF!</definedName>
    <definedName name="______DAT21" localSheetId="0">#REF!</definedName>
    <definedName name="______DAT21">#REF!</definedName>
    <definedName name="______DAT22" localSheetId="0">#REF!</definedName>
    <definedName name="______DAT22">#REF!</definedName>
    <definedName name="______DAT23" localSheetId="0">#REF!</definedName>
    <definedName name="______DAT23">#REF!</definedName>
    <definedName name="______DAT24" localSheetId="0">#REF!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#REF!</definedName>
    <definedName name="______DAT40">#REF!</definedName>
    <definedName name="______DAT41">#REF!</definedName>
    <definedName name="______DAT5">#REF!</definedName>
    <definedName name="______DAT6">#REF!</definedName>
    <definedName name="______DAT7">#REF!</definedName>
    <definedName name="______DAT8">#REF!</definedName>
    <definedName name="______DAT9">#REF!</definedName>
    <definedName name="______db1" hidden="1">{"'Sheet1'!$A$5:$E$42"}</definedName>
    <definedName name="______DCF95">#REF!</definedName>
    <definedName name="______DCF96">#REF!</definedName>
    <definedName name="______DCF97">#REF!</definedName>
    <definedName name="______div94">#REF!</definedName>
    <definedName name="______div95">#REF!</definedName>
    <definedName name="______div96">#REF!</definedName>
    <definedName name="______div97">#REF!</definedName>
    <definedName name="______div98">#REF!</definedName>
    <definedName name="______EPS95">#REF!</definedName>
    <definedName name="______EPS96">#REF!</definedName>
    <definedName name="______EPS97">#REF!</definedName>
    <definedName name="______FFr98" localSheetId="0">#REF!</definedName>
    <definedName name="______FFr98">#REF!</definedName>
    <definedName name="______FFr99" localSheetId="0">#REF!</definedName>
    <definedName name="______FFr99">#REF!</definedName>
    <definedName name="______G87634">#REF!</definedName>
    <definedName name="______hp10" localSheetId="25" hidden="1">{#N/A,#N/A,TRUE,"Front";#N/A,#N/A,TRUE,"Simple Letter";#N/A,#N/A,TRUE,"Inside";#N/A,#N/A,TRUE,"Contents";#N/A,#N/A,TRUE,"Basis";#N/A,#N/A,TRUE,"Inclusions";#N/A,#N/A,TRUE,"Exclusions";#N/A,#N/A,TRUE,"Areas";#N/A,#N/A,TRUE,"Summary";#N/A,#N/A,TRUE,"Detail"}</definedName>
    <definedName name="______hp10" localSheetId="5" hidden="1">{#N/A,#N/A,TRUE,"Front";#N/A,#N/A,TRUE,"Simple Letter";#N/A,#N/A,TRUE,"Inside";#N/A,#N/A,TRUE,"Contents";#N/A,#N/A,TRUE,"Basis";#N/A,#N/A,TRUE,"Inclusions";#N/A,#N/A,TRUE,"Exclusions";#N/A,#N/A,TRUE,"Areas";#N/A,#N/A,TRUE,"Summary";#N/A,#N/A,TRUE,"Detail"}</definedName>
    <definedName name="______hp10" hidden="1">{#N/A,#N/A,TRUE,"Front";#N/A,#N/A,TRUE,"Simple Letter";#N/A,#N/A,TRUE,"Inside";#N/A,#N/A,TRUE,"Contents";#N/A,#N/A,TRUE,"Basis";#N/A,#N/A,TRUE,"Inclusions";#N/A,#N/A,TRUE,"Exclusions";#N/A,#N/A,TRUE,"Areas";#N/A,#N/A,TRUE,"Summary";#N/A,#N/A,TRUE,"Detail"}</definedName>
    <definedName name="______iea1">#REF!</definedName>
    <definedName name="______iea2">#REF!</definedName>
    <definedName name="______IED1">#REF!</definedName>
    <definedName name="______IED2">#REF!</definedName>
    <definedName name="______IX19">#REF!</definedName>
    <definedName name="______Jet1">#REF!</definedName>
    <definedName name="______Jet2">#REF!</definedName>
    <definedName name="______Jet3">#REF!</definedName>
    <definedName name="______Jet4">#REF!</definedName>
    <definedName name="______kd04">#REF!</definedName>
    <definedName name="______kd05">#REF!</definedName>
    <definedName name="______kd06">#REF!</definedName>
    <definedName name="______kd07">#REF!</definedName>
    <definedName name="______kd08">#REF!</definedName>
    <definedName name="______kd09">#REF!</definedName>
    <definedName name="______kd10">#REF!</definedName>
    <definedName name="______KD11" localSheetId="0">#REF!</definedName>
    <definedName name="______KD11">#REF!</definedName>
    <definedName name="______KD12" localSheetId="0">#REF!</definedName>
    <definedName name="______KD12">#REF!</definedName>
    <definedName name="______KD13" localSheetId="0">#REF!</definedName>
    <definedName name="______KD13">#REF!</definedName>
    <definedName name="______KD14" localSheetId="0">#REF!</definedName>
    <definedName name="______KD14">#REF!</definedName>
    <definedName name="______KD15" localSheetId="0">#REF!</definedName>
    <definedName name="______KD15">#REF!</definedName>
    <definedName name="______KD16" localSheetId="0">#REF!</definedName>
    <definedName name="______KD16">#REF!</definedName>
    <definedName name="______kd17">#REF!</definedName>
    <definedName name="______KD18" localSheetId="0">#REF!</definedName>
    <definedName name="______KD18">#REF!</definedName>
    <definedName name="______kd19">#REF!</definedName>
    <definedName name="______kd20">#REF!</definedName>
    <definedName name="______kd21">#REF!</definedName>
    <definedName name="______kd22">#REF!</definedName>
    <definedName name="______kd23">#REF!</definedName>
    <definedName name="______kd24">#REF!</definedName>
    <definedName name="______kd25">#REF!</definedName>
    <definedName name="______KD5" localSheetId="0">#REF!</definedName>
    <definedName name="______KD5">#REF!</definedName>
    <definedName name="______KD6" localSheetId="0">#REF!</definedName>
    <definedName name="______KD6">#REF!</definedName>
    <definedName name="______KD7" localSheetId="0">#REF!</definedName>
    <definedName name="______KD7">#REF!</definedName>
    <definedName name="______KD8" localSheetId="0">#REF!</definedName>
    <definedName name="______KD8">#REF!</definedName>
    <definedName name="______KD9" localSheetId="0">#REF!</definedName>
    <definedName name="______KD9">#REF!</definedName>
    <definedName name="______Key1">#REF!</definedName>
    <definedName name="______key2" hidden="1">#REF!</definedName>
    <definedName name="______key3">#REF!</definedName>
    <definedName name="______key4">#REF!</definedName>
    <definedName name="______lga94">#REF!</definedName>
    <definedName name="______md12">#REF!</definedName>
    <definedName name="______md13">#REF!</definedName>
    <definedName name="______md14">#REF!</definedName>
    <definedName name="______md15">#REF!</definedName>
    <definedName name="______md2">#REF!</definedName>
    <definedName name="______md3">#REF!</definedName>
    <definedName name="______md4">#REF!</definedName>
    <definedName name="______md5">#REF!</definedName>
    <definedName name="______md6">#REF!</definedName>
    <definedName name="______md7">#REF!</definedName>
    <definedName name="______md8">#REF!</definedName>
    <definedName name="______md9">#REF!</definedName>
    <definedName name="______mul1">#REF!</definedName>
    <definedName name="______Net1">#REF!</definedName>
    <definedName name="______new1">#REF!</definedName>
    <definedName name="______new10">#REF!</definedName>
    <definedName name="______new11">#REF!</definedName>
    <definedName name="______new2">#REF!</definedName>
    <definedName name="______new4">#REF!</definedName>
    <definedName name="______new5">#REF!</definedName>
    <definedName name="______new6">#REF!</definedName>
    <definedName name="______new7">#REF!</definedName>
    <definedName name="______new8">#REF!</definedName>
    <definedName name="______new9">#REF!</definedName>
    <definedName name="______ngl97">#REF!</definedName>
    <definedName name="______ngl98">#REF!</definedName>
    <definedName name="______pc04">#REF!</definedName>
    <definedName name="______Pet1">#REF!</definedName>
    <definedName name="______Pet2">#REF!</definedName>
    <definedName name="______PEX1">#REF!</definedName>
    <definedName name="______pfd98">#REF!</definedName>
    <definedName name="______PG1" localSheetId="0">#REF!</definedName>
    <definedName name="______PG1">#REF!</definedName>
    <definedName name="______PG2">#REF!</definedName>
    <definedName name="______PG3">#REF!</definedName>
    <definedName name="______PG5" localSheetId="0">#REF!</definedName>
    <definedName name="______PG5">#REF!</definedName>
    <definedName name="______pg6" localSheetId="0">#REF!</definedName>
    <definedName name="______pg6">#REF!</definedName>
    <definedName name="______pg7" localSheetId="0">#REF!</definedName>
    <definedName name="______pg7">#REF!</definedName>
    <definedName name="______PL1">#REF!</definedName>
    <definedName name="______PLO1">#REF!</definedName>
    <definedName name="______pr04">#REF!</definedName>
    <definedName name="______pr05">#REF!</definedName>
    <definedName name="______PRN1">#REF!</definedName>
    <definedName name="______PV10">#REF!</definedName>
    <definedName name="______PV2">#REF!</definedName>
    <definedName name="______REV01">#REF!</definedName>
    <definedName name="______SCH1">#REF!</definedName>
    <definedName name="______SCH10">#REF!</definedName>
    <definedName name="______SCH11">#REF!</definedName>
    <definedName name="______SCH12">#REF!</definedName>
    <definedName name="______sch13">#REF!</definedName>
    <definedName name="______SCH2">#REF!</definedName>
    <definedName name="______SCH3">#REF!</definedName>
    <definedName name="______SCH4">#REF!</definedName>
    <definedName name="______SCH5">#REF!</definedName>
    <definedName name="______SCH6" localSheetId="25">#REF!</definedName>
    <definedName name="______SCH6" localSheetId="0">#REF!</definedName>
    <definedName name="______SCH6" localSheetId="11">#REF!</definedName>
    <definedName name="______SCH6" localSheetId="13">#REF!</definedName>
    <definedName name="______SCH6" localSheetId="14">#REF!</definedName>
    <definedName name="______SCH6" localSheetId="43">#REF!</definedName>
    <definedName name="______SCH6" localSheetId="61">#REF!</definedName>
    <definedName name="______SCH6" localSheetId="63">#REF!</definedName>
    <definedName name="______SCH6" localSheetId="64">#REF!</definedName>
    <definedName name="______SCH6" localSheetId="16">#REF!</definedName>
    <definedName name="______SCH6" localSheetId="17">#REF!</definedName>
    <definedName name="______SCH6" localSheetId="26">#REF!</definedName>
    <definedName name="______SCH6" localSheetId="32">#REF!</definedName>
    <definedName name="______SCH6" localSheetId="33">#REF!</definedName>
    <definedName name="______SCH6" localSheetId="34">#REF!</definedName>
    <definedName name="______SCH6" localSheetId="35">#REF!</definedName>
    <definedName name="______SCH6" localSheetId="5">#REF!</definedName>
    <definedName name="______SCH6">#REF!</definedName>
    <definedName name="______SCH7">#REF!</definedName>
    <definedName name="______SCH8">#REF!</definedName>
    <definedName name="______SCH9">#REF!</definedName>
    <definedName name="______sh1">#REF!</definedName>
    <definedName name="______sh2">#REF!</definedName>
    <definedName name="______sh3">#REF!</definedName>
    <definedName name="______sh4">#REF!</definedName>
    <definedName name="______sy14">#REF!</definedName>
    <definedName name="______ts1">#REF!</definedName>
    <definedName name="______ts2">#REF!</definedName>
    <definedName name="______Val1">#REF!</definedName>
    <definedName name="______val2">#REF!</definedName>
    <definedName name="______val3">#REF!</definedName>
    <definedName name="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XL__ENTER_UNIT" localSheetId="11">#REF!</definedName>
    <definedName name="______XL__ENTER_UNIT" localSheetId="13">#REF!</definedName>
    <definedName name="______XL__ENTER_UNIT" localSheetId="16">#REF!</definedName>
    <definedName name="______XL__ENTER_UNIT" localSheetId="26">#REF!</definedName>
    <definedName name="______XL__ENTER_UNIT" localSheetId="32">#REF!</definedName>
    <definedName name="______XL__ENTER_UNIT" localSheetId="33">#REF!</definedName>
    <definedName name="______XL__ENTER_UNIT" localSheetId="34">#REF!</definedName>
    <definedName name="______XL__ENTER_UNIT" localSheetId="35">#REF!</definedName>
    <definedName name="______XL__ENTER_UNIT">#REF!</definedName>
    <definedName name="______za1">#REF!</definedName>
    <definedName name="______zz1">#REF!</definedName>
    <definedName name="_____8749600_Guj_State_energy">#REF!</definedName>
    <definedName name="_____a3" localSheetId="0">#REF!</definedName>
    <definedName name="_____a3">#REF!</definedName>
    <definedName name="_____A65600">#REF!</definedName>
    <definedName name="_____aa1" localSheetId="25" hidden="1">{#N/A,#N/A,TRUE,"Financials";#N/A,#N/A,TRUE,"Operating Statistics";#N/A,#N/A,TRUE,"Capex &amp; Depreciation";#N/A,#N/A,TRUE,"Debt"}</definedName>
    <definedName name="_____aa1" localSheetId="5" hidden="1">{#N/A,#N/A,TRUE,"Financials";#N/A,#N/A,TRUE,"Operating Statistics";#N/A,#N/A,TRUE,"Capex &amp; Depreciation";#N/A,#N/A,TRUE,"Debt"}</definedName>
    <definedName name="_____aa1" hidden="1">{#N/A,#N/A,TRUE,"Financials";#N/A,#N/A,TRUE,"Operating Statistics";#N/A,#N/A,TRUE,"Capex &amp; Depreciation";#N/A,#N/A,TRUE,"Debt"}</definedName>
    <definedName name="_____acq97">#REF!</definedName>
    <definedName name="_____acq98">#REF!</definedName>
    <definedName name="_____acq99">#REF!</definedName>
    <definedName name="_____ADB1" localSheetId="0">#REF!</definedName>
    <definedName name="_____ADB1">#REF!</definedName>
    <definedName name="_____amt01">#REF!</definedName>
    <definedName name="_____amt94">#REF!</definedName>
    <definedName name="_____amt95">#REF!</definedName>
    <definedName name="_____amt96">#REF!</definedName>
    <definedName name="_____amt97">#REF!</definedName>
    <definedName name="_____amt98">#REF!</definedName>
    <definedName name="_____amt99">#REF!</definedName>
    <definedName name="_____App4">#REF!</definedName>
    <definedName name="_____as3" localSheetId="0">#REF!</definedName>
    <definedName name="_____as3">#REF!</definedName>
    <definedName name="_____boe96">#REF!</definedName>
    <definedName name="_____boe97">#REF!</definedName>
    <definedName name="_____boe98">#REF!</definedName>
    <definedName name="_____boe99">#REF!</definedName>
    <definedName name="_____BS1">#REF!</definedName>
    <definedName name="_____bs2">#REF!</definedName>
    <definedName name="_____BSD1">#REF!</definedName>
    <definedName name="_____BSD2">#REF!</definedName>
    <definedName name="_____cap95">#REF!</definedName>
    <definedName name="_____cap96">#REF!</definedName>
    <definedName name="_____cap97">#REF!</definedName>
    <definedName name="_____cap98">#REF!</definedName>
    <definedName name="_____cat12" localSheetId="25" hidden="1">{#N/A,#N/A,TRUE,"Front";#N/A,#N/A,TRUE,"Simple Letter";#N/A,#N/A,TRUE,"Inside";#N/A,#N/A,TRUE,"Contents";#N/A,#N/A,TRUE,"Basis";#N/A,#N/A,TRUE,"Inclusions";#N/A,#N/A,TRUE,"Exclusions";#N/A,#N/A,TRUE,"Areas";#N/A,#N/A,TRUE,"Summary";#N/A,#N/A,TRUE,"Detail"}</definedName>
    <definedName name="_____cat12" localSheetId="5" hidden="1">{#N/A,#N/A,TRUE,"Front";#N/A,#N/A,TRUE,"Simple Letter";#N/A,#N/A,TRUE,"Inside";#N/A,#N/A,TRUE,"Contents";#N/A,#N/A,TRUE,"Basis";#N/A,#N/A,TRUE,"Inclusions";#N/A,#N/A,TRUE,"Exclusions";#N/A,#N/A,TRUE,"Areas";#N/A,#N/A,TRUE,"Summary";#N/A,#N/A,TRUE,"Detail"}</definedName>
    <definedName name="_____cat12" hidden="1">{#N/A,#N/A,TRUE,"Front";#N/A,#N/A,TRUE,"Simple Letter";#N/A,#N/A,TRUE,"Inside";#N/A,#N/A,TRUE,"Contents";#N/A,#N/A,TRUE,"Basis";#N/A,#N/A,TRUE,"Inclusions";#N/A,#N/A,TRUE,"Exclusions";#N/A,#N/A,TRUE,"Areas";#N/A,#N/A,TRUE,"Summary";#N/A,#N/A,TRUE,"Detail"}</definedName>
    <definedName name="_____ccf93">#REF!</definedName>
    <definedName name="_____ccf94">#REF!</definedName>
    <definedName name="_____cni93">#REF!</definedName>
    <definedName name="_____cni94">#REF!</definedName>
    <definedName name="_____D87840">#REF!</definedName>
    <definedName name="_____dap20">#REF!</definedName>
    <definedName name="_____dap25">#REF!</definedName>
    <definedName name="_____DAT1">#REF!</definedName>
    <definedName name="_____DAT10">#REF!</definedName>
    <definedName name="_____DAT11">#REF!</definedName>
    <definedName name="_____DAT12" localSheetId="0">#REF!</definedName>
    <definedName name="_____DAT12">#REF!</definedName>
    <definedName name="_____DAT13" localSheetId="0">#REF!</definedName>
    <definedName name="_____DAT13">#REF!</definedName>
    <definedName name="_____DAT14">#REF!</definedName>
    <definedName name="_____DAT15" localSheetId="0">#REF!</definedName>
    <definedName name="_____DAT15">#REF!</definedName>
    <definedName name="_____DAT16" localSheetId="0">#REF!</definedName>
    <definedName name="_____DAT16">#REF!</definedName>
    <definedName name="_____DAT17">#REF!</definedName>
    <definedName name="_____DAT18" localSheetId="0">#REF!</definedName>
    <definedName name="_____DAT18">#REF!</definedName>
    <definedName name="_____DAT19" localSheetId="0">#REF!</definedName>
    <definedName name="_____DAT19">#REF!</definedName>
    <definedName name="_____DAT2">#REF!</definedName>
    <definedName name="_____DAT20" localSheetId="0">#REF!</definedName>
    <definedName name="_____DAT20">#REF!</definedName>
    <definedName name="_____DAT21" localSheetId="0">#REF!</definedName>
    <definedName name="_____DAT21">#REF!</definedName>
    <definedName name="_____DAT22" localSheetId="0">#REF!</definedName>
    <definedName name="_____DAT22">#REF!</definedName>
    <definedName name="_____DAT23" localSheetId="0">#REF!</definedName>
    <definedName name="_____DAT23">#REF!</definedName>
    <definedName name="_____DAT24" localSheetId="0">#REF!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cf1" hidden="1">#REF!</definedName>
    <definedName name="_____DCF95">#REF!</definedName>
    <definedName name="_____DCF96">#REF!</definedName>
    <definedName name="_____DCF97">#REF!</definedName>
    <definedName name="_____div94">#REF!</definedName>
    <definedName name="_____div95">#REF!</definedName>
    <definedName name="_____div96">#REF!</definedName>
    <definedName name="_____div97">#REF!</definedName>
    <definedName name="_____div98">#REF!</definedName>
    <definedName name="_____EPS94">#REF!</definedName>
    <definedName name="_____EPS95">#REF!</definedName>
    <definedName name="_____EPS96">#REF!</definedName>
    <definedName name="_____EPS97">#REF!</definedName>
    <definedName name="_____Exp1">#REF!</definedName>
    <definedName name="_____exp2" localSheetId="0" hidden="1">{"VIEW1",#N/A,FALSE,"P&amp;L Account 2001-2002";"VIEW2",#N/A,FALSE,"P&amp;L Account 2001-2002";"VIEW3",#N/A,FALSE,"P&amp;L Account 2001-2002";"VIEW4",#N/A,FALSE,"P&amp;L Account 2001-2002"}</definedName>
    <definedName name="_____exp2" hidden="1">{"VIEW1",#N/A,FALSE,"P&amp;L Account 2001-2002";"VIEW2",#N/A,FALSE,"P&amp;L Account 2001-2002";"VIEW3",#N/A,FALSE,"P&amp;L Account 2001-2002";"VIEW4",#N/A,FALSE,"P&amp;L Account 2001-2002"}</definedName>
    <definedName name="_____Feb06" localSheetId="25" hidden="1">{#N/A,#N/A,TRUE,"Front";#N/A,#N/A,TRUE,"Simple Letter";#N/A,#N/A,TRUE,"Inside";#N/A,#N/A,TRUE,"Contents";#N/A,#N/A,TRUE,"Basis";#N/A,#N/A,TRUE,"Inclusions";#N/A,#N/A,TRUE,"Exclusions";#N/A,#N/A,TRUE,"Areas";#N/A,#N/A,TRUE,"Summary";#N/A,#N/A,TRUE,"Detail"}</definedName>
    <definedName name="_____Feb06" localSheetId="5" hidden="1">{#N/A,#N/A,TRUE,"Front";#N/A,#N/A,TRUE,"Simple Letter";#N/A,#N/A,TRUE,"Inside";#N/A,#N/A,TRUE,"Contents";#N/A,#N/A,TRUE,"Basis";#N/A,#N/A,TRUE,"Inclusions";#N/A,#N/A,TRUE,"Exclusions";#N/A,#N/A,TRUE,"Areas";#N/A,#N/A,TRUE,"Summary";#N/A,#N/A,TRUE,"Detail"}</definedName>
    <definedName name="_____Feb06" hidden="1">{#N/A,#N/A,TRUE,"Front";#N/A,#N/A,TRUE,"Simple Letter";#N/A,#N/A,TRUE,"Inside";#N/A,#N/A,TRUE,"Contents";#N/A,#N/A,TRUE,"Basis";#N/A,#N/A,TRUE,"Inclusions";#N/A,#N/A,TRUE,"Exclusions";#N/A,#N/A,TRUE,"Areas";#N/A,#N/A,TRUE,"Summary";#N/A,#N/A,TRUE,"Detail"}</definedName>
    <definedName name="_____FFr98" localSheetId="0">#REF!</definedName>
    <definedName name="_____FFr98">#REF!</definedName>
    <definedName name="_____FFr99" localSheetId="0">#REF!</definedName>
    <definedName name="_____FFr99">#REF!</definedName>
    <definedName name="_____FSE8" localSheetId="0" hidden="1">{"VIEW1",#N/A,FALSE,"P&amp;L Account 2001-2002";"VIEW2",#N/A,FALSE,"P&amp;L Account 2001-2002";"VIEW3",#N/A,FALSE,"P&amp;L Account 2001-2002";"VIEW4",#N/A,FALSE,"P&amp;L Account 2001-2002"}</definedName>
    <definedName name="_____FSE8" hidden="1">{"VIEW1",#N/A,FALSE,"P&amp;L Account 2001-2002";"VIEW2",#N/A,FALSE,"P&amp;L Account 2001-2002";"VIEW3",#N/A,FALSE,"P&amp;L Account 2001-2002";"VIEW4",#N/A,FALSE,"P&amp;L Account 2001-2002"}</definedName>
    <definedName name="_____G87634">#REF!</definedName>
    <definedName name="_____hp10" localSheetId="25" hidden="1">{#N/A,#N/A,TRUE,"Front";#N/A,#N/A,TRUE,"Simple Letter";#N/A,#N/A,TRUE,"Inside";#N/A,#N/A,TRUE,"Contents";#N/A,#N/A,TRUE,"Basis";#N/A,#N/A,TRUE,"Inclusions";#N/A,#N/A,TRUE,"Exclusions";#N/A,#N/A,TRUE,"Areas";#N/A,#N/A,TRUE,"Summary";#N/A,#N/A,TRUE,"Detail"}</definedName>
    <definedName name="_____hp10" localSheetId="5" hidden="1">{#N/A,#N/A,TRUE,"Front";#N/A,#N/A,TRUE,"Simple Letter";#N/A,#N/A,TRUE,"Inside";#N/A,#N/A,TRUE,"Contents";#N/A,#N/A,TRUE,"Basis";#N/A,#N/A,TRUE,"Inclusions";#N/A,#N/A,TRUE,"Exclusions";#N/A,#N/A,TRUE,"Areas";#N/A,#N/A,TRUE,"Summary";#N/A,#N/A,TRUE,"Detail"}</definedName>
    <definedName name="_____hp10" hidden="1">{#N/A,#N/A,TRUE,"Front";#N/A,#N/A,TRUE,"Simple Letter";#N/A,#N/A,TRUE,"Inside";#N/A,#N/A,TRUE,"Contents";#N/A,#N/A,TRUE,"Basis";#N/A,#N/A,TRUE,"Inclusions";#N/A,#N/A,TRUE,"Exclusions";#N/A,#N/A,TRUE,"Areas";#N/A,#N/A,TRUE,"Summary";#N/A,#N/A,TRUE,"Detail"}</definedName>
    <definedName name="_____iea1">#REF!</definedName>
    <definedName name="_____iea2">#REF!</definedName>
    <definedName name="_____IED1">#REF!</definedName>
    <definedName name="_____IED2">#REF!</definedName>
    <definedName name="_____IX19">#REF!</definedName>
    <definedName name="_____Jet1">#REF!</definedName>
    <definedName name="_____Jet2">#REF!</definedName>
    <definedName name="_____Jet3">#REF!</definedName>
    <definedName name="_____Jet4">#REF!</definedName>
    <definedName name="_____kd04">#REF!</definedName>
    <definedName name="_____kd05">#REF!</definedName>
    <definedName name="_____kd06">#REF!</definedName>
    <definedName name="_____kd07">#REF!</definedName>
    <definedName name="_____kd08">#REF!</definedName>
    <definedName name="_____kd09">#REF!</definedName>
    <definedName name="_____kd10">#REF!</definedName>
    <definedName name="_____KD11" localSheetId="0">#REF!</definedName>
    <definedName name="_____KD11">#REF!</definedName>
    <definedName name="_____KD12" localSheetId="0">#REF!</definedName>
    <definedName name="_____KD12">#REF!</definedName>
    <definedName name="_____KD13" localSheetId="0">#REF!</definedName>
    <definedName name="_____KD13">#REF!</definedName>
    <definedName name="_____KD14" localSheetId="0">#REF!</definedName>
    <definedName name="_____KD14">#REF!</definedName>
    <definedName name="_____KD15" localSheetId="0">#REF!</definedName>
    <definedName name="_____KD15">#REF!</definedName>
    <definedName name="_____KD16" localSheetId="0">#REF!</definedName>
    <definedName name="_____KD16">#REF!</definedName>
    <definedName name="_____kd17">#REF!</definedName>
    <definedName name="_____KD18" localSheetId="0">#REF!</definedName>
    <definedName name="_____KD18">#REF!</definedName>
    <definedName name="_____kd19">#REF!</definedName>
    <definedName name="_____kd20">#REF!</definedName>
    <definedName name="_____kd21">#REF!</definedName>
    <definedName name="_____kd22">#REF!</definedName>
    <definedName name="_____kd23">#REF!</definedName>
    <definedName name="_____kd24">#REF!</definedName>
    <definedName name="_____kd25">#REF!</definedName>
    <definedName name="_____KD5" localSheetId="0">#REF!</definedName>
    <definedName name="_____KD5">#REF!</definedName>
    <definedName name="_____KD6" localSheetId="0">#REF!</definedName>
    <definedName name="_____KD6">#REF!</definedName>
    <definedName name="_____KD7" localSheetId="0">#REF!</definedName>
    <definedName name="_____KD7">#REF!</definedName>
    <definedName name="_____KD8" localSheetId="0">#REF!</definedName>
    <definedName name="_____KD8">#REF!</definedName>
    <definedName name="_____KD9" localSheetId="0">#REF!</definedName>
    <definedName name="_____KD9">#REF!</definedName>
    <definedName name="_____Key1">#REF!</definedName>
    <definedName name="_____key2" hidden="1">#REF!</definedName>
    <definedName name="_____key3">#REF!</definedName>
    <definedName name="_____key4">#REF!</definedName>
    <definedName name="_____MC2">#REF!</definedName>
    <definedName name="_____md12">#REF!</definedName>
    <definedName name="_____md13">#REF!</definedName>
    <definedName name="_____md14">#REF!</definedName>
    <definedName name="_____md15">#REF!</definedName>
    <definedName name="_____md2">#REF!</definedName>
    <definedName name="_____md3">#REF!</definedName>
    <definedName name="_____md4">#REF!</definedName>
    <definedName name="_____md5">#REF!</definedName>
    <definedName name="_____md6">#REF!</definedName>
    <definedName name="_____md7">#REF!</definedName>
    <definedName name="_____md8">#REF!</definedName>
    <definedName name="_____md9">#REF!</definedName>
    <definedName name="_____MPR2">#N/A</definedName>
    <definedName name="_____MPR3">#N/A</definedName>
    <definedName name="_____mul1">#REF!</definedName>
    <definedName name="_____NCS111" localSheetId="0">#REF!</definedName>
    <definedName name="_____NCS111">#REF!</definedName>
    <definedName name="_____Net1">#REF!</definedName>
    <definedName name="_____NEW1" localSheetId="0" hidden="1">{"VIEW1",#N/A,FALSE,"P&amp;L Account 2001-2002";"VIEW2",#N/A,FALSE,"P&amp;L Account 2001-2002";"VIEW3",#N/A,FALSE,"P&amp;L Account 2001-2002";"VIEW4",#N/A,FALSE,"P&amp;L Account 2001-2002"}</definedName>
    <definedName name="_____NEW1" hidden="1">{"VIEW1",#N/A,FALSE,"P&amp;L Account 2001-2002";"VIEW2",#N/A,FALSE,"P&amp;L Account 2001-2002";"VIEW3",#N/A,FALSE,"P&amp;L Account 2001-2002";"VIEW4",#N/A,FALSE,"P&amp;L Account 2001-2002"}</definedName>
    <definedName name="_____new10">#REF!</definedName>
    <definedName name="_____new11">#REF!</definedName>
    <definedName name="_____new2" localSheetId="0">#REF!</definedName>
    <definedName name="_____NEW2" hidden="1">{"VIEW1",#N/A,FALSE,"P&amp;L Account 2001-2002";"VIEW2",#N/A,FALSE,"P&amp;L Account 2001-2002";"VIEW3",#N/A,FALSE,"P&amp;L Account 2001-2002";"VIEW4",#N/A,FALSE,"P&amp;L Account 2001-2002"}</definedName>
    <definedName name="_____new4">#REF!</definedName>
    <definedName name="_____new5">#REF!</definedName>
    <definedName name="_____new6">#REF!</definedName>
    <definedName name="_____new7">#REF!</definedName>
    <definedName name="_____new8">#REF!</definedName>
    <definedName name="_____new9">#REF!</definedName>
    <definedName name="_____ngl97">#REF!</definedName>
    <definedName name="_____ngl98">#REF!</definedName>
    <definedName name="_____NSO2" localSheetId="25" hidden="1">{"'Sheet1'!$L$16"}</definedName>
    <definedName name="_____NSO2" localSheetId="5" hidden="1">{"'Sheet1'!$L$16"}</definedName>
    <definedName name="_____NSO2" hidden="1">{"'Sheet1'!$L$16"}</definedName>
    <definedName name="_____OLD2" hidden="1">#REF!</definedName>
    <definedName name="_____pc04">#REF!</definedName>
    <definedName name="_____Pet1">#REF!</definedName>
    <definedName name="_____Pet2">#REF!</definedName>
    <definedName name="_____pfd98">#REF!</definedName>
    <definedName name="_____PG1" localSheetId="0">#REF!</definedName>
    <definedName name="_____PG1">#REF!</definedName>
    <definedName name="_____PG2">#REF!</definedName>
    <definedName name="_____PG3">#REF!</definedName>
    <definedName name="_____PG5" localSheetId="0">#REF!</definedName>
    <definedName name="_____PG5">#REF!</definedName>
    <definedName name="_____pg6" localSheetId="0">#REF!</definedName>
    <definedName name="_____pg6">#REF!</definedName>
    <definedName name="_____pg7" localSheetId="0">#REF!</definedName>
    <definedName name="_____pg7">#REF!</definedName>
    <definedName name="_____PL1">#REF!</definedName>
    <definedName name="_____pr04">#REF!</definedName>
    <definedName name="_____pr05">#REF!</definedName>
    <definedName name="_____PRO3">#REF!</definedName>
    <definedName name="_____PRO4">#REF!</definedName>
    <definedName name="_____PRO5">#REF!</definedName>
    <definedName name="_____PV1">#REF!</definedName>
    <definedName name="_____PV10">#REF!</definedName>
    <definedName name="_____REV01">#REF!</definedName>
    <definedName name="_____s3" localSheetId="0" hidden="1">{"VIEW1",#N/A,FALSE,"P&amp;L Account 2001-2002";"VIEW2",#N/A,FALSE,"P&amp;L Account 2001-2002";"VIEW3",#N/A,FALSE,"P&amp;L Account 2001-2002";"VIEW4",#N/A,FALSE,"P&amp;L Account 2001-2002"}</definedName>
    <definedName name="_____s3" hidden="1">{"VIEW1",#N/A,FALSE,"P&amp;L Account 2001-2002";"VIEW2",#N/A,FALSE,"P&amp;L Account 2001-2002";"VIEW3",#N/A,FALSE,"P&amp;L Account 2001-2002";"VIEW4",#N/A,FALSE,"P&amp;L Account 2001-2002"}</definedName>
    <definedName name="_____S5" localSheetId="0" hidden="1">{"VIEW1",#N/A,FALSE,"P&amp;L Account 2001-2002";"VIEW2",#N/A,FALSE,"P&amp;L Account 2001-2002";"VIEW3",#N/A,FALSE,"P&amp;L Account 2001-2002";"VIEW4",#N/A,FALSE,"P&amp;L Account 2001-2002"}</definedName>
    <definedName name="_____S5" hidden="1">{"VIEW1",#N/A,FALSE,"P&amp;L Account 2001-2002";"VIEW2",#N/A,FALSE,"P&amp;L Account 2001-2002";"VIEW3",#N/A,FALSE,"P&amp;L Account 2001-2002";"VIEW4",#N/A,FALSE,"P&amp;L Account 2001-2002"}</definedName>
    <definedName name="_____SC011">#REF!</definedName>
    <definedName name="_____SC034">#REF!</definedName>
    <definedName name="_____SC043">#REF!</definedName>
    <definedName name="_____SC068">#REF!</definedName>
    <definedName name="_____SC160">#REF!</definedName>
    <definedName name="_____SC211">#REF!</definedName>
    <definedName name="_____SC212">#REF!</definedName>
    <definedName name="_____SC213">#REF!</definedName>
    <definedName name="_____SC225">#REF!</definedName>
    <definedName name="_____SC268">#REF!</definedName>
    <definedName name="_____SC272">#REF!</definedName>
    <definedName name="_____SC274">#REF!</definedName>
    <definedName name="_____SC276">#REF!</definedName>
    <definedName name="_____SC279">#REF!</definedName>
    <definedName name="_____SC280">#REF!</definedName>
    <definedName name="_____SC281">#REF!</definedName>
    <definedName name="_____SC314">#REF!</definedName>
    <definedName name="_____SC315">#REF!</definedName>
    <definedName name="_____SC341">#REF!</definedName>
    <definedName name="_____SC376">#REF!</definedName>
    <definedName name="_____SC383">#REF!</definedName>
    <definedName name="_____SC384">#REF!</definedName>
    <definedName name="_____SC412">#REF!</definedName>
    <definedName name="_____SC444">#REF!</definedName>
    <definedName name="_____SC506">#REF!</definedName>
    <definedName name="_____SC581">#REF!</definedName>
    <definedName name="_____SC591">#REF!</definedName>
    <definedName name="_____SC592">#REF!</definedName>
    <definedName name="_____SC593">#REF!</definedName>
    <definedName name="_____SC594">#REF!</definedName>
    <definedName name="_____SC595">#REF!</definedName>
    <definedName name="_____SC597">#REF!</definedName>
    <definedName name="_____SC598">#REF!</definedName>
    <definedName name="_____SCG011">#REF!</definedName>
    <definedName name="_____SCG034">#REF!</definedName>
    <definedName name="_____SCG043">#REF!</definedName>
    <definedName name="_____SCG068">#REF!</definedName>
    <definedName name="_____SCG160">#REF!</definedName>
    <definedName name="_____SCG211">#REF!</definedName>
    <definedName name="_____SCG212">#REF!</definedName>
    <definedName name="_____SCG213">#REF!</definedName>
    <definedName name="_____SCG225">#REF!</definedName>
    <definedName name="_____SCG268">#REF!</definedName>
    <definedName name="_____SCG272">#REF!</definedName>
    <definedName name="_____SCG274">#REF!</definedName>
    <definedName name="_____SCG276">#REF!</definedName>
    <definedName name="_____SCG279">#REF!</definedName>
    <definedName name="_____SCG280">#REF!</definedName>
    <definedName name="_____SCG281">#REF!</definedName>
    <definedName name="_____SCG314">#REF!</definedName>
    <definedName name="_____SCG315">#REF!</definedName>
    <definedName name="_____SCG341">#REF!</definedName>
    <definedName name="_____SCG376">#REF!</definedName>
    <definedName name="_____SCG383">#REF!</definedName>
    <definedName name="_____SCG384">#REF!</definedName>
    <definedName name="_____SCG412">#REF!</definedName>
    <definedName name="_____SCG444">#REF!</definedName>
    <definedName name="_____SCG506">#REF!</definedName>
    <definedName name="_____SCG581">#REF!</definedName>
    <definedName name="_____SCG591">#REF!</definedName>
    <definedName name="_____SCG592">#REF!</definedName>
    <definedName name="_____SCG593">#REF!</definedName>
    <definedName name="_____SCG594">#REF!</definedName>
    <definedName name="_____SCG595">#REF!</definedName>
    <definedName name="_____SCG597">#REF!</definedName>
    <definedName name="_____SCG598">#REF!</definedName>
    <definedName name="_____SCH1">#REF!</definedName>
    <definedName name="_____SCH10">#REF!</definedName>
    <definedName name="_____SCH11">#REF!</definedName>
    <definedName name="_____SCH12">#REF!</definedName>
    <definedName name="_____sch13">#REF!</definedName>
    <definedName name="_____SCH2">#REF!</definedName>
    <definedName name="_____SCH3">#REF!</definedName>
    <definedName name="_____SCH4">#REF!</definedName>
    <definedName name="_____SCH5">#REF!</definedName>
    <definedName name="_____SCH6" localSheetId="25">#REF!</definedName>
    <definedName name="_____SCH6" localSheetId="0">#REF!</definedName>
    <definedName name="_____SCH6" localSheetId="11">#REF!</definedName>
    <definedName name="_____SCH6" localSheetId="13">#REF!</definedName>
    <definedName name="_____SCH6" localSheetId="14">#REF!</definedName>
    <definedName name="_____SCH6" localSheetId="43">#REF!</definedName>
    <definedName name="_____SCH6" localSheetId="61">#REF!</definedName>
    <definedName name="_____SCH6" localSheetId="63">#REF!</definedName>
    <definedName name="_____SCH6" localSheetId="64">#REF!</definedName>
    <definedName name="_____SCH6" localSheetId="16">#REF!</definedName>
    <definedName name="_____SCH6" localSheetId="17">#REF!</definedName>
    <definedName name="_____SCH6" localSheetId="26">#REF!</definedName>
    <definedName name="_____SCH6" localSheetId="32">#REF!</definedName>
    <definedName name="_____SCH6" localSheetId="33">#REF!</definedName>
    <definedName name="_____SCH6" localSheetId="34">#REF!</definedName>
    <definedName name="_____SCH6" localSheetId="35">#REF!</definedName>
    <definedName name="_____SCH6" localSheetId="5">#REF!</definedName>
    <definedName name="_____SCH6">#REF!</definedName>
    <definedName name="_____SCH7">#REF!</definedName>
    <definedName name="_____SCH8">#REF!</definedName>
    <definedName name="_____SCH9">#REF!</definedName>
    <definedName name="_____sh1">#REF!</definedName>
    <definedName name="_____sh2">#REF!</definedName>
    <definedName name="_____sh3">#REF!</definedName>
    <definedName name="_____sh4">#REF!</definedName>
    <definedName name="_____sy14">#REF!</definedName>
    <definedName name="_____TOT1">#REF!</definedName>
    <definedName name="_____TOT2">#REF!</definedName>
    <definedName name="_____tp1">#REF!</definedName>
    <definedName name="_____ts1">#REF!</definedName>
    <definedName name="_____ts2">#REF!</definedName>
    <definedName name="_____USD1" localSheetId="0">#REF!</definedName>
    <definedName name="_____USD1">#REF!</definedName>
    <definedName name="_____USD2" localSheetId="0">#REF!</definedName>
    <definedName name="_____USD2">#REF!</definedName>
    <definedName name="_____USD3" localSheetId="0">#REF!</definedName>
    <definedName name="_____USD3">#REF!</definedName>
    <definedName name="_____Val1">#REF!</definedName>
    <definedName name="_____val2">#REF!</definedName>
    <definedName name="_____val3">#REF!</definedName>
    <definedName name="_____vid5" localSheetId="0" hidden="1">{"VIEW1",#N/A,FALSE,"P&amp;L Account 2001-2002";"VIEW2",#N/A,FALSE,"P&amp;L Account 2001-2002";"VIEW3",#N/A,FALSE,"P&amp;L Account 2001-2002";"VIEW4",#N/A,FALSE,"P&amp;L Account 2001-2002"}</definedName>
    <definedName name="_____vid5" hidden="1">{"VIEW1",#N/A,FALSE,"P&amp;L Account 2001-2002";"VIEW2",#N/A,FALSE,"P&amp;L Account 2001-2002";"VIEW3",#N/A,FALSE,"P&amp;L Account 2001-2002";"VIEW4",#N/A,FALSE,"P&amp;L Account 2001-2002"}</definedName>
    <definedName name="_____vid6" localSheetId="0" hidden="1">{"VIEW1",#N/A,FALSE,"P&amp;L Account 2001-2002";"VIEW2",#N/A,FALSE,"P&amp;L Account 2001-2002";"VIEW3",#N/A,FALSE,"P&amp;L Account 2001-2002";"VIEW4",#N/A,FALSE,"P&amp;L Account 2001-2002"}</definedName>
    <definedName name="_____vid6" hidden="1">{"VIEW1",#N/A,FALSE,"P&amp;L Account 2001-2002";"VIEW2",#N/A,FALSE,"P&amp;L Account 2001-2002";"VIEW3",#N/A,FALSE,"P&amp;L Account 2001-2002";"VIEW4",#N/A,FALSE,"P&amp;L Account 2001-2002"}</definedName>
    <definedName name="_____VID7" localSheetId="0" hidden="1">{"VIEW1",#N/A,FALSE,"P&amp;L Account 2001-2002";"VIEW2",#N/A,FALSE,"P&amp;L Account 2001-2002";"VIEW3",#N/A,FALSE,"P&amp;L Account 2001-2002";"VIEW4",#N/A,FALSE,"P&amp;L Account 2001-2002"}</definedName>
    <definedName name="_____VID7" hidden="1">{"VIEW1",#N/A,FALSE,"P&amp;L Account 2001-2002";"VIEW2",#N/A,FALSE,"P&amp;L Account 2001-2002";"VIEW3",#N/A,FALSE,"P&amp;L Account 2001-2002";"VIEW4",#N/A,FALSE,"P&amp;L Account 2001-2002"}</definedName>
    <definedName name="_____VIR5" localSheetId="0" hidden="1">{"VIEW1",#N/A,FALSE,"P&amp;L Account 2001-2002";"VIEW2",#N/A,FALSE,"P&amp;L Account 2001-2002";"VIEW3",#N/A,FALSE,"P&amp;L Account 2001-2002";"VIEW4",#N/A,FALSE,"P&amp;L Account 2001-2002"}</definedName>
    <definedName name="_____VIR5" hidden="1">{"VIEW1",#N/A,FALSE,"P&amp;L Account 2001-2002";"VIEW2",#N/A,FALSE,"P&amp;L Account 2001-2002";"VIEW3",#N/A,FALSE,"P&amp;L Account 2001-2002";"VIEW4",#N/A,FALSE,"P&amp;L Account 2001-2002"}</definedName>
    <definedName name="_____VIR6" localSheetId="0" hidden="1">{"VIEW1",#N/A,FALSE,"P&amp;L Account 2001-2002";"VIEW2",#N/A,FALSE,"P&amp;L Account 2001-2002";"VIEW3",#N/A,FALSE,"P&amp;L Account 2001-2002";"VIEW4",#N/A,FALSE,"P&amp;L Account 2001-2002"}</definedName>
    <definedName name="_____VIR6" hidden="1">{"VIEW1",#N/A,FALSE,"P&amp;L Account 2001-2002";"VIEW2",#N/A,FALSE,"P&amp;L Account 2001-2002";"VIEW3",#N/A,FALSE,"P&amp;L Account 2001-2002";"VIEW4",#N/A,FALSE,"P&amp;L Account 2001-2002"}</definedName>
    <definedName name="_____XL__ENTER_UNIT">#REF!</definedName>
    <definedName name="_____xx500">#REF!</definedName>
    <definedName name="_____za1">#REF!</definedName>
    <definedName name="_____zz1">#REF!</definedName>
    <definedName name="____10GOTO_I_A1">#REF!</definedName>
    <definedName name="____11GOTO_J_A1">#REF!</definedName>
    <definedName name="____12GOTO_K_A30">#REF!</definedName>
    <definedName name="____1GOTO_A_A207">#REF!</definedName>
    <definedName name="____2GOTO_A_A501">#REF!</definedName>
    <definedName name="____3GOTO_A_A952">#REF!</definedName>
    <definedName name="____4GOTO_B_A1">#REF!</definedName>
    <definedName name="____5GOTO_B_A189">#REF!</definedName>
    <definedName name="____6GOTO_B_A536">#REF!</definedName>
    <definedName name="____7GOTO_C_A1">#REF!</definedName>
    <definedName name="____8749600_Guj_State_energy">#REF!</definedName>
    <definedName name="____8GOTO_E_A1">#REF!</definedName>
    <definedName name="____9GOTO_G_A1">#REF!</definedName>
    <definedName name="____a3" localSheetId="0">#REF!</definedName>
    <definedName name="____A3" hidden="1">{"VIEW1",#N/A,FALSE,"P&amp;L Account 2001-2002";"VIEW2",#N/A,FALSE,"P&amp;L Account 2001-2002";"VIEW3",#N/A,FALSE,"P&amp;L Account 2001-2002";"VIEW4",#N/A,FALSE,"P&amp;L Account 2001-2002"}</definedName>
    <definedName name="____A65600">#REF!</definedName>
    <definedName name="____aa1" localSheetId="25" hidden="1">{#N/A,#N/A,TRUE,"Financials";#N/A,#N/A,TRUE,"Operating Statistics";#N/A,#N/A,TRUE,"Capex &amp; Depreciation";#N/A,#N/A,TRUE,"Debt"}</definedName>
    <definedName name="____aa1" localSheetId="5" hidden="1">{#N/A,#N/A,TRUE,"Financials";#N/A,#N/A,TRUE,"Operating Statistics";#N/A,#N/A,TRUE,"Capex &amp; Depreciation";#N/A,#N/A,TRUE,"Debt"}</definedName>
    <definedName name="____aa1" hidden="1">{#N/A,#N/A,TRUE,"Financials";#N/A,#N/A,TRUE,"Operating Statistics";#N/A,#N/A,TRUE,"Capex &amp; Depreciation";#N/A,#N/A,TRUE,"Debt"}</definedName>
    <definedName name="____AA36" localSheetId="0" hidden="1">{"VIEW1",#N/A,FALSE,"P&amp;L Account 2001-2002";"VIEW2",#N/A,FALSE,"P&amp;L Account 2001-2002";"VIEW3",#N/A,FALSE,"P&amp;L Account 2001-2002";"VIEW4",#N/A,FALSE,"P&amp;L Account 2001-2002"}</definedName>
    <definedName name="____AA36" hidden="1">{"VIEW1",#N/A,FALSE,"P&amp;L Account 2001-2002";"VIEW2",#N/A,FALSE,"P&amp;L Account 2001-2002";"VIEW3",#N/A,FALSE,"P&amp;L Account 2001-2002";"VIEW4",#N/A,FALSE,"P&amp;L Account 2001-2002"}</definedName>
    <definedName name="____AAA1">#REF!</definedName>
    <definedName name="____acq97">#REF!</definedName>
    <definedName name="____acq98">#REF!</definedName>
    <definedName name="____acq99">#REF!</definedName>
    <definedName name="____ADB1" localSheetId="0">#REF!</definedName>
    <definedName name="____ADB1">#REF!</definedName>
    <definedName name="____amt01">#REF!</definedName>
    <definedName name="____amt94">#REF!</definedName>
    <definedName name="____amt95">#REF!</definedName>
    <definedName name="____amt96">#REF!</definedName>
    <definedName name="____amt97">#REF!</definedName>
    <definedName name="____amt98">#REF!</definedName>
    <definedName name="____amt99">#REF!</definedName>
    <definedName name="____App4">#REF!</definedName>
    <definedName name="____as3" localSheetId="0">#REF!</definedName>
    <definedName name="____as3">#REF!</definedName>
    <definedName name="____boe96">#REF!</definedName>
    <definedName name="____boe97">#REF!</definedName>
    <definedName name="____boe98">#REF!</definedName>
    <definedName name="____boe99">#REF!</definedName>
    <definedName name="____BS1">#REF!</definedName>
    <definedName name="____bs2">#REF!</definedName>
    <definedName name="____BSD1">#REF!</definedName>
    <definedName name="____BSD2">#REF!</definedName>
    <definedName name="____cap95">#REF!</definedName>
    <definedName name="____cap96">#REF!</definedName>
    <definedName name="____cap97">#REF!</definedName>
    <definedName name="____cap98">#REF!</definedName>
    <definedName name="____cat12" localSheetId="25" hidden="1">{#N/A,#N/A,TRUE,"Front";#N/A,#N/A,TRUE,"Simple Letter";#N/A,#N/A,TRUE,"Inside";#N/A,#N/A,TRUE,"Contents";#N/A,#N/A,TRUE,"Basis";#N/A,#N/A,TRUE,"Inclusions";#N/A,#N/A,TRUE,"Exclusions";#N/A,#N/A,TRUE,"Areas";#N/A,#N/A,TRUE,"Summary";#N/A,#N/A,TRUE,"Detail"}</definedName>
    <definedName name="____cat12" localSheetId="5" hidden="1">{#N/A,#N/A,TRUE,"Front";#N/A,#N/A,TRUE,"Simple Letter";#N/A,#N/A,TRUE,"Inside";#N/A,#N/A,TRUE,"Contents";#N/A,#N/A,TRUE,"Basis";#N/A,#N/A,TRUE,"Inclusions";#N/A,#N/A,TRUE,"Exclusions";#N/A,#N/A,TRUE,"Areas";#N/A,#N/A,TRUE,"Summary";#N/A,#N/A,TRUE,"Detail"}</definedName>
    <definedName name="____cat12" hidden="1">{#N/A,#N/A,TRUE,"Front";#N/A,#N/A,TRUE,"Simple Letter";#N/A,#N/A,TRUE,"Inside";#N/A,#N/A,TRUE,"Contents";#N/A,#N/A,TRUE,"Basis";#N/A,#N/A,TRUE,"Inclusions";#N/A,#N/A,TRUE,"Exclusions";#N/A,#N/A,TRUE,"Areas";#N/A,#N/A,TRUE,"Summary";#N/A,#N/A,TRUE,"Detail"}</definedName>
    <definedName name="____ccf93">#REF!</definedName>
    <definedName name="____ccf94">#REF!</definedName>
    <definedName name="____cni93">#REF!</definedName>
    <definedName name="____cni94">#REF!</definedName>
    <definedName name="____D87840">#REF!</definedName>
    <definedName name="____dap20">#REF!</definedName>
    <definedName name="____DAT1">#REF!</definedName>
    <definedName name="____DAT10">#REF!</definedName>
    <definedName name="____DAT11">#REF!</definedName>
    <definedName name="____DAT12" localSheetId="0">#REF!</definedName>
    <definedName name="____DAT12">#REF!</definedName>
    <definedName name="____DAT13" localSheetId="0">#REF!</definedName>
    <definedName name="____DAT13">#REF!</definedName>
    <definedName name="____DAT14">#REF!</definedName>
    <definedName name="____DAT15" localSheetId="0">#REF!</definedName>
    <definedName name="____DAT15">#REF!</definedName>
    <definedName name="____DAT16" localSheetId="0">#REF!</definedName>
    <definedName name="____DAT16">#REF!</definedName>
    <definedName name="____DAT17">#REF!</definedName>
    <definedName name="____DAT18" localSheetId="0">#REF!</definedName>
    <definedName name="____DAT18">#REF!</definedName>
    <definedName name="____DAT19" localSheetId="0">#REF!</definedName>
    <definedName name="____DAT19">#REF!</definedName>
    <definedName name="____DAT2">#REF!</definedName>
    <definedName name="____DAT20" localSheetId="0">#REF!</definedName>
    <definedName name="____DAT20">#REF!</definedName>
    <definedName name="____DAT21" localSheetId="0">#REF!</definedName>
    <definedName name="____DAT21">#REF!</definedName>
    <definedName name="____DAT22" localSheetId="0">#REF!</definedName>
    <definedName name="____DAT22">#REF!</definedName>
    <definedName name="____DAT23" localSheetId="0">#REF!</definedName>
    <definedName name="____DAT23">#REF!</definedName>
    <definedName name="____DAT24" localSheetId="0">#REF!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5">#REF!</definedName>
    <definedName name="____DAT6">#REF!</definedName>
    <definedName name="____DAT7">#REF!</definedName>
    <definedName name="____DAT8">#REF!</definedName>
    <definedName name="____DAT9">#REF!</definedName>
    <definedName name="____db1" hidden="1">{"'Sheet1'!$A$5:$E$42"}</definedName>
    <definedName name="____dcf1" hidden="1">#REF!</definedName>
    <definedName name="____DCF95">#REF!</definedName>
    <definedName name="____DCF96">#REF!</definedName>
    <definedName name="____DCF97">#REF!</definedName>
    <definedName name="____div94">#REF!</definedName>
    <definedName name="____div95">#REF!</definedName>
    <definedName name="____div96">#REF!</definedName>
    <definedName name="____div97">#REF!</definedName>
    <definedName name="____div98">#REF!</definedName>
    <definedName name="____ELL45">#REF!</definedName>
    <definedName name="____ELL90">#REF!</definedName>
    <definedName name="____EMP4">#N/A</definedName>
    <definedName name="____EPS94">#REF!</definedName>
    <definedName name="____EPS95">#REF!</definedName>
    <definedName name="____EPS96">#REF!</definedName>
    <definedName name="____EPS97">#REF!</definedName>
    <definedName name="____Exp1">#REF!</definedName>
    <definedName name="____Feb06" localSheetId="25" hidden="1">{#N/A,#N/A,TRUE,"Front";#N/A,#N/A,TRUE,"Simple Letter";#N/A,#N/A,TRUE,"Inside";#N/A,#N/A,TRUE,"Contents";#N/A,#N/A,TRUE,"Basis";#N/A,#N/A,TRUE,"Inclusions";#N/A,#N/A,TRUE,"Exclusions";#N/A,#N/A,TRUE,"Areas";#N/A,#N/A,TRUE,"Summary";#N/A,#N/A,TRUE,"Detail"}</definedName>
    <definedName name="____Feb06" localSheetId="5" hidden="1">{#N/A,#N/A,TRUE,"Front";#N/A,#N/A,TRUE,"Simple Letter";#N/A,#N/A,TRUE,"Inside";#N/A,#N/A,TRUE,"Contents";#N/A,#N/A,TRUE,"Basis";#N/A,#N/A,TRUE,"Inclusions";#N/A,#N/A,TRUE,"Exclusions";#N/A,#N/A,TRUE,"Areas";#N/A,#N/A,TRUE,"Summary";#N/A,#N/A,TRUE,"Detail"}</definedName>
    <definedName name="____Feb06" hidden="1">{#N/A,#N/A,TRUE,"Front";#N/A,#N/A,TRUE,"Simple Letter";#N/A,#N/A,TRUE,"Inside";#N/A,#N/A,TRUE,"Contents";#N/A,#N/A,TRUE,"Basis";#N/A,#N/A,TRUE,"Inclusions";#N/A,#N/A,TRUE,"Exclusions";#N/A,#N/A,TRUE,"Areas";#N/A,#N/A,TRUE,"Summary";#N/A,#N/A,TRUE,"Detail"}</definedName>
    <definedName name="____FFr98" localSheetId="0">#REF!</definedName>
    <definedName name="____FFr98">#REF!</definedName>
    <definedName name="____FFr99" localSheetId="0">#REF!</definedName>
    <definedName name="____FFr99">#REF!</definedName>
    <definedName name="____FRF2">#REF!</definedName>
    <definedName name="____g1" localSheetId="25" hidden="1">{"'August 2000'!$A$1:$J$101"}</definedName>
    <definedName name="____g1" localSheetId="5" hidden="1">{"'August 2000'!$A$1:$J$101"}</definedName>
    <definedName name="____g1" hidden="1">{"'August 2000'!$A$1:$J$101"}</definedName>
    <definedName name="____G87634">#REF!</definedName>
    <definedName name="____hp10" localSheetId="25" hidden="1">{#N/A,#N/A,TRUE,"Front";#N/A,#N/A,TRUE,"Simple Letter";#N/A,#N/A,TRUE,"Inside";#N/A,#N/A,TRUE,"Contents";#N/A,#N/A,TRUE,"Basis";#N/A,#N/A,TRUE,"Inclusions";#N/A,#N/A,TRUE,"Exclusions";#N/A,#N/A,TRUE,"Areas";#N/A,#N/A,TRUE,"Summary";#N/A,#N/A,TRUE,"Detail"}</definedName>
    <definedName name="____hp10" localSheetId="5" hidden="1">{#N/A,#N/A,TRUE,"Front";#N/A,#N/A,TRUE,"Simple Letter";#N/A,#N/A,TRUE,"Inside";#N/A,#N/A,TRUE,"Contents";#N/A,#N/A,TRUE,"Basis";#N/A,#N/A,TRUE,"Inclusions";#N/A,#N/A,TRUE,"Exclusions";#N/A,#N/A,TRUE,"Areas";#N/A,#N/A,TRUE,"Summary";#N/A,#N/A,TRUE,"Detail"}</definedName>
    <definedName name="____hp10" hidden="1">{#N/A,#N/A,TRUE,"Front";#N/A,#N/A,TRUE,"Simple Letter";#N/A,#N/A,TRUE,"Inside";#N/A,#N/A,TRUE,"Contents";#N/A,#N/A,TRUE,"Basis";#N/A,#N/A,TRUE,"Inclusions";#N/A,#N/A,TRUE,"Exclusions";#N/A,#N/A,TRUE,"Areas";#N/A,#N/A,TRUE,"Summary";#N/A,#N/A,TRUE,"Detail"}</definedName>
    <definedName name="____iea1">#REF!</definedName>
    <definedName name="____iea2">#REF!</definedName>
    <definedName name="____IED1">#REF!</definedName>
    <definedName name="____IED2">#REF!</definedName>
    <definedName name="____IX19">#REF!</definedName>
    <definedName name="____Jet1">#REF!</definedName>
    <definedName name="____Jet2">#REF!</definedName>
    <definedName name="____Jet3">#REF!</definedName>
    <definedName name="____Jet4">#REF!</definedName>
    <definedName name="____K5">#REF!</definedName>
    <definedName name="____K6">#REF!</definedName>
    <definedName name="____kd04">#REF!</definedName>
    <definedName name="____kd05">#REF!</definedName>
    <definedName name="____kd06">#REF!</definedName>
    <definedName name="____kd07">#REF!</definedName>
    <definedName name="____kd08">#REF!</definedName>
    <definedName name="____kd09">#REF!</definedName>
    <definedName name="____KD10" localSheetId="0">#REF!</definedName>
    <definedName name="____KD10">#REF!</definedName>
    <definedName name="____KD11" localSheetId="0">#REF!</definedName>
    <definedName name="____KD11">#REF!</definedName>
    <definedName name="____KD12" localSheetId="0">#REF!</definedName>
    <definedName name="____KD12">#REF!</definedName>
    <definedName name="____KD13" localSheetId="0">#REF!</definedName>
    <definedName name="____KD13">#REF!</definedName>
    <definedName name="____KD14" localSheetId="0">#REF!</definedName>
    <definedName name="____KD14">#REF!</definedName>
    <definedName name="____KD15" localSheetId="0">#REF!</definedName>
    <definedName name="____KD15">#REF!</definedName>
    <definedName name="____KD16" localSheetId="0">#REF!</definedName>
    <definedName name="____KD16">#REF!</definedName>
    <definedName name="____kd17">#REF!</definedName>
    <definedName name="____KD18" localSheetId="0">#REF!</definedName>
    <definedName name="____KD18">#REF!</definedName>
    <definedName name="____kd19">#REF!</definedName>
    <definedName name="____KD2" hidden="1">#REF!</definedName>
    <definedName name="____kd20">#REF!</definedName>
    <definedName name="____kd21">#REF!</definedName>
    <definedName name="____kd22">#REF!</definedName>
    <definedName name="____kd23">#REF!</definedName>
    <definedName name="____kd24">#REF!</definedName>
    <definedName name="____kd25">#REF!</definedName>
    <definedName name="____KD3" hidden="1">#REF!</definedName>
    <definedName name="____KD4" localSheetId="0">#REF!</definedName>
    <definedName name="____KD4">#REF!</definedName>
    <definedName name="____KD5" localSheetId="0">#REF!</definedName>
    <definedName name="____KD5">#REF!</definedName>
    <definedName name="____KD6" localSheetId="0">#REF!</definedName>
    <definedName name="____KD6">#REF!</definedName>
    <definedName name="____KD7" localSheetId="0">#REF!</definedName>
    <definedName name="____KD7">#REF!</definedName>
    <definedName name="____KD8" localSheetId="0">#REF!</definedName>
    <definedName name="____KD8">#REF!</definedName>
    <definedName name="____KD9" localSheetId="0">#REF!</definedName>
    <definedName name="____KD9">#REF!</definedName>
    <definedName name="____Key1">#REF!</definedName>
    <definedName name="____key2" hidden="1">#REF!</definedName>
    <definedName name="____key3">#REF!</definedName>
    <definedName name="____key4">#REF!</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8" hidden="1">{#N/A,#N/A,FALSE,"COVER1.XLS ";#N/A,#N/A,FALSE,"RACT1.XLS";#N/A,#N/A,FALSE,"RACT2.XLS";#N/A,#N/A,FALSE,"ECCMP";#N/A,#N/A,FALSE,"WELDER.XLS"}</definedName>
    <definedName name="____lga94">#REF!</definedName>
    <definedName name="____LL3">#REF!</definedName>
    <definedName name="____LL4">#REF!</definedName>
    <definedName name="____LL5">#REF!</definedName>
    <definedName name="____MC2">#REF!</definedName>
    <definedName name="____md12">#REF!</definedName>
    <definedName name="____md13">#REF!</definedName>
    <definedName name="____md14">#REF!</definedName>
    <definedName name="____md15">#REF!</definedName>
    <definedName name="____md2">#REF!</definedName>
    <definedName name="____md3">#REF!</definedName>
    <definedName name="____md4">#REF!</definedName>
    <definedName name="____md5">#REF!</definedName>
    <definedName name="____md6">#REF!</definedName>
    <definedName name="____md7">#REF!</definedName>
    <definedName name="____md8">#REF!</definedName>
    <definedName name="____md9">#REF!</definedName>
    <definedName name="____MPR2">#N/A</definedName>
    <definedName name="____MPR3">#N/A</definedName>
    <definedName name="____mul1">#REF!</definedName>
    <definedName name="____NCS111" localSheetId="0">#REF!</definedName>
    <definedName name="____NCS111">#REF!</definedName>
    <definedName name="____Net1">#REF!</definedName>
    <definedName name="____new1">#REF!</definedName>
    <definedName name="____new10">#REF!</definedName>
    <definedName name="____new11">#REF!</definedName>
    <definedName name="____new2">#REF!</definedName>
    <definedName name="____new4">#REF!</definedName>
    <definedName name="____new5">#REF!</definedName>
    <definedName name="____new6">#REF!</definedName>
    <definedName name="____new7">#REF!</definedName>
    <definedName name="____new8">#REF!</definedName>
    <definedName name="____new9">#REF!</definedName>
    <definedName name="____ngl97">#REF!</definedName>
    <definedName name="____ngl98">#REF!</definedName>
    <definedName name="____nh1" localSheetId="0">#REF!</definedName>
    <definedName name="____nh1">#REF!</definedName>
    <definedName name="____OLD2" hidden="1">#REF!</definedName>
    <definedName name="____p2">#REF!</definedName>
    <definedName name="____P21">#REF!</definedName>
    <definedName name="____P22">#REF!</definedName>
    <definedName name="____p3">#REF!</definedName>
    <definedName name="____P31">#REF!</definedName>
    <definedName name="____P32">#REF!</definedName>
    <definedName name="____P33">#REF!</definedName>
    <definedName name="____P34">#REF!</definedName>
    <definedName name="____pc04">#REF!</definedName>
    <definedName name="____Pet1">#REF!</definedName>
    <definedName name="____Pet2">#REF!</definedName>
    <definedName name="____PEX1">#REF!</definedName>
    <definedName name="____pfd98">#REF!</definedName>
    <definedName name="____PG1" localSheetId="0">#REF!</definedName>
    <definedName name="____PG1">#REF!</definedName>
    <definedName name="____PG2">#REF!</definedName>
    <definedName name="____PG3">#REF!</definedName>
    <definedName name="____PG5" localSheetId="0">#REF!</definedName>
    <definedName name="____PG5">#REF!</definedName>
    <definedName name="____pg6" localSheetId="0">#REF!</definedName>
    <definedName name="____pg6">#REF!</definedName>
    <definedName name="____pg7" localSheetId="0">#REF!</definedName>
    <definedName name="____pg7">#REF!</definedName>
    <definedName name="____PL1">#REF!</definedName>
    <definedName name="____PLO1">#REF!</definedName>
    <definedName name="____pr04">#REF!</definedName>
    <definedName name="____pr05">#REF!</definedName>
    <definedName name="____PRN1">#REF!</definedName>
    <definedName name="____PRO3">#REF!</definedName>
    <definedName name="____PRO4">#REF!</definedName>
    <definedName name="____PRO5">#REF!</definedName>
    <definedName name="____PV1">#REF!</definedName>
    <definedName name="____PV10">#REF!</definedName>
    <definedName name="____PV2">#REF!</definedName>
    <definedName name="____RE100">#REF!</definedName>
    <definedName name="____RE104">#REF!</definedName>
    <definedName name="____RE112">#REF!</definedName>
    <definedName name="____RE26">#REF!</definedName>
    <definedName name="____RE28">#REF!</definedName>
    <definedName name="____RE30">#REF!</definedName>
    <definedName name="____RE32">#REF!</definedName>
    <definedName name="____RE34">#REF!</definedName>
    <definedName name="____RE36">#REF!</definedName>
    <definedName name="____RE38">#REF!</definedName>
    <definedName name="____RE40">#REF!</definedName>
    <definedName name="____RE42">#REF!</definedName>
    <definedName name="____RE44">#REF!</definedName>
    <definedName name="____RE48">#REF!</definedName>
    <definedName name="____RE52">#REF!</definedName>
    <definedName name="____RE56">#REF!</definedName>
    <definedName name="____RE60">#REF!</definedName>
    <definedName name="____RE64">#REF!</definedName>
    <definedName name="____RE68">#REF!</definedName>
    <definedName name="____RE72">#REF!</definedName>
    <definedName name="____RE76">#REF!</definedName>
    <definedName name="____RE80">#REF!</definedName>
    <definedName name="____RE88">#REF!</definedName>
    <definedName name="____RE92">#REF!</definedName>
    <definedName name="____RE96">#REF!</definedName>
    <definedName name="____REV01">#REF!</definedName>
    <definedName name="____RMK2">#N/A</definedName>
    <definedName name="____RR12">#REF!</definedName>
    <definedName name="____RR13">#REF!</definedName>
    <definedName name="____RR14">#REF!</definedName>
    <definedName name="____RR15">#REF!</definedName>
    <definedName name="____SC011">#REF!</definedName>
    <definedName name="____SC034">#REF!</definedName>
    <definedName name="____SC043">#REF!</definedName>
    <definedName name="____SC068">#REF!</definedName>
    <definedName name="____SC160">#REF!</definedName>
    <definedName name="____SC211">#REF!</definedName>
    <definedName name="____SC212">#REF!</definedName>
    <definedName name="____SC213">#REF!</definedName>
    <definedName name="____SC225">#REF!</definedName>
    <definedName name="____SC268">#REF!</definedName>
    <definedName name="____SC272">#REF!</definedName>
    <definedName name="____SC274">#REF!</definedName>
    <definedName name="____SC276">#REF!</definedName>
    <definedName name="____SC279">#REF!</definedName>
    <definedName name="____SC280">#REF!</definedName>
    <definedName name="____SC281">#REF!</definedName>
    <definedName name="____SC314">#REF!</definedName>
    <definedName name="____SC315">#REF!</definedName>
    <definedName name="____SC341">#REF!</definedName>
    <definedName name="____SC376">#REF!</definedName>
    <definedName name="____SC383">#REF!</definedName>
    <definedName name="____SC384">#REF!</definedName>
    <definedName name="____SC412">#REF!</definedName>
    <definedName name="____SC444">#REF!</definedName>
    <definedName name="____SC506">#REF!</definedName>
    <definedName name="____SC581">#REF!</definedName>
    <definedName name="____SC591">#REF!</definedName>
    <definedName name="____SC592">#REF!</definedName>
    <definedName name="____SC593">#REF!</definedName>
    <definedName name="____SC594">#REF!</definedName>
    <definedName name="____SC595">#REF!</definedName>
    <definedName name="____SC597">#REF!</definedName>
    <definedName name="____SC598">#REF!</definedName>
    <definedName name="____SCG011">#REF!</definedName>
    <definedName name="____SCG034">#REF!</definedName>
    <definedName name="____SCG043">#REF!</definedName>
    <definedName name="____SCG068">#REF!</definedName>
    <definedName name="____SCG160">#REF!</definedName>
    <definedName name="____SCG211">#REF!</definedName>
    <definedName name="____SCG212">#REF!</definedName>
    <definedName name="____SCG213">#REF!</definedName>
    <definedName name="____SCG225">#REF!</definedName>
    <definedName name="____SCG268">#REF!</definedName>
    <definedName name="____SCG272">#REF!</definedName>
    <definedName name="____SCG274">#REF!</definedName>
    <definedName name="____SCG276">#REF!</definedName>
    <definedName name="____SCG279">#REF!</definedName>
    <definedName name="____SCG280">#REF!</definedName>
    <definedName name="____SCG281">#REF!</definedName>
    <definedName name="____SCG314">#REF!</definedName>
    <definedName name="____SCG315">#REF!</definedName>
    <definedName name="____SCG341">#REF!</definedName>
    <definedName name="____SCG376">#REF!</definedName>
    <definedName name="____SCG383">#REF!</definedName>
    <definedName name="____SCG384">#REF!</definedName>
    <definedName name="____SCG412">#REF!</definedName>
    <definedName name="____SCG444">#REF!</definedName>
    <definedName name="____SCG506">#REF!</definedName>
    <definedName name="____SCG581">#REF!</definedName>
    <definedName name="____SCG591">#REF!</definedName>
    <definedName name="____SCG592">#REF!</definedName>
    <definedName name="____SCG593">#REF!</definedName>
    <definedName name="____SCG594">#REF!</definedName>
    <definedName name="____SCG595">#REF!</definedName>
    <definedName name="____SCG597">#REF!</definedName>
    <definedName name="____SCG598">#REF!</definedName>
    <definedName name="____SCH1">#REF!</definedName>
    <definedName name="____SCH10">#REF!</definedName>
    <definedName name="____SCH11">#REF!</definedName>
    <definedName name="____SCH12">#REF!</definedName>
    <definedName name="____sch13">#REF!</definedName>
    <definedName name="____SCH2">#REF!</definedName>
    <definedName name="____SCH3">#REF!</definedName>
    <definedName name="____SCH4">#REF!</definedName>
    <definedName name="____SCH5">#REF!</definedName>
    <definedName name="____SCH6" localSheetId="25">#REF!</definedName>
    <definedName name="____SCH6" localSheetId="0">#REF!</definedName>
    <definedName name="____SCH6" localSheetId="11">#REF!</definedName>
    <definedName name="____SCH6" localSheetId="13">#REF!</definedName>
    <definedName name="____SCH6" localSheetId="14">#REF!</definedName>
    <definedName name="____SCH6" localSheetId="43">#REF!</definedName>
    <definedName name="____SCH6" localSheetId="61">#REF!</definedName>
    <definedName name="____SCH6" localSheetId="63">#REF!</definedName>
    <definedName name="____SCH6" localSheetId="64">#REF!</definedName>
    <definedName name="____SCH6" localSheetId="16">#REF!</definedName>
    <definedName name="____SCH6" localSheetId="17">#REF!</definedName>
    <definedName name="____SCH6" localSheetId="26">#REF!</definedName>
    <definedName name="____SCH6" localSheetId="32">#REF!</definedName>
    <definedName name="____SCH6" localSheetId="33">#REF!</definedName>
    <definedName name="____SCH6" localSheetId="34">#REF!</definedName>
    <definedName name="____SCH6" localSheetId="35">#REF!</definedName>
    <definedName name="____SCH6" localSheetId="5">#REF!</definedName>
    <definedName name="____SCH6">#REF!</definedName>
    <definedName name="____SCH7">#REF!</definedName>
    <definedName name="____SCH8">#REF!</definedName>
    <definedName name="____SCH9">#REF!</definedName>
    <definedName name="____sh1">#REF!</definedName>
    <definedName name="____sh2">#REF!</definedName>
    <definedName name="____sh3">#REF!</definedName>
    <definedName name="____sh4">#REF!</definedName>
    <definedName name="____sy14">#REF!</definedName>
    <definedName name="____TOT1">#REF!</definedName>
    <definedName name="____TOT2">#REF!</definedName>
    <definedName name="____tp1">#REF!</definedName>
    <definedName name="____ts1">#REF!</definedName>
    <definedName name="____ts2">#REF!</definedName>
    <definedName name="____USD1" localSheetId="0">#REF!</definedName>
    <definedName name="____USD1">#REF!</definedName>
    <definedName name="____USD2" localSheetId="0">#REF!</definedName>
    <definedName name="____USD2">#REF!</definedName>
    <definedName name="____USD3" localSheetId="0">#REF!</definedName>
    <definedName name="____USD3">#REF!</definedName>
    <definedName name="____Val1">#REF!</definedName>
    <definedName name="____val2">#REF!</definedName>
    <definedName name="____val3">#REF!</definedName>
    <definedName name="____w123" localSheetId="25" hidden="1">{"Edition",#N/A,FALSE,"Data"}</definedName>
    <definedName name="____w123" localSheetId="0" hidden="1">{"Edition",#N/A,FALSE,"Data"}</definedName>
    <definedName name="____w123" localSheetId="5" hidden="1">{"Edition",#N/A,FALSE,"Data"}</definedName>
    <definedName name="____w123" hidden="1">{"Edition",#N/A,FALSE,"Data"}</definedName>
    <definedName name="____WCM2">#REF!</definedName>
    <definedName name="____WCM3">#REF!</definedName>
    <definedName name="____wd1" localSheetId="25" hidden="1">{#N/A,#N/A,FALSE,"Aging Summary";#N/A,#N/A,FALSE,"Ratio Analysis";#N/A,#N/A,FALSE,"Test 120 Day Accts";#N/A,#N/A,FALSE,"Tickmarks"}</definedName>
    <definedName name="____wd1" localSheetId="0" hidden="1">{#N/A,#N/A,FALSE,"Aging Summary";#N/A,#N/A,FALSE,"Ratio Analysis";#N/A,#N/A,FALSE,"Test 120 Day Accts";#N/A,#N/A,FALSE,"Tickmarks"}</definedName>
    <definedName name="____wd1" localSheetId="5" hidden="1">{#N/A,#N/A,FALSE,"Aging Summary";#N/A,#N/A,FALSE,"Ratio Analysis";#N/A,#N/A,FALSE,"Test 120 Day Accts";#N/A,#N/A,FALSE,"Tickmarks"}</definedName>
    <definedName name="____wd1" hidden="1">{#N/A,#N/A,FALSE,"Aging Summary";#N/A,#N/A,FALSE,"Ratio Analysis";#N/A,#N/A,FALSE,"Test 120 Day Accts";#N/A,#N/A,FALSE,"Tickmarks"}</definedName>
    <definedName name="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WRN2" hidden="1">{#N/A,#N/A,FALSE,"COVER1.XLS ";#N/A,#N/A,FALSE,"RACT1.XLS";#N/A,#N/A,FALSE,"RACT2.XLS";#N/A,#N/A,FALSE,"ECCMP";#N/A,#N/A,FALSE,"WELDER.XLS"}</definedName>
    <definedName name="____WRN3" hidden="1">{#N/A,#N/A,FALSE,"consu_cover";#N/A,#N/A,FALSE,"consu_strategy";#N/A,#N/A,FALSE,"consu_flow";#N/A,#N/A,FALSE,"Summary_reqmt";#N/A,#N/A,FALSE,"field_ppg";#N/A,#N/A,FALSE,"ppg_shop";#N/A,#N/A,FALSE,"strl";#N/A,#N/A,FALSE,"tankages";#N/A,#N/A,FALSE,"gases"}</definedName>
    <definedName name="____XL__ENTER_UNIT" localSheetId="11">#REF!</definedName>
    <definedName name="____XL__ENTER_UNIT" localSheetId="13">#REF!</definedName>
    <definedName name="____XL__ENTER_UNIT" localSheetId="16">#REF!</definedName>
    <definedName name="____XL__ENTER_UNIT" localSheetId="26">#REF!</definedName>
    <definedName name="____XL__ENTER_UNIT" localSheetId="32">#REF!</definedName>
    <definedName name="____XL__ENTER_UNIT" localSheetId="33">#REF!</definedName>
    <definedName name="____XL__ENTER_UNIT" localSheetId="34">#REF!</definedName>
    <definedName name="____XL__ENTER_UNIT" localSheetId="35">#REF!</definedName>
    <definedName name="____XL__ENTER_UNIT">#REF!</definedName>
    <definedName name="____xlfn.BAHTTEXT" hidden="1">#NAME?</definedName>
    <definedName name="____xx500">#REF!</definedName>
    <definedName name="____za1">#REF!</definedName>
    <definedName name="____zz1">#REF!</definedName>
    <definedName name="___1_0EBITDA_Sh">#REF!</definedName>
    <definedName name="___10GOTO_I_A1">#REF!</definedName>
    <definedName name="___11GOTO_J_A1">#REF!</definedName>
    <definedName name="___12GOTO_K_A30">#REF!</definedName>
    <definedName name="___1GOTO_A_A207">#REF!</definedName>
    <definedName name="___2_0NOPAT_Sh">#REF!</definedName>
    <definedName name="___2GOTO_A_A501">#REF!</definedName>
    <definedName name="___3GOTO_A_A952">#REF!</definedName>
    <definedName name="___4GOTO_B_A1">#REF!</definedName>
    <definedName name="___5GOTO_B_A189">#REF!</definedName>
    <definedName name="___6GOTO_B_A536">#REF!</definedName>
    <definedName name="___7GOTO_C_A1">#REF!</definedName>
    <definedName name="___8749600_Guj_State_energy">#REF!</definedName>
    <definedName name="___8GOTO_E_A1">#REF!</definedName>
    <definedName name="___9GOTO_G_A1">#REF!</definedName>
    <definedName name="___a3">#N/A</definedName>
    <definedName name="___A65600">#REF!</definedName>
    <definedName name="___aa1" localSheetId="25" hidden="1">{#N/A,#N/A,TRUE,"Financials";#N/A,#N/A,TRUE,"Operating Statistics";#N/A,#N/A,TRUE,"Capex &amp; Depreciation";#N/A,#N/A,TRUE,"Debt"}</definedName>
    <definedName name="___aa1" localSheetId="5" hidden="1">{#N/A,#N/A,TRUE,"Financials";#N/A,#N/A,TRUE,"Operating Statistics";#N/A,#N/A,TRUE,"Capex &amp; Depreciation";#N/A,#N/A,TRUE,"Debt"}</definedName>
    <definedName name="___aa1" hidden="1">{#N/A,#N/A,TRUE,"Financials";#N/A,#N/A,TRUE,"Operating Statistics";#N/A,#N/A,TRUE,"Capex &amp; Depreciation";#N/A,#N/A,TRUE,"Debt"}</definedName>
    <definedName name="___acq97">#REF!</definedName>
    <definedName name="___acq98">#REF!</definedName>
    <definedName name="___acq99">#REF!</definedName>
    <definedName name="___ADB1" localSheetId="0">#REF!</definedName>
    <definedName name="___ADB1">#REF!</definedName>
    <definedName name="___amt01">#REF!</definedName>
    <definedName name="___amt94">#REF!</definedName>
    <definedName name="___amt95">#REF!</definedName>
    <definedName name="___amt96">#REF!</definedName>
    <definedName name="___amt97">#REF!</definedName>
    <definedName name="___amt98">#REF!</definedName>
    <definedName name="___amt99">#REF!</definedName>
    <definedName name="___AOC2">#REF!</definedName>
    <definedName name="___App4">#REF!</definedName>
    <definedName name="___as3" localSheetId="0">#REF!</definedName>
    <definedName name="___as3">#REF!</definedName>
    <definedName name="___BBQ1" localSheetId="0">#REF!</definedName>
    <definedName name="___BBQ1" localSheetId="46">#REF!</definedName>
    <definedName name="___BBQ1" localSheetId="45">#REF!</definedName>
    <definedName name="___BBQ1" localSheetId="49">#REF!</definedName>
    <definedName name="___BBQ1" localSheetId="50">#REF!</definedName>
    <definedName name="___BBQ1" localSheetId="51">#REF!</definedName>
    <definedName name="___BBQ1" localSheetId="52">#REF!</definedName>
    <definedName name="___BBQ1" localSheetId="56">#REF!</definedName>
    <definedName name="___BBQ1" localSheetId="57">#REF!</definedName>
    <definedName name="___BBQ1" localSheetId="58">#REF!</definedName>
    <definedName name="___BBQ1" localSheetId="59">#REF!</definedName>
    <definedName name="___BBQ1">#REF!</definedName>
    <definedName name="___boe96">#REF!</definedName>
    <definedName name="___boe97">#REF!</definedName>
    <definedName name="___boe98">#REF!</definedName>
    <definedName name="___boe99">#REF!</definedName>
    <definedName name="___BS1">#REF!</definedName>
    <definedName name="___bs2">#REF!</definedName>
    <definedName name="___BSD1">#REF!</definedName>
    <definedName name="___BSD2">#REF!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p98">#REF!</definedName>
    <definedName name="___cat12" localSheetId="25" hidden="1">{#N/A,#N/A,TRUE,"Front";#N/A,#N/A,TRUE,"Simple Letter";#N/A,#N/A,TRUE,"Inside";#N/A,#N/A,TRUE,"Contents";#N/A,#N/A,TRUE,"Basis";#N/A,#N/A,TRUE,"Inclusions";#N/A,#N/A,TRUE,"Exclusions";#N/A,#N/A,TRUE,"Areas";#N/A,#N/A,TRUE,"Summary";#N/A,#N/A,TRUE,"Detail"}</definedName>
    <definedName name="___cat12" localSheetId="5" hidden="1">{#N/A,#N/A,TRUE,"Front";#N/A,#N/A,TRUE,"Simple Letter";#N/A,#N/A,TRUE,"Inside";#N/A,#N/A,TRUE,"Contents";#N/A,#N/A,TRUE,"Basis";#N/A,#N/A,TRUE,"Inclusions";#N/A,#N/A,TRUE,"Exclusions";#N/A,#N/A,TRUE,"Areas";#N/A,#N/A,TRUE,"Summary";#N/A,#N/A,TRUE,"Detail"}</definedName>
    <definedName name="___cat12" hidden="1">{#N/A,#N/A,TRUE,"Front";#N/A,#N/A,TRUE,"Simple Letter";#N/A,#N/A,TRUE,"Inside";#N/A,#N/A,TRUE,"Contents";#N/A,#N/A,TRUE,"Basis";#N/A,#N/A,TRUE,"Inclusions";#N/A,#N/A,TRUE,"Exclusions";#N/A,#N/A,TRUE,"Areas";#N/A,#N/A,TRUE,"Summary";#N/A,#N/A,TRUE,"Detail"}</definedName>
    <definedName name="___ccf93">#REF!</definedName>
    <definedName name="___ccf94">#REF!</definedName>
    <definedName name="___cni93">#REF!</definedName>
    <definedName name="___cni94">#REF!</definedName>
    <definedName name="___CO1">#REF!</definedName>
    <definedName name="___D87840">#REF!</definedName>
    <definedName name="___dap20">#REF!</definedName>
    <definedName name="___dap25">#REF!</definedName>
    <definedName name="___DAT1">#REF!</definedName>
    <definedName name="___DAT10">#REF!</definedName>
    <definedName name="___DAT11">#REF!</definedName>
    <definedName name="___DAT12" localSheetId="0">#REF!</definedName>
    <definedName name="___DAT12">#REF!</definedName>
    <definedName name="___DAT13" localSheetId="0">#REF!</definedName>
    <definedName name="___DAT13">#REF!</definedName>
    <definedName name="___DAT14">#REF!</definedName>
    <definedName name="___DAT15" localSheetId="0">#REF!</definedName>
    <definedName name="___DAT15">#REF!</definedName>
    <definedName name="___DAT16" localSheetId="0">#REF!</definedName>
    <definedName name="___DAT16">#REF!</definedName>
    <definedName name="___DAT17">#REF!</definedName>
    <definedName name="___DAT18" localSheetId="0">#REF!</definedName>
    <definedName name="___DAT18">#REF!</definedName>
    <definedName name="___DAT19" localSheetId="0">#REF!</definedName>
    <definedName name="___DAT19">#REF!</definedName>
    <definedName name="___DAT2">#REF!</definedName>
    <definedName name="___DAT20" localSheetId="0">#REF!</definedName>
    <definedName name="___DAT20">#REF!</definedName>
    <definedName name="___DAT21" localSheetId="0">#REF!</definedName>
    <definedName name="___DAT21">#REF!</definedName>
    <definedName name="___DAT22" localSheetId="0">#REF!</definedName>
    <definedName name="___DAT22">#REF!</definedName>
    <definedName name="___DAT23" localSheetId="0">#REF!</definedName>
    <definedName name="___DAT23">#REF!</definedName>
    <definedName name="___DAT24" localSheetId="0">#REF!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5">#REF!</definedName>
    <definedName name="___DAT6">#REF!</definedName>
    <definedName name="___DAT7" localSheetId="0">#REF!</definedName>
    <definedName name="___DAT7">#REF!</definedName>
    <definedName name="___DAT8">#REF!</definedName>
    <definedName name="___DAT9">#REF!</definedName>
    <definedName name="___db1" hidden="1">{"'Sheet1'!$A$5:$E$42"}</definedName>
    <definedName name="___dcf1" hidden="1">#REF!</definedName>
    <definedName name="___DCF95">#REF!</definedName>
    <definedName name="___DCF96">#REF!</definedName>
    <definedName name="___DCF97">#REF!</definedName>
    <definedName name="___DDD5">#N/A</definedName>
    <definedName name="___div94">#REF!</definedName>
    <definedName name="___div95">#REF!</definedName>
    <definedName name="___div96">#REF!</definedName>
    <definedName name="___div97">#REF!</definedName>
    <definedName name="___div98">#REF!</definedName>
    <definedName name="___ELL45">#REF!</definedName>
    <definedName name="___ELL90">#REF!</definedName>
    <definedName name="___EMP4">#N/A</definedName>
    <definedName name="___EPS94">#REF!</definedName>
    <definedName name="___EPS95">#REF!</definedName>
    <definedName name="___EPS96">#REF!</definedName>
    <definedName name="___EPS97">#REF!</definedName>
    <definedName name="___Exp1">#REF!</definedName>
    <definedName name="___exp2" localSheetId="0" hidden="1">{"VIEW1",#N/A,FALSE,"P&amp;L Account 2001-2002";"VIEW2",#N/A,FALSE,"P&amp;L Account 2001-2002";"VIEW3",#N/A,FALSE,"P&amp;L Account 2001-2002";"VIEW4",#N/A,FALSE,"P&amp;L Account 2001-2002"}</definedName>
    <definedName name="___exp2" hidden="1">{"VIEW1",#N/A,FALSE,"P&amp;L Account 2001-2002";"VIEW2",#N/A,FALSE,"P&amp;L Account 2001-2002";"VIEW3",#N/A,FALSE,"P&amp;L Account 2001-2002";"VIEW4",#N/A,FALSE,"P&amp;L Account 2001-2002"}</definedName>
    <definedName name="___f2">#REF!</definedName>
    <definedName name="___ffr1">#REF!</definedName>
    <definedName name="___ffr2" localSheetId="0">#REF!</definedName>
    <definedName name="___ffr2">#REF!</definedName>
    <definedName name="___FFr98" localSheetId="0">#REF!</definedName>
    <definedName name="___FFr98">#REF!</definedName>
    <definedName name="___FFr99" localSheetId="0">#REF!</definedName>
    <definedName name="___FFr99">#REF!</definedName>
    <definedName name="___FRF2">#REF!</definedName>
    <definedName name="___FSE8" localSheetId="0" hidden="1">{"VIEW1",#N/A,FALSE,"P&amp;L Account 2001-2002";"VIEW2",#N/A,FALSE,"P&amp;L Account 2001-2002";"VIEW3",#N/A,FALSE,"P&amp;L Account 2001-2002";"VIEW4",#N/A,FALSE,"P&amp;L Account 2001-2002"}</definedName>
    <definedName name="___FSE8" hidden="1">{"VIEW1",#N/A,FALSE,"P&amp;L Account 2001-2002";"VIEW2",#N/A,FALSE,"P&amp;L Account 2001-2002";"VIEW3",#N/A,FALSE,"P&amp;L Account 2001-2002";"VIEW4",#N/A,FALSE,"P&amp;L Account 2001-2002"}</definedName>
    <definedName name="___G87634">#REF!</definedName>
    <definedName name="___hh1" localSheetId="0">#REF!</definedName>
    <definedName name="___hh1">#REF!</definedName>
    <definedName name="___hh2" localSheetId="0">#REF!</definedName>
    <definedName name="___hh2">#REF!</definedName>
    <definedName name="___hp10" localSheetId="25" hidden="1">{#N/A,#N/A,TRUE,"Front";#N/A,#N/A,TRUE,"Simple Letter";#N/A,#N/A,TRUE,"Inside";#N/A,#N/A,TRUE,"Contents";#N/A,#N/A,TRUE,"Basis";#N/A,#N/A,TRUE,"Inclusions";#N/A,#N/A,TRUE,"Exclusions";#N/A,#N/A,TRUE,"Areas";#N/A,#N/A,TRUE,"Summary";#N/A,#N/A,TRUE,"Detail"}</definedName>
    <definedName name="___hp10" localSheetId="5" hidden="1">{#N/A,#N/A,TRUE,"Front";#N/A,#N/A,TRUE,"Simple Letter";#N/A,#N/A,TRUE,"Inside";#N/A,#N/A,TRUE,"Contents";#N/A,#N/A,TRUE,"Basis";#N/A,#N/A,TRUE,"Inclusions";#N/A,#N/A,TRUE,"Exclusions";#N/A,#N/A,TRUE,"Areas";#N/A,#N/A,TRUE,"Summary";#N/A,#N/A,TRUE,"Detail"}</definedName>
    <definedName name="___hp10" hidden="1">{#N/A,#N/A,TRUE,"Front";#N/A,#N/A,TRUE,"Simple Letter";#N/A,#N/A,TRUE,"Inside";#N/A,#N/A,TRUE,"Contents";#N/A,#N/A,TRUE,"Basis";#N/A,#N/A,TRUE,"Inclusions";#N/A,#N/A,TRUE,"Exclusions";#N/A,#N/A,TRUE,"Areas";#N/A,#N/A,TRUE,"Summary";#N/A,#N/A,TRUE,"Detail"}</definedName>
    <definedName name="___iea1">#REF!</definedName>
    <definedName name="___iea2">#REF!</definedName>
    <definedName name="___IED1">#REF!</definedName>
    <definedName name="___IED2">#REF!</definedName>
    <definedName name="___INDEX_SHEET___ASAP_Utilities" localSheetId="11">#REF!</definedName>
    <definedName name="___INDEX_SHEET___ASAP_Utilities" localSheetId="13">#REF!</definedName>
    <definedName name="___INDEX_SHEET___ASAP_Utilities" localSheetId="16">#REF!</definedName>
    <definedName name="___INDEX_SHEET___ASAP_Utilities" localSheetId="26">#REF!</definedName>
    <definedName name="___INDEX_SHEET___ASAP_Utilities" localSheetId="32">#REF!</definedName>
    <definedName name="___INDEX_SHEET___ASAP_Utilities" localSheetId="33">#REF!</definedName>
    <definedName name="___INDEX_SHEET___ASAP_Utilities" localSheetId="34">#REF!</definedName>
    <definedName name="___INDEX_SHEET___ASAP_Utilities" localSheetId="35">#REF!</definedName>
    <definedName name="___INDEX_SHEET___ASAP_Utilities">#REF!</definedName>
    <definedName name="___IX19">#REF!</definedName>
    <definedName name="___Jet1">#REF!</definedName>
    <definedName name="___Jet2">#REF!</definedName>
    <definedName name="___Jet3">#REF!</definedName>
    <definedName name="___Jet4">#REF!</definedName>
    <definedName name="___K2">#REF!</definedName>
    <definedName name="___K3">#REF!</definedName>
    <definedName name="___K5">#REF!</definedName>
    <definedName name="___K6">#REF!</definedName>
    <definedName name="___kd04">#REF!</definedName>
    <definedName name="___kd05">#REF!</definedName>
    <definedName name="___kd06">#REF!</definedName>
    <definedName name="___kd07">#REF!</definedName>
    <definedName name="___kd08">#REF!</definedName>
    <definedName name="___kd09">#REF!</definedName>
    <definedName name="___KD10" localSheetId="0">#REF!</definedName>
    <definedName name="___KD10">#REF!</definedName>
    <definedName name="___KD11" localSheetId="0">#REF!</definedName>
    <definedName name="___KD11">#REF!</definedName>
    <definedName name="___KD12" localSheetId="0">#REF!</definedName>
    <definedName name="___KD12">#REF!</definedName>
    <definedName name="___KD13" localSheetId="0">#REF!</definedName>
    <definedName name="___KD13">#REF!</definedName>
    <definedName name="___KD14" localSheetId="0">#REF!</definedName>
    <definedName name="___KD14">#REF!</definedName>
    <definedName name="___KD15" localSheetId="0">#REF!</definedName>
    <definedName name="___KD15">#REF!</definedName>
    <definedName name="___KD16" localSheetId="0">#REF!</definedName>
    <definedName name="___KD16">#REF!</definedName>
    <definedName name="___kd17">#REF!</definedName>
    <definedName name="___KD18" localSheetId="0">#REF!</definedName>
    <definedName name="___KD18">#REF!</definedName>
    <definedName name="___kd19">#REF!</definedName>
    <definedName name="___KD2" hidden="1">#REF!</definedName>
    <definedName name="___kd20">#REF!</definedName>
    <definedName name="___kd21">#REF!</definedName>
    <definedName name="___kd22">#REF!</definedName>
    <definedName name="___kd23">#REF!</definedName>
    <definedName name="___kd24">#REF!</definedName>
    <definedName name="___kd25">#REF!</definedName>
    <definedName name="___KD3" hidden="1">#REF!</definedName>
    <definedName name="___KD4" localSheetId="0">#REF!</definedName>
    <definedName name="___KD4">#REF!</definedName>
    <definedName name="___KD5" localSheetId="0">#REF!</definedName>
    <definedName name="___KD5">#REF!</definedName>
    <definedName name="___KD6" localSheetId="0">#REF!</definedName>
    <definedName name="___KD6">#REF!</definedName>
    <definedName name="___KD7" localSheetId="0">#REF!</definedName>
    <definedName name="___KD7">#REF!</definedName>
    <definedName name="___KD8" localSheetId="0">#REF!</definedName>
    <definedName name="___KD8">#REF!</definedName>
    <definedName name="___KD9" localSheetId="0">#REF!</definedName>
    <definedName name="___KD9">#REF!</definedName>
    <definedName name="___Key1">#REF!</definedName>
    <definedName name="___key2" hidden="1">#REF!</definedName>
    <definedName name="___key3">#REF!</definedName>
    <definedName name="___key4">#REF!</definedName>
    <definedName name="___KK1" hidden="1">#REF!</definedName>
    <definedName name="___KK2" hidden="1">#REF!</definedName>
    <definedName name="___KK3" hidden="1">#REF!</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5" hidden="1">{#N/A,#N/A,FALSE,"COVER.XLS";#N/A,#N/A,FALSE,"RACT1.XLS";#N/A,#N/A,FALSE,"RACT2.XLS";#N/A,#N/A,FALSE,"ECCMP";#N/A,#N/A,FALSE,"WELDER.XLS"}</definedName>
    <definedName name="___kvs8" hidden="1">{#N/A,#N/A,FALSE,"COVER1.XLS ";#N/A,#N/A,FALSE,"RACT1.XLS";#N/A,#N/A,FALSE,"RACT2.XLS";#N/A,#N/A,FALSE,"ECCMP";#N/A,#N/A,FALSE,"WELDER.XLS"}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L1">#REF!</definedName>
    <definedName name="___LL2">#REF!</definedName>
    <definedName name="___LL3">#REF!</definedName>
    <definedName name="___LL4">#REF!</definedName>
    <definedName name="___LL5">#REF!</definedName>
    <definedName name="___MC2">#REF!</definedName>
    <definedName name="___md12">#REF!</definedName>
    <definedName name="___md13">#REF!</definedName>
    <definedName name="___md14">#REF!</definedName>
    <definedName name="___md15">#REF!</definedName>
    <definedName name="___md2">#REF!</definedName>
    <definedName name="___md3">#REF!</definedName>
    <definedName name="___md4">#REF!</definedName>
    <definedName name="___md5">#REF!</definedName>
    <definedName name="___md6">#REF!</definedName>
    <definedName name="___md7">#REF!</definedName>
    <definedName name="___md8">#REF!</definedName>
    <definedName name="___md9">#REF!</definedName>
    <definedName name="___MPR1">#N/A</definedName>
    <definedName name="___MPR2">#N/A</definedName>
    <definedName name="___MPR3">#N/A</definedName>
    <definedName name="___mul1">#REF!</definedName>
    <definedName name="___NCS111" localSheetId="0">#REF!</definedName>
    <definedName name="___NCS111">#REF!</definedName>
    <definedName name="___Net1">#REF!</definedName>
    <definedName name="___NEW1" localSheetId="0" hidden="1">{"VIEW1",#N/A,FALSE,"P&amp;L Account 2001-2002";"VIEW2",#N/A,FALSE,"P&amp;L Account 2001-2002";"VIEW3",#N/A,FALSE,"P&amp;L Account 2001-2002";"VIEW4",#N/A,FALSE,"P&amp;L Account 2001-2002"}</definedName>
    <definedName name="___NEW1" hidden="1">{"VIEW1",#N/A,FALSE,"P&amp;L Account 2001-2002";"VIEW2",#N/A,FALSE,"P&amp;L Account 2001-2002";"VIEW3",#N/A,FALSE,"P&amp;L Account 2001-2002";"VIEW4",#N/A,FALSE,"P&amp;L Account 2001-2002"}</definedName>
    <definedName name="___new10">#REF!</definedName>
    <definedName name="___new11">#REF!</definedName>
    <definedName name="___new2" localSheetId="0">#REF!</definedName>
    <definedName name="___NEW2" hidden="1">{"VIEW1",#N/A,FALSE,"P&amp;L Account 2001-2002";"VIEW2",#N/A,FALSE,"P&amp;L Account 2001-2002";"VIEW3",#N/A,FALSE,"P&amp;L Account 2001-2002";"VIEW4",#N/A,FALSE,"P&amp;L Account 2001-2002"}</definedName>
    <definedName name="___new4">#REF!</definedName>
    <definedName name="___new5">#REF!</definedName>
    <definedName name="___new6">#REF!</definedName>
    <definedName name="___new7">#REF!</definedName>
    <definedName name="___new8">#REF!</definedName>
    <definedName name="___new9">#REF!</definedName>
    <definedName name="___ngl97">#REF!</definedName>
    <definedName name="___ngl98">#REF!</definedName>
    <definedName name="___nh1" localSheetId="0">#REF!</definedName>
    <definedName name="___nh1">#REF!</definedName>
    <definedName name="___nis3" hidden="1">#REF!</definedName>
    <definedName name="___OLD2" hidden="1">#REF!</definedName>
    <definedName name="___p1">#REF!</definedName>
    <definedName name="___p2">#REF!</definedName>
    <definedName name="___P21">#REF!</definedName>
    <definedName name="___P22">#REF!</definedName>
    <definedName name="___p3">#REF!</definedName>
    <definedName name="___P31">#REF!</definedName>
    <definedName name="___P32">#REF!</definedName>
    <definedName name="___P33">#REF!</definedName>
    <definedName name="___P34">#REF!</definedName>
    <definedName name="___pc04">#REF!</definedName>
    <definedName name="___PC1">#REF!</definedName>
    <definedName name="___Pet1">#REF!</definedName>
    <definedName name="___Pet2">#REF!</definedName>
    <definedName name="___PEX1">#REF!</definedName>
    <definedName name="___pfd98">#REF!</definedName>
    <definedName name="___PG1" localSheetId="0">#REF!</definedName>
    <definedName name="___PG1">#REF!</definedName>
    <definedName name="___PG2">#REF!</definedName>
    <definedName name="___PG3">#REF!</definedName>
    <definedName name="___PG5" localSheetId="0">#REF!</definedName>
    <definedName name="___PG5">#REF!</definedName>
    <definedName name="___pg6" localSheetId="0">#REF!</definedName>
    <definedName name="___pg6">#REF!</definedName>
    <definedName name="___pg7" localSheetId="0">#REF!</definedName>
    <definedName name="___pg7">#REF!</definedName>
    <definedName name="___PL1">#REF!</definedName>
    <definedName name="___PLO1">#REF!</definedName>
    <definedName name="___pr04">#REF!</definedName>
    <definedName name="___pr05">#REF!</definedName>
    <definedName name="___PRN1">#REF!</definedName>
    <definedName name="___PRO3">#REF!</definedName>
    <definedName name="___PRO4">#REF!</definedName>
    <definedName name="___PRO5">#REF!</definedName>
    <definedName name="___PV1">#REF!</definedName>
    <definedName name="___PV10">#REF!</definedName>
    <definedName name="___PV2">#REF!</definedName>
    <definedName name="___QTY1">#N/A</definedName>
    <definedName name="___QTY2">#N/A</definedName>
    <definedName name="___QTY3">#N/A</definedName>
    <definedName name="___QTY4">#N/A</definedName>
    <definedName name="___RE100">#REF!</definedName>
    <definedName name="___RE104">#REF!</definedName>
    <definedName name="___RE112">#REF!</definedName>
    <definedName name="___RE26">#REF!</definedName>
    <definedName name="___RE28">#REF!</definedName>
    <definedName name="___RE30">#REF!</definedName>
    <definedName name="___RE32">#REF!</definedName>
    <definedName name="___RE34">#REF!</definedName>
    <definedName name="___RE36">#REF!</definedName>
    <definedName name="___RE38">#REF!</definedName>
    <definedName name="___RE40">#REF!</definedName>
    <definedName name="___RE42">#REF!</definedName>
    <definedName name="___RE44">#REF!</definedName>
    <definedName name="___RE48">#REF!</definedName>
    <definedName name="___RE52">#REF!</definedName>
    <definedName name="___RE56">#REF!</definedName>
    <definedName name="___RE60">#REF!</definedName>
    <definedName name="___RE64">#REF!</definedName>
    <definedName name="___RE68">#REF!</definedName>
    <definedName name="___RE72">#REF!</definedName>
    <definedName name="___RE76">#REF!</definedName>
    <definedName name="___RE80">#REF!</definedName>
    <definedName name="___RE88">#REF!</definedName>
    <definedName name="___RE92">#REF!</definedName>
    <definedName name="___RE96">#REF!</definedName>
    <definedName name="___ref11" hidden="1">#REF!</definedName>
    <definedName name="___REV01">#REF!</definedName>
    <definedName name="___RMK1">#N/A</definedName>
    <definedName name="___RMK2">#N/A</definedName>
    <definedName name="___RR11">#REF!</definedName>
    <definedName name="___RR12">#REF!</definedName>
    <definedName name="___RR13">#REF!</definedName>
    <definedName name="___RR14">#REF!</definedName>
    <definedName name="___RR15">#REF!</definedName>
    <definedName name="___s3" localSheetId="0" hidden="1">{"VIEW1",#N/A,FALSE,"P&amp;L Account 2001-2002";"VIEW2",#N/A,FALSE,"P&amp;L Account 2001-2002";"VIEW3",#N/A,FALSE,"P&amp;L Account 2001-2002";"VIEW4",#N/A,FALSE,"P&amp;L Account 2001-2002"}</definedName>
    <definedName name="___s3" hidden="1">{"VIEW1",#N/A,FALSE,"P&amp;L Account 2001-2002";"VIEW2",#N/A,FALSE,"P&amp;L Account 2001-2002";"VIEW3",#N/A,FALSE,"P&amp;L Account 2001-2002";"VIEW4",#N/A,FALSE,"P&amp;L Account 2001-2002"}</definedName>
    <definedName name="___S5" localSheetId="0" hidden="1">{"VIEW1",#N/A,FALSE,"P&amp;L Account 2001-2002";"VIEW2",#N/A,FALSE,"P&amp;L Account 2001-2002";"VIEW3",#N/A,FALSE,"P&amp;L Account 2001-2002";"VIEW4",#N/A,FALSE,"P&amp;L Account 2001-2002"}</definedName>
    <definedName name="___S5" hidden="1">{"VIEW1",#N/A,FALSE,"P&amp;L Account 2001-2002";"VIEW2",#N/A,FALSE,"P&amp;L Account 2001-2002";"VIEW3",#N/A,FALSE,"P&amp;L Account 2001-2002";"VIEW4",#N/A,FALSE,"P&amp;L Account 2001-2002"}</definedName>
    <definedName name="___SC011">#REF!</definedName>
    <definedName name="___SC034">#REF!</definedName>
    <definedName name="___SC043">#REF!</definedName>
    <definedName name="___SC068">#REF!</definedName>
    <definedName name="___SC160">#REF!</definedName>
    <definedName name="___SC211">#REF!</definedName>
    <definedName name="___SC212">#REF!</definedName>
    <definedName name="___SC213">#REF!</definedName>
    <definedName name="___SC225">#REF!</definedName>
    <definedName name="___SC268">#REF!</definedName>
    <definedName name="___SC272">#REF!</definedName>
    <definedName name="___SC274">#REF!</definedName>
    <definedName name="___SC276">#REF!</definedName>
    <definedName name="___SC279">#REF!</definedName>
    <definedName name="___SC280">#REF!</definedName>
    <definedName name="___SC281">#REF!</definedName>
    <definedName name="___SC314">#REF!</definedName>
    <definedName name="___SC315">#REF!</definedName>
    <definedName name="___SC341">#REF!</definedName>
    <definedName name="___SC376">#REF!</definedName>
    <definedName name="___SC383">#REF!</definedName>
    <definedName name="___SC384">#REF!</definedName>
    <definedName name="___SC412">#REF!</definedName>
    <definedName name="___SC444">#REF!</definedName>
    <definedName name="___SC506">#REF!</definedName>
    <definedName name="___SC581">#REF!</definedName>
    <definedName name="___SC591">#REF!</definedName>
    <definedName name="___SC592">#REF!</definedName>
    <definedName name="___SC593">#REF!</definedName>
    <definedName name="___SC594">#REF!</definedName>
    <definedName name="___SC595">#REF!</definedName>
    <definedName name="___SC597">#REF!</definedName>
    <definedName name="___SC598">#REF!</definedName>
    <definedName name="___SCG011">#REF!</definedName>
    <definedName name="___SCG034">#REF!</definedName>
    <definedName name="___SCG043">#REF!</definedName>
    <definedName name="___SCG068">#REF!</definedName>
    <definedName name="___SCG160">#REF!</definedName>
    <definedName name="___SCG211">#REF!</definedName>
    <definedName name="___SCG212">#REF!</definedName>
    <definedName name="___SCG213">#REF!</definedName>
    <definedName name="___SCG225">#REF!</definedName>
    <definedName name="___SCG268">#REF!</definedName>
    <definedName name="___SCG272">#REF!</definedName>
    <definedName name="___SCG274">#REF!</definedName>
    <definedName name="___SCG276">#REF!</definedName>
    <definedName name="___SCG279">#REF!</definedName>
    <definedName name="___SCG280">#REF!</definedName>
    <definedName name="___SCG281">#REF!</definedName>
    <definedName name="___SCG314">#REF!</definedName>
    <definedName name="___SCG315">#REF!</definedName>
    <definedName name="___SCG341">#REF!</definedName>
    <definedName name="___SCG376">#REF!</definedName>
    <definedName name="___SCG383">#REF!</definedName>
    <definedName name="___SCG384">#REF!</definedName>
    <definedName name="___SCG412">#REF!</definedName>
    <definedName name="___SCG444">#REF!</definedName>
    <definedName name="___SCG506">#REF!</definedName>
    <definedName name="___SCG581">#REF!</definedName>
    <definedName name="___SCG591">#REF!</definedName>
    <definedName name="___SCG592">#REF!</definedName>
    <definedName name="___SCG593">#REF!</definedName>
    <definedName name="___SCG594">#REF!</definedName>
    <definedName name="___SCG595">#REF!</definedName>
    <definedName name="___SCG597">#REF!</definedName>
    <definedName name="___SCG598">#REF!</definedName>
    <definedName name="___SCH1">#REF!</definedName>
    <definedName name="___SCH10">#REF!</definedName>
    <definedName name="___SCH11">#REF!</definedName>
    <definedName name="___SCH12">#REF!</definedName>
    <definedName name="___sch13">#REF!</definedName>
    <definedName name="___SCH14">#REF!</definedName>
    <definedName name="___SCH2">#REF!</definedName>
    <definedName name="___SCH3">#REF!</definedName>
    <definedName name="___SCH4">#REF!</definedName>
    <definedName name="___SCH5">#REF!</definedName>
    <definedName name="___SCH6" localSheetId="25">#REF!</definedName>
    <definedName name="___SCH6" localSheetId="0">#REF!</definedName>
    <definedName name="___SCH6" localSheetId="11">#REF!</definedName>
    <definedName name="___SCH6" localSheetId="13">#REF!</definedName>
    <definedName name="___SCH6" localSheetId="14">#REF!</definedName>
    <definedName name="___SCH6" localSheetId="43">#REF!</definedName>
    <definedName name="___SCH6" localSheetId="61">#REF!</definedName>
    <definedName name="___SCH6" localSheetId="63">#REF!</definedName>
    <definedName name="___SCH6" localSheetId="64">#REF!</definedName>
    <definedName name="___SCH6" localSheetId="16">#REF!</definedName>
    <definedName name="___SCH6" localSheetId="17">#REF!</definedName>
    <definedName name="___SCH6" localSheetId="26">#REF!</definedName>
    <definedName name="___SCH6" localSheetId="32">#REF!</definedName>
    <definedName name="___SCH6" localSheetId="33">#REF!</definedName>
    <definedName name="___SCH6" localSheetId="34">#REF!</definedName>
    <definedName name="___SCH6" localSheetId="35">#REF!</definedName>
    <definedName name="___SCH6" localSheetId="5">#REF!</definedName>
    <definedName name="___SCH6">#REF!</definedName>
    <definedName name="___SCH7">#REF!</definedName>
    <definedName name="___SCH8">#REF!</definedName>
    <definedName name="___SCH9">#REF!</definedName>
    <definedName name="___sh1">#REF!</definedName>
    <definedName name="___sh2">#REF!</definedName>
    <definedName name="___sh3">#REF!</definedName>
    <definedName name="___sh4">#REF!</definedName>
    <definedName name="___SSS1">#REF!</definedName>
    <definedName name="___SSS2" localSheetId="0">#REF!</definedName>
    <definedName name="___SSS2">#REF!</definedName>
    <definedName name="___sy14">#REF!</definedName>
    <definedName name="___thinkcell11wvTEL6W0W2zDrq5o.quA" hidden="1">#REF!</definedName>
    <definedName name="___TOT1">#REF!</definedName>
    <definedName name="___TOT2">#REF!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s1">#REF!</definedName>
    <definedName name="___ts2">#REF!</definedName>
    <definedName name="___USD1" localSheetId="0">#REF!</definedName>
    <definedName name="___USD1">#REF!</definedName>
    <definedName name="___USD2" localSheetId="0">#REF!</definedName>
    <definedName name="___USD2">#REF!</definedName>
    <definedName name="___USD3" localSheetId="0">#REF!</definedName>
    <definedName name="___USD3">#REF!</definedName>
    <definedName name="___Val1">#REF!</definedName>
    <definedName name="___val2">#REF!</definedName>
    <definedName name="___val3">#REF!</definedName>
    <definedName name="___vid5" localSheetId="0" hidden="1">{"VIEW1",#N/A,FALSE,"P&amp;L Account 2001-2002";"VIEW2",#N/A,FALSE,"P&amp;L Account 2001-2002";"VIEW3",#N/A,FALSE,"P&amp;L Account 2001-2002";"VIEW4",#N/A,FALSE,"P&amp;L Account 2001-2002"}</definedName>
    <definedName name="___vid5" hidden="1">{"VIEW1",#N/A,FALSE,"P&amp;L Account 2001-2002";"VIEW2",#N/A,FALSE,"P&amp;L Account 2001-2002";"VIEW3",#N/A,FALSE,"P&amp;L Account 2001-2002";"VIEW4",#N/A,FALSE,"P&amp;L Account 2001-2002"}</definedName>
    <definedName name="___vid6" localSheetId="0" hidden="1">{"VIEW1",#N/A,FALSE,"P&amp;L Account 2001-2002";"VIEW2",#N/A,FALSE,"P&amp;L Account 2001-2002";"VIEW3",#N/A,FALSE,"P&amp;L Account 2001-2002";"VIEW4",#N/A,FALSE,"P&amp;L Account 2001-2002"}</definedName>
    <definedName name="___vid6" hidden="1">{"VIEW1",#N/A,FALSE,"P&amp;L Account 2001-2002";"VIEW2",#N/A,FALSE,"P&amp;L Account 2001-2002";"VIEW3",#N/A,FALSE,"P&amp;L Account 2001-2002";"VIEW4",#N/A,FALSE,"P&amp;L Account 2001-2002"}</definedName>
    <definedName name="___VID7" localSheetId="0" hidden="1">{"VIEW1",#N/A,FALSE,"P&amp;L Account 2001-2002";"VIEW2",#N/A,FALSE,"P&amp;L Account 2001-2002";"VIEW3",#N/A,FALSE,"P&amp;L Account 2001-2002";"VIEW4",#N/A,FALSE,"P&amp;L Account 2001-2002"}</definedName>
    <definedName name="___VID7" hidden="1">{"VIEW1",#N/A,FALSE,"P&amp;L Account 2001-2002";"VIEW2",#N/A,FALSE,"P&amp;L Account 2001-2002";"VIEW3",#N/A,FALSE,"P&amp;L Account 2001-2002";"VIEW4",#N/A,FALSE,"P&amp;L Account 2001-2002"}</definedName>
    <definedName name="___VIR5" localSheetId="0" hidden="1">{"VIEW1",#N/A,FALSE,"P&amp;L Account 2001-2002";"VIEW2",#N/A,FALSE,"P&amp;L Account 2001-2002";"VIEW3",#N/A,FALSE,"P&amp;L Account 2001-2002";"VIEW4",#N/A,FALSE,"P&amp;L Account 2001-2002"}</definedName>
    <definedName name="___VIR5" hidden="1">{"VIEW1",#N/A,FALSE,"P&amp;L Account 2001-2002";"VIEW2",#N/A,FALSE,"P&amp;L Account 2001-2002";"VIEW3",#N/A,FALSE,"P&amp;L Account 2001-2002";"VIEW4",#N/A,FALSE,"P&amp;L Account 2001-2002"}</definedName>
    <definedName name="___VIR6" localSheetId="0" hidden="1">{"VIEW1",#N/A,FALSE,"P&amp;L Account 2001-2002";"VIEW2",#N/A,FALSE,"P&amp;L Account 2001-2002";"VIEW3",#N/A,FALSE,"P&amp;L Account 2001-2002";"VIEW4",#N/A,FALSE,"P&amp;L Account 2001-2002"}</definedName>
    <definedName name="___VIR6" hidden="1">{"VIEW1",#N/A,FALSE,"P&amp;L Account 2001-2002";"VIEW2",#N/A,FALSE,"P&amp;L Account 2001-2002";"VIEW3",#N/A,FALSE,"P&amp;L Account 2001-2002";"VIEW4",#N/A,FALSE,"P&amp;L Account 2001-2002"}</definedName>
    <definedName name="___w123" localSheetId="25" hidden="1">{"Edition",#N/A,FALSE,"Data"}</definedName>
    <definedName name="___w123" localSheetId="0" hidden="1">{"Edition",#N/A,FALSE,"Data"}</definedName>
    <definedName name="___w123" localSheetId="5" hidden="1">{"Edition",#N/A,FALSE,"Data"}</definedName>
    <definedName name="___w123" hidden="1">{"Edition",#N/A,FALSE,"Data"}</definedName>
    <definedName name="___WCM2">#REF!</definedName>
    <definedName name="___WCM3">#REF!</definedName>
    <definedName name="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WRN2" hidden="1">{#N/A,#N/A,FALSE,"COVER1.XLS ";#N/A,#N/A,FALSE,"RACT1.XLS";#N/A,#N/A,FALSE,"RACT2.XLS";#N/A,#N/A,FALSE,"ECCMP";#N/A,#N/A,FALSE,"WELDER.XLS"}</definedName>
    <definedName name="___WRN3" hidden="1">{#N/A,#N/A,FALSE,"consu_cover";#N/A,#N/A,FALSE,"consu_strategy";#N/A,#N/A,FALSE,"consu_flow";#N/A,#N/A,FALSE,"Summary_reqmt";#N/A,#N/A,FALSE,"field_ppg";#N/A,#N/A,FALSE,"ppg_shop";#N/A,#N/A,FALSE,"strl";#N/A,#N/A,FALSE,"tankages";#N/A,#N/A,FALSE,"gases"}</definedName>
    <definedName name="___XL__ENTER_UNIT" localSheetId="11">#REF!</definedName>
    <definedName name="___XL__ENTER_UNIT" localSheetId="13">#REF!</definedName>
    <definedName name="___XL__ENTER_UNIT" localSheetId="16">#REF!</definedName>
    <definedName name="___XL__ENTER_UNIT" localSheetId="26">#REF!</definedName>
    <definedName name="___XL__ENTER_UNIT" localSheetId="32">#REF!</definedName>
    <definedName name="___XL__ENTER_UNIT" localSheetId="33">#REF!</definedName>
    <definedName name="___XL__ENTER_UNIT" localSheetId="34">#REF!</definedName>
    <definedName name="___XL__ENTER_UNIT" localSheetId="35">#REF!</definedName>
    <definedName name="___XL__ENTER_UNIT">#REF!</definedName>
    <definedName name="___xlfn.BAHTTEXT" hidden="1">#NAME?</definedName>
    <definedName name="___xx500">#REF!</definedName>
    <definedName name="___za1" localSheetId="0">#REF!</definedName>
    <definedName name="___za1">#REF!</definedName>
    <definedName name="___zz1" localSheetId="0">#REF!</definedName>
    <definedName name="___zz1">#REF!</definedName>
    <definedName name="__1_" localSheetId="0">#REF!</definedName>
    <definedName name="__1_">#REF!</definedName>
    <definedName name="__1_0EBITDA_Sh">#REF!</definedName>
    <definedName name="__10GOTO_B_A189">#REF!</definedName>
    <definedName name="__10GOTO_I_A1">#REF!</definedName>
    <definedName name="__11GOTO_J_A1">#REF!</definedName>
    <definedName name="__123Graph" hidden="1">#REF!</definedName>
    <definedName name="__123Graph_A" localSheetId="25" hidden="1">#REF!</definedName>
    <definedName name="__123Graph_A" localSheetId="0" hidden="1">#REF!</definedName>
    <definedName name="__123Graph_A" localSheetId="11" hidden="1">#REF!</definedName>
    <definedName name="__123Graph_A" localSheetId="13" hidden="1">#REF!</definedName>
    <definedName name="__123Graph_A" localSheetId="43" hidden="1">#REF!</definedName>
    <definedName name="__123Graph_A" localSheetId="16" hidden="1">#REF!</definedName>
    <definedName name="__123Graph_A" localSheetId="26"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5" hidden="1">#REF!</definedName>
    <definedName name="__123Graph_A" hidden="1">#REF!</definedName>
    <definedName name="__123Graph_ACAD" hidden="1">#REF!</definedName>
    <definedName name="__123Graph_ACAD1" hidden="1">#REF!</definedName>
    <definedName name="__123Graph_ACAD2" hidden="1">#REF!</definedName>
    <definedName name="__123Graph_ACHART1" localSheetId="0" hidden="1">#REF!</definedName>
    <definedName name="__123Graph_AChart1" hidden="1">#REF!</definedName>
    <definedName name="__123Graph_ACHART10" localSheetId="0" hidden="1">#REF!</definedName>
    <definedName name="__123Graph_ACHART10" hidden="1">#REF!</definedName>
    <definedName name="__123Graph_AChart11" localSheetId="0" hidden="1">#REF!</definedName>
    <definedName name="__123Graph_AChart11" hidden="1">#REF!</definedName>
    <definedName name="__123Graph_ACHART2" localSheetId="0" hidden="1">#REF!</definedName>
    <definedName name="__123Graph_ACHART2" hidden="1">#REF!</definedName>
    <definedName name="__123Graph_ACHART3" localSheetId="0" hidden="1">#REF!</definedName>
    <definedName name="__123Graph_ACHART3" hidden="1">#REF!</definedName>
    <definedName name="__123Graph_ACHART4" localSheetId="0" hidden="1">#REF!</definedName>
    <definedName name="__123Graph_ACHART4" hidden="1">#REF!</definedName>
    <definedName name="__123Graph_ACHART5" localSheetId="0" hidden="1">#REF!</definedName>
    <definedName name="__123Graph_ACHART5" hidden="1">#REF!</definedName>
    <definedName name="__123Graph_ACHART6" localSheetId="0" hidden="1">#REF!</definedName>
    <definedName name="__123Graph_ACHART6" hidden="1">#REF!</definedName>
    <definedName name="__123Graph_ACHART7" localSheetId="0" hidden="1">#REF!</definedName>
    <definedName name="__123Graph_ACHART7" hidden="1">#REF!</definedName>
    <definedName name="__123Graph_ACHART8" localSheetId="0" hidden="1">#REF!</definedName>
    <definedName name="__123Graph_ACHART8" hidden="1">#REF!</definedName>
    <definedName name="__123Graph_ACHART9" localSheetId="0" hidden="1">#REF!</definedName>
    <definedName name="__123Graph_ACHART9" hidden="1">#REF!</definedName>
    <definedName name="__123Graph_ACOL" hidden="1">#REF!</definedName>
    <definedName name="__123Graph_ACOL2" hidden="1">#REF!</definedName>
    <definedName name="__123Graph_ACOL3" hidden="1">#REF!</definedName>
    <definedName name="__123Graph_ACUMMTHSALES" hidden="1">#REF!</definedName>
    <definedName name="__123Graph_ACurrent" localSheetId="0" hidden="1">#REF!</definedName>
    <definedName name="__123Graph_ACurrent" hidden="1">#REF!</definedName>
    <definedName name="__123Graph_ADEMAND" hidden="1">#REF!</definedName>
    <definedName name="__123Graph_ADMD_2" hidden="1">#REF!</definedName>
    <definedName name="__123Graph_AFAC" hidden="1">#REF!</definedName>
    <definedName name="__123Graph_AFAC_COMP" hidden="1">#REF!</definedName>
    <definedName name="__123Graph_AGraph4" hidden="1">#REF!</definedName>
    <definedName name="__123Graph_AMTHSALES" hidden="1">#REF!</definedName>
    <definedName name="__123Graph_ASTATPROG" hidden="1">#REF!</definedName>
    <definedName name="__123Graph_ASTNPLF" localSheetId="25" hidden="1">#REF!</definedName>
    <definedName name="__123Graph_ASTNPLF" localSheetId="0" hidden="1">#REF!</definedName>
    <definedName name="__123Graph_ASTNPLF" localSheetId="11" hidden="1">#REF!</definedName>
    <definedName name="__123Graph_ASTNPLF" localSheetId="13" hidden="1">#REF!</definedName>
    <definedName name="__123Graph_ASTNPLF" localSheetId="43" hidden="1">#REF!</definedName>
    <definedName name="__123Graph_ASTNPLF" localSheetId="16" hidden="1">#REF!</definedName>
    <definedName name="__123Graph_ASTNPLF" localSheetId="26" hidden="1">#REF!</definedName>
    <definedName name="__123Graph_ASTNPLF" localSheetId="32" hidden="1">#REF!</definedName>
    <definedName name="__123Graph_ASTNPLF" localSheetId="33" hidden="1">#REF!</definedName>
    <definedName name="__123Graph_ASTNPLF" localSheetId="34" hidden="1">#REF!</definedName>
    <definedName name="__123Graph_ASTNPLF" localSheetId="35" hidden="1">#REF!</definedName>
    <definedName name="__123Graph_ASTNPLF" localSheetId="5" hidden="1">#REF!</definedName>
    <definedName name="__123Graph_ASTNPLF" hidden="1">#REF!</definedName>
    <definedName name="__123Graph_ATOTTOVER" hidden="1">#REF!</definedName>
    <definedName name="__123Graph_AWEEKSALES" hidden="1">#REF!</definedName>
    <definedName name="__123Graph_B" localSheetId="25" hidden="1">#REF!</definedName>
    <definedName name="__123Graph_B" localSheetId="0" hidden="1">#REF!</definedName>
    <definedName name="__123Graph_B" localSheetId="11" hidden="1">#REF!</definedName>
    <definedName name="__123Graph_B" localSheetId="13" hidden="1">#REF!</definedName>
    <definedName name="__123Graph_B" localSheetId="43" hidden="1">#REF!</definedName>
    <definedName name="__123Graph_B" localSheetId="16" hidden="1">#REF!</definedName>
    <definedName name="__123Graph_B" localSheetId="26"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5" hidden="1">#REF!</definedName>
    <definedName name="__123Graph_B" hidden="1">#REF!</definedName>
    <definedName name="__123Graph_BCAD" hidden="1">#REF!</definedName>
    <definedName name="__123Graph_BCAD1" hidden="1">#REF!</definedName>
    <definedName name="__123Graph_BCAD2" hidden="1">#REF!</definedName>
    <definedName name="__123Graph_BCHART1" localSheetId="0" hidden="1">#REF!</definedName>
    <definedName name="__123Graph_BCHART1" hidden="1">#REF!</definedName>
    <definedName name="__123Graph_BCHART10" localSheetId="0" hidden="1">#REF!</definedName>
    <definedName name="__123Graph_BCHART10" hidden="1">#REF!</definedName>
    <definedName name="__123Graph_BChart11" localSheetId="0" hidden="1">#REF!</definedName>
    <definedName name="__123Graph_BChart11" hidden="1">#REF!</definedName>
    <definedName name="__123Graph_BCHART2" localSheetId="0" hidden="1">#REF!</definedName>
    <definedName name="__123Graph_BCHART2" hidden="1">#REF!</definedName>
    <definedName name="__123Graph_BCHART3" localSheetId="0" hidden="1">#REF!</definedName>
    <definedName name="__123Graph_BCHART3" hidden="1">#REF!</definedName>
    <definedName name="__123Graph_BCHART4" localSheetId="0" hidden="1">#REF!</definedName>
    <definedName name="__123Graph_BCHART4" hidden="1">#REF!</definedName>
    <definedName name="__123Graph_BCHART5" localSheetId="0" hidden="1">#REF!</definedName>
    <definedName name="__123Graph_BCHART5" hidden="1">#REF!</definedName>
    <definedName name="__123Graph_BCHART6" localSheetId="0" hidden="1">#REF!</definedName>
    <definedName name="__123Graph_BCHART6" hidden="1">#REF!</definedName>
    <definedName name="__123Graph_BCHART7" localSheetId="0" hidden="1">#REF!</definedName>
    <definedName name="__123Graph_BCHART7" hidden="1">#REF!</definedName>
    <definedName name="__123Graph_BCHART8" localSheetId="0" hidden="1">#REF!</definedName>
    <definedName name="__123Graph_BCHART8" hidden="1">#REF!</definedName>
    <definedName name="__123Graph_BCHART9" localSheetId="0" hidden="1">#REF!</definedName>
    <definedName name="__123Graph_BCHART9" hidden="1">#REF!</definedName>
    <definedName name="__123Graph_BCOL" hidden="1">#REF!</definedName>
    <definedName name="__123Graph_BCOL2" hidden="1">#REF!</definedName>
    <definedName name="__123Graph_BCOL3" hidden="1">#REF!</definedName>
    <definedName name="__123Graph_BCUMMTHSALES" hidden="1">#REF!</definedName>
    <definedName name="__123Graph_BCurrent" localSheetId="0" hidden="1">#REF!</definedName>
    <definedName name="__123Graph_BCurrent" hidden="1">#REF!</definedName>
    <definedName name="__123Graph_BDMD_2" hidden="1">#REF!</definedName>
    <definedName name="__123Graph_BFAC" hidden="1">#REF!</definedName>
    <definedName name="__123Graph_BFAC_COMP" hidden="1">#REF!</definedName>
    <definedName name="__123Graph_BGraph4" hidden="1">#REF!</definedName>
    <definedName name="__123Graph_BMTHSALES" hidden="1">#REF!</definedName>
    <definedName name="__123Graph_BSTNPLF" localSheetId="25" hidden="1">#REF!</definedName>
    <definedName name="__123Graph_BSTNPLF" localSheetId="0" hidden="1">#REF!</definedName>
    <definedName name="__123Graph_BSTNPLF" localSheetId="11" hidden="1">#REF!</definedName>
    <definedName name="__123Graph_BSTNPLF" localSheetId="13" hidden="1">#REF!</definedName>
    <definedName name="__123Graph_BSTNPLF" localSheetId="43" hidden="1">#REF!</definedName>
    <definedName name="__123Graph_BSTNPLF" localSheetId="16" hidden="1">#REF!</definedName>
    <definedName name="__123Graph_BSTNPLF" localSheetId="26" hidden="1">#REF!</definedName>
    <definedName name="__123Graph_BSTNPLF" localSheetId="32" hidden="1">#REF!</definedName>
    <definedName name="__123Graph_BSTNPLF" localSheetId="33" hidden="1">#REF!</definedName>
    <definedName name="__123Graph_BSTNPLF" localSheetId="34" hidden="1">#REF!</definedName>
    <definedName name="__123Graph_BSTNPLF" localSheetId="35" hidden="1">#REF!</definedName>
    <definedName name="__123Graph_BSTNPLF" localSheetId="5" hidden="1">#REF!</definedName>
    <definedName name="__123Graph_BSTNPLF" hidden="1">#REF!</definedName>
    <definedName name="__123Graph_BTRENDS" hidden="1">#REF!</definedName>
    <definedName name="__123Graph_BWEEKSALES" hidden="1">#REF!</definedName>
    <definedName name="__123Graph_C" localSheetId="25" hidden="1">#REF!</definedName>
    <definedName name="__123Graph_C" localSheetId="0" hidden="1">#REF!</definedName>
    <definedName name="__123Graph_C" localSheetId="11" hidden="1">#REF!</definedName>
    <definedName name="__123Graph_C" localSheetId="13" hidden="1">#REF!</definedName>
    <definedName name="__123Graph_C" localSheetId="43" hidden="1">#REF!</definedName>
    <definedName name="__123Graph_C" localSheetId="16" hidden="1">#REF!</definedName>
    <definedName name="__123Graph_C" localSheetId="26"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5" hidden="1">#REF!</definedName>
    <definedName name="__123Graph_C" hidden="1">#REF!</definedName>
    <definedName name="__123Graph_CCAD" hidden="1">#REF!</definedName>
    <definedName name="__123Graph_CCAD1" hidden="1">#REF!</definedName>
    <definedName name="__123Graph_CCAD2" hidden="1">#REF!</definedName>
    <definedName name="__123Graph_CCHART1" localSheetId="0" hidden="1">#REF!</definedName>
    <definedName name="__123Graph_CCHART1" hidden="1">#REF!</definedName>
    <definedName name="__123Graph_CCHART10" localSheetId="0" hidden="1">#REF!</definedName>
    <definedName name="__123Graph_CCHART10" hidden="1">#REF!</definedName>
    <definedName name="__123Graph_CChart11" localSheetId="0" hidden="1">#REF!</definedName>
    <definedName name="__123Graph_CChart11" hidden="1">#REF!</definedName>
    <definedName name="__123Graph_CCHART2" localSheetId="0" hidden="1">#REF!</definedName>
    <definedName name="__123Graph_CCHART2" hidden="1">#REF!</definedName>
    <definedName name="__123Graph_CCHART3" localSheetId="0" hidden="1">#REF!</definedName>
    <definedName name="__123Graph_CCHART3" hidden="1">#REF!</definedName>
    <definedName name="__123Graph_CCHART4" localSheetId="0" hidden="1">#REF!</definedName>
    <definedName name="__123Graph_CCHART4" hidden="1">#REF!</definedName>
    <definedName name="__123Graph_CCHART5" localSheetId="0" hidden="1">#REF!</definedName>
    <definedName name="__123Graph_CCHART5" hidden="1">#REF!</definedName>
    <definedName name="__123Graph_CCHART6" localSheetId="0" hidden="1">#REF!</definedName>
    <definedName name="__123Graph_CCHART6" hidden="1">#REF!</definedName>
    <definedName name="__123Graph_CCHART7" localSheetId="0" hidden="1">#REF!</definedName>
    <definedName name="__123Graph_CCHART7" hidden="1">#REF!</definedName>
    <definedName name="__123Graph_CCHART8" localSheetId="0" hidden="1">#REF!</definedName>
    <definedName name="__123Graph_CCHART8" hidden="1">#REF!</definedName>
    <definedName name="__123Graph_CCHART9" localSheetId="0" hidden="1">#REF!</definedName>
    <definedName name="__123Graph_CCHART9" hidden="1">#REF!</definedName>
    <definedName name="__123Graph_CCOL" hidden="1">#REF!</definedName>
    <definedName name="__123Graph_CCOL2" hidden="1">#REF!</definedName>
    <definedName name="__123Graph_CCOL3" hidden="1">#REF!</definedName>
    <definedName name="__123Graph_CCUMMTHSALES" hidden="1">#REF!</definedName>
    <definedName name="__123Graph_CCurrent" localSheetId="0" hidden="1">#REF!</definedName>
    <definedName name="__123Graph_CCurrent" hidden="1">#REF!</definedName>
    <definedName name="__123Graph_CGraph4" hidden="1">#REF!</definedName>
    <definedName name="__123Graph_CMTHSALES" hidden="1">#REF!</definedName>
    <definedName name="__123Graph_CSTNPLF" localSheetId="25" hidden="1">#REF!</definedName>
    <definedName name="__123Graph_CSTNPLF" localSheetId="0" hidden="1">#REF!</definedName>
    <definedName name="__123Graph_CSTNPLF" localSheetId="11" hidden="1">#REF!</definedName>
    <definedName name="__123Graph_CSTNPLF" localSheetId="13" hidden="1">#REF!</definedName>
    <definedName name="__123Graph_CSTNPLF" localSheetId="43" hidden="1">#REF!</definedName>
    <definedName name="__123Graph_CSTNPLF" localSheetId="16" hidden="1">#REF!</definedName>
    <definedName name="__123Graph_CSTNPLF" localSheetId="26" hidden="1">#REF!</definedName>
    <definedName name="__123Graph_CSTNPLF" localSheetId="32" hidden="1">#REF!</definedName>
    <definedName name="__123Graph_CSTNPLF" localSheetId="33" hidden="1">#REF!</definedName>
    <definedName name="__123Graph_CSTNPLF" localSheetId="34" hidden="1">#REF!</definedName>
    <definedName name="__123Graph_CSTNPLF" localSheetId="35" hidden="1">#REF!</definedName>
    <definedName name="__123Graph_CSTNPLF" localSheetId="5" hidden="1">#REF!</definedName>
    <definedName name="__123Graph_CSTNPLF" hidden="1">#REF!</definedName>
    <definedName name="__123Graph_CTRENDS" hidden="1">#REF!</definedName>
    <definedName name="__123Graph_D" localSheetId="0" hidden="1">#REF!</definedName>
    <definedName name="__123Graph_D" hidden="1">#REF!</definedName>
    <definedName name="__123Graph_DCAD" hidden="1">#REF!</definedName>
    <definedName name="__123Graph_DCAD1" hidden="1">#REF!</definedName>
    <definedName name="__123Graph_DCAD2" hidden="1">#REF!</definedName>
    <definedName name="__123Graph_DCHART1" localSheetId="0" hidden="1">#REF!</definedName>
    <definedName name="__123Graph_DCHART1" hidden="1">#REF!</definedName>
    <definedName name="__123Graph_DCHART10" localSheetId="0" hidden="1">#REF!</definedName>
    <definedName name="__123Graph_DCHART10" hidden="1">#REF!</definedName>
    <definedName name="__123Graph_DChart11" localSheetId="0" hidden="1">#REF!</definedName>
    <definedName name="__123Graph_DChart11" hidden="1">#REF!</definedName>
    <definedName name="__123Graph_DCHART2" localSheetId="0" hidden="1">#REF!</definedName>
    <definedName name="__123Graph_DCHART2" hidden="1">#REF!</definedName>
    <definedName name="__123Graph_DCHART3" localSheetId="0" hidden="1">#REF!</definedName>
    <definedName name="__123Graph_DCHART3" hidden="1">#REF!</definedName>
    <definedName name="__123Graph_DCHART4" localSheetId="0" hidden="1">#REF!</definedName>
    <definedName name="__123Graph_DCHART4" hidden="1">#REF!</definedName>
    <definedName name="__123Graph_DCHART5" localSheetId="0" hidden="1">#REF!</definedName>
    <definedName name="__123Graph_DCHART5" hidden="1">#REF!</definedName>
    <definedName name="__123Graph_DCHART6" localSheetId="0" hidden="1">#REF!</definedName>
    <definedName name="__123Graph_DCHART6" hidden="1">#REF!</definedName>
    <definedName name="__123Graph_DCHART7" localSheetId="0" hidden="1">#REF!</definedName>
    <definedName name="__123Graph_DCHART7" hidden="1">#REF!</definedName>
    <definedName name="__123Graph_DCHART8" localSheetId="0" hidden="1">#REF!</definedName>
    <definedName name="__123Graph_DCHART8" hidden="1">#REF!</definedName>
    <definedName name="__123Graph_DCHART9" localSheetId="0" hidden="1">#REF!</definedName>
    <definedName name="__123Graph_DCHART9" hidden="1">#REF!</definedName>
    <definedName name="__123Graph_DCOL" hidden="1">#REF!</definedName>
    <definedName name="__123Graph_DCOL2" hidden="1">#REF!</definedName>
    <definedName name="__123Graph_DCOL3" hidden="1">#REF!</definedName>
    <definedName name="__123Graph_DCUMMTHSALES" hidden="1">#REF!</definedName>
    <definedName name="__123Graph_DCURRENT" localSheetId="0" hidden="1">#REF!</definedName>
    <definedName name="__123Graph_DCURRENT" hidden="1">#REF!</definedName>
    <definedName name="__123Graph_DMTHSALES" hidden="1">#REF!</definedName>
    <definedName name="__123Graph_DTRENDS" hidden="1">#REF!</definedName>
    <definedName name="__123Graph_E" localSheetId="0" hidden="1">#REF!</definedName>
    <definedName name="__123Graph_E" hidden="1">#REF!</definedName>
    <definedName name="__123Graph_ECAD" hidden="1">#REF!</definedName>
    <definedName name="__123Graph_ECAD1" hidden="1">#REF!</definedName>
    <definedName name="__123Graph_ECAD2" hidden="1">#REF!</definedName>
    <definedName name="__123Graph_ECHART1" localSheetId="0" hidden="1">#REF!</definedName>
    <definedName name="__123Graph_ECHART1" hidden="1">#REF!</definedName>
    <definedName name="__123Graph_ECHART10" localSheetId="0" hidden="1">#REF!</definedName>
    <definedName name="__123Graph_ECHART10" hidden="1">#REF!</definedName>
    <definedName name="__123Graph_EChart11" localSheetId="0" hidden="1">#REF!</definedName>
    <definedName name="__123Graph_EChart11" hidden="1">#REF!</definedName>
    <definedName name="__123Graph_ECHART2" localSheetId="0" hidden="1">#REF!</definedName>
    <definedName name="__123Graph_ECHART2" hidden="1">#REF!</definedName>
    <definedName name="__123Graph_ECHART3" localSheetId="0" hidden="1">#REF!</definedName>
    <definedName name="__123Graph_ECHART3" hidden="1">#REF!</definedName>
    <definedName name="__123Graph_ECHART4" localSheetId="0" hidden="1">#REF!</definedName>
    <definedName name="__123Graph_ECHART4" hidden="1">#REF!</definedName>
    <definedName name="__123Graph_ECHART5" localSheetId="0" hidden="1">#REF!</definedName>
    <definedName name="__123Graph_ECHART5" hidden="1">#REF!</definedName>
    <definedName name="__123Graph_ECHART6" localSheetId="0" hidden="1">#REF!</definedName>
    <definedName name="__123Graph_ECHART6" hidden="1">#REF!</definedName>
    <definedName name="__123Graph_ECHART7" localSheetId="0" hidden="1">#REF!</definedName>
    <definedName name="__123Graph_ECHART7" hidden="1">#REF!</definedName>
    <definedName name="__123Graph_ECHART8" localSheetId="0" hidden="1">#REF!</definedName>
    <definedName name="__123Graph_ECHART8" hidden="1">#REF!</definedName>
    <definedName name="__123Graph_ECHART9" localSheetId="0" hidden="1">#REF!</definedName>
    <definedName name="__123Graph_ECHART9" hidden="1">#REF!</definedName>
    <definedName name="__123Graph_ECOL" hidden="1">#REF!</definedName>
    <definedName name="__123Graph_ECOL2" hidden="1">#REF!</definedName>
    <definedName name="__123Graph_ECOL3" hidden="1">#REF!</definedName>
    <definedName name="__123Graph_ECUMMTHSALES" hidden="1">#REF!</definedName>
    <definedName name="__123Graph_ECurrent" localSheetId="0" hidden="1">#REF!</definedName>
    <definedName name="__123Graph_ECurrent" hidden="1">#REF!</definedName>
    <definedName name="__123Graph_EMTHSALES" hidden="1">#REF!</definedName>
    <definedName name="__123Graph_ETRENDS" hidden="1">#REF!</definedName>
    <definedName name="__123Graph_F" localSheetId="0" hidden="1">#REF!</definedName>
    <definedName name="__123Graph_F" hidden="1">#REF!</definedName>
    <definedName name="__123Graph_FCAD2" hidden="1">#REF!</definedName>
    <definedName name="__123Graph_FCHART1" localSheetId="0" hidden="1">#REF!</definedName>
    <definedName name="__123Graph_FCHART1" hidden="1">#REF!</definedName>
    <definedName name="__123Graph_FCHART10" localSheetId="0" hidden="1">#REF!</definedName>
    <definedName name="__123Graph_FCHART10" hidden="1">#REF!</definedName>
    <definedName name="__123Graph_FChart11" localSheetId="0" hidden="1">#REF!</definedName>
    <definedName name="__123Graph_FChart11" hidden="1">#REF!</definedName>
    <definedName name="__123Graph_FCHART2" localSheetId="0" hidden="1">#REF!</definedName>
    <definedName name="__123Graph_FCHART2" hidden="1">#REF!</definedName>
    <definedName name="__123Graph_FCHART3" localSheetId="0" hidden="1">#REF!</definedName>
    <definedName name="__123Graph_FCHART3" hidden="1">#REF!</definedName>
    <definedName name="__123Graph_FCHART4" localSheetId="0" hidden="1">#REF!</definedName>
    <definedName name="__123Graph_FCHART4" hidden="1">#REF!</definedName>
    <definedName name="__123Graph_FCHART5" localSheetId="0" hidden="1">#REF!</definedName>
    <definedName name="__123Graph_FCHART5" hidden="1">#REF!</definedName>
    <definedName name="__123Graph_FCHART6" localSheetId="0" hidden="1">#REF!</definedName>
    <definedName name="__123Graph_FCHART6" hidden="1">#REF!</definedName>
    <definedName name="__123Graph_FCHART7" localSheetId="0" hidden="1">#REF!</definedName>
    <definedName name="__123Graph_FCHART7" hidden="1">#REF!</definedName>
    <definedName name="__123Graph_FCHART8" localSheetId="0" hidden="1">#REF!</definedName>
    <definedName name="__123Graph_FCHART8" hidden="1">#REF!</definedName>
    <definedName name="__123Graph_FCHART9" localSheetId="0" hidden="1">#REF!</definedName>
    <definedName name="__123Graph_FCHART9" hidden="1">#REF!</definedName>
    <definedName name="__123Graph_FCOL3" hidden="1">#REF!</definedName>
    <definedName name="__123Graph_FCUMMTHSALES" hidden="1">#REF!</definedName>
    <definedName name="__123Graph_FCurrent" localSheetId="0" hidden="1">#REF!</definedName>
    <definedName name="__123Graph_FCurrent" hidden="1">#REF!</definedName>
    <definedName name="__123Graph_FMTHSALES" hidden="1">#REF!</definedName>
    <definedName name="__123Graph_FOHEAD" hidden="1">#REF!</definedName>
    <definedName name="__123Graph_FWEEKSALES" hidden="1">#REF!</definedName>
    <definedName name="__123Graph_LBL_A" hidden="1">#REF!</definedName>
    <definedName name="__123Graph_LBL_ADEMAND" hidden="1">#REF!</definedName>
    <definedName name="__123Graph_LBL_ADMD_2" hidden="1">#REF!</definedName>
    <definedName name="__123Graph_LBL_AFAC" hidden="1">#REF!</definedName>
    <definedName name="__123Graph_LBL_AFAC_COMP" hidden="1">#REF!</definedName>
    <definedName name="__123Graph_LBL_B" localSheetId="0" hidden="1">#REF!</definedName>
    <definedName name="__123Graph_LBL_B" hidden="1">#REF!</definedName>
    <definedName name="__123Graph_LBL_BDMD_2" hidden="1">#REF!</definedName>
    <definedName name="__123Graph_LBL_BFAC" hidden="1">#REF!</definedName>
    <definedName name="__123Graph_LBL_BFAC_COMP" hidden="1">#REF!</definedName>
    <definedName name="__123Graph_X" localSheetId="25" hidden="1">#REF!</definedName>
    <definedName name="__123Graph_X" localSheetId="0" hidden="1">#REF!</definedName>
    <definedName name="__123Graph_X" localSheetId="11" hidden="1">#REF!</definedName>
    <definedName name="__123Graph_X" localSheetId="13" hidden="1">#REF!</definedName>
    <definedName name="__123Graph_X" localSheetId="43" hidden="1">#REF!</definedName>
    <definedName name="__123Graph_X" localSheetId="16" hidden="1">#REF!</definedName>
    <definedName name="__123Graph_X" localSheetId="26"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5" hidden="1">#REF!</definedName>
    <definedName name="__123Graph_X" hidden="1">#REF!</definedName>
    <definedName name="__123Graph_XCAD" hidden="1">#REF!</definedName>
    <definedName name="__123Graph_XCAD1" hidden="1">#REF!</definedName>
    <definedName name="__123Graph_XCAD2" hidden="1">#REF!</definedName>
    <definedName name="__123Graph_XCHART1" localSheetId="0" hidden="1">#REF!</definedName>
    <definedName name="__123Graph_XCHART1" hidden="1">#REF!</definedName>
    <definedName name="__123Graph_XCHART10" localSheetId="0" hidden="1">#REF!</definedName>
    <definedName name="__123Graph_XCHART10" hidden="1">#REF!</definedName>
    <definedName name="__123Graph_XChart11" localSheetId="0" hidden="1">#REF!</definedName>
    <definedName name="__123Graph_XChart11" hidden="1">#REF!</definedName>
    <definedName name="__123Graph_XCHART2" localSheetId="0" hidden="1">#REF!</definedName>
    <definedName name="__123Graph_XCHART2" hidden="1">#REF!</definedName>
    <definedName name="__123Graph_XCHART3" localSheetId="0" hidden="1">#REF!</definedName>
    <definedName name="__123Graph_XCHART3" hidden="1">#REF!</definedName>
    <definedName name="__123Graph_XCHART4" localSheetId="0" hidden="1">#REF!</definedName>
    <definedName name="__123Graph_XCHART4" hidden="1">#REF!</definedName>
    <definedName name="__123Graph_XCHART5" localSheetId="0" hidden="1">#REF!</definedName>
    <definedName name="__123Graph_XCHART5" hidden="1">#REF!</definedName>
    <definedName name="__123Graph_XCHART6" localSheetId="0" hidden="1">#REF!</definedName>
    <definedName name="__123Graph_XCHART6" hidden="1">#REF!</definedName>
    <definedName name="__123Graph_XCHART7" localSheetId="0" hidden="1">#REF!</definedName>
    <definedName name="__123Graph_XCHART7" hidden="1">#REF!</definedName>
    <definedName name="__123Graph_XCHART8" localSheetId="0" hidden="1">#REF!</definedName>
    <definedName name="__123Graph_XCHART8" hidden="1">#REF!</definedName>
    <definedName name="__123Graph_XCHART9" localSheetId="0" hidden="1">#REF!</definedName>
    <definedName name="__123Graph_XCHART9" hidden="1">#REF!</definedName>
    <definedName name="__123Graph_XCOL" hidden="1">#REF!</definedName>
    <definedName name="__123Graph_XCOL2" hidden="1">#REF!</definedName>
    <definedName name="__123Graph_XCOL3" hidden="1">#REF!</definedName>
    <definedName name="__123Graph_XCUMMTHSALES" hidden="1">#REF!</definedName>
    <definedName name="__123Graph_XCurrent" localSheetId="0" hidden="1">#REF!</definedName>
    <definedName name="__123Graph_XCurrent" hidden="1">#REF!</definedName>
    <definedName name="__123Graph_XDEMAND" hidden="1">#REF!</definedName>
    <definedName name="__123Graph_XDMD_2" hidden="1">#REF!</definedName>
    <definedName name="__123Graph_XFAC" hidden="1">#REF!</definedName>
    <definedName name="__123Graph_XFAC_COMP" hidden="1">#REF!</definedName>
    <definedName name="__123Graph_XMTHSALES" hidden="1">#REF!</definedName>
    <definedName name="__123Graph_XOHEAD" hidden="1">#REF!</definedName>
    <definedName name="__123Graph_XSTATPROG" hidden="1">#REF!</definedName>
    <definedName name="__123Graph_XSTNPLF" localSheetId="25" hidden="1">#REF!</definedName>
    <definedName name="__123Graph_XSTNPLF" localSheetId="0" hidden="1">#REF!</definedName>
    <definedName name="__123Graph_XSTNPLF" localSheetId="11" hidden="1">#REF!</definedName>
    <definedName name="__123Graph_XSTNPLF" localSheetId="13" hidden="1">#REF!</definedName>
    <definedName name="__123Graph_XSTNPLF" localSheetId="43" hidden="1">#REF!</definedName>
    <definedName name="__123Graph_XSTNPLF" localSheetId="16" hidden="1">#REF!</definedName>
    <definedName name="__123Graph_XSTNPLF" localSheetId="26" hidden="1">#REF!</definedName>
    <definedName name="__123Graph_XSTNPLF" localSheetId="32" hidden="1">#REF!</definedName>
    <definedName name="__123Graph_XSTNPLF" localSheetId="33" hidden="1">#REF!</definedName>
    <definedName name="__123Graph_XSTNPLF" localSheetId="34" hidden="1">#REF!</definedName>
    <definedName name="__123Graph_XSTNPLF" localSheetId="35" hidden="1">#REF!</definedName>
    <definedName name="__123Graph_XSTNPLF" localSheetId="5" hidden="1">#REF!</definedName>
    <definedName name="__123Graph_XSTNPLF" hidden="1">#REF!</definedName>
    <definedName name="__123Graph_XTOTTOVER" hidden="1">#REF!</definedName>
    <definedName name="__123Graph_XTRENDS" hidden="1">#REF!</definedName>
    <definedName name="__123Graph_XWEEKSALES" hidden="1">#REF!</definedName>
    <definedName name="__12GOTO_B_A536">#REF!</definedName>
    <definedName name="__12GOTO_K_A30">#REF!</definedName>
    <definedName name="__14GOTO_C_A1">#REF!</definedName>
    <definedName name="__14GOTO_E_A1">#REF!</definedName>
    <definedName name="__15GOTO_G_A1">#REF!</definedName>
    <definedName name="__16GOTO_B_A1">#REF!</definedName>
    <definedName name="__16GOTO_E_A1">#REF!</definedName>
    <definedName name="__16GOTO_I_A1">#REF!</definedName>
    <definedName name="__17GOTO_J_A1">#REF!</definedName>
    <definedName name="__18GOTO_G_A1">#REF!</definedName>
    <definedName name="__18GOTO_K_A30">#REF!</definedName>
    <definedName name="__19_0FAMERangeDJ_BALA">#REF!</definedName>
    <definedName name="__1GOTO_A_A207">#REF!</definedName>
    <definedName name="__2_" localSheetId="0">#REF!</definedName>
    <definedName name="__2_">#REF!</definedName>
    <definedName name="__2_0NOPAT_Sh">#REF!</definedName>
    <definedName name="__20_0FAMERangeDJ_BALA">#REF!</definedName>
    <definedName name="__20GOTO_I_A1">#REF!</definedName>
    <definedName name="__21_0FAMERangeDJ_BALA">#REF!</definedName>
    <definedName name="__22_0FAMERangeGCI_BAL">#REF!</definedName>
    <definedName name="__22GOTO_J_A1">#REF!</definedName>
    <definedName name="__23_0Revenu">#REF!</definedName>
    <definedName name="__24_0UniqueRang">#REF!</definedName>
    <definedName name="__24GOTO_K_A30">#REF!</definedName>
    <definedName name="__25_3_0Income_before_ta">#REF!</definedName>
    <definedName name="__26_3_0Increase_in_other_liabilit">#REF!</definedName>
    <definedName name="__27_3_0Other_Segment_Reven">#REF!</definedName>
    <definedName name="__2GOTO_A_A207">#REF!</definedName>
    <definedName name="__2GOTO_A_A501">#REF!</definedName>
    <definedName name="__3GOTO_A_A952">#REF!</definedName>
    <definedName name="__4GOTO_A_A207">#REF!</definedName>
    <definedName name="__4GOTO_A_A501">#REF!</definedName>
    <definedName name="__4GOTO_B_A1">#REF!</definedName>
    <definedName name="__5_._0SGA_gro">#REF!</definedName>
    <definedName name="__5GOTO_B_A189">#REF!</definedName>
    <definedName name="__6_._0Shares_repurchase_liabil">#REF!</definedName>
    <definedName name="__6GOTO_A_A952">#REF!</definedName>
    <definedName name="__6GOTO_B_A536">#REF!</definedName>
    <definedName name="__7GOTO_C_A1">#REF!</definedName>
    <definedName name="__8749600_Guj_State_energy">#REF!</definedName>
    <definedName name="__8GOTO_B_A1">#REF!</definedName>
    <definedName name="__8GOTO_E_A1">#REF!</definedName>
    <definedName name="__9GOTO_G_A1">#REF!</definedName>
    <definedName name="__a3" localSheetId="0">#N/A</definedName>
    <definedName name="__A3" hidden="1">{"VIEW1",#N/A,FALSE,"P&amp;L Account 2001-2002";"VIEW2",#N/A,FALSE,"P&amp;L Account 2001-2002";"VIEW3",#N/A,FALSE,"P&amp;L Account 2001-2002";"VIEW4",#N/A,FALSE,"P&amp;L Account 2001-2002"}</definedName>
    <definedName name="__A65600">#REF!</definedName>
    <definedName name="__aa1" localSheetId="25" hidden="1">{#N/A,#N/A,TRUE,"Financials";#N/A,#N/A,TRUE,"Operating Statistics";#N/A,#N/A,TRUE,"Capex &amp; Depreciation";#N/A,#N/A,TRUE,"Debt"}</definedName>
    <definedName name="__aa1" localSheetId="5" hidden="1">{#N/A,#N/A,TRUE,"Financials";#N/A,#N/A,TRUE,"Operating Statistics";#N/A,#N/A,TRUE,"Capex &amp; Depreciation";#N/A,#N/A,TRUE,"Debt"}</definedName>
    <definedName name="__aa1" hidden="1">{#N/A,#N/A,TRUE,"Financials";#N/A,#N/A,TRUE,"Operating Statistics";#N/A,#N/A,TRUE,"Capex &amp; Depreciation";#N/A,#N/A,TRUE,"Debt"}</definedName>
    <definedName name="__AA36" localSheetId="0" hidden="1">{"VIEW1",#N/A,FALSE,"P&amp;L Account 2001-2002";"VIEW2",#N/A,FALSE,"P&amp;L Account 2001-2002";"VIEW3",#N/A,FALSE,"P&amp;L Account 2001-2002";"VIEW4",#N/A,FALSE,"P&amp;L Account 2001-2002"}</definedName>
    <definedName name="__AA36" hidden="1">{"VIEW1",#N/A,FALSE,"P&amp;L Account 2001-2002";"VIEW2",#N/A,FALSE,"P&amp;L Account 2001-2002";"VIEW3",#N/A,FALSE,"P&amp;L Account 2001-2002";"VIEW4",#N/A,FALSE,"P&amp;L Account 2001-2002"}</definedName>
    <definedName name="__AAA1"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AAA1"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ADB1" localSheetId="0">#REF!</definedName>
    <definedName name="__ADB1">#REF!</definedName>
    <definedName name="__am28" localSheetId="0" hidden="1">{"Edition",#N/A,FALSE,"Data"}</definedName>
    <definedName name="__am28" hidden="1">{"Edition",#N/A,FALSE,"Data"}</definedName>
    <definedName name="__amt94">#REF!</definedName>
    <definedName name="__amt95">#REF!</definedName>
    <definedName name="__amt96">#REF!</definedName>
    <definedName name="__amt97">#REF!</definedName>
    <definedName name="__amt98">#REF!</definedName>
    <definedName name="__amt99">#REF!</definedName>
    <definedName name="__AOC2">#REF!</definedName>
    <definedName name="__App4">#REF!</definedName>
    <definedName name="__as3" localSheetId="0">#REF!</definedName>
    <definedName name="__as3">#REF!</definedName>
    <definedName name="__BBQ1" localSheetId="0">#REF!</definedName>
    <definedName name="__BBQ1" localSheetId="46">#REF!</definedName>
    <definedName name="__BBQ1" localSheetId="45">#REF!</definedName>
    <definedName name="__BBQ1" localSheetId="49">#REF!</definedName>
    <definedName name="__BBQ1" localSheetId="50">#REF!</definedName>
    <definedName name="__BBQ1" localSheetId="51">#REF!</definedName>
    <definedName name="__BBQ1" localSheetId="52">#REF!</definedName>
    <definedName name="__BBQ1" localSheetId="56">#REF!</definedName>
    <definedName name="__BBQ1" localSheetId="57">#REF!</definedName>
    <definedName name="__BBQ1" localSheetId="58">#REF!</definedName>
    <definedName name="__BBQ1" localSheetId="59">#REF!</definedName>
    <definedName name="__BBQ1">#REF!</definedName>
    <definedName name="__boe96">#REF!</definedName>
    <definedName name="__boe97">#REF!</definedName>
    <definedName name="__boe98">#REF!</definedName>
    <definedName name="__boe99">#REF!</definedName>
    <definedName name="__bs1">#REF!</definedName>
    <definedName name="__bs2">#REF!</definedName>
    <definedName name="__BSD1">#REF!</definedName>
    <definedName name="__BSD2">#REF!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p98">#REF!</definedName>
    <definedName name="__cat12" localSheetId="25" hidden="1">{#N/A,#N/A,TRUE,"Front";#N/A,#N/A,TRUE,"Simple Letter";#N/A,#N/A,TRUE,"Inside";#N/A,#N/A,TRUE,"Contents";#N/A,#N/A,TRUE,"Basis";#N/A,#N/A,TRUE,"Inclusions";#N/A,#N/A,TRUE,"Exclusions";#N/A,#N/A,TRUE,"Areas";#N/A,#N/A,TRUE,"Summary";#N/A,#N/A,TRUE,"Detail"}</definedName>
    <definedName name="__cat12" localSheetId="5" hidden="1">{#N/A,#N/A,TRUE,"Front";#N/A,#N/A,TRUE,"Simple Letter";#N/A,#N/A,TRUE,"Inside";#N/A,#N/A,TRUE,"Contents";#N/A,#N/A,TRUE,"Basis";#N/A,#N/A,TRUE,"Inclusions";#N/A,#N/A,TRUE,"Exclusions";#N/A,#N/A,TRUE,"Areas";#N/A,#N/A,TRUE,"Summary";#N/A,#N/A,TRUE,"Detail"}</definedName>
    <definedName name="__cat12" hidden="1">{#N/A,#N/A,TRUE,"Front";#N/A,#N/A,TRUE,"Simple Letter";#N/A,#N/A,TRUE,"Inside";#N/A,#N/A,TRUE,"Contents";#N/A,#N/A,TRUE,"Basis";#N/A,#N/A,TRUE,"Inclusions";#N/A,#N/A,TRUE,"Exclusions";#N/A,#N/A,TRUE,"Areas";#N/A,#N/A,TRUE,"Summary";#N/A,#N/A,TRUE,"Detail"}</definedName>
    <definedName name="__ccf93">#REF!</definedName>
    <definedName name="__ccf94">#REF!</definedName>
    <definedName name="__cni93">#REF!</definedName>
    <definedName name="__cni94">#REF!</definedName>
    <definedName name="__CO1">#REF!</definedName>
    <definedName name="__col1">#REF!</definedName>
    <definedName name="__col10">#REF!</definedName>
    <definedName name="__col11">#REF!</definedName>
    <definedName name="__col12">#REF!</definedName>
    <definedName name="__col13">#REF!</definedName>
    <definedName name="__col2">#REF!</definedName>
    <definedName name="__col3">#REF!</definedName>
    <definedName name="__col4">#REF!</definedName>
    <definedName name="__col5">#REF!</definedName>
    <definedName name="__col6">#REF!</definedName>
    <definedName name="__col7">#REF!</definedName>
    <definedName name="__col8">#REF!</definedName>
    <definedName name="__col9">#REF!</definedName>
    <definedName name="__Cur3" localSheetId="0">#REF!</definedName>
    <definedName name="__Cur3">#REF!</definedName>
    <definedName name="__D5" localSheetId="0">#REF!</definedName>
    <definedName name="__D5">#REF!</definedName>
    <definedName name="__D87840">#REF!</definedName>
    <definedName name="__dap20">#REF!</definedName>
    <definedName name="__dap25">#REF!</definedName>
    <definedName name="__DAT1">#REF!</definedName>
    <definedName name="__DAT10">#REF!</definedName>
    <definedName name="__DAT11">#REF!</definedName>
    <definedName name="__DAT12" localSheetId="0">#REF!</definedName>
    <definedName name="__DAT12">#REF!</definedName>
    <definedName name="__DAT13" localSheetId="0">#REF!</definedName>
    <definedName name="__DAT13">#REF!</definedName>
    <definedName name="__DAT14" localSheetId="0">#REF!</definedName>
    <definedName name="__DAT14">#REF!</definedName>
    <definedName name="__DAT15" localSheetId="0">#REF!</definedName>
    <definedName name="__DAT15">#REF!</definedName>
    <definedName name="__DAT16" localSheetId="0">#REF!</definedName>
    <definedName name="__DAT16">#REF!</definedName>
    <definedName name="__DAT17">#REF!</definedName>
    <definedName name="__DAT18" localSheetId="0">#REF!</definedName>
    <definedName name="__DAT18">#REF!</definedName>
    <definedName name="__DAT19" localSheetId="0">#REF!</definedName>
    <definedName name="__DAT19">#REF!</definedName>
    <definedName name="__DAT2">#REF!</definedName>
    <definedName name="__DAT20" localSheetId="0">#REF!</definedName>
    <definedName name="__DAT20">#REF!</definedName>
    <definedName name="__DAT21" localSheetId="0">#REF!</definedName>
    <definedName name="__DAT21">#REF!</definedName>
    <definedName name="__DAT22" localSheetId="0">#REF!</definedName>
    <definedName name="__DAT22">#REF!</definedName>
    <definedName name="__DAT23" localSheetId="0">#REF!</definedName>
    <definedName name="__DAT23">#REF!</definedName>
    <definedName name="__DAT24" localSheetId="0">#REF!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#REF!</definedName>
    <definedName name="__DAT9">#REF!</definedName>
    <definedName name="__db1" hidden="1">{"'Sheet1'!$A$5:$E$42"}</definedName>
    <definedName name="__dcf1" hidden="1">#REF!</definedName>
    <definedName name="__DCF95">#REF!</definedName>
    <definedName name="__DCF96">#REF!</definedName>
    <definedName name="__DCF97">#REF!</definedName>
    <definedName name="__DDD2">#N/A</definedName>
    <definedName name="__DDD3">#N/A</definedName>
    <definedName name="__DDD4">#N/A</definedName>
    <definedName name="__DDD5">#N/A</definedName>
    <definedName name="__deb1">#REF!</definedName>
    <definedName name="__DET1" localSheetId="0">#REF!</definedName>
    <definedName name="__DET1">#REF!</definedName>
    <definedName name="__div94">#REF!</definedName>
    <definedName name="__div95">#REF!</definedName>
    <definedName name="__div96">#REF!</definedName>
    <definedName name="__div97">#REF!</definedName>
    <definedName name="__div98">#REF!</definedName>
    <definedName name="__DOWN_10__GOTO" localSheetId="11">#REF!</definedName>
    <definedName name="__DOWN_10__GOTO" localSheetId="13">#REF!</definedName>
    <definedName name="__DOWN_10__GOTO" localSheetId="16">#REF!</definedName>
    <definedName name="__DOWN_10__GOTO" localSheetId="26">#REF!</definedName>
    <definedName name="__DOWN_10__GOTO" localSheetId="32">#REF!</definedName>
    <definedName name="__DOWN_10__GOTO" localSheetId="33">#REF!</definedName>
    <definedName name="__DOWN_10__GOTO" localSheetId="34">#REF!</definedName>
    <definedName name="__DOWN_10__GOTO" localSheetId="35">#REF!</definedName>
    <definedName name="__DOWN_10__GOTO">#REF!</definedName>
    <definedName name="__ELL45">#REF!</definedName>
    <definedName name="__ELL90">#REF!</definedName>
    <definedName name="__EMP4">#N/A</definedName>
    <definedName name="__EPS94">#REF!</definedName>
    <definedName name="__EPS95">#REF!</definedName>
    <definedName name="__EPS96">#REF!</definedName>
    <definedName name="__EPS97">#REF!</definedName>
    <definedName name="__ES84__EW84_0." localSheetId="11">#REF!</definedName>
    <definedName name="__ES84__EW84_0." localSheetId="13">#REF!</definedName>
    <definedName name="__ES84__EW84_0." localSheetId="16">#REF!</definedName>
    <definedName name="__ES84__EW84_0." localSheetId="26">#REF!</definedName>
    <definedName name="__ES84__EW84_0." localSheetId="32">#REF!</definedName>
    <definedName name="__ES84__EW84_0." localSheetId="33">#REF!</definedName>
    <definedName name="__ES84__EW84_0." localSheetId="34">#REF!</definedName>
    <definedName name="__ES84__EW84_0." localSheetId="35">#REF!</definedName>
    <definedName name="__ES84__EW84_0.">#REF!</definedName>
    <definedName name="__Exp1">#REF!</definedName>
    <definedName name="__exp2" localSheetId="0" hidden="1">{"VIEW1",#N/A,FALSE,"P&amp;L Account 2001-2002";"VIEW2",#N/A,FALSE,"P&amp;L Account 2001-2002";"VIEW3",#N/A,FALSE,"P&amp;L Account 2001-2002";"VIEW4",#N/A,FALSE,"P&amp;L Account 2001-2002"}</definedName>
    <definedName name="__exp2" hidden="1">{"VIEW1",#N/A,FALSE,"P&amp;L Account 2001-2002";"VIEW2",#N/A,FALSE,"P&amp;L Account 2001-2002";"VIEW3",#N/A,FALSE,"P&amp;L Account 2001-2002";"VIEW4",#N/A,FALSE,"P&amp;L Account 2001-2002"}</definedName>
    <definedName name="__f2">#REF!</definedName>
    <definedName name="__f3" localSheetId="25" hidden="1">{#N/A,#N/A,FALSE,"Aging Summary";#N/A,#N/A,FALSE,"Ratio Analysis";#N/A,#N/A,FALSE,"Test 120 Day Accts";#N/A,#N/A,FALSE,"Tickmarks"}</definedName>
    <definedName name="__f3" localSheetId="0" hidden="1">{#N/A,#N/A,FALSE,"Aging Summary";#N/A,#N/A,FALSE,"Ratio Analysis";#N/A,#N/A,FALSE,"Test 120 Day Accts";#N/A,#N/A,FALSE,"Tickmarks"}</definedName>
    <definedName name="__f3" localSheetId="5" hidden="1">{#N/A,#N/A,FALSE,"Aging Summary";#N/A,#N/A,FALSE,"Ratio Analysis";#N/A,#N/A,FALSE,"Test 120 Day Accts";#N/A,#N/A,FALSE,"Tickmarks"}</definedName>
    <definedName name="__f3" hidden="1">{#N/A,#N/A,FALSE,"Aging Summary";#N/A,#N/A,FALSE,"Ratio Analysis";#N/A,#N/A,FALSE,"Test 120 Day Accts";#N/A,#N/A,FALSE,"Tickmarks"}</definedName>
    <definedName name="__f4" localSheetId="25" hidden="1">{#N/A,#N/A,FALSE,"Aging Summary";#N/A,#N/A,FALSE,"Ratio Analysis";#N/A,#N/A,FALSE,"Test 120 Day Accts";#N/A,#N/A,FALSE,"Tickmarks"}</definedName>
    <definedName name="__f4" localSheetId="0" hidden="1">{#N/A,#N/A,FALSE,"Aging Summary";#N/A,#N/A,FALSE,"Ratio Analysis";#N/A,#N/A,FALSE,"Test 120 Day Accts";#N/A,#N/A,FALSE,"Tickmarks"}</definedName>
    <definedName name="__f4" localSheetId="5" hidden="1">{#N/A,#N/A,FALSE,"Aging Summary";#N/A,#N/A,FALSE,"Ratio Analysis";#N/A,#N/A,FALSE,"Test 120 Day Accts";#N/A,#N/A,FALSE,"Tickmarks"}</definedName>
    <definedName name="__f4" hidden="1">{#N/A,#N/A,FALSE,"Aging Summary";#N/A,#N/A,FALSE,"Ratio Analysis";#N/A,#N/A,FALSE,"Test 120 Day Accts";#N/A,#N/A,FALSE,"Tickmarks"}</definedName>
    <definedName name="__fcl1">#REF!</definedName>
    <definedName name="__FDS_HYPERLINK_TOGGLE_STATE__" hidden="1">"ON"</definedName>
    <definedName name="__Feb06" localSheetId="25" hidden="1">{#N/A,#N/A,TRUE,"Front";#N/A,#N/A,TRUE,"Simple Letter";#N/A,#N/A,TRUE,"Inside";#N/A,#N/A,TRUE,"Contents";#N/A,#N/A,TRUE,"Basis";#N/A,#N/A,TRUE,"Inclusions";#N/A,#N/A,TRUE,"Exclusions";#N/A,#N/A,TRUE,"Areas";#N/A,#N/A,TRUE,"Summary";#N/A,#N/A,TRUE,"Detail"}</definedName>
    <definedName name="__Feb06" localSheetId="5" hidden="1">{#N/A,#N/A,TRUE,"Front";#N/A,#N/A,TRUE,"Simple Letter";#N/A,#N/A,TRUE,"Inside";#N/A,#N/A,TRUE,"Contents";#N/A,#N/A,TRUE,"Basis";#N/A,#N/A,TRUE,"Inclusions";#N/A,#N/A,TRUE,"Exclusions";#N/A,#N/A,TRUE,"Areas";#N/A,#N/A,TRUE,"Summary";#N/A,#N/A,TRUE,"Detail"}</definedName>
    <definedName name="__Feb06" hidden="1">{#N/A,#N/A,TRUE,"Front";#N/A,#N/A,TRUE,"Simple Letter";#N/A,#N/A,TRUE,"Inside";#N/A,#N/A,TRUE,"Contents";#N/A,#N/A,TRUE,"Basis";#N/A,#N/A,TRUE,"Inclusions";#N/A,#N/A,TRUE,"Exclusions";#N/A,#N/A,TRUE,"Areas";#N/A,#N/A,TRUE,"Summary";#N/A,#N/A,TRUE,"Detail"}</definedName>
    <definedName name="__ffr1">#REF!</definedName>
    <definedName name="__ffr2" localSheetId="0">#REF!</definedName>
    <definedName name="__ffr2">#REF!</definedName>
    <definedName name="__FFr98" localSheetId="0">#REF!</definedName>
    <definedName name="__FFr98">#REF!</definedName>
    <definedName name="__FFr99" localSheetId="0">#REF!</definedName>
    <definedName name="__FFr99">#REF!</definedName>
    <definedName name="__FRF2">#REF!</definedName>
    <definedName name="__FSE8" localSheetId="0" hidden="1">{"VIEW1",#N/A,FALSE,"P&amp;L Account 2001-2002";"VIEW2",#N/A,FALSE,"P&amp;L Account 2001-2002";"VIEW3",#N/A,FALSE,"P&amp;L Account 2001-2002";"VIEW4",#N/A,FALSE,"P&amp;L Account 2001-2002"}</definedName>
    <definedName name="__FSE8" hidden="1">{"VIEW1",#N/A,FALSE,"P&amp;L Account 2001-2002";"VIEW2",#N/A,FALSE,"P&amp;L Account 2001-2002";"VIEW3",#N/A,FALSE,"P&amp;L Account 2001-2002";"VIEW4",#N/A,FALSE,"P&amp;L Account 2001-2002"}</definedName>
    <definedName name="__G87634">#REF!</definedName>
    <definedName name="__GOTO_EP84__AV" localSheetId="11">#REF!</definedName>
    <definedName name="__GOTO_EP84__AV" localSheetId="13">#REF!</definedName>
    <definedName name="__GOTO_EP84__AV" localSheetId="16">#REF!</definedName>
    <definedName name="__GOTO_EP84__AV" localSheetId="26">#REF!</definedName>
    <definedName name="__GOTO_EP84__AV" localSheetId="32">#REF!</definedName>
    <definedName name="__GOTO_EP84__AV" localSheetId="33">#REF!</definedName>
    <definedName name="__GOTO_EP84__AV" localSheetId="34">#REF!</definedName>
    <definedName name="__GOTO_EP84__AV" localSheetId="35">#REF!</definedName>
    <definedName name="__GOTO_EP84__AV">#REF!</definedName>
    <definedName name="__Grp12">#REF!</definedName>
    <definedName name="__Grp13">#REF!</definedName>
    <definedName name="__Grp14">#REF!</definedName>
    <definedName name="__Grp15">#REF!</definedName>
    <definedName name="__Grp2">#REF!</definedName>
    <definedName name="__hh1" localSheetId="0">#REF!</definedName>
    <definedName name="__hh1">#REF!</definedName>
    <definedName name="__hh2" localSheetId="0">#REF!</definedName>
    <definedName name="__hh2">#REF!</definedName>
    <definedName name="__hp10" localSheetId="25" hidden="1">{#N/A,#N/A,TRUE,"Front";#N/A,#N/A,TRUE,"Simple Letter";#N/A,#N/A,TRUE,"Inside";#N/A,#N/A,TRUE,"Contents";#N/A,#N/A,TRUE,"Basis";#N/A,#N/A,TRUE,"Inclusions";#N/A,#N/A,TRUE,"Exclusions";#N/A,#N/A,TRUE,"Areas";#N/A,#N/A,TRUE,"Summary";#N/A,#N/A,TRUE,"Detail"}</definedName>
    <definedName name="__hp10" localSheetId="5" hidden="1">{#N/A,#N/A,TRUE,"Front";#N/A,#N/A,TRUE,"Simple Letter";#N/A,#N/A,TRUE,"Inside";#N/A,#N/A,TRUE,"Contents";#N/A,#N/A,TRUE,"Basis";#N/A,#N/A,TRUE,"Inclusions";#N/A,#N/A,TRUE,"Exclusions";#N/A,#N/A,TRUE,"Areas";#N/A,#N/A,TRUE,"Summary";#N/A,#N/A,TRUE,"Detail"}</definedName>
    <definedName name="__hp10" hidden="1">{#N/A,#N/A,TRUE,"Front";#N/A,#N/A,TRUE,"Simple Letter";#N/A,#N/A,TRUE,"Inside";#N/A,#N/A,TRUE,"Contents";#N/A,#N/A,TRUE,"Basis";#N/A,#N/A,TRUE,"Inclusions";#N/A,#N/A,TRUE,"Exclusions";#N/A,#N/A,TRUE,"Areas";#N/A,#N/A,TRUE,"Summary";#N/A,#N/A,TRUE,"Detail"}</definedName>
    <definedName name="__iea1">#REF!</definedName>
    <definedName name="__iea2">#REF!</definedName>
    <definedName name="__IED1">#REF!</definedName>
    <definedName name="__IED2">#REF!</definedName>
    <definedName name="__IntlFixup" hidden="1">TRUE</definedName>
    <definedName name="__IntlFixupTable" hidden="1">#REF!</definedName>
    <definedName name="__IX19">#REF!</definedName>
    <definedName name="__Jet1">#REF!</definedName>
    <definedName name="__Jet2">#REF!</definedName>
    <definedName name="__Jet3">#REF!</definedName>
    <definedName name="__Jet4">#REF!</definedName>
    <definedName name="__K1">#REF!</definedName>
    <definedName name="__K2">#REF!</definedName>
    <definedName name="__K3">#REF!</definedName>
    <definedName name="__K5">#REF!</definedName>
    <definedName name="__K6">#REF!</definedName>
    <definedName name="__kd04">#REF!</definedName>
    <definedName name="__kd05">#REF!</definedName>
    <definedName name="__kd06">#REF!</definedName>
    <definedName name="__kd07">#REF!</definedName>
    <definedName name="__kd08">#REF!</definedName>
    <definedName name="__kd09">#REF!</definedName>
    <definedName name="__KD10" localSheetId="0">#REF!</definedName>
    <definedName name="__KD10">#REF!</definedName>
    <definedName name="__KD11" localSheetId="0">#REF!</definedName>
    <definedName name="__KD11">#REF!</definedName>
    <definedName name="__KD12" localSheetId="0">#REF!</definedName>
    <definedName name="__KD12">#REF!</definedName>
    <definedName name="__KD13" localSheetId="0">#REF!</definedName>
    <definedName name="__KD13">#REF!</definedName>
    <definedName name="__KD14" localSheetId="0">#REF!</definedName>
    <definedName name="__KD14">#REF!</definedName>
    <definedName name="__KD15" localSheetId="0">#REF!</definedName>
    <definedName name="__KD15">#REF!</definedName>
    <definedName name="__KD16" localSheetId="0">#REF!</definedName>
    <definedName name="__KD16">#REF!</definedName>
    <definedName name="__kd17">#REF!</definedName>
    <definedName name="__KD18" localSheetId="0">#REF!</definedName>
    <definedName name="__KD18">#REF!</definedName>
    <definedName name="__kd19">#REF!</definedName>
    <definedName name="__KD2" hidden="1">#REF!</definedName>
    <definedName name="__kd20">#REF!</definedName>
    <definedName name="__kd21">#REF!</definedName>
    <definedName name="__kd22">#REF!</definedName>
    <definedName name="__kd23">#REF!</definedName>
    <definedName name="__kd24">#REF!</definedName>
    <definedName name="__kd25">#REF!</definedName>
    <definedName name="__KD3" hidden="1">#REF!</definedName>
    <definedName name="__KD4" localSheetId="0">#REF!</definedName>
    <definedName name="__KD4">#REF!</definedName>
    <definedName name="__KD5" localSheetId="0">#REF!</definedName>
    <definedName name="__KD5">#REF!</definedName>
    <definedName name="__KD6" localSheetId="0">#REF!</definedName>
    <definedName name="__KD6">#REF!</definedName>
    <definedName name="__KD7" localSheetId="0">#REF!</definedName>
    <definedName name="__KD7">#REF!</definedName>
    <definedName name="__KD8" localSheetId="0">#REF!</definedName>
    <definedName name="__KD8">#REF!</definedName>
    <definedName name="__KD9" localSheetId="0">#REF!</definedName>
    <definedName name="__KD9">#REF!</definedName>
    <definedName name="__key1" hidden="1">#REF!</definedName>
    <definedName name="__key2" hidden="1">#REF!</definedName>
    <definedName name="__key3">#REF!</definedName>
    <definedName name="__key4">#REF!</definedName>
    <definedName name="__KK1" hidden="1">#REF!</definedName>
    <definedName name="__KK2" hidden="1">#REF!</definedName>
    <definedName name="__KK3" hidden="1">#REF!</definedName>
    <definedName name="__kvs1" hidden="1">{#N/A,#N/A,FALSE,"COVER1.XLS ";#N/A,#N/A,FALSE,"RACT1.XLS";#N/A,#N/A,FALSE,"RACT2.XLS";#N/A,#N/A,FALSE,"ECCMP";#N/A,#N/A,FALSE,"WELDER.XLS"}</definedName>
    <definedName name="__kvs2" hidden="1">{#N/A,#N/A,FALSE,"COVER1.XLS ";#N/A,#N/A,FALSE,"RACT1.XLS";#N/A,#N/A,FALSE,"RACT2.XLS";#N/A,#N/A,FALSE,"ECCMP";#N/A,#N/A,FALSE,"WELDER.XLS"}</definedName>
    <definedName name="__kvs5" hidden="1">{#N/A,#N/A,FALSE,"COVER.XLS";#N/A,#N/A,FALSE,"RACT1.XLS";#N/A,#N/A,FALSE,"RACT2.XLS";#N/A,#N/A,FALSE,"ECCMP";#N/A,#N/A,FALSE,"WELDER.XLS"}</definedName>
    <definedName name="__kvs8" hidden="1">{#N/A,#N/A,FALSE,"COVER1.XLS ";#N/A,#N/A,FALSE,"RACT1.XLS";#N/A,#N/A,FALSE,"RACT2.XLS";#N/A,#N/A,FALSE,"ECCMP";#N/A,#N/A,FALSE,"WELDER.XLS"}</definedName>
    <definedName name="__LD1">#REF!</definedName>
    <definedName name="__LD2" localSheetId="0">#REF!</definedName>
    <definedName name="__LD2">#REF!</definedName>
    <definedName name="__LD4" localSheetId="0">#REF!</definedName>
    <definedName name="__LD4">#REF!</definedName>
    <definedName name="__LD5" localSheetId="0">#REF!</definedName>
    <definedName name="__LD5">#REF!</definedName>
    <definedName name="__LD6" localSheetId="0">#REF!</definedName>
    <definedName name="__LD6">#REF!</definedName>
    <definedName name="__lga94">#REF!</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L1">#REF!</definedName>
    <definedName name="__LL2">#REF!</definedName>
    <definedName name="__LL3">#REF!</definedName>
    <definedName name="__ll33" localSheetId="0">#REF!</definedName>
    <definedName name="__ll33">#REF!</definedName>
    <definedName name="__LL4">#REF!</definedName>
    <definedName name="__LL5">#REF!</definedName>
    <definedName name="__MAC1">#REF!</definedName>
    <definedName name="__MAC2">#REF!</definedName>
    <definedName name="__MAC3">#REF!</definedName>
    <definedName name="__MAC4">#REF!</definedName>
    <definedName name="__MAR9091" localSheetId="0">#REF!</definedName>
    <definedName name="__MAR9091">#REF!</definedName>
    <definedName name="__MC2">#REF!</definedName>
    <definedName name="__md12">#REF!</definedName>
    <definedName name="__md13">#REF!</definedName>
    <definedName name="__md14">#REF!</definedName>
    <definedName name="__md15">#REF!</definedName>
    <definedName name="__md2">#REF!</definedName>
    <definedName name="__md3">#REF!</definedName>
    <definedName name="__md4">#REF!</definedName>
    <definedName name="__md5">#REF!</definedName>
    <definedName name="__md6">#REF!</definedName>
    <definedName name="__md7">#REF!</definedName>
    <definedName name="__md8">#REF!</definedName>
    <definedName name="__md9">#REF!</definedName>
    <definedName name="__MPR1">#N/A</definedName>
    <definedName name="__MPR2">#N/A</definedName>
    <definedName name="__MPR3">#N/A</definedName>
    <definedName name="__mul1">#REF!</definedName>
    <definedName name="__NCS111" localSheetId="0">#REF!</definedName>
    <definedName name="__NCS111">#REF!</definedName>
    <definedName name="__Net1">#REF!</definedName>
    <definedName name="__NEW1" localSheetId="0" hidden="1">{"VIEW1",#N/A,FALSE,"P&amp;L Account 2001-2002";"VIEW2",#N/A,FALSE,"P&amp;L Account 2001-2002";"VIEW3",#N/A,FALSE,"P&amp;L Account 2001-2002";"VIEW4",#N/A,FALSE,"P&amp;L Account 2001-2002"}</definedName>
    <definedName name="__NEW1" hidden="1">{"VIEW1",#N/A,FALSE,"P&amp;L Account 2001-2002";"VIEW2",#N/A,FALSE,"P&amp;L Account 2001-2002";"VIEW3",#N/A,FALSE,"P&amp;L Account 2001-2002";"VIEW4",#N/A,FALSE,"P&amp;L Account 2001-2002"}</definedName>
    <definedName name="__new10">#REF!</definedName>
    <definedName name="__new11">#REF!</definedName>
    <definedName name="__new2" localSheetId="0">#REF!</definedName>
    <definedName name="__NEW2" hidden="1">{"VIEW1",#N/A,FALSE,"P&amp;L Account 2001-2002";"VIEW2",#N/A,FALSE,"P&amp;L Account 2001-2002";"VIEW3",#N/A,FALSE,"P&amp;L Account 2001-2002";"VIEW4",#N/A,FALSE,"P&amp;L Account 2001-2002"}</definedName>
    <definedName name="__new4">#REF!</definedName>
    <definedName name="__new5">#REF!</definedName>
    <definedName name="__new6">#REF!</definedName>
    <definedName name="__new7">#REF!</definedName>
    <definedName name="__new8">#REF!</definedName>
    <definedName name="__new9">#REF!</definedName>
    <definedName name="__ngl97">#REF!</definedName>
    <definedName name="__ngl98">#REF!</definedName>
    <definedName name="__nh1" localSheetId="0">#REF!</definedName>
    <definedName name="__nh1">#REF!</definedName>
    <definedName name="__nis3" hidden="1">#REF!</definedName>
    <definedName name="__OLD2" hidden="1">#REF!</definedName>
    <definedName name="__p1">#REF!</definedName>
    <definedName name="__p2">#REF!</definedName>
    <definedName name="__P21">#REF!</definedName>
    <definedName name="__P22">#REF!</definedName>
    <definedName name="__p3">#REF!</definedName>
    <definedName name="__P31">#REF!</definedName>
    <definedName name="__P32">#REF!</definedName>
    <definedName name="__P33">#REF!</definedName>
    <definedName name="__P34">#REF!</definedName>
    <definedName name="__pc04">#REF!</definedName>
    <definedName name="__PC1">#REF!</definedName>
    <definedName name="__Pet1">#REF!</definedName>
    <definedName name="__Pet2">#REF!</definedName>
    <definedName name="__pfd98">#REF!</definedName>
    <definedName name="__PG1" localSheetId="0">#REF!</definedName>
    <definedName name="__PG1">#REF!</definedName>
    <definedName name="__PG2">#REF!</definedName>
    <definedName name="__PG3">#REF!</definedName>
    <definedName name="__PG5" localSheetId="0">#REF!</definedName>
    <definedName name="__PG5">#REF!</definedName>
    <definedName name="__pg6" localSheetId="0">#REF!</definedName>
    <definedName name="__pg6">#REF!</definedName>
    <definedName name="__pg7" localSheetId="0">#REF!</definedName>
    <definedName name="__pg7">#REF!</definedName>
    <definedName name="__PL1">#REF!</definedName>
    <definedName name="__PLN1" localSheetId="0">#REF!</definedName>
    <definedName name="__PLN1">#REF!</definedName>
    <definedName name="__PLN2" localSheetId="0">#REF!</definedName>
    <definedName name="__PLN2">#REF!</definedName>
    <definedName name="__pr04">#REF!</definedName>
    <definedName name="__pr05">#REF!</definedName>
    <definedName name="__PRN1" hidden="1">{#N/A,#N/A,FALSE,"COVER.XLS";#N/A,#N/A,FALSE,"RACT1.XLS";#N/A,#N/A,FALSE,"RACT2.XLS";#N/A,#N/A,FALSE,"ECCMP";#N/A,#N/A,FALSE,"WELDER.XLS"}</definedName>
    <definedName name="__PRO3">#REF!</definedName>
    <definedName name="__PRO4">#REF!</definedName>
    <definedName name="__PRO5">#REF!</definedName>
    <definedName name="__PV1">#REF!</definedName>
    <definedName name="__PV10">#REF!</definedName>
    <definedName name="__QTY1">#N/A</definedName>
    <definedName name="__QTY2">#N/A</definedName>
    <definedName name="__QTY3">#N/A</definedName>
    <definedName name="__QTY4">#N/A</definedName>
    <definedName name="__RE100">#REF!</definedName>
    <definedName name="__RE104">#REF!</definedName>
    <definedName name="__RE112">#REF!</definedName>
    <definedName name="__RE26">#REF!</definedName>
    <definedName name="__RE28">#REF!</definedName>
    <definedName name="__RE30">#REF!</definedName>
    <definedName name="__RE32">#REF!</definedName>
    <definedName name="__RE34">#REF!</definedName>
    <definedName name="__RE36">#REF!</definedName>
    <definedName name="__RE38">#REF!</definedName>
    <definedName name="__RE40">#REF!</definedName>
    <definedName name="__RE42">#REF!</definedName>
    <definedName name="__RE44">#REF!</definedName>
    <definedName name="__RE48">#REF!</definedName>
    <definedName name="__RE52">#REF!</definedName>
    <definedName name="__RE56">#REF!</definedName>
    <definedName name="__RE60">#REF!</definedName>
    <definedName name="__RE64">#REF!</definedName>
    <definedName name="__RE68">#REF!</definedName>
    <definedName name="__RE72">#REF!</definedName>
    <definedName name="__RE76">#REF!</definedName>
    <definedName name="__RE80">#REF!</definedName>
    <definedName name="__RE88">#REF!</definedName>
    <definedName name="__RE92">#REF!</definedName>
    <definedName name="__RE96">#REF!</definedName>
    <definedName name="__ref11" hidden="1">#REF!</definedName>
    <definedName name="__ret2" localSheetId="0">#REF!</definedName>
    <definedName name="__ret2">#REF!</definedName>
    <definedName name="__REV01">#REF!</definedName>
    <definedName name="__RMK1">#N/A</definedName>
    <definedName name="__RMK2">#N/A</definedName>
    <definedName name="__RR11">#REF!</definedName>
    <definedName name="__RR12">#REF!</definedName>
    <definedName name="__RR13">#REF!</definedName>
    <definedName name="__RR14">#REF!</definedName>
    <definedName name="__RR15">#REF!</definedName>
    <definedName name="__rtl1" localSheetId="0">#REF!</definedName>
    <definedName name="__rtl1">#REF!</definedName>
    <definedName name="__RTL2" localSheetId="0">#REF!</definedName>
    <definedName name="__RTL2">#REF!</definedName>
    <definedName name="__rtl21" localSheetId="0">#REF!</definedName>
    <definedName name="__rtl21">#REF!</definedName>
    <definedName name="__rtl3" localSheetId="0">#REF!</definedName>
    <definedName name="__rtl3">#REF!</definedName>
    <definedName name="__s3" localSheetId="0" hidden="1">{"VIEW1",#N/A,FALSE,"P&amp;L Account 2001-2002";"VIEW2",#N/A,FALSE,"P&amp;L Account 2001-2002";"VIEW3",#N/A,FALSE,"P&amp;L Account 2001-2002";"VIEW4",#N/A,FALSE,"P&amp;L Account 2001-2002"}</definedName>
    <definedName name="__s3" hidden="1">{"VIEW1",#N/A,FALSE,"P&amp;L Account 2001-2002";"VIEW2",#N/A,FALSE,"P&amp;L Account 2001-2002";"VIEW3",#N/A,FALSE,"P&amp;L Account 2001-2002";"VIEW4",#N/A,FALSE,"P&amp;L Account 2001-2002"}</definedName>
    <definedName name="__S5" localSheetId="0" hidden="1">{"VIEW1",#N/A,FALSE,"P&amp;L Account 2001-2002";"VIEW2",#N/A,FALSE,"P&amp;L Account 2001-2002";"VIEW3",#N/A,FALSE,"P&amp;L Account 2001-2002";"VIEW4",#N/A,FALSE,"P&amp;L Account 2001-2002"}</definedName>
    <definedName name="__S5" hidden="1">{"VIEW1",#N/A,FALSE,"P&amp;L Account 2001-2002";"VIEW2",#N/A,FALSE,"P&amp;L Account 2001-2002";"VIEW3",#N/A,FALSE,"P&amp;L Account 2001-2002";"VIEW4",#N/A,FALSE,"P&amp;L Account 2001-2002"}</definedName>
    <definedName name="__SC011">#REF!</definedName>
    <definedName name="__SC034">#REF!</definedName>
    <definedName name="__SC043">#REF!</definedName>
    <definedName name="__SC068">#REF!</definedName>
    <definedName name="__SC160">#REF!</definedName>
    <definedName name="__SC211">#REF!</definedName>
    <definedName name="__SC212">#REF!</definedName>
    <definedName name="__SC213">#REF!</definedName>
    <definedName name="__SC225">#REF!</definedName>
    <definedName name="__SC268">#REF!</definedName>
    <definedName name="__SC272">#REF!</definedName>
    <definedName name="__SC274">#REF!</definedName>
    <definedName name="__SC276">#REF!</definedName>
    <definedName name="__SC279">#REF!</definedName>
    <definedName name="__SC280">#REF!</definedName>
    <definedName name="__SC281">#REF!</definedName>
    <definedName name="__SC314">#REF!</definedName>
    <definedName name="__SC315">#REF!</definedName>
    <definedName name="__SC341">#REF!</definedName>
    <definedName name="__SC376">#REF!</definedName>
    <definedName name="__SC383">#REF!</definedName>
    <definedName name="__SC384">#REF!</definedName>
    <definedName name="__SC412">#REF!</definedName>
    <definedName name="__SC444">#REF!</definedName>
    <definedName name="__SC506">#REF!</definedName>
    <definedName name="__SC581">#REF!</definedName>
    <definedName name="__SC591">#REF!</definedName>
    <definedName name="__SC592">#REF!</definedName>
    <definedName name="__SC593">#REF!</definedName>
    <definedName name="__SC594">#REF!</definedName>
    <definedName name="__SC595">#REF!</definedName>
    <definedName name="__SC597">#REF!</definedName>
    <definedName name="__SC598">#REF!</definedName>
    <definedName name="__SCG011">#REF!</definedName>
    <definedName name="__SCG034">#REF!</definedName>
    <definedName name="__SCG043">#REF!</definedName>
    <definedName name="__SCG068">#REF!</definedName>
    <definedName name="__SCG160">#REF!</definedName>
    <definedName name="__SCG211">#REF!</definedName>
    <definedName name="__SCG212">#REF!</definedName>
    <definedName name="__SCG213">#REF!</definedName>
    <definedName name="__SCG225">#REF!</definedName>
    <definedName name="__SCG268">#REF!</definedName>
    <definedName name="__SCG272">#REF!</definedName>
    <definedName name="__SCG274">#REF!</definedName>
    <definedName name="__SCG276">#REF!</definedName>
    <definedName name="__SCG279">#REF!</definedName>
    <definedName name="__SCG280">#REF!</definedName>
    <definedName name="__SCG281">#REF!</definedName>
    <definedName name="__SCG314">#REF!</definedName>
    <definedName name="__SCG315">#REF!</definedName>
    <definedName name="__SCG341">#REF!</definedName>
    <definedName name="__SCG376">#REF!</definedName>
    <definedName name="__SCG383">#REF!</definedName>
    <definedName name="__SCG384">#REF!</definedName>
    <definedName name="__SCG412">#REF!</definedName>
    <definedName name="__SCG444">#REF!</definedName>
    <definedName name="__SCG506">#REF!</definedName>
    <definedName name="__SCG581">#REF!</definedName>
    <definedName name="__SCG591">#REF!</definedName>
    <definedName name="__SCG592">#REF!</definedName>
    <definedName name="__SCG593">#REF!</definedName>
    <definedName name="__SCG594">#REF!</definedName>
    <definedName name="__SCG595">#REF!</definedName>
    <definedName name="__SCG597">#REF!</definedName>
    <definedName name="__SCG598">#REF!</definedName>
    <definedName name="__SCH1" localSheetId="25" hidden="1">{#N/A,#N/A,FALSE,"Aging Summary";#N/A,#N/A,FALSE,"Ratio Analysis";#N/A,#N/A,FALSE,"Test 120 Day Accts";#N/A,#N/A,FALSE,"Tickmarks"}</definedName>
    <definedName name="__SCH1" localSheetId="0">#REF!</definedName>
    <definedName name="__SCH1" localSheetId="5" hidden="1">{#N/A,#N/A,FALSE,"Aging Summary";#N/A,#N/A,FALSE,"Ratio Analysis";#N/A,#N/A,FALSE,"Test 120 Day Accts";#N/A,#N/A,FALSE,"Tickmarks"}</definedName>
    <definedName name="__SCH1" hidden="1">{#N/A,#N/A,FALSE,"Aging Summary";#N/A,#N/A,FALSE,"Ratio Analysis";#N/A,#N/A,FALSE,"Test 120 Day Accts";#N/A,#N/A,FALSE,"Tickmarks"}</definedName>
    <definedName name="__Sch10" localSheetId="0">#REF!</definedName>
    <definedName name="__Sch10">#REF!</definedName>
    <definedName name="__Sch11" localSheetId="0">#REF!</definedName>
    <definedName name="__Sch11">#REF!</definedName>
    <definedName name="__Sch12" localSheetId="0">#REF!</definedName>
    <definedName name="__Sch12">#REF!</definedName>
    <definedName name="__Sch13" localSheetId="0">#REF!</definedName>
    <definedName name="__Sch13">#REF!</definedName>
    <definedName name="__Sch14" localSheetId="0">#REF!</definedName>
    <definedName name="__Sch14">#REF!</definedName>
    <definedName name="__Sch15" localSheetId="0">#REF!</definedName>
    <definedName name="__Sch15">#REF!</definedName>
    <definedName name="__Sch2" localSheetId="0">#REF!</definedName>
    <definedName name="__Sch2">#REF!</definedName>
    <definedName name="__SCH3">#REF!</definedName>
    <definedName name="__Sch4" localSheetId="0">#REF!</definedName>
    <definedName name="__Sch4">#REF!</definedName>
    <definedName name="__Sch5" localSheetId="0">#REF!</definedName>
    <definedName name="__Sch5">#REF!</definedName>
    <definedName name="__SCH6" localSheetId="25">#REF!</definedName>
    <definedName name="__SCH6" localSheetId="0">#REF!</definedName>
    <definedName name="__SCH6" localSheetId="11">#REF!</definedName>
    <definedName name="__SCH6" localSheetId="13">#REF!</definedName>
    <definedName name="__SCH6" localSheetId="14">#REF!</definedName>
    <definedName name="__SCH6" localSheetId="43">#REF!</definedName>
    <definedName name="__SCH6" localSheetId="61">#REF!</definedName>
    <definedName name="__SCH6" localSheetId="63">#REF!</definedName>
    <definedName name="__SCH6" localSheetId="64">#REF!</definedName>
    <definedName name="__SCH6" localSheetId="16">#REF!</definedName>
    <definedName name="__SCH6" localSheetId="17">#REF!</definedName>
    <definedName name="__SCH6" localSheetId="26">#REF!</definedName>
    <definedName name="__SCH6" localSheetId="32">#REF!</definedName>
    <definedName name="__SCH6" localSheetId="33">#REF!</definedName>
    <definedName name="__SCH6" localSheetId="34">#REF!</definedName>
    <definedName name="__SCH6" localSheetId="35">#REF!</definedName>
    <definedName name="__SCH6" localSheetId="5">#REF!</definedName>
    <definedName name="__SCH6">#REF!</definedName>
    <definedName name="__Sch7" localSheetId="0">#REF!</definedName>
    <definedName name="__Sch7">#REF!</definedName>
    <definedName name="__Sch8" localSheetId="0">#REF!</definedName>
    <definedName name="__Sch8">#REF!</definedName>
    <definedName name="__Sch9" localSheetId="0">#REF!</definedName>
    <definedName name="__Sch9">#REF!</definedName>
    <definedName name="__sec3" hidden="1">#REF!</definedName>
    <definedName name="__SH1">#REF!</definedName>
    <definedName name="__SH10" localSheetId="0">#REF!</definedName>
    <definedName name="__SH10">#REF!</definedName>
    <definedName name="__SH11" localSheetId="0">#REF!</definedName>
    <definedName name="__SH11">#REF!</definedName>
    <definedName name="__SH2" localSheetId="0">#REF!</definedName>
    <definedName name="__SH2">#REF!</definedName>
    <definedName name="__SH3" localSheetId="0">#REF!</definedName>
    <definedName name="__SH3">#REF!</definedName>
    <definedName name="__SH4" localSheetId="0">#REF!</definedName>
    <definedName name="__SH4">#REF!</definedName>
    <definedName name="__SH5" localSheetId="0">#REF!</definedName>
    <definedName name="__SH5">#REF!</definedName>
    <definedName name="__SH6" localSheetId="0">#REF!</definedName>
    <definedName name="__SH6">#REF!</definedName>
    <definedName name="__SH7" localSheetId="0">#REF!</definedName>
    <definedName name="__SH7">#REF!</definedName>
    <definedName name="__SH8" localSheetId="0">#REF!</definedName>
    <definedName name="__SH8">#REF!</definedName>
    <definedName name="__SH9" localSheetId="0">#REF!</definedName>
    <definedName name="__SH9">#REF!</definedName>
    <definedName name="__SSS1">#REF!</definedName>
    <definedName name="__SSS2" localSheetId="0">#REF!</definedName>
    <definedName name="__SSS2">#REF!</definedName>
    <definedName name="__SUM_CS57..CS6" localSheetId="11">#REF!</definedName>
    <definedName name="__SUM_CS57..CS6" localSheetId="13">#REF!</definedName>
    <definedName name="__SUM_CS57..CS6" localSheetId="16">#REF!</definedName>
    <definedName name="__SUM_CS57..CS6" localSheetId="26">#REF!</definedName>
    <definedName name="__SUM_CS57..CS6" localSheetId="32">#REF!</definedName>
    <definedName name="__SUM_CS57..CS6" localSheetId="33">#REF!</definedName>
    <definedName name="__SUM_CS57..CS6" localSheetId="34">#REF!</definedName>
    <definedName name="__SUM_CS57..CS6" localSheetId="35">#REF!</definedName>
    <definedName name="__SUM_CS57..CS6">#REF!</definedName>
    <definedName name="__SUM_CS65..CS7" localSheetId="11">#REF!</definedName>
    <definedName name="__SUM_CS65..CS7" localSheetId="13">#REF!</definedName>
    <definedName name="__SUM_CS65..CS7" localSheetId="16">#REF!</definedName>
    <definedName name="__SUM_CS65..CS7" localSheetId="26">#REF!</definedName>
    <definedName name="__SUM_CS65..CS7" localSheetId="32">#REF!</definedName>
    <definedName name="__SUM_CS65..CS7" localSheetId="33">#REF!</definedName>
    <definedName name="__SUM_CS65..CS7" localSheetId="34">#REF!</definedName>
    <definedName name="__SUM_CS65..CS7" localSheetId="35">#REF!</definedName>
    <definedName name="__SUM_CS65..CS7">#REF!</definedName>
    <definedName name="__SUM_FQ20..FQ2" localSheetId="11">#REF!</definedName>
    <definedName name="__SUM_FQ20..FQ2" localSheetId="13">#REF!</definedName>
    <definedName name="__SUM_FQ20..FQ2" localSheetId="16">#REF!</definedName>
    <definedName name="__SUM_FQ20..FQ2" localSheetId="26">#REF!</definedName>
    <definedName name="__SUM_FQ20..FQ2" localSheetId="32">#REF!</definedName>
    <definedName name="__SUM_FQ20..FQ2" localSheetId="33">#REF!</definedName>
    <definedName name="__SUM_FQ20..FQ2" localSheetId="34">#REF!</definedName>
    <definedName name="__SUM_FQ20..FQ2" localSheetId="35">#REF!</definedName>
    <definedName name="__SUM_FQ20..FQ2">#REF!</definedName>
    <definedName name="__SUM_FQ28..FQ3" localSheetId="11">#REF!</definedName>
    <definedName name="__SUM_FQ28..FQ3" localSheetId="13">#REF!</definedName>
    <definedName name="__SUM_FQ28..FQ3" localSheetId="16">#REF!</definedName>
    <definedName name="__SUM_FQ28..FQ3" localSheetId="26">#REF!</definedName>
    <definedName name="__SUM_FQ28..FQ3" localSheetId="32">#REF!</definedName>
    <definedName name="__SUM_FQ28..FQ3" localSheetId="33">#REF!</definedName>
    <definedName name="__SUM_FQ28..FQ3" localSheetId="34">#REF!</definedName>
    <definedName name="__SUM_FQ28..FQ3" localSheetId="35">#REF!</definedName>
    <definedName name="__SUM_FQ28..FQ3">#REF!</definedName>
    <definedName name="__sy14">#REF!</definedName>
    <definedName name="__TOT1">#REF!</definedName>
    <definedName name="__TOT2">#REF!</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s1">#REF!</definedName>
    <definedName name="__ts2">#REF!</definedName>
    <definedName name="__USD1" localSheetId="0">#REF!</definedName>
    <definedName name="__USD1">#REF!</definedName>
    <definedName name="__USD2" localSheetId="0">#REF!</definedName>
    <definedName name="__USD2">#REF!</definedName>
    <definedName name="__USD3" localSheetId="0">#REF!</definedName>
    <definedName name="__USD3">#REF!</definedName>
    <definedName name="__Val1">#REF!</definedName>
    <definedName name="__val2">#REF!</definedName>
    <definedName name="__VAL3" localSheetId="0">#REF!</definedName>
    <definedName name="__VAL3">#REF!</definedName>
    <definedName name="__vid5" localSheetId="0" hidden="1">{"VIEW1",#N/A,FALSE,"P&amp;L Account 2001-2002";"VIEW2",#N/A,FALSE,"P&amp;L Account 2001-2002";"VIEW3",#N/A,FALSE,"P&amp;L Account 2001-2002";"VIEW4",#N/A,FALSE,"P&amp;L Account 2001-2002"}</definedName>
    <definedName name="__vid5" hidden="1">{"VIEW1",#N/A,FALSE,"P&amp;L Account 2001-2002";"VIEW2",#N/A,FALSE,"P&amp;L Account 2001-2002";"VIEW3",#N/A,FALSE,"P&amp;L Account 2001-2002";"VIEW4",#N/A,FALSE,"P&amp;L Account 2001-2002"}</definedName>
    <definedName name="__vid6" localSheetId="0" hidden="1">{"VIEW1",#N/A,FALSE,"P&amp;L Account 2001-2002";"VIEW2",#N/A,FALSE,"P&amp;L Account 2001-2002";"VIEW3",#N/A,FALSE,"P&amp;L Account 2001-2002";"VIEW4",#N/A,FALSE,"P&amp;L Account 2001-2002"}</definedName>
    <definedName name="__vid6" hidden="1">{"VIEW1",#N/A,FALSE,"P&amp;L Account 2001-2002";"VIEW2",#N/A,FALSE,"P&amp;L Account 2001-2002";"VIEW3",#N/A,FALSE,"P&amp;L Account 2001-2002";"VIEW4",#N/A,FALSE,"P&amp;L Account 2001-2002"}</definedName>
    <definedName name="__VID7" localSheetId="0" hidden="1">{"VIEW1",#N/A,FALSE,"P&amp;L Account 2001-2002";"VIEW2",#N/A,FALSE,"P&amp;L Account 2001-2002";"VIEW3",#N/A,FALSE,"P&amp;L Account 2001-2002";"VIEW4",#N/A,FALSE,"P&amp;L Account 2001-2002"}</definedName>
    <definedName name="__VID7" hidden="1">{"VIEW1",#N/A,FALSE,"P&amp;L Account 2001-2002";"VIEW2",#N/A,FALSE,"P&amp;L Account 2001-2002";"VIEW3",#N/A,FALSE,"P&amp;L Account 2001-2002";"VIEW4",#N/A,FALSE,"P&amp;L Account 2001-2002"}</definedName>
    <definedName name="__VIR5" localSheetId="0" hidden="1">{"VIEW1",#N/A,FALSE,"P&amp;L Account 2001-2002";"VIEW2",#N/A,FALSE,"P&amp;L Account 2001-2002";"VIEW3",#N/A,FALSE,"P&amp;L Account 2001-2002";"VIEW4",#N/A,FALSE,"P&amp;L Account 2001-2002"}</definedName>
    <definedName name="__VIR5" hidden="1">{"VIEW1",#N/A,FALSE,"P&amp;L Account 2001-2002";"VIEW2",#N/A,FALSE,"P&amp;L Account 2001-2002";"VIEW3",#N/A,FALSE,"P&amp;L Account 2001-2002";"VIEW4",#N/A,FALSE,"P&amp;L Account 2001-2002"}</definedName>
    <definedName name="__VIR6" localSheetId="0" hidden="1">{"VIEW1",#N/A,FALSE,"P&amp;L Account 2001-2002";"VIEW2",#N/A,FALSE,"P&amp;L Account 2001-2002";"VIEW3",#N/A,FALSE,"P&amp;L Account 2001-2002";"VIEW4",#N/A,FALSE,"P&amp;L Account 2001-2002"}</definedName>
    <definedName name="__VIR6" hidden="1">{"VIEW1",#N/A,FALSE,"P&amp;L Account 2001-2002";"VIEW2",#N/A,FALSE,"P&amp;L Account 2001-2002";"VIEW3",#N/A,FALSE,"P&amp;L Account 2001-2002";"VIEW4",#N/A,FALSE,"P&amp;L Account 2001-2002"}</definedName>
    <definedName name="__w123" localSheetId="25" hidden="1">{"Edition",#N/A,FALSE,"Data"}</definedName>
    <definedName name="__w123" localSheetId="0" hidden="1">{"Edition",#N/A,FALSE,"Data"}</definedName>
    <definedName name="__w123" localSheetId="5" hidden="1">{"Edition",#N/A,FALSE,"Data"}</definedName>
    <definedName name="__w123" hidden="1">{"Edition",#N/A,FALSE,"Data"}</definedName>
    <definedName name="__WCM2">#REF!</definedName>
    <definedName name="__WCM3">#REF!</definedName>
    <definedName name="__wd1" localSheetId="25" hidden="1">{#N/A,#N/A,FALSE,"Aging Summary";#N/A,#N/A,FALSE,"Ratio Analysis";#N/A,#N/A,FALSE,"Test 120 Day Accts";#N/A,#N/A,FALSE,"Tickmarks"}</definedName>
    <definedName name="__wd1" localSheetId="0" hidden="1">{#N/A,#N/A,FALSE,"Aging Summary";#N/A,#N/A,FALSE,"Ratio Analysis";#N/A,#N/A,FALSE,"Test 120 Day Accts";#N/A,#N/A,FALSE,"Tickmarks"}</definedName>
    <definedName name="__wd1" localSheetId="5" hidden="1">{#N/A,#N/A,FALSE,"Aging Summary";#N/A,#N/A,FALSE,"Ratio Analysis";#N/A,#N/A,FALSE,"Test 120 Day Accts";#N/A,#N/A,FALSE,"Tickmarks"}</definedName>
    <definedName name="__wd1" hidden="1">{#N/A,#N/A,FALSE,"Aging Summary";#N/A,#N/A,FALSE,"Ratio Analysis";#N/A,#N/A,FALSE,"Test 120 Day Accts";#N/A,#N/A,FALSE,"Tickmarks"}</definedName>
    <definedName name="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WRN2" hidden="1">{#N/A,#N/A,FALSE,"COVER1.XLS ";#N/A,#N/A,FALSE,"RACT1.XLS";#N/A,#N/A,FALSE,"RACT2.XLS";#N/A,#N/A,FALSE,"ECCMP";#N/A,#N/A,FALSE,"WELDER.XLS"}</definedName>
    <definedName name="__WRN3" hidden="1">{#N/A,#N/A,FALSE,"consu_cover";#N/A,#N/A,FALSE,"consu_strategy";#N/A,#N/A,FALSE,"consu_flow";#N/A,#N/A,FALSE,"Summary_reqmt";#N/A,#N/A,FALSE,"field_ppg";#N/A,#N/A,FALSE,"ppg_shop";#N/A,#N/A,FALSE,"strl";#N/A,#N/A,FALSE,"tankages";#N/A,#N/A,FALSE,"gases"}</definedName>
    <definedName name="__XL__ENTER_UNIT" localSheetId="11">#REF!</definedName>
    <definedName name="__XL__ENTER_UNIT" localSheetId="13">#REF!</definedName>
    <definedName name="__XL__ENTER_UNIT" localSheetId="16">#REF!</definedName>
    <definedName name="__XL__ENTER_UNIT" localSheetId="26">#REF!</definedName>
    <definedName name="__XL__ENTER_UNIT" localSheetId="32">#REF!</definedName>
    <definedName name="__XL__ENTER_UNIT" localSheetId="33">#REF!</definedName>
    <definedName name="__XL__ENTER_UNIT" localSheetId="34">#REF!</definedName>
    <definedName name="__XL__ENTER_UNIT" localSheetId="35">#REF!</definedName>
    <definedName name="__XL__ENTER_UNIT">#REF!</definedName>
    <definedName name="__xlfn.BAHTTEXT" hidden="1">#NAME?</definedName>
    <definedName name="__xx500">#REF!</definedName>
    <definedName name="__za1">#REF!</definedName>
    <definedName name="__zz1">#REF!</definedName>
    <definedName name="_0">#REF!</definedName>
    <definedName name="_1">#N/A</definedName>
    <definedName name="_1_" localSheetId="0">#REF!</definedName>
    <definedName name="_1_">#REF!</definedName>
    <definedName name="_1___123Graph_AI_II_PLF" hidden="1">#REF!</definedName>
    <definedName name="_1__123Graph_ACHART_1" hidden="1">#REF!</definedName>
    <definedName name="_1_0EBITDA_Sh">#REF!</definedName>
    <definedName name="_1_Acre">#REF!</definedName>
    <definedName name="_1_Square_Meter">#REF!</definedName>
    <definedName name="_10_.__Restructuring_char">#REF!</definedName>
    <definedName name="_10_._0SGA_gro">#REF!</definedName>
    <definedName name="_10__123Graph_ACHART_6" hidden="1">#REF!</definedName>
    <definedName name="_10__123Graph_BI_II_PLF" localSheetId="0" hidden="1">#REF!</definedName>
    <definedName name="_10__123Graph_BI_II_PLF" hidden="1">#REF!</definedName>
    <definedName name="_10_0FAMERangeGCI_BAL">#REF!</definedName>
    <definedName name="_100_3_0Increase_in_other_liabilit">#REF!</definedName>
    <definedName name="_102_3_0Other_Segment_Reven">#REF!</definedName>
    <definedName name="_105GOTO_C_A1">#REF!</definedName>
    <definedName name="_10GOTO_B_A189">#REF!</definedName>
    <definedName name="_10GOTO_I_A1">#REF!</definedName>
    <definedName name="_10n" localSheetId="0">#REF!</definedName>
    <definedName name="_10n">#REF!</definedName>
    <definedName name="_11">#N/A</definedName>
    <definedName name="_11_.__SGA_gro">#REF!</definedName>
    <definedName name="_11__123Graph_ACHART_7" hidden="1">#REF!</definedName>
    <definedName name="_11__123Graph_CI_II_PLF" localSheetId="0" hidden="1">#REF!</definedName>
    <definedName name="_11__123Graph_CI_II_PLF" hidden="1">#REF!</definedName>
    <definedName name="_11_0Revenu">#REF!</definedName>
    <definedName name="_11GOTO_J_A1">#REF!</definedName>
    <definedName name="_12">#N/A</definedName>
    <definedName name="_12__123Graph_ACHART_8" hidden="1">#REF!</definedName>
    <definedName name="_12__123Graph_BI_II_PLF" hidden="1">#REF!</definedName>
    <definedName name="_12__123Graph_XI_II_PLF" localSheetId="0" hidden="1">#REF!</definedName>
    <definedName name="_12__123Graph_XI_II_PLF" hidden="1">#REF!</definedName>
    <definedName name="_12_0">#REF!</definedName>
    <definedName name="_12_0UniqueRang">#REF!</definedName>
    <definedName name="_120GOTO_E_A1">#REF!</definedName>
    <definedName name="_122" hidden="1">#REF!</definedName>
    <definedName name="_123Graph_B" hidden="1">#REF!</definedName>
    <definedName name="_12GOTO_A_A952">#REF!</definedName>
    <definedName name="_12GOTO_B_A1">#REF!</definedName>
    <definedName name="_12GOTO_B_A536">#REF!</definedName>
    <definedName name="_12GOTO_K_A30">#REF!</definedName>
    <definedName name="_12n_0" localSheetId="0">#REF!</definedName>
    <definedName name="_12n_0">#REF!</definedName>
    <definedName name="_13__123Graph_ACHART_9" hidden="1">#REF!</definedName>
    <definedName name="_13_0FAMERangeDJ_BALA">#REF!</definedName>
    <definedName name="_13_3_0Income_before_ta">#REF!</definedName>
    <definedName name="_135GOTO_G_A1">#REF!</definedName>
    <definedName name="_14__123Graph_BCHART_1" hidden="1">#REF!</definedName>
    <definedName name="_14_0FAMERangeDJ_BALA">#REF!</definedName>
    <definedName name="_14_3_0Increase_in_other_liabilit">#REF!</definedName>
    <definedName name="_14GOTO_C_A1">#REF!</definedName>
    <definedName name="_15__123Graph_BCHART_10" hidden="1">#REF!</definedName>
    <definedName name="_15_0_0_F" hidden="1">#REF!</definedName>
    <definedName name="_150GOTO_I_A1">#REF!</definedName>
    <definedName name="_155___1703">#REF!</definedName>
    <definedName name="_155___1704">#REF!</definedName>
    <definedName name="_15GOTO_A_A207">#REF!</definedName>
    <definedName name="_15GOTO_B_A189">#REF!</definedName>
    <definedName name="_16__123Graph_BCHART_2" hidden="1">#REF!</definedName>
    <definedName name="_165GOTO_J_A1">#REF!</definedName>
    <definedName name="_16GOTO_A_A501">#REF!</definedName>
    <definedName name="_16GOTO_B_A1">#REF!</definedName>
    <definedName name="_16GOTO_E_A1">#REF!</definedName>
    <definedName name="_16ÿ_0Current_ass">#REF!</definedName>
    <definedName name="_17__123Graph_BCHART_3" hidden="1">#REF!</definedName>
    <definedName name="_17_0Revenu">#REF!</definedName>
    <definedName name="_18__123Graph_BCHART_4" hidden="1">#REF!</definedName>
    <definedName name="_18__123Graph_CI_II_PLF" hidden="1">#REF!</definedName>
    <definedName name="_18_0UniqueRang">#REF!</definedName>
    <definedName name="_180GOTO_K_A30">#REF!</definedName>
    <definedName name="_18GOTO_B_A536">#REF!</definedName>
    <definedName name="_18GOTO_G_A1">#REF!</definedName>
    <definedName name="_18GOTO_K_A30">#REF!</definedName>
    <definedName name="_19__123Graph_BCHART_5" hidden="1">#REF!</definedName>
    <definedName name="_19_0FAMERangeDJ_BALA">#REF!</definedName>
    <definedName name="_19_3_0Income_before_ta">#REF!</definedName>
    <definedName name="_1GOTO_A_A207">#REF!</definedName>
    <definedName name="_2">#N/A</definedName>
    <definedName name="_2_" localSheetId="0">#REF!</definedName>
    <definedName name="_2_">#REF!</definedName>
    <definedName name="_2_??">#REF!</definedName>
    <definedName name="_2___123Graph_AI_II_PLF" localSheetId="0" hidden="1">#REF!</definedName>
    <definedName name="_2___123Graph_AI_II_PLF" hidden="1">#REF!</definedName>
    <definedName name="_2___123Graph_BI_II_PLF" hidden="1">#REF!</definedName>
    <definedName name="_2__123Graph_ACHART_10" hidden="1">#REF!</definedName>
    <definedName name="_2_0EBITDA_Sh">#REF!</definedName>
    <definedName name="_2_0NOPAT_Sh">#REF!</definedName>
    <definedName name="_2_2">#REF!</definedName>
    <definedName name="_20__123Graph_BCHART_6" hidden="1">#REF!</definedName>
    <definedName name="_20GOTO_B_A189">#REF!</definedName>
    <definedName name="_20GOTO_I_A1">#REF!</definedName>
    <definedName name="_21">#N/A</definedName>
    <definedName name="_21__123Graph_BCHART_7" hidden="1">#REF!</definedName>
    <definedName name="_21GOTO_C_A1">#REF!</definedName>
    <definedName name="_22">#N/A</definedName>
    <definedName name="_22__123Graph_BCHART_8" hidden="1">#REF!</definedName>
    <definedName name="_22GOTO_J_A1">#REF!</definedName>
    <definedName name="_23">#N/A</definedName>
    <definedName name="_23__123Graph_BCHART_9" hidden="1">#REF!</definedName>
    <definedName name="_24">#N/A</definedName>
    <definedName name="_24__123Graph_CCHART_3" hidden="1">#REF!</definedName>
    <definedName name="_24__123Graph_XI_II_PLF" hidden="1">#REF!</definedName>
    <definedName name="_24_0UniqueRang">#REF!</definedName>
    <definedName name="_24_3__Other_Segment_Reven">#REF!</definedName>
    <definedName name="_24GOTO_A_A952">#REF!</definedName>
    <definedName name="_24GOTO_B_A536">#REF!</definedName>
    <definedName name="_24GOTO_E_A1">#REF!</definedName>
    <definedName name="_24GOTO_G_A1">#REF!</definedName>
    <definedName name="_24GOTO_K_A30">#REF!</definedName>
    <definedName name="_25">#N/A</definedName>
    <definedName name="_25__123Graph_CCHART_4" hidden="1">#REF!</definedName>
    <definedName name="_25_3_0Income_before_ta">#REF!</definedName>
    <definedName name="_25FAMERangeDJ_BALA">#REF!</definedName>
    <definedName name="_26__123Graph_CCHART_6" hidden="1">#REF!</definedName>
    <definedName name="_26_3_0Increase_in_other_liabilit">#REF!</definedName>
    <definedName name="_26FAMERangeDJ_BALA">#REF!</definedName>
    <definedName name="_27__123Graph_CCHART_7" hidden="1">#REF!</definedName>
    <definedName name="_27_3_0Other_Segment_Reven">#REF!</definedName>
    <definedName name="_27FAMERangeDJ_BALA">#REF!</definedName>
    <definedName name="_27GOTO_G_A1">#REF!</definedName>
    <definedName name="_28__123Graph_CCHART_8" hidden="1">#REF!</definedName>
    <definedName name="_28FAMERangeGCI_BAL">#REF!</definedName>
    <definedName name="_28GOTO_C_A1">#REF!</definedName>
    <definedName name="_29__123Graph_CCHART_9" hidden="1">#REF!</definedName>
    <definedName name="_2B_9">#REF!</definedName>
    <definedName name="_2GOTO_A_A207">#REF!</definedName>
    <definedName name="_2GOTO_A_A501">#REF!</definedName>
    <definedName name="_3_???">#REF!</definedName>
    <definedName name="_3___123Graph_CI_II_PLF" hidden="1">#REF!</definedName>
    <definedName name="_3__123Graph_ACHART_12" hidden="1">#REF!</definedName>
    <definedName name="_3__123Graph_AChart_1A" hidden="1">#REF!</definedName>
    <definedName name="_3_0" localSheetId="0">#REF!</definedName>
    <definedName name="_3_0">#REF!</definedName>
    <definedName name="_30__123Graph_DCHART_3" hidden="1">#REF!</definedName>
    <definedName name="_30GOTO_A_A501">#REF!</definedName>
    <definedName name="_30GOTO_I_A1">#REF!</definedName>
    <definedName name="_30GOTO_K_A30">#REF!</definedName>
    <definedName name="_30UniqueRang">#REF!</definedName>
    <definedName name="_31">#N/A</definedName>
    <definedName name="_31__123Graph_DCHART_4" hidden="1">#REF!</definedName>
    <definedName name="_31_0FAMERangeDJ_BALA">#REF!</definedName>
    <definedName name="_32">#N/A</definedName>
    <definedName name="_32__123Graph_DCHART_6" hidden="1">#REF!</definedName>
    <definedName name="_32_0FAMERangeDJ_BALA">#REF!</definedName>
    <definedName name="_32GOTO_B_A1">#REF!</definedName>
    <definedName name="_32GOTO_E_A1">#REF!</definedName>
    <definedName name="_33">#N/A</definedName>
    <definedName name="_33__123Graph_DCHART_7" hidden="1">#REF!</definedName>
    <definedName name="_33_0FAMERangeDJ_BALA">#REF!</definedName>
    <definedName name="_33GOTO_J_A1">#REF!</definedName>
    <definedName name="_34">#N/A</definedName>
    <definedName name="_34__123Graph_DCHART_8" hidden="1">#REF!</definedName>
    <definedName name="_34_0FAMERangeGCI_BAL">#REF!</definedName>
    <definedName name="_35">#N/A</definedName>
    <definedName name="_35__123Graph_DCHART_9" hidden="1">#REF!</definedName>
    <definedName name="_35_0Revenu">#REF!</definedName>
    <definedName name="_35BB0">+#REF!+#REF!+#REF!+#REF!+#REF!+#REF!+#REF!+#REF!+#REF!+#REF!+#REF!+#REF!+#REF!+#REF!+#REF!+#REF!+#REF!+#REF!+#REF!+#REF!+#REF!+#REF!+#REF!+#REF!+#REF!+#REF!+#REF!+#REF!</definedName>
    <definedName name="_36">#N/A</definedName>
    <definedName name="_36__123Graph_XCHART_1" hidden="1">#REF!</definedName>
    <definedName name="_36_0UniqueRang">#REF!</definedName>
    <definedName name="_36GOTO_G_A1">#REF!</definedName>
    <definedName name="_36GOTO_I_A1">#REF!</definedName>
    <definedName name="_36GOTO_K_A30">#REF!</definedName>
    <definedName name="_37__123Graph_XCHART_10" hidden="1">#REF!</definedName>
    <definedName name="_37_3_0Income_before_ta">#REF!</definedName>
    <definedName name="_38__123Graph_XCHART_13" hidden="1">#REF!</definedName>
    <definedName name="_38_3_0Increase_in_other_liabilit">#REF!</definedName>
    <definedName name="_39__123Graph_XCHART_14" hidden="1">#REF!</definedName>
    <definedName name="_39_3_0Other_Segment_Reven">#REF!</definedName>
    <definedName name="_3D340">+#REF!+#REF!+#REF!+#REF!+#REF!+#REF!+#REF!+#REF!+#REF!+#REF!+#REF!+#REF!+#REF!+#REF!+#REF!+#REF!+#REF!+#REF!+#REF!+#REF!+#REF!+#REF!+#REF!+#REF!+#REF!+#REF!+#REF!+#REF!</definedName>
    <definedName name="_3D571">+#REF!+#REF!+#REF!+#REF!+#REF!+#REF!+#REF!+#REF!+#REF!+#REF!+#REF!+#REF!+#REF!+#REF!+#REF!+#REF!+#REF!+#REF!+#REF!+#REF!+#REF!+#REF!+#REF!+#REF!+#REF!+#REF!+#REF!+#REF!</definedName>
    <definedName name="_3D762">+#REF!+#REF!+#REF!+#REF!+#REF!+#REF!+#REF!+#REF!+#REF!+#REF!+#REF!+#REF!+#REF!+#REF!+#REF!+#REF!+#REF!+#REF!+#REF!+#REF!+#REF!+#REF!+#REF!+#REF!+#REF!+#REF!+#REF!+#REF!</definedName>
    <definedName name="_3EA20">+#REF!+#REF!+#REF!+#REF!+#REF!+#REF!+#REF!+#REF!+#REF!+#REF!+#REF!+#REF!+#REF!+#REF!+#REF!+#REF!+#REF!+#REF!+#REF!+#REF!+#REF!+#REF!+#REF!+#REF!+#REF!+#REF!+#REF!+#REF!</definedName>
    <definedName name="_3EBITDA_Sh">#REF!</definedName>
    <definedName name="_3EE10">+#REF!+#REF!+#REF!+#REF!+#REF!+#REF!+#REF!+#REF!+#REF!+#REF!+#REF!+#REF!+#REF!+#REF!+#REF!+#REF!+#REF!+#REF!+#REF!+#REF!+#REF!+#REF!+#REF!+#REF!+#REF!+#REF!+#REF!+#REF!</definedName>
    <definedName name="_3F041">+#REF!+#REF!+#REF!+#REF!+#REF!+#REF!+#REF!+#REF!+#REF!+#REF!+#REF!+#REF!+#REF!+#REF!+#REF!+#REF!+#REF!+#REF!+#REF!+#REF!+#REF!+#REF!+#REF!+#REF!+#REF!+#REF!+#REF!+#REF!</definedName>
    <definedName name="_3F540">+#REF!+#REF!+#REF!+#REF!+#REF!+#REF!+#REF!+#REF!+#REF!+#REF!+#REF!+#REF!+#REF!+#REF!+#REF!+#REF!+#REF!+#REF!+#REF!+#REF!+#REF!+#REF!+#REF!+#REF!+#REF!+#REF!+#REF!+#REF!</definedName>
    <definedName name="_3GOTO_A_A207">#REF!</definedName>
    <definedName name="_3GOTO_A_A952">#REF!</definedName>
    <definedName name="_3n" localSheetId="0">#REF!</definedName>
    <definedName name="_3n">#REF!</definedName>
    <definedName name="_4_" localSheetId="0">#REF!</definedName>
    <definedName name="_4_">#REF!</definedName>
    <definedName name="_4_._0Restructuring_char">#REF!</definedName>
    <definedName name="_4___123Graph_BI_II_PLF" localSheetId="0" hidden="1">#REF!</definedName>
    <definedName name="_4___123Graph_BI_II_PLF" hidden="1">#REF!</definedName>
    <definedName name="_4___123Graph_XI_II_PLF" hidden="1">#REF!</definedName>
    <definedName name="_4__123Graph_ACHART_13" hidden="1">#REF!</definedName>
    <definedName name="_4_00" localSheetId="0">#REF!</definedName>
    <definedName name="_4_00">#REF!</definedName>
    <definedName name="_4_0NOPAT_Sh">#REF!</definedName>
    <definedName name="_40__123Graph_XCHART_2" hidden="1">#REF!</definedName>
    <definedName name="_40GOTO_B_A189">#REF!</definedName>
    <definedName name="_40GOTO_I_A1">#REF!</definedName>
    <definedName name="_41">#N/A</definedName>
    <definedName name="_41__123Graph_XCHART_3" hidden="1">#REF!</definedName>
    <definedName name="_42">#N/A</definedName>
    <definedName name="_42__123Graph_XCHART_4" hidden="1">#REF!</definedName>
    <definedName name="_42GOTO_B_A536">#REF!</definedName>
    <definedName name="_42GOTO_K_A30">#REF!</definedName>
    <definedName name="_43__123Graph_XCHART_5" hidden="1">#REF!</definedName>
    <definedName name="_43_0FAMERangeDJ_BALA">#REF!</definedName>
    <definedName name="_44__123Graph_XCHART_6" hidden="1">#REF!</definedName>
    <definedName name="_４４__分_期">#REF!</definedName>
    <definedName name="_44_0FAMERangeDJ_BALA">#REF!</definedName>
    <definedName name="_44GOTO_J_A1">#REF!</definedName>
    <definedName name="_45__123Graph_XCHART_7" hidden="1">#REF!</definedName>
    <definedName name="_45_0FAMERangeDJ_BALA">#REF!</definedName>
    <definedName name="_45GOTO_A_A952">#REF!</definedName>
    <definedName name="_46__123Graph_XCHART_8" hidden="1">#REF!</definedName>
    <definedName name="_46_0FAMERangeGCI_BAL">#REF!</definedName>
    <definedName name="_47__123Graph_XCHART_9" hidden="1">#REF!</definedName>
    <definedName name="_47_0Revenu">#REF!</definedName>
    <definedName name="_48_0UniqueRang">#REF!</definedName>
    <definedName name="_48GOTO_B_A536">#REF!</definedName>
    <definedName name="_48GOTO_K_A30">#REF!</definedName>
    <definedName name="_4GOTO_A_A207">#REF!</definedName>
    <definedName name="_4GOTO_A_A501">#REF!</definedName>
    <definedName name="_4GOTO_B_A1">#REF!</definedName>
    <definedName name="_5" localSheetId="11">#REF!</definedName>
    <definedName name="_5" localSheetId="13">#REF!</definedName>
    <definedName name="_5" localSheetId="16">#REF!</definedName>
    <definedName name="_5" localSheetId="26">#REF!</definedName>
    <definedName name="_5" localSheetId="32">#REF!</definedName>
    <definedName name="_5" localSheetId="33">#REF!</definedName>
    <definedName name="_5" localSheetId="34">#REF!</definedName>
    <definedName name="_5" localSheetId="35">#REF!</definedName>
    <definedName name="_5">#REF!</definedName>
    <definedName name="_5_._0SGA_gro">#REF!</definedName>
    <definedName name="_5__123Graph_ACHART_14" hidden="1">#REF!</definedName>
    <definedName name="_5__123Graph_AI_II_PLF" hidden="1">#REF!</definedName>
    <definedName name="_50_3_0Increase_in_other_liabilit">#REF!</definedName>
    <definedName name="_51">#N/A</definedName>
    <definedName name="_51_3_0Other_Segment_Reven">#REF!</definedName>
    <definedName name="_52">#N/A</definedName>
    <definedName name="_53">#N/A</definedName>
    <definedName name="_54">#N/A</definedName>
    <definedName name="_56GOTO_C_A1">#REF!</definedName>
    <definedName name="_5GOTO_B_A189">#REF!</definedName>
    <definedName name="_5n" localSheetId="0">#REF!</definedName>
    <definedName name="_5n">#REF!</definedName>
    <definedName name="_6" localSheetId="11">#REF!</definedName>
    <definedName name="_6" localSheetId="13">#REF!</definedName>
    <definedName name="_6" localSheetId="16">#REF!</definedName>
    <definedName name="_6" localSheetId="26">#REF!</definedName>
    <definedName name="_6" localSheetId="32">#REF!</definedName>
    <definedName name="_6" localSheetId="33">#REF!</definedName>
    <definedName name="_6" localSheetId="34">#REF!</definedName>
    <definedName name="_6" localSheetId="35">#REF!</definedName>
    <definedName name="_6">#REF!</definedName>
    <definedName name="_6_._0Gross_inc_gro">#REF!</definedName>
    <definedName name="_6_._0Restructuring_char">#REF!</definedName>
    <definedName name="_6_._0Shares_repurchase_liabil">#REF!</definedName>
    <definedName name="_6___123Graph_CI_II_PLF" localSheetId="0" hidden="1">#REF!</definedName>
    <definedName name="_6___123Graph_CI_II_PLF" hidden="1">#REF!</definedName>
    <definedName name="_6__123Graph_ACHART_2" hidden="1">#REF!</definedName>
    <definedName name="_6__123Graph_AI_II_PLF" hidden="1">#REF!</definedName>
    <definedName name="_6__123Graph_BChart_1A" hidden="1">#REF!</definedName>
    <definedName name="_6__123Graph_BI_II_PLF" hidden="1">#REF!</definedName>
    <definedName name="_6_0" localSheetId="0">#REF!</definedName>
    <definedName name="_6_0">#REF!</definedName>
    <definedName name="_60GOTO_B_A1">#REF!</definedName>
    <definedName name="_61">#N/A</definedName>
    <definedName name="_62">#N/A</definedName>
    <definedName name="_64GOTO_E_A1">#REF!</definedName>
    <definedName name="_66GOTO_I_A1">#REF!</definedName>
    <definedName name="_6GOTO_A_A501">#REF!</definedName>
    <definedName name="_6GOTO_A_A952">#REF!</definedName>
    <definedName name="_6GOTO_B_A536">#REF!</definedName>
    <definedName name="_6n_0" localSheetId="0">#REF!</definedName>
    <definedName name="_6n_0">#REF!</definedName>
    <definedName name="_7_._0SGA_gro">#REF!</definedName>
    <definedName name="_7__123Graph_ACHART_3" hidden="1">#REF!</definedName>
    <definedName name="_7__123Graph_CI_II_PLF" hidden="1">#REF!</definedName>
    <definedName name="_7_0FAMERangeDJ_BALA">#REF!</definedName>
    <definedName name="_71">#N/A</definedName>
    <definedName name="_72">#N/A</definedName>
    <definedName name="_72GOTO_G_A1">#REF!</definedName>
    <definedName name="_75GOTO_B_A189">#REF!</definedName>
    <definedName name="_78GOTO_K_A30">#REF!</definedName>
    <definedName name="_79_0FAMERangeDJ_BALA">#REF!</definedName>
    <definedName name="_7GOTO_C_A1">#REF!</definedName>
    <definedName name="_8___123Graph_XI_II_PLF" localSheetId="0" hidden="1">#REF!</definedName>
    <definedName name="_8___123Graph_XI_II_PLF" hidden="1">#REF!</definedName>
    <definedName name="_8__123Graph_ACHART_4" hidden="1">#REF!</definedName>
    <definedName name="_8__123Graph_XI_II_PLF" hidden="1">#REF!</definedName>
    <definedName name="_8_00" localSheetId="0">#REF!</definedName>
    <definedName name="_8_00">#REF!</definedName>
    <definedName name="_8_0FAMERangeDJ_BALA">#REF!</definedName>
    <definedName name="_80_0FAMERangeDJ_BALA">#REF!</definedName>
    <definedName name="_80GOTO_I_A1">#REF!</definedName>
    <definedName name="_81_0FAMERangeDJ_BALA">#REF!</definedName>
    <definedName name="_82_0FAMERangeGCI_BAL">#REF!</definedName>
    <definedName name="_83_0Revenu">#REF!</definedName>
    <definedName name="_84_0UniqueRang">#REF!</definedName>
    <definedName name="_8485G" localSheetId="0">#REF!</definedName>
    <definedName name="_8485G">#REF!</definedName>
    <definedName name="_85_3_0Income_before_ta">#REF!</definedName>
    <definedName name="_86_0FAMERangeDJ_BALA">#REF!</definedName>
    <definedName name="_86_3_0Increase_in_other_liabilit">#REF!</definedName>
    <definedName name="_87_3_0Other_Segment_Reven">#REF!</definedName>
    <definedName name="_8749600_Guj_State_energy">#REF!</definedName>
    <definedName name="_88_0FAMERangeDJ_BALA">#REF!</definedName>
    <definedName name="_88GOTO_J_A1">#REF!</definedName>
    <definedName name="_8GOTO_A_A207">#REF!</definedName>
    <definedName name="_8GOTO_A_A501">#REF!</definedName>
    <definedName name="_8GOTO_B_A1">#REF!</definedName>
    <definedName name="_8GOTO_E_A1">#REF!</definedName>
    <definedName name="_9_.__Gross_inc_gro">#REF!</definedName>
    <definedName name="_9__123Graph_ACHART_5" hidden="1">#REF!</definedName>
    <definedName name="_9__123Graph_AI_II_PLF" localSheetId="0" hidden="1">#REF!</definedName>
    <definedName name="_9__123Graph_AI_II_PLF" hidden="1">#REF!</definedName>
    <definedName name="_9__123Graph_XChart_1A" hidden="1">#REF!</definedName>
    <definedName name="_9_0FAMERangeDJ_BALA">#REF!</definedName>
    <definedName name="_90_0FAMERangeDJ_BALA">#REF!</definedName>
    <definedName name="_90GOTO_B_A536">#REF!</definedName>
    <definedName name="_92_0FAMERangeGCI_BAL">#REF!</definedName>
    <definedName name="_94_0Revenu">#REF!</definedName>
    <definedName name="_96_0UniqueRang">#REF!</definedName>
    <definedName name="_96GOTO_K_A30">#REF!</definedName>
    <definedName name="_98_3_0Income_before_ta">#REF!</definedName>
    <definedName name="_99_00" localSheetId="0">#REF!</definedName>
    <definedName name="_99_00">#REF!</definedName>
    <definedName name="_9GOTO_A_A952">#REF!</definedName>
    <definedName name="_9GOTO_G_A1">#REF!</definedName>
    <definedName name="_a3" localSheetId="0">#N/A</definedName>
    <definedName name="_A3" hidden="1">{"VIEW1",#N/A,FALSE,"P&amp;L Account 2001-2002";"VIEW2",#N/A,FALSE,"P&amp;L Account 2001-2002";"VIEW3",#N/A,FALSE,"P&amp;L Account 2001-2002";"VIEW4",#N/A,FALSE,"P&amp;L Account 2001-2002"}</definedName>
    <definedName name="_A65600">#REF!</definedName>
    <definedName name="_A99999">#REF!</definedName>
    <definedName name="_aa1" localSheetId="25" hidden="1">{#N/A,#N/A,TRUE,"Financials";#N/A,#N/A,TRUE,"Operating Statistics";#N/A,#N/A,TRUE,"Capex &amp; Depreciation";#N/A,#N/A,TRUE,"Debt"}</definedName>
    <definedName name="_aa1" localSheetId="5" hidden="1">{#N/A,#N/A,TRUE,"Financials";#N/A,#N/A,TRUE,"Operating Statistics";#N/A,#N/A,TRUE,"Capex &amp; Depreciation";#N/A,#N/A,TRUE,"Debt"}</definedName>
    <definedName name="_aa1" hidden="1">{#N/A,#N/A,TRUE,"Financials";#N/A,#N/A,TRUE,"Operating Statistics";#N/A,#N/A,TRUE,"Capex &amp; Depreciation";#N/A,#N/A,TRUE,"Debt"}</definedName>
    <definedName name="_AA36" localSheetId="0" hidden="1">{"VIEW1",#N/A,FALSE,"P&amp;L Account 2001-2002";"VIEW2",#N/A,FALSE,"P&amp;L Account 2001-2002";"VIEW3",#N/A,FALSE,"P&amp;L Account 2001-2002";"VIEW4",#N/A,FALSE,"P&amp;L Account 2001-2002"}</definedName>
    <definedName name="_AA36" hidden="1">{"VIEW1",#N/A,FALSE,"P&amp;L Account 2001-2002";"VIEW2",#N/A,FALSE,"P&amp;L Account 2001-2002";"VIEW3",#N/A,FALSE,"P&amp;L Account 2001-2002";"VIEW4",#N/A,FALSE,"P&amp;L Account 2001-2002"}</definedName>
    <definedName name="_AAA1"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c1" hidden="1">{#N/A,#N/A,FALSE,"SUMMARY REPORT"}</definedName>
    <definedName name="_abc10" hidden="1">{#N/A,#N/A,FALSE,"SUMMARY REPORT"}</definedName>
    <definedName name="_abc115" hidden="1">{#N/A,#N/A,FALSE,"SUMMARY REPORT"}</definedName>
    <definedName name="_ABC12" hidden="1">{#N/A,#N/A,FALSE,"SUMMARY REPORT"}</definedName>
    <definedName name="_abc13" hidden="1">{#N/A,#N/A,FALSE,"SUMMARY REPORT"}</definedName>
    <definedName name="_abc14" hidden="1">{#N/A,#N/A,FALSE,"SUMMARY REPORT"}</definedName>
    <definedName name="_abc15" hidden="1">{#N/A,#N/A,FALSE,"SUMMARY REPORT"}</definedName>
    <definedName name="_abc16" hidden="1">{#N/A,#N/A,FALSE,"SUMMARY REPORT"}</definedName>
    <definedName name="_abc18" hidden="1">{#N/A,#N/A,FALSE,"SUMMARY REPORT"}</definedName>
    <definedName name="_abc19" hidden="1">{#N/A,#N/A,FALSE,"SUMMARY REPORT"}</definedName>
    <definedName name="_abc21" hidden="1">{#N/A,#N/A,FALSE,"SUMMARY REPORT"}</definedName>
    <definedName name="_ABC5" hidden="1">{#N/A,#N/A,FALSE,"SUMMARY REPORT"}</definedName>
    <definedName name="_abc6" hidden="1">{#N/A,#N/A,FALSE,"SUMMARY REPORT"}</definedName>
    <definedName name="_ABC7" hidden="1">{#N/A,#N/A,FALSE,"SUMMARY REPORT"}</definedName>
    <definedName name="_ABC8" hidden="1">{#N/A,#N/A,FALSE,"SUMMARY REPORT"}</definedName>
    <definedName name="_ABC9" hidden="1">{#N/A,#N/A,FALSE,"SUMMARY REPORT"}</definedName>
    <definedName name="_abs123" localSheetId="25" hidden="1">{#N/A,#N/A,FALSE,"M&amp;B_43A_fab";#N/A,#N/A,FALSE,"M&amp;B_43A_ERE.";#N/A,#N/A,FALSE,"M&amp;B-43A-ALIGN"}</definedName>
    <definedName name="_abs123" localSheetId="5" hidden="1">{#N/A,#N/A,FALSE,"M&amp;B_43A_fab";#N/A,#N/A,FALSE,"M&amp;B_43A_ERE.";#N/A,#N/A,FALSE,"M&amp;B-43A-ALIGN"}</definedName>
    <definedName name="_abs123" hidden="1">{#N/A,#N/A,FALSE,"M&amp;B_43A_fab";#N/A,#N/A,FALSE,"M&amp;B_43A_ERE.";#N/A,#N/A,FALSE,"M&amp;B-43A-ALIGN"}</definedName>
    <definedName name="_ABS2" localSheetId="25" hidden="1">{#N/A,#N/A,FALSE,"M&amp;B_43A_fab";#N/A,#N/A,FALSE,"M&amp;B_43A_ERE.";#N/A,#N/A,FALSE,"M&amp;B-43A-ALIGN"}</definedName>
    <definedName name="_ABS2" localSheetId="5" hidden="1">{#N/A,#N/A,FALSE,"M&amp;B_43A_fab";#N/A,#N/A,FALSE,"M&amp;B_43A_ERE.";#N/A,#N/A,FALSE,"M&amp;B-43A-ALIGN"}</definedName>
    <definedName name="_ABS2" hidden="1">{#N/A,#N/A,FALSE,"M&amp;B_43A_fab";#N/A,#N/A,FALSE,"M&amp;B_43A_ERE.";#N/A,#N/A,FALSE,"M&amp;B-43A-ALIGN"}</definedName>
    <definedName name="_ADB1" localSheetId="0">#REF!</definedName>
    <definedName name="_ADB1">#REF!</definedName>
    <definedName name="_ADC6" hidden="1">{#N/A,#N/A,FALSE,"SUMMARY REPORT"}</definedName>
    <definedName name="_age1" localSheetId="25" hidden="1">{"'Mach'!$A$1:$D$39"}</definedName>
    <definedName name="_age1" localSheetId="5" hidden="1">{"'Mach'!$A$1:$D$39"}</definedName>
    <definedName name="_age1" hidden="1">{"'Mach'!$A$1:$D$39"}</definedName>
    <definedName name="_AMT13502">#N/A</definedName>
    <definedName name="_AMT41301">#N/A</definedName>
    <definedName name="_AMT85116">#N/A</definedName>
    <definedName name="_AMT85125">#N/A</definedName>
    <definedName name="_AMT86106">#N/A</definedName>
    <definedName name="_amt94">#REF!</definedName>
    <definedName name="_amt95">#REF!</definedName>
    <definedName name="_amt96">#REF!</definedName>
    <definedName name="_amt97">#REF!</definedName>
    <definedName name="_amt98">#REF!</definedName>
    <definedName name="_amt99">#REF!</definedName>
    <definedName name="_AOC2">#REF!</definedName>
    <definedName name="_App4">#REF!</definedName>
    <definedName name="_APR1" localSheetId="0">#REF!</definedName>
    <definedName name="_APR1">#REF!</definedName>
    <definedName name="_APR2" localSheetId="0">#REF!</definedName>
    <definedName name="_APR2">#REF!</definedName>
    <definedName name="_as3" localSheetId="0">#REF!</definedName>
    <definedName name="_as3">#REF!</definedName>
    <definedName name="_ASE5" hidden="1">{#N/A,#N/A,FALSE,"SUMMARY REPORT"}</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1" localSheetId="0">#REF!</definedName>
    <definedName name="_AUG1">#REF!</definedName>
    <definedName name="_AUG2" localSheetId="0">#REF!</definedName>
    <definedName name="_AUG2">#REF!</definedName>
    <definedName name="_B">#REF!</definedName>
    <definedName name="_B___0">#REF!</definedName>
    <definedName name="_B___6">#REF!</definedName>
    <definedName name="_BAS_FCOST_AFT_" localSheetId="0">#REF!</definedName>
    <definedName name="_BAS_FCOST_AFT_">#REF!</definedName>
    <definedName name="_BBQ1" localSheetId="0">#REF!</definedName>
    <definedName name="_BBQ1" localSheetId="46">#REF!</definedName>
    <definedName name="_BBQ1" localSheetId="45">#REF!</definedName>
    <definedName name="_BBQ1" localSheetId="49">#REF!</definedName>
    <definedName name="_BBQ1" localSheetId="50">#REF!</definedName>
    <definedName name="_BBQ1" localSheetId="51">#REF!</definedName>
    <definedName name="_BBQ1" localSheetId="52">#REF!</definedName>
    <definedName name="_BBQ1" localSheetId="56">#REF!</definedName>
    <definedName name="_BBQ1" localSheetId="57">#REF!</definedName>
    <definedName name="_BBQ1" localSheetId="58">#REF!</definedName>
    <definedName name="_BBQ1" localSheetId="59">#REF!</definedName>
    <definedName name="_BBQ1">#REF!</definedName>
    <definedName name="_bdm.1548A132B46F4C60B8E729C4551DF117.edm" hidden="1">#REF!</definedName>
    <definedName name="_bdm.15BCD9489AD748028D57019E3C0A66F7.edm" hidden="1">#N/A</definedName>
    <definedName name="_bdm.192E1A69B51247D9914DF8B21161D19C.edm" hidden="1">#REF!</definedName>
    <definedName name="_bdm.24BD2FD9E425417286248BF927A96720.edm" hidden="1">#REF!</definedName>
    <definedName name="_bdm.26553D234A2F4E3D8E53B2192BC0A315.edm" hidden="1">#REF!</definedName>
    <definedName name="_bdm.33A03B62988A41C39A3ED3AE27C84906.edm" hidden="1">#N/A</definedName>
    <definedName name="_bdm.84B00B6FA1B249B294FCD8F89E13079B.edm" hidden="1">#REF!</definedName>
    <definedName name="_bdm.9560A33D287847109A077533FE570E73.edm" hidden="1">#N/A</definedName>
    <definedName name="_bdm.95F445F17CFE4E66883B738BF6636433.edm" hidden="1">#REF!</definedName>
    <definedName name="_bdm.A2E42FEC9E174E2397DAA1281664C0E5.edm" hidden="1">#REF!</definedName>
    <definedName name="_bdm.B114A6131A5F49C1A7A5F91639356266.edm" hidden="1">#REF!</definedName>
    <definedName name="_bdm.BE209056026942F4AE4180B6E4138E6B.edm" hidden="1">#N/A</definedName>
    <definedName name="_bdm.CA7C0830173C4BED942E509D900BD0CE.edm" hidden="1">#N/A</definedName>
    <definedName name="_bdm.CB56BC02D7144C6984233B865BFB4FD5.edm" hidden="1">#REF!</definedName>
    <definedName name="_bdm.D31DD76238F1412E9074A28EA0D4A1D3.edm" hidden="1">#REF!</definedName>
    <definedName name="_bdm.D8450A1B7ADA43A6B01241520EBB1C80.edm" hidden="1">#REF!</definedName>
    <definedName name="_bdm.DC897DFCCAB040F0A0613423FABA10C2.edm" hidden="1">#REF!</definedName>
    <definedName name="_bdm.DFA99D928C514173ACC7302690466393.edm" hidden="1">#N/A</definedName>
    <definedName name="_bdm.E29E946DE9AD43058E12CD132AFEDAA9.edm" hidden="1">#N/A</definedName>
    <definedName name="_BEST_GR">#REF!</definedName>
    <definedName name="_BHIV_AUX">#REF!</definedName>
    <definedName name="_BHIV_HT_RT">#REF!</definedName>
    <definedName name="_boe96">#REF!</definedName>
    <definedName name="_boe97">#REF!</definedName>
    <definedName name="_boe98">#REF!</definedName>
    <definedName name="_boe99">#REF!</definedName>
    <definedName name="_bs1">#REF!</definedName>
    <definedName name="_bs2">#REF!</definedName>
    <definedName name="_BSD1">#REF!</definedName>
    <definedName name="_BSD2">#REF!</definedName>
    <definedName name="_BSES22_GR">#REF!</definedName>
    <definedName name="_BSES220_GR">#REF!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p98">#REF!</definedName>
    <definedName name="_cat12" localSheetId="25" hidden="1">{#N/A,#N/A,TRUE,"Front";#N/A,#N/A,TRUE,"Simple Letter";#N/A,#N/A,TRUE,"Inside";#N/A,#N/A,TRUE,"Contents";#N/A,#N/A,TRUE,"Basis";#N/A,#N/A,TRUE,"Inclusions";#N/A,#N/A,TRUE,"Exclusions";#N/A,#N/A,TRUE,"Areas";#N/A,#N/A,TRUE,"Summary";#N/A,#N/A,TRUE,"Detail"}</definedName>
    <definedName name="_cat12" localSheetId="5" hidden="1">{#N/A,#N/A,TRUE,"Front";#N/A,#N/A,TRUE,"Simple Letter";#N/A,#N/A,TRUE,"Inside";#N/A,#N/A,TRUE,"Contents";#N/A,#N/A,TRUE,"Basis";#N/A,#N/A,TRUE,"Inclusions";#N/A,#N/A,TRUE,"Exclusions";#N/A,#N/A,TRUE,"Areas";#N/A,#N/A,TRUE,"Summary";#N/A,#N/A,TRUE,"Detail"}</definedName>
    <definedName name="_cat12" hidden="1">{#N/A,#N/A,TRUE,"Front";#N/A,#N/A,TRUE,"Simple Letter";#N/A,#N/A,TRUE,"Inside";#N/A,#N/A,TRUE,"Contents";#N/A,#N/A,TRUE,"Basis";#N/A,#N/A,TRUE,"Inclusions";#N/A,#N/A,TRUE,"Exclusions";#N/A,#N/A,TRUE,"Areas";#N/A,#N/A,TRUE,"Summary";#N/A,#N/A,TRUE,"Detail"}</definedName>
    <definedName name="_ccf93">#REF!</definedName>
    <definedName name="_ccf94">#REF!</definedName>
    <definedName name="_cni93">#REF!</definedName>
    <definedName name="_cni94">#REF!</definedName>
    <definedName name="_CO1">#REF!</definedName>
    <definedName name="_COAL_CAL_VAL_" localSheetId="0">#REF!</definedName>
    <definedName name="_COAL_CAL_VAL_">#REF!</definedName>
    <definedName name="_col1">#REF!</definedName>
    <definedName name="_col10">#REF!</definedName>
    <definedName name="_col11">#REF!</definedName>
    <definedName name="_col12">#REF!</definedName>
    <definedName name="_col13">#REF!</definedName>
    <definedName name="_col2">#REF!</definedName>
    <definedName name="_col3">#REF!</definedName>
    <definedName name="_col4">#REF!</definedName>
    <definedName name="_col5">#REF!</definedName>
    <definedName name="_col6">#REF!</definedName>
    <definedName name="_col7">#REF!</definedName>
    <definedName name="_col8">#REF!</definedName>
    <definedName name="_col9">#REF!</definedName>
    <definedName name="_Cur3" localSheetId="0">#REF!</definedName>
    <definedName name="_Cur3">#REF!</definedName>
    <definedName name="_D">#REF!</definedName>
    <definedName name="_D___0">#REF!</definedName>
    <definedName name="_D___6">#REF!</definedName>
    <definedName name="_D___GOTO_GK112" localSheetId="11">#REF!</definedName>
    <definedName name="_D___GOTO_GK112" localSheetId="13">#REF!</definedName>
    <definedName name="_D___GOTO_GK112" localSheetId="16">#REF!</definedName>
    <definedName name="_D___GOTO_GK112" localSheetId="26">#REF!</definedName>
    <definedName name="_D___GOTO_GK112" localSheetId="32">#REF!</definedName>
    <definedName name="_D___GOTO_GK112" localSheetId="33">#REF!</definedName>
    <definedName name="_D___GOTO_GK112" localSheetId="34">#REF!</definedName>
    <definedName name="_D___GOTO_GK112" localSheetId="35">#REF!</definedName>
    <definedName name="_D___GOTO_GK112">#REF!</definedName>
    <definedName name="_D___GOTO_GK56_" localSheetId="11">#REF!</definedName>
    <definedName name="_D___GOTO_GK56_" localSheetId="13">#REF!</definedName>
    <definedName name="_D___GOTO_GK56_" localSheetId="16">#REF!</definedName>
    <definedName name="_D___GOTO_GK56_" localSheetId="26">#REF!</definedName>
    <definedName name="_D___GOTO_GK56_" localSheetId="32">#REF!</definedName>
    <definedName name="_D___GOTO_GK56_" localSheetId="33">#REF!</definedName>
    <definedName name="_D___GOTO_GK56_" localSheetId="34">#REF!</definedName>
    <definedName name="_D___GOTO_GK56_" localSheetId="35">#REF!</definedName>
    <definedName name="_D___GOTO_GK56_">#REF!</definedName>
    <definedName name="_D__D___L___GOT" localSheetId="11">#REF!</definedName>
    <definedName name="_D__D___L___GOT" localSheetId="13">#REF!</definedName>
    <definedName name="_D__D___L___GOT" localSheetId="16">#REF!</definedName>
    <definedName name="_D__D___L___GOT" localSheetId="26">#REF!</definedName>
    <definedName name="_D__D___L___GOT" localSheetId="32">#REF!</definedName>
    <definedName name="_D__D___L___GOT" localSheetId="33">#REF!</definedName>
    <definedName name="_D__D___L___GOT" localSheetId="34">#REF!</definedName>
    <definedName name="_D__D___L___GOT" localSheetId="35">#REF!</definedName>
    <definedName name="_D__D___L___GOT">#REF!</definedName>
    <definedName name="_D__D__D___D__D" localSheetId="11">#REF!</definedName>
    <definedName name="_D__D__D___D__D" localSheetId="13">#REF!</definedName>
    <definedName name="_D__D__D___D__D" localSheetId="16">#REF!</definedName>
    <definedName name="_D__D__D___D__D" localSheetId="26">#REF!</definedName>
    <definedName name="_D__D__D___D__D" localSheetId="32">#REF!</definedName>
    <definedName name="_D__D__D___D__D" localSheetId="33">#REF!</definedName>
    <definedName name="_D__D__D___D__D" localSheetId="34">#REF!</definedName>
    <definedName name="_D__D__D___D__D" localSheetId="35">#REF!</definedName>
    <definedName name="_D__D__D___D__D">#REF!</definedName>
    <definedName name="_D_19__U_19_" localSheetId="11">#REF!</definedName>
    <definedName name="_D_19__U_19_" localSheetId="13">#REF!</definedName>
    <definedName name="_D_19__U_19_" localSheetId="16">#REF!</definedName>
    <definedName name="_D_19__U_19_" localSheetId="26">#REF!</definedName>
    <definedName name="_D_19__U_19_" localSheetId="32">#REF!</definedName>
    <definedName name="_D_19__U_19_" localSheetId="33">#REF!</definedName>
    <definedName name="_D_19__U_19_" localSheetId="34">#REF!</definedName>
    <definedName name="_D_19__U_19_" localSheetId="35">#REF!</definedName>
    <definedName name="_D_19__U_19_">#REF!</definedName>
    <definedName name="_D5" localSheetId="0">#REF!</definedName>
    <definedName name="_D5">#REF!</definedName>
    <definedName name="_D87840">#REF!</definedName>
    <definedName name="_dap20">#REF!</definedName>
    <definedName name="_dap25">#REF!</definedName>
    <definedName name="_DAT1">#REF!</definedName>
    <definedName name="_DAT10">#REF!</definedName>
    <definedName name="_DAT11">#REF!</definedName>
    <definedName name="_DAT12" localSheetId="0">#REF!</definedName>
    <definedName name="_DAT12">#REF!</definedName>
    <definedName name="_DAT13" localSheetId="0">#REF!</definedName>
    <definedName name="_DAT13">#REF!</definedName>
    <definedName name="_DAT14" localSheetId="0">#REF!</definedName>
    <definedName name="_DAT14">#REF!</definedName>
    <definedName name="_DAT15" localSheetId="0">#REF!</definedName>
    <definedName name="_DAT15">#REF!</definedName>
    <definedName name="_DAT16" localSheetId="0">#REF!</definedName>
    <definedName name="_DAT16">#REF!</definedName>
    <definedName name="_DAT17">#REF!</definedName>
    <definedName name="_DAT18" localSheetId="0">#REF!</definedName>
    <definedName name="_DAT18">#REF!</definedName>
    <definedName name="_DAT19" localSheetId="0">#REF!</definedName>
    <definedName name="_DAT19">#REF!</definedName>
    <definedName name="_DAT2">#REF!</definedName>
    <definedName name="_DAT20" localSheetId="0">#REF!</definedName>
    <definedName name="_DAT20">#REF!</definedName>
    <definedName name="_DAT21" localSheetId="0">#REF!</definedName>
    <definedName name="_DAT21">#REF!</definedName>
    <definedName name="_DAT22" localSheetId="0">#REF!</definedName>
    <definedName name="_DAT22">#REF!</definedName>
    <definedName name="_DAT23" localSheetId="0">#REF!</definedName>
    <definedName name="_DAT23">#REF!</definedName>
    <definedName name="_DAT24" localSheetId="0">#REF!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6">#REF!</definedName>
    <definedName name="_DAT7">#REF!</definedName>
    <definedName name="_DAT8">#REF!</definedName>
    <definedName name="_DAT9">#REF!</definedName>
    <definedName name="_db1" hidden="1">{"'Sheet1'!$A$5:$E$42"}</definedName>
    <definedName name="_dcf1" hidden="1">#REF!</definedName>
    <definedName name="_DCF95">#REF!</definedName>
    <definedName name="_DCF96">#REF!</definedName>
    <definedName name="_DCF97">#REF!</definedName>
    <definedName name="_dd1">#REF!</definedName>
    <definedName name="_dd2">#REF!</definedName>
    <definedName name="_DDD2">#N/A</definedName>
    <definedName name="_DDD3">#N/A</definedName>
    <definedName name="_DDD4">#N/A</definedName>
    <definedName name="_DDD5">#N/A</definedName>
    <definedName name="_deb1">#REF!</definedName>
    <definedName name="_DEC1" localSheetId="0">#REF!</definedName>
    <definedName name="_DEC1">#REF!</definedName>
    <definedName name="_DEC2" localSheetId="0">#REF!</definedName>
    <definedName name="_DEC2">#REF!</definedName>
    <definedName name="_DET1" localSheetId="0">#REF!</definedName>
    <definedName name="_DET1">#REF!</definedName>
    <definedName name="_Dist_Bin" hidden="1">#REF!</definedName>
    <definedName name="_Dist_Values" hidden="1">#REF!</definedName>
    <definedName name="_div94">#REF!</definedName>
    <definedName name="_div95">#REF!</definedName>
    <definedName name="_div96">#REF!</definedName>
    <definedName name="_div97">#REF!</definedName>
    <definedName name="_div98">#REF!</definedName>
    <definedName name="_dk1" localSheetId="25" hidden="1">{#N/A,#N/A,FALSE,"COVER.XLS";#N/A,#N/A,FALSE,"RACT1.XLS";#N/A,#N/A,FALSE,"RACT2.XLS";#N/A,#N/A,FALSE,"ECCMP";#N/A,#N/A,FALSE,"WELDER.XLS"}</definedName>
    <definedName name="_dk1" localSheetId="0" hidden="1">{#N/A,#N/A,FALSE,"COVER.XLS";#N/A,#N/A,FALSE,"RACT1.XLS";#N/A,#N/A,FALSE,"RACT2.XLS";#N/A,#N/A,FALSE,"ECCMP";#N/A,#N/A,FALSE,"WELDER.XLS"}</definedName>
    <definedName name="_dk1" localSheetId="5" hidden="1">{#N/A,#N/A,FALSE,"COVER.XLS";#N/A,#N/A,FALSE,"RACT1.XLS";#N/A,#N/A,FALSE,"RACT2.XLS";#N/A,#N/A,FALSE,"ECCMP";#N/A,#N/A,FALSE,"WELDER.XLS"}</definedName>
    <definedName name="_dk1" hidden="1">{#N/A,#N/A,FALSE,"COVER.XLS";#N/A,#N/A,FALSE,"RACT1.XLS";#N/A,#N/A,FALSE,"RACT2.XLS";#N/A,#N/A,FALSE,"ECCMP";#N/A,#N/A,FALSE,"WELDER.XLS"}</definedName>
    <definedName name="_DOWN_9__RIGHT_" localSheetId="11">#REF!</definedName>
    <definedName name="_DOWN_9__RIGHT_" localSheetId="13">#REF!</definedName>
    <definedName name="_DOWN_9__RIGHT_" localSheetId="16">#REF!</definedName>
    <definedName name="_DOWN_9__RIGHT_" localSheetId="26">#REF!</definedName>
    <definedName name="_DOWN_9__RIGHT_" localSheetId="32">#REF!</definedName>
    <definedName name="_DOWN_9__RIGHT_" localSheetId="33">#REF!</definedName>
    <definedName name="_DOWN_9__RIGHT_" localSheetId="34">#REF!</definedName>
    <definedName name="_DOWN_9__RIGHT_" localSheetId="35">#REF!</definedName>
    <definedName name="_DOWN_9__RIGHT_">#REF!</definedName>
    <definedName name="_EDF2" hidden="1">{#N/A,#N/A,FALSE,"SUMMARY REPORT"}</definedName>
    <definedName name="_ELL45">#REF!</definedName>
    <definedName name="_ELL90">#REF!</definedName>
    <definedName name="_EMP4">#N/A</definedName>
    <definedName name="_ENR_BEST_AFT_" localSheetId="0">#REF!</definedName>
    <definedName name="_ENR_BEST_AFT_">#REF!</definedName>
    <definedName name="_ENR_BSES_AFT_" localSheetId="0">#REF!</definedName>
    <definedName name="_ENR_BSES_AFT_">#REF!</definedName>
    <definedName name="_ENR_BSES220_AFT_" localSheetId="0">#REF!</definedName>
    <definedName name="_ENR_BSES220_AFT_">#REF!</definedName>
    <definedName name="_ENR_TIR_AFT_" localSheetId="0">#REF!</definedName>
    <definedName name="_ENR_TIR_AFT_">#REF!</definedName>
    <definedName name="_EOL3107">#REF!</definedName>
    <definedName name="_EPS94">#REF!</definedName>
    <definedName name="_EPS95">#REF!</definedName>
    <definedName name="_EPS96">#REF!</definedName>
    <definedName name="_EPS97">#REF!</definedName>
    <definedName name="_Exp1">#REF!</definedName>
    <definedName name="_exp2" localSheetId="0" hidden="1">{"VIEW1",#N/A,FALSE,"P&amp;L Account 2001-2002";"VIEW2",#N/A,FALSE,"P&amp;L Account 2001-2002";"VIEW3",#N/A,FALSE,"P&amp;L Account 2001-2002";"VIEW4",#N/A,FALSE,"P&amp;L Account 2001-2002"}</definedName>
    <definedName name="_exp2" hidden="1">{"VIEW1",#N/A,FALSE,"P&amp;L Account 2001-2002";"VIEW2",#N/A,FALSE,"P&amp;L Account 2001-2002";"VIEW3",#N/A,FALSE,"P&amp;L Account 2001-2002";"VIEW4",#N/A,FALSE,"P&amp;L Account 2001-2002"}</definedName>
    <definedName name="_f" hidden="1">#REF!</definedName>
    <definedName name="_f2">#REF!</definedName>
    <definedName name="_f3" localSheetId="25" hidden="1">{#N/A,#N/A,FALSE,"Aging Summary";#N/A,#N/A,FALSE,"Ratio Analysis";#N/A,#N/A,FALSE,"Test 120 Day Accts";#N/A,#N/A,FALSE,"Tickmarks"}</definedName>
    <definedName name="_f3" localSheetId="5" hidden="1">{#N/A,#N/A,FALSE,"Aging Summary";#N/A,#N/A,FALSE,"Ratio Analysis";#N/A,#N/A,FALSE,"Test 120 Day Accts";#N/A,#N/A,FALSE,"Tickmarks"}</definedName>
    <definedName name="_f3" hidden="1">{#N/A,#N/A,FALSE,"Aging Summary";#N/A,#N/A,FALSE,"Ratio Analysis";#N/A,#N/A,FALSE,"Test 120 Day Accts";#N/A,#N/A,FALSE,"Tickmarks"}</definedName>
    <definedName name="_f4" localSheetId="25" hidden="1">{#N/A,#N/A,FALSE,"Aging Summary";#N/A,#N/A,FALSE,"Ratio Analysis";#N/A,#N/A,FALSE,"Test 120 Day Accts";#N/A,#N/A,FALSE,"Tickmarks"}</definedName>
    <definedName name="_f4" localSheetId="5" hidden="1">{#N/A,#N/A,FALSE,"Aging Summary";#N/A,#N/A,FALSE,"Ratio Analysis";#N/A,#N/A,FALSE,"Test 120 Day Accts";#N/A,#N/A,FALSE,"Tickmarks"}</definedName>
    <definedName name="_f4" hidden="1">{#N/A,#N/A,FALSE,"Aging Summary";#N/A,#N/A,FALSE,"Ratio Analysis";#N/A,#N/A,FALSE,"Test 120 Day Accts";#N/A,#N/A,FALSE,"Tickmarks"}</definedName>
    <definedName name="_FA1" localSheetId="0" hidden="1">{#N/A,#N/A,FALSE,"Aging Summary";#N/A,#N/A,FALSE,"Ratio Analysis";#N/A,#N/A,FALSE,"Test 120 Day Accts";#N/A,#N/A,FALSE,"Tickmarks"}</definedName>
    <definedName name="_FA1" hidden="1">{#N/A,#N/A,FALSE,"Aging Summary";#N/A,#N/A,FALSE,"Ratio Analysis";#N/A,#N/A,FALSE,"Test 120 Day Accts";#N/A,#N/A,FALSE,"Tickmarks"}</definedName>
    <definedName name="_fcl1">#REF!</definedName>
    <definedName name="_Feb06" localSheetId="25" hidden="1">{#N/A,#N/A,TRUE,"Front";#N/A,#N/A,TRUE,"Simple Letter";#N/A,#N/A,TRUE,"Inside";#N/A,#N/A,TRUE,"Contents";#N/A,#N/A,TRUE,"Basis";#N/A,#N/A,TRUE,"Inclusions";#N/A,#N/A,TRUE,"Exclusions";#N/A,#N/A,TRUE,"Areas";#N/A,#N/A,TRUE,"Summary";#N/A,#N/A,TRUE,"Detail"}</definedName>
    <definedName name="_Feb06" localSheetId="5" hidden="1">{#N/A,#N/A,TRUE,"Front";#N/A,#N/A,TRUE,"Simple Letter";#N/A,#N/A,TRUE,"Inside";#N/A,#N/A,TRUE,"Contents";#N/A,#N/A,TRUE,"Basis";#N/A,#N/A,TRUE,"Inclusions";#N/A,#N/A,TRUE,"Exclusions";#N/A,#N/A,TRUE,"Areas";#N/A,#N/A,TRUE,"Summary";#N/A,#N/A,TRUE,"Detail"}</definedName>
    <definedName name="_Feb06" hidden="1">{#N/A,#N/A,TRUE,"Front";#N/A,#N/A,TRUE,"Simple Letter";#N/A,#N/A,TRUE,"Inside";#N/A,#N/A,TRUE,"Contents";#N/A,#N/A,TRUE,"Basis";#N/A,#N/A,TRUE,"Inclusions";#N/A,#N/A,TRUE,"Exclusions";#N/A,#N/A,TRUE,"Areas";#N/A,#N/A,TRUE,"Summary";#N/A,#N/A,TRUE,"Detail"}</definedName>
    <definedName name="_FEB1" localSheetId="0">#REF!</definedName>
    <definedName name="_FEB1">#REF!</definedName>
    <definedName name="_FEB2" localSheetId="0">#REF!</definedName>
    <definedName name="_FEB2">#REF!</definedName>
    <definedName name="_ffr1">#REF!</definedName>
    <definedName name="_ffr2" localSheetId="0">#REF!</definedName>
    <definedName name="_ffr2">#REF!</definedName>
    <definedName name="_FFr98" localSheetId="0">#REF!</definedName>
    <definedName name="_FFr98">#REF!</definedName>
    <definedName name="_FFr99" localSheetId="0">#REF!</definedName>
    <definedName name="_FFr99">#REF!</definedName>
    <definedName name="_Fill" localSheetId="0" hidden="1">#REF!</definedName>
    <definedName name="_Fill" localSheetId="11" hidden="1">#REF!</definedName>
    <definedName name="_Fill" localSheetId="13" hidden="1">#REF!</definedName>
    <definedName name="_Fill" localSheetId="16" hidden="1">#REF!</definedName>
    <definedName name="_Fill" localSheetId="26"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hidden="1">#REF!</definedName>
    <definedName name="_Fill1" hidden="1">#REF!</definedName>
    <definedName name="_fill2" hidden="1">#REF!</definedName>
    <definedName name="_xlnm._FilterDatabase" hidden="1">#REF!</definedName>
    <definedName name="_FR">#REF!</definedName>
    <definedName name="_FRF2">#REF!</definedName>
    <definedName name="_FROM__R__R__08" localSheetId="11">#REF!</definedName>
    <definedName name="_FROM__R__R__08" localSheetId="13">#REF!</definedName>
    <definedName name="_FROM__R__R__08" localSheetId="16">#REF!</definedName>
    <definedName name="_FROM__R__R__08" localSheetId="26">#REF!</definedName>
    <definedName name="_FROM__R__R__08" localSheetId="32">#REF!</definedName>
    <definedName name="_FROM__R__R__08" localSheetId="33">#REF!</definedName>
    <definedName name="_FROM__R__R__08" localSheetId="34">#REF!</definedName>
    <definedName name="_FROM__R__R__08" localSheetId="35">#REF!</definedName>
    <definedName name="_FROM__R__R__08">#REF!</definedName>
    <definedName name="_FROM__R__R__16" localSheetId="11">#REF!</definedName>
    <definedName name="_FROM__R__R__16" localSheetId="13">#REF!</definedName>
    <definedName name="_FROM__R__R__16" localSheetId="16">#REF!</definedName>
    <definedName name="_FROM__R__R__16" localSheetId="26">#REF!</definedName>
    <definedName name="_FROM__R__R__16" localSheetId="32">#REF!</definedName>
    <definedName name="_FROM__R__R__16" localSheetId="33">#REF!</definedName>
    <definedName name="_FROM__R__R__16" localSheetId="34">#REF!</definedName>
    <definedName name="_FROM__R__R__16" localSheetId="35">#REF!</definedName>
    <definedName name="_FROM__R__R__16">#REF!</definedName>
    <definedName name="_FS_R">#REF!</definedName>
    <definedName name="_FSE8" localSheetId="0" hidden="1">{"VIEW1",#N/A,FALSE,"P&amp;L Account 2001-2002";"VIEW2",#N/A,FALSE,"P&amp;L Account 2001-2002";"VIEW3",#N/A,FALSE,"P&amp;L Account 2001-2002";"VIEW4",#N/A,FALSE,"P&amp;L Account 2001-2002"}</definedName>
    <definedName name="_FSE8" hidden="1">{"VIEW1",#N/A,FALSE,"P&amp;L Account 2001-2002";"VIEW2",#N/A,FALSE,"P&amp;L Account 2001-2002";"VIEW3",#N/A,FALSE,"P&amp;L Account 2001-2002";"VIEW4",#N/A,FALSE,"P&amp;L Account 2001-2002"}</definedName>
    <definedName name="_G87634">#REF!</definedName>
    <definedName name="_GAS_CAL" localSheetId="0">#REF!</definedName>
    <definedName name="_GAS_CAL">#REF!</definedName>
    <definedName name="_GAS_CAL_VAL_" localSheetId="0">#REF!</definedName>
    <definedName name="_GAS_CAL_VAL_">#REF!</definedName>
    <definedName name="_GENERATION__R_" localSheetId="11">#REF!</definedName>
    <definedName name="_GENERATION__R_" localSheetId="13">#REF!</definedName>
    <definedName name="_GENERATION__R_" localSheetId="16">#REF!</definedName>
    <definedName name="_GENERATION__R_" localSheetId="26">#REF!</definedName>
    <definedName name="_GENERATION__R_" localSheetId="32">#REF!</definedName>
    <definedName name="_GENERATION__R_" localSheetId="33">#REF!</definedName>
    <definedName name="_GENERATION__R_" localSheetId="34">#REF!</definedName>
    <definedName name="_GENERATION__R_" localSheetId="35">#REF!</definedName>
    <definedName name="_GENERATION__R_">#REF!</definedName>
    <definedName name="_GOTO_BT49__R__" localSheetId="11">#REF!</definedName>
    <definedName name="_GOTO_BT49__R__" localSheetId="13">#REF!</definedName>
    <definedName name="_GOTO_BT49__R__" localSheetId="16">#REF!</definedName>
    <definedName name="_GOTO_BT49__R__" localSheetId="26">#REF!</definedName>
    <definedName name="_GOTO_BT49__R__" localSheetId="32">#REF!</definedName>
    <definedName name="_GOTO_BT49__R__" localSheetId="33">#REF!</definedName>
    <definedName name="_GOTO_BT49__R__" localSheetId="34">#REF!</definedName>
    <definedName name="_GOTO_BT49__R__" localSheetId="35">#REF!</definedName>
    <definedName name="_GOTO_BT49__R__">#REF!</definedName>
    <definedName name="_GOTO_CF11__?__" localSheetId="11">#REF!</definedName>
    <definedName name="_GOTO_CF11__?__" localSheetId="13">#REF!</definedName>
    <definedName name="_GOTO_CF11__?__" localSheetId="16">#REF!</definedName>
    <definedName name="_GOTO_CF11__?__" localSheetId="26">#REF!</definedName>
    <definedName name="_GOTO_CF11__?__" localSheetId="32">#REF!</definedName>
    <definedName name="_GOTO_CF11__?__" localSheetId="33">#REF!</definedName>
    <definedName name="_GOTO_CF11__?__" localSheetId="34">#REF!</definedName>
    <definedName name="_GOTO_CF11__?__" localSheetId="35">#REF!</definedName>
    <definedName name="_GOTO_CF11__?__">#REF!</definedName>
    <definedName name="_GOTO_EO75__WEK" localSheetId="11">#REF!</definedName>
    <definedName name="_GOTO_EO75__WEK" localSheetId="13">#REF!</definedName>
    <definedName name="_GOTO_EO75__WEK" localSheetId="16">#REF!</definedName>
    <definedName name="_GOTO_EO75__WEK" localSheetId="26">#REF!</definedName>
    <definedName name="_GOTO_EO75__WEK" localSheetId="32">#REF!</definedName>
    <definedName name="_GOTO_EO75__WEK" localSheetId="33">#REF!</definedName>
    <definedName name="_GOTO_EO75__WEK" localSheetId="34">#REF!</definedName>
    <definedName name="_GOTO_EO75__WEK" localSheetId="35">#REF!</definedName>
    <definedName name="_GOTO_EO75__WEK">#REF!</definedName>
    <definedName name="_GOTO_EP82__PEA" localSheetId="11">#REF!</definedName>
    <definedName name="_GOTO_EP82__PEA" localSheetId="13">#REF!</definedName>
    <definedName name="_GOTO_EP82__PEA" localSheetId="16">#REF!</definedName>
    <definedName name="_GOTO_EP82__PEA" localSheetId="26">#REF!</definedName>
    <definedName name="_GOTO_EP82__PEA" localSheetId="32">#REF!</definedName>
    <definedName name="_GOTO_EP82__PEA" localSheetId="33">#REF!</definedName>
    <definedName name="_GOTO_EP82__PEA" localSheetId="34">#REF!</definedName>
    <definedName name="_GOTO_EP82__PEA" localSheetId="35">#REF!</definedName>
    <definedName name="_GOTO_EP82__PEA">#REF!</definedName>
    <definedName name="_GOTO_EP86__PER" localSheetId="11">#REF!</definedName>
    <definedName name="_GOTO_EP86__PER" localSheetId="13">#REF!</definedName>
    <definedName name="_GOTO_EP86__PER" localSheetId="16">#REF!</definedName>
    <definedName name="_GOTO_EP86__PER" localSheetId="26">#REF!</definedName>
    <definedName name="_GOTO_EP86__PER" localSheetId="32">#REF!</definedName>
    <definedName name="_GOTO_EP86__PER" localSheetId="33">#REF!</definedName>
    <definedName name="_GOTO_EP86__PER" localSheetId="34">#REF!</definedName>
    <definedName name="_GOTO_EP86__PER" localSheetId="35">#REF!</definedName>
    <definedName name="_GOTO_EP86__PER">#REF!</definedName>
    <definedName name="_GOTO_FO112__RV" localSheetId="11">#REF!</definedName>
    <definedName name="_GOTO_FO112__RV" localSheetId="13">#REF!</definedName>
    <definedName name="_GOTO_FO112__RV" localSheetId="16">#REF!</definedName>
    <definedName name="_GOTO_FO112__RV" localSheetId="26">#REF!</definedName>
    <definedName name="_GOTO_FO112__RV" localSheetId="32">#REF!</definedName>
    <definedName name="_GOTO_FO112__RV" localSheetId="33">#REF!</definedName>
    <definedName name="_GOTO_FO112__RV" localSheetId="34">#REF!</definedName>
    <definedName name="_GOTO_FO112__RV" localSheetId="35">#REF!</definedName>
    <definedName name="_GOTO_FO112__RV">#REF!</definedName>
    <definedName name="_GOTO_FO56__RV_" localSheetId="11">#REF!</definedName>
    <definedName name="_GOTO_FO56__RV_" localSheetId="13">#REF!</definedName>
    <definedName name="_GOTO_FO56__RV_" localSheetId="16">#REF!</definedName>
    <definedName name="_GOTO_FO56__RV_" localSheetId="26">#REF!</definedName>
    <definedName name="_GOTO_FO56__RV_" localSheetId="32">#REF!</definedName>
    <definedName name="_GOTO_FO56__RV_" localSheetId="33">#REF!</definedName>
    <definedName name="_GOTO_FO56__RV_" localSheetId="34">#REF!</definedName>
    <definedName name="_GOTO_FO56__RV_" localSheetId="35">#REF!</definedName>
    <definedName name="_GOTO_FO56__RV_">#REF!</definedName>
    <definedName name="_Grp12">#REF!</definedName>
    <definedName name="_Grp13">#REF!</definedName>
    <definedName name="_Grp14">#REF!</definedName>
    <definedName name="_Grp15">#REF!</definedName>
    <definedName name="_Grp2">#REF!</definedName>
    <definedName name="_h">#REF!</definedName>
    <definedName name="_hh1" localSheetId="0">#REF!</definedName>
    <definedName name="_hh1">#REF!</definedName>
    <definedName name="_hh2" localSheetId="0">#REF!</definedName>
    <definedName name="_hh2">#REF!</definedName>
    <definedName name="_HOME_" localSheetId="0">#REF!</definedName>
    <definedName name="_HOME_">#REF!</definedName>
    <definedName name="_HOME__GOTO_M14" localSheetId="11">#REF!</definedName>
    <definedName name="_HOME__GOTO_M14" localSheetId="13">#REF!</definedName>
    <definedName name="_HOME__GOTO_M14" localSheetId="16">#REF!</definedName>
    <definedName name="_HOME__GOTO_M14" localSheetId="26">#REF!</definedName>
    <definedName name="_HOME__GOTO_M14" localSheetId="32">#REF!</definedName>
    <definedName name="_HOME__GOTO_M14" localSheetId="33">#REF!</definedName>
    <definedName name="_HOME__GOTO_M14" localSheetId="34">#REF!</definedName>
    <definedName name="_HOME__GOTO_M14" localSheetId="35">#REF!</definedName>
    <definedName name="_HOME__GOTO_M14">#REF!</definedName>
    <definedName name="_hp10" localSheetId="25" hidden="1">{#N/A,#N/A,TRUE,"Front";#N/A,#N/A,TRUE,"Simple Letter";#N/A,#N/A,TRUE,"Inside";#N/A,#N/A,TRUE,"Contents";#N/A,#N/A,TRUE,"Basis";#N/A,#N/A,TRUE,"Inclusions";#N/A,#N/A,TRUE,"Exclusions";#N/A,#N/A,TRUE,"Areas";#N/A,#N/A,TRUE,"Summary";#N/A,#N/A,TRUE,"Detail"}</definedName>
    <definedName name="_hp10" localSheetId="5"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HT_GR">#REF!</definedName>
    <definedName name="_HYDRO_AUX__" localSheetId="0">#REF!</definedName>
    <definedName name="_HYDRO_AUX__">#REF!</definedName>
    <definedName name="_iea1">#REF!</definedName>
    <definedName name="_iea2">#REF!</definedName>
    <definedName name="_IED1">#REF!</definedName>
    <definedName name="_IED2">#REF!</definedName>
    <definedName name="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IX19">#REF!</definedName>
    <definedName name="_Jan05" localSheetId="0" hidden="1">_bdm.CB56BC02D7144C6984233B865BFB4FD5.edm()</definedName>
    <definedName name="_Jan05" localSheetId="46" hidden="1">Main.SAPF4Help()</definedName>
    <definedName name="_Jan05" localSheetId="45" hidden="1">Main.SAPF4Help()</definedName>
    <definedName name="_Jan05" localSheetId="49" hidden="1">Main.SAPF4Help()</definedName>
    <definedName name="_Jan05" localSheetId="50" hidden="1">Main.SAPF4Help()</definedName>
    <definedName name="_Jan05" localSheetId="51" hidden="1">Main.SAPF4Help()</definedName>
    <definedName name="_Jan05" localSheetId="52" hidden="1">Main.SAPF4Help()</definedName>
    <definedName name="_Jan05" localSheetId="56" hidden="1">Main.SAPF4Help()</definedName>
    <definedName name="_Jan05" localSheetId="57" hidden="1">Main.SAPF4Help()</definedName>
    <definedName name="_Jan05" localSheetId="58" hidden="1">Main.SAPF4Help()</definedName>
    <definedName name="_Jan05" localSheetId="59" hidden="1">Main.SAPF4Help()</definedName>
    <definedName name="_Jan05" hidden="1">Main.SAPF4Help()</definedName>
    <definedName name="_Jan06" localSheetId="0" hidden="1">_bdm.CB56BC02D7144C6984233B865BFB4FD5.edm()</definedName>
    <definedName name="_Jan06" localSheetId="46" hidden="1">Main.SAPF4Help()</definedName>
    <definedName name="_Jan06" localSheetId="45" hidden="1">Main.SAPF4Help()</definedName>
    <definedName name="_Jan06" localSheetId="49" hidden="1">Main.SAPF4Help()</definedName>
    <definedName name="_Jan06" localSheetId="50" hidden="1">Main.SAPF4Help()</definedName>
    <definedName name="_Jan06" localSheetId="51" hidden="1">Main.SAPF4Help()</definedName>
    <definedName name="_Jan06" localSheetId="52" hidden="1">Main.SAPF4Help()</definedName>
    <definedName name="_Jan06" localSheetId="56" hidden="1">Main.SAPF4Help()</definedName>
    <definedName name="_Jan06" localSheetId="57" hidden="1">Main.SAPF4Help()</definedName>
    <definedName name="_Jan06" localSheetId="58" hidden="1">Main.SAPF4Help()</definedName>
    <definedName name="_Jan06" localSheetId="59" hidden="1">Main.SAPF4Help()</definedName>
    <definedName name="_Jan06" hidden="1">Main.SAPF4Help()</definedName>
    <definedName name="_JAN1" localSheetId="0">#REF!</definedName>
    <definedName name="_JAN1">#REF!</definedName>
    <definedName name="_JAN2" localSheetId="0">#REF!</definedName>
    <definedName name="_JAN2">#REF!</definedName>
    <definedName name="_Jet1">#REF!</definedName>
    <definedName name="_Jet2">#REF!</definedName>
    <definedName name="_Jet3">#REF!</definedName>
    <definedName name="_Jet4">#REF!</definedName>
    <definedName name="_jkj" hidden="1">#REF!</definedName>
    <definedName name="_JUL1" localSheetId="0">#REF!</definedName>
    <definedName name="_JUL1">#REF!</definedName>
    <definedName name="_JUL2" localSheetId="0">#REF!</definedName>
    <definedName name="_JUL2">#REF!</definedName>
    <definedName name="_jUL2005" localSheetId="25" hidden="1">{#N/A,#N/A,FALSE,"Aging Summary";#N/A,#N/A,FALSE,"Ratio Analysis";#N/A,#N/A,FALSE,"Test 120 Day Accts";#N/A,#N/A,FALSE,"Tickmarks"}</definedName>
    <definedName name="_jUL2005" localSheetId="5" hidden="1">{#N/A,#N/A,FALSE,"Aging Summary";#N/A,#N/A,FALSE,"Ratio Analysis";#N/A,#N/A,FALSE,"Test 120 Day Accts";#N/A,#N/A,FALSE,"Tickmarks"}</definedName>
    <definedName name="_jUL2005" hidden="1">{#N/A,#N/A,FALSE,"Aging Summary";#N/A,#N/A,FALSE,"Ratio Analysis";#N/A,#N/A,FALSE,"Test 120 Day Accts";#N/A,#N/A,FALSE,"Tickmarks"}</definedName>
    <definedName name="_jul98">#REF!</definedName>
    <definedName name="_JUN1" localSheetId="0">#REF!</definedName>
    <definedName name="_JUN1">#REF!</definedName>
    <definedName name="_JUN2" localSheetId="0">#REF!</definedName>
    <definedName name="_JUN2">#REF!</definedName>
    <definedName name="_jun98">#REF!</definedName>
    <definedName name="_k">NA()</definedName>
    <definedName name="_K1">#REF!</definedName>
    <definedName name="_K2">#REF!</definedName>
    <definedName name="_K3">#REF!</definedName>
    <definedName name="_K5">#REF!</definedName>
    <definedName name="_K6">#REF!</definedName>
    <definedName name="_k8" localSheetId="25" hidden="1">{#N/A,#N/A,FALSE,"COVER1.XLS ";#N/A,#N/A,FALSE,"RACT1.XLS";#N/A,#N/A,FALSE,"RACT2.XLS";#N/A,#N/A,FALSE,"ECCMP";#N/A,#N/A,FALSE,"WELDER.XLS"}</definedName>
    <definedName name="_k8" localSheetId="0" hidden="1">{#N/A,#N/A,FALSE,"COVER1.XLS ";#N/A,#N/A,FALSE,"RACT1.XLS";#N/A,#N/A,FALSE,"RACT2.XLS";#N/A,#N/A,FALSE,"ECCMP";#N/A,#N/A,FALSE,"WELDER.XLS"}</definedName>
    <definedName name="_k8" localSheetId="5" hidden="1">{#N/A,#N/A,FALSE,"COVER1.XLS ";#N/A,#N/A,FALSE,"RACT1.XLS";#N/A,#N/A,FALSE,"RACT2.XLS";#N/A,#N/A,FALSE,"ECCMP";#N/A,#N/A,FALSE,"WELDER.XLS"}</definedName>
    <definedName name="_k8" hidden="1">{#N/A,#N/A,FALSE,"COVER1.XLS ";#N/A,#N/A,FALSE,"RACT1.XLS";#N/A,#N/A,FALSE,"RACT2.XLS";#N/A,#N/A,FALSE,"ECCMP";#N/A,#N/A,FALSE,"WELDER.XLS"}</definedName>
    <definedName name="_kay1" hidden="1">#REF!</definedName>
    <definedName name="_kd04">#REF!</definedName>
    <definedName name="_kd05">#REF!</definedName>
    <definedName name="_kd06">#REF!</definedName>
    <definedName name="_kd07">#REF!</definedName>
    <definedName name="_kd08">#REF!</definedName>
    <definedName name="_kd09">#REF!</definedName>
    <definedName name="_KD10" localSheetId="0">#REF!</definedName>
    <definedName name="_KD10">#REF!</definedName>
    <definedName name="_KD11" localSheetId="0">#REF!</definedName>
    <definedName name="_KD11">#REF!</definedName>
    <definedName name="_KD12" localSheetId="0">#REF!</definedName>
    <definedName name="_KD12">#REF!</definedName>
    <definedName name="_KD13" localSheetId="0">#REF!</definedName>
    <definedName name="_KD13">#REF!</definedName>
    <definedName name="_KD14" localSheetId="0">#REF!</definedName>
    <definedName name="_KD14">#REF!</definedName>
    <definedName name="_KD15" localSheetId="0">#REF!</definedName>
    <definedName name="_KD15">#REF!</definedName>
    <definedName name="_KD16" localSheetId="0">#REF!</definedName>
    <definedName name="_KD16">#REF!</definedName>
    <definedName name="_kd17">#REF!</definedName>
    <definedName name="_KD18" localSheetId="0">#REF!</definedName>
    <definedName name="_KD18">#REF!</definedName>
    <definedName name="_kd19">#REF!</definedName>
    <definedName name="_KD2" hidden="1">#REF!</definedName>
    <definedName name="_kd20">#REF!</definedName>
    <definedName name="_kd21">#REF!</definedName>
    <definedName name="_kd22">#REF!</definedName>
    <definedName name="_kd23">#REF!</definedName>
    <definedName name="_kd24">#REF!</definedName>
    <definedName name="_kd25">#REF!</definedName>
    <definedName name="_KD3" hidden="1">#REF!</definedName>
    <definedName name="_KD4" localSheetId="0">#REF!</definedName>
    <definedName name="_KD4">#REF!</definedName>
    <definedName name="_KD5" localSheetId="0">#REF!</definedName>
    <definedName name="_KD5">#REF!</definedName>
    <definedName name="_KD6" localSheetId="0">#REF!</definedName>
    <definedName name="_KD6">#REF!</definedName>
    <definedName name="_KD7" localSheetId="0">#REF!</definedName>
    <definedName name="_KD7">#REF!</definedName>
    <definedName name="_KD8" localSheetId="0">#REF!</definedName>
    <definedName name="_KD8">#REF!</definedName>
    <definedName name="_KD9" localSheetId="0">#REF!</definedName>
    <definedName name="_KD9">#REF!</definedName>
    <definedName name="_ketan" localSheetId="0" hidden="1">#REF!</definedName>
    <definedName name="_ketan" hidden="1">#REF!</definedName>
    <definedName name="_Key1" hidden="1">#REF!</definedName>
    <definedName name="_key11" hidden="1">#REF!</definedName>
    <definedName name="_key111" hidden="1">#REF!</definedName>
    <definedName name="_Key2" hidden="1">#REF!</definedName>
    <definedName name="_key3">#REF!</definedName>
    <definedName name="_key4">#REF!</definedName>
    <definedName name="_KK1" hidden="1">#REF!</definedName>
    <definedName name="_KK2" hidden="1">#REF!</definedName>
    <definedName name="_KK3" hidden="1">#REF!</definedName>
    <definedName name="_KKS1" localSheetId="0" hidden="1">{#N/A,#N/A,FALSE,"12"}</definedName>
    <definedName name="_KKS1" hidden="1">{#N/A,#N/A,FALSE,"12"}</definedName>
    <definedName name="_kvs1" localSheetId="25" hidden="1">{#N/A,#N/A,FALSE,"COVER1.XLS ";#N/A,#N/A,FALSE,"RACT1.XLS";#N/A,#N/A,FALSE,"RACT2.XLS";#N/A,#N/A,FALSE,"ECCMP";#N/A,#N/A,FALSE,"WELDER.XLS"}</definedName>
    <definedName name="_kvs1" localSheetId="0" hidden="1">{#N/A,#N/A,FALSE,"COVER1.XLS ";#N/A,#N/A,FALSE,"RACT1.XLS";#N/A,#N/A,FALSE,"RACT2.XLS";#N/A,#N/A,FALSE,"ECCMP";#N/A,#N/A,FALSE,"WELDER.XLS"}</definedName>
    <definedName name="_kvs1" localSheetId="5" hidden="1">{#N/A,#N/A,FALSE,"COVER1.XLS ";#N/A,#N/A,FALSE,"RACT1.XLS";#N/A,#N/A,FALSE,"RACT2.XLS";#N/A,#N/A,FALSE,"ECCMP";#N/A,#N/A,FALSE,"WELDER.XLS"}</definedName>
    <definedName name="_kvs1" hidden="1">{#N/A,#N/A,FALSE,"COVER1.XLS ";#N/A,#N/A,FALSE,"RACT1.XLS";#N/A,#N/A,FALSE,"RACT2.XLS";#N/A,#N/A,FALSE,"ECCMP";#N/A,#N/A,FALSE,"WELDER.XLS"}</definedName>
    <definedName name="_kvs2" localSheetId="25" hidden="1">{#N/A,#N/A,FALSE,"COVER1.XLS ";#N/A,#N/A,FALSE,"RACT1.XLS";#N/A,#N/A,FALSE,"RACT2.XLS";#N/A,#N/A,FALSE,"ECCMP";#N/A,#N/A,FALSE,"WELDER.XLS"}</definedName>
    <definedName name="_kvs2" localSheetId="0" hidden="1">{#N/A,#N/A,FALSE,"COVER1.XLS ";#N/A,#N/A,FALSE,"RACT1.XLS";#N/A,#N/A,FALSE,"RACT2.XLS";#N/A,#N/A,FALSE,"ECCMP";#N/A,#N/A,FALSE,"WELDER.XLS"}</definedName>
    <definedName name="_kvs2" localSheetId="5" hidden="1">{#N/A,#N/A,FALSE,"COVER1.XLS ";#N/A,#N/A,FALSE,"RACT1.XLS";#N/A,#N/A,FALSE,"RACT2.XLS";#N/A,#N/A,FALSE,"ECCMP";#N/A,#N/A,FALSE,"WELDER.XLS"}</definedName>
    <definedName name="_kvs2" hidden="1">{#N/A,#N/A,FALSE,"COVER1.XLS ";#N/A,#N/A,FALSE,"RACT1.XLS";#N/A,#N/A,FALSE,"RACT2.XLS";#N/A,#N/A,FALSE,"ECCMP";#N/A,#N/A,FALSE,"WELDER.XLS"}</definedName>
    <definedName name="_kvs5" localSheetId="25" hidden="1">{#N/A,#N/A,FALSE,"COVER.XLS";#N/A,#N/A,FALSE,"RACT1.XLS";#N/A,#N/A,FALSE,"RACT2.XLS";#N/A,#N/A,FALSE,"ECCMP";#N/A,#N/A,FALSE,"WELDER.XLS"}</definedName>
    <definedName name="_kvs5" localSheetId="0" hidden="1">{#N/A,#N/A,FALSE,"COVER.XLS";#N/A,#N/A,FALSE,"RACT1.XLS";#N/A,#N/A,FALSE,"RACT2.XLS";#N/A,#N/A,FALSE,"ECCMP";#N/A,#N/A,FALSE,"WELDER.XLS"}</definedName>
    <definedName name="_kvs5" localSheetId="5" hidden="1">{#N/A,#N/A,FALSE,"COVER.XLS";#N/A,#N/A,FALSE,"RACT1.XLS";#N/A,#N/A,FALSE,"RACT2.XLS";#N/A,#N/A,FALSE,"ECCMP";#N/A,#N/A,FALSE,"WELDER.XLS"}</definedName>
    <definedName name="_kvs5" hidden="1">{#N/A,#N/A,FALSE,"COVER.XLS";#N/A,#N/A,FALSE,"RACT1.XLS";#N/A,#N/A,FALSE,"RACT2.XLS";#N/A,#N/A,FALSE,"ECCMP";#N/A,#N/A,FALSE,"WELDER.XLS"}</definedName>
    <definedName name="_kvs7" localSheetId="25" hidden="1">{#N/A,#N/A,FALSE,"COVER1.XLS ";#N/A,#N/A,FALSE,"RACT1.XLS";#N/A,#N/A,FALSE,"RACT2.XLS";#N/A,#N/A,FALSE,"ECCMP";#N/A,#N/A,FALSE,"WELDER.XLS"}</definedName>
    <definedName name="_kvs7" localSheetId="0" hidden="1">{#N/A,#N/A,FALSE,"COVER1.XLS ";#N/A,#N/A,FALSE,"RACT1.XLS";#N/A,#N/A,FALSE,"RACT2.XLS";#N/A,#N/A,FALSE,"ECCMP";#N/A,#N/A,FALSE,"WELDER.XLS"}</definedName>
    <definedName name="_kvs7" localSheetId="5" hidden="1">{#N/A,#N/A,FALSE,"COVER1.XLS ";#N/A,#N/A,FALSE,"RACT1.XLS";#N/A,#N/A,FALSE,"RACT2.XLS";#N/A,#N/A,FALSE,"ECCMP";#N/A,#N/A,FALSE,"WELDER.XLS"}</definedName>
    <definedName name="_kvs7" hidden="1">{#N/A,#N/A,FALSE,"COVER1.XLS ";#N/A,#N/A,FALSE,"RACT1.XLS";#N/A,#N/A,FALSE,"RACT2.XLS";#N/A,#N/A,FALSE,"ECCMP";#N/A,#N/A,FALSE,"WELDER.XLS"}</definedName>
    <definedName name="_kvs8" localSheetId="25" hidden="1">{#N/A,#N/A,FALSE,"COVER1.XLS ";#N/A,#N/A,FALSE,"RACT1.XLS";#N/A,#N/A,FALSE,"RACT2.XLS";#N/A,#N/A,FALSE,"ECCMP";#N/A,#N/A,FALSE,"WELDER.XLS"}</definedName>
    <definedName name="_kvs8" localSheetId="0" hidden="1">{#N/A,#N/A,FALSE,"COVER1.XLS ";#N/A,#N/A,FALSE,"RACT1.XLS";#N/A,#N/A,FALSE,"RACT2.XLS";#N/A,#N/A,FALSE,"ECCMP";#N/A,#N/A,FALSE,"WELDER.XLS"}</definedName>
    <definedName name="_kvs8" localSheetId="5" hidden="1">{#N/A,#N/A,FALSE,"COVER1.XLS ";#N/A,#N/A,FALSE,"RACT1.XLS";#N/A,#N/A,FALSE,"RACT2.XLS";#N/A,#N/A,FALSE,"ECCMP";#N/A,#N/A,FALSE,"WELDER.XLS"}</definedName>
    <definedName name="_kvs8" hidden="1">{#N/A,#N/A,FALSE,"COVER1.XLS ";#N/A,#N/A,FALSE,"RACT1.XLS";#N/A,#N/A,FALSE,"RACT2.XLS";#N/A,#N/A,FALSE,"ECCMP";#N/A,#N/A,FALSE,"WELDER.XLS"}</definedName>
    <definedName name="_KVS9" localSheetId="25" hidden="1">{#N/A,#N/A,FALSE,"COVER1.XLS ";#N/A,#N/A,FALSE,"RACT1.XLS";#N/A,#N/A,FALSE,"RACT2.XLS";#N/A,#N/A,FALSE,"ECCMP";#N/A,#N/A,FALSE,"WELDER.XLS"}</definedName>
    <definedName name="_KVS9" localSheetId="0" hidden="1">{#N/A,#N/A,FALSE,"COVER1.XLS ";#N/A,#N/A,FALSE,"RACT1.XLS";#N/A,#N/A,FALSE,"RACT2.XLS";#N/A,#N/A,FALSE,"ECCMP";#N/A,#N/A,FALSE,"WELDER.XLS"}</definedName>
    <definedName name="_KVS9" localSheetId="5" hidden="1">{#N/A,#N/A,FALSE,"COVER1.XLS ";#N/A,#N/A,FALSE,"RACT1.XLS";#N/A,#N/A,FALSE,"RACT2.XLS";#N/A,#N/A,FALSE,"ECCMP";#N/A,#N/A,FALSE,"WELDER.XLS"}</definedName>
    <definedName name="_KVS9" hidden="1">{#N/A,#N/A,FALSE,"COVER1.XLS ";#N/A,#N/A,FALSE,"RACT1.XLS";#N/A,#N/A,FALSE,"RACT2.XLS";#N/A,#N/A,FALSE,"ECCMP";#N/A,#N/A,FALSE,"WELDER.XLS"}</definedName>
    <definedName name="_l2"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D1" localSheetId="0">#REF!</definedName>
    <definedName name="_LD1">#REF!</definedName>
    <definedName name="_LD2" localSheetId="0">#REF!</definedName>
    <definedName name="_LD2">#REF!</definedName>
    <definedName name="_LD3" localSheetId="0">#REF!</definedName>
    <definedName name="_LD3">#REF!</definedName>
    <definedName name="_LD4" localSheetId="0">#REF!</definedName>
    <definedName name="_LD4">#REF!</definedName>
    <definedName name="_LD5" localSheetId="0">#REF!</definedName>
    <definedName name="_LD5">#REF!</definedName>
    <definedName name="_LD6" localSheetId="0">#REF!</definedName>
    <definedName name="_LD6">#REF!</definedName>
    <definedName name="_lk1"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L1">#REF!</definedName>
    <definedName name="_LL2">#REF!</definedName>
    <definedName name="_LL3">#REF!</definedName>
    <definedName name="_ll33" localSheetId="0">#REF!</definedName>
    <definedName name="_ll33">#REF!</definedName>
    <definedName name="_LL4">#REF!</definedName>
    <definedName name="_LL5">#REF!</definedName>
    <definedName name="_LR1">#REF!</definedName>
    <definedName name="_LR2">#REF!</definedName>
    <definedName name="_LSHS_CAL_VAL_" localSheetId="0">#REF!</definedName>
    <definedName name="_LSHS_CAL_VAL_">#REF!</definedName>
    <definedName name="_LT1P_GR">#REF!</definedName>
    <definedName name="_LT2P_GR">#REF!</definedName>
    <definedName name="_M_">#REF!</definedName>
    <definedName name="_MAC1">#REF!</definedName>
    <definedName name="_MAC2">#REF!</definedName>
    <definedName name="_MAC3">#REF!</definedName>
    <definedName name="_MAC4">#REF!</definedName>
    <definedName name="_MAR1" localSheetId="0">#REF!</definedName>
    <definedName name="_MAR1">#REF!</definedName>
    <definedName name="_MAR2" localSheetId="0">#REF!</definedName>
    <definedName name="_MAR2">#REF!</definedName>
    <definedName name="_MAR9091" localSheetId="0">#REF!</definedName>
    <definedName name="_MAR9091">#REF!</definedName>
    <definedName name="_MAY2" localSheetId="0">#REF!</definedName>
    <definedName name="_MAY2">#REF!</definedName>
    <definedName name="_MC2">#REF!</definedName>
    <definedName name="_md12">#REF!</definedName>
    <definedName name="_md13">#REF!</definedName>
    <definedName name="_md14">#REF!</definedName>
    <definedName name="_md15">#REF!</definedName>
    <definedName name="_md2">#REF!</definedName>
    <definedName name="_md3">#REF!</definedName>
    <definedName name="_md4">#REF!</definedName>
    <definedName name="_md5">#REF!</definedName>
    <definedName name="_md6">#REF!</definedName>
    <definedName name="_md7">#REF!</definedName>
    <definedName name="_md8">#REF!</definedName>
    <definedName name="_md9">#REF!</definedName>
    <definedName name="_MDR_BEST_AFT_" localSheetId="0">#REF!</definedName>
    <definedName name="_MDR_BEST_AFT_">#REF!</definedName>
    <definedName name="_MDR_BSES_AFT_" localSheetId="0">#REF!</definedName>
    <definedName name="_MDR_BSES_AFT_">#REF!</definedName>
    <definedName name="_MDR_TIR_AFT_" localSheetId="0">#REF!</definedName>
    <definedName name="_MDR_TIR_AFT_">#REF!</definedName>
    <definedName name="_MPR1">#N/A</definedName>
    <definedName name="_MPR2">#N/A</definedName>
    <definedName name="_MPR3">#N/A</definedName>
    <definedName name="_mul1">#REF!</definedName>
    <definedName name="_N1" localSheetId="25" hidden="1">{"DJH3",#N/A,FALSE,"PFL00805";"PJB3",#N/A,FALSE,"PFL00805";"JMD3",#N/A,FALSE,"PFL00805";"DNB3",#N/A,FALSE,"PFL00805";"MJP3",#N/A,FALSE,"PFL00805";"RAB3",#N/A,FALSE,"PFL00805";"GJW3",#N/A,FALSE,"PFL00805";"MASTER3",#N/A,FALSE,"PFL00805"}</definedName>
    <definedName name="_N1" localSheetId="5" hidden="1">{"DJH3",#N/A,FALSE,"PFL00805";"PJB3",#N/A,FALSE,"PFL00805";"JMD3",#N/A,FALSE,"PFL00805";"DNB3",#N/A,FALSE,"PFL00805";"MJP3",#N/A,FALSE,"PFL00805";"RAB3",#N/A,FALSE,"PFL00805";"GJW3",#N/A,FALSE,"PFL00805";"MASTER3",#N/A,FALSE,"PFL00805"}</definedName>
    <definedName name="_N1" hidden="1">{"DJH3",#N/A,FALSE,"PFL00805";"PJB3",#N/A,FALSE,"PFL00805";"JMD3",#N/A,FALSE,"PFL00805";"DNB3",#N/A,FALSE,"PFL00805";"MJP3",#N/A,FALSE,"PFL00805";"RAB3",#N/A,FALSE,"PFL00805";"GJW3",#N/A,FALSE,"PFL00805";"MASTER3",#N/A,FALSE,"PFL00805"}</definedName>
    <definedName name="_Net1">#REF!</definedName>
    <definedName name="_new" hidden="1">#REF!</definedName>
    <definedName name="_NEW1" localSheetId="0" hidden="1">{"VIEW1",#N/A,FALSE,"P&amp;L Account 2001-2002";"VIEW2",#N/A,FALSE,"P&amp;L Account 2001-2002";"VIEW3",#N/A,FALSE,"P&amp;L Account 2001-2002";"VIEW4",#N/A,FALSE,"P&amp;L Account 2001-2002"}</definedName>
    <definedName name="_NEW1" hidden="1">{"VIEW1",#N/A,FALSE,"P&amp;L Account 2001-2002";"VIEW2",#N/A,FALSE,"P&amp;L Account 2001-2002";"VIEW3",#N/A,FALSE,"P&amp;L Account 2001-2002";"VIEW4",#N/A,FALSE,"P&amp;L Account 2001-2002"}</definedName>
    <definedName name="_new10">#REF!</definedName>
    <definedName name="_new11">#REF!</definedName>
    <definedName name="_new2" localSheetId="0">#REF!</definedName>
    <definedName name="_NEW2" hidden="1">{"VIEW1",#N/A,FALSE,"P&amp;L Account 2001-2002";"VIEW2",#N/A,FALSE,"P&amp;L Account 2001-2002";"VIEW3",#N/A,FALSE,"P&amp;L Account 2001-2002";"VIEW4",#N/A,FALSE,"P&amp;L Account 2001-2002"}</definedName>
    <definedName name="_new4">#REF!</definedName>
    <definedName name="_new5">#REF!</definedName>
    <definedName name="_new6">#REF!</definedName>
    <definedName name="_new7">#REF!</definedName>
    <definedName name="_new8">#REF!</definedName>
    <definedName name="_new9">#REF!</definedName>
    <definedName name="_ngl97">#REF!</definedName>
    <definedName name="_ngl98">#REF!</definedName>
    <definedName name="_nh1" localSheetId="0">#REF!</definedName>
    <definedName name="_nh1">#REF!</definedName>
    <definedName name="_nis3" hidden="1">#REF!</definedName>
    <definedName name="_NOV1" localSheetId="0">#REF!</definedName>
    <definedName name="_NOV1">#REF!</definedName>
    <definedName name="_NOV2" localSheetId="0">#REF!</definedName>
    <definedName name="_NOV2">#REF!</definedName>
    <definedName name="_NOW_RFD1">#REF!</definedName>
    <definedName name="_NOW_RFD1_">#REF!</definedName>
    <definedName name="_ns1" localSheetId="25" hidden="1">{#N/A,#N/A,FALSE,"COVER1.XLS ";#N/A,#N/A,FALSE,"RACT1.XLS";#N/A,#N/A,FALSE,"RACT2.XLS";#N/A,#N/A,FALSE,"ECCMP";#N/A,#N/A,FALSE,"WELDER.XLS"}</definedName>
    <definedName name="_ns1" localSheetId="0" hidden="1">{#N/A,#N/A,FALSE,"COVER1.XLS ";#N/A,#N/A,FALSE,"RACT1.XLS";#N/A,#N/A,FALSE,"RACT2.XLS";#N/A,#N/A,FALSE,"ECCMP";#N/A,#N/A,FALSE,"WELDER.XLS"}</definedName>
    <definedName name="_ns1" localSheetId="5" hidden="1">{#N/A,#N/A,FALSE,"COVER1.XLS ";#N/A,#N/A,FALSE,"RACT1.XLS";#N/A,#N/A,FALSE,"RACT2.XLS";#N/A,#N/A,FALSE,"ECCMP";#N/A,#N/A,FALSE,"WELDER.XLS"}</definedName>
    <definedName name="_ns1" hidden="1">{#N/A,#N/A,FALSE,"COVER1.XLS ";#N/A,#N/A,FALSE,"RACT1.XLS";#N/A,#N/A,FALSE,"RACT2.XLS";#N/A,#N/A,FALSE,"ECCMP";#N/A,#N/A,FALSE,"WELDER.XLS"}</definedName>
    <definedName name="_NSO2" localSheetId="25" hidden="1">{"'Sheet1'!$L$16"}</definedName>
    <definedName name="_NSO2" localSheetId="5" hidden="1">{"'Sheet1'!$L$16"}</definedName>
    <definedName name="_NSO2" hidden="1">{"'Sheet1'!$L$16"}</definedName>
    <definedName name="_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OCT1" localSheetId="0">#REF!</definedName>
    <definedName name="_OCT1">#REF!</definedName>
    <definedName name="_OCT2" localSheetId="0">#REF!</definedName>
    <definedName name="_OCT2">#REF!</definedName>
    <definedName name="_OIL310106" hidden="1">{#N/A,#N/A,FALSE,"PMTABB";#N/A,#N/A,FALSE,"PMTABB"}</definedName>
    <definedName name="_OIL310701" hidden="1">{#N/A,#N/A,FALSE,"PMTABB";#N/A,#N/A,FALSE,"PMTABB"}</definedName>
    <definedName name="_OLD2" hidden="1">#REF!</definedName>
    <definedName name="_Order1" hidden="1">255</definedName>
    <definedName name="_Order2" localSheetId="0" hidden="1">255</definedName>
    <definedName name="_Order2" hidden="1">255</definedName>
    <definedName name="_otr2"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_otr2"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_otr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_otr3"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_otr3"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_otr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_OUT13300">#N/A</definedName>
    <definedName name="_OUT13502">#N/A</definedName>
    <definedName name="_OUT41301">#N/A</definedName>
    <definedName name="_OUT85116">#N/A</definedName>
    <definedName name="_OUT85125">#N/A</definedName>
    <definedName name="_OUT86106">#N/A</definedName>
    <definedName name="_P">#REF!</definedName>
    <definedName name="_P___0">#REF!</definedName>
    <definedName name="_P___6">#REF!</definedName>
    <definedName name="_p1" localSheetId="0">#REF!</definedName>
    <definedName name="_p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p13"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p1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p2">#REF!</definedName>
    <definedName name="_P21">#REF!</definedName>
    <definedName name="_P22">#REF!</definedName>
    <definedName name="_p3">#REF!</definedName>
    <definedName name="_P31">#REF!</definedName>
    <definedName name="_P32">#REF!</definedName>
    <definedName name="_P33">#REF!</definedName>
    <definedName name="_P34">#REF!</definedName>
    <definedName name="_Parse_In" hidden="1">#REF!</definedName>
    <definedName name="_Parse_Out" hidden="1">#REF!</definedName>
    <definedName name="_Parse_Out2" hidden="1">#REF!</definedName>
    <definedName name="_pc03">#REF!</definedName>
    <definedName name="_pc04">#REF!</definedName>
    <definedName name="_PC1">#REF!</definedName>
    <definedName name="_PCC1">#REF!</definedName>
    <definedName name="_PCC2">#REF!</definedName>
    <definedName name="_Pet1">#REF!</definedName>
    <definedName name="_Pet2">#REF!</definedName>
    <definedName name="_PEX1">#REF!</definedName>
    <definedName name="_pfd98">#REF!</definedName>
    <definedName name="_PG1" localSheetId="0">#REF!</definedName>
    <definedName name="_PG1">#REF!</definedName>
    <definedName name="_PG2">#REF!</definedName>
    <definedName name="_PG3">#REF!</definedName>
    <definedName name="_PG5" localSheetId="0">#REF!</definedName>
    <definedName name="_PG5">#REF!</definedName>
    <definedName name="_pg6" localSheetId="0">#REF!</definedName>
    <definedName name="_pg6">#REF!</definedName>
    <definedName name="_pg7" localSheetId="0">#REF!</definedName>
    <definedName name="_pg7">#REF!</definedName>
    <definedName name="_PH1">#N/A</definedName>
    <definedName name="_PKS1">#REF!</definedName>
    <definedName name="_PKS2">#REF!</definedName>
    <definedName name="_PKS3">#REF!</definedName>
    <definedName name="_PKS4">#REF!</definedName>
    <definedName name="_PL1">#REF!</definedName>
    <definedName name="_PLF__R__R___ES" localSheetId="11">#REF!</definedName>
    <definedName name="_PLF__R__R___ES" localSheetId="13">#REF!</definedName>
    <definedName name="_PLF__R__R___ES" localSheetId="16">#REF!</definedName>
    <definedName name="_PLF__R__R___ES" localSheetId="26">#REF!</definedName>
    <definedName name="_PLF__R__R___ES" localSheetId="32">#REF!</definedName>
    <definedName name="_PLF__R__R___ES" localSheetId="33">#REF!</definedName>
    <definedName name="_PLF__R__R___ES" localSheetId="34">#REF!</definedName>
    <definedName name="_PLF__R__R___ES" localSheetId="35">#REF!</definedName>
    <definedName name="_PLF__R__R___ES">#REF!</definedName>
    <definedName name="_PLN1" localSheetId="0">#REF!</definedName>
    <definedName name="_PLN1">#REF!</definedName>
    <definedName name="_PLN2" localSheetId="0">#REF!</definedName>
    <definedName name="_PLN2">#REF!</definedName>
    <definedName name="_PLO1">#REF!</definedName>
    <definedName name="_pr04">#REF!</definedName>
    <definedName name="_pr05">#REF!</definedName>
    <definedName name="_PRN1">#REF!</definedName>
    <definedName name="_PRO3">#REF!</definedName>
    <definedName name="_PRO4">#REF!</definedName>
    <definedName name="_PRO5">#REF!</definedName>
    <definedName name="_pur10" hidden="1">#REF!</definedName>
    <definedName name="_PV1">#REF!</definedName>
    <definedName name="_PV2">#REF!</definedName>
    <definedName name="_Q">#REF!</definedName>
    <definedName name="_q2" localSheetId="25" hidden="1">{#N/A,#N/A,FALSE,"COVER1.XLS ";#N/A,#N/A,FALSE,"RACT1.XLS";#N/A,#N/A,FALSE,"RACT2.XLS";#N/A,#N/A,FALSE,"ECCMP";#N/A,#N/A,FALSE,"WELDER.XLS"}</definedName>
    <definedName name="_q2" localSheetId="0" hidden="1">{#N/A,#N/A,FALSE,"COVER1.XLS ";#N/A,#N/A,FALSE,"RACT1.XLS";#N/A,#N/A,FALSE,"RACT2.XLS";#N/A,#N/A,FALSE,"ECCMP";#N/A,#N/A,FALSE,"WELDER.XLS"}</definedName>
    <definedName name="_q2" localSheetId="5" hidden="1">{#N/A,#N/A,FALSE,"COVER1.XLS ";#N/A,#N/A,FALSE,"RACT1.XLS";#N/A,#N/A,FALSE,"RACT2.XLS";#N/A,#N/A,FALSE,"ECCMP";#N/A,#N/A,FALSE,"WELDER.XLS"}</definedName>
    <definedName name="_q2" hidden="1">{#N/A,#N/A,FALSE,"COVER1.XLS ";#N/A,#N/A,FALSE,"RACT1.XLS";#N/A,#N/A,FALSE,"RACT2.XLS";#N/A,#N/A,FALSE,"ECCMP";#N/A,#N/A,FALSE,"WELDER.XLS"}</definedName>
    <definedName name="_q3" hidden="1">#REF!</definedName>
    <definedName name="_QAC6" hidden="1">{#N/A,#N/A,FALSE,"SUMMARY REPORT"}</definedName>
    <definedName name="_QTY1">#N/A</definedName>
    <definedName name="_QTY2">#N/A</definedName>
    <definedName name="_QTY3">#N/A</definedName>
    <definedName name="_QTY4">#N/A</definedName>
    <definedName name="_QY">#REF!</definedName>
    <definedName name="_rcd" hidden="1">#REF!</definedName>
    <definedName name="_RE">#REF!</definedName>
    <definedName name="_RE_">#REF!</definedName>
    <definedName name="_RE100">#REF!</definedName>
    <definedName name="_RE104">#REF!</definedName>
    <definedName name="_RE112">#REF!</definedName>
    <definedName name="_RE26">#REF!</definedName>
    <definedName name="_RE28">#REF!</definedName>
    <definedName name="_RE30">#REF!</definedName>
    <definedName name="_RE32">#REF!</definedName>
    <definedName name="_RE34">#REF!</definedName>
    <definedName name="_RE36">#REF!</definedName>
    <definedName name="_RE38">#REF!</definedName>
    <definedName name="_RE40">#REF!</definedName>
    <definedName name="_RE42">#REF!</definedName>
    <definedName name="_RE44">#REF!</definedName>
    <definedName name="_RE48">#REF!</definedName>
    <definedName name="_RE52">#REF!</definedName>
    <definedName name="_RE56">#REF!</definedName>
    <definedName name="_RE60">#REF!</definedName>
    <definedName name="_RE64">#REF!</definedName>
    <definedName name="_RE68">#REF!</definedName>
    <definedName name="_RE72">#REF!</definedName>
    <definedName name="_RE76">#REF!</definedName>
    <definedName name="_RE80">#REF!</definedName>
    <definedName name="_RE88">#REF!</definedName>
    <definedName name="_RE92">#REF!</definedName>
    <definedName name="_RE96">#REF!</definedName>
    <definedName name="_ref11" hidden="1">#REF!</definedName>
    <definedName name="_Regression_Int" hidden="1">1</definedName>
    <definedName name="_Regression_Out" hidden="1">#REF!</definedName>
    <definedName name="_RES_GR">#REF!</definedName>
    <definedName name="_ret2" localSheetId="0">#REF!</definedName>
    <definedName name="_ret2">#REF!</definedName>
    <definedName name="_REV01">#REF!</definedName>
    <definedName name="_RF_2_">#REF!</definedName>
    <definedName name="_RFD1">#REF!</definedName>
    <definedName name="_RFD1_">#REF!</definedName>
    <definedName name="_RFD1__NOW">#REF!</definedName>
    <definedName name="_RFD1__NOW_">#REF!</definedName>
    <definedName name="_RLY_GR">#REF!</definedName>
    <definedName name="_RMK1">#N/A</definedName>
    <definedName name="_RMK2">#N/A</definedName>
    <definedName name="_RNLR">#REF!</definedName>
    <definedName name="_RR11">#REF!</definedName>
    <definedName name="_RR12">#REF!</definedName>
    <definedName name="_RR13">#REF!</definedName>
    <definedName name="_RR14">#REF!</definedName>
    <definedName name="_RR15">#REF!</definedName>
    <definedName name="_rtl1" localSheetId="0">#REF!</definedName>
    <definedName name="_rtl1">#REF!</definedName>
    <definedName name="_RTL2" localSheetId="0">#REF!</definedName>
    <definedName name="_RTL2">#REF!</definedName>
    <definedName name="_rtl21" localSheetId="0">#REF!</definedName>
    <definedName name="_rtl21">#REF!</definedName>
    <definedName name="_rtl3" localSheetId="0">#REF!</definedName>
    <definedName name="_rtl3">#REF!</definedName>
    <definedName name="_RV_DOWN_6__LEF" localSheetId="11">#REF!</definedName>
    <definedName name="_RV_DOWN_6__LEF" localSheetId="13">#REF!</definedName>
    <definedName name="_RV_DOWN_6__LEF" localSheetId="16">#REF!</definedName>
    <definedName name="_RV_DOWN_6__LEF" localSheetId="26">#REF!</definedName>
    <definedName name="_RV_DOWN_6__LEF" localSheetId="32">#REF!</definedName>
    <definedName name="_RV_DOWN_6__LEF" localSheetId="33">#REF!</definedName>
    <definedName name="_RV_DOWN_6__LEF" localSheetId="34">#REF!</definedName>
    <definedName name="_RV_DOWN_6__LEF" localSheetId="35">#REF!</definedName>
    <definedName name="_RV_DOWN_6__LEF">#REF!</definedName>
    <definedName name="_s">#REF!</definedName>
    <definedName name="_S___0">#REF!</definedName>
    <definedName name="_S___6">#REF!</definedName>
    <definedName name="_s3" localSheetId="0" hidden="1">{"VIEW1",#N/A,FALSE,"P&amp;L Account 2001-2002";"VIEW2",#N/A,FALSE,"P&amp;L Account 2001-2002";"VIEW3",#N/A,FALSE,"P&amp;L Account 2001-2002";"VIEW4",#N/A,FALSE,"P&amp;L Account 2001-2002"}</definedName>
    <definedName name="_s3" hidden="1">{"VIEW1",#N/A,FALSE,"P&amp;L Account 2001-2002";"VIEW2",#N/A,FALSE,"P&amp;L Account 2001-2002";"VIEW3",#N/A,FALSE,"P&amp;L Account 2001-2002";"VIEW4",#N/A,FALSE,"P&amp;L Account 2001-2002"}</definedName>
    <definedName name="_S5" localSheetId="0" hidden="1">{"VIEW1",#N/A,FALSE,"P&amp;L Account 2001-2002";"VIEW2",#N/A,FALSE,"P&amp;L Account 2001-2002";"VIEW3",#N/A,FALSE,"P&amp;L Account 2001-2002";"VIEW4",#N/A,FALSE,"P&amp;L Account 2001-2002"}</definedName>
    <definedName name="_S5" hidden="1">{"VIEW1",#N/A,FALSE,"P&amp;L Account 2001-2002";"VIEW2",#N/A,FALSE,"P&amp;L Account 2001-2002";"VIEW3",#N/A,FALSE,"P&amp;L Account 2001-2002";"VIEW4",#N/A,FALSE,"P&amp;L Account 2001-2002"}</definedName>
    <definedName name="_sah3" localSheetId="25" hidden="1">{#N/A,#N/A,TRUE,"Front";#N/A,#N/A,TRUE,"Simple Letter";#N/A,#N/A,TRUE,"Inside";#N/A,#N/A,TRUE,"Contents";#N/A,#N/A,TRUE,"Basis";#N/A,#N/A,TRUE,"Inclusions";#N/A,#N/A,TRUE,"Exclusions";#N/A,#N/A,TRUE,"Areas";#N/A,#N/A,TRUE,"Summary";#N/A,#N/A,TRUE,"Detail"}</definedName>
    <definedName name="_sah3" localSheetId="5" hidden="1">{#N/A,#N/A,TRUE,"Front";#N/A,#N/A,TRUE,"Simple Letter";#N/A,#N/A,TRUE,"Inside";#N/A,#N/A,TRUE,"Contents";#N/A,#N/A,TRUE,"Basis";#N/A,#N/A,TRUE,"Inclusions";#N/A,#N/A,TRUE,"Exclusions";#N/A,#N/A,TRUE,"Areas";#N/A,#N/A,TRUE,"Summary";#N/A,#N/A,TRUE,"Detail"}</definedName>
    <definedName name="_sah3" hidden="1">{#N/A,#N/A,TRUE,"Front";#N/A,#N/A,TRUE,"Simple Letter";#N/A,#N/A,TRUE,"Inside";#N/A,#N/A,TRUE,"Contents";#N/A,#N/A,TRUE,"Basis";#N/A,#N/A,TRUE,"Inclusions";#N/A,#N/A,TRUE,"Exclusions";#N/A,#N/A,TRUE,"Areas";#N/A,#N/A,TRUE,"Summary";#N/A,#N/A,TRUE,"Detail"}</definedName>
    <definedName name="_sal9899">#REF!</definedName>
    <definedName name="_SC011">#REF!</definedName>
    <definedName name="_SC034">#REF!</definedName>
    <definedName name="_SC043">#REF!</definedName>
    <definedName name="_SC068">#REF!</definedName>
    <definedName name="_SC160">#REF!</definedName>
    <definedName name="_SC211">#REF!</definedName>
    <definedName name="_SC212">#REF!</definedName>
    <definedName name="_SC213">#REF!</definedName>
    <definedName name="_SC225">#REF!</definedName>
    <definedName name="_SC268">#REF!</definedName>
    <definedName name="_SC272">#REF!</definedName>
    <definedName name="_SC274">#REF!</definedName>
    <definedName name="_SC276">#REF!</definedName>
    <definedName name="_SC279">#REF!</definedName>
    <definedName name="_SC280">#REF!</definedName>
    <definedName name="_SC281">#REF!</definedName>
    <definedName name="_SC314">#REF!</definedName>
    <definedName name="_SC315">#REF!</definedName>
    <definedName name="_SC341">#REF!</definedName>
    <definedName name="_SC376">#REF!</definedName>
    <definedName name="_SC383">#REF!</definedName>
    <definedName name="_SC384">#REF!</definedName>
    <definedName name="_SC412">#REF!</definedName>
    <definedName name="_SC444">#REF!</definedName>
    <definedName name="_SC506">#REF!</definedName>
    <definedName name="_SC581">#REF!</definedName>
    <definedName name="_SC591">#REF!</definedName>
    <definedName name="_SC592">#REF!</definedName>
    <definedName name="_SC593">#REF!</definedName>
    <definedName name="_SC594">#REF!</definedName>
    <definedName name="_SC595">#REF!</definedName>
    <definedName name="_SC597">#REF!</definedName>
    <definedName name="_SC598">#REF!</definedName>
    <definedName name="_SCG011">#REF!</definedName>
    <definedName name="_SCG034">#REF!</definedName>
    <definedName name="_SCG043">#REF!</definedName>
    <definedName name="_SCG068">#REF!</definedName>
    <definedName name="_SCG160">#REF!</definedName>
    <definedName name="_SCG211">#REF!</definedName>
    <definedName name="_SCG212">#REF!</definedName>
    <definedName name="_SCG213">#REF!</definedName>
    <definedName name="_SCG225">#REF!</definedName>
    <definedName name="_SCG268">#REF!</definedName>
    <definedName name="_SCG272">#REF!</definedName>
    <definedName name="_SCG274">#REF!</definedName>
    <definedName name="_SCG276">#REF!</definedName>
    <definedName name="_SCG279">#REF!</definedName>
    <definedName name="_SCG280">#REF!</definedName>
    <definedName name="_SCG281">#REF!</definedName>
    <definedName name="_SCG314">#REF!</definedName>
    <definedName name="_SCG315">#REF!</definedName>
    <definedName name="_SCG341">#REF!</definedName>
    <definedName name="_SCG376">#REF!</definedName>
    <definedName name="_SCG383">#REF!</definedName>
    <definedName name="_SCG384">#REF!</definedName>
    <definedName name="_SCG412">#REF!</definedName>
    <definedName name="_SCG444">#REF!</definedName>
    <definedName name="_SCG506">#REF!</definedName>
    <definedName name="_SCG581">#REF!</definedName>
    <definedName name="_SCG591">#REF!</definedName>
    <definedName name="_SCG592">#REF!</definedName>
    <definedName name="_SCG593">#REF!</definedName>
    <definedName name="_SCG594">#REF!</definedName>
    <definedName name="_SCG595">#REF!</definedName>
    <definedName name="_SCG597">#REF!</definedName>
    <definedName name="_SCG598">#REF!</definedName>
    <definedName name="_SCH1" localSheetId="25" hidden="1">{#N/A,#N/A,FALSE,"Aging Summary";#N/A,#N/A,FALSE,"Ratio Analysis";#N/A,#N/A,FALSE,"Test 120 Day Accts";#N/A,#N/A,FALSE,"Tickmarks"}</definedName>
    <definedName name="_SCH1" localSheetId="5" hidden="1">{#N/A,#N/A,FALSE,"Aging Summary";#N/A,#N/A,FALSE,"Ratio Analysis";#N/A,#N/A,FALSE,"Test 120 Day Accts";#N/A,#N/A,FALSE,"Tickmarks"}</definedName>
    <definedName name="_SCH1" hidden="1">{#N/A,#N/A,FALSE,"Aging Summary";#N/A,#N/A,FALSE,"Ratio Analysis";#N/A,#N/A,FALSE,"Test 120 Day Accts";#N/A,#N/A,FALSE,"Tickmarks"}</definedName>
    <definedName name="_SCH10" localSheetId="0">#REF!</definedName>
    <definedName name="_Sch10">#REF!</definedName>
    <definedName name="_SCH11" localSheetId="0">#REF!</definedName>
    <definedName name="_Sch11">#REF!</definedName>
    <definedName name="_Sch12" localSheetId="0">#REF!</definedName>
    <definedName name="_Sch12">#REF!</definedName>
    <definedName name="_Sch13" localSheetId="0">#REF!</definedName>
    <definedName name="_Sch13">#REF!</definedName>
    <definedName name="_Sch14" localSheetId="0">#REF!</definedName>
    <definedName name="_Sch14">#REF!</definedName>
    <definedName name="_Sch15" localSheetId="0">#REF!</definedName>
    <definedName name="_Sch15">#REF!</definedName>
    <definedName name="_SCH2" localSheetId="25" hidden="1">{#N/A,#N/A,FALSE,"Aging Summary";#N/A,#N/A,FALSE,"Ratio Analysis";#N/A,#N/A,FALSE,"Test 120 Day Accts";#N/A,#N/A,FALSE,"Tickmarks"}</definedName>
    <definedName name="_SCH2" localSheetId="0">#REF!</definedName>
    <definedName name="_SCH2" localSheetId="5" hidden="1">{#N/A,#N/A,FALSE,"Aging Summary";#N/A,#N/A,FALSE,"Ratio Analysis";#N/A,#N/A,FALSE,"Test 120 Day Accts";#N/A,#N/A,FALSE,"Tickmarks"}</definedName>
    <definedName name="_SCH2" hidden="1">{#N/A,#N/A,FALSE,"Aging Summary";#N/A,#N/A,FALSE,"Ratio Analysis";#N/A,#N/A,FALSE,"Test 120 Day Accts";#N/A,#N/A,FALSE,"Tickmarks"}</definedName>
    <definedName name="_SCH3">#REF!</definedName>
    <definedName name="_SCH4" localSheetId="0">#REF!</definedName>
    <definedName name="_Sch4">#REF!</definedName>
    <definedName name="_SCH5" localSheetId="0">#REF!</definedName>
    <definedName name="_Sch5">#REF!</definedName>
    <definedName name="_SCH6" localSheetId="25">#REF!</definedName>
    <definedName name="_SCH6" localSheetId="0">#REF!</definedName>
    <definedName name="_SCH6" localSheetId="11">#REF!</definedName>
    <definedName name="_SCH6" localSheetId="13">#REF!</definedName>
    <definedName name="_SCH6" localSheetId="14">#REF!</definedName>
    <definedName name="_SCH6" localSheetId="43">#REF!</definedName>
    <definedName name="_SCH6" localSheetId="61">#REF!</definedName>
    <definedName name="_SCH6" localSheetId="63">#REF!</definedName>
    <definedName name="_SCH6" localSheetId="64">#REF!</definedName>
    <definedName name="_SCH6" localSheetId="16">#REF!</definedName>
    <definedName name="_SCH6" localSheetId="17">#REF!</definedName>
    <definedName name="_SCH6" localSheetId="65">#REF!</definedName>
    <definedName name="_SCH6" localSheetId="26">#REF!</definedName>
    <definedName name="_SCH6" localSheetId="29">#REF!</definedName>
    <definedName name="_SCH6" localSheetId="32">#REF!</definedName>
    <definedName name="_SCH6" localSheetId="33">#REF!</definedName>
    <definedName name="_SCH6" localSheetId="34">#REF!</definedName>
    <definedName name="_SCH6" localSheetId="35">#REF!</definedName>
    <definedName name="_SCH6" localSheetId="5">#REF!</definedName>
    <definedName name="_SCH6">#REF!</definedName>
    <definedName name="_SCH7" localSheetId="0">#REF!</definedName>
    <definedName name="_Sch7">#REF!</definedName>
    <definedName name="_SCH8" localSheetId="0">#REF!</definedName>
    <definedName name="_Sch8">#REF!</definedName>
    <definedName name="_SCH9" localSheetId="0">#REF!</definedName>
    <definedName name="_Sch9">#REF!</definedName>
    <definedName name="_sec3" hidden="1">#REF!</definedName>
    <definedName name="_SEP1" localSheetId="0">#REF!</definedName>
    <definedName name="_SEP1">#REF!</definedName>
    <definedName name="_SEP2" localSheetId="0">#REF!</definedName>
    <definedName name="_SEP2">#REF!</definedName>
    <definedName name="_SH1" localSheetId="0">#REF!</definedName>
    <definedName name="_SH1">#REF!</definedName>
    <definedName name="_SH10" localSheetId="0">#REF!</definedName>
    <definedName name="_SH10">#REF!</definedName>
    <definedName name="_SH11" localSheetId="0">#REF!</definedName>
    <definedName name="_SH11">#REF!</definedName>
    <definedName name="_SH2" localSheetId="0">#REF!</definedName>
    <definedName name="_SH2">#REF!</definedName>
    <definedName name="_SH3" localSheetId="0">#REF!</definedName>
    <definedName name="_SH3">#REF!</definedName>
    <definedName name="_SH4" localSheetId="0">#REF!</definedName>
    <definedName name="_SH4">#REF!</definedName>
    <definedName name="_SH5" localSheetId="0">#REF!</definedName>
    <definedName name="_SH5">#REF!</definedName>
    <definedName name="_SH6" localSheetId="0">#REF!</definedName>
    <definedName name="_SH6">#REF!</definedName>
    <definedName name="_SH7" localSheetId="0">#REF!</definedName>
    <definedName name="_SH7">#REF!</definedName>
    <definedName name="_SH8" localSheetId="0">#REF!</definedName>
    <definedName name="_SH8">#REF!</definedName>
    <definedName name="_SH9" localSheetId="0">#REF!</definedName>
    <definedName name="_SH9">#REF!</definedName>
    <definedName name="_Sort" hidden="1">#REF!</definedName>
    <definedName name="_sort1" hidden="1">#REF!</definedName>
    <definedName name="_sort111" hidden="1">#REF!</definedName>
    <definedName name="_sort1111" hidden="1">#REF!</definedName>
    <definedName name="_sort222" hidden="1">#REF!</definedName>
    <definedName name="_SSS1">#REF!</definedName>
    <definedName name="_SSS2" localSheetId="0">#REF!</definedName>
    <definedName name="_SSS2">#REF!</definedName>
    <definedName name="_SUM_DI14..DI21" localSheetId="11">#REF!</definedName>
    <definedName name="_SUM_DI14..DI21" localSheetId="13">#REF!</definedName>
    <definedName name="_SUM_DI14..DI21" localSheetId="16">#REF!</definedName>
    <definedName name="_SUM_DI14..DI21" localSheetId="26">#REF!</definedName>
    <definedName name="_SUM_DI14..DI21" localSheetId="32">#REF!</definedName>
    <definedName name="_SUM_DI14..DI21" localSheetId="33">#REF!</definedName>
    <definedName name="_SUM_DI14..DI21" localSheetId="34">#REF!</definedName>
    <definedName name="_SUM_DI14..DI21" localSheetId="35">#REF!</definedName>
    <definedName name="_SUM_DI14..DI21">#REF!</definedName>
    <definedName name="_SUM_DI22..DI29" localSheetId="11">#REF!</definedName>
    <definedName name="_SUM_DI22..DI29" localSheetId="13">#REF!</definedName>
    <definedName name="_SUM_DI22..DI29" localSheetId="16">#REF!</definedName>
    <definedName name="_SUM_DI22..DI29" localSheetId="26">#REF!</definedName>
    <definedName name="_SUM_DI22..DI29" localSheetId="32">#REF!</definedName>
    <definedName name="_SUM_DI22..DI29" localSheetId="33">#REF!</definedName>
    <definedName name="_SUM_DI22..DI29" localSheetId="34">#REF!</definedName>
    <definedName name="_SUM_DI22..DI29" localSheetId="35">#REF!</definedName>
    <definedName name="_SUM_DI22..DI29">#REF!</definedName>
    <definedName name="_SUP1" localSheetId="0">#REF!</definedName>
    <definedName name="_SUP1">#REF!</definedName>
    <definedName name="_sy14">#REF!</definedName>
    <definedName name="_T_D_LOSS__" localSheetId="0">#REF!</definedName>
    <definedName name="_T_D_LOSS__">#REF!</definedName>
    <definedName name="_t1"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AXBL_SLS__" localSheetId="0">#REF!</definedName>
    <definedName name="_TAXBL_SLS__">#REF!</definedName>
    <definedName name="_TOS_RATE_" localSheetId="0">#REF!</definedName>
    <definedName name="_TOS_RATE_">#REF!</definedName>
    <definedName name="_TOT1">#REF!</definedName>
    <definedName name="_TOT2">#REF!</definedName>
    <definedName name="_TP4">#REF!,#REF!</definedName>
    <definedName name="_tr1"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s1">#REF!</definedName>
    <definedName name="_ts2">#REF!</definedName>
    <definedName name="_TST_GR">#REF!</definedName>
    <definedName name="_TXT_GR">#REF!</definedName>
    <definedName name="_U__END__U__D__" localSheetId="11">#REF!</definedName>
    <definedName name="_U__END__U__D__" localSheetId="13">#REF!</definedName>
    <definedName name="_U__END__U__D__" localSheetId="16">#REF!</definedName>
    <definedName name="_U__END__U__D__" localSheetId="26">#REF!</definedName>
    <definedName name="_U__END__U__D__" localSheetId="32">#REF!</definedName>
    <definedName name="_U__END__U__D__" localSheetId="33">#REF!</definedName>
    <definedName name="_U__END__U__D__" localSheetId="34">#REF!</definedName>
    <definedName name="_U__END__U__D__" localSheetId="35">#REF!</definedName>
    <definedName name="_U__END__U__D__">#REF!</definedName>
    <definedName name="_U__U__END__U__" localSheetId="11">#REF!</definedName>
    <definedName name="_U__U__END__U__" localSheetId="13">#REF!</definedName>
    <definedName name="_U__U__END__U__" localSheetId="16">#REF!</definedName>
    <definedName name="_U__U__END__U__" localSheetId="26">#REF!</definedName>
    <definedName name="_U__U__END__U__" localSheetId="32">#REF!</definedName>
    <definedName name="_U__U__END__U__" localSheetId="33">#REF!</definedName>
    <definedName name="_U__U__END__U__" localSheetId="34">#REF!</definedName>
    <definedName name="_U__U__END__U__" localSheetId="35">#REF!</definedName>
    <definedName name="_U__U__END__U__">#REF!</definedName>
    <definedName name="_U__U__U__U__U_" localSheetId="11">#REF!</definedName>
    <definedName name="_U__U__U__U__U_" localSheetId="13">#REF!</definedName>
    <definedName name="_U__U__U__U__U_" localSheetId="16">#REF!</definedName>
    <definedName name="_U__U__U__U__U_" localSheetId="26">#REF!</definedName>
    <definedName name="_U__U__U__U__U_" localSheetId="32">#REF!</definedName>
    <definedName name="_U__U__U__U__U_" localSheetId="33">#REF!</definedName>
    <definedName name="_U__U__U__U__U_" localSheetId="34">#REF!</definedName>
    <definedName name="_U__U__U__U__U_" localSheetId="35">#REF!</definedName>
    <definedName name="_U__U__U__U__U_">#REF!</definedName>
    <definedName name="_U_4_AUX__" localSheetId="0">#REF!</definedName>
    <definedName name="_U_4_AUX__">#REF!</definedName>
    <definedName name="_U_4_HT_RT_" localSheetId="0">#REF!</definedName>
    <definedName name="_U_4_HT_RT_">#REF!</definedName>
    <definedName name="_U_5_AUX__" localSheetId="0">#REF!</definedName>
    <definedName name="_U_5_AUX__">#REF!</definedName>
    <definedName name="_U_5_HT_RT_" localSheetId="0">#REF!</definedName>
    <definedName name="_U_5_HT_RT_">#REF!</definedName>
    <definedName name="_U_6_AUX__" localSheetId="0">#REF!</definedName>
    <definedName name="_U_6_AUX__">#REF!</definedName>
    <definedName name="_U_6_HT_RT_" localSheetId="0">#REF!</definedName>
    <definedName name="_U_6_HT_RT_">#REF!</definedName>
    <definedName name="_U_7CCPP_AUX__" localSheetId="0">#REF!</definedName>
    <definedName name="_U_7CCPP_AUX__">#REF!</definedName>
    <definedName name="_U_7CCPP_HT_RT_" localSheetId="0">#REF!</definedName>
    <definedName name="_U_7CCPP_HT_RT_">#REF!</definedName>
    <definedName name="_U_7GT_AUX__" localSheetId="0">#REF!</definedName>
    <definedName name="_U_7GT_AUX__">#REF!</definedName>
    <definedName name="_U_7GT_HT_RT_" localSheetId="0">#REF!</definedName>
    <definedName name="_U_7GT_HT_RT_">#REF!</definedName>
    <definedName name="_USD1" localSheetId="0">#REF!</definedName>
    <definedName name="_USD1">#REF!</definedName>
    <definedName name="_USD2" localSheetId="0">#REF!</definedName>
    <definedName name="_USD2">#REF!</definedName>
    <definedName name="_USD3" localSheetId="0">#REF!</definedName>
    <definedName name="_USD3">#REF!</definedName>
    <definedName name="_V1">#REF!</definedName>
    <definedName name="_V2">#REF!</definedName>
    <definedName name="_VAL3" localSheetId="0">#REF!</definedName>
    <definedName name="_VAL3">#REF!</definedName>
    <definedName name="_vid5" localSheetId="0" hidden="1">{"VIEW1",#N/A,FALSE,"P&amp;L Account 2001-2002";"VIEW2",#N/A,FALSE,"P&amp;L Account 2001-2002";"VIEW3",#N/A,FALSE,"P&amp;L Account 2001-2002";"VIEW4",#N/A,FALSE,"P&amp;L Account 2001-2002"}</definedName>
    <definedName name="_vid5" hidden="1">{"VIEW1",#N/A,FALSE,"P&amp;L Account 2001-2002";"VIEW2",#N/A,FALSE,"P&amp;L Account 2001-2002";"VIEW3",#N/A,FALSE,"P&amp;L Account 2001-2002";"VIEW4",#N/A,FALSE,"P&amp;L Account 2001-2002"}</definedName>
    <definedName name="_vid6" localSheetId="0" hidden="1">{"VIEW1",#N/A,FALSE,"P&amp;L Account 2001-2002";"VIEW2",#N/A,FALSE,"P&amp;L Account 2001-2002";"VIEW3",#N/A,FALSE,"P&amp;L Account 2001-2002";"VIEW4",#N/A,FALSE,"P&amp;L Account 2001-2002"}</definedName>
    <definedName name="_vid6" hidden="1">{"VIEW1",#N/A,FALSE,"P&amp;L Account 2001-2002";"VIEW2",#N/A,FALSE,"P&amp;L Account 2001-2002";"VIEW3",#N/A,FALSE,"P&amp;L Account 2001-2002";"VIEW4",#N/A,FALSE,"P&amp;L Account 2001-2002"}</definedName>
    <definedName name="_VID7" localSheetId="0" hidden="1">{"VIEW1",#N/A,FALSE,"P&amp;L Account 2001-2002";"VIEW2",#N/A,FALSE,"P&amp;L Account 2001-2002";"VIEW3",#N/A,FALSE,"P&amp;L Account 2001-2002";"VIEW4",#N/A,FALSE,"P&amp;L Account 2001-2002"}</definedName>
    <definedName name="_VID7" hidden="1">{"VIEW1",#N/A,FALSE,"P&amp;L Account 2001-2002";"VIEW2",#N/A,FALSE,"P&amp;L Account 2001-2002";"VIEW3",#N/A,FALSE,"P&amp;L Account 2001-2002";"VIEW4",#N/A,FALSE,"P&amp;L Account 2001-2002"}</definedName>
    <definedName name="_VIR5" localSheetId="0" hidden="1">{"VIEW1",#N/A,FALSE,"P&amp;L Account 2001-2002";"VIEW2",#N/A,FALSE,"P&amp;L Account 2001-2002";"VIEW3",#N/A,FALSE,"P&amp;L Account 2001-2002";"VIEW4",#N/A,FALSE,"P&amp;L Account 2001-2002"}</definedName>
    <definedName name="_VIR5" hidden="1">{"VIEW1",#N/A,FALSE,"P&amp;L Account 2001-2002";"VIEW2",#N/A,FALSE,"P&amp;L Account 2001-2002";"VIEW3",#N/A,FALSE,"P&amp;L Account 2001-2002";"VIEW4",#N/A,FALSE,"P&amp;L Account 2001-2002"}</definedName>
    <definedName name="_VIR6" localSheetId="0" hidden="1">{"VIEW1",#N/A,FALSE,"P&amp;L Account 2001-2002";"VIEW2",#N/A,FALSE,"P&amp;L Account 2001-2002";"VIEW3",#N/A,FALSE,"P&amp;L Account 2001-2002";"VIEW4",#N/A,FALSE,"P&amp;L Account 2001-2002"}</definedName>
    <definedName name="_VIR6" hidden="1">{"VIEW1",#N/A,FALSE,"P&amp;L Account 2001-2002";"VIEW2",#N/A,FALSE,"P&amp;L Account 2001-2002";"VIEW3",#N/A,FALSE,"P&amp;L Account 2001-2002";"VIEW4",#N/A,FALSE,"P&amp;L Account 2001-2002"}</definedName>
    <definedName name="_w123" localSheetId="25" hidden="1">{"Edition",#N/A,FALSE,"Data"}</definedName>
    <definedName name="_w123" localSheetId="0" hidden="1">{"Edition",#N/A,FALSE,"Data"}</definedName>
    <definedName name="_w123" localSheetId="5" hidden="1">{"Edition",#N/A,FALSE,"Data"}</definedName>
    <definedName name="_w123" hidden="1">{"Edition",#N/A,FALSE,"Data"}</definedName>
    <definedName name="_w2" localSheetId="25" hidden="1">{#N/A,#N/A,FALSE,"17MAY";#N/A,#N/A,FALSE,"24MAY"}</definedName>
    <definedName name="_w2" localSheetId="0" hidden="1">{#N/A,#N/A,FALSE,"17MAY";#N/A,#N/A,FALSE,"24MAY"}</definedName>
    <definedName name="_w2" localSheetId="5" hidden="1">{#N/A,#N/A,FALSE,"17MAY";#N/A,#N/A,FALSE,"24MAY"}</definedName>
    <definedName name="_w2" hidden="1">{#N/A,#N/A,FALSE,"17MAY";#N/A,#N/A,FALSE,"24MAY"}</definedName>
    <definedName name="_WCM2">#REF!</definedName>
    <definedName name="_WCM3">#REF!</definedName>
    <definedName name="_WDR">#REF!</definedName>
    <definedName name="_WDR_">#REF!</definedName>
    <definedName name="_WGPD_GOTO_CO10" localSheetId="11">#REF!</definedName>
    <definedName name="_WGPD_GOTO_CO10" localSheetId="13">#REF!</definedName>
    <definedName name="_WGPD_GOTO_CO10" localSheetId="16">#REF!</definedName>
    <definedName name="_WGPD_GOTO_CO10" localSheetId="26">#REF!</definedName>
    <definedName name="_WGPD_GOTO_CO10" localSheetId="32">#REF!</definedName>
    <definedName name="_WGPD_GOTO_CO10" localSheetId="33">#REF!</definedName>
    <definedName name="_WGPD_GOTO_CO10" localSheetId="34">#REF!</definedName>
    <definedName name="_WGPD_GOTO_CO10" localSheetId="35">#REF!</definedName>
    <definedName name="_WGPD_GOTO_CO10">#REF!</definedName>
    <definedName name="_WIR">#REF!</definedName>
    <definedName name="_WIR_">#REF!</definedName>
    <definedName name="_wrn1"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wrn1"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wrn1"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Y1" localSheetId="25" hidden="1">{"DJH3",#N/A,FALSE,"PFL00805";"PJB3",#N/A,FALSE,"PFL00805";"JMD3",#N/A,FALSE,"PFL00805";"DNB3",#N/A,FALSE,"PFL00805";"MJP3",#N/A,FALSE,"PFL00805";"RAB3",#N/A,FALSE,"PFL00805";"GJW3",#N/A,FALSE,"PFL00805";"MASTER3",#N/A,FALSE,"PFL00805"}</definedName>
    <definedName name="_Y1" localSheetId="5" hidden="1">{"DJH3",#N/A,FALSE,"PFL00805";"PJB3",#N/A,FALSE,"PFL00805";"JMD3",#N/A,FALSE,"PFL00805";"DNB3",#N/A,FALSE,"PFL00805";"MJP3",#N/A,FALSE,"PFL00805";"RAB3",#N/A,FALSE,"PFL00805";"GJW3",#N/A,FALSE,"PFL00805";"MASTER3",#N/A,FALSE,"PFL00805"}</definedName>
    <definedName name="_Y1" hidden="1">{"DJH3",#N/A,FALSE,"PFL00805";"PJB3",#N/A,FALSE,"PFL00805";"JMD3",#N/A,FALSE,"PFL00805";"DNB3",#N/A,FALSE,"PFL00805";"MJP3",#N/A,FALSE,"PFL00805";"RAB3",#N/A,FALSE,"PFL00805";"GJW3",#N/A,FALSE,"PFL00805";"MASTER3",#N/A,FALSE,"PFL00805"}</definedName>
    <definedName name="_za1">#REF!</definedName>
    <definedName name="_za2">#REF!</definedName>
    <definedName name="_ZP1">#REF!</definedName>
    <definedName name="_ZP2">#REF!</definedName>
    <definedName name="_ZP3">#REF!</definedName>
    <definedName name="_ZP4">#REF!</definedName>
    <definedName name="_zz1">#REF!</definedName>
    <definedName name="A" localSheetId="0">#REF!</definedName>
    <definedName name="A" localSheetId="11">#REF!</definedName>
    <definedName name="A" localSheetId="13">#REF!</definedName>
    <definedName name="A" localSheetId="14">#REF!</definedName>
    <definedName name="A" localSheetId="40">#REF!</definedName>
    <definedName name="A" localSheetId="41">#REF!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16">#REF!</definedName>
    <definedName name="A" localSheetId="17">#REF!</definedName>
    <definedName name="A" localSheetId="65">#REF!</definedName>
    <definedName name="A" localSheetId="26">#REF!</definedName>
    <definedName name="A" localSheetId="32">#REF!</definedName>
    <definedName name="A" localSheetId="33">#REF!</definedName>
    <definedName name="A" localSheetId="34">#REF!</definedName>
    <definedName name="A" localSheetId="35">#REF!</definedName>
    <definedName name="A">#REF!</definedName>
    <definedName name="A.____Cash_flow_from_operating_activities">#REF!</definedName>
    <definedName name="A.C._ES_TA">#REF!</definedName>
    <definedName name="A.C._ES_TD">#REF!</definedName>
    <definedName name="A_">#REF!</definedName>
    <definedName name="A_value">#REF!</definedName>
    <definedName name="A_valueneu">#REF!</definedName>
    <definedName name="A￢_·¹_AO">#N/A</definedName>
    <definedName name="A1_">#N/A</definedName>
    <definedName name="A10_">#N/A</definedName>
    <definedName name="A11_">#N/A</definedName>
    <definedName name="A12_">#N/A</definedName>
    <definedName name="A13_">#REF!</definedName>
    <definedName name="A2_">#N/A</definedName>
    <definedName name="a2a2" localSheetId="25" hidden="1">{#N/A,#N/A,TRUE,"Financials";#N/A,#N/A,TRUE,"Operating Statistics";#N/A,#N/A,TRUE,"Capex &amp; Depreciation";#N/A,#N/A,TRUE,"Debt"}</definedName>
    <definedName name="a2a2" localSheetId="5" hidden="1">{#N/A,#N/A,TRUE,"Financials";#N/A,#N/A,TRUE,"Operating Statistics";#N/A,#N/A,TRUE,"Capex &amp; Depreciation";#N/A,#N/A,TRUE,"Debt"}</definedName>
    <definedName name="a2a2" hidden="1">{#N/A,#N/A,TRUE,"Financials";#N/A,#N/A,TRUE,"Operating Statistics";#N/A,#N/A,TRUE,"Capex &amp; Depreciation";#N/A,#N/A,TRUE,"Debt"}</definedName>
    <definedName name="A3_">#N/A</definedName>
    <definedName name="A4_">#N/A</definedName>
    <definedName name="a4a4a4a4a4a" localSheetId="0" hidden="1">{"VIEW1",#N/A,FALSE,"P&amp;L Account 2001-2002";"VIEW2",#N/A,FALSE,"P&amp;L Account 2001-2002";"VIEW3",#N/A,FALSE,"P&amp;L Account 2001-2002";"VIEW4",#N/A,FALSE,"P&amp;L Account 2001-2002"}</definedName>
    <definedName name="a4a4a4a4a4a" hidden="1">{"VIEW1",#N/A,FALSE,"P&amp;L Account 2001-2002";"VIEW2",#N/A,FALSE,"P&amp;L Account 2001-2002";"VIEW3",#N/A,FALSE,"P&amp;L Account 2001-2002";"VIEW4",#N/A,FALSE,"P&amp;L Account 2001-2002"}</definedName>
    <definedName name="A5_">#N/A</definedName>
    <definedName name="A6_">#N/A</definedName>
    <definedName name="A7_">#N/A</definedName>
    <definedName name="A8_">#N/A</definedName>
    <definedName name="A9_">#N/A</definedName>
    <definedName name="AA" localSheetId="0">#REF!</definedName>
    <definedName name="AA">#REF!</definedName>
    <definedName name="AA.Report.Files" hidden="1">#REF!</definedName>
    <definedName name="AA.Reports.Available" hidden="1">#REF!</definedName>
    <definedName name="AAA" hidden="1">#REF!</definedName>
    <definedName name="aaaa" localSheetId="25" hidden="1">{#N/A,#N/A,FALSE,"str_title";#N/A,#N/A,FALSE,"SUM";#N/A,#N/A,FALSE,"Scope";#N/A,#N/A,FALSE,"PIE-Jn";#N/A,#N/A,FALSE,"PIE-Jn_Hz";#N/A,#N/A,FALSE,"Liq_Plan";#N/A,#N/A,FALSE,"S_Curve";#N/A,#N/A,FALSE,"Liq_Prof";#N/A,#N/A,FALSE,"Man_Pwr";#N/A,#N/A,FALSE,"Man_Prof"}</definedName>
    <definedName name="aaaa" localSheetId="5" hidden="1">{#N/A,#N/A,FALSE,"str_title";#N/A,#N/A,FALSE,"SUM";#N/A,#N/A,FALSE,"Scope";#N/A,#N/A,FALSE,"PIE-Jn";#N/A,#N/A,FALSE,"PIE-Jn_Hz";#N/A,#N/A,FALSE,"Liq_Plan";#N/A,#N/A,FALSE,"S_Curve";#N/A,#N/A,FALSE,"Liq_Prof";#N/A,#N/A,FALSE,"Man_Pwr";#N/A,#N/A,FALSE,"Man_Prof"}</definedName>
    <definedName name="aaaa" hidden="1">{#N/A,#N/A,FALSE,"str_title";#N/A,#N/A,FALSE,"SUM";#N/A,#N/A,FALSE,"Scope";#N/A,#N/A,FALSE,"PIE-Jn";#N/A,#N/A,FALSE,"PIE-Jn_Hz";#N/A,#N/A,FALSE,"Liq_Plan";#N/A,#N/A,FALSE,"S_Curve";#N/A,#N/A,FALSE,"Liq_Prof";#N/A,#N/A,FALSE,"Man_Pwr";#N/A,#N/A,FALSE,"Man_Prof"}</definedName>
    <definedName name="aaaa___0">#REF!</definedName>
    <definedName name="aaaaa">#REF!</definedName>
    <definedName name="aaaaaa">#REF!</definedName>
    <definedName name="aaaaaaa333333" localSheetId="0">#REF!</definedName>
    <definedName name="aaaaaaa333333">#REF!</definedName>
    <definedName name="aaaaaaaaa" hidden="1">#REF!</definedName>
    <definedName name="aaaaaaaaaaaa" localSheetId="0">#REF!</definedName>
    <definedName name="aaaaaaaaaaaa">#REF!</definedName>
    <definedName name="aaaaaaaaaaaaa" hidden="1">#REF!</definedName>
    <definedName name="aaaaaaaaaaaaaaaa">#REF!</definedName>
    <definedName name="aaaaaaaaaaaaaaaaaaaaaaaaaaaa"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dddddd">#REF!</definedName>
    <definedName name="aaassssggg">#REF!</definedName>
    <definedName name="aab" localSheetId="25" hidden="1">{"'Mach'!$A$1:$D$39"}</definedName>
    <definedName name="aab" localSheetId="5" hidden="1">{"'Mach'!$A$1:$D$39"}</definedName>
    <definedName name="aab" hidden="1">{"'Mach'!$A$1:$D$39"}</definedName>
    <definedName name="aABC" hidden="1">{#N/A,#N/A,FALSE,"SUMMARY REPORT"}</definedName>
    <definedName name="aæÐRIiÞA_Iª">#N/A</definedName>
    <definedName name="aaff" hidden="1">{#N/A,#N/A,FALSE,"SUMMARY REPORT"}</definedName>
    <definedName name="aaffa" localSheetId="25" hidden="1">{#N/A,#N/A,FALSE,"COVER.XLS";#N/A,#N/A,FALSE,"RACT1.XLS";#N/A,#N/A,FALSE,"RACT2.XLS";#N/A,#N/A,FALSE,"ECCMP";#N/A,#N/A,FALSE,"WELDER.XLS"}</definedName>
    <definedName name="aaffa" localSheetId="0" hidden="1">{#N/A,#N/A,FALSE,"COVER.XLS";#N/A,#N/A,FALSE,"RACT1.XLS";#N/A,#N/A,FALSE,"RACT2.XLS";#N/A,#N/A,FALSE,"ECCMP";#N/A,#N/A,FALSE,"WELDER.XLS"}</definedName>
    <definedName name="aaffa" localSheetId="5" hidden="1">{#N/A,#N/A,FALSE,"COVER.XLS";#N/A,#N/A,FALSE,"RACT1.XLS";#N/A,#N/A,FALSE,"RACT2.XLS";#N/A,#N/A,FALSE,"ECCMP";#N/A,#N/A,FALSE,"WELDER.XLS"}</definedName>
    <definedName name="aaffa" hidden="1">{#N/A,#N/A,FALSE,"COVER.XLS";#N/A,#N/A,FALSE,"RACT1.XLS";#N/A,#N/A,FALSE,"RACT2.XLS";#N/A,#N/A,FALSE,"ECCMP";#N/A,#N/A,FALSE,"WELDER.XLS"}</definedName>
    <definedName name="aai">#REF!</definedName>
    <definedName name="aasd" localSheetId="25" hidden="1">{#N/A,#N/A,TRUE,"BT M200 da 10x20"}</definedName>
    <definedName name="aasd" localSheetId="5" hidden="1">{#N/A,#N/A,TRUE,"BT M200 da 10x20"}</definedName>
    <definedName name="aasd" hidden="1">{#N/A,#N/A,TRUE,"BT M200 da 10x20"}</definedName>
    <definedName name="aasdasdddsadasdasdsadsa">#REF!</definedName>
    <definedName name="AB" localSheetId="25" hidden="1">{#N/A,#N/A,FALSE,"Balance Sheets";#N/A,#N/A,FALSE,"96 Conservative";#N/A,#N/A,FALSE,"96 Possible"}</definedName>
    <definedName name="AB" localSheetId="5" hidden="1">{#N/A,#N/A,FALSE,"Balance Sheets";#N/A,#N/A,FALSE,"96 Conservative";#N/A,#N/A,FALSE,"96 Possible"}</definedName>
    <definedName name="AB" hidden="1">{#N/A,#N/A,FALSE,"Balance Sheets";#N/A,#N/A,FALSE,"96 Conservative";#N/A,#N/A,FALSE,"96 Possible"}</definedName>
    <definedName name="aba" localSheetId="25" hidden="1">{#N/A,#N/A,FALSE,"COVER1.XLS ";#N/A,#N/A,FALSE,"RACT1.XLS";#N/A,#N/A,FALSE,"RACT2.XLS";#N/A,#N/A,FALSE,"ECCMP";#N/A,#N/A,FALSE,"WELDER.XLS"}</definedName>
    <definedName name="aba" localSheetId="0" hidden="1">{#N/A,#N/A,FALSE,"COVER1.XLS ";#N/A,#N/A,FALSE,"RACT1.XLS";#N/A,#N/A,FALSE,"RACT2.XLS";#N/A,#N/A,FALSE,"ECCMP";#N/A,#N/A,FALSE,"WELDER.XLS"}</definedName>
    <definedName name="aba" localSheetId="5" hidden="1">{#N/A,#N/A,FALSE,"COVER1.XLS ";#N/A,#N/A,FALSE,"RACT1.XLS";#N/A,#N/A,FALSE,"RACT2.XLS";#N/A,#N/A,FALSE,"ECCMP";#N/A,#N/A,FALSE,"WELDER.XLS"}</definedName>
    <definedName name="aba" hidden="1">{#N/A,#N/A,FALSE,"COVER1.XLS ";#N/A,#N/A,FALSE,"RACT1.XLS";#N/A,#N/A,FALSE,"RACT2.XLS";#N/A,#N/A,FALSE,"ECCMP";#N/A,#N/A,FALSE,"WELDER.XLS"}</definedName>
    <definedName name="ABB_CHF_rate" localSheetId="0">#REF!</definedName>
    <definedName name="ABB_CHF_rate">#REF!</definedName>
    <definedName name="ABB_DEM_rate" localSheetId="0">#REF!</definedName>
    <definedName name="ABB_DEM_rate">#REF!</definedName>
    <definedName name="ABB_FRF_rate" localSheetId="0">#REF!</definedName>
    <definedName name="ABB_FRF_rate">#REF!</definedName>
    <definedName name="ABB_GBP_rate" localSheetId="0">#REF!</definedName>
    <definedName name="ABB_GBP_rate">#REF!</definedName>
    <definedName name="ABB_NLG_rate" localSheetId="0">#REF!</definedName>
    <definedName name="ABB_NLG_rate">#REF!</definedName>
    <definedName name="ABB_USD_rate" localSheetId="0">#REF!</definedName>
    <definedName name="ABB_USD_rate">#REF!</definedName>
    <definedName name="abba"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c" localSheetId="0">#REF!</definedName>
    <definedName name="ABC" hidden="1">#REF!</definedName>
    <definedName name="ABC___0">#REF!</definedName>
    <definedName name="abcanbv" hidden="1">{#N/A,#N/A,FALSE,"SUMMARY REPORT"}</definedName>
    <definedName name="abcd" localSheetId="0">#REF!</definedName>
    <definedName name="abcd"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abcdefg" localSheetId="0" hidden="1">{"VIEW1",#N/A,FALSE,"P&amp;L Account 2001-2002";"VIEW2",#N/A,FALSE,"P&amp;L Account 2001-2002";"VIEW3",#N/A,FALSE,"P&amp;L Account 2001-2002";"VIEW4",#N/A,FALSE,"P&amp;L Account 2001-2002"}</definedName>
    <definedName name="abcdefg" hidden="1">{"VIEW1",#N/A,FALSE,"P&amp;L Account 2001-2002";"VIEW2",#N/A,FALSE,"P&amp;L Account 2001-2002";"VIEW3",#N/A,FALSE,"P&amp;L Account 2001-2002";"VIEW4",#N/A,FALSE,"P&amp;L Account 2001-2002"}</definedName>
    <definedName name="ABCDF" hidden="1">{#N/A,#N/A,FALSE,"SUMMARY REPORT"}</definedName>
    <definedName name="ABCF" hidden="1">{#N/A,#N/A,FALSE,"SUMMARY REPORT"}</definedName>
    <definedName name="abd" localSheetId="0" hidden="1">#REF!</definedName>
    <definedName name="abd" hidden="1">#REF!</definedName>
    <definedName name="abe" localSheetId="2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abe" localSheetId="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abe"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ABH" localSheetId="0" hidden="1">{"VIEW1",#N/A,FALSE,"P&amp;L Account 2001-2002";"VIEW2",#N/A,FALSE,"P&amp;L Account 2001-2002";"VIEW3",#N/A,FALSE,"P&amp;L Account 2001-2002";"VIEW4",#N/A,FALSE,"P&amp;L Account 2001-2002"}</definedName>
    <definedName name="ABH" hidden="1">{"VIEW1",#N/A,FALSE,"P&amp;L Account 2001-2002";"VIEW2",#N/A,FALSE,"P&amp;L Account 2001-2002";"VIEW3",#N/A,FALSE,"P&amp;L Account 2001-2002";"VIEW4",#N/A,FALSE,"P&amp;L Account 2001-2002"}</definedName>
    <definedName name="ABILDQTY">#N/A</definedName>
    <definedName name="ABILDQTYNU">#N/A</definedName>
    <definedName name="ABILDTWT">#N/A</definedName>
    <definedName name="ABILDTWTNU">#N/A</definedName>
    <definedName name="ABS" localSheetId="25" hidden="1">{#N/A,#N/A,FALSE,"M&amp;B_43A_fab";#N/A,#N/A,FALSE,"M&amp;B_43A_ERE.";#N/A,#N/A,FALSE,"M&amp;B-43A-ALIGN"}</definedName>
    <definedName name="ABS" localSheetId="5" hidden="1">{#N/A,#N/A,FALSE,"M&amp;B_43A_fab";#N/A,#N/A,FALSE,"M&amp;B_43A_ERE.";#N/A,#N/A,FALSE,"M&amp;B-43A-ALIGN"}</definedName>
    <definedName name="ABS" hidden="1">{#N/A,#N/A,FALSE,"M&amp;B_43A_fab";#N/A,#N/A,FALSE,"M&amp;B_43A_ERE.";#N/A,#N/A,FALSE,"M&amp;B-43A-ALIGN"}</definedName>
    <definedName name="abst" localSheetId="25" hidden="1">{#N/A,#N/A,TRUE,"Front";#N/A,#N/A,TRUE,"Simple Letter";#N/A,#N/A,TRUE,"Inside";#N/A,#N/A,TRUE,"Contents";#N/A,#N/A,TRUE,"Basis";#N/A,#N/A,TRUE,"Inclusions";#N/A,#N/A,TRUE,"Exclusions";#N/A,#N/A,TRUE,"Areas";#N/A,#N/A,TRUE,"Summary";#N/A,#N/A,TRUE,"Detail"}</definedName>
    <definedName name="abst" localSheetId="5"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localSheetId="25" hidden="1">{#N/A,#N/A,TRUE,"Front";#N/A,#N/A,TRUE,"Simple Letter";#N/A,#N/A,TRUE,"Inside";#N/A,#N/A,TRUE,"Contents";#N/A,#N/A,TRUE,"Basis";#N/A,#N/A,TRUE,"Inclusions";#N/A,#N/A,TRUE,"Exclusions";#N/A,#N/A,TRUE,"Areas";#N/A,#N/A,TRUE,"Summary";#N/A,#N/A,TRUE,"Detail"}</definedName>
    <definedName name="absth" localSheetId="5"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Z" hidden="1">{#N/A,#N/A,FALSE,"SUMMARY REPORT"}</definedName>
    <definedName name="ac" hidden="1">#REF!</definedName>
    <definedName name="Ac6.">#REF!</definedName>
    <definedName name="acasc" localSheetId="25" hidden="1">{#N/A,#N/A,TRUE,"Front";#N/A,#N/A,TRUE,"Simple Letter";#N/A,#N/A,TRUE,"Inside";#N/A,#N/A,TRUE,"Contents";#N/A,#N/A,TRUE,"Basis";#N/A,#N/A,TRUE,"Inclusions";#N/A,#N/A,TRUE,"Exclusions";#N/A,#N/A,TRUE,"Areas";#N/A,#N/A,TRUE,"Summary";#N/A,#N/A,TRUE,"Detail"}</definedName>
    <definedName name="acasc" localSheetId="5" hidden="1">{#N/A,#N/A,TRUE,"Front";#N/A,#N/A,TRUE,"Simple Letter";#N/A,#N/A,TRUE,"Inside";#N/A,#N/A,TRUE,"Contents";#N/A,#N/A,TRUE,"Basis";#N/A,#N/A,TRUE,"Inclusions";#N/A,#N/A,TRUE,"Exclusions";#N/A,#N/A,TRUE,"Areas";#N/A,#N/A,TRUE,"Summary";#N/A,#N/A,TRUE,"Detail"}</definedName>
    <definedName name="acasc" hidden="1">{#N/A,#N/A,TRUE,"Front";#N/A,#N/A,TRUE,"Simple Letter";#N/A,#N/A,TRUE,"Inside";#N/A,#N/A,TRUE,"Contents";#N/A,#N/A,TRUE,"Basis";#N/A,#N/A,TRUE,"Inclusions";#N/A,#N/A,TRUE,"Exclusions";#N/A,#N/A,TRUE,"Areas";#N/A,#N/A,TRUE,"Summary";#N/A,#N/A,TRUE,"Detail"}</definedName>
    <definedName name="acc">#REF!</definedName>
    <definedName name="Acc_Rec_growth_fore">#REF!</definedName>
    <definedName name="Access_Button" hidden="1">"PJTFINAL_F02F11_List"</definedName>
    <definedName name="Access_Button1" hidden="1">"SFAS131_9803__Export_List"</definedName>
    <definedName name="AccessDatabase" hidden="1">"C:\jhp2\JHP\AES\PJTFINAL.mdb"</definedName>
    <definedName name="accfd" hidden="1">{#N/A,#N/A,FALSE,"SUMMARY REPORT"}</definedName>
    <definedName name="Account_Balance">#REF!</definedName>
    <definedName name="Accrued_compensation_growth_fore">#REF!</definedName>
    <definedName name="Accrued_expenses_growth_fore">#REF!</definedName>
    <definedName name="Accum_Cap_Expenses_growth_fore">#REF!</definedName>
    <definedName name="Accum_Goodwill_Amort_growth_fore">#REF!</definedName>
    <definedName name="Accumulated_DDA">#REF!</definedName>
    <definedName name="Accumulated_depreciation">#REF!</definedName>
    <definedName name="ACD" localSheetId="0">#REF!</definedName>
    <definedName name="ACD">#REF!</definedName>
    <definedName name="ACDE" hidden="1">{#N/A,#N/A,FALSE,"SUMMARY REPORT"}</definedName>
    <definedName name="ACDS" hidden="1">{#N/A,#N/A,FALSE,"SUMMARY REPORT"}</definedName>
    <definedName name="achscs">#REF!</definedName>
    <definedName name="acl">#REF!</definedName>
    <definedName name="Acquisitions">#REF!</definedName>
    <definedName name="Acre">#REF!</definedName>
    <definedName name="act" localSheetId="25" hidden="1">{#N/A,#N/A,FALSE,"Proj.Cost &amp; Means of Fin."}</definedName>
    <definedName name="act" localSheetId="5" hidden="1">{#N/A,#N/A,FALSE,"Proj.Cost &amp; Means of Fin."}</definedName>
    <definedName name="act" hidden="1">{#N/A,#N/A,FALSE,"Proj.Cost &amp; Means of Fin."}</definedName>
    <definedName name="ACTCODE">#REF!</definedName>
    <definedName name="action">#REF!</definedName>
    <definedName name="Actual_tax_rate">#REF!</definedName>
    <definedName name="ACwvu.Cost._.Allocation." hidden="1">#REF!</definedName>
    <definedName name="ACwvu.Full._.Cash._.Flow." hidden="1">#REF!</definedName>
    <definedName name="ACwvu.Marketing." hidden="1">#REF!</definedName>
    <definedName name="ACwvu.Marketing._.95.96." hidden="1">#REF!</definedName>
    <definedName name="ACwvu.Profit._.and._.Loss." hidden="1">#REF!</definedName>
    <definedName name="ACwvu.Summary._.Sheet." hidden="1">#REF!</definedName>
    <definedName name="AD" localSheetId="0">#REF!</definedName>
    <definedName name="AD">#REF!</definedName>
    <definedName name="ada" localSheetId="25" hidden="1">{#N/A,#N/A,FALSE,"str_title";#N/A,#N/A,FALSE,"SUM";#N/A,#N/A,FALSE,"Scope";#N/A,#N/A,FALSE,"PIE-Jn";#N/A,#N/A,FALSE,"PIE-Jn_Hz";#N/A,#N/A,FALSE,"Liq_Plan";#N/A,#N/A,FALSE,"S_Curve";#N/A,#N/A,FALSE,"Liq_Prof";#N/A,#N/A,FALSE,"Man_Pwr";#N/A,#N/A,FALSE,"Man_Prof"}</definedName>
    <definedName name="ada" localSheetId="0" hidden="1">{#N/A,#N/A,FALSE,"str_title";#N/A,#N/A,FALSE,"SUM";#N/A,#N/A,FALSE,"Scope";#N/A,#N/A,FALSE,"PIE-Jn";#N/A,#N/A,FALSE,"PIE-Jn_Hz";#N/A,#N/A,FALSE,"Liq_Plan";#N/A,#N/A,FALSE,"S_Curve";#N/A,#N/A,FALSE,"Liq_Prof";#N/A,#N/A,FALSE,"Man_Pwr";#N/A,#N/A,FALSE,"Man_Prof"}</definedName>
    <definedName name="ada" localSheetId="5" hidden="1">{#N/A,#N/A,FALSE,"str_title";#N/A,#N/A,FALSE,"SUM";#N/A,#N/A,FALSE,"Scope";#N/A,#N/A,FALSE,"PIE-Jn";#N/A,#N/A,FALSE,"PIE-Jn_Hz";#N/A,#N/A,FALSE,"Liq_Plan";#N/A,#N/A,FALSE,"S_Curve";#N/A,#N/A,FALSE,"Liq_Prof";#N/A,#N/A,FALSE,"Man_Pwr";#N/A,#N/A,FALSE,"Man_Prof"}</definedName>
    <definedName name="ada" hidden="1">{#N/A,#N/A,FALSE,"str_title";#N/A,#N/A,FALSE,"SUM";#N/A,#N/A,FALSE,"Scope";#N/A,#N/A,FALSE,"PIE-Jn";#N/A,#N/A,FALSE,"PIE-Jn_Hz";#N/A,#N/A,FALSE,"Liq_Plan";#N/A,#N/A,FALSE,"S_Curve";#N/A,#N/A,FALSE,"Liq_Prof";#N/A,#N/A,FALSE,"Man_Pwr";#N/A,#N/A,FALSE,"Man_Prof"}</definedName>
    <definedName name="adad"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d" localSheetId="25" hidden="1">{#N/A,#N/A,FALSE,"COVER1.XLS ";#N/A,#N/A,FALSE,"RACT1.XLS";#N/A,#N/A,FALSE,"RACT2.XLS";#N/A,#N/A,FALSE,"ECCMP";#N/A,#N/A,FALSE,"WELDER.XLS"}</definedName>
    <definedName name="adadd" localSheetId="0" hidden="1">{#N/A,#N/A,FALSE,"COVER1.XLS ";#N/A,#N/A,FALSE,"RACT1.XLS";#N/A,#N/A,FALSE,"RACT2.XLS";#N/A,#N/A,FALSE,"ECCMP";#N/A,#N/A,FALSE,"WELDER.XLS"}</definedName>
    <definedName name="adadd" localSheetId="5" hidden="1">{#N/A,#N/A,FALSE,"COVER1.XLS ";#N/A,#N/A,FALSE,"RACT1.XLS";#N/A,#N/A,FALSE,"RACT2.XLS";#N/A,#N/A,FALSE,"ECCMP";#N/A,#N/A,FALSE,"WELDER.XLS"}</definedName>
    <definedName name="adadd" hidden="1">{#N/A,#N/A,FALSE,"COVER1.XLS ";#N/A,#N/A,FALSE,"RACT1.XLS";#N/A,#N/A,FALSE,"RACT2.XLS";#N/A,#N/A,FALSE,"ECCMP";#N/A,#N/A,FALSE,"WELDER.XLS"}</definedName>
    <definedName name="adas" localSheetId="0">#REF!</definedName>
    <definedName name="adas">#REF!</definedName>
    <definedName name="ADB2TrancheA" localSheetId="0">#REF!</definedName>
    <definedName name="ADB2TrancheA">#REF!</definedName>
    <definedName name="ADB2TrancheB" localSheetId="0">#REF!</definedName>
    <definedName name="ADB2TrancheB">#REF!</definedName>
    <definedName name="add_BOQ" localSheetId="25" hidden="1">{#N/A,#N/A,TRUE,"Front";#N/A,#N/A,TRUE,"Simple Letter";#N/A,#N/A,TRUE,"Inside";#N/A,#N/A,TRUE,"Contents";#N/A,#N/A,TRUE,"Basis";#N/A,#N/A,TRUE,"Inclusions";#N/A,#N/A,TRUE,"Exclusions";#N/A,#N/A,TRUE,"Areas";#N/A,#N/A,TRUE,"Summary";#N/A,#N/A,TRUE,"Detail"}</definedName>
    <definedName name="add_BOQ" localSheetId="0" hidden="1">{#N/A,#N/A,TRUE,"Front";#N/A,#N/A,TRUE,"Simple Letter";#N/A,#N/A,TRUE,"Inside";#N/A,#N/A,TRUE,"Contents";#N/A,#N/A,TRUE,"Basis";#N/A,#N/A,TRUE,"Inclusions";#N/A,#N/A,TRUE,"Exclusions";#N/A,#N/A,TRUE,"Areas";#N/A,#N/A,TRUE,"Summary";#N/A,#N/A,TRUE,"Detail"}</definedName>
    <definedName name="add_BOQ" localSheetId="5" hidden="1">{#N/A,#N/A,TRUE,"Front";#N/A,#N/A,TRUE,"Simple Letter";#N/A,#N/A,TRUE,"Inside";#N/A,#N/A,TRUE,"Contents";#N/A,#N/A,TRUE,"Basis";#N/A,#N/A,TRUE,"Inclusions";#N/A,#N/A,TRUE,"Exclusions";#N/A,#N/A,TRUE,"Areas";#N/A,#N/A,TRUE,"Summary";#N/A,#N/A,TRUE,"Detail"}</definedName>
    <definedName name="add_BOQ" hidden="1">{#N/A,#N/A,TRUE,"Front";#N/A,#N/A,TRUE,"Simple Letter";#N/A,#N/A,TRUE,"Inside";#N/A,#N/A,TRUE,"Contents";#N/A,#N/A,TRUE,"Basis";#N/A,#N/A,TRUE,"Inclusions";#N/A,#N/A,TRUE,"Exclusions";#N/A,#N/A,TRUE,"Areas";#N/A,#N/A,TRUE,"Summary";#N/A,#N/A,TRUE,"Detail"}</definedName>
    <definedName name="ADD_IN_VERSION">#REF!</definedName>
    <definedName name="additional_charge">#REF!</definedName>
    <definedName name="Additions_Acc">#REF!</definedName>
    <definedName name="Additions_Building">#REF!</definedName>
    <definedName name="Additions_Computers">#REF!</definedName>
    <definedName name="ADDITIONS_fURNITURE">#REF!</definedName>
    <definedName name="Additions_Office">#REF!</definedName>
    <definedName name="adf">#REF!</definedName>
    <definedName name="adfad" localSheetId="0">#REF!</definedName>
    <definedName name="adfad">#REF!</definedName>
    <definedName name="adfads" hidden="1">#REF!</definedName>
    <definedName name="adfrs" localSheetId="25" hidden="1">{#N/A,#N/A,FALSE,"COVER.XLS";#N/A,#N/A,FALSE,"RACT1.XLS";#N/A,#N/A,FALSE,"RACT2.XLS";#N/A,#N/A,FALSE,"ECCMP";#N/A,#N/A,FALSE,"WELDER.XLS"}</definedName>
    <definedName name="adfrs" localSheetId="0" hidden="1">{#N/A,#N/A,FALSE,"COVER.XLS";#N/A,#N/A,FALSE,"RACT1.XLS";#N/A,#N/A,FALSE,"RACT2.XLS";#N/A,#N/A,FALSE,"ECCMP";#N/A,#N/A,FALSE,"WELDER.XLS"}</definedName>
    <definedName name="adfrs" localSheetId="5" hidden="1">{#N/A,#N/A,FALSE,"COVER.XLS";#N/A,#N/A,FALSE,"RACT1.XLS";#N/A,#N/A,FALSE,"RACT2.XLS";#N/A,#N/A,FALSE,"ECCMP";#N/A,#N/A,FALSE,"WELDER.XLS"}</definedName>
    <definedName name="adfrs" hidden="1">{#N/A,#N/A,FALSE,"COVER.XLS";#N/A,#N/A,FALSE,"RACT1.XLS";#N/A,#N/A,FALSE,"RACT2.XLS";#N/A,#N/A,FALSE,"ECCMP";#N/A,#N/A,FALSE,"WELDER.XLS"}</definedName>
    <definedName name="adhoc">#REF!</definedName>
    <definedName name="ADITION" localSheetId="25" hidden="1">{"'장비'!$A$3:$M$12"}</definedName>
    <definedName name="ADITION" localSheetId="0" hidden="1">{"'장비'!$A$3:$M$12"}</definedName>
    <definedName name="ADITION" localSheetId="5" hidden="1">{"'장비'!$A$3:$M$12"}</definedName>
    <definedName name="ADITION" hidden="1">{"'장비'!$A$3:$M$12"}</definedName>
    <definedName name="aditya" localSheetId="25" hidden="1">{#N/A,#N/A,TRUE,"Front";#N/A,#N/A,TRUE,"Simple Letter";#N/A,#N/A,TRUE,"Inside";#N/A,#N/A,TRUE,"Contents";#N/A,#N/A,TRUE,"Basis";#N/A,#N/A,TRUE,"Inclusions";#N/A,#N/A,TRUE,"Exclusions";#N/A,#N/A,TRUE,"Areas";#N/A,#N/A,TRUE,"Summary";#N/A,#N/A,TRUE,"Detail"}</definedName>
    <definedName name="aditya" localSheetId="5" hidden="1">{#N/A,#N/A,TRUE,"Front";#N/A,#N/A,TRUE,"Simple Letter";#N/A,#N/A,TRUE,"Inside";#N/A,#N/A,TRUE,"Contents";#N/A,#N/A,TRUE,"Basis";#N/A,#N/A,TRUE,"Inclusions";#N/A,#N/A,TRUE,"Exclusions";#N/A,#N/A,TRUE,"Areas";#N/A,#N/A,TRUE,"Summary";#N/A,#N/A,TRUE,"Detail"}</definedName>
    <definedName name="aditya" hidden="1">{#N/A,#N/A,TRUE,"Front";#N/A,#N/A,TRUE,"Simple Letter";#N/A,#N/A,TRUE,"Inside";#N/A,#N/A,TRUE,"Contents";#N/A,#N/A,TRUE,"Basis";#N/A,#N/A,TRUE,"Inclusions";#N/A,#N/A,TRUE,"Exclusions";#N/A,#N/A,TRUE,"Areas";#N/A,#N/A,TRUE,"Summary";#N/A,#N/A,TRUE,"Detail"}</definedName>
    <definedName name="Adjusted_Net_Operating_Profit">#REF!</definedName>
    <definedName name="adkh" hidden="1">#REF!</definedName>
    <definedName name="ADL.63" localSheetId="25">#REF!</definedName>
    <definedName name="ADL.63" localSheetId="0">#REF!</definedName>
    <definedName name="ADL.63" localSheetId="43">#REF!</definedName>
    <definedName name="ADL.63" localSheetId="5">#REF!</definedName>
    <definedName name="ADL.63">#REF!</definedName>
    <definedName name="ads" localSheetId="25" hidden="1">{#N/A,#N/A,FALSE,"COVER1.XLS ";#N/A,#N/A,FALSE,"RACT1.XLS";#N/A,#N/A,FALSE,"RACT2.XLS";#N/A,#N/A,FALSE,"ECCMP";#N/A,#N/A,FALSE,"WELDER.XLS"}</definedName>
    <definedName name="ads" localSheetId="0" hidden="1">{#N/A,#N/A,FALSE,"COVER1.XLS ";#N/A,#N/A,FALSE,"RACT1.XLS";#N/A,#N/A,FALSE,"RACT2.XLS";#N/A,#N/A,FALSE,"ECCMP";#N/A,#N/A,FALSE,"WELDER.XLS"}</definedName>
    <definedName name="ads" localSheetId="5" hidden="1">{#N/A,#N/A,FALSE,"COVER1.XLS ";#N/A,#N/A,FALSE,"RACT1.XLS";#N/A,#N/A,FALSE,"RACT2.XLS";#N/A,#N/A,FALSE,"ECCMP";#N/A,#N/A,FALSE,"WELDER.XLS"}</definedName>
    <definedName name="ads" hidden="1">{#N/A,#N/A,FALSE,"COVER1.XLS ";#N/A,#N/A,FALSE,"RACT1.XLS";#N/A,#N/A,FALSE,"RACT2.XLS";#N/A,#N/A,FALSE,"ECCMP";#N/A,#N/A,FALSE,"WELDER.XLS"}</definedName>
    <definedName name="adsasdsa" hidden="1">#REF!</definedName>
    <definedName name="adsfadfa">#REF!</definedName>
    <definedName name="adsfafaf" hidden="1">{"'Sheet1'!$A$5:$E$42"}</definedName>
    <definedName name="ADTL" localSheetId="0">#REF!</definedName>
    <definedName name="ADTL">#REF!</definedName>
    <definedName name="ADV">#REF!</definedName>
    <definedName name="AEGCL"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EGCL"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f" hidden="1">#REF!</definedName>
    <definedName name="afaer" localSheetId="0">#REF!</definedName>
    <definedName name="afaer">#REF!</definedName>
    <definedName name="afasd">#REF!</definedName>
    <definedName name="afasfasf">#REF!</definedName>
    <definedName name="afava" localSheetId="0">#REF!</definedName>
    <definedName name="afava">#REF!</definedName>
    <definedName name="AFF" localSheetId="0" hidden="1">{"VIEW1",#N/A,FALSE,"P&amp;L Account 2001-2002";"VIEW2",#N/A,FALSE,"P&amp;L Account 2001-2002";"VIEW3",#N/A,FALSE,"P&amp;L Account 2001-2002";"VIEW4",#N/A,FALSE,"P&amp;L Account 2001-2002"}</definedName>
    <definedName name="AFF" hidden="1">{"VIEW1",#N/A,FALSE,"P&amp;L Account 2001-2002";"VIEW2",#N/A,FALSE,"P&amp;L Account 2001-2002";"VIEW3",#N/A,FALSE,"P&amp;L Account 2001-2002";"VIEW4",#N/A,FALSE,"P&amp;L Account 2001-2002"}</definedName>
    <definedName name="AFS" hidden="1">{#N/A,#N/A,FALSE,"SUMMARY REPORT"}</definedName>
    <definedName name="AFSDF" localSheetId="25" hidden="1">{#N/A,#N/A,FALSE,"PMTABB";#N/A,#N/A,FALSE,"PMTABB"}</definedName>
    <definedName name="AFSDF" localSheetId="5" hidden="1">{#N/A,#N/A,FALSE,"PMTABB";#N/A,#N/A,FALSE,"PMTABB"}</definedName>
    <definedName name="AFSDF" hidden="1">{#N/A,#N/A,FALSE,"PMTABB";#N/A,#N/A,FALSE,"PMTABB"}</definedName>
    <definedName name="afshgafh" localSheetId="0">#REF!</definedName>
    <definedName name="afshgafh">#REF!</definedName>
    <definedName name="ag" localSheetId="25" hidden="1">{#N/A,#N/A,FALSE,"Aging Summary";#N/A,#N/A,FALSE,"Ratio Analysis";#N/A,#N/A,FALSE,"Test 120 Day Accts";#N/A,#N/A,FALSE,"Tickmarks"}</definedName>
    <definedName name="ag" localSheetId="5" hidden="1">{#N/A,#N/A,FALSE,"Aging Summary";#N/A,#N/A,FALSE,"Ratio Analysis";#N/A,#N/A,FALSE,"Test 120 Day Accts";#N/A,#N/A,FALSE,"Tickmarks"}</definedName>
    <definedName name="ag" hidden="1">{#N/A,#N/A,FALSE,"Aging Summary";#N/A,#N/A,FALSE,"Ratio Analysis";#N/A,#N/A,FALSE,"Test 120 Day Accts";#N/A,#N/A,FALSE,"Tickmarks"}</definedName>
    <definedName name="agdump">#REF!</definedName>
    <definedName name="agedump">#REF!</definedName>
    <definedName name="Ageinganalysis">#REF!</definedName>
    <definedName name="agencydump">#REF!</definedName>
    <definedName name="AGENCYLY">#REF!</definedName>
    <definedName name="AGENCYPLAN">#REF!</definedName>
    <definedName name="ageos">#REF!</definedName>
    <definedName name="agestock">#REF!</definedName>
    <definedName name="agg" localSheetId="25" hidden="1">{#N/A,#N/A,FALSE,"Aging Summary";#N/A,#N/A,FALSE,"Ratio Analysis";#N/A,#N/A,FALSE,"Test 120 Day Accts";#N/A,#N/A,FALSE,"Tickmarks"}</definedName>
    <definedName name="agg" localSheetId="5" hidden="1">{#N/A,#N/A,FALSE,"Aging Summary";#N/A,#N/A,FALSE,"Ratio Analysis";#N/A,#N/A,FALSE,"Test 120 Day Accts";#N/A,#N/A,FALSE,"Tickmarks"}</definedName>
    <definedName name="agg" hidden="1">{#N/A,#N/A,FALSE,"Aging Summary";#N/A,#N/A,FALSE,"Ratio Analysis";#N/A,#N/A,FALSE,"Test 120 Day Accts";#N/A,#N/A,FALSE,"Tickmarks"}</definedName>
    <definedName name="Aging" localSheetId="25" hidden="1">{#N/A,#N/A,FALSE,"Aging Summary";#N/A,#N/A,FALSE,"Ratio Analysis";#N/A,#N/A,FALSE,"Test 120 Day Accts";#N/A,#N/A,FALSE,"Tickmarks"}</definedName>
    <definedName name="Aging" localSheetId="5" hidden="1">{#N/A,#N/A,FALSE,"Aging Summary";#N/A,#N/A,FALSE,"Ratio Analysis";#N/A,#N/A,FALSE,"Test 120 Day Accts";#N/A,#N/A,FALSE,"Tickmarks"}</definedName>
    <definedName name="Aging" hidden="1">{#N/A,#N/A,FALSE,"Aging Summary";#N/A,#N/A,FALSE,"Ratio Analysis";#N/A,#N/A,FALSE,"Test 120 Day Accts";#N/A,#N/A,FALSE,"Tickmarks"}</definedName>
    <definedName name="aging_Analysis" localSheetId="25" hidden="1">{#N/A,#N/A,FALSE,"Aging Summary";#N/A,#N/A,FALSE,"Ratio Analysis";#N/A,#N/A,FALSE,"Test 120 Day Accts";#N/A,#N/A,FALSE,"Tickmarks"}</definedName>
    <definedName name="aging_Analysis" localSheetId="5" hidden="1">{#N/A,#N/A,FALSE,"Aging Summary";#N/A,#N/A,FALSE,"Ratio Analysis";#N/A,#N/A,FALSE,"Test 120 Day Accts";#N/A,#N/A,FALSE,"Tickmarks"}</definedName>
    <definedName name="aging_Analysis" hidden="1">{#N/A,#N/A,FALSE,"Aging Summary";#N/A,#N/A,FALSE,"Ratio Analysis";#N/A,#N/A,FALSE,"Test 120 Day Accts";#N/A,#N/A,FALSE,"Tickmarks"}</definedName>
    <definedName name="agreed_scope_changes">#REF!</definedName>
    <definedName name="agri">#REF!</definedName>
    <definedName name="Agriculture">#REF!</definedName>
    <definedName name="Agriculture_depreciation">#REF!</definedName>
    <definedName name="Agriculture_inflation_uplift">#REF!</definedName>
    <definedName name="Agriculture_maintenance_capex">#REF!</definedName>
    <definedName name="AgrilSupplyBorderArea3Ph" localSheetId="0">#REF!</definedName>
    <definedName name="AgrilSupplyBorderArea3Ph">#REF!</definedName>
    <definedName name="AgrilSupplyBorderArea3Ph_H0010" localSheetId="0">#REF!</definedName>
    <definedName name="AgrilSupplyBorderArea3Ph_H0010">#REF!</definedName>
    <definedName name="AgrilSupplyDayGrp3Ph" localSheetId="0">#REF!</definedName>
    <definedName name="AgrilSupplyDayGrp3Ph">#REF!</definedName>
    <definedName name="AgrilSupplyDayGrp3Ph_H0010" localSheetId="0">#REF!</definedName>
    <definedName name="AgrilSupplyDayGrp3Ph_H0010">#REF!</definedName>
    <definedName name="AgrilSupplyNightGrp3Ph" localSheetId="0">#REF!</definedName>
    <definedName name="AgrilSupplyNightGrp3Ph">#REF!</definedName>
    <definedName name="AgrilSupplyNightGrp3Ph_H0010" localSheetId="0">#REF!</definedName>
    <definedName name="AgrilSupplyNightGrp3Ph_H0010">#REF!</definedName>
    <definedName name="ah">#REF!</definedName>
    <definedName name="ah25.">#REF!</definedName>
    <definedName name="ahefh" localSheetId="0">#REF!</definedName>
    <definedName name="ahefh">#REF!</definedName>
    <definedName name="ahjsdhjkdh">#REF!</definedName>
    <definedName name="AI">#REF!</definedName>
    <definedName name="aie">#REF!</definedName>
    <definedName name="AII">#REF!</definedName>
    <definedName name="AIII">#REF!</definedName>
    <definedName name="AIR" localSheetId="0">#REF!</definedName>
    <definedName name="AIR">#REF!</definedName>
    <definedName name="air_trap">#REF!</definedName>
    <definedName name="ak" localSheetId="0" hidden="1">{"VIEW1",#N/A,FALSE,"P&amp;L Account 2001-2002";"VIEW2",#N/A,FALSE,"P&amp;L Account 2001-2002";"VIEW3",#N/A,FALSE,"P&amp;L Account 2001-2002";"VIEW4",#N/A,FALSE,"P&amp;L Account 2001-2002"}</definedName>
    <definedName name="ak" hidden="1">{"VIEW1",#N/A,FALSE,"P&amp;L Account 2001-2002";"VIEW2",#N/A,FALSE,"P&amp;L Account 2001-2002";"VIEW3",#N/A,FALSE,"P&amp;L Account 2001-2002";"VIEW4",#N/A,FALSE,"P&amp;L Account 2001-2002"}</definedName>
    <definedName name="al"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catel">#REF!</definedName>
    <definedName name="ALKHSHDKJHALKFJW" localSheetId="0" hidden="1">{"VIEW1",#N/A,FALSE,"P&amp;L Account 2001-2002";"VIEW2",#N/A,FALSE,"P&amp;L Account 2001-2002";"VIEW3",#N/A,FALSE,"P&amp;L Account 2001-2002";"VIEW4",#N/A,FALSE,"P&amp;L Account 2001-2002"}</definedName>
    <definedName name="ALKHSHDKJHALKFJW" hidden="1">{"VIEW1",#N/A,FALSE,"P&amp;L Account 2001-2002";"VIEW2",#N/A,FALSE,"P&amp;L Account 2001-2002";"VIEW3",#N/A,FALSE,"P&amp;L Account 2001-2002";"VIEW4",#N/A,FALSE,"P&amp;L Account 2001-2002"}</definedName>
    <definedName name="ALL">#REF!</definedName>
    <definedName name="ALL___0">#REF!</definedName>
    <definedName name="All_00_PS">#REF!</definedName>
    <definedName name="All_00_Rev">#REF!</definedName>
    <definedName name="All_97_PS">#REF!</definedName>
    <definedName name="All_97_Rev">#REF!</definedName>
    <definedName name="All_98_PS">#REF!</definedName>
    <definedName name="All_98_Rev">#REF!</definedName>
    <definedName name="All_99_PS">#REF!</definedName>
    <definedName name="All_99_Rev">#REF!</definedName>
    <definedName name="All_EPS_00">#REF!</definedName>
    <definedName name="All_EPS_98">#REF!</definedName>
    <definedName name="All_EPS_99">#REF!</definedName>
    <definedName name="All_Item">#REF!</definedName>
    <definedName name="All_Mkt_Cap">#REF!</definedName>
    <definedName name="All_Off_High">#REF!</definedName>
    <definedName name="All_other_items">#REF!</definedName>
    <definedName name="All_Stocks">#REF!</definedName>
    <definedName name="allo">#REF!</definedName>
    <definedName name="ALLOCATION">#REF!</definedName>
    <definedName name="ALLOWANCE">#N/A</definedName>
    <definedName name="ALLTO" localSheetId="0">#REF!</definedName>
    <definedName name="ALLTO">#REF!</definedName>
    <definedName name="ALOCHDG">#REF!</definedName>
    <definedName name="alpuussss"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MAKEQTY">#N/A</definedName>
    <definedName name="AMAKEQTYNU">#N/A</definedName>
    <definedName name="AMAKETWT">#N/A</definedName>
    <definedName name="AMAKETWTNU">#N/A</definedName>
    <definedName name="aman" hidden="1">{"'Sheet1'!$A$5:$E$42"}</definedName>
    <definedName name="AMC">#REF!</definedName>
    <definedName name="amey">#REF!</definedName>
    <definedName name="AMIT" localSheetId="0" hidden="1">{"VIEW1",#N/A,FALSE,"P&amp;L Account 2001-2002";"VIEW2",#N/A,FALSE,"P&amp;L Account 2001-2002";"VIEW3",#N/A,FALSE,"P&amp;L Account 2001-2002";"VIEW4",#N/A,FALSE,"P&amp;L Account 2001-2002"}</definedName>
    <definedName name="AMIT" hidden="1">{"VIEW1",#N/A,FALSE,"P&amp;L Account 2001-2002";"VIEW2",#N/A,FALSE,"P&amp;L Account 2001-2002";"VIEW3",#N/A,FALSE,"P&amp;L Account 2001-2002";"VIEW4",#N/A,FALSE,"P&amp;L Account 2001-2002"}</definedName>
    <definedName name="amortisation_goodwill">#REF!</definedName>
    <definedName name="amortisation_other_intangibles">#REF!</definedName>
    <definedName name="AMT">#REF!</definedName>
    <definedName name="anadty">#REF!</definedName>
    <definedName name="anal"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nd" localSheetId="0">#REF!</definedName>
    <definedName name="anand">#REF!</definedName>
    <definedName name="anaspun">#REF!</definedName>
    <definedName name="ANCL">#N/A</definedName>
    <definedName name="ANDRES0">#REF!</definedName>
    <definedName name="Andrew">#REF!</definedName>
    <definedName name="aneps1q95">#REF!</definedName>
    <definedName name="aneps1q96">#REF!</definedName>
    <definedName name="angle">#REF!</definedName>
    <definedName name="ani">#REF!</definedName>
    <definedName name="anil" hidden="1">#REF!</definedName>
    <definedName name="ann" localSheetId="0" hidden="1">{#N/A,#N/A,FALSE,"Banksum";#N/A,#N/A,FALSE,"Banksum"}</definedName>
    <definedName name="ann" hidden="1">{#N/A,#N/A,FALSE,"Banksum";#N/A,#N/A,FALSE,"Banksum"}</definedName>
    <definedName name="Anne" hidden="1">#REF!</definedName>
    <definedName name="Annex" localSheetId="0" hidden="1">{#N/A,#N/A,FALSE,"4"}</definedName>
    <definedName name="Annex" hidden="1">{#N/A,#N/A,FALSE,"4"}</definedName>
    <definedName name="annex1" hidden="1">#REF!</definedName>
    <definedName name="ANNEXIII">#REF!</definedName>
    <definedName name="ANNEXIV">#REF!</definedName>
    <definedName name="annexloan">#REF!</definedName>
    <definedName name="Annexure" localSheetId="2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nexure"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nexure" localSheetId="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nexur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NEXURE__A">#REF!</definedName>
    <definedName name="ANNEXURE__B.Sch">#REF!</definedName>
    <definedName name="ANNEXURE_A.">#REF!</definedName>
    <definedName name="Annx1" localSheetId="0" hidden="1">{#N/A,#N/A,FALSE,"Banksum";#N/A,#N/A,FALSE,"Banksum"}</definedName>
    <definedName name="Annx1" hidden="1">{#N/A,#N/A,FALSE,"Banksum";#N/A,#N/A,FALSE,"Banksum"}</definedName>
    <definedName name="anscount" hidden="1">1</definedName>
    <definedName name="anti"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nti"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nx" localSheetId="0">#REF!</definedName>
    <definedName name="anx">#REF!</definedName>
    <definedName name="APACAugRev">#REF!</definedName>
    <definedName name="ApacB2B">#REF!</definedName>
    <definedName name="ApacCrDR">#REF!</definedName>
    <definedName name="APACDNCN">#REF!</definedName>
    <definedName name="ApacDRCR">#REF!</definedName>
    <definedName name="APACJulyRev">#REF!</definedName>
    <definedName name="APACQ1">#REF!</definedName>
    <definedName name="APACQ1Rev">#REF!</definedName>
    <definedName name="APACSepRev">#REF!</definedName>
    <definedName name="APC">#REF!</definedName>
    <definedName name="apcaugrev">#REF!</definedName>
    <definedName name="apcH1accural">#REF!</definedName>
    <definedName name="apcjulrev">#REF!</definedName>
    <definedName name="apcq1rev">#REF!</definedName>
    <definedName name="apcseprev">#REF!</definedName>
    <definedName name="Appendix111">#REF!</definedName>
    <definedName name="APR" localSheetId="0" hidden="1">{"VIEW1",#N/A,FALSE,"P&amp;L Account 2001-2002";"VIEW2",#N/A,FALSE,"P&amp;L Account 2001-2002";"VIEW3",#N/A,FALSE,"P&amp;L Account 2001-2002";"VIEW4",#N/A,FALSE,"P&amp;L Account 2001-2002"}</definedName>
    <definedName name="APR" hidden="1">{"VIEW1",#N/A,FALSE,"P&amp;L Account 2001-2002";"VIEW2",#N/A,FALSE,"P&amp;L Account 2001-2002";"VIEW3",#N/A,FALSE,"P&amp;L Account 2001-2002";"VIEW4",#N/A,FALSE,"P&amp;L Account 2001-2002"}</definedName>
    <definedName name="APR_95___MAR_96">#REF!</definedName>
    <definedName name="aps" localSheetId="0">#REF!</definedName>
    <definedName name="aps" hidden="1">{"VIEW1",#N/A,FALSE,"P&amp;L Account 2001-2002";"VIEW2",#N/A,FALSE,"P&amp;L Account 2001-2002";"VIEW3",#N/A,FALSE,"P&amp;L Account 2001-2002";"VIEW4",#N/A,FALSE,"P&amp;L Account 2001-2002"}</definedName>
    <definedName name="APSUMMARY">#REF!</definedName>
    <definedName name="aq" localSheetId="0">#REF!</definedName>
    <definedName name="aq">#REF!</definedName>
    <definedName name="ARA_Threshold">#REF!</definedName>
    <definedName name="AravaliHold">#REF!</definedName>
    <definedName name="AravaliOGI">#REF!</definedName>
    <definedName name="area" localSheetId="0">#REF!</definedName>
    <definedName name="area">#REF!</definedName>
    <definedName name="area1" localSheetId="0">#REF!</definedName>
    <definedName name="area1">#REF!</definedName>
    <definedName name="ARR_Tax_Rate">#REF!</definedName>
    <definedName name="arrintr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run" hidden="1">{"'Sheet1'!$A$5:$E$42"}</definedName>
    <definedName name="AS" localSheetId="25" hidden="1">{#N/A,#N/A,FALSE,"Full";#N/A,#N/A,FALSE,"Half";#N/A,#N/A,FALSE,"Op Expenses";#N/A,#N/A,FALSE,"Cap Charge";#N/A,#N/A,FALSE,"Cost C";#N/A,#N/A,FALSE,"PP&amp;E";#N/A,#N/A,FALSE,"R&amp;D"}</definedName>
    <definedName name="as" localSheetId="0">#REF!</definedName>
    <definedName name="AS" localSheetId="5" hidden="1">{#N/A,#N/A,FALSE,"Full";#N/A,#N/A,FALSE,"Half";#N/A,#N/A,FALSE,"Op Expenses";#N/A,#N/A,FALSE,"Cap Charge";#N/A,#N/A,FALSE,"Cost C";#N/A,#N/A,FALSE,"PP&amp;E";#N/A,#N/A,FALSE,"R&amp;D"}</definedName>
    <definedName name="AS" hidden="1">{#N/A,#N/A,FALSE,"Full";#N/A,#N/A,FALSE,"Half";#N/A,#N/A,FALSE,"Op Expenses";#N/A,#N/A,FALSE,"Cap Charge";#N/A,#N/A,FALSE,"Cost C";#N/A,#N/A,FALSE,"PP&amp;E";#N/A,#N/A,FALSE,"R&amp;D"}</definedName>
    <definedName name="AS2DocOpenMode" localSheetId="0" hidden="1">"AS2DocumentBrowse"</definedName>
    <definedName name="AS2DocOpenMode" hidden="1">"AS2DocumentEdit"</definedName>
    <definedName name="AS2HasNoAutoHeaderFooter" hidden="1">" "</definedName>
    <definedName name="AS2LinkLS" hidden="1">#REF!</definedName>
    <definedName name="AS2NamedRange" localSheetId="0" hidden="1">2</definedName>
    <definedName name="AS2NamedRange" hidden="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localSheetId="25" hidden="1">{#N/A,#N/A,FALSE,"COVER1.XLS ";#N/A,#N/A,FALSE,"RACT1.XLS";#N/A,#N/A,FALSE,"RACT2.XLS";#N/A,#N/A,FALSE,"ECCMP";#N/A,#N/A,FALSE,"WELDER.XLS"}</definedName>
    <definedName name="asa" localSheetId="0" hidden="1">{#N/A,#N/A,FALSE,"COVER1.XLS ";#N/A,#N/A,FALSE,"RACT1.XLS";#N/A,#N/A,FALSE,"RACT2.XLS";#N/A,#N/A,FALSE,"ECCMP";#N/A,#N/A,FALSE,"WELDER.XLS"}</definedName>
    <definedName name="asa" localSheetId="5" hidden="1">{#N/A,#N/A,FALSE,"COVER1.XLS ";#N/A,#N/A,FALSE,"RACT1.XLS";#N/A,#N/A,FALSE,"RACT2.XLS";#N/A,#N/A,FALSE,"ECCMP";#N/A,#N/A,FALSE,"WELDER.XLS"}</definedName>
    <definedName name="asa" hidden="1">{#N/A,#N/A,FALSE,"COVER1.XLS ";#N/A,#N/A,FALSE,"RACT1.XLS";#N/A,#N/A,FALSE,"RACT2.XLS";#N/A,#N/A,FALSE,"ECCMP";#N/A,#N/A,FALSE,"WELDER.XLS"}</definedName>
    <definedName name="asaaa">#REF!</definedName>
    <definedName name="asad" localSheetId="25" hidden="1">{#N/A,#N/A,FALSE,"str_title";#N/A,#N/A,FALSE,"SUM";#N/A,#N/A,FALSE,"Scope";#N/A,#N/A,FALSE,"PIE-Jn";#N/A,#N/A,FALSE,"PIE-Jn_Hz";#N/A,#N/A,FALSE,"Liq_Plan";#N/A,#N/A,FALSE,"S_Curve";#N/A,#N/A,FALSE,"Liq_Prof";#N/A,#N/A,FALSE,"Man_Pwr";#N/A,#N/A,FALSE,"Man_Prof"}</definedName>
    <definedName name="asad" localSheetId="0" hidden="1">{#N/A,#N/A,FALSE,"str_title";#N/A,#N/A,FALSE,"SUM";#N/A,#N/A,FALSE,"Scope";#N/A,#N/A,FALSE,"PIE-Jn";#N/A,#N/A,FALSE,"PIE-Jn_Hz";#N/A,#N/A,FALSE,"Liq_Plan";#N/A,#N/A,FALSE,"S_Curve";#N/A,#N/A,FALSE,"Liq_Prof";#N/A,#N/A,FALSE,"Man_Pwr";#N/A,#N/A,FALSE,"Man_Prof"}</definedName>
    <definedName name="asad" localSheetId="5"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f" localSheetId="25" hidden="1">{#N/A,#N/A,FALSE,"Proj.Cost &amp; Means of Fin."}</definedName>
    <definedName name="asaf" localSheetId="5" hidden="1">{#N/A,#N/A,FALSE,"Proj.Cost &amp; Means of Fin."}</definedName>
    <definedName name="asaf" hidden="1">{#N/A,#N/A,FALSE,"Proj.Cost &amp; Means of Fin."}</definedName>
    <definedName name="asas" localSheetId="25" hidden="1">{#N/A,#N/A,FALSE,"Aging Summary";#N/A,#N/A,FALSE,"Ratio Analysis";#N/A,#N/A,FALSE,"Test 120 Day Accts";#N/A,#N/A,FALSE,"Tickmarks"}</definedName>
    <definedName name="ASAS" localSheetId="0">#REF!</definedName>
    <definedName name="asas" localSheetId="5" hidden="1">{#N/A,#N/A,FALSE,"Aging Summary";#N/A,#N/A,FALSE,"Ratio Analysis";#N/A,#N/A,FALSE,"Test 120 Day Accts";#N/A,#N/A,FALSE,"Tickmarks"}</definedName>
    <definedName name="asas" hidden="1">{#N/A,#N/A,FALSE,"Aging Summary";#N/A,#N/A,FALSE,"Ratio Analysis";#N/A,#N/A,FALSE,"Test 120 Day Accts";#N/A,#N/A,FALSE,"Tickmarks"}</definedName>
    <definedName name="asasa" hidden="1">{#N/A,#N/A,FALSE,"SUMMARY REPORT"}</definedName>
    <definedName name="asasasasasaaaaaaaa" localSheetId="0">#REF!</definedName>
    <definedName name="asasasasasaaaaaaaa">#REF!</definedName>
    <definedName name="Asat">#REF!</definedName>
    <definedName name="asd"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afa" localSheetId="25" hidden="1">{#N/A,#N/A,FALSE,"Proj.Cost &amp; Means of Fin."}</definedName>
    <definedName name="asdafa" localSheetId="5" hidden="1">{#N/A,#N/A,FALSE,"Proj.Cost &amp; Means of Fin."}</definedName>
    <definedName name="asdafa" hidden="1">{#N/A,#N/A,FALSE,"Proj.Cost &amp; Means of Fin."}</definedName>
    <definedName name="ASDASD123" hidden="1">#REF!</definedName>
    <definedName name="asdASDSA">#REF!</definedName>
    <definedName name="ASDC" hidden="1">{#N/A,#N/A,FALSE,"SUMMARY REPORT"}</definedName>
    <definedName name="ASDDDD" localSheetId="25" hidden="1">{"DJH3",#N/A,FALSE,"PFL00805";"PJB3",#N/A,FALSE,"PFL00805";"JMD3",#N/A,FALSE,"PFL00805";"DNB3",#N/A,FALSE,"PFL00805";"MJP3",#N/A,FALSE,"PFL00805";"RAB3",#N/A,FALSE,"PFL00805";"GJW3",#N/A,FALSE,"PFL00805";"MASTER3",#N/A,FALSE,"PFL00805"}</definedName>
    <definedName name="ASDDDD" localSheetId="5" hidden="1">{"DJH3",#N/A,FALSE,"PFL00805";"PJB3",#N/A,FALSE,"PFL00805";"JMD3",#N/A,FALSE,"PFL00805";"DNB3",#N/A,FALSE,"PFL00805";"MJP3",#N/A,FALSE,"PFL00805";"RAB3",#N/A,FALSE,"PFL00805";"GJW3",#N/A,FALSE,"PFL00805";"MASTER3",#N/A,FALSE,"PFL00805"}</definedName>
    <definedName name="ASDDDD" hidden="1">{"DJH3",#N/A,FALSE,"PFL00805";"PJB3",#N/A,FALSE,"PFL00805";"JMD3",#N/A,FALSE,"PFL00805";"DNB3",#N/A,FALSE,"PFL00805";"MJP3",#N/A,FALSE,"PFL00805";"RAB3",#N/A,FALSE,"PFL00805";"GJW3",#N/A,FALSE,"PFL00805";"MASTER3",#N/A,FALSE,"PFL00805"}</definedName>
    <definedName name="asdf">#REF!</definedName>
    <definedName name="asdfa" hidden="1">{"'Sheet1'!$A$5:$E$42"}</definedName>
    <definedName name="asdfadfa">#REF!</definedName>
    <definedName name="asdfadsf" localSheetId="25" hidden="1">{#N/A,#N/A,FALSE,"Aging Summary";#N/A,#N/A,FALSE,"Ratio Analysis";#N/A,#N/A,FALSE,"Test 120 Day Accts";#N/A,#N/A,FALSE,"Tickmarks"}</definedName>
    <definedName name="asdfadsf" localSheetId="5" hidden="1">{#N/A,#N/A,FALSE,"Aging Summary";#N/A,#N/A,FALSE,"Ratio Analysis";#N/A,#N/A,FALSE,"Test 120 Day Accts";#N/A,#N/A,FALSE,"Tickmarks"}</definedName>
    <definedName name="asdfadsf" hidden="1">{#N/A,#N/A,FALSE,"Aging Summary";#N/A,#N/A,FALSE,"Ratio Analysis";#N/A,#N/A,FALSE,"Test 120 Day Accts";#N/A,#N/A,FALSE,"Tickmarks"}</definedName>
    <definedName name="asdfafasdf" localSheetId="2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asdfafasdf" localSheetId="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asdfafasdf"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asdfasdf" localSheetId="25" hidden="1">{#N/A,#N/A,FALSE,"Aging Summary";#N/A,#N/A,FALSE,"Ratio Analysis";#N/A,#N/A,FALSE,"Test 120 Day Accts";#N/A,#N/A,FALSE,"Tickmarks"}</definedName>
    <definedName name="asdfasdf" localSheetId="5" hidden="1">{#N/A,#N/A,FALSE,"Aging Summary";#N/A,#N/A,FALSE,"Ratio Analysis";#N/A,#N/A,FALSE,"Test 120 Day Accts";#N/A,#N/A,FALSE,"Tickmarks"}</definedName>
    <definedName name="asdfasdf" hidden="1">{#N/A,#N/A,FALSE,"Aging Summary";#N/A,#N/A,FALSE,"Ratio Analysis";#N/A,#N/A,FALSE,"Test 120 Day Accts";#N/A,#N/A,FALSE,"Tickmarks"}</definedName>
    <definedName name="ASDFDS" localSheetId="0" hidden="1">{"VIEW1",#N/A,FALSE,"P&amp;L Account 2001-2002";"VIEW2",#N/A,FALSE,"P&amp;L Account 2001-2002";"VIEW3",#N/A,FALSE,"P&amp;L Account 2001-2002";"VIEW4",#N/A,FALSE,"P&amp;L Account 2001-2002"}</definedName>
    <definedName name="ASDFDS" hidden="1">{"VIEW1",#N/A,FALSE,"P&amp;L Account 2001-2002";"VIEW2",#N/A,FALSE,"P&amp;L Account 2001-2002";"VIEW3",#N/A,FALSE,"P&amp;L Account 2001-2002";"VIEW4",#N/A,FALSE,"P&amp;L Account 2001-2002"}</definedName>
    <definedName name="ASDFDSG" localSheetId="0" hidden="1">{"VIEW1",#N/A,FALSE,"P&amp;L Account 2001-2002";"VIEW2",#N/A,FALSE,"P&amp;L Account 2001-2002";"VIEW3",#N/A,FALSE,"P&amp;L Account 2001-2002";"VIEW4",#N/A,FALSE,"P&amp;L Account 2001-2002"}</definedName>
    <definedName name="ASDFDSG" hidden="1">{"VIEW1",#N/A,FALSE,"P&amp;L Account 2001-2002";"VIEW2",#N/A,FALSE,"P&amp;L Account 2001-2002";"VIEW3",#N/A,FALSE,"P&amp;L Account 2001-2002";"VIEW4",#N/A,FALSE,"P&amp;L Account 2001-2002"}</definedName>
    <definedName name="asdffg" hidden="1">#REF!</definedName>
    <definedName name="asdfgasdf" localSheetId="25" hidden="1">{#N/A,#N/A,FALSE,"Aging Summary";#N/A,#N/A,FALSE,"Ratio Analysis";#N/A,#N/A,FALSE,"Test 120 Day Accts";#N/A,#N/A,FALSE,"Tickmarks"}</definedName>
    <definedName name="asdfgasdf" localSheetId="5" hidden="1">{#N/A,#N/A,FALSE,"Aging Summary";#N/A,#N/A,FALSE,"Ratio Analysis";#N/A,#N/A,FALSE,"Test 120 Day Accts";#N/A,#N/A,FALSE,"Tickmarks"}</definedName>
    <definedName name="asdfgasdf" hidden="1">{#N/A,#N/A,FALSE,"Aging Summary";#N/A,#N/A,FALSE,"Ratio Analysis";#N/A,#N/A,FALSE,"Test 120 Day Accts";#N/A,#N/A,FALSE,"Tickmarks"}</definedName>
    <definedName name="ASDFSD" localSheetId="0" hidden="1">{"VIEW1",#N/A,FALSE,"P&amp;L Account 2001-2002";"VIEW2",#N/A,FALSE,"P&amp;L Account 2001-2002";"VIEW3",#N/A,FALSE,"P&amp;L Account 2001-2002";"VIEW4",#N/A,FALSE,"P&amp;L Account 2001-2002"}</definedName>
    <definedName name="ASDFSD" hidden="1">{"VIEW1",#N/A,FALSE,"P&amp;L Account 2001-2002";"VIEW2",#N/A,FALSE,"P&amp;L Account 2001-2002";"VIEW3",#N/A,FALSE,"P&amp;L Account 2001-2002";"VIEW4",#N/A,FALSE,"P&amp;L Account 2001-2002"}</definedName>
    <definedName name="ASDG" localSheetId="0" hidden="1">{"VIEW1",#N/A,FALSE,"P&amp;L Account 2001-2002";"VIEW2",#N/A,FALSE,"P&amp;L Account 2001-2002";"VIEW3",#N/A,FALSE,"P&amp;L Account 2001-2002";"VIEW4",#N/A,FALSE,"P&amp;L Account 2001-2002"}</definedName>
    <definedName name="ASDG" hidden="1">{"VIEW1",#N/A,FALSE,"P&amp;L Account 2001-2002";"VIEW2",#N/A,FALSE,"P&amp;L Account 2001-2002";"VIEW3",#N/A,FALSE,"P&amp;L Account 2001-2002";"VIEW4",#N/A,FALSE,"P&amp;L Account 2001-2002"}</definedName>
    <definedName name="ASDGASDG" localSheetId="0" hidden="1">{"VIEW1",#N/A,FALSE,"P&amp;L Account 2001-2002";"VIEW2",#N/A,FALSE,"P&amp;L Account 2001-2002";"VIEW3",#N/A,FALSE,"P&amp;L Account 2001-2002";"VIEW4",#N/A,FALSE,"P&amp;L Account 2001-2002"}</definedName>
    <definedName name="ASDGASDG" hidden="1">{"VIEW1",#N/A,FALSE,"P&amp;L Account 2001-2002";"VIEW2",#N/A,FALSE,"P&amp;L Account 2001-2002";"VIEW3",#N/A,FALSE,"P&amp;L Account 2001-2002";"VIEW4",#N/A,FALSE,"P&amp;L Account 2001-2002"}</definedName>
    <definedName name="ASDGASG" localSheetId="0" hidden="1">{"VIEW1",#N/A,FALSE,"P&amp;L Account 2001-2002";"VIEW2",#N/A,FALSE,"P&amp;L Account 2001-2002";"VIEW3",#N/A,FALSE,"P&amp;L Account 2001-2002";"VIEW4",#N/A,FALSE,"P&amp;L Account 2001-2002"}</definedName>
    <definedName name="ASDGASG" hidden="1">{"VIEW1",#N/A,FALSE,"P&amp;L Account 2001-2002";"VIEW2",#N/A,FALSE,"P&amp;L Account 2001-2002";"VIEW3",#N/A,FALSE,"P&amp;L Account 2001-2002";"VIEW4",#N/A,FALSE,"P&amp;L Account 2001-2002"}</definedName>
    <definedName name="ASDGS" localSheetId="0" hidden="1">{"VIEW1",#N/A,FALSE,"P&amp;L Account 2001-2002";"VIEW2",#N/A,FALSE,"P&amp;L Account 2001-2002";"VIEW3",#N/A,FALSE,"P&amp;L Account 2001-2002";"VIEW4",#N/A,FALSE,"P&amp;L Account 2001-2002"}</definedName>
    <definedName name="ASDGS" hidden="1">{"VIEW1",#N/A,FALSE,"P&amp;L Account 2001-2002";"VIEW2",#N/A,FALSE,"P&amp;L Account 2001-2002";"VIEW3",#N/A,FALSE,"P&amp;L Account 2001-2002";"VIEW4",#N/A,FALSE,"P&amp;L Account 2001-2002"}</definedName>
    <definedName name="ASDGSG" localSheetId="0" hidden="1">{"VIEW1",#N/A,FALSE,"P&amp;L Account 2001-2002";"VIEW2",#N/A,FALSE,"P&amp;L Account 2001-2002";"VIEW3",#N/A,FALSE,"P&amp;L Account 2001-2002";"VIEW4",#N/A,FALSE,"P&amp;L Account 2001-2002"}</definedName>
    <definedName name="ASDGSG" hidden="1">{"VIEW1",#N/A,FALSE,"P&amp;L Account 2001-2002";"VIEW2",#N/A,FALSE,"P&amp;L Account 2001-2002";"VIEW3",#N/A,FALSE,"P&amp;L Account 2001-2002";"VIEW4",#N/A,FALSE,"P&amp;L Account 2001-2002"}</definedName>
    <definedName name="ASDGV" localSheetId="0" hidden="1">{"VIEW1",#N/A,FALSE,"P&amp;L Account 2001-2002";"VIEW2",#N/A,FALSE,"P&amp;L Account 2001-2002";"VIEW3",#N/A,FALSE,"P&amp;L Account 2001-2002";"VIEW4",#N/A,FALSE,"P&amp;L Account 2001-2002"}</definedName>
    <definedName name="ASDGV" hidden="1">{"VIEW1",#N/A,FALSE,"P&amp;L Account 2001-2002";"VIEW2",#N/A,FALSE,"P&amp;L Account 2001-2002";"VIEW3",#N/A,FALSE,"P&amp;L Account 2001-2002";"VIEW4",#N/A,FALSE,"P&amp;L Account 2001-2002"}</definedName>
    <definedName name="asdsf" localSheetId="25" hidden="1">{#N/A,#N/A,FALSE,"Aging Summary";#N/A,#N/A,FALSE,"Ratio Analysis";#N/A,#N/A,FALSE,"Test 120 Day Accts";#N/A,#N/A,FALSE,"Tickmarks"}</definedName>
    <definedName name="asdsf" localSheetId="5" hidden="1">{#N/A,#N/A,FALSE,"Aging Summary";#N/A,#N/A,FALSE,"Ratio Analysis";#N/A,#N/A,FALSE,"Test 120 Day Accts";#N/A,#N/A,FALSE,"Tickmarks"}</definedName>
    <definedName name="asdsf" hidden="1">{#N/A,#N/A,FALSE,"Aging Summary";#N/A,#N/A,FALSE,"Ratio Analysis";#N/A,#N/A,FALSE,"Test 120 Day Accts";#N/A,#N/A,FALSE,"Tickmarks"}</definedName>
    <definedName name="asdyrgy" localSheetId="0">#REF!</definedName>
    <definedName name="asdyrgy">#REF!</definedName>
    <definedName name="ASE" localSheetId="0" hidden="1">{"VIEW1",#N/A,FALSE,"P&amp;L Account 2001-2002";"VIEW2",#N/A,FALSE,"P&amp;L Account 2001-2002";"VIEW3",#N/A,FALSE,"P&amp;L Account 2001-2002";"VIEW4",#N/A,FALSE,"P&amp;L Account 2001-2002"}</definedName>
    <definedName name="ASE" hidden="1">{"VIEW1",#N/A,FALSE,"P&amp;L Account 2001-2002";"VIEW2",#N/A,FALSE,"P&amp;L Account 2001-2002";"VIEW3",#N/A,FALSE,"P&amp;L Account 2001-2002";"VIEW4",#N/A,FALSE,"P&amp;L Account 2001-2002"}</definedName>
    <definedName name="ASEDF" localSheetId="25" hidden="1">{"DJH3",#N/A,FALSE,"PFL00805";"PJB3",#N/A,FALSE,"PFL00805";"JMD3",#N/A,FALSE,"PFL00805";"DNB3",#N/A,FALSE,"PFL00805";"MJP3",#N/A,FALSE,"PFL00805";"RAB3",#N/A,FALSE,"PFL00805";"GJW3",#N/A,FALSE,"PFL00805";"MASTER3",#N/A,FALSE,"PFL00805"}</definedName>
    <definedName name="ASEDF" localSheetId="5" hidden="1">{"DJH3",#N/A,FALSE,"PFL00805";"PJB3",#N/A,FALSE,"PFL00805";"JMD3",#N/A,FALSE,"PFL00805";"DNB3",#N/A,FALSE,"PFL00805";"MJP3",#N/A,FALSE,"PFL00805";"RAB3",#N/A,FALSE,"PFL00805";"GJW3",#N/A,FALSE,"PFL00805";"MASTER3",#N/A,FALSE,"PFL00805"}</definedName>
    <definedName name="ASEDF" hidden="1">{"DJH3",#N/A,FALSE,"PFL00805";"PJB3",#N/A,FALSE,"PFL00805";"JMD3",#N/A,FALSE,"PFL00805";"DNB3",#N/A,FALSE,"PFL00805";"MJP3",#N/A,FALSE,"PFL00805";"RAB3",#N/A,FALSE,"PFL00805";"GJW3",#N/A,FALSE,"PFL00805";"MASTER3",#N/A,FALSE,"PFL00805"}</definedName>
    <definedName name="aser" hidden="1">{#N/A,#N/A,FALSE,"SUMMARY REPORT"}</definedName>
    <definedName name="asf" localSheetId="0" hidden="1">{"VIEW1",#N/A,FALSE,"P&amp;L Account 2001-2002";"VIEW2",#N/A,FALSE,"P&amp;L Account 2001-2002";"VIEW3",#N/A,FALSE,"P&amp;L Account 2001-2002";"VIEW4",#N/A,FALSE,"P&amp;L Account 2001-2002"}</definedName>
    <definedName name="asf" hidden="1">{"VIEW1",#N/A,FALSE,"P&amp;L Account 2001-2002";"VIEW2",#N/A,FALSE,"P&amp;L Account 2001-2002";"VIEW3",#N/A,FALSE,"P&amp;L Account 2001-2002";"VIEW4",#N/A,FALSE,"P&amp;L Account 2001-2002"}</definedName>
    <definedName name="asfaf">#REF!</definedName>
    <definedName name="asfd" localSheetId="25" hidden="1">{#N/A,#N/A,FALSE,"Proj.Cost &amp; Means of Fin."}</definedName>
    <definedName name="asfd" localSheetId="5" hidden="1">{#N/A,#N/A,FALSE,"Proj.Cost &amp; Means of Fin."}</definedName>
    <definedName name="asfd" hidden="1">{#N/A,#N/A,FALSE,"Proj.Cost &amp; Means of Fin."}</definedName>
    <definedName name="asfdas" localSheetId="25" hidden="1">{#N/A,#N/A,FALSE,"Proj.Cost &amp; Means of Fin."}</definedName>
    <definedName name="asfdas" localSheetId="5" hidden="1">{#N/A,#N/A,FALSE,"Proj.Cost &amp; Means of Fin."}</definedName>
    <definedName name="asfdas" hidden="1">{#N/A,#N/A,FALSE,"Proj.Cost &amp; Means of Fin."}</definedName>
    <definedName name="ASFDSG" localSheetId="0" hidden="1">{"VIEW1",#N/A,FALSE,"P&amp;L Account 2001-2002";"VIEW2",#N/A,FALSE,"P&amp;L Account 2001-2002";"VIEW3",#N/A,FALSE,"P&amp;L Account 2001-2002";"VIEW4",#N/A,FALSE,"P&amp;L Account 2001-2002"}</definedName>
    <definedName name="ASFDSG" hidden="1">{"VIEW1",#N/A,FALSE,"P&amp;L Account 2001-2002";"VIEW2",#N/A,FALSE,"P&amp;L Account 2001-2002";"VIEW3",#N/A,FALSE,"P&amp;L Account 2001-2002";"VIEW4",#N/A,FALSE,"P&amp;L Account 2001-2002"}</definedName>
    <definedName name="asfewrew">#REF!</definedName>
    <definedName name="ASFGF" localSheetId="0" hidden="1">{"VIEW1",#N/A,FALSE,"P&amp;L Account 2001-2002";"VIEW2",#N/A,FALSE,"P&amp;L Account 2001-2002";"VIEW3",#N/A,FALSE,"P&amp;L Account 2001-2002";"VIEW4",#N/A,FALSE,"P&amp;L Account 2001-2002"}</definedName>
    <definedName name="ASFGF" hidden="1">{"VIEW1",#N/A,FALSE,"P&amp;L Account 2001-2002";"VIEW2",#N/A,FALSE,"P&amp;L Account 2001-2002";"VIEW3",#N/A,FALSE,"P&amp;L Account 2001-2002";"VIEW4",#N/A,FALSE,"P&amp;L Account 2001-2002"}</definedName>
    <definedName name="asfsd" localSheetId="0">#REF!</definedName>
    <definedName name="asfsd">#REF!</definedName>
    <definedName name="ASG" localSheetId="0" hidden="1">{"VIEW1",#N/A,FALSE,"P&amp;L Account 2001-2002";"VIEW2",#N/A,FALSE,"P&amp;L Account 2001-2002";"VIEW3",#N/A,FALSE,"P&amp;L Account 2001-2002";"VIEW4",#N/A,FALSE,"P&amp;L Account 2001-2002"}</definedName>
    <definedName name="ASG" hidden="1">{"VIEW1",#N/A,FALSE,"P&amp;L Account 2001-2002";"VIEW2",#N/A,FALSE,"P&amp;L Account 2001-2002";"VIEW3",#N/A,FALSE,"P&amp;L Account 2001-2002";"VIEW4",#N/A,FALSE,"P&amp;L Account 2001-2002"}</definedName>
    <definedName name="ASIA_PLASTIC_in_KUSD">#REF!</definedName>
    <definedName name="asia2">#REF!</definedName>
    <definedName name="ASO_CODE" localSheetId="0">#REF!</definedName>
    <definedName name="ASO_CODE">#REF!</definedName>
    <definedName name="ASOK" localSheetId="0" hidden="1">{"VIEW1",#N/A,FALSE,"P&amp;L Account 2001-2002";"VIEW2",#N/A,FALSE,"P&amp;L Account 2001-2002";"VIEW3",#N/A,FALSE,"P&amp;L Account 2001-2002";"VIEW4",#N/A,FALSE,"P&amp;L Account 2001-2002"}</definedName>
    <definedName name="ASOK" hidden="1">{"VIEW1",#N/A,FALSE,"P&amp;L Account 2001-2002";"VIEW2",#N/A,FALSE,"P&amp;L Account 2001-2002";"VIEW3",#N/A,FALSE,"P&amp;L Account 2001-2002";"VIEW4",#N/A,FALSE,"P&amp;L Account 2001-2002"}</definedName>
    <definedName name="ASS" localSheetId="25" hidden="1">{"a1",#N/A,FALSE,"Interest On Security Deposi (2)";"a2",#N/A,FALSE,"Interest On Security Deposi (2)"}</definedName>
    <definedName name="ASS" localSheetId="5" hidden="1">{"a1",#N/A,FALSE,"Interest On Security Deposi (2)";"a2",#N/A,FALSE,"Interest On Security Deposi (2)"}</definedName>
    <definedName name="ASS" hidden="1">{"a1",#N/A,FALSE,"Interest On Security Deposi (2)";"a2",#N/A,FALSE,"Interest On Security Deposi (2)"}</definedName>
    <definedName name="assa"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localSheetId="0">#REF!</definedName>
    <definedName name="assd">#REF!</definedName>
    <definedName name="ASSDFFDZFFD" hidden="1">#REF!</definedName>
    <definedName name="ASSESSMENT_YEAR____1998___99">"tds"</definedName>
    <definedName name="asset" localSheetId="0">#REF!</definedName>
    <definedName name="asset">#REF!</definedName>
    <definedName name="ASSET_PEN">#REF!</definedName>
    <definedName name="asset1" localSheetId="0">#REF!</definedName>
    <definedName name="asset1">#REF!</definedName>
    <definedName name="assets">#REF!</definedName>
    <definedName name="associate_dividends_received">#REF!</definedName>
    <definedName name="associates">#REF!</definedName>
    <definedName name="associates_pl">#REF!</definedName>
    <definedName name="associates_tax_charge">#REF!</definedName>
    <definedName name="asss">#REF!</definedName>
    <definedName name="asst_cost">#REF!</definedName>
    <definedName name="asstwice" localSheetId="0">#REF!</definedName>
    <definedName name="asstwice">#REF!</definedName>
    <definedName name="AsstYr" localSheetId="0">#REF!</definedName>
    <definedName name="AsstYr">#REF!</definedName>
    <definedName name="ASSUM">#REF!</definedName>
    <definedName name="ASSUMPTIONS" localSheetId="0">#REF!</definedName>
    <definedName name="ASSUMPTIONS">#REF!</definedName>
    <definedName name="aswqertuo84455777">#REF!</definedName>
    <definedName name="at" localSheetId="0">#REF!</definedName>
    <definedName name="at">#REF!</definedName>
    <definedName name="ATE" localSheetId="0" hidden="1">{"VIEW1",#N/A,FALSE,"P&amp;L Account 2001-2002";"VIEW2",#N/A,FALSE,"P&amp;L Account 2001-2002";"VIEW3",#N/A,FALSE,"P&amp;L Account 2001-2002";"VIEW4",#N/A,FALSE,"P&amp;L Account 2001-2002"}</definedName>
    <definedName name="ATE" hidden="1">{"VIEW1",#N/A,FALSE,"P&amp;L Account 2001-2002";"VIEW2",#N/A,FALSE,"P&amp;L Account 2001-2002";"VIEW3",#N/A,FALSE,"P&amp;L Account 2001-2002";"VIEW4",#N/A,FALSE,"P&amp;L Account 2001-2002"}</definedName>
    <definedName name="atish" localSheetId="2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localSheetId="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O">#REF!</definedName>
    <definedName name="atyfafa">#REF!</definedName>
    <definedName name="AU">#REF!</definedName>
    <definedName name="AuBhu0910" localSheetId="25">#REF!</definedName>
    <definedName name="AuBhu0910" localSheetId="0">#REF!</definedName>
    <definedName name="AuBhu0910" localSheetId="43">#REF!</definedName>
    <definedName name="AuBhu0910" localSheetId="5">#REF!</definedName>
    <definedName name="AuBhu0910">#REF!</definedName>
    <definedName name="AuBhu1011" localSheetId="25">#REF!</definedName>
    <definedName name="AuBhu1011" localSheetId="0">#REF!</definedName>
    <definedName name="AuBhu1011" localSheetId="43">#REF!</definedName>
    <definedName name="AuBhu1011" localSheetId="5">#REF!</definedName>
    <definedName name="AuBhu1011">#REF!</definedName>
    <definedName name="AuCha0910" localSheetId="25">#REF!</definedName>
    <definedName name="AuCha0910" localSheetId="0">#REF!</definedName>
    <definedName name="AuCha0910" localSheetId="43">#REF!</definedName>
    <definedName name="AuCha0910" localSheetId="5">#REF!</definedName>
    <definedName name="AuCha0910">#REF!</definedName>
    <definedName name="aueri3hjf" localSheetId="0">#REF!</definedName>
    <definedName name="aueri3hjf">#REF!</definedName>
    <definedName name="Aug"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ug"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ugust">#REF!</definedName>
    <definedName name="Aux" localSheetId="0">#REF!</definedName>
    <definedName name="Aux">#REF!</definedName>
    <definedName name="Aux_mundra_super">#REF!</definedName>
    <definedName name="aux_mundra_super_fgd">#REF!</definedName>
    <definedName name="Aux_mundra_super1">#REF!</definedName>
    <definedName name="Aux_sub">#REF!</definedName>
    <definedName name="AV" localSheetId="11">#REF!</definedName>
    <definedName name="AV" localSheetId="13">#REF!</definedName>
    <definedName name="AV" localSheetId="16">#REF!</definedName>
    <definedName name="AV" localSheetId="26">#REF!</definedName>
    <definedName name="AV" localSheetId="32">#REF!</definedName>
    <definedName name="AV" localSheetId="33">#REF!</definedName>
    <definedName name="AV" localSheetId="34">#REF!</definedName>
    <definedName name="AV" localSheetId="35">#REF!</definedName>
    <definedName name="AV">#REF!</definedName>
    <definedName name="avail">#REF!</definedName>
    <definedName name="Availability">#REF!</definedName>
    <definedName name="AVCD" hidden="1">{#N/A,#N/A,FALSE,"SUMMARY REPORT"}</definedName>
    <definedName name="Average_DSCR">#REF!</definedName>
    <definedName name="Average_invested_capital">#REF!</definedName>
    <definedName name="Average_invested_capital_DCF">#REF!</definedName>
    <definedName name="Avg_DSCR">#REF!</definedName>
    <definedName name="AvgSellPr" hidden="1">#REF!,#REF!,#REF!,#REF!,#REF!,#REF!,#REF!,#REF!</definedName>
    <definedName name="avsrs" localSheetId="0">#REF!</definedName>
    <definedName name="avsrs">#REF!</definedName>
    <definedName name="axedoc">#REF!</definedName>
    <definedName name="axy" hidden="1">#REF!</definedName>
    <definedName name="ay" localSheetId="0">#REF!</definedName>
    <definedName name="ay">#REF!</definedName>
    <definedName name="AZ">#REF!</definedName>
    <definedName name="azad">#REF!</definedName>
    <definedName name="b" localSheetId="25" hidden="1">{#N/A,#N/A,FALSE,"Full";#N/A,#N/A,FALSE,"Half";#N/A,#N/A,FALSE,"Op Expenses";#N/A,#N/A,FALSE,"Cap Charge";#N/A,#N/A,FALSE,"Cost C";#N/A,#N/A,FALSE,"PP&amp;E";#N/A,#N/A,FALSE,"R&amp;D"}</definedName>
    <definedName name="b" localSheetId="0" hidden="1">#REF!</definedName>
    <definedName name="b" localSheetId="5" hidden="1">{#N/A,#N/A,FALSE,"Full";#N/A,#N/A,FALSE,"Half";#N/A,#N/A,FALSE,"Op Expenses";#N/A,#N/A,FALSE,"Cap Charge";#N/A,#N/A,FALSE,"Cost C";#N/A,#N/A,FALSE,"PP&amp;E";#N/A,#N/A,FALSE,"R&amp;D"}</definedName>
    <definedName name="b" hidden="1">{#N/A,#N/A,FALSE,"Full";#N/A,#N/A,FALSE,"Half";#N/A,#N/A,FALSE,"Op Expenses";#N/A,#N/A,FALSE,"Cap Charge";#N/A,#N/A,FALSE,"Cost C";#N/A,#N/A,FALSE,"PP&amp;E";#N/A,#N/A,FALSE,"R&amp;D"}</definedName>
    <definedName name="B.____Cash_flow_from_investing_activities">#REF!</definedName>
    <definedName name="b.ANAND" localSheetId="25" hidden="1">{#N/A,#N/A,TRUE,"Front";#N/A,#N/A,TRUE,"Simple Letter";#N/A,#N/A,TRUE,"Inside";#N/A,#N/A,TRUE,"Contents";#N/A,#N/A,TRUE,"Basis";#N/A,#N/A,TRUE,"Inclusions";#N/A,#N/A,TRUE,"Exclusions";#N/A,#N/A,TRUE,"Areas";#N/A,#N/A,TRUE,"Summary";#N/A,#N/A,TRUE,"Detail"}</definedName>
    <definedName name="b.ANAND" localSheetId="5" hidden="1">{#N/A,#N/A,TRUE,"Front";#N/A,#N/A,TRUE,"Simple Letter";#N/A,#N/A,TRUE,"Inside";#N/A,#N/A,TRUE,"Contents";#N/A,#N/A,TRUE,"Basis";#N/A,#N/A,TRUE,"Inclusions";#N/A,#N/A,TRUE,"Exclusions";#N/A,#N/A,TRUE,"Areas";#N/A,#N/A,TRUE,"Summary";#N/A,#N/A,TRUE,"Detail"}</definedName>
    <definedName name="b.ANAND" hidden="1">{#N/A,#N/A,TRUE,"Front";#N/A,#N/A,TRUE,"Simple Letter";#N/A,#N/A,TRUE,"Inside";#N/A,#N/A,TRUE,"Contents";#N/A,#N/A,TRUE,"Basis";#N/A,#N/A,TRUE,"Inclusions";#N/A,#N/A,TRUE,"Exclusions";#N/A,#N/A,TRUE,"Areas";#N/A,#N/A,TRUE,"Summary";#N/A,#N/A,TRUE,"Detail"}</definedName>
    <definedName name="B_">#REF!</definedName>
    <definedName name="B_1">#N/A</definedName>
    <definedName name="B_FLG">#REF!</definedName>
    <definedName name="b_manual">#REF!</definedName>
    <definedName name="B_value">#REF!</definedName>
    <definedName name="B_valuenue">#REF!</definedName>
    <definedName name="B2L" localSheetId="0" hidden="1">{"VIEW1",#N/A,FALSE,"P&amp;L Account 2001-2002";"VIEW2",#N/A,FALSE,"P&amp;L Account 2001-2002";"VIEW3",#N/A,FALSE,"P&amp;L Account 2001-2002";"VIEW4",#N/A,FALSE,"P&amp;L Account 2001-2002"}</definedName>
    <definedName name="B2L" hidden="1">{"VIEW1",#N/A,FALSE,"P&amp;L Account 2001-2002";"VIEW2",#N/A,FALSE,"P&amp;L Account 2001-2002";"VIEW3",#N/A,FALSE,"P&amp;L Account 2001-2002";"VIEW4",#N/A,FALSE,"P&amp;L Account 2001-2002"}</definedName>
    <definedName name="B2R" localSheetId="0" hidden="1">{"VIEW1",#N/A,FALSE,"P&amp;L Account 2001-2002";"VIEW2",#N/A,FALSE,"P&amp;L Account 2001-2002";"VIEW3",#N/A,FALSE,"P&amp;L Account 2001-2002";"VIEW4",#N/A,FALSE,"P&amp;L Account 2001-2002"}</definedName>
    <definedName name="B2R" hidden="1">{"VIEW1",#N/A,FALSE,"P&amp;L Account 2001-2002";"VIEW2",#N/A,FALSE,"P&amp;L Account 2001-2002";"VIEW3",#N/A,FALSE,"P&amp;L Account 2001-2002";"VIEW4",#N/A,FALSE,"P&amp;L Account 2001-2002"}</definedName>
    <definedName name="B5210MW">#REF!</definedName>
    <definedName name="ba">#REF!</definedName>
    <definedName name="BABL" localSheetId="0">#REF!</definedName>
    <definedName name="BABL">#REF!</definedName>
    <definedName name="back_pressure">#REF!</definedName>
    <definedName name="backstop_sen">#REF!</definedName>
    <definedName name="bad_debt_provision">#REF!</definedName>
    <definedName name="Bal.Sheet">#REF!</definedName>
    <definedName name="Bal_As_on_31_03_09">#REF!</definedName>
    <definedName name="BAL_CR">#REF!</definedName>
    <definedName name="BAL_SHT">#REF!</definedName>
    <definedName name="Balance" localSheetId="25" hidden="1">{#N/A,#N/A,FALSE,"Balance Sheets";#N/A,#N/A,FALSE,"96 Conservative";#N/A,#N/A,FALSE,"96 Possible"}</definedName>
    <definedName name="Balance" localSheetId="5" hidden="1">{#N/A,#N/A,FALSE,"Balance Sheets";#N/A,#N/A,FALSE,"96 Conservative";#N/A,#N/A,FALSE,"96 Possible"}</definedName>
    <definedName name="Balance" hidden="1">{#N/A,#N/A,FALSE,"Balance Sheets";#N/A,#N/A,FALSE,"96 Conservative";#N/A,#N/A,FALSE,"96 Possible"}</definedName>
    <definedName name="Balance_Residual_life">#REF!</definedName>
    <definedName name="Balance_sheet">#REF!</definedName>
    <definedName name="Balancesheet">#REF!</definedName>
    <definedName name="ball">#REF!</definedName>
    <definedName name="BandRange">#REF!</definedName>
    <definedName name="Bank" hidden="1">{"'Sheet1'!$A$5:$E$42"}</definedName>
    <definedName name="bankch">#REF!</definedName>
    <definedName name="bankm" hidden="1">{"'Sheet1'!$A$5:$E$42"}</definedName>
    <definedName name="bap">#REF!</definedName>
    <definedName name="BARBER" localSheetId="0" hidden="1">{"VIEW1",#N/A,FALSE,"P&amp;L Account 2001-2002";"VIEW2",#N/A,FALSE,"P&amp;L Account 2001-2002";"VIEW3",#N/A,FALSE,"P&amp;L Account 2001-2002";"VIEW4",#N/A,FALSE,"P&amp;L Account 2001-2002"}</definedName>
    <definedName name="BARBER" hidden="1">{"VIEW1",#N/A,FALSE,"P&amp;L Account 2001-2002";"VIEW2",#N/A,FALSE,"P&amp;L Account 2001-2002";"VIEW3",#N/A,FALSE,"P&amp;L Account 2001-2002";"VIEW4",#N/A,FALSE,"P&amp;L Account 2001-2002"}</definedName>
    <definedName name="BAS_FCOST_BEF">#REF!</definedName>
    <definedName name="BASE">#REF!</definedName>
    <definedName name="Base_Case">#REF!</definedName>
    <definedName name="BASE1">#REF!</definedName>
    <definedName name="BASF____Balance_Sheet_Summary_1988_1998E__DMm">#REF!</definedName>
    <definedName name="BASF___Margins_and_Ratios_1988_1998E">#REF!</definedName>
    <definedName name="BASF___Profit_and_Loss_Summary_1988_2000E__EURm">#REF!</definedName>
    <definedName name="BASF___Quarterly_Sales_and_Profit_Trend_1998___2000E__EURm">#REF!</definedName>
    <definedName name="basia_1">#REF!</definedName>
    <definedName name="basis">#REF!</definedName>
    <definedName name="basis___0">#REF!</definedName>
    <definedName name="basis_2">#REF!</definedName>
    <definedName name="basis_3">#REF!</definedName>
    <definedName name="basis_4">#REF!</definedName>
    <definedName name="BATTERIES_ES_TA">#REF!</definedName>
    <definedName name="BATTERIES_ES_TD">#REF!</definedName>
    <definedName name="Bayer___Divisional_Trends_1996___1998E__DMm">#REF!</definedName>
    <definedName name="Bayer___Margins_and_Ratios_1988_1998E">#REF!</definedName>
    <definedName name="Bayer___Profit_and_Loss_Summary_1988_1998E__DMm">#REF!</definedName>
    <definedName name="Bayer___Quarterly_Sales_and_Profit_Trend_1996___1998E__DMm">#REF!</definedName>
    <definedName name="bays" localSheetId="0">#REF!</definedName>
    <definedName name="bays">#REF!</definedName>
    <definedName name="bb" localSheetId="25" hidden="1">{"a1",#N/A,FALSE,"Interest On Security Deposi (2)";"a2",#N/A,FALSE,"Interest On Security Deposi (2)"}</definedName>
    <definedName name="bb" localSheetId="5" hidden="1">{"a1",#N/A,FALSE,"Interest On Security Deposi (2)";"a2",#N/A,FALSE,"Interest On Security Deposi (2)"}</definedName>
    <definedName name="bb" hidden="1">{"a1",#N/A,FALSE,"Interest On Security Deposi (2)";"a2",#N/A,FALSE,"Interest On Security Deposi (2)"}</definedName>
    <definedName name="bba">#REF!</definedName>
    <definedName name="bbb" localSheetId="25" hidden="1">{#N/A,#N/A,FALSE,"COVER.XLS";#N/A,#N/A,FALSE,"RACT1.XLS";#N/A,#N/A,FALSE,"RACT2.XLS";#N/A,#N/A,FALSE,"ECCMP";#N/A,#N/A,FALSE,"WELDER.XLS"}</definedName>
    <definedName name="bbb" localSheetId="0">#REF!</definedName>
    <definedName name="bbb" localSheetId="5" hidden="1">{#N/A,#N/A,FALSE,"COVER.XLS";#N/A,#N/A,FALSE,"RACT1.XLS";#N/A,#N/A,FALSE,"RACT2.XLS";#N/A,#N/A,FALSE,"ECCMP";#N/A,#N/A,FALSE,"WELDER.XLS"}</definedName>
    <definedName name="bbb" hidden="1">{#N/A,#N/A,FALSE,"COVER.XLS";#N/A,#N/A,FALSE,"RACT1.XLS";#N/A,#N/A,FALSE,"RACT2.XLS";#N/A,#N/A,FALSE,"ECCMP";#N/A,#N/A,FALSE,"WELDER.XLS"}</definedName>
    <definedName name="BBBB" hidden="1">#REF!</definedName>
    <definedName name="bbbbbb" hidden="1">{"SLIPS",#N/A,FALSE,"Sheet1"}</definedName>
    <definedName name="bbf">#REF!</definedName>
    <definedName name="bbs" localSheetId="2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bs"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bs" localSheetId="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b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bx">#REF!</definedName>
    <definedName name="BC" localSheetId="0" hidden="1">{"VIEW1",#N/A,FALSE,"P&amp;L Account 2001-2002";"VIEW2",#N/A,FALSE,"P&amp;L Account 2001-2002";"VIEW3",#N/A,FALSE,"P&amp;L Account 2001-2002";"VIEW4",#N/A,FALSE,"P&amp;L Account 2001-2002"}</definedName>
    <definedName name="BC" hidden="1">{"VIEW1",#N/A,FALSE,"P&amp;L Account 2001-2002";"VIEW2",#N/A,FALSE,"P&amp;L Account 2001-2002";"VIEW3",#N/A,FALSE,"P&amp;L Account 2001-2002";"VIEW4",#N/A,FALSE,"P&amp;L Account 2001-2002"}</definedName>
    <definedName name="bca">#REF!</definedName>
    <definedName name="bcb">#REF!</definedName>
    <definedName name="bcd" hidden="1">{#N/A,#N/A,FALSE,"SUMMARY REPORT"}</definedName>
    <definedName name="bce">#REF!</definedName>
    <definedName name="bcfe101_00">#REF!</definedName>
    <definedName name="bcfe101_01">#REF!</definedName>
    <definedName name="bcfe101_93">#REF!</definedName>
    <definedName name="bcfe101_94">#REF!</definedName>
    <definedName name="bcfe101_95">#REF!</definedName>
    <definedName name="bcfe101_96">#REF!</definedName>
    <definedName name="bcfe101_97">#REF!</definedName>
    <definedName name="bcfe101_98">#REF!</definedName>
    <definedName name="bcfe101_99">#REF!</definedName>
    <definedName name="bcr">#REF!</definedName>
    <definedName name="bct">#REF!</definedName>
    <definedName name="bcw">#REF!</definedName>
    <definedName name="bd" localSheetId="0">#REF!</definedName>
    <definedName name="BD" hidden="1">{"VIEW1",#N/A,FALSE,"P&amp;L Account 2001-2002";"VIEW2",#N/A,FALSE,"P&amp;L Account 2001-2002";"VIEW3",#N/A,FALSE,"P&amp;L Account 2001-2002";"VIEW4",#N/A,FALSE,"P&amp;L Account 2001-2002"}</definedName>
    <definedName name="bdb">#REF!</definedName>
    <definedName name="BDC" localSheetId="0" hidden="1">{"VIEW1",#N/A,FALSE,"P&amp;L Account 2001-2002";"VIEW2",#N/A,FALSE,"P&amp;L Account 2001-2002";"VIEW3",#N/A,FALSE,"P&amp;L Account 2001-2002";"VIEW4",#N/A,FALSE,"P&amp;L Account 2001-2002"}</definedName>
    <definedName name="BDC" hidden="1">{"VIEW1",#N/A,FALSE,"P&amp;L Account 2001-2002";"VIEW2",#N/A,FALSE,"P&amp;L Account 2001-2002";"VIEW3",#N/A,FALSE,"P&amp;L Account 2001-2002";"VIEW4",#N/A,FALSE,"P&amp;L Account 2001-2002"}</definedName>
    <definedName name="bdd">#REF!</definedName>
    <definedName name="bdhgd" localSheetId="25" hidden="1">{#N/A,#N/A,FALSE,"Aging Summary";#N/A,#N/A,FALSE,"Ratio Analysis";#N/A,#N/A,FALSE,"Test 120 Day Accts";#N/A,#N/A,FALSE,"Tickmarks"}</definedName>
    <definedName name="bdhgd" localSheetId="5" hidden="1">{#N/A,#N/A,FALSE,"Aging Summary";#N/A,#N/A,FALSE,"Ratio Analysis";#N/A,#N/A,FALSE,"Test 120 Day Accts";#N/A,#N/A,FALSE,"Tickmarks"}</definedName>
    <definedName name="bdhgd" hidden="1">{#N/A,#N/A,FALSE,"Aging Summary";#N/A,#N/A,FALSE,"Ratio Analysis";#N/A,#N/A,FALSE,"Test 120 Day Accts";#N/A,#N/A,FALSE,"Tickmarks"}</definedName>
    <definedName name="bdi">#REF!</definedName>
    <definedName name="bdp">#REF!</definedName>
    <definedName name="bds">#REF!</definedName>
    <definedName name="bdshfkdf" localSheetId="0">#REF!</definedName>
    <definedName name="bdshfkdf">#REF!</definedName>
    <definedName name="bdt">#REF!</definedName>
    <definedName name="BE">#REF!</definedName>
    <definedName name="Beg_Bal">#REF!</definedName>
    <definedName name="benpo2005">#REF!</definedName>
    <definedName name="benpo20052011">#REF!</definedName>
    <definedName name="BEx0017DGUEDPCFJUPUZOOLJCS2B" hidden="1">#REF!</definedName>
    <definedName name="BEx001CNWHJ5RULCSFM36ZCGJ1UH" hidden="1">#REF!</definedName>
    <definedName name="BEx004791UAJIJSN57OT7YBLNP82" localSheetId="0"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localSheetId="0" hidden="1">#REF!</definedName>
    <definedName name="BEx00JC31DY11L45SEU4B10BIN6W" hidden="1">#REF!</definedName>
    <definedName name="BEx00KZHZBHP3TDV1YMX4B19B95O" hidden="1">#REF!</definedName>
    <definedName name="BEx00MBY8XXUOHIZ4LHXHPD7WYD5" hidden="1">#REF!</definedName>
    <definedName name="BEx01ALWOBWCNC4OBV3E1EHNOM32" hidden="1">#N/A</definedName>
    <definedName name="BEx01HY6E3GJ66ABU5ABN26V6Q13" localSheetId="0" hidden="1">#REF!</definedName>
    <definedName name="BEx01HY6E3GJ66ABU5ABN26V6Q13" hidden="1">#REF!</definedName>
    <definedName name="BEx01PW5YQKEGAR8JDDI5OARYXDF" hidden="1">#REF!</definedName>
    <definedName name="BEx01UU51VRZVF9PPM2ZYH9DG5FL"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G1Q70TGNW6FXOFU0X55RIME" hidden="1">#N/A</definedName>
    <definedName name="BEx1GVMRHFXUP6XYYY9NR12PV5TF" hidden="1">#REF!</definedName>
    <definedName name="BEx1H6KIT7BHUH6MDDWC935V9N47" hidden="1">#REF!</definedName>
    <definedName name="BEx1HDGOOJ3SKHYMWUZJ1P0RQZ9N" localSheetId="0" hidden="1">#REF!</definedName>
    <definedName name="BEx1HDGOOJ3SKHYMWUZJ1P0RQZ9N" hidden="1">#REF!</definedName>
    <definedName name="BEx1HDM5ZXSJG6JQEMSFV52PZ10V" hidden="1">#REF!</definedName>
    <definedName name="BEx1HETBBZVN5F43LKOFMC4QB0CR" hidden="1">#REF!</definedName>
    <definedName name="BEx1HGWNWPLNXICOTP90TKQVVE4E" localSheetId="0"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#N/A</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localSheetId="0" hidden="1">#REF!</definedName>
    <definedName name="BEx1LD63FP2Z4BR9TKSHOZW9KKZ5" hidden="1">#REF!</definedName>
    <definedName name="BEx1LDMB9RW982DUILM2WPT5VWQ3" localSheetId="0"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C8GZEKETGOG94DRH7IVMVN5" hidden="1">#REF!</definedName>
    <definedName name="BEx1MTRKKVCHOZ0YGID6HZ49LJTO" hidden="1">#REF!</definedName>
    <definedName name="BEx1N3CUJ3UX61X38ZAJVPEN4KMC" localSheetId="0"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localSheetId="0"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28K0AMJXQDY95J5UOFFNTLL" hidden="1">#REF!</definedName>
    <definedName name="BEx1P34W467WGPOXPK292QFJIPHJ" localSheetId="0"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2ND0E60FPJYGEA0E5W3P080" hidden="1">#N/A</definedName>
    <definedName name="BEx1QA54J2A4I7IBQR19BTY28ZMR" hidden="1">#REF!</definedName>
    <definedName name="BEx1QIU0NZ13LALP0SA0WXCM67DI" hidden="1">#N/A</definedName>
    <definedName name="BEx1QMQAHG3KQUK59DVM68SWKZIZ" hidden="1">#REF!</definedName>
    <definedName name="BEx1R9YFKJCMSEST8OVCAO5E47FO" hidden="1">#REF!</definedName>
    <definedName name="BEx1RBGC06B3T52OIC0EQ1KGVP1I" hidden="1">#REF!</definedName>
    <definedName name="BEx1RKAQ0C2EFJEFFW2WVODP9EVG"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localSheetId="0" hidden="1">#REF!</definedName>
    <definedName name="BEx1SK3U02H0RGKEYXW7ZMCEOF3V" hidden="1">#REF!</definedName>
    <definedName name="BEx1SSNEZINBJT29QVS62VS1THT4" hidden="1">#REF!</definedName>
    <definedName name="BEx1SVNCHNANBJIDIQVB8AFK4HAN" hidden="1">#REF!</definedName>
    <definedName name="BEx1SX5ASX75RUGI6RBX5H5ZKC0U" hidden="1">#REF!</definedName>
    <definedName name="BEx1TJ0WLS9O7KNSGIPWTYHDYI1D" hidden="1">#REF!</definedName>
    <definedName name="BEx1TZNNTZHJYN2PJ9977FELTOVY" hidden="1">#REF!</definedName>
    <definedName name="BEx1U15M7LVVFZENH830B2BGWC04" hidden="1">#N/A</definedName>
    <definedName name="BEx1U7WFO8OZKB1EBF4H386JW91L" hidden="1">#REF!</definedName>
    <definedName name="BEx1U87938YR9N6HYI24KVBKLOS3" localSheetId="0"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localSheetId="0"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localSheetId="0" hidden="1">#REF!</definedName>
    <definedName name="BEx1XK8AAMO0AH0Z1OUKW30CA7EQ" hidden="1">#REF!</definedName>
    <definedName name="BEx1XL4MZ7C80495GHQRWOBS16PQ" hidden="1">#REF!</definedName>
    <definedName name="BEx1XOKSCH78XQ00HOGFX0N9SLC7"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localSheetId="0" hidden="1">#REF!</definedName>
    <definedName name="BEx3AMAKWI6458B67VKZO56MCNJW" hidden="1">#REF!</definedName>
    <definedName name="BEx3AOOVM42G82TNF53W0EKXLUSI" hidden="1">#REF!</definedName>
    <definedName name="BEx3AZH9W4SUFCAHNDOQ728R9V4L" hidden="1">#REF!</definedName>
    <definedName name="BEx3BJUZWTUTVLUHJB0BSY0K61AQ" hidden="1">#N/A</definedName>
    <definedName name="BEx3BNR9ES4KY7Q1DK83KC5NDGL8" localSheetId="0"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#N/A</definedName>
    <definedName name="BEx3CKFCCPZZ6ROLAT5C1DZNIC1U" localSheetId="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WXUA3TV5K9AXW24YJ95YA3O" hidden="1">#N/A</definedName>
    <definedName name="BEx3FHMD1P5XBCH23ZKIFO6ZTCNB" hidden="1">#REF!</definedName>
    <definedName name="BEx3FI2G3YYIACQHXNXEA15M8ZK5" hidden="1">#REF!</definedName>
    <definedName name="BEx3FJ9MHSLDK8W91GO85FX1GX57" hidden="1">#REF!</definedName>
    <definedName name="BEx3FR251HFU7A33PU01SJUENL2B" localSheetId="0" hidden="1">#REF!</definedName>
    <definedName name="BEx3FR251HFU7A33PU01SJUENL2B" hidden="1">#REF!</definedName>
    <definedName name="BEx3FX7EJL47JSLSWP3EOC265WAE" hidden="1">#REF!</definedName>
    <definedName name="BEx3G201R8NLJ6FIHO2QS0SW9QVV" localSheetId="0"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localSheetId="0"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MSEFOP6DBM4R97XA6B7NFG6" hidden="1">#REF!</definedName>
    <definedName name="BEx3HWJ5SQSD2CVCQNR183X44FR8" localSheetId="0" hidden="1">#REF!</definedName>
    <definedName name="BEx3HWJ5SQSD2CVCQNR183X44FR8" hidden="1">#REF!</definedName>
    <definedName name="BEx3HWTZC0OXESNAQ09ZIIDJMM3J" hidden="1">#REF!</definedName>
    <definedName name="BEx3I09YVXO0G4X7KGSA4WGORM3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56PAU1OHPRDFDG67H0BD0TJ" hidden="1">#N/A</definedName>
    <definedName name="BEx3JC2TY7JNAAC3L7QHVPQXLGQ8" hidden="1">#REF!</definedName>
    <definedName name="BEx3JQBEVT0037JKHKBA4BI5NDG7" hidden="1">#N/A</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localSheetId="0"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localSheetId="0" hidden="1">#REF!</definedName>
    <definedName name="BEx3MREOFWJQEYMCMBL7ZE06NBN6" hidden="1">#REF!</definedName>
    <definedName name="BEx3NKXF7GYXHBK75UI6MDRUSU0J" hidden="1">#N/A</definedName>
    <definedName name="BEx3NLIZ7PHF2XE59ECZ3MD04ZG1" hidden="1">#REF!</definedName>
    <definedName name="BEx3NMQ4BVC94728AUM7CCX7UHTU" hidden="1">#REF!</definedName>
    <definedName name="BEx3NR2I4OUFP3Z2QZEDU2PIFIDI" hidden="1">#REF!</definedName>
    <definedName name="BEx3NTRMB84K05E46MCYRB8QQT83" hidden="1">#REF!</definedName>
    <definedName name="BEx3O19B8FTTAPVT5DZXQGQXWFR8" hidden="1">#REF!</definedName>
    <definedName name="BEx3O85IKWARA6NCJOLRBRJFMEWW" localSheetId="0" hidden="1">#REF!</definedName>
    <definedName name="BEx3O85IKWARA6NCJOLRBRJFMEWW" hidden="1">#REF!</definedName>
    <definedName name="BEx3OJZSCGFRW7SVGBFI0X9DNVMM" localSheetId="0" hidden="1">#REF!</definedName>
    <definedName name="BEx3OJZSCGFRW7SVGBFI0X9DNVMM" hidden="1">#REF!</definedName>
    <definedName name="BEx3OKL6MQZ2Z7V64B8XBNQ35ZWK" hidden="1">#REF!</definedName>
    <definedName name="BEx3ORSBUXAF21MKEY90YJV9AY9A" localSheetId="0"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OLOPQC1HK303RJXHRI0J0DD" hidden="1">#REF!</definedName>
    <definedName name="BEx3PP1RRSFZ8UC0JC9R91W6LNKW" hidden="1">#REF!</definedName>
    <definedName name="BEx3PVXYZC8WB9ZJE7OCKUXZ46EA" localSheetId="0"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localSheetId="0"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localSheetId="0"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SRN10NZ0QSBNLQDQ381E4N7K" hidden="1">#REF!</definedName>
    <definedName name="BEx3T29ZTULQE0OMSMWUMZDU9ZZ0" hidden="1">#REF!</definedName>
    <definedName name="BEx3T6MJ1QDJ929WMUDVZ0O3UW0Y" localSheetId="0" hidden="1">#REF!</definedName>
    <definedName name="BEx3T6MJ1QDJ929WMUDVZ0O3UW0Y" hidden="1">#REF!</definedName>
    <definedName name="BEx3TF0LGR2ACGP6Q9D6XNICSFA5"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localSheetId="0"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localSheetId="0" hidden="1">#REF!</definedName>
    <definedName name="BEx3VML7CG70HPISMVYIUEN3711Q" hidden="1">#REF!</definedName>
    <definedName name="BEx3VSKYARHRC25ANEWZGA9GLUAA" hidden="1">#N/A</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localSheetId="0" hidden="1">#REF!</definedName>
    <definedName name="BEx5AFFTN3IXIBHDKM0FYC4OFL1S" hidden="1">#REF!</definedName>
    <definedName name="BEx5AOFIO8KVRHIZ1RII337AA8ML" hidden="1">#REF!</definedName>
    <definedName name="BEx5APRZ66L5BWHFE8E4YYNEDTI4" localSheetId="0" hidden="1">#REF!</definedName>
    <definedName name="BEx5APRZ66L5BWHFE8E4YYNEDTI4" hidden="1">#REF!</definedName>
    <definedName name="BEx5AUVDSQ35VO4BD9AKKGBM5S7D" hidden="1">#N/A</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LP00QMF8U26ZPILK6CFKDKP" hidden="1">#N/A</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#N/A</definedName>
    <definedName name="BEx5CNLUIOYU8EODGA03Z3547I9T" hidden="1">#N/A</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localSheetId="0" hidden="1">#REF!</definedName>
    <definedName name="BEx5DJIZBTNS011R9IIG2OQ2L6ZX" hidden="1">#REF!</definedName>
    <definedName name="BEx5DVYP51PH1M6DTU5RBJNM94GO" hidden="1">#N/A</definedName>
    <definedName name="BEx5E123OLO9WQUOIRIDJ967KAGK" hidden="1">#REF!</definedName>
    <definedName name="BEx5E2UU5NES6W779W2OZTZOB4O7" hidden="1">#REF!</definedName>
    <definedName name="BEx5E4CSE5G83J5K32WENF7BXL82" hidden="1">#N/A</definedName>
    <definedName name="BEx5ELQL9B0VR6UT18KP11DHOTFX" hidden="1">#REF!</definedName>
    <definedName name="BEx5ER4TJTFPN7IB1MNEB1ZFR5M6" localSheetId="0" hidden="1">#REF!</definedName>
    <definedName name="BEx5ER4TJTFPN7IB1MNEB1ZFR5M6" hidden="1">#REF!</definedName>
    <definedName name="BEx5F6V5LEI66Q6Y30F8WKLZFUSK" hidden="1">#REF!</definedName>
    <definedName name="BEx5F6V72QTCK7O39Y59R0EVM6CW" hidden="1">#REF!</definedName>
    <definedName name="BEx5FGLQVACD5F5YZG4DGSCHCGO2" localSheetId="0"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localSheetId="0"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localSheetId="0"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1ZWX4Z1RTY38OTJQ0K6FC1N" hidden="1">#REF!</definedName>
    <definedName name="BEx5HAOT9XWUF7XIFRZZS8B9F5TZ" localSheetId="0"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localSheetId="0" hidden="1">#REF!</definedName>
    <definedName name="BEx5I8USVUB3JP4S9OXGMZVMOQXR" hidden="1">#REF!</definedName>
    <definedName name="BEx5I9GDQSYIAL65UQNDMNFQCS9Y" hidden="1">#REF!</definedName>
    <definedName name="BEx5IBUPG9AWNW5PK7JGRGEJ4OLM" localSheetId="0"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#N/A</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localSheetId="0" hidden="1">#REF!</definedName>
    <definedName name="BEx5MB9BR71LZDG7XXQ2EO58JC5F" hidden="1">#REF!</definedName>
    <definedName name="BEx5MLQZM68YQSKARVWTTPINFQ2C" localSheetId="0"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1R2DMV2BHXW634VHSF5D5C" hidden="1">#N/A</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localSheetId="0"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localSheetId="0" hidden="1">#REF!</definedName>
    <definedName name="BEx741WJHIJVXUX131SBXTVW8D71" hidden="1">#REF!</definedName>
    <definedName name="BEx74ESIB9Y8KGETIERMKU5PLCQR" hidden="1">#N/A</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localSheetId="0"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localSheetId="0" hidden="1">#REF!</definedName>
    <definedName name="BEx78HHRIWDLHQX2LG0HWFRYEL1T" hidden="1">#REF!</definedName>
    <definedName name="BEx78QMXZ2P1ZB3HJ9O50DWHCMXR" hidden="1">#REF!</definedName>
    <definedName name="BEx78SFO5VR28677DWZEMDN7G86X" localSheetId="0" hidden="1">#REF!</definedName>
    <definedName name="BEx78SFO5VR28677DWZEMDN7G86X" hidden="1">#REF!</definedName>
    <definedName name="BEx78SFOYH1Z0ZDTO47W2M60TW6K" hidden="1">#REF!</definedName>
    <definedName name="BEx78UU0D1LQVQFSU7YBFONTT6TQ" hidden="1">#REF!</definedName>
    <definedName name="BEx79AKE8RVQIANNSTJ82JLJDX5R"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localSheetId="0"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AX0D2V77JEEKDE4FG5GS5DLP" hidden="1">#REF!</definedName>
    <definedName name="BEx7B6LH6917TXOSAAQ6U7HVF018" hidden="1">#REF!</definedName>
    <definedName name="BEx7BPXFZXJ79FQ0E8AQE21PGVHA" hidden="1">#REF!</definedName>
    <definedName name="BEx7BVRRP386BTN6RK71NTH0RGJV"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localSheetId="0" hidden="1">#REF!</definedName>
    <definedName name="BEx7CIJST9GLS2QD383UK7VUDTGL" hidden="1">#REF!</definedName>
    <definedName name="BEx7CL3MNZVB7T6R4YIFXB2NOBT8" hidden="1">#N/A</definedName>
    <definedName name="BEx7CO8T2XKC7GHDSYNAWTZ9L7YR" hidden="1">#REF!</definedName>
    <definedName name="BEx7CW1CF00DO8A36UNC2X7K65C2" localSheetId="0" hidden="1">#REF!</definedName>
    <definedName name="BEx7CW1CF00DO8A36UNC2X7K65C2" hidden="1">#REF!</definedName>
    <definedName name="BEx7CW6NFRL2P4XWP0MWHIYA97KF" hidden="1">#REF!</definedName>
    <definedName name="BEx7CZMSLZZLCSW5AJDDX5L98VW3"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localSheetId="0"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#N/A</definedName>
    <definedName name="BEx7EYYLHMBYQTH6I377FCQS7CSX" hidden="1">#REF!</definedName>
    <definedName name="BEx7F8UO9IZN4BT6DVP7G692YK2M" hidden="1">#REF!</definedName>
    <definedName name="BEx7FCLG1RYI2SNOU1Y2GQZNZSWA" hidden="1">#REF!</definedName>
    <definedName name="BEx7FN32ZGWOAA4TTH79KINTDWR9" hidden="1">#REF!</definedName>
    <definedName name="BEx7G82CKM3NIY1PHNFK28M09PCH" hidden="1">#REF!</definedName>
    <definedName name="BEx7GABBXAK7TEGNLP9YHUUGZYC0"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#N/A</definedName>
    <definedName name="BEx7HGVBEF4LEIF6RC14N3PSU461" hidden="1">#REF!</definedName>
    <definedName name="BEx7HJKG6I7Q3UCJ834GPTI67WZP" hidden="1">#N/A</definedName>
    <definedName name="BEx7HQ5T9FZ42QWS09UO4DT42Y0R" hidden="1">#REF!</definedName>
    <definedName name="BEx7HRCZE3CVGON1HV07MT5MNDZ3" hidden="1">#REF!</definedName>
    <definedName name="BEx7HWGE2CANG5M17X4C8YNC3N8F" hidden="1">#REF!</definedName>
    <definedName name="BEx7I8FZ96C5JAHXS18ZV0912LZP" hidden="1">#N/A</definedName>
    <definedName name="BEx7IBVYN47SFZIA0K4MDKQZNN9V" hidden="1">#REF!</definedName>
    <definedName name="BEx7IV2IJ5WT7UC0UG7WP0WF2JZI" hidden="1">#REF!</definedName>
    <definedName name="BEx7IXGU74GE5E4S6W4Z13AR092Y" localSheetId="0" hidden="1">#REF!</definedName>
    <definedName name="BEx7IXGU74GE5E4S6W4Z13AR092Y" hidden="1">#REF!</definedName>
    <definedName name="BEx7J4YL8Q3BI1MLH16YYQ18IJRD" localSheetId="0"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localSheetId="0" hidden="1">#REF!</definedName>
    <definedName name="BEx7KEYPBDXSNROH8M6CDCBN6B50" hidden="1">#REF!</definedName>
    <definedName name="BEx7KSAS8BZT6H8OQCZ5DNSTMO07" localSheetId="0" hidden="1">#REF!</definedName>
    <definedName name="BEx7KSAS8BZT6H8OQCZ5DNSTMO07" hidden="1">#REF!</definedName>
    <definedName name="BEx7KWHTBD21COXVI4HNEQH0Z3L8" hidden="1">#REF!</definedName>
    <definedName name="BEx7KXUGRMRSUXCM97Z7VRZQ9JH2" hidden="1">#REF!</definedName>
    <definedName name="BEx7L21IQVP1N1TTQLRMANSSLSLE" hidden="1">#N/A</definedName>
    <definedName name="BEx7L5C6U8MP6IZ67BD649WQYJEK" hidden="1">#REF!</definedName>
    <definedName name="BEx7L8HEYEVTATR0OG5JJO647KNI" hidden="1">#REF!</definedName>
    <definedName name="BEx7L8XOV64OMS15ZFURFEUXLMWF" hidden="1">#REF!</definedName>
    <definedName name="BEx7LJVFQACL9F4DRS9YZQ9R2N30" hidden="1">#N/A</definedName>
    <definedName name="BEx7MAUI1JJFDIJGDW4RWY5384LY" localSheetId="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localSheetId="0" hidden="1">#REF!</definedName>
    <definedName name="BEx90VGH5H09ON2QXYC9WIIEU98T" hidden="1">#REF!</definedName>
    <definedName name="BEx9175B70QXYAU5A8DJPGZQ46L9" hidden="1">#REF!</definedName>
    <definedName name="BEx91AQQRTV87AO27VWHSFZAD4ZR" hidden="1">#REF!</definedName>
    <definedName name="BEx91L8FLL5CWLA2CDHKCOMGVDZN" localSheetId="0"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localSheetId="0" hidden="1">#REF!</definedName>
    <definedName name="BEx91VF2D78PAF337E3L2L81K9W2" hidden="1">#REF!</definedName>
    <definedName name="BEx921PNZ46VORG2VRMWREWIC0SE" hidden="1">#REF!</definedName>
    <definedName name="BEx92DPEKL5WM5A3CN8674JI0PR3" hidden="1">#REF!</definedName>
    <definedName name="BEx92ER2RMY93TZK0D9L9T3H0GI5" localSheetId="0"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RLVR3ZIAROGUHDW2HCBW6" hidden="1">#N/A</definedName>
    <definedName name="BEx92PUBDIXAU1FW5ZAXECMAU0LN" localSheetId="0" hidden="1">#REF!</definedName>
    <definedName name="BEx92PUBDIXAU1FW5ZAXECMAU0LN" hidden="1">#REF!</definedName>
    <definedName name="BEx92S8MHFFIVRQ2YSHZNQGOFUHD" hidden="1">#REF!</definedName>
    <definedName name="BEx92UMSJA9HMXOOT7IEVPKJFCME" hidden="1">#REF!</definedName>
    <definedName name="BEx93B9OULL2YGC896XXYAAJSTRK" localSheetId="0"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localSheetId="0"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#N/A</definedName>
    <definedName name="BEx94N7W5T3U7UOE97D6OVIBUCXS" hidden="1">#REF!</definedName>
    <definedName name="BEx953PB6S6ECMD8N0JSW0CBG0DA" hidden="1">#N/A</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H7X8DDKZ4IM9M8FNR4Z4BT" hidden="1">#REF!</definedName>
    <definedName name="BEx95U89DZZSVO39TGS62CX8G9N4" hidden="1">#REF!</definedName>
    <definedName name="BEx9602K2GHNBUEUVT9ONRQU1GMD" hidden="1">#REF!</definedName>
    <definedName name="BEx962BL3Y4LA53EBYI64ZYMZE8U" hidden="1">#REF!</definedName>
    <definedName name="BEx96H03FSI9F2VGN1Q7TPFWHHSV" hidden="1">#REF!</definedName>
    <definedName name="BEx96KR21O7H9R29TN0S45Y3QPUK" hidden="1">#REF!</definedName>
    <definedName name="BEx96SUFKHHFE8XQ6UUO6ILDOXHO" hidden="1">#REF!</definedName>
    <definedName name="BEx96UN4YWXBDEZ1U1ZUIPP41Z7I" localSheetId="0" hidden="1">#REF!</definedName>
    <definedName name="BEx96UN4YWXBDEZ1U1ZUIPP41Z7I" hidden="1">#REF!</definedName>
    <definedName name="BEx970MYCPJ6DQ44TKLOIGZO5LHH" hidden="1">#N/A</definedName>
    <definedName name="BEx978KSD61YJH3S9DGO050R2EHA" hidden="1">#REF!</definedName>
    <definedName name="BEx97F651DTPEIXNL9PU1DDPQJ3J" hidden="1">#REF!</definedName>
    <definedName name="BEx97H9O1NAKAPK4MX4PKO34ICL5" hidden="1">#REF!</definedName>
    <definedName name="BEx97HVA5F2I0D6ID81KCUDEQOIH" hidden="1">#N/A</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localSheetId="0" hidden="1">#REF!</definedName>
    <definedName name="BEx99Q6PH5F3OQKCCAAO75PYDEFN" hidden="1">#REF!</definedName>
    <definedName name="BEx99WBYT2D6UUC1PT7A40ENYID4" hidden="1">#REF!</definedName>
    <definedName name="BEx99XOGHOM28CNCYKQWYGL56W2S" hidden="1">#N/A</definedName>
    <definedName name="BEx99ZRZ4I7FHDPGRAT5VW7NVBPU" hidden="1">#REF!</definedName>
    <definedName name="BEx9AT5E3ZSHKSOL35O38L8HF9TH" hidden="1">#REF!</definedName>
    <definedName name="BEx9AV8W1FAWF5BHATYEN47X12JN" hidden="1">#REF!</definedName>
    <definedName name="BEx9B6HFAULSW9IXMIKBHKRW03Z5" hidden="1">#N/A</definedName>
    <definedName name="BEx9B8A5186FNTQQNLIO5LK02ABI" hidden="1">#REF!</definedName>
    <definedName name="BEx9B8VR20E2CILU4CDQUQQ9ONXK" localSheetId="0"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590HJ2O31IWJB73C1HR74AI" hidden="1">#REF!</definedName>
    <definedName name="BEx9CCQRMYYOGIOYTOM73VKDIPS1" hidden="1">#REF!</definedName>
    <definedName name="BEx9D1BC9FT19KY0INAABNDBAMR1" hidden="1">#REF!</definedName>
    <definedName name="BEx9D7BBIAT5T6NL8N5WTJPA0D3R" hidden="1">#REF!</definedName>
    <definedName name="BEx9DN6ZMF18Q39MPMXSDJTZQNJ3" hidden="1">#REF!</definedName>
    <definedName name="BEx9DUU8DALPSCW66GTMQRPXZ6GL" hidden="1">#N/A</definedName>
    <definedName name="BEx9E14TDNSEMI784W0OTIEQMWN6" localSheetId="0"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AY352HT2ZRQK6GWSIN7DT6" hidden="1">#N/A</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localSheetId="0" hidden="1">#REF!</definedName>
    <definedName name="BEx9F78N4HY0XFGBQ4UJRD52L1EI" hidden="1">#REF!</definedName>
    <definedName name="BEx9FF16LOQP5QIR4UHW5EIFGQB8" localSheetId="0" hidden="1">#REF!</definedName>
    <definedName name="BEx9FF16LOQP5QIR4UHW5EIFGQB8" hidden="1">#REF!</definedName>
    <definedName name="BEx9FJTSRCZ3ZXT3QVBJT5NF8T7V" localSheetId="0" hidden="1">#REF!</definedName>
    <definedName name="BEx9FJTSRCZ3ZXT3QVBJT5NF8T7V" hidden="1">#REF!</definedName>
    <definedName name="BEx9FRBEEYPS5HLS3XT34AKZN94G"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8XIG7E5NB48QQHXP23FIN60" hidden="1">#REF!</definedName>
    <definedName name="BEx9ILTGKD2FN2TIN0ACEHMRPSNF"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9KQ3CK9HRYQ0EPOGV9LQK5WLT" hidden="1">#REF!</definedName>
    <definedName name="BExAW4IIW5D0MDY6TJ3G4FOLPYIR" localSheetId="0" hidden="1">#REF!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localSheetId="0" hidden="1">#REF!</definedName>
    <definedName name="BExAZNL6BHI8DCQWXOX4I2P839UX" hidden="1">#REF!</definedName>
    <definedName name="BExAZRMWSONMCG9KDUM4KAQ7BONM" localSheetId="0" hidden="1">#REF!</definedName>
    <definedName name="BExAZRMWSONMCG9KDUM4KAQ7BONM" hidden="1">#REF!</definedName>
    <definedName name="BExAZTFG4SJRG4TW6JXRF7N08JFI" hidden="1">#REF!</definedName>
    <definedName name="BExAZUS4A8OHDZK0MWAOCCCKTH73" hidden="1">#REF!</definedName>
    <definedName name="BExAZX6FECVK3E07KXM2XPYKGM6U" localSheetId="0" hidden="1">#REF!</definedName>
    <definedName name="BExAZX6FECVK3E07KXM2XPYKGM6U" hidden="1">#REF!</definedName>
    <definedName name="BExB012NJ8GASTNNPBRRFTLHIOC9" hidden="1">#REF!</definedName>
    <definedName name="BExB072HHXVMUC0VYNGG48GRSH5Q" hidden="1">#REF!</definedName>
    <definedName name="BExB0FRDEYDEUEAB1W8KD6D965XA" localSheetId="0" hidden="1">#REF!</definedName>
    <definedName name="BExB0FRDEYDEUEAB1W8KD6D965XA" hidden="1">#REF!</definedName>
    <definedName name="BExB0KPCN7YJORQAYUCF4YKIKPMC" hidden="1">#REF!</definedName>
    <definedName name="BExB0WE4PI3NOBXXVO9CTEN4DIU2" localSheetId="0" hidden="1">#REF!</definedName>
    <definedName name="BExB0WE4PI3NOBXXVO9CTEN4DIU2" hidden="1">#REF!</definedName>
    <definedName name="BExB10QNIVITUYS55OAEKK3VLJFE" localSheetId="0"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Q2C0QM0PSC15GW0LHNNKCO9"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442RX0T3L6HUL6X5T21CENW6" hidden="1">#REF!</definedName>
    <definedName name="BExB4ADD0L7417CII901XTFKXD1J" hidden="1">#REF!</definedName>
    <definedName name="BExB4DO1V1NL2AVK5YE1RSL5RYHL" hidden="1">#N/A</definedName>
    <definedName name="BExB4DYU06HCGRIPBSWRCXK804UM" hidden="1">#REF!</definedName>
    <definedName name="BExB4QEHP88TDHO8TGYV91365M0F" hidden="1">#N/A</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localSheetId="0" hidden="1">#REF!</definedName>
    <definedName name="BExB6C8X6JYRLKZKK17VE3QUNL3D"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localSheetId="0" hidden="1">#REF!</definedName>
    <definedName name="BExB7ELT09HGDVO5BJC1ZY9D09GZ" hidden="1">#REF!</definedName>
    <definedName name="BExB7Y8L9DM8DN9P8OSBA1IJDZND" hidden="1">#REF!</definedName>
    <definedName name="BExB806PAXX70XUTA3ZI7OORD78R" hidden="1">#REF!</definedName>
    <definedName name="BExB8B4K8WFO3JUW66JXKOKB130W" hidden="1">#N/A</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FZWC66B4IIU3YFPMNDXNUR8"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localSheetId="0" hidden="1">#REF!</definedName>
    <definedName name="BExBAOOT1KBSIEISN1ADL4RMY879" hidden="1">#REF!</definedName>
    <definedName name="BExBAUZD05VYQHAZRRRU1U95MFC2" hidden="1">#REF!</definedName>
    <definedName name="BExBAVKX8Q09370X1GCZWJ4E91YJ" hidden="1">#REF!</definedName>
    <definedName name="BExBAX2WPTGZMRRYA7TC2LJJCQIJ" hidden="1">#REF!</definedName>
    <definedName name="BExBAX2X2ENJYO4QTR5VAIQ86L7B" hidden="1">#REF!</definedName>
    <definedName name="BExBAZ13D3F1DVJQ6YJ8JGUYEYJE" hidden="1">#REF!</definedName>
    <definedName name="BExBBTG649R9I0CT042JLL8LXV18" hidden="1">#N/A</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localSheetId="0" hidden="1">#REF!</definedName>
    <definedName name="BExBD4I559NXSV6J07Q343TKYMVJ" hidden="1">#REF!</definedName>
    <definedName name="BExBDBZQLTX3OGFYGULQFK5WEZU5" hidden="1">#REF!</definedName>
    <definedName name="BExBDJS9TUEU8Z84IV59E5V4T8K6" hidden="1">#REF!</definedName>
    <definedName name="BExBDKOMSVH4XMH52CFJ3F028I9R" localSheetId="0" hidden="1">#REF!</definedName>
    <definedName name="BExBDKOMSVH4XMH52CFJ3F028I9R" hidden="1">#REF!</definedName>
    <definedName name="BExBDSRXVZQ0W5WXQMP5XD00GRRL" hidden="1">#REF!</definedName>
    <definedName name="BExBDUVGK3E1J4JY9ZYTS7V14BLY" localSheetId="0" hidden="1">#REF!</definedName>
    <definedName name="BExBDUVGK3E1J4JY9ZYTS7V14BLY" hidden="1">#REF!</definedName>
    <definedName name="BExBE162OSBKD30I7T1DKKPT3I9I" hidden="1">#REF!</definedName>
    <definedName name="BExBE5YPUY1T7N7DHMMIGGXK8TMP" hidden="1">#N/A</definedName>
    <definedName name="BExBEC9ATLQZF86W1M3APSM4HEOH" hidden="1">#REF!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#N/A</definedName>
    <definedName name="BExCS7ZPMHFJ4UJDAL8CQOLSZ13B" hidden="1">#REF!</definedName>
    <definedName name="BExCS8W4NJUZH9S1CYB6XSDLEPBW" localSheetId="0" hidden="1">#REF!</definedName>
    <definedName name="BExCS8W4NJUZH9S1CYB6XSDLEPBW" hidden="1">#REF!</definedName>
    <definedName name="BExCSAE1M6G20R41J0Y24YNN0YC1" hidden="1">#REF!</definedName>
    <definedName name="BExCSAOUZOYKHN7HV511TO8VDJ02" hidden="1">#REF!</definedName>
    <definedName name="BExCSMOFTXSUEC1T46LR1UPYRCX5" localSheetId="0"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localSheetId="0" hidden="1">#REF!</definedName>
    <definedName name="BExCTZZ9JNES4EDHW97NP0EGQALX" hidden="1">#REF!</definedName>
    <definedName name="BExCU0A1V6NMZQ9ASYJ8QIVQ5UR2" hidden="1">#REF!</definedName>
    <definedName name="BExCU2834920JBHSPCRC4UF80OLL" hidden="1">#REF!</definedName>
    <definedName name="BExCU8O54I3P3WRYWY1CRP3S78QY" localSheetId="0" hidden="1">#REF!</definedName>
    <definedName name="BExCU8O54I3P3WRYWY1CRP3S78QY" hidden="1">#REF!</definedName>
    <definedName name="BExCUDRJO23YOKT8GPWOVQ4XEHF5" hidden="1">#REF!</definedName>
    <definedName name="BExCUPAXFR16YMWL30ME3F3BSRDZ" hidden="1">#REF!</definedName>
    <definedName name="BExCUR94DHCE47PUUWEMT5QZOYR2" localSheetId="0"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J9W7SMHQ4AP26SL6BFHYFNU" hidden="1">#REF!</definedName>
    <definedName name="BExCVKGZXE0I9EIXKBZVSGSEY2RR" hidden="1">#REF!</definedName>
    <definedName name="BExCVRIIBOGYLXPN6CSPOE4UDMFA" hidden="1">#REF!</definedName>
    <definedName name="BExCVV44WY5807WGMTGKPW0GT256" hidden="1">#REF!</definedName>
    <definedName name="BExCVZ5PN4V6MRBZ04PZJW3GEF8S" hidden="1">#REF!</definedName>
    <definedName name="BExCW13R0GWJYGXZBNCPAHQN4NR2" hidden="1">#REF!</definedName>
    <definedName name="BExCW1PDI3XSQ9S8UIE1QG82IFH8" hidden="1">#REF!</definedName>
    <definedName name="BExCW9Y5HWU4RJTNX74O6L24VGCK" localSheetId="0" hidden="1">#REF!</definedName>
    <definedName name="BExCW9Y5HWU4RJTNX74O6L24VGCK" hidden="1">#REF!</definedName>
    <definedName name="BExCWPDPESGZS07QGBLSBWDNVJLZ" hidden="1">#REF!</definedName>
    <definedName name="BExCWTVKHIVCRHF8GC39KI58YM5K" localSheetId="0"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JBB52X8B3AREHCC1L5QNPX7" hidden="1">#N/A</definedName>
    <definedName name="BExCYPRC5HJE6N2XQTHCT6NXGP8N" hidden="1">#REF!</definedName>
    <definedName name="BExCYUK0I3UEXZNFDW71G6Z6D8XR" hidden="1">#REF!</definedName>
    <definedName name="BExCZ15DB89J6GSEBMRW45QG2RQ8" hidden="1">#N/A</definedName>
    <definedName name="BExCZFZCXMLY5DWESYJ9NGTJYQ8M" hidden="1">#REF!</definedName>
    <definedName name="BExCZJ4P8WS0BDT31WDXI0ROE7D6" hidden="1">#REF!</definedName>
    <definedName name="BExCZKH6NI0EE02L995IFVBD1J59" hidden="1">#REF!</definedName>
    <definedName name="BExCZUD9FEOJBKDJ51Z3JON9LKJ8" localSheetId="0" hidden="1">#REF!</definedName>
    <definedName name="BExCZUD9FEOJBKDJ51Z3JON9LKJ8" hidden="1">#REF!</definedName>
    <definedName name="BExD0508DAALLU00PHFPBC8SRRKT" hidden="1">#N/A</definedName>
    <definedName name="BExD0HALIN0JR4JTPGDEVAEE5EX5" hidden="1">#REF!</definedName>
    <definedName name="BExD0KLALF33PPNP5CV1DM9CPDFA" hidden="1">#REF!</definedName>
    <definedName name="BExD0LCCDPG16YLY5WQSZF1XI5DA" hidden="1">#REF!</definedName>
    <definedName name="BExD0RMWSB4TRECEHTH6NN4K9DFZ" hidden="1">#REF!</definedName>
    <definedName name="BExD0U6KG10QGVDI1XSHK0J10A2V" hidden="1">#REF!</definedName>
    <definedName name="BExD13RUIBGRXDL4QDZ305UKUR12" hidden="1">#REF!</definedName>
    <definedName name="BExD14DETV5R4OOTMAXD5NAKWRO3" localSheetId="0" hidden="1">#REF!</definedName>
    <definedName name="BExD14DETV5R4OOTMAXD5NAKWRO3" hidden="1">#REF!</definedName>
    <definedName name="BExD1OAU9OXQAZA4D70HP72CU6GB" hidden="1">#REF!</definedName>
    <definedName name="BExD1Y1JV61416YA1XRQHKWPZIE7" hidden="1">#REF!</definedName>
    <definedName name="BExD2CFHIRMBKN5KXE5QP4XXEWFS" localSheetId="0" hidden="1">#REF!</definedName>
    <definedName name="BExD2CFHIRMBKN5KXE5QP4XXEWFS" hidden="1">#REF!</definedName>
    <definedName name="BExD2DMHH1HWXQ9W0YYMDP8AAX8Q" hidden="1">#REF!</definedName>
    <definedName name="BExD2HTPC7IWBAU6OSQ67MQA8BYZ"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localSheetId="0"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localSheetId="0" hidden="1">#REF!</definedName>
    <definedName name="BExD8H5O087KQVWIVPUUID5VMGMS" hidden="1">#REF!</definedName>
    <definedName name="BExD8OCLZMFN5K3VZYI4Q4ITVKUA" hidden="1">#REF!</definedName>
    <definedName name="BExD93C1R6LC0631ECHVFYH0R0PD" hidden="1">#REF!</definedName>
    <definedName name="BExD97TXIO0COVNN4OH3DEJ33YLM" hidden="1">#REF!</definedName>
    <definedName name="BExD99RZ1RFIMK6O1ZHSPJ68X9Y5" localSheetId="0" hidden="1">#REF!</definedName>
    <definedName name="BExD99RZ1RFIMK6O1ZHSPJ68X9Y5" hidden="1">#REF!</definedName>
    <definedName name="BExD9L0ID3VSOU609GKWYTA5BFMA" hidden="1">#REF!</definedName>
    <definedName name="BExD9M7SEMG0JK2FUTTZXWIEBTKB" hidden="1">#REF!</definedName>
    <definedName name="BExD9MNYBYB1AICQL5165G472IE2" localSheetId="0" hidden="1">#REF!</definedName>
    <definedName name="BExD9MNYBYB1AICQL5165G472IE2" hidden="1">#REF!</definedName>
    <definedName name="BExD9PNSYT7GASEGUVL48MUQ02WO" hidden="1">#REF!</definedName>
    <definedName name="BExD9TK2MIWFH5SKUYU9ZKF4NPHQ" hidden="1">#REF!</definedName>
    <definedName name="BExDA0AYC8M34O1P8N6QCYSV7N68"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P4E4F36662JDI0TOD85OP7X9" hidden="1">#N/A</definedName>
    <definedName name="BExEPN9VIYI0FVL0HLZQXJFO6TT0" localSheetId="0" hidden="1">#REF!</definedName>
    <definedName name="BExEPN9VIYI0FVL0HLZQXJFO6TT0" hidden="1">#REF!</definedName>
    <definedName name="BExEPYT6VDSMR8MU2341Q5GM2Y9V" localSheetId="0" hidden="1">#REF!</definedName>
    <definedName name="BExEPYT6VDSMR8MU2341Q5GM2Y9V" hidden="1">#REF!</definedName>
    <definedName name="BExEQ2ENYLMY8K1796XBB31CJHNN" hidden="1">#REF!</definedName>
    <definedName name="BExEQ2PFE4N40LEPGDPS90WDL6BN" hidden="1">#REF!</definedName>
    <definedName name="BExEQ2PFURT24NQYGYVE8NKX1EGA" localSheetId="0"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T70NFKWECOCQOD0D679IL6J" hidden="1">#REF!</definedName>
    <definedName name="BExERWCEBKQRYWRQLYJ4UCMMKTHG" localSheetId="0" hidden="1">#REF!</definedName>
    <definedName name="BExERWCEBKQRYWRQLYJ4UCMMKTHG" hidden="1">#REF!</definedName>
    <definedName name="BExES44RHHDL3V7FLV6M20834WF1" hidden="1">#REF!</definedName>
    <definedName name="BExES4A7VE2X3RYYTVRLKZD4I7WU" localSheetId="0" hidden="1">#REF!</definedName>
    <definedName name="BExES4A7VE2X3RYYTVRLKZD4I7WU" hidden="1">#REF!</definedName>
    <definedName name="BExES6ZC8R7PHJ21OVJFLIR7DY30" hidden="1">#N/A</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7ZSDYQ0C5WX1FP1ZA4HZMZI" hidden="1">#REF!</definedName>
    <definedName name="BExETA3B1FCIOA80H94K90FWXQKE" hidden="1">#REF!</definedName>
    <definedName name="BExETAZOYT4CJIT8RRKC9F2HJG1D" hidden="1">#REF!</definedName>
    <definedName name="BExETF6QD5A9GEINE1KZRRC2LXWM" hidden="1">#REF!</definedName>
    <definedName name="BExETQ9XRXLUACN82805SPSPNKHI" localSheetId="0" hidden="1">#REF!</definedName>
    <definedName name="BExETQ9XRXLUACN82805SPSPNKHI" hidden="1">#REF!</definedName>
    <definedName name="BExETR0YRMOR63E6DHLEHV9QVVON" hidden="1">#REF!</definedName>
    <definedName name="BExETVTGY38YXYYF7N73OYN6FYY3" hidden="1">#REF!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#N/A</definedName>
    <definedName name="BExEVVLIEVWYRF2UUC1H0H5QU1CP" hidden="1">#REF!</definedName>
    <definedName name="BExEVWCKO8T84GW9Z3X47915XKSH" localSheetId="0"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#N/A</definedName>
    <definedName name="BExEWNBGQS1U2LW3W84T4LSJ9K00" hidden="1">#REF!</definedName>
    <definedName name="BExEWO7STL7HNZSTY8VQBPTX1WK6" hidden="1">#REF!</definedName>
    <definedName name="BExEWQ0M1N3KMKTDJ73H10QSG4W1" localSheetId="0" hidden="1">#REF!</definedName>
    <definedName name="BExEWQ0M1N3KMKTDJ73H10QSG4W1" hidden="1">#REF!</definedName>
    <definedName name="BExEX85F3OSW8NSCYGYPS9372Z1Q" localSheetId="0" hidden="1">#REF!</definedName>
    <definedName name="BExEX85F3OSW8NSCYGYPS9372Z1Q" hidden="1">#REF!</definedName>
    <definedName name="BExEX9HWY2G6928ZVVVQF77QCM2C" hidden="1">#REF!</definedName>
    <definedName name="BExEXBQWAYKMVBRJRHB8PFCSYFVN" hidden="1">#REF!</definedName>
    <definedName name="BExEXH53WXMDDWPXOI9LEB2E3U27" hidden="1">#REF!</definedName>
    <definedName name="BExEXRBZ0DI9E2UFLLKYWGN66B61" hidden="1">#REF!</definedName>
    <definedName name="BExEYLG9FL9V1JPPNZ3FUDNSEJ4V" hidden="1">#REF!</definedName>
    <definedName name="BExEYOW8C1B3OUUCIGEC7L8OOW1Z" localSheetId="0"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localSheetId="0" hidden="1">#REF!</definedName>
    <definedName name="BExF02Y3V3QEPO2XLDSK47APK9XJ" hidden="1">#REF!</definedName>
    <definedName name="BExF09OS91RT7N7IW8JLMZ121ZP3" hidden="1">#REF!</definedName>
    <definedName name="BExF0LOEHV42P2DV7QL8O7HOQ3N9" hidden="1">#REF!</definedName>
    <definedName name="BExF0WRM9VO25RLSO03ZOCE8H7K5" localSheetId="0"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CWZN6E87RGTBMD4YQI2QT7R" hidden="1">#REF!</definedName>
    <definedName name="BExF2DYO1WQ7GMXSTAQRDBW1NSFG" hidden="1">#REF!</definedName>
    <definedName name="BExF2JNP0R7R5PGUZ9MGTWY3QT46" hidden="1">#N/A</definedName>
    <definedName name="BExF2MSWNUY9Z6BZJQZ538PPTION" hidden="1">#REF!</definedName>
    <definedName name="BExF2QZYWHTYGUTTXR15CKCV3LS7" hidden="1">#REF!</definedName>
    <definedName name="BExF2T8Y6TSJ74RMSZOA9CEH4OZ6" localSheetId="0"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localSheetId="0" hidden="1">#REF!</definedName>
    <definedName name="BExF3I9T44X7DV9HHV51DVDDPPZG" hidden="1">#REF!</definedName>
    <definedName name="BExF3JMFX5DILOIFUDIO1HZUK875" localSheetId="0" hidden="1">#REF!</definedName>
    <definedName name="BExF3JMFX5DILOIFUDIO1HZUK875" hidden="1">#REF!</definedName>
    <definedName name="BExF3NTC4BGZEM6B87TCFX277QCS" hidden="1">#REF!</definedName>
    <definedName name="BExF3Q7NI90WT31QHYSJDIG0LLLJ" hidden="1">#REF!</definedName>
    <definedName name="BExF3QD55TIY1MSBSRK9TUJKBEWO" localSheetId="0"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#N/A</definedName>
    <definedName name="BExF4MVQM5Y0QRDLDFSKWWTF709C" hidden="1">#REF!</definedName>
    <definedName name="BExF4PVMZYV36E8HOYY06J81AMBI" hidden="1">#REF!</definedName>
    <definedName name="BExF4SF9NEX1FZE9N8EXT89PM54D" hidden="1">#REF!</definedName>
    <definedName name="BExF52GTGP8MHGII4KJ8TJGR8W8U" localSheetId="0" hidden="1">#REF!</definedName>
    <definedName name="BExF52GTGP8MHGII4KJ8TJGR8W8U" hidden="1">#REF!</definedName>
    <definedName name="BExF57K7L3UC1I2FSAWURR4SN0UN" hidden="1">#REF!</definedName>
    <definedName name="BExF5D96JEPDW6LV89G2REZJ1ES7" hidden="1">#N/A</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localSheetId="0" hidden="1">#REF!</definedName>
    <definedName name="BExF6EV7I35NVMIJGYTB6E24YVPA" hidden="1">#REF!</definedName>
    <definedName name="BExF6FGUF393KTMBT40S5BYAFG00" localSheetId="0"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GS1BAGJF29QMPN5JR9SA3HU"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#N/A</definedName>
    <definedName name="BExGLYE6RZTAAWHJBG2QFJPTDS2Q" hidden="1">#REF!</definedName>
    <definedName name="BExGM4DZ65OAQP7MA4LN6QMYZOFF" hidden="1">#REF!</definedName>
    <definedName name="BExGMCXCWEC9XNUOEMZ61TMI6CUO" localSheetId="0" hidden="1">#REF!</definedName>
    <definedName name="BExGMCXCWEC9XNUOEMZ61TMI6CUO" hidden="1">#REF!</definedName>
    <definedName name="BExGMF0WVFX16BD716BVL1JDZLEZ"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localSheetId="0" hidden="1">#REF!</definedName>
    <definedName name="BExGN9FZ2RWCMSY1YOBJKZMNIM9R" hidden="1">#REF!</definedName>
    <definedName name="BExGND6WJH41J53ZLCR9XHYV3E27"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#N/A</definedName>
    <definedName name="BExGOXJDHUDPDT8I8IVGVW9J0R5Q" hidden="1">#REF!</definedName>
    <definedName name="BExGPG9NM1GD24B9DS3V4NFKFZEF" hidden="1">#N/A</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localSheetId="0" hidden="1">#REF!</definedName>
    <definedName name="BExGQGJ1A7LNZUS8QSMOG8UNGLMK" hidden="1">#REF!</definedName>
    <definedName name="BExGQPO7ENFEQC0NC6MC9OZR2LHY" hidden="1">#REF!</definedName>
    <definedName name="BExGQX0H4EZMXBJTKJJE4ICJWN5O" hidden="1">#REF!</definedName>
    <definedName name="BExGR4CW3WRIID17GGX4MI9ZDHFE" localSheetId="0" hidden="1">#REF!</definedName>
    <definedName name="BExGR4CW3WRIID17GGX4MI9ZDHFE" hidden="1">#REF!</definedName>
    <definedName name="BExGR65GJX27MU2OL6NI5PB8XVB4" localSheetId="0" hidden="1">#REF!</definedName>
    <definedName name="BExGR65GJX27MU2OL6NI5PB8XVB4" hidden="1">#REF!</definedName>
    <definedName name="BExGR6LQ97HETGS3CT96L4IK0JSH" hidden="1">#REF!</definedName>
    <definedName name="BExGR9ATP2LVT7B9OCPSLJ11H9SX" hidden="1">#REF!</definedName>
    <definedName name="BExGrid1">#REF!</definedName>
    <definedName name="BExGRUKVVKDL8483WI70VN2QZDGD" hidden="1">#REF!</definedName>
    <definedName name="BExGS2IWR5DUNJ1U9PAKIV8CMBNI" localSheetId="0" hidden="1">#REF!</definedName>
    <definedName name="BExGS2IWR5DUNJ1U9PAKIV8CMBNI" hidden="1">#REF!</definedName>
    <definedName name="BExGS3F497294543A3R5GSWVFT7O" hidden="1">#REF!</definedName>
    <definedName name="BExGS69P9FFTEOPDS0MWFKF45G47" localSheetId="0"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8W4X1J4UP329AB4G708DE5V" hidden="1">#REF!</definedName>
    <definedName name="BExGUDDZXFFQHAF4UZF8ZB1HO7H6" hidden="1">#REF!</definedName>
    <definedName name="BExGUIBXBRHGM97ZX6GBA4ZDQ79C" hidden="1">#REF!</definedName>
    <definedName name="BExGUM8D91UNPCOO4TKP9FGX85TF" hidden="1">#REF!</definedName>
    <definedName name="BExGUQF9N9FKI7S0H30WUAEB5LPD" localSheetId="0"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WYW8KRHOY1TCOR43AI29LOMK"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KMF4OMAKEMGYBCTTUH3TN23" hidden="1">#REF!</definedName>
    <definedName name="BExGXWB73RJ4BASBQTQ8EY0EC1EB" localSheetId="0"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localSheetId="0" hidden="1">#REF!</definedName>
    <definedName name="BExGYCNATXZY2FID93B17YWIPPRD" hidden="1">#REF!</definedName>
    <definedName name="BExGYD3E3OMQXNJO6AMWWVIA4K3G" hidden="1">#REF!</definedName>
    <definedName name="BExGYGJJJ3BBCQAOA51WHP01HN73" hidden="1">#REF!</definedName>
    <definedName name="BExGYOS6TV2C72PLRFU8RP1I58GY" hidden="1">#REF!</definedName>
    <definedName name="BExGYYZ22N0UBZMJCAL672LPDZ5N" hidden="1">#N/A</definedName>
    <definedName name="BExGYZVDUKGX8HSR2GNDHQBS4VGJ" hidden="1">#REF!</definedName>
    <definedName name="BExGZ7NXZ0IBS44C2NZ9VMD6T6K2" hidden="1">#N/A</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IKFD2XZ2IUBJMAUE9E64HPN"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localSheetId="0"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#N/A</definedName>
    <definedName name="BExH2WKXV8X5S2GSBBTWGI0NLNAH" localSheetId="0" hidden="1">#REF!</definedName>
    <definedName name="BExH2WKXV8X5S2GSBBTWGI0NLNAH" hidden="1">#REF!</definedName>
    <definedName name="BExH2XS1UFYFGU0S0EBXX90W2WE8" hidden="1">#REF!</definedName>
    <definedName name="BExH2XS2TND9SB0GC295R4FP6K5Y" localSheetId="0" hidden="1">#REF!</definedName>
    <definedName name="BExH2XS2TND9SB0GC295R4FP6K5Y" hidden="1">#REF!</definedName>
    <definedName name="BExH2ZA0SZ4SSITL50NA8LZ3OEX6" hidden="1">#REF!</definedName>
    <definedName name="BExH31Z3JNVJPESWKXHILGXZHP2M" hidden="1">#REF!</definedName>
    <definedName name="BExH39MDCIPJ7BGV3B0L44QX4OYZ" hidden="1">#REF!</definedName>
    <definedName name="BExH3E9HZ3QJCDZW7WI7YACFQCHE" hidden="1">#REF!</definedName>
    <definedName name="BExH3IRB6764RQ5HBYRLH6XCT29X" hidden="1">#REF!</definedName>
    <definedName name="BExH3J2593RB0I6TIEMI2MJ7ONOM" hidden="1">#N/A</definedName>
    <definedName name="BExIG2U8V6RSB47SXLCQG3Q68YRO" localSheetId="0"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LU2OLFPJP94XBPBSHB53UVR" localSheetId="0" hidden="1">#REF!</definedName>
    <definedName name="BExIHLU2OLFPJP94XBPBSHB53UVR" hidden="1">#REF!</definedName>
    <definedName name="BExIHPQCQTGEW8QOJVIQ4VX0P6DX" hidden="1">#REF!</definedName>
    <definedName name="BExIHXTOF9TVS92WGZ1MHWCY2D4Q" hidden="1">#N/A</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localSheetId="0" hidden="1">#REF!</definedName>
    <definedName name="BExIKMMJOETSAXJYY1SIKM58LMA2" hidden="1">#REF!</definedName>
    <definedName name="BExIKRF6AQ6VOO9KCIWSM6FY8M7D" hidden="1">#REF!</definedName>
    <definedName name="BExIKTYZESFT3LC0ASFMFKSE0D1X" localSheetId="0" hidden="1">#REF!</definedName>
    <definedName name="BExIKTYZESFT3LC0ASFMFKSE0D1X" hidden="1">#REF!</definedName>
    <definedName name="BExIKXVA6M8K0PTRYAGXS666L335" localSheetId="0"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MSEEBBMX6PNT9079H5NIY91C" hidden="1">#REF!</definedName>
    <definedName name="BExIN4OR435DL1US13JQPOQK8GD5" localSheetId="0"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XLVVQ29UXQYVRLYNF88CV1Q" hidden="1">#REF!</definedName>
    <definedName name="BExINZELVWYGU876QUUZCIMXPBQC" hidden="1">#REF!</definedName>
    <definedName name="BExIOCQUQHKUU1KONGSDOLQTQEIC" localSheetId="0" hidden="1">#REF!</definedName>
    <definedName name="BExIOCQUQHKUU1KONGSDOLQTQEIC" hidden="1">#REF!</definedName>
    <definedName name="BExIOFL8Y5O61VLKTB4H20IJNWS1" hidden="1">#REF!</definedName>
    <definedName name="BExIOMBXRW5NS4ZPYX9G5QREZ5J6" hidden="1">#REF!</definedName>
    <definedName name="BExIOQJ15X871R5JB8TQK2Z5HAIE" hidden="1">#REF!</definedName>
    <definedName name="BExIORA3GK78T7C7SNBJJUONJ0LS" hidden="1">#REF!</definedName>
    <definedName name="BExIORFDXP4AVIEBLSTZ8ETSXMNM" hidden="1">#REF!</definedName>
    <definedName name="BExIOTZ5EFZ2NASVQ05RH15HRSW6" hidden="1">#REF!</definedName>
    <definedName name="BExIP1GVVZII3MXG581QPIQOI33O" hidden="1">#N/A</definedName>
    <definedName name="BExIP3PRVN52XPQTSJ4E3VNCJPKL"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localSheetId="0" hidden="1">#REF!</definedName>
    <definedName name="BExIQE65LVXUOF3UZFO7SDHFJH22" hidden="1">#REF!</definedName>
    <definedName name="BExIQG9OO2KKBOWTMD1OXY36TEGA" hidden="1">#REF!</definedName>
    <definedName name="BExIQX1XBB31HZTYEEVOBSE3C5A6" hidden="1">#REF!</definedName>
    <definedName name="BExIQYP5T1TPAQYW7QU1Q98BKX7W" hidden="1">#N/A</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localSheetId="0"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temGrid">#REF!</definedName>
    <definedName name="BExITPASP9SCMB7BBMAI9MKVE56Q" hidden="1">#REF!</definedName>
    <definedName name="BExIUD4OJGH65NFNQ4VMCE3R4J1X" hidden="1">#REF!</definedName>
    <definedName name="BExIUOIHJK6RU4IN9APEFZ7Z986X" hidden="1">#REF!</definedName>
    <definedName name="BExIUTB5OAAXYW0OFMP0PS40SPOB" hidden="1">#REF!</definedName>
    <definedName name="BExIUUT2MHIOV6R3WHA0DPM1KBKY" hidden="1">#REF!</definedName>
    <definedName name="BExIUYPDT1AM6MWGWQS646PIZIWC" hidden="1">#REF!</definedName>
    <definedName name="BExIV0I2O9F8D1UK1SI8AEYR6U0A" localSheetId="0"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#N/A</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localSheetId="0" hidden="1">#REF!</definedName>
    <definedName name="BExIWB3SY3WRIVIOF988DNNODBOA" hidden="1">#REF!</definedName>
    <definedName name="BExIWB99CG0H52LRD6QWPN4L6DV2" hidden="1">#REF!</definedName>
    <definedName name="BExIWFWF1NCD063Q82YLL8BIFAH0" hidden="1">#REF!</definedName>
    <definedName name="BExIWG1W7XP9DFYYSZAIOSHM0QLQ" hidden="1">#REF!</definedName>
    <definedName name="BExIWH3KUK94B7833DD4TB0Y6KP9" hidden="1">#REF!</definedName>
    <definedName name="BExIWKE9MGIDWORBI43AWTUNYFAN" localSheetId="0" hidden="1">#REF!</definedName>
    <definedName name="BExIWKE9MGIDWORBI43AWTUNYFAN" hidden="1">#REF!</definedName>
    <definedName name="BExIX34PM5DBTRHRQWP6PL6WIX88" hidden="1">#REF!</definedName>
    <definedName name="BExIX5OAP9KSUE5SIZCW9P39Q4WE" hidden="1">#REF!</definedName>
    <definedName name="BExIXGRJPVJMUDGSG7IHPXPNO69B" localSheetId="0"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localSheetId="0"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localSheetId="0"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localSheetId="0" hidden="1">#REF!</definedName>
    <definedName name="BExJ0YC98G37ML4N8FLP8D95EFRF" hidden="1">#REF!</definedName>
    <definedName name="BExKCDYKAEV45AFXHVHZZ62E5BM3" localSheetId="0" hidden="1">#REF!</definedName>
    <definedName name="BExKCDYKAEV45AFXHVHZZ62E5BM3" hidden="1">#REF!</definedName>
    <definedName name="BExKDKO0W4AGQO1V7K6Q4VM750FT" hidden="1">#REF!</definedName>
    <definedName name="BExKDLF10G7W77J87QWH3ZGLUCLW"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localSheetId="0"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#N/A</definedName>
    <definedName name="BExKHPM9XA0ADDK7TUR0N38EXWEP" hidden="1">#REF!</definedName>
    <definedName name="BExKI4076KXCDE5KXL79KT36OKLO" hidden="1">#REF!</definedName>
    <definedName name="BExKI7LO70WYISR7Q0Y1ZDWO9M3B" hidden="1">#REF!</definedName>
    <definedName name="BExKIGQV6TXIZG039HBOJU62WP2U" hidden="1">#REF!</definedName>
    <definedName name="BExKILE008SF3KTAN8WML3XKI1NZ" localSheetId="0"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79MJ4X2JPWSEE7UL9K7B7AV" hidden="1">#N/A</definedName>
    <definedName name="BExKJELX2RUC8UEC56IZPYYZXHA7" hidden="1">#REF!</definedName>
    <definedName name="BExKJINMXS61G2TZEXCJAWVV4F57" hidden="1">#REF!</definedName>
    <definedName name="BExKJK5ME8KB7HA0180L7OUZDDGV" hidden="1">#REF!</definedName>
    <definedName name="BExKJN5IF0VMDILJ5K8ZENF2QYV1" localSheetId="0"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IP3NPVH2GNOOYV67SD2W6RB" hidden="1">#REF!</definedName>
    <definedName name="BExKMWBX4EH3EYJ07UFEM08NB40Z" hidden="1">#REF!</definedName>
    <definedName name="BExKNBGV2IR3S7M0BX4810KZB4V3" localSheetId="0"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H4G6WIP8EKJSEO9HIWVORH7" hidden="1">#N/A</definedName>
    <definedName name="BExKOLBKFG0IVZ5TBIKKBE5NXAYE" hidden="1">#REF!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localSheetId="0" hidden="1">#REF!</definedName>
    <definedName name="BExKPX9VZ1J5021Q98K60HMPJU58" hidden="1">#REF!</definedName>
    <definedName name="BExKQ27TLWTB9A5H0QYF2DM21VK9" hidden="1">#N/A</definedName>
    <definedName name="BExKQJGAAWNM3NT19E9I0CQDBTU0" hidden="1">#REF!</definedName>
    <definedName name="BExKQM5GJ1ZN5REKFE7YVBQ0KXWF" hidden="1">#REF!</definedName>
    <definedName name="BExKQOEA7HV9U5DH9C8JXFD62EKH" hidden="1">#N/A</definedName>
    <definedName name="BExKQQ71278061G7ZFYGPWOMOMY2" hidden="1">#REF!</definedName>
    <definedName name="BExKQTXRG3ECU8NT47UR7643LO5G" hidden="1">#REF!</definedName>
    <definedName name="BExKQVL7HPOIZ4FHANDFMVOJLEPR" hidden="1">#REF!</definedName>
    <definedName name="BExKR32XG1WY77WDT8KW9FJPGQTU" hidden="1">#N/A</definedName>
    <definedName name="BExKR7A0AGCI1UC3P4YGXKCK4JOK" hidden="1">#N/A</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DJ6O3E9T8T0OTAT5R92S5DP" localSheetId="0" hidden="1">#REF!</definedName>
    <definedName name="BExKSDJ6O3E9T8T0OTAT5R92S5DP" hidden="1">#REF!</definedName>
    <definedName name="BExKSFMOMSZYDE0WNC94F40S6636" hidden="1">#REF!</definedName>
    <definedName name="BExKSHQ9K79S8KYUWIV5M5LAHHF1" hidden="1">#REF!</definedName>
    <definedName name="BExKSIS3VA1NCEFCZZSIK8B3YIBZ" hidden="1">#N/A</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localSheetId="0" hidden="1">#REF!</definedName>
    <definedName name="BExKUDM0DFSCM3D91SH0XLXJSL18" hidden="1">#REF!</definedName>
    <definedName name="BExKULEKJLA77AUQPDUHSM94Y76Z" hidden="1">#REF!</definedName>
    <definedName name="BExKV08R85MKI3MAX9E2HERNQUNL" localSheetId="0"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localSheetId="0"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#N/A</definedName>
    <definedName name="BExMAXJS82ZJ8RS22VLE0V0LDUII" hidden="1">#REF!</definedName>
    <definedName name="BExMB4QRS0R3MTB4CMUHFZ84LNZQ" hidden="1">#REF!</definedName>
    <definedName name="BExMBC35WKQY5CWQJLV4D05O6971" localSheetId="0" hidden="1">#REF!</definedName>
    <definedName name="BExMBC35WKQY5CWQJLV4D05O6971" hidden="1">#REF!</definedName>
    <definedName name="BExMBFTZV4Q1A5KG25C1N9PHQNSW" hidden="1">#REF!</definedName>
    <definedName name="BExMBK6ISK3U7KHZKUJXIDKGF6VW" localSheetId="0" hidden="1">#REF!</definedName>
    <definedName name="BExMBK6ISK3U7KHZKUJXIDKGF6VW" hidden="1">#REF!</definedName>
    <definedName name="BExMBYPQDG9AYDQ5E8IECVFREPO6" localSheetId="0" hidden="1">#REF!</definedName>
    <definedName name="BExMBYPQDG9AYDQ5E8IECVFREPO6" hidden="1">#REF!</definedName>
    <definedName name="BExMC8AZUTX8LG89K2JJR7ZG62XX" hidden="1">#REF!</definedName>
    <definedName name="BExMCA96YR10V72G2R0SCIKPZLIZ" hidden="1">#REF!</definedName>
    <definedName name="BExMCB5JU5I2VQDUBS4O42BTEVKI" localSheetId="0" hidden="1">#REF!</definedName>
    <definedName name="BExMCB5JU5I2VQDUBS4O42BTEVKI" hidden="1">#REF!</definedName>
    <definedName name="BExMCFSQFSEMPY5IXDIRKZDASDBR"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Y09ESM4H2YGKEQQRYUD114R" hidden="1">#REF!</definedName>
    <definedName name="BExMF4G4IUPQY1Y5GEY5N3E04CL6" localSheetId="0"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73ZUQSF7VEJ8FIY1VE8KT4W" hidden="1">#N/A</definedName>
    <definedName name="BExMG9NSK30KD01QX0UBN2VNRTG4" hidden="1">#N/A</definedName>
    <definedName name="BExMGG3PFIHPHX7NXB7HDFI3N12L" hidden="1">#N/A</definedName>
    <definedName name="BExMH3H9TW5TJCNU5Z1EWXP3BAEP" hidden="1">#REF!</definedName>
    <definedName name="BExMHOWPB34KPZ76M2KIX2C9R2VB" hidden="1">#REF!</definedName>
    <definedName name="BExMHSSYC6KVHA3QDTSYPN92TWMI" hidden="1">#REF!</definedName>
    <definedName name="BExMI0WA793SF41LQ40A28U8OXQY" hidden="1">#N/A</definedName>
    <definedName name="BExMI3AJ9477KDL4T9DHET4LJJTW" hidden="1">#REF!</definedName>
    <definedName name="BExMI6L9KX05GAK523JFKICJMTA5" hidden="1">#N/A</definedName>
    <definedName name="BExMI6QQ20XHD0NWJUN741B37182" hidden="1">#REF!</definedName>
    <definedName name="BExMI8JB94SBD9EMNJEK7Y2T6GYU" hidden="1">#REF!</definedName>
    <definedName name="BExMI8OS85YTW3KYVE4YD0R7Z6UV" localSheetId="0" hidden="1">#REF!</definedName>
    <definedName name="BExMI8OS85YTW3KYVE4YD0R7Z6UV" hidden="1">#REF!</definedName>
    <definedName name="BExMIBOOZU40JS3F89OMPSRCE9MM" hidden="1">#REF!</definedName>
    <definedName name="BExMIIQ5MBWSIHTFWAQADXMZC22Q" hidden="1">#REF!</definedName>
    <definedName name="BExMIL4I2GE866I25CR5JBLJWJ6A" localSheetId="0" hidden="1">#REF!</definedName>
    <definedName name="BExMIL4I2GE866I25CR5JBLJWJ6A" hidden="1">#REF!</definedName>
    <definedName name="BExMIRKIPF27SNO82SPFSB3T5U17" localSheetId="0" hidden="1">#REF!</definedName>
    <definedName name="BExMIRKIPF27SNO82SPFSB3T5U17" hidden="1">#REF!</definedName>
    <definedName name="BExMIV0KC8555D5E42ZGWG15Y0MO" hidden="1">#REF!</definedName>
    <definedName name="BExMIZT6AN7E6YMW2S87CTCN2UXH" hidden="1">#REF!</definedName>
    <definedName name="BExMJ15T9F3475M0896SG60TN0SR" hidden="1">#N/A</definedName>
    <definedName name="BExMJNC8ZFB9DRFOJ961ZAJ8U3A8" localSheetId="0" hidden="1">#REF!</definedName>
    <definedName name="BExMJNC8ZFB9DRFOJ961ZAJ8U3A8" hidden="1">#REF!</definedName>
    <definedName name="BExMJTBV8A3D31W2IQHP9RDFPPHQ" hidden="1">#REF!</definedName>
    <definedName name="BExMK2RTXN4QJWEUNX002XK8VQP8" hidden="1">#REF!</definedName>
    <definedName name="BExMK8GNVLQNRGKY522KFHNRBWHH" hidden="1">#REF!</definedName>
    <definedName name="BExMKBGQDUZ8AWXYHA3QVMSDVZ3D" hidden="1">#REF!</definedName>
    <definedName name="BExMKBM1467553LDFZRRKVSHN374" hidden="1">#REF!</definedName>
    <definedName name="BExMKGK5FJUC0AU8MABRGDC5ZM70" hidden="1">#REF!</definedName>
    <definedName name="BExMKTW7R5SOV4PHAFGHU3W73DYE" localSheetId="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5UJOEW3J5OO03E5ABKNN86K" hidden="1">#N/A</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localSheetId="0" hidden="1">#REF!</definedName>
    <definedName name="BExMMPMIOU7BURTV0L1K6ACW9X73" hidden="1">#REF!</definedName>
    <definedName name="BExMMQ835AJDHS4B419SS645P67Q" hidden="1">#REF!</definedName>
    <definedName name="BExMMQIUVPCOBISTEJJYNCCLUCPY" localSheetId="0" hidden="1">#REF!</definedName>
    <definedName name="BExMMQIUVPCOBISTEJJYNCCLUCPY" hidden="1">#REF!</definedName>
    <definedName name="BExMMTIXETA5VAKBSOFDD5SRU887" hidden="1">#REF!</definedName>
    <definedName name="BExMMV0P6P5YS3C35G0JYYHI7992" localSheetId="0" hidden="1">#REF!</definedName>
    <definedName name="BExMMV0P6P5YS3C35G0JYYHI7992" hidden="1">#REF!</definedName>
    <definedName name="BExMNDR4V2VG5RFZDGTAGD3Q9PPG" hidden="1">#N/A</definedName>
    <definedName name="BExMNJLFWZBRN9PZF1IO9CYWV1B2" hidden="1">#REF!</definedName>
    <definedName name="BExMNKCJ0FA57YEUUAJE43U1QN5P" hidden="1">#REF!</definedName>
    <definedName name="BExMNKN4ZLYX2TVHTK9DIRIEIXNI"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localSheetId="0"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localSheetId="0" hidden="1">#REF!</definedName>
    <definedName name="BExMRENOIARWRYOIVPDIEBVNRDO7" hidden="1">#REF!</definedName>
    <definedName name="BExMRQHUEHGF2FS4LCB0THFELGDI" hidden="1">#N/A</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4M9K2CBU94O8MQ66XTL8BVK4" hidden="1">#N/A</definedName>
    <definedName name="BExO55G2KVZ7MIJ30N827CLH0I2A" hidden="1">#REF!</definedName>
    <definedName name="BExO5A8PZD9EUHC5CMPU6N3SQ15L" hidden="1">#REF!</definedName>
    <definedName name="BExO5XMAHL7CY3X0B1OPKZ28DCJ5" localSheetId="0" hidden="1">#REF!</definedName>
    <definedName name="BExO5XMAHL7CY3X0B1OPKZ28DCJ5" hidden="1">#REF!</definedName>
    <definedName name="BExO66LZJKY4PTQVREELI6POS4AY" localSheetId="0" hidden="1">#REF!</definedName>
    <definedName name="BExO66LZJKY4PTQVREELI6POS4AY" hidden="1">#REF!</definedName>
    <definedName name="BExO6LLHCYTF7CIVHKAO0NMET14Q" hidden="1">#REF!</definedName>
    <definedName name="BExO6MN53L63FI6CINVH1HAE93OS" hidden="1">#REF!</definedName>
    <definedName name="BExO7OUQS3XTUQ2LDKGQ8AAQ3OJJ" hidden="1">#REF!</definedName>
    <definedName name="BExO7RUSODZC2NQZMT2AFSMV2ONF" hidden="1">#N/A</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#N/A</definedName>
    <definedName name="BExO8UTAGQWDBQZEEF4HUNMLQCVU" localSheetId="0" hidden="1">#REF!</definedName>
    <definedName name="BExO8UTAGQWDBQZEEF4HUNMLQCVU" hidden="1">#REF!</definedName>
    <definedName name="BExO937E20IHMGQOZMECL3VZC7OX" hidden="1">#REF!</definedName>
    <definedName name="BExO94UTJKQQ7TJTTJRTSR70YVJC" hidden="1">#REF!</definedName>
    <definedName name="BExO9J3A438976RXIUX5U9SU5T55" localSheetId="0"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9KT2THGV4SPLDVFTFXS4B14" hidden="1">#REF!</definedName>
    <definedName name="BExOBEZ0IE2WBEYY3D3CMRI72N1K" hidden="1">#REF!</definedName>
    <definedName name="BExOBIPU8760ITY0C8N27XZ3KWEF" localSheetId="0"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localSheetId="0"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localSheetId="0" hidden="1">#REF!</definedName>
    <definedName name="BExOD55RS7BQUHRQ6H3USVGKR0P7" hidden="1">#REF!</definedName>
    <definedName name="BExODEWDDEABM4ZY3XREJIBZ8IVP" localSheetId="0" hidden="1">#REF!</definedName>
    <definedName name="BExODEWDDEABM4ZY3XREJIBZ8IVP" hidden="1">#REF!</definedName>
    <definedName name="BExODNLAA1L7WQ9ZQX6A1ZOXK9VR" hidden="1">#N/A</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VLXVD6RVHSQO8KZOOACSV24" hidden="1">#REF!</definedName>
    <definedName name="BExOG1GGPOEJA8YA0I1O3W14XUEJ" hidden="1">#N/A</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localSheetId="0"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localSheetId="0" hidden="1">#REF!</definedName>
    <definedName name="BExOIM7L0Z3LSII9P7ZTV4KJ8RMA" hidden="1">#REF!</definedName>
    <definedName name="BExOIWJVMJ6MG6JC4SPD1L00OHU1" hidden="1">#REF!</definedName>
    <definedName name="BExOIYCN8Z4JK3OOG86KYUCV0ME8" hidden="1">#REF!</definedName>
    <definedName name="BExOJ1XYRKZ3IHR4RLZGMIPDXZ2R" hidden="1">#REF!</definedName>
    <definedName name="BExOJ3AKZ9BCBZT3KD8WMSLK6MN2" hidden="1">#REF!</definedName>
    <definedName name="BExOJ7XQK71I4YZDD29AKOOWZ47E" localSheetId="0"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ALMRG8DCNFE2TU3GVQNB5QN" hidden="1">#REF!</definedName>
    <definedName name="BExOKKHOPWUVRJGQJ5ONR2U40JX8" hidden="1">#N/A</definedName>
    <definedName name="BExOKO34TA9XYUZZCXN78ABZR4X3"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localSheetId="0"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localSheetId="0" hidden="1">#REF!</definedName>
    <definedName name="BExQ19DEUOLC11IW32E2AMVZLFF1" hidden="1">#REF!</definedName>
    <definedName name="BExQ1FD6KISGYU1JWEQ4G243ZPVD" hidden="1">#N/A</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MIWLHNKYN9O70NCBXLZ58CB" hidden="1">#N/A</definedName>
    <definedName name="BExQ300G8I8TK45A0MVHV15422EU" hidden="1">#REF!</definedName>
    <definedName name="BExQ39R28MXSG2SEV956F0KZ20AN" hidden="1">#REF!</definedName>
    <definedName name="BExQ3D1P3M5Z3HLMEZ17E0BLEE4U" hidden="1">#REF!</definedName>
    <definedName name="BExQ3O4W7QF8BOXTUT4IOGF6YKUD" localSheetId="0"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#N/A</definedName>
    <definedName name="BExQ4BTBSHPHVEDRCXC2ROW8PLFC" hidden="1">#REF!</definedName>
    <definedName name="BExQ4DGKF54SRKQUTUT4B1CZSS62" hidden="1">#REF!</definedName>
    <definedName name="BExQ4T74LQ5PYTV1MUQUW75A4BDY" hidden="1">#REF!</definedName>
    <definedName name="BExQ4VAMMKKMBDUHD2QN0XUHUXXU" hidden="1">#REF!</definedName>
    <definedName name="BExQ4XJHD7EJCNH7S1MJDZJ2MNWG" hidden="1">#REF!</definedName>
    <definedName name="BExQ5039ZCEWBUJHU682G4S89J03" hidden="1">#REF!</definedName>
    <definedName name="BExQ56Z9W6YHZHRXOFFI8EFA7CDI" localSheetId="0" hidden="1">#REF!</definedName>
    <definedName name="BExQ56Z9W6YHZHRXOFFI8EFA7CDI" hidden="1">#REF!</definedName>
    <definedName name="BExQ5KX3Z668H1KUCKZ9J24HUQ1F" hidden="1">#REF!</definedName>
    <definedName name="BExQ5SPMSOCJYLAY20NB5A6O32RE" hidden="1">#REF!</definedName>
    <definedName name="BExQ5UICMGTMK790KTLK49MAGXRC" hidden="1">#REF!</definedName>
    <definedName name="BExQ5VEQEIJO7YY80OJTA3XRQYJ9" hidden="1">#N/A</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localSheetId="0"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UC0NYZM41F4MA8OXQZY3B3" hidden="1">#REF!</definedName>
    <definedName name="BExQ7XL1FIYPP42CTVM2GJQR8ODN" hidden="1">#N/A</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localSheetId="0"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localSheetId="0" hidden="1">#REF!</definedName>
    <definedName name="BExQ8ZCEDBOBJA3D9LDP5TU2WYGR" hidden="1">#REF!</definedName>
    <definedName name="BExQ94LAW6MAQBWY25WTBFV5PPZJ" localSheetId="0" hidden="1">#REF!</definedName>
    <definedName name="BExQ94LAW6MAQBWY25WTBFV5PPZJ" hidden="1">#REF!</definedName>
    <definedName name="BExQ97QIPOSSRK978N8P234Y1XA4" localSheetId="0" hidden="1">#REF!</definedName>
    <definedName name="BExQ97QIPOSSRK978N8P234Y1XA4" hidden="1">#REF!</definedName>
    <definedName name="BExQ9E6FBAXTHGF3RXANFIA77GXP" localSheetId="0" hidden="1">#REF!</definedName>
    <definedName name="BExQ9E6FBAXTHGF3RXANFIA77GXP" hidden="1">#REF!</definedName>
    <definedName name="BExQ9F2YH4UUCCMQITJ475B3S3NP" hidden="1">#N/A</definedName>
    <definedName name="BExQ9KX9734KIAK7IMRLHCPYDHO2" hidden="1">#REF!</definedName>
    <definedName name="BExQ9L81FF4I7816VTPFBDWVU4CW" hidden="1">#REF!</definedName>
    <definedName name="BExQ9M4E2ACZOWWWP1JJIQO8AHUM" hidden="1">#REF!</definedName>
    <definedName name="BExQ9UTANMJCK7LJ4OQMD6F2Q01L" localSheetId="0" hidden="1">#REF!</definedName>
    <definedName name="BExQ9UTANMJCK7LJ4OQMD6F2Q01L" hidden="1">#REF!</definedName>
    <definedName name="BExQ9ZLYHWABXAA9NJDW8ZS0UQ9P" localSheetId="0" hidden="1">#REF!</definedName>
    <definedName name="BExQ9ZLYHWABXAA9NJDW8ZS0UQ9P" hidden="1">#REF!</definedName>
    <definedName name="BExQA07IWN6O3OI4H7SU9E9UBKVZ" hidden="1">#REF!</definedName>
    <definedName name="BExQA324HSCK40ENJUT9CS9EC71B" hidden="1">#REF!</definedName>
    <definedName name="BExQA55GY0STSNBWQCWN8E31ZXCS" hidden="1">#REF!</definedName>
    <definedName name="BExQA9HZIN9XEMHEEVHT99UU9Z82" hidden="1">#REF!</definedName>
    <definedName name="BExQAELFYH92K8CJL155181UDORO" localSheetId="0" hidden="1">#REF!</definedName>
    <definedName name="BExQAELFYH92K8CJL155181UDORO" hidden="1">#REF!</definedName>
    <definedName name="BExQAG8PP8R5NJKNQD1U4QOSD6X5" hidden="1">#REF!</definedName>
    <definedName name="BExQB6WYCJ2NAEL801BCC8P9XGS4" hidden="1">#N/A</definedName>
    <definedName name="BExQBDICMZTSA1X73TMHNO4JSFLN" localSheetId="0"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L457VW6QHB0GFBFBFJF57JM" hidden="1">#REF!</definedName>
    <definedName name="BExQD571YWOXKR2SX85K5MKQ0AO2" hidden="1">#REF!</definedName>
    <definedName name="BExQDB6VCHN8PNX8EA6JNIEQ2JC2" localSheetId="0" hidden="1">#REF!</definedName>
    <definedName name="BExQDB6VCHN8PNX8EA6JNIEQ2JC2" hidden="1">#REF!</definedName>
    <definedName name="BExQDE1B6U2Q9B73KBENABP71YM1" hidden="1">#REF!</definedName>
    <definedName name="BExQDGQCN7ZW41QDUHOBJUGQAX40" hidden="1">#REF!</definedName>
    <definedName name="BExQEC7BRIJ30PTU3UPFOIP2HPE3" hidden="1">#N/A</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localSheetId="0"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localSheetId="0" hidden="1">#REF!</definedName>
    <definedName name="BExQHZBHVN2L4HC7ACTR73T5OCV0" hidden="1">#REF!</definedName>
    <definedName name="BExQI85V9TNLDJT5LTRZS10Y26SG" localSheetId="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AYBEPPWN5GDBOQ6IJLZ9L" hidden="1">#N/A</definedName>
    <definedName name="BExQIVJB9MJ25NDUHTCVMSODJY2C" hidden="1">#REF!</definedName>
    <definedName name="BExQJ3BV5BMZ3948V5V05ZRCM2WC" hidden="1">#REF!</definedName>
    <definedName name="BExQJBF7LAX128WR7VTMJC88ZLPG" hidden="1">#REF!</definedName>
    <definedName name="BExQJEVCKX6KZHNCLYXY7D0MX5KN" localSheetId="0"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localSheetId="0"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localSheetId="0" hidden="1">#REF!</definedName>
    <definedName name="BExS0GHQUF6YT0RU3TKDEO8CSJYB" hidden="1">#REF!</definedName>
    <definedName name="BExS0K8IHC45I78DMZBOJ1P13KQA" hidden="1">#REF!</definedName>
    <definedName name="BExS0TZ3GC94JCVS6J3QMVQ11SP8" hidden="1">#N/A</definedName>
    <definedName name="BExS152B2LFCRAUHSLI5T6QRNII0" hidden="1">#N/A</definedName>
    <definedName name="BExS15IJV0WW662NXQUVT3FGP4ST" hidden="1">#REF!</definedName>
    <definedName name="BExS194110MR25BYJI3CJ2EGZ8XT" hidden="1">#REF!</definedName>
    <definedName name="BExS1BNVGNSGD4EP90QL8WXYWZ66" localSheetId="0" hidden="1">#REF!</definedName>
    <definedName name="BExS1BNVGNSGD4EP90QL8WXYWZ66" hidden="1">#REF!</definedName>
    <definedName name="BExS1UE39N6NCND7MAARSBWXS6HU" localSheetId="0" hidden="1">#REF!</definedName>
    <definedName name="BExS1UE39N6NCND7MAARSBWXS6HU" hidden="1">#REF!</definedName>
    <definedName name="BExS1XJCWV6KVJQWVSS4G6RPC39K" hidden="1">#REF!</definedName>
    <definedName name="BExS226HTWL5WVC76MP5A1IBI8WD" hidden="1">#REF!</definedName>
    <definedName name="BExS26OI2QNNAH2WMDD95Z400048" hidden="1">#REF!</definedName>
    <definedName name="BExS2DF6B4ZUF3VZLI4G6LJ3BF38" hidden="1">#REF!</definedName>
    <definedName name="BExS2QB5FS5LYTFYO4BROTWG3OV5" localSheetId="0" hidden="1">#REF!</definedName>
    <definedName name="BExS2QB5FS5LYTFYO4BROTWG3OV5" hidden="1">#REF!</definedName>
    <definedName name="BExS2TLU1HONYV6S3ZD9T12D7CIG" hidden="1">#REF!</definedName>
    <definedName name="BExS318UV9I2FXPQQWUKKX00QLPJ" localSheetId="0"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#N/A</definedName>
    <definedName name="BExS5L3TGB8JVW9ROYWTKYTUPW27" hidden="1">#REF!</definedName>
    <definedName name="BExS5P044XSL2KCZRFJ09XGN9SS3"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localSheetId="0"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localSheetId="0" hidden="1">#REF!</definedName>
    <definedName name="BExSCE99EZTILTTCE4NJJF96OYYM" hidden="1">#REF!</definedName>
    <definedName name="BExSCHUQZ2HFEWS54X67DIS8OSXZ" hidden="1">#REF!</definedName>
    <definedName name="BExSCOG41SKKG4GYU76WRWW1CTE6" hidden="1">#REF!</definedName>
    <definedName name="BExSCVC9P86YVFMRKKUVRV29MZXZ" localSheetId="0" hidden="1">#REF!</definedName>
    <definedName name="BExSCVC9P86YVFMRKKUVRV29MZXZ" hidden="1">#REF!</definedName>
    <definedName name="BExSD233CH4MU9ZMGNRF97ZV7KWU" hidden="1">#REF!</definedName>
    <definedName name="BExSD2U0F3BN6IN9N4R2DTTJG15H" hidden="1">#REF!</definedName>
    <definedName name="BExSD6A6NY15YSMFH51ST6XJY429" localSheetId="0"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#N/A</definedName>
    <definedName name="BExSF07QFLZCO4P6K6QF05XG7PH1" hidden="1">#REF!</definedName>
    <definedName name="BExSFELNPJYUZX393PKWKNNZYV1N" hidden="1">#N/A</definedName>
    <definedName name="BExSFEQYFNHXMU9WARNDPSZU80TL" hidden="1">#REF!</definedName>
    <definedName name="BExSFJ8ZAGQ63A4MVMZRQWLVRGQ5" hidden="1">#REF!</definedName>
    <definedName name="BExSFKQRST2S9KXWWLCXYLKSF4G1" hidden="1">#REF!</definedName>
    <definedName name="BExSFYDRRTAZVPXRWUF5PDQ97WFF" localSheetId="0" hidden="1">#REF!</definedName>
    <definedName name="BExSFYDRRTAZVPXRWUF5PDQ97WFF" hidden="1">#REF!</definedName>
    <definedName name="BExSFZ4N0AA869YA87D8RACVRB59"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localSheetId="0" hidden="1">#REF!</definedName>
    <definedName name="BExSGLB2URTLBCKBB4Y885W925F2" hidden="1">#REF!</definedName>
    <definedName name="BExSGOAYG73SFWOPAQV80P710GID" hidden="1">#REF!</definedName>
    <definedName name="BExSGOWJHRW7FWKLO2EHUOOGHNAF" localSheetId="0"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localSheetId="0"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#N/A</definedName>
    <definedName name="BExTTZNS2PBCR93C9IUW49UZ4I6T" localSheetId="0"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localSheetId="0" hidden="1">#REF!</definedName>
    <definedName name="BExTUY9WNSJ91GV8CP0SKJTEIV82" hidden="1">#REF!</definedName>
    <definedName name="BExTV2BMW8SDAX95MDDLSMAK2B2U" hidden="1">#REF!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06U9LH6ONWWJG2JT2IE7FHL"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localSheetId="0" hidden="1">#REF!</definedName>
    <definedName name="BExTXJ6HBAIXMMWKZTJNFDYVZCAY" hidden="1">#REF!</definedName>
    <definedName name="BExTXT812NQT8GAEGH738U29BI0D" hidden="1">#REF!</definedName>
    <definedName name="BExTXWIP2TFPTQ76NHFOB72NICRZ" localSheetId="0" hidden="1">#REF!</definedName>
    <definedName name="BExTXWIP2TFPTQ76NHFOB72NICRZ" hidden="1">#REF!</definedName>
    <definedName name="BExTY5T62H651VC86QM4X7E28JVA" hidden="1">#REF!</definedName>
    <definedName name="BExTYHCJJ2NWRM1RV59FYR41534U" hidden="1">#N/A</definedName>
    <definedName name="BExTYKCEFJ83LZM95M1V7CSFQVEA" localSheetId="0"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localSheetId="0"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PEM8EH8CIO6VUZGLP3N5CD7" hidden="1">#N/A</definedName>
    <definedName name="BExTZWG2IY38WXV9B5G0FO8I1U34" hidden="1">#N/A</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#N/A</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localSheetId="0" hidden="1">#REF!</definedName>
    <definedName name="BExU1PH9MOEX1JZVZ3D5M9DXB191" hidden="1">#REF!</definedName>
    <definedName name="BExU1QZEEKJA35IMEOLOJ3ODX0ZA" hidden="1">#REF!</definedName>
    <definedName name="BExU1VRURIWWVJ95O40WA23LMTJD" hidden="1">#REF!</definedName>
    <definedName name="BExU2M5CK6XK55UIHDVYRXJJJRI4" hidden="1">#REF!</definedName>
    <definedName name="BExU2TXVT25ZTOFQAF6CM53Z1RLF" localSheetId="0" hidden="1">#REF!</definedName>
    <definedName name="BExU2TXVT25ZTOFQAF6CM53Z1RLF" hidden="1">#REF!</definedName>
    <definedName name="BExU2XZLYIU19G7358W5T9E87AFR" hidden="1">#REF!</definedName>
    <definedName name="BExU3B66MCKJFSKT3HL8B5EJGVX0" localSheetId="0" hidden="1">#REF!</definedName>
    <definedName name="BExU3B66MCKJFSKT3HL8B5EJGVX0" hidden="1">#REF!</definedName>
    <definedName name="BExU3RIAP478GJ8A7T5UZ359QZ07" hidden="1">#REF!</definedName>
    <definedName name="BExU3UNI9NR1RNZR07NSLSZMDOQQ" hidden="1">#REF!</definedName>
    <definedName name="BExU401R18N6XKZKL7CNFOZQCM14" hidden="1">#REF!</definedName>
    <definedName name="BExU42QVGY7TK39W1BIN6CDRG2OE" hidden="1">#REF!</definedName>
    <definedName name="BExU44P2AEX6PD8VC4ISCROUCQSP" hidden="1">#N/A</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localSheetId="0" hidden="1">#REF!</definedName>
    <definedName name="BExU4I148DA7PRCCISLWQ6ABXFK6" hidden="1">#REF!</definedName>
    <definedName name="BExU4L101H2KQHVKCKQ4PBAWZV6K" localSheetId="0" hidden="1">#REF!</definedName>
    <definedName name="BExU4L101H2KQHVKCKQ4PBAWZV6K" hidden="1">#REF!</definedName>
    <definedName name="BExU4NA00RRRBGRT6TOB0MXZRCRZ" hidden="1">#REF!</definedName>
    <definedName name="BExU51IFNZXPBDES28457LR8X60M" hidden="1">#N/A</definedName>
    <definedName name="BExU529I6YHVOG83TJHWSILIQU1S" hidden="1">#REF!</definedName>
    <definedName name="BExU57YCIKPRD8QWL6EU0YR3NG3J" localSheetId="0" hidden="1">#REF!</definedName>
    <definedName name="BExU57YCIKPRD8QWL6EU0YR3NG3J" hidden="1">#REF!</definedName>
    <definedName name="BExU5DSTBWXLN6E59B757KRWRI6E" localSheetId="0" hidden="1">#REF!</definedName>
    <definedName name="BExU5DSTBWXLN6E59B757KRWRI6E" hidden="1">#REF!</definedName>
    <definedName name="BExU5GHXELYT04RGYBR3TYVLLUYB" hidden="1">#N/A</definedName>
    <definedName name="BExU5RVXC6OM8W2ZWGYXVJVHX11T" hidden="1">#N/A</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localSheetId="0"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localSheetId="0"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localSheetId="0" hidden="1">#REF!</definedName>
    <definedName name="BExU86NB26MCPYIISZ36HADONGT2" hidden="1">#REF!</definedName>
    <definedName name="BExU885EZZNSZV3GP298UJ8LB7OL" hidden="1">#REF!</definedName>
    <definedName name="BExU8FSAUP9TUZ1NO9WXK80QPHWV" localSheetId="0" hidden="1">#REF!</definedName>
    <definedName name="BExU8FSAUP9TUZ1NO9WXK80QPHWV" hidden="1">#REF!</definedName>
    <definedName name="BExU8KFLAN778MBN93NYZB0FV30G" hidden="1">#REF!</definedName>
    <definedName name="BExU8UX9JX3XLB47YZ8GFXE0V7R2" hidden="1">#REF!</definedName>
    <definedName name="BExU91DC3DGKPZD6LTER2IRTF89C" hidden="1">#N/A</definedName>
    <definedName name="BExU96M1J7P9DZQ3S9H0C12KGYTW" hidden="1">#REF!</definedName>
    <definedName name="BExU9F05OR1GZ3057R6UL3WPEIYI" hidden="1">#REF!</definedName>
    <definedName name="BExU9GCSO5YILIKG6VAHN13DL75K" hidden="1">#REF!</definedName>
    <definedName name="BExU9KJOZLO15N11MJVN782NFGJ0" localSheetId="0"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AH221G0RUKN9LT0IWY3165Q"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E15QPA5NZNFLW5K2X8EDCVY" hidden="1">#REF!</definedName>
    <definedName name="BExUBKXBUCN760QYU7Q8GESBWOQH" hidden="1">#REF!</definedName>
    <definedName name="BExUBL83ED0P076RN9RJ8P1MZ299" localSheetId="0"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localSheetId="0" hidden="1">#REF!</definedName>
    <definedName name="BExUD4IOJ12X3PJG5WXNNGDRCKAP" hidden="1">#REF!</definedName>
    <definedName name="BExUD90JKWQMHVOZT5ZCEIHU9AOT" hidden="1">#REF!</definedName>
    <definedName name="BExUD9WX9BWK72UWVSLYZJLAY5VY" hidden="1">#REF!</definedName>
    <definedName name="BExUDBEUJH9IACZDBL1VAUWPG0QW" hidden="1">#N/A</definedName>
    <definedName name="BExUDEV0CYVO7Y5IQQBEJ6FUY9S6" hidden="1">#REF!</definedName>
    <definedName name="BExUDWOXQGIZW0EAIIYLQUPXF8YV" localSheetId="0" hidden="1">#REF!</definedName>
    <definedName name="BExUDWOXQGIZW0EAIIYLQUPXF8YV" hidden="1">#REF!</definedName>
    <definedName name="BExUDXAIC17W1FUU8Z10XUAVB7CS" hidden="1">#REF!</definedName>
    <definedName name="BExUE5OMY7OAJQ9WR8C8HG311ORP" hidden="1">#REF!</definedName>
    <definedName name="BExUEFKOQWXXGRNLAOJV2BJ66UB8" localSheetId="0"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localSheetId="0" hidden="1">#REF!</definedName>
    <definedName name="BExVSTFTVV14SFGHQUOJL5SQ5TX9" hidden="1">#REF!</definedName>
    <definedName name="BExVT3MPE8LQ5JFN3HQIFKSQ80U4" hidden="1">#REF!</definedName>
    <definedName name="BExVT7TRK3NZHPME2TFBXOF1WBR9" hidden="1">#REF!</definedName>
    <definedName name="BExVT9H0R0T7WGQAAC0HABMG54YM" localSheetId="0" hidden="1">#REF!</definedName>
    <definedName name="BExVT9H0R0T7WGQAAC0HABMG54YM" hidden="1">#REF!</definedName>
    <definedName name="BExVTCMDDEDGLUIMUU6BSFHEWTOP" hidden="1">#REF!</definedName>
    <definedName name="BExVTCMDQMLKRA2NQR72XU6Y54IK" localSheetId="0"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V5T14N2HZIK7HQ4P2KG09U0J" hidden="1">#REF!</definedName>
    <definedName name="BExVV7R410VYLADLX9LNG63ID6H1" hidden="1">#REF!</definedName>
    <definedName name="BExVVA03RCXYOCRVTNOLNEYWHIKZ" hidden="1">#N/A</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localSheetId="0" hidden="1">#REF!</definedName>
    <definedName name="BExVW5X571GEYR5SCU1Z2DHKWM79" hidden="1">#REF!</definedName>
    <definedName name="BExVW6YTKA098AF57M4PHNQ54XMH" hidden="1">#REF!</definedName>
    <definedName name="BExVWINKCH0V0NUWH363SMXAZE62" hidden="1">#REF!</definedName>
    <definedName name="BExVWY3CO5X3NWO843J86GA3IJYS" hidden="1">#N/A</definedName>
    <definedName name="BExVWYU8EK669NP172GEIGCTVPPA" hidden="1">#REF!</definedName>
    <definedName name="BExVX3MVJ0GHWPP1EL59ZQNKMX0B" hidden="1">#N/A</definedName>
    <definedName name="BExVX3XN2DRJKL8EDBIG58RYQ36R" hidden="1">#REF!</definedName>
    <definedName name="BExVX48G0J7DY5O1U4DZPG8QY3H0" hidden="1">#N/A</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localSheetId="0"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VZXONPIQ74WYP802STZ7RCS2S" hidden="1">#REF!</definedName>
    <definedName name="BExW0386REQRCQCVT9BCX80UPTRY" localSheetId="0" hidden="1">#REF!</definedName>
    <definedName name="BExW0386REQRCQCVT9BCX80UPTRY" hidden="1">#REF!</definedName>
    <definedName name="BExW0FYP4WXY71CYUG40SUBG9UWU" localSheetId="0"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QV7KYMNIHVF5MC7H059DW4K" hidden="1">#REF!</definedName>
    <definedName name="BExW1TKA0Z9OP2DTG50GZR5EG8C7" localSheetId="0"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localSheetId="0" hidden="1">#REF!</definedName>
    <definedName name="BExW3FEO8FI8N6AGQKYEG4SQVJWB" hidden="1">#REF!</definedName>
    <definedName name="BExW3GB28STOMJUSZEIA7YKYNS4Y" localSheetId="0" hidden="1">#REF!</definedName>
    <definedName name="BExW3GB28STOMJUSZEIA7YKYNS4Y" hidden="1">#REF!</definedName>
    <definedName name="BExW3T1K638HT5E0Y8MMK108P5JT" hidden="1">#REF!</definedName>
    <definedName name="BExW3UOY63GH0L5T9QEQ2LELTILS" hidden="1">#REF!</definedName>
    <definedName name="BExW4217ZHL9VO39POSTJOD090WU" hidden="1">#REF!</definedName>
    <definedName name="BExW4GPW71EBF8XPS2QGVQHBCDX3" localSheetId="0" hidden="1">#REF!</definedName>
    <definedName name="BExW4GPW71EBF8XPS2QGVQHBCDX3" hidden="1">#REF!</definedName>
    <definedName name="BExW4JKC5837JBPCOJV337ZVYYY3" localSheetId="0" hidden="1">#REF!</definedName>
    <definedName name="BExW4JKC5837JBPCOJV337ZVYYY3" hidden="1">#REF!</definedName>
    <definedName name="BExW4QR9FV9MP5K610THBSM51RYO" localSheetId="0" hidden="1">#REF!</definedName>
    <definedName name="BExW4QR9FV9MP5K610THBSM51RYO" hidden="1">#REF!</definedName>
    <definedName name="BExW4Z029R9E19ZENN3WEA3VDAD1" localSheetId="0" hidden="1">#REF!</definedName>
    <definedName name="BExW4Z029R9E19ZENN3WEA3VDAD1"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PSEN2G1WUXY9RKKQDCG44NV" hidden="1">#REF!</definedName>
    <definedName name="BExW6QJB6WOWCN69B0GYAK2YQ3YB" hidden="1">#REF!</definedName>
    <definedName name="BExW794A74Z5F2K8LVQLD6VSKXUE" hidden="1">#REF!</definedName>
    <definedName name="BExW8K0SSIPSKBVP06IJ71600HJZ" localSheetId="0" hidden="1">#REF!</definedName>
    <definedName name="BExW8K0SSIPSKBVP06IJ71600HJZ" hidden="1">#REF!</definedName>
    <definedName name="BExW8NM8DJJESE7GF7VGTO2XO6P1" hidden="1">#N/A</definedName>
    <definedName name="BExW8T0GVY3ZYO4ACSBLHS8SH895" hidden="1">#REF!</definedName>
    <definedName name="BExW8YEP73JMMU9HZ08PM4WHJQZ4" hidden="1">#REF!</definedName>
    <definedName name="BExW937AT53OZQRHNWQZ5BVH24IE" hidden="1">#REF!</definedName>
    <definedName name="BExW95LN5N0LYFFVP7GJEGDVDLF0" localSheetId="0" hidden="1">#REF!</definedName>
    <definedName name="BExW95LN5N0LYFFVP7GJEGDVDLF0" hidden="1">#REF!</definedName>
    <definedName name="BExW967733Q8RAJOHR2GJ3HO8JIW" hidden="1">#REF!</definedName>
    <definedName name="BExW9POK1KIOI0ALS5MZIKTDIYMA" hidden="1">#REF!</definedName>
    <definedName name="BExW9TVLB7OIHTG98I7I4EXBL61S" hidden="1">#N/A</definedName>
    <definedName name="BExXLDE6PN4ESWT3LXJNQCY94NE4" hidden="1">#REF!</definedName>
    <definedName name="BExXLQVPK2H3IF0NDDA5CT612EUK" hidden="1">#REF!</definedName>
    <definedName name="BExXLR6IO70TYTACKQH9M5PGV24J" hidden="1">#REF!</definedName>
    <definedName name="BExXLRS2Q50YG3NTQKTKCLIQAYQY" hidden="1">#REF!</definedName>
    <definedName name="BExXM065WOLYRYHGHOJE0OOFXA4M" hidden="1">#REF!</definedName>
    <definedName name="BExXM3GUNXVDM82KUR17NNUMQCNI" hidden="1">#REF!</definedName>
    <definedName name="BExXMA28M8SH7MKIGETSDA72WUIZ" hidden="1">#REF!</definedName>
    <definedName name="BExXMOLHIAHDLFSA31PUB36SC3I9" localSheetId="0"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#N/A</definedName>
    <definedName name="BExXN6QAP8UJQVN4R4BQKPP4QK35" hidden="1">#REF!</definedName>
    <definedName name="BExXNBOA39T2X6Y5Y5GZ5DDNA1AX" hidden="1">#REF!</definedName>
    <definedName name="BExXND6872VJ3M2PGT056WQMWBHD" localSheetId="0"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localSheetId="0" hidden="1">#REF!</definedName>
    <definedName name="BExXPELOTHOAG0OWILLAH94OZV5J" hidden="1">#REF!</definedName>
    <definedName name="BExXPS31W1VD2NMIE4E37LHVDF0L" hidden="1">#REF!</definedName>
    <definedName name="BExXPZKYEMVF5JOC14HYOOYQK6JK" localSheetId="0"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#N/A</definedName>
    <definedName name="BExXQJIEF5R3QQ6D8HO3NGPU0IQC" localSheetId="0" hidden="1">#REF!</definedName>
    <definedName name="BExXQJIEF5R3QQ6D8HO3NGPU0IQC" hidden="1">#REF!</definedName>
    <definedName name="BExXQU00K9ER4I1WM7T9J0W1E7ZC" hidden="1">#REF!</definedName>
    <definedName name="BExXQU00KOR7XLM8B13DGJ1MIQDY" hidden="1">#REF!</definedName>
    <definedName name="BExXQXG18PS8HGBOS03OSTQ0KEYC" localSheetId="0"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#N/A</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SA382M6V21QBI1MUU12UIRU"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localSheetId="0"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localSheetId="0"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#N/A</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VFIBQT8OY1O41FRFPFGXQHK" localSheetId="0"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0XT6GJE3MTRO04N33LOBYO1"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ZEDWUYH25UZMW2QU2RXFILJE" hidden="1">#N/A</definedName>
    <definedName name="BExXZFVV4YB42AZ3H1I40YG3JAPU" hidden="1">#REF!</definedName>
    <definedName name="BExXZHJ9T2JELF12CHHGD54J1B0C" hidden="1">#REF!</definedName>
    <definedName name="BExXZNJ2X1TK2LRK5ZY3MX49H5T7" localSheetId="0"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212PX1L7QAXA83LQAJ6TEIS" hidden="1">#REF!</definedName>
    <definedName name="BExY17FABGPJJ2J9XI5X53R8O7JR" hidden="1">#REF!</definedName>
    <definedName name="BExY17KKZ7QY5ESCFC2U053SPI6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localSheetId="0"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localSheetId="0"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1FNC1LPQCN87SH9EXI7ZTSQ" hidden="1">#REF!</definedName>
    <definedName name="BExY53J7EXFEOFTRNAHLK7IH3ACB" hidden="1">#REF!</definedName>
    <definedName name="BExY5515SJTJS3VM80M3YYR0WF37" hidden="1">#REF!</definedName>
    <definedName name="BExY5515WE39FQ3EG5QHG67V9C0O" hidden="1">#REF!</definedName>
    <definedName name="BExY5986WNAD8NFCPXC9TVLBU4FG" localSheetId="0" hidden="1">#REF!</definedName>
    <definedName name="BExY5986WNAD8NFCPXC9TVLBU4FG" hidden="1">#REF!</definedName>
    <definedName name="BExY5DF9MS25IFNWGJ1YAS5MDN8R" localSheetId="0"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#N/A</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JZ8FBCZVH3LYZI0VUPILCX7P"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86OPAG90V0ZDTTEQBWIWATW" hidden="1">#N/A</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AULKVBVSE35POJDJE1VK01G"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localSheetId="0" hidden="1">#REF!</definedName>
    <definedName name="BExZNW8QJ18X0RSGFDWAE9ZSDX39" hidden="1">#REF!</definedName>
    <definedName name="BExZNY6X2WA353T7PNAFAFG21HHZ" hidden="1">#REF!</definedName>
    <definedName name="BExZNZDWRS6Q40L8OCWFEIVI0A1O" hidden="1">#REF!</definedName>
    <definedName name="BExZOBO9NYLGVJQ31LVQ9XS2ZT4N" hidden="1">#REF!</definedName>
    <definedName name="BExZOETNB1CJ3Y2RKLI1ZK0S8Z6H" hidden="1">#REF!</definedName>
    <definedName name="BExZOL9K1RUXBTLZ6FJ65BIE9G5R" hidden="1">#N/A</definedName>
    <definedName name="BExZOREMVSK4E5VSWM838KHUB8AI" hidden="1">#REF!</definedName>
    <definedName name="BExZOVR745T5P1KS9NV2PXZPZVRG" hidden="1">#REF!</definedName>
    <definedName name="BExZOZSWGLSY2XYVRIS6VSNJDSGD" hidden="1">#REF!</definedName>
    <definedName name="BExZP7AIJKLM6C6CSUIIFAHFBNX2" localSheetId="0" hidden="1">#REF!</definedName>
    <definedName name="BExZP7AIJKLM6C6CSUIIFAHFBNX2" hidden="1">#REF!</definedName>
    <definedName name="BExZPQ0XY507N8FJMVPKCTK8HC9H" localSheetId="0" hidden="1">#REF!</definedName>
    <definedName name="BExZPQ0XY507N8FJMVPKCTK8HC9H" hidden="1">#REF!</definedName>
    <definedName name="BExZQ37OVBR25U32CO2YYVPZOMR5" localSheetId="0" hidden="1">#REF!</definedName>
    <definedName name="BExZQ37OVBR25U32CO2YYVPZOMR5" hidden="1">#REF!</definedName>
    <definedName name="BExZQ3IHNAFF2HI20IH754T349LH" hidden="1">#N/A</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#N/A</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localSheetId="0" hidden="1">#REF!</definedName>
    <definedName name="BExZTW6ECBRA0BBITWBQ8R93RMCL" hidden="1">#REF!</definedName>
    <definedName name="BExZU2BHYAOKSCBM3C5014ZF6IXS" localSheetId="0"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#N/A</definedName>
    <definedName name="BExZVLM4T9ORS4ZWHME46U4Q103C" hidden="1">#REF!</definedName>
    <definedName name="BExZVM7OZWPPRH5YQW50EYMMIW1A" hidden="1">#REF!</definedName>
    <definedName name="BExZVPYGX2C5OSHMZ6F0KBKZ6B1S" localSheetId="0"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localSheetId="0" hidden="1">#REF!</definedName>
    <definedName name="BExZWSMC9T48W74GFGQCIUJ8ZPP3" hidden="1">#REF!</definedName>
    <definedName name="BExZWSRO5IH95ZIQHYWYAIR2KTHZ" hidden="1">#N/A</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IZTDXSZH0SBRX0VGUUXA1QO" hidden="1">#N/A</definedName>
    <definedName name="BExZXOJDELULNLEH7WG0OYJT0NJ4" hidden="1">#REF!</definedName>
    <definedName name="BExZXOOTRNUK8LGEAZ8ZCFW9KXQ1" localSheetId="0"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9NZ9415O79KFHWAJHGK3BE6" hidden="1">#N/A</definedName>
    <definedName name="BExZZ2FQA9A8C7CJKMEFQ9VPSLCE" localSheetId="0"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fa">#REF!</definedName>
    <definedName name="bfc">#REF!</definedName>
    <definedName name="bfstat">#REF!</definedName>
    <definedName name="BG_Del" hidden="1">15</definedName>
    <definedName name="BG_Ins" hidden="1">4</definedName>
    <definedName name="BG_Mod" hidden="1">6</definedName>
    <definedName name="bgbgb">#REF!,#REF!</definedName>
    <definedName name="BHDFH"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efgl" localSheetId="0">#REF!</definedName>
    <definedName name="bhefgl">#REF!</definedName>
    <definedName name="BhuResLife">#REF!</definedName>
    <definedName name="Bhus45ResLife16">#REF!</definedName>
    <definedName name="Bhusawal3BL17">#REF!</definedName>
    <definedName name="BhusResLife16">#REF!</definedName>
    <definedName name="BhusResLife17">#REF!</definedName>
    <definedName name="Bid_Sale">#REF!</definedName>
    <definedName name="Bid_Sale_Temp">#REF!</definedName>
    <definedName name="BidRate" localSheetId="0">#REF!</definedName>
    <definedName name="BidRate">#REF!</definedName>
    <definedName name="BIGTABLE">#REF!</definedName>
    <definedName name="BILDQTY">#N/A</definedName>
    <definedName name="BILDQTYNU">#N/A</definedName>
    <definedName name="BILDTWT">#N/A</definedName>
    <definedName name="BILDTWTNU">#N/A</definedName>
    <definedName name="Billsdiscounted">#REF!</definedName>
    <definedName name="bir">#REF!</definedName>
    <definedName name="BirlaSunlifeDyRetailG">#REF!</definedName>
    <definedName name="bit">#REF!</definedName>
    <definedName name="bjcdbw" localSheetId="25" hidden="1">{"'August 2000'!$A$1:$J$101"}</definedName>
    <definedName name="bjcdbw" localSheetId="5" hidden="1">{"'August 2000'!$A$1:$J$101"}</definedName>
    <definedName name="bjcdbw" hidden="1">{"'August 2000'!$A$1:$J$101"}</definedName>
    <definedName name="bkd" localSheetId="25" hidden="1">{"'Sheet1'!$L$16"}</definedName>
    <definedName name="bkd" localSheetId="0" hidden="1">{"'Sheet1'!$L$16"}</definedName>
    <definedName name="bkd" localSheetId="5" hidden="1">{"'Sheet1'!$L$16"}</definedName>
    <definedName name="bkd" hidden="1">{"'Sheet1'!$L$16"}</definedName>
    <definedName name="BL" localSheetId="0">#REF!</definedName>
    <definedName name="bl">#REF!</definedName>
    <definedName name="blf">#REF!</definedName>
    <definedName name="block.capitalhistory.blue">#REF!</definedName>
    <definedName name="block.cashflow.blue">#REF!</definedName>
    <definedName name="block.expansionplans.blue">#REF!</definedName>
    <definedName name="block.forecasts.blue">#REF!</definedName>
    <definedName name="block.identityblock.blue">#REF!</definedName>
    <definedName name="block.incomestatement.blue">#REF!</definedName>
    <definedName name="block.investmentargument.blue">#REF!</definedName>
    <definedName name="block.keyassumptions.blue">#REF!</definedName>
    <definedName name="block.keyassumptions2.blue">#REF!</definedName>
    <definedName name="block.mainpoints.red">#REF!</definedName>
    <definedName name="block.PEBANDS.none">#REF!</definedName>
    <definedName name="block.perrel.none">#REF!</definedName>
    <definedName name="block.pricetrends.none">#REF!</definedName>
    <definedName name="block.ratioanalysis.blue">#REF!</definedName>
    <definedName name="block.salesbreakdown.none">#REF!</definedName>
    <definedName name="block.shareholdingpattern.blue">#REF!</definedName>
    <definedName name="block.title.blue">#REF!</definedName>
    <definedName name="BLOCK02">#REF!</definedName>
    <definedName name="BLOCK03">#REF!</definedName>
    <definedName name="blockafx00">#REF!</definedName>
    <definedName name="blockafx01">#REF!</definedName>
    <definedName name="blockagas00">#REF!</definedName>
    <definedName name="blockagas01">#REF!</definedName>
    <definedName name="blockaoil00">#REF!</definedName>
    <definedName name="blockaoil01">#REF!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4" hidden="1">#REF!</definedName>
    <definedName name="BLPH47" hidden="1">#REF!</definedName>
    <definedName name="BLPH48" hidden="1">#REF!</definedName>
    <definedName name="BLPH49" hidden="1">#REF!</definedName>
    <definedName name="BLPH5" hidden="1">#REF!</definedName>
    <definedName name="BLPH50" hidden="1">#REF!</definedName>
    <definedName name="BLPH6" hidden="1">#REF!</definedName>
    <definedName name="BLPH7" hidden="1">#REF!</definedName>
    <definedName name="BLPH8" hidden="1">#REF!</definedName>
    <definedName name="BLPH9" hidden="1">#REF!</definedName>
    <definedName name="BLR_COMP">#REF!</definedName>
    <definedName name="BLR_COMP1">#REF!</definedName>
    <definedName name="BLR_TYPE">#REF!</definedName>
    <definedName name="bm" localSheetId="25" hidden="1">{"'Sheet1'!$L$16"}</definedName>
    <definedName name="bm" localSheetId="0" hidden="1">{"'Sheet1'!$L$16"}</definedName>
    <definedName name="bm" localSheetId="5" hidden="1">{"'Sheet1'!$L$16"}</definedName>
    <definedName name="bm" hidden="1">{"'Sheet1'!$L$16"}</definedName>
    <definedName name="bn" localSheetId="25" hidden="1">{"'Sheet1'!$L$16"}</definedName>
    <definedName name="bn" localSheetId="0" hidden="1">{"'Sheet1'!$L$16"}</definedName>
    <definedName name="bn" localSheetId="5" hidden="1">{"'Sheet1'!$L$16"}</definedName>
    <definedName name="bn" hidden="1">{"'Sheet1'!$L$16"}</definedName>
    <definedName name="bnagg" hidden="1">{#N/A,#N/A,FALSE,"SUMMARY REPORT"}</definedName>
    <definedName name="bnf">#REF!</definedName>
    <definedName name="bni">#REF!</definedName>
    <definedName name="bnl">#REF!</definedName>
    <definedName name="boc">#REF!</definedName>
    <definedName name="boe00">#REF!</definedName>
    <definedName name="BOH_TOTAL">#N/A</definedName>
    <definedName name="BOH_UC">#N/A</definedName>
    <definedName name="BOHAMT">#N/A</definedName>
    <definedName name="BOHQTY">#N/A</definedName>
    <definedName name="BOLT">#REF!</definedName>
    <definedName name="bonds">#REF!</definedName>
    <definedName name="BOOK" localSheetId="25" hidden="1">{"'Mach'!$A$1:$D$39"}</definedName>
    <definedName name="BOOK" localSheetId="5" hidden="1">{"'Mach'!$A$1:$D$39"}</definedName>
    <definedName name="BOOK" hidden="1">{"'Mach'!$A$1:$D$39"}</definedName>
    <definedName name="book_nav_share">#REF!</definedName>
    <definedName name="BOOLEAN">#REF!</definedName>
    <definedName name="BOQ_New" localSheetId="25" hidden="1">{#N/A,#N/A,TRUE,"Front";#N/A,#N/A,TRUE,"Simple Letter";#N/A,#N/A,TRUE,"Inside";#N/A,#N/A,TRUE,"Contents";#N/A,#N/A,TRUE,"Basis";#N/A,#N/A,TRUE,"Inclusions";#N/A,#N/A,TRUE,"Exclusions";#N/A,#N/A,TRUE,"Areas";#N/A,#N/A,TRUE,"Summary";#N/A,#N/A,TRUE,"Detail"}</definedName>
    <definedName name="BOQ_New" localSheetId="5" hidden="1">{#N/A,#N/A,TRUE,"Front";#N/A,#N/A,TRUE,"Simple Letter";#N/A,#N/A,TRUE,"Inside";#N/A,#N/A,TRUE,"Contents";#N/A,#N/A,TRUE,"Basis";#N/A,#N/A,TRUE,"Inclusions";#N/A,#N/A,TRUE,"Exclusions";#N/A,#N/A,TRUE,"Areas";#N/A,#N/A,TRUE,"Summary";#N/A,#N/A,TRUE,"Detail"}</definedName>
    <definedName name="BOQ_New" hidden="1">{#N/A,#N/A,TRUE,"Front";#N/A,#N/A,TRUE,"Simple Letter";#N/A,#N/A,TRUE,"Inside";#N/A,#N/A,TRUE,"Contents";#N/A,#N/A,TRUE,"Basis";#N/A,#N/A,TRUE,"Inclusions";#N/A,#N/A,TRUE,"Exclusions";#N/A,#N/A,TRUE,"Areas";#N/A,#N/A,TRUE,"Summary";#N/A,#N/A,TRUE,"Detail"}</definedName>
    <definedName name="BOSS">#REF!</definedName>
    <definedName name="boxes">NA()</definedName>
    <definedName name="boxes___0">NA()</definedName>
    <definedName name="boxes___0___0">NA()</definedName>
    <definedName name="BPCS" localSheetId="0" hidden="1">_bdm.CB56BC02D7144C6984233B865BFB4FD5.edm()</definedName>
    <definedName name="BPCS" localSheetId="46" hidden="1">Main.SAPF4Help()</definedName>
    <definedName name="BPCS" localSheetId="45" hidden="1">Main.SAPF4Help()</definedName>
    <definedName name="BPCS" localSheetId="49" hidden="1">Main.SAPF4Help()</definedName>
    <definedName name="BPCS" localSheetId="50" hidden="1">Main.SAPF4Help()</definedName>
    <definedName name="BPCS" localSheetId="51" hidden="1">Main.SAPF4Help()</definedName>
    <definedName name="BPCS" localSheetId="52" hidden="1">Main.SAPF4Help()</definedName>
    <definedName name="BPCS" localSheetId="56" hidden="1">Main.SAPF4Help()</definedName>
    <definedName name="BPCS" localSheetId="57" hidden="1">Main.SAPF4Help()</definedName>
    <definedName name="BPCS" localSheetId="58" hidden="1">Main.SAPF4Help()</definedName>
    <definedName name="BPCS" localSheetId="59" hidden="1">Main.SAPF4Help()</definedName>
    <definedName name="BPCS" hidden="1">Main.SAPF4Help()</definedName>
    <definedName name="bpstat">#REF!</definedName>
    <definedName name="bq">#REF!</definedName>
    <definedName name="BR_Resou">#REF!</definedName>
    <definedName name="brands_patents_rights">#REF!</definedName>
    <definedName name="BreakupDBothBnkComp">#REF!</definedName>
    <definedName name="BreakupDPothBanks">#REF!</definedName>
    <definedName name="BreakupDPSBI">#REF!</definedName>
    <definedName name="BreakupDPSBIcompare">#REF!</definedName>
    <definedName name="bri">#REF!</definedName>
    <definedName name="brr">#REF!</definedName>
    <definedName name="BS" localSheetId="0">#REF!</definedName>
    <definedName name="bs">#REF!</definedName>
    <definedName name="BS_1">#REF!</definedName>
    <definedName name="BS_2">#REF!</definedName>
    <definedName name="BS_3">#REF!</definedName>
    <definedName name="BS_5">#REF!</definedName>
    <definedName name="BSDateSF" localSheetId="0">#REF!</definedName>
    <definedName name="BSDateSF">#REF!</definedName>
    <definedName name="BSDEC02"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hkd" localSheetId="0">#REF!</definedName>
    <definedName name="bsdfhkd">#REF!</definedName>
    <definedName name="bsf">#REF!</definedName>
    <definedName name="bsgroup">#REF!</definedName>
    <definedName name="bshfdgdf" localSheetId="0">#REF!</definedName>
    <definedName name="bshfdgdf">#REF!</definedName>
    <definedName name="BSI">#REF!</definedName>
    <definedName name="BSII">#REF!</definedName>
    <definedName name="BSIII">#REF!</definedName>
    <definedName name="Bsl3Reslife18">#REF!</definedName>
    <definedName name="BSO_CODE" localSheetId="0">#REF!</definedName>
    <definedName name="BSO_CODE">#REF!</definedName>
    <definedName name="BSPL_2">#REF!</definedName>
    <definedName name="BSPL2">#REF!</definedName>
    <definedName name="BSR">#REF!</definedName>
    <definedName name="bss"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T" localSheetId="0">#REF!</definedName>
    <definedName name="BT">#REF!</definedName>
    <definedName name="btl">#REF!</definedName>
    <definedName name="btp">#REF!</definedName>
    <definedName name="btt">#REF!</definedName>
    <definedName name="bud">#REF!</definedName>
    <definedName name="Budget" localSheetId="25" hidden="1">{"a1",#N/A,FALSE,"Interest On Security Deposi (2)";"a2",#N/A,FALSE,"Interest On Security Deposi (2)"}</definedName>
    <definedName name="Budget" localSheetId="5" hidden="1">{"a1",#N/A,FALSE,"Interest On Security Deposi (2)";"a2",#N/A,FALSE,"Interest On Security Deposi (2)"}</definedName>
    <definedName name="Budget" hidden="1">{"a1",#N/A,FALSE,"Interest On Security Deposi (2)";"a2",#N/A,FALSE,"Interest On Security Deposi (2)"}</definedName>
    <definedName name="BUILD_ES_TA">#REF!</definedName>
    <definedName name="BUILD_ES_TD">#REF!</definedName>
    <definedName name="BUILD_GEN_TA">#REF!</definedName>
    <definedName name="BUILD_GEN_TD">#REF!</definedName>
    <definedName name="BuiltIn_Auto_Close">#REF!</definedName>
    <definedName name="BuiltIn_Auto_Open">#REF!</definedName>
    <definedName name="BuiltIn_AutoFilter___1">#N/A</definedName>
    <definedName name="BuiltIn_AutoFilter___1___0">#N/A</definedName>
    <definedName name="BuiltIn_AutoFilter___1___16">#N/A</definedName>
    <definedName name="BuiltIn_AutoFilter___25">#N/A</definedName>
    <definedName name="BuiltIn_AutoFilter___3">"$"</definedName>
    <definedName name="BuiltIn_AutoFilter___3_1">"$"</definedName>
    <definedName name="BuiltIn_AutoFilter___35">#N/A</definedName>
    <definedName name="BuiltIn_AutoFilter___35___0">#N/A</definedName>
    <definedName name="BuiltIn_AutoFilter___35___8">#N/A</definedName>
    <definedName name="BuiltIn_AutoFilter___35_1">#N/A</definedName>
    <definedName name="BuiltIn_AutoFilter___9">#REF!</definedName>
    <definedName name="BuiltIn_Consolidate_Area___0">NA()</definedName>
    <definedName name="BuiltIn_Database___0">#REF!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8">"$"</definedName>
    <definedName name="BuiltIn_Print_Area___0___33">"$"</definedName>
    <definedName name="BuiltIn_Print_Area___1___1">#N/A</definedName>
    <definedName name="BuiltIn_Print_Area___1___1___0">#N/A</definedName>
    <definedName name="BuiltIn_Print_Titles">#REF!</definedName>
    <definedName name="BuiltIn_Print_Titles___0">#REF!</definedName>
    <definedName name="BuiltIn_Print_Titles___0___0">#REF!</definedName>
    <definedName name="BuiltIn_Print_Titles___0___0___0">#REF!</definedName>
    <definedName name="BuiltIn_Print_Titles___0___0___0___0">#REF!</definedName>
    <definedName name="BuiltIn_Recorder___0">NA()</definedName>
    <definedName name="bullet_points">#REF!</definedName>
    <definedName name="BULYANGPNT" localSheetId="0">#REF!</definedName>
    <definedName name="BULYANGPNT" localSheetId="46">#REF!</definedName>
    <definedName name="BULYANGPNT" localSheetId="45">#REF!</definedName>
    <definedName name="BULYANGPNT" localSheetId="49">#REF!</definedName>
    <definedName name="BULYANGPNT" localSheetId="50">#REF!</definedName>
    <definedName name="BULYANGPNT" localSheetId="51">#REF!</definedName>
    <definedName name="BULYANGPNT" localSheetId="52">#REF!</definedName>
    <definedName name="BULYANGPNT" localSheetId="56">#REF!</definedName>
    <definedName name="BULYANGPNT" localSheetId="57">#REF!</definedName>
    <definedName name="BULYANGPNT" localSheetId="58">#REF!</definedName>
    <definedName name="BULYANGPNT" localSheetId="59">#REF!</definedName>
    <definedName name="BULYANGPNT">#REF!</definedName>
    <definedName name="BURD901110">#REF!</definedName>
    <definedName name="BURD901120">#REF!</definedName>
    <definedName name="BURD901130">#REF!</definedName>
    <definedName name="BURD901200">#REF!</definedName>
    <definedName name="BURDRATE1">#REF!</definedName>
    <definedName name="BURDRATE2">#REF!</definedName>
    <definedName name="BUS">#REF!</definedName>
    <definedName name="BusCase">#REF!</definedName>
    <definedName name="BusinessCodeType">#REF!</definedName>
    <definedName name="BUTIBORI">#REF!</definedName>
    <definedName name="butterfly">#REF!</definedName>
    <definedName name="BW">#REF!</definedName>
    <definedName name="bwgh" localSheetId="25" hidden="1">{#N/A,#N/A,FALSE,"OSBL"}</definedName>
    <definedName name="bwgh" localSheetId="5" hidden="1">{#N/A,#N/A,FALSE,"OSBL"}</definedName>
    <definedName name="bwgh" hidden="1">{#N/A,#N/A,FALSE,"OSBL"}</definedName>
    <definedName name="bwrhrt" localSheetId="25" hidden="1">{#N/A,#N/A,FALSE,"PGW"}</definedName>
    <definedName name="bwrhrt" localSheetId="5" hidden="1">{#N/A,#N/A,FALSE,"PGW"}</definedName>
    <definedName name="bwrhrt" hidden="1">{#N/A,#N/A,FALSE,"PGW"}</definedName>
    <definedName name="by">#REF!</definedName>
    <definedName name="bzdgf"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___Cash_flow_from_financing_activities">#REF!</definedName>
    <definedName name="c.b" localSheetId="25" hidden="1">{#N/A,#N/A,TRUE,"Front";#N/A,#N/A,TRUE,"Simple Letter";#N/A,#N/A,TRUE,"Inside";#N/A,#N/A,TRUE,"Contents";#N/A,#N/A,TRUE,"Basis";#N/A,#N/A,TRUE,"Inclusions";#N/A,#N/A,TRUE,"Exclusions";#N/A,#N/A,TRUE,"Areas";#N/A,#N/A,TRUE,"Summary";#N/A,#N/A,TRUE,"Detail"}</definedName>
    <definedName name="c.b" localSheetId="5" hidden="1">{#N/A,#N/A,TRUE,"Front";#N/A,#N/A,TRUE,"Simple Letter";#N/A,#N/A,TRUE,"Inside";#N/A,#N/A,TRUE,"Contents";#N/A,#N/A,TRUE,"Basis";#N/A,#N/A,TRUE,"Inclusions";#N/A,#N/A,TRUE,"Exclusions";#N/A,#N/A,TRUE,"Areas";#N/A,#N/A,TRUE,"Summary";#N/A,#N/A,TRUE,"Detail"}</definedName>
    <definedName name="c.b" hidden="1">{#N/A,#N/A,TRUE,"Front";#N/A,#N/A,TRUE,"Simple Letter";#N/A,#N/A,TRUE,"Inside";#N/A,#N/A,TRUE,"Contents";#N/A,#N/A,TRUE,"Basis";#N/A,#N/A,TRUE,"Inclusions";#N/A,#N/A,TRUE,"Exclusions";#N/A,#N/A,TRUE,"Areas";#N/A,#N/A,TRUE,"Summary";#N/A,#N/A,TRUE,"Detail"}</definedName>
    <definedName name="C_">#N/A</definedName>
    <definedName name="C_Data_1" localSheetId="25">#REF!</definedName>
    <definedName name="C_Data_1" localSheetId="0">#REF!</definedName>
    <definedName name="C_Data_1" localSheetId="11">#REF!</definedName>
    <definedName name="C_Data_1" localSheetId="13">#REF!</definedName>
    <definedName name="C_Data_1" localSheetId="43">#REF!</definedName>
    <definedName name="C_Data_1" localSheetId="16">#REF!</definedName>
    <definedName name="C_Data_1" localSheetId="26">#REF!</definedName>
    <definedName name="C_Data_1" localSheetId="32">#REF!</definedName>
    <definedName name="C_Data_1" localSheetId="33">#REF!</definedName>
    <definedName name="C_Data_1" localSheetId="34">#REF!</definedName>
    <definedName name="C_Data_1" localSheetId="35">#REF!</definedName>
    <definedName name="C_Data_1" localSheetId="5">#REF!</definedName>
    <definedName name="C_Data_1">#REF!</definedName>
    <definedName name="C_Data_2" localSheetId="25">#REF!</definedName>
    <definedName name="C_Data_2" localSheetId="0">#REF!</definedName>
    <definedName name="C_Data_2" localSheetId="11">#REF!</definedName>
    <definedName name="C_Data_2" localSheetId="13">#REF!</definedName>
    <definedName name="C_Data_2" localSheetId="43">#REF!</definedName>
    <definedName name="C_Data_2" localSheetId="16">#REF!</definedName>
    <definedName name="C_Data_2" localSheetId="26">#REF!</definedName>
    <definedName name="C_Data_2" localSheetId="32">#REF!</definedName>
    <definedName name="C_Data_2" localSheetId="33">#REF!</definedName>
    <definedName name="C_Data_2" localSheetId="34">#REF!</definedName>
    <definedName name="C_Data_2" localSheetId="35">#REF!</definedName>
    <definedName name="C_Data_2" localSheetId="5">#REF!</definedName>
    <definedName name="C_Data_2">#REF!</definedName>
    <definedName name="C_value">#REF!</definedName>
    <definedName name="C_valueneu">#REF!</definedName>
    <definedName name="ca">#REF!</definedName>
    <definedName name="CA_STK">#REF!</definedName>
    <definedName name="CABLE">#REF!</definedName>
    <definedName name="CABLESMAIN_ES_TA">#REF!</definedName>
    <definedName name="CABLESMAIN_ES_TD">#REF!</definedName>
    <definedName name="cac">#REF!</definedName>
    <definedName name="cadcd" localSheetId="25" hidden="1">{#N/A,#N/A,TRUE,"Front";#N/A,#N/A,TRUE,"Simple Letter";#N/A,#N/A,TRUE,"Inside";#N/A,#N/A,TRUE,"Contents";#N/A,#N/A,TRUE,"Basis";#N/A,#N/A,TRUE,"Inclusions";#N/A,#N/A,TRUE,"Exclusions";#N/A,#N/A,TRUE,"Areas";#N/A,#N/A,TRUE,"Summary";#N/A,#N/A,TRUE,"Detail"}</definedName>
    <definedName name="cadcd" localSheetId="0" hidden="1">{#N/A,#N/A,TRUE,"Front";#N/A,#N/A,TRUE,"Simple Letter";#N/A,#N/A,TRUE,"Inside";#N/A,#N/A,TRUE,"Contents";#N/A,#N/A,TRUE,"Basis";#N/A,#N/A,TRUE,"Inclusions";#N/A,#N/A,TRUE,"Exclusions";#N/A,#N/A,TRUE,"Areas";#N/A,#N/A,TRUE,"Summary";#N/A,#N/A,TRUE,"Detail"}</definedName>
    <definedName name="cadcd" localSheetId="5" hidden="1">{#N/A,#N/A,TRUE,"Front";#N/A,#N/A,TRUE,"Simple Letter";#N/A,#N/A,TRUE,"Inside";#N/A,#N/A,TRUE,"Contents";#N/A,#N/A,TRUE,"Basis";#N/A,#N/A,TRUE,"Inclusions";#N/A,#N/A,TRUE,"Exclusions";#N/A,#N/A,TRUE,"Areas";#N/A,#N/A,TRUE,"Summary";#N/A,#N/A,TRUE,"Detail"}</definedName>
    <definedName name="cadcd" hidden="1">{#N/A,#N/A,TRUE,"Front";#N/A,#N/A,TRUE,"Simple Letter";#N/A,#N/A,TRUE,"Inside";#N/A,#N/A,TRUE,"Contents";#N/A,#N/A,TRUE,"Basis";#N/A,#N/A,TRUE,"Inclusions";#N/A,#N/A,TRUE,"Exclusions";#N/A,#N/A,TRUE,"Areas";#N/A,#N/A,TRUE,"Summary";#N/A,#N/A,TRUE,"Detail"}</definedName>
    <definedName name="Cal">#REF!</definedName>
    <definedName name="CALC">#REF!</definedName>
    <definedName name="CalcAgencyPrice">#REF!</definedName>
    <definedName name="CAMPHONG" localSheetId="25" hidden="1">{"'Sheet1'!$L$16"}</definedName>
    <definedName name="CAMPHONG" localSheetId="5" hidden="1">{"'Sheet1'!$L$16"}</definedName>
    <definedName name="CAMPHONG" hidden="1">{"'Sheet1'!$L$16"}</definedName>
    <definedName name="CAP">#REF!</definedName>
    <definedName name="Cap_T">#REF!</definedName>
    <definedName name="CAPACITOR_ES_TA">#REF!</definedName>
    <definedName name="CAPACITOR_ES_TD">#REF!</definedName>
    <definedName name="capacity" localSheetId="0">#REF!</definedName>
    <definedName name="capacity">#REF!</definedName>
    <definedName name="Capacity_Planned">#REF!</definedName>
    <definedName name="CAPEOH">#N/A</definedName>
    <definedName name="Capex">#REF!</definedName>
    <definedName name="Capex_D">#REF!</definedName>
    <definedName name="capex01">#REF!</definedName>
    <definedName name="capex93">#REF!</definedName>
    <definedName name="capex94">#REF!</definedName>
    <definedName name="capex95">#REF!</definedName>
    <definedName name="capex96">#REF!</definedName>
    <definedName name="capex97">#REF!</definedName>
    <definedName name="capex98">#REF!</definedName>
    <definedName name="capex99">#REF!</definedName>
    <definedName name="capint00">#REF!</definedName>
    <definedName name="capint01">#REF!</definedName>
    <definedName name="capint93">#REF!</definedName>
    <definedName name="capint94">#REF!</definedName>
    <definedName name="capint95">#REF!</definedName>
    <definedName name="capint96">#REF!</definedName>
    <definedName name="capint97">#REF!</definedName>
    <definedName name="capint98">#REF!</definedName>
    <definedName name="capint99">#REF!</definedName>
    <definedName name="capital">#REF!</definedName>
    <definedName name="Capital_contribution">#REF!</definedName>
    <definedName name="capital_employed_avg">#REF!</definedName>
    <definedName name="capital_wip">#REF!</definedName>
    <definedName name="Capitalisation">#REF!</definedName>
    <definedName name="capitalised_int">#REF!</definedName>
    <definedName name="Capitalization">#REF!</definedName>
    <definedName name="CAPRATE" localSheetId="0">#REF!</definedName>
    <definedName name="CAPRATE">#REF!</definedName>
    <definedName name="CAPS" localSheetId="0" hidden="1">{"VIEW1",#N/A,FALSE,"P&amp;L Account 2001-2002";"VIEW2",#N/A,FALSE,"P&amp;L Account 2001-2002";"VIEW3",#N/A,FALSE,"P&amp;L Account 2001-2002";"VIEW4",#N/A,FALSE,"P&amp;L Account 2001-2002"}</definedName>
    <definedName name="CAPS" hidden="1">{"VIEW1",#N/A,FALSE,"P&amp;L Account 2001-2002";"VIEW2",#N/A,FALSE,"P&amp;L Account 2001-2002";"VIEW3",#N/A,FALSE,"P&amp;L Account 2001-2002";"VIEW4",#N/A,FALSE,"P&amp;L Account 2001-2002"}</definedName>
    <definedName name="captax97">#REF!</definedName>
    <definedName name="captax98">#REF!</definedName>
    <definedName name="CAPTO" localSheetId="0">#REF!</definedName>
    <definedName name="CAPTO">#REF!</definedName>
    <definedName name="Capx_D" localSheetId="0">#REF!</definedName>
    <definedName name="Capx_D">#REF!</definedName>
    <definedName name="Capx_T" localSheetId="0">#REF!</definedName>
    <definedName name="Capx_T">#REF!</definedName>
    <definedName name="CapxMW" localSheetId="0">#REF!</definedName>
    <definedName name="CapxMW">#REF!</definedName>
    <definedName name="CapxTot" localSheetId="0">#REF!</definedName>
    <definedName name="CapxTot">#REF!</definedName>
    <definedName name="CARG">#REF!</definedName>
    <definedName name="carp" localSheetId="25" hidden="1">{#N/A,#N/A,TRUE,"Front";#N/A,#N/A,TRUE,"Simple Letter";#N/A,#N/A,TRUE,"Inside";#N/A,#N/A,TRUE,"Contents";#N/A,#N/A,TRUE,"Basis";#N/A,#N/A,TRUE,"Inclusions";#N/A,#N/A,TRUE,"Exclusions";#N/A,#N/A,TRUE,"Areas";#N/A,#N/A,TRUE,"Summary";#N/A,#N/A,TRUE,"Detail"}</definedName>
    <definedName name="carp" localSheetId="5" hidden="1">{#N/A,#N/A,TRUE,"Front";#N/A,#N/A,TRUE,"Simple Letter";#N/A,#N/A,TRUE,"Inside";#N/A,#N/A,TRUE,"Contents";#N/A,#N/A,TRUE,"Basis";#N/A,#N/A,TRUE,"Inclusions";#N/A,#N/A,TRUE,"Exclusions";#N/A,#N/A,TRUE,"Areas";#N/A,#N/A,TRUE,"Summary";#N/A,#N/A,TRUE,"Detail"}</definedName>
    <definedName name="carp" hidden="1">{#N/A,#N/A,TRUE,"Front";#N/A,#N/A,TRUE,"Simple Letter";#N/A,#N/A,TRUE,"Inside";#N/A,#N/A,TRUE,"Contents";#N/A,#N/A,TRUE,"Basis";#N/A,#N/A,TRUE,"Inclusions";#N/A,#N/A,TRUE,"Exclusions";#N/A,#N/A,TRUE,"Areas";#N/A,#N/A,TRUE,"Summary";#N/A,#N/A,TRUE,"Detail"}</definedName>
    <definedName name="carpg" localSheetId="25" hidden="1">{#N/A,#N/A,TRUE,"Front";#N/A,#N/A,TRUE,"Simple Letter";#N/A,#N/A,TRUE,"Inside";#N/A,#N/A,TRUE,"Contents";#N/A,#N/A,TRUE,"Basis";#N/A,#N/A,TRUE,"Inclusions";#N/A,#N/A,TRUE,"Exclusions";#N/A,#N/A,TRUE,"Areas";#N/A,#N/A,TRUE,"Summary";#N/A,#N/A,TRUE,"Detail"}</definedName>
    <definedName name="carpg" localSheetId="5"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localSheetId="25" hidden="1">{#N/A,#N/A,TRUE,"Front";#N/A,#N/A,TRUE,"Simple Letter";#N/A,#N/A,TRUE,"Inside";#N/A,#N/A,TRUE,"Contents";#N/A,#N/A,TRUE,"Basis";#N/A,#N/A,TRUE,"Inclusions";#N/A,#N/A,TRUE,"Exclusions";#N/A,#N/A,TRUE,"Areas";#N/A,#N/A,TRUE,"Summary";#N/A,#N/A,TRUE,"Detail"}</definedName>
    <definedName name="carpnm" localSheetId="5"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 localSheetId="25" hidden="1">{"DJH3",#N/A,FALSE,"PFL00805";"PJB3",#N/A,FALSE,"PFL00805";"JMD3",#N/A,FALSE,"PFL00805";"DNB3",#N/A,FALSE,"PFL00805";"MJP3",#N/A,FALSE,"PFL00805";"RAB3",#N/A,FALSE,"PFL00805";"GJW3",#N/A,FALSE,"PFL00805";"MASTER3",#N/A,FALSE,"PFL00805"}</definedName>
    <definedName name="CAS" localSheetId="5" hidden="1">{"DJH3",#N/A,FALSE,"PFL00805";"PJB3",#N/A,FALSE,"PFL00805";"JMD3",#N/A,FALSE,"PFL00805";"DNB3",#N/A,FALSE,"PFL00805";"MJP3",#N/A,FALSE,"PFL00805";"RAB3",#N/A,FALSE,"PFL00805";"GJW3",#N/A,FALSE,"PFL00805";"MASTER3",#N/A,FALSE,"PFL00805"}</definedName>
    <definedName name="CAS" hidden="1">{"DJH3",#N/A,FALSE,"PFL00805";"PJB3",#N/A,FALSE,"PFL00805";"JMD3",#N/A,FALSE,"PFL00805";"DNB3",#N/A,FALSE,"PFL00805";"MJP3",#N/A,FALSE,"PFL00805";"RAB3",#N/A,FALSE,"PFL00805";"GJW3",#N/A,FALSE,"PFL00805";"MASTER3",#N/A,FALSE,"PFL00805"}</definedName>
    <definedName name="CASCSAC" localSheetId="25" hidden="1">{#N/A,#N/A,FALSE,"TOWNSHIP"}</definedName>
    <definedName name="CASCSAC" localSheetId="5" hidden="1">{#N/A,#N/A,FALSE,"TOWNSHIP"}</definedName>
    <definedName name="CASCSAC" hidden="1">{#N/A,#N/A,FALSE,"TOWNSHIP"}</definedName>
    <definedName name="case1">#REF!</definedName>
    <definedName name="case2">#REF!</definedName>
    <definedName name="case3">#REF!</definedName>
    <definedName name="case4">#REF!</definedName>
    <definedName name="case5">#REF!</definedName>
    <definedName name="CASH" localSheetId="0">#REF!</definedName>
    <definedName name="CASH">#REF!</definedName>
    <definedName name="cash_bank">#REF!</definedName>
    <definedName name="Cash_DCF">#REF!</definedName>
    <definedName name="CASH_FLOW">#REF!</definedName>
    <definedName name="cash_flow_from_financing_activities">#REF!</definedName>
    <definedName name="cash_flow_from_investing_activities">#REF!</definedName>
    <definedName name="cash_flow_from_operating_activities">#REF!</definedName>
    <definedName name="Cash_fore">#REF!</definedName>
    <definedName name="Cash_growth_fore">#REF!</definedName>
    <definedName name="Cash_Operating_Taxes">#REF!</definedName>
    <definedName name="cash3">#REF!</definedName>
    <definedName name="CashandBank">#REF!</definedName>
    <definedName name="cashbreak">#REF!</definedName>
    <definedName name="cashflow" localSheetId="0" hidden="1">{"VIEW1",#N/A,FALSE,"P&amp;L Account 2001-2002";"VIEW2",#N/A,FALSE,"P&amp;L Account 2001-2002";"VIEW3",#N/A,FALSE,"P&amp;L Account 2001-2002";"VIEW4",#N/A,FALSE,"P&amp;L Account 2001-2002"}</definedName>
    <definedName name="cashflow" hidden="1">{"VIEW1",#N/A,FALSE,"P&amp;L Account 2001-2002";"VIEW2",#N/A,FALSE,"P&amp;L Account 2001-2002";"VIEW3",#N/A,FALSE,"P&amp;L Account 2001-2002";"VIEW4",#N/A,FALSE,"P&amp;L Account 2001-2002"}</definedName>
    <definedName name="Cashflow_1">#REF!</definedName>
    <definedName name="Cashflow_2">#REF!</definedName>
    <definedName name="Cashflow_per_share">#REF!</definedName>
    <definedName name="CashFlowPerShare">#REF!</definedName>
    <definedName name="CASHTAX">#REF!</definedName>
    <definedName name="Catalog_Path">#REF!</definedName>
    <definedName name="Category_All">#REF!</definedName>
    <definedName name="cbk" localSheetId="0">#REF!</definedName>
    <definedName name="cbk">#REF!</definedName>
    <definedName name="CBORDER">#REF!</definedName>
    <definedName name="cbu" localSheetId="25" hidden="1">{#N/A,#N/A,FALSE,"COVER.XLS";#N/A,#N/A,FALSE,"RACT1.XLS";#N/A,#N/A,FALSE,"RACT2.XLS";#N/A,#N/A,FALSE,"ECCMP";#N/A,#N/A,FALSE,"WELDER.XLS"}</definedName>
    <definedName name="cbu" localSheetId="0" hidden="1">{#N/A,#N/A,FALSE,"COVER.XLS";#N/A,#N/A,FALSE,"RACT1.XLS";#N/A,#N/A,FALSE,"RACT2.XLS";#N/A,#N/A,FALSE,"ECCMP";#N/A,#N/A,FALSE,"WELDER.XLS"}</definedName>
    <definedName name="cbu" localSheetId="5" hidden="1">{#N/A,#N/A,FALSE,"COVER.XLS";#N/A,#N/A,FALSE,"RACT1.XLS";#N/A,#N/A,FALSE,"RACT2.XLS";#N/A,#N/A,FALSE,"ECCMP";#N/A,#N/A,FALSE,"WELDER.XLS"}</definedName>
    <definedName name="cbu" hidden="1">{#N/A,#N/A,FALSE,"COVER.XLS";#N/A,#N/A,FALSE,"RACT1.XLS";#N/A,#N/A,FALSE,"RACT2.XLS";#N/A,#N/A,FALSE,"ECCMP";#N/A,#N/A,FALSE,"WELDER.XLS"}</definedName>
    <definedName name="CBV" localSheetId="0" hidden="1">{"VIEW1",#N/A,FALSE,"P&amp;L Account 2001-2002";"VIEW2",#N/A,FALSE,"P&amp;L Account 2001-2002";"VIEW3",#N/A,FALSE,"P&amp;L Account 2001-2002";"VIEW4",#N/A,FALSE,"P&amp;L Account 2001-2002"}</definedName>
    <definedName name="CBV" hidden="1">{"VIEW1",#N/A,FALSE,"P&amp;L Account 2001-2002";"VIEW2",#N/A,FALSE,"P&amp;L Account 2001-2002";"VIEW3",#N/A,FALSE,"P&amp;L Account 2001-2002";"VIEW4",#N/A,FALSE,"P&amp;L Account 2001-2002"}</definedName>
    <definedName name="CC">#N/A</definedName>
    <definedName name="ccc" localSheetId="0">#N/A</definedName>
    <definedName name="CCC" hidden="1">{"VIEW1",#N/A,FALSE,"P&amp;L Account 2001-2002";"VIEW2",#N/A,FALSE,"P&amp;L Account 2001-2002";"VIEW3",#N/A,FALSE,"P&amp;L Account 2001-2002";"VIEW4",#N/A,FALSE,"P&amp;L Account 2001-2002"}</definedName>
    <definedName name="cccc" localSheetId="0" hidden="1">{"VIEW1",#N/A,FALSE,"P&amp;L Account 2001-2002";"VIEW2",#N/A,FALSE,"P&amp;L Account 2001-2002";"VIEW3",#N/A,FALSE,"P&amp;L Account 2001-2002";"VIEW4",#N/A,FALSE,"P&amp;L Account 2001-2002"}</definedName>
    <definedName name="cccc" hidden="1">{"VIEW1",#N/A,FALSE,"P&amp;L Account 2001-2002";"VIEW2",#N/A,FALSE,"P&amp;L Account 2001-2002";"VIEW3",#N/A,FALSE,"P&amp;L Account 2001-2002";"VIEW4",#N/A,FALSE,"P&amp;L Account 2001-2002"}</definedName>
    <definedName name="CCR" localSheetId="0">#REF!</definedName>
    <definedName name="CCR">#REF!</definedName>
    <definedName name="CCRFIN" localSheetId="0">#REF!</definedName>
    <definedName name="CCRFIN">#REF!</definedName>
    <definedName name="CCT">NA()</definedName>
    <definedName name="CCT___0">NA()</definedName>
    <definedName name="CCT___0___0">NA()</definedName>
    <definedName name="cd" localSheetId="25" hidden="1">{#N/A,#N/A,FALSE,"consu_cover";#N/A,#N/A,FALSE,"consu_strategy";#N/A,#N/A,FALSE,"consu_flow";#N/A,#N/A,FALSE,"Summary_reqmt";#N/A,#N/A,FALSE,"field_ppg";#N/A,#N/A,FALSE,"ppg_shop";#N/A,#N/A,FALSE,"strl";#N/A,#N/A,FALSE,"tankages";#N/A,#N/A,FALSE,"gases"}</definedName>
    <definedName name="cd" localSheetId="5" hidden="1">{#N/A,#N/A,FALSE,"consu_cover";#N/A,#N/A,FALSE,"consu_strategy";#N/A,#N/A,FALSE,"consu_flow";#N/A,#N/A,FALSE,"Summary_reqmt";#N/A,#N/A,FALSE,"field_ppg";#N/A,#N/A,FALSE,"ppg_shop";#N/A,#N/A,FALSE,"strl";#N/A,#N/A,FALSE,"tankages";#N/A,#N/A,FALSE,"gases"}</definedName>
    <definedName name="cd" hidden="1">{#N/A,#N/A,FALSE,"consu_cover";#N/A,#N/A,FALSE,"consu_strategy";#N/A,#N/A,FALSE,"consu_flow";#N/A,#N/A,FALSE,"Summary_reqmt";#N/A,#N/A,FALSE,"field_ppg";#N/A,#N/A,FALSE,"ppg_shop";#N/A,#N/A,FALSE,"strl";#N/A,#N/A,FALSE,"tankages";#N/A,#N/A,FALSE,"gases"}</definedName>
    <definedName name="CD_MP">#REF!</definedName>
    <definedName name="CD_normal">#REF!</definedName>
    <definedName name="CD_PI">#REF!</definedName>
    <definedName name="cde"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de"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d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df" localSheetId="25" hidden="1">{#N/A,#N/A,TRUE,"Front";#N/A,#N/A,TRUE,"Simple Letter";#N/A,#N/A,TRUE,"Inside";#N/A,#N/A,TRUE,"Contents";#N/A,#N/A,TRUE,"Basis";#N/A,#N/A,TRUE,"Inclusions";#N/A,#N/A,TRUE,"Exclusions";#N/A,#N/A,TRUE,"Areas";#N/A,#N/A,TRUE,"Summary";#N/A,#N/A,TRUE,"Detail"}</definedName>
    <definedName name="cdf" localSheetId="5" hidden="1">{#N/A,#N/A,TRUE,"Front";#N/A,#N/A,TRUE,"Simple Letter";#N/A,#N/A,TRUE,"Inside";#N/A,#N/A,TRUE,"Contents";#N/A,#N/A,TRUE,"Basis";#N/A,#N/A,TRUE,"Inclusions";#N/A,#N/A,TRUE,"Exclusions";#N/A,#N/A,TRUE,"Areas";#N/A,#N/A,TRUE,"Summary";#N/A,#N/A,TRUE,"Detail"}</definedName>
    <definedName name="cdf" hidden="1">{#N/A,#N/A,TRUE,"Front";#N/A,#N/A,TRUE,"Simple Letter";#N/A,#N/A,TRUE,"Inside";#N/A,#N/A,TRUE,"Contents";#N/A,#N/A,TRUE,"Basis";#N/A,#N/A,TRUE,"Inclusions";#N/A,#N/A,TRUE,"Exclusions";#N/A,#N/A,TRUE,"Areas";#N/A,#N/A,TRUE,"Summary";#N/A,#N/A,TRUE,"Detail"}</definedName>
    <definedName name="CDGD" localSheetId="0">#REF!</definedName>
    <definedName name="CDGD">#REF!</definedName>
    <definedName name="cdu" localSheetId="25" hidden="1">{#N/A,#N/A,FALSE,"COVER.XLS";#N/A,#N/A,FALSE,"RACT1.XLS";#N/A,#N/A,FALSE,"RACT2.XLS";#N/A,#N/A,FALSE,"ECCMP";#N/A,#N/A,FALSE,"WELDER.XLS"}</definedName>
    <definedName name="cdu" localSheetId="0" hidden="1">{#N/A,#N/A,FALSE,"COVER.XLS";#N/A,#N/A,FALSE,"RACT1.XLS";#N/A,#N/A,FALSE,"RACT2.XLS";#N/A,#N/A,FALSE,"ECCMP";#N/A,#N/A,FALSE,"WELDER.XLS"}</definedName>
    <definedName name="cdu" localSheetId="5" hidden="1">{#N/A,#N/A,FALSE,"COVER.XLS";#N/A,#N/A,FALSE,"RACT1.XLS";#N/A,#N/A,FALSE,"RACT2.XLS";#N/A,#N/A,FALSE,"ECCMP";#N/A,#N/A,FALSE,"WELDER.XLS"}</definedName>
    <definedName name="cdu" hidden="1">{#N/A,#N/A,FALSE,"COVER.XLS";#N/A,#N/A,FALSE,"RACT1.XLS";#N/A,#N/A,FALSE,"RACT2.XLS";#N/A,#N/A,FALSE,"ECCMP";#N/A,#N/A,FALSE,"WELDER.XLS"}</definedName>
    <definedName name="cefcvwds" localSheetId="0">#REF!</definedName>
    <definedName name="cefcvwds">#REF!</definedName>
    <definedName name="cefeedf" localSheetId="0">#REF!</definedName>
    <definedName name="cefeedf">#REF!</definedName>
    <definedName name="cefgve" localSheetId="0">#REF!</definedName>
    <definedName name="cefgve">#REF!</definedName>
    <definedName name="cefvdwg" localSheetId="0">#REF!</definedName>
    <definedName name="cefvdwg">#REF!</definedName>
    <definedName name="centre.1">#REF!</definedName>
    <definedName name="centre.2">#REF!</definedName>
    <definedName name="cenvat" localSheetId="0" hidden="1">{"'August 2000'!$A$1:$J$101"}</definedName>
    <definedName name="cenvat" hidden="1">{"'August 2000'!$A$1:$J$101"}</definedName>
    <definedName name="ceps">#REF!</definedName>
    <definedName name="CERC_CAL">#REF!</definedName>
    <definedName name="CERC_DIFF">#REF!</definedName>
    <definedName name="CERC_PASTED">#REF!</definedName>
    <definedName name="CERCOps">#REF!</definedName>
    <definedName name="CERCType">#REF!</definedName>
    <definedName name="cers" localSheetId="0">#REF!</definedName>
    <definedName name="cers">#REF!</definedName>
    <definedName name="cf" localSheetId="25" hidden="1">{#N/A,#N/A,TRUE,"Front";#N/A,#N/A,TRUE,"Simple Letter";#N/A,#N/A,TRUE,"Inside";#N/A,#N/A,TRUE,"Contents";#N/A,#N/A,TRUE,"Basis";#N/A,#N/A,TRUE,"Inclusions";#N/A,#N/A,TRUE,"Exclusions";#N/A,#N/A,TRUE,"Areas";#N/A,#N/A,TRUE,"Summary";#N/A,#N/A,TRUE,"Detail"}</definedName>
    <definedName name="cf" localSheetId="0">#REF!</definedName>
    <definedName name="cf" localSheetId="5" hidden="1">{#N/A,#N/A,TRUE,"Front";#N/A,#N/A,TRUE,"Simple Letter";#N/A,#N/A,TRUE,"Inside";#N/A,#N/A,TRUE,"Contents";#N/A,#N/A,TRUE,"Basis";#N/A,#N/A,TRUE,"Inclusions";#N/A,#N/A,TRUE,"Exclusions";#N/A,#N/A,TRUE,"Areas";#N/A,#N/A,TRUE,"Summary";#N/A,#N/A,TRUE,"Detail"}</definedName>
    <definedName name="cf" hidden="1">{#N/A,#N/A,TRUE,"Front";#N/A,#N/A,TRUE,"Simple Letter";#N/A,#N/A,TRUE,"Inside";#N/A,#N/A,TRUE,"Contents";#N/A,#N/A,TRUE,"Basis";#N/A,#N/A,TRUE,"Inclusions";#N/A,#N/A,TRUE,"Exclusions";#N/A,#N/A,TRUE,"Areas";#N/A,#N/A,TRUE,"Summary";#N/A,#N/A,TRUE,"Detail"}</definedName>
    <definedName name="CF_GAIN_LOSS">#REF!</definedName>
    <definedName name="CF_PBT">#REF!</definedName>
    <definedName name="CF_WC">#REF!</definedName>
    <definedName name="cfc">#REF!</definedName>
    <definedName name="cfcf00">#REF!</definedName>
    <definedName name="cfcf01">#REF!</definedName>
    <definedName name="cfcf93">#REF!</definedName>
    <definedName name="cfcf94">#REF!</definedName>
    <definedName name="cfcf95">#REF!</definedName>
    <definedName name="cfcf96">#REF!</definedName>
    <definedName name="cfcf97">#REF!</definedName>
    <definedName name="cfcf98">#REF!</definedName>
    <definedName name="cfcf99">#REF!</definedName>
    <definedName name="cfcfps00">#REF!</definedName>
    <definedName name="cfcfps01">#REF!</definedName>
    <definedName name="cfcfps93">#REF!</definedName>
    <definedName name="cfcfps94">#REF!</definedName>
    <definedName name="cfcfps95">#REF!</definedName>
    <definedName name="cfcfps96">#REF!</definedName>
    <definedName name="cfcfps97">#REF!</definedName>
    <definedName name="cfcfps98">#REF!</definedName>
    <definedName name="cfcfps99">#REF!</definedName>
    <definedName name="CFlow">#REF!</definedName>
    <definedName name="CFormats">#REF!</definedName>
    <definedName name="cfother95">#REF!</definedName>
    <definedName name="cfother96">#REF!</definedName>
    <definedName name="cfother97">#REF!</definedName>
    <definedName name="cfother98">#REF!</definedName>
    <definedName name="cfother99">#REF!</definedName>
    <definedName name="CFPS_Next_Yr">#REF!</definedName>
    <definedName name="CFR">#REF!</definedName>
    <definedName name="cfwefcd" localSheetId="0">#REF!</definedName>
    <definedName name="cfwefcd">#REF!</definedName>
    <definedName name="CG" hidden="1">#REF!</definedName>
    <definedName name="CH">#REF!</definedName>
    <definedName name="Chal">#REF!</definedName>
    <definedName name="Chall">#REF!</definedName>
    <definedName name="ChangeRange" localSheetId="9" hidden="1">#REF!</definedName>
    <definedName name="ChangeRange" localSheetId="8" hidden="1">#REF!</definedName>
    <definedName name="ChangeRange" localSheetId="10" hidden="1">#REF!</definedName>
    <definedName name="ChangeRange" localSheetId="43" hidden="1">#REF!</definedName>
    <definedName name="ChangeRange" localSheetId="46" hidden="1">#REF!</definedName>
    <definedName name="ChangeRange" localSheetId="45" hidden="1">#REF!</definedName>
    <definedName name="ChangeRange" localSheetId="49" hidden="1">#REF!</definedName>
    <definedName name="ChangeRange" localSheetId="50" hidden="1">#REF!</definedName>
    <definedName name="ChangeRange" localSheetId="51" hidden="1">#REF!</definedName>
    <definedName name="ChangeRange" localSheetId="52" hidden="1">#REF!</definedName>
    <definedName name="ChangeRange" localSheetId="56" hidden="1">#REF!</definedName>
    <definedName name="ChangeRange" localSheetId="57" hidden="1">#REF!</definedName>
    <definedName name="ChangeRange" localSheetId="58" hidden="1">#REF!</definedName>
    <definedName name="ChangeRange" localSheetId="59" hidden="1">#REF!</definedName>
    <definedName name="ChangeRange" hidden="1">#REF!</definedName>
    <definedName name="channel"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3"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3"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4"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4"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5"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5"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6"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6"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1"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1"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2"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2"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3"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3"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4"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4"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A"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A"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z"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z"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nelsz"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anResLife16">#REF!</definedName>
    <definedName name="ChaResLife">#REF!</definedName>
    <definedName name="charge00">#REF!</definedName>
    <definedName name="charge01">#REF!</definedName>
    <definedName name="charge94">#REF!</definedName>
    <definedName name="charge95">#REF!</definedName>
    <definedName name="charge96">#REF!</definedName>
    <definedName name="charge97">#REF!</definedName>
    <definedName name="charge98">#REF!</definedName>
    <definedName name="charge99">#REF!</definedName>
    <definedName name="ChartingArea" localSheetId="0">#REF!,#REF!</definedName>
    <definedName name="ChartingArea">#REF!,#REF!</definedName>
    <definedName name="check">#REF!</definedName>
    <definedName name="checkarea" localSheetId="0">#REF!</definedName>
    <definedName name="checkarea">#REF!</definedName>
    <definedName name="chem3">#REF!</definedName>
    <definedName name="chem4">#REF!</definedName>
    <definedName name="Chemicals_maintenance_capex">#REF!</definedName>
    <definedName name="CHF_payments" localSheetId="0">#REF!</definedName>
    <definedName name="CHF_payments">#REF!</definedName>
    <definedName name="chg">#REF!</definedName>
    <definedName name="chg_in_current_liabilities">#REF!</definedName>
    <definedName name="chg_in_debt">#REF!</definedName>
    <definedName name="chg_in_debtors">#REF!</definedName>
    <definedName name="chg_in_inventory">#REF!</definedName>
    <definedName name="chg_in_investment">#REF!</definedName>
    <definedName name="chg_in_loans_advances">#REF!</definedName>
    <definedName name="chg_in_marketable_securities">#REF!</definedName>
    <definedName name="chg_in_other_current_assets">#REF!</definedName>
    <definedName name="chg_in_provisions">#REF!</definedName>
    <definedName name="chg_in_working_cap">#REF!</definedName>
    <definedName name="chgdtoexps">#REF!</definedName>
    <definedName name="CHHANELS"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INA_PLASTIC_in_KUSD">#REF!</definedName>
    <definedName name="CHIPS">#REF!</definedName>
    <definedName name="CHIPS___0">#REF!</definedName>
    <definedName name="Choices_Wrapper">#N/A</definedName>
    <definedName name="CHOWKIES_ES_TA">#REF!</definedName>
    <definedName name="CHOWKIES_ES_TD">#REF!</definedName>
    <definedName name="chut" localSheetId="0" hidden="1">{"VIEW1",#N/A,FALSE,"P&amp;L Account 2001-2002";"VIEW2",#N/A,FALSE,"P&amp;L Account 2001-2002";"VIEW3",#N/A,FALSE,"P&amp;L Account 2001-2002";"VIEW4",#N/A,FALSE,"P&amp;L Account 2001-2002"}</definedName>
    <definedName name="chut" hidden="1">{"VIEW1",#N/A,FALSE,"P&amp;L Account 2001-2002";"VIEW2",#N/A,FALSE,"P&amp;L Account 2001-2002";"VIEW3",#N/A,FALSE,"P&amp;L Account 2001-2002";"VIEW4",#N/A,FALSE,"P&amp;L Account 2001-2002"}</definedName>
    <definedName name="chutya" localSheetId="0" hidden="1">{"VIEW1",#N/A,FALSE,"P&amp;L Account 2001-2002";"VIEW2",#N/A,FALSE,"P&amp;L Account 2001-2002";"VIEW3",#N/A,FALSE,"P&amp;L Account 2001-2002";"VIEW4",#N/A,FALSE,"P&amp;L Account 2001-2002"}</definedName>
    <definedName name="chutya" hidden="1">{"VIEW1",#N/A,FALSE,"P&amp;L Account 2001-2002";"VIEW2",#N/A,FALSE,"P&amp;L Account 2001-2002";"VIEW3",#N/A,FALSE,"P&amp;L Account 2001-2002";"VIEW4",#N/A,FALSE,"P&amp;L Account 2001-2002"}</definedName>
    <definedName name="CI">#REF!</definedName>
    <definedName name="CIQWBGuid" hidden="1">"4e994f6d-3099-4af6-821a-15fe928a6913"</definedName>
    <definedName name="Circ1">#REF!</definedName>
    <definedName name="Circularity_Flag" localSheetId="0">#REF!</definedName>
    <definedName name="Circularity_Flag">#REF!</definedName>
    <definedName name="cisco_dscnt">#REF!</definedName>
    <definedName name="cj">#REF!</definedName>
    <definedName name="CL">#REF!</definedName>
    <definedName name="CL_DEBT">#REF!</definedName>
    <definedName name="CL_MIN_INT">#REF!</definedName>
    <definedName name="CL_PAY">#REF!</definedName>
    <definedName name="ClAccrual">#REF!</definedName>
    <definedName name="ClAdvance">#REF!</definedName>
    <definedName name="CLASS">#N/A</definedName>
    <definedName name="clause2.7togo">#REF!</definedName>
    <definedName name="clear" localSheetId="0">#REF!,#REF!,#REF!,#REF!,#REF!,#REF!,#REF!,#REF!,#REF!,#REF!,#REF!,#REF!,#REF!,#REF!,#REF!,#REF!,#REF!,#REF!</definedName>
    <definedName name="clear">#REF!,#REF!,#REF!,#REF!,#REF!,#REF!,#REF!,#REF!,#REF!,#REF!,#REF!,#REF!,#REF!,#REF!,#REF!,#REF!,#REF!,#REF!</definedName>
    <definedName name="Client">"Client"</definedName>
    <definedName name="Client_Grade">"C"</definedName>
    <definedName name="ClosingAccrual">#REF!</definedName>
    <definedName name="closingAcrl">#REF!</definedName>
    <definedName name="closingAdvance">#REF!</definedName>
    <definedName name="ClsAccrual">#REF!</definedName>
    <definedName name="ClsAdvance">#REF!</definedName>
    <definedName name="CM10_C_RIGHT___" localSheetId="11">#REF!</definedName>
    <definedName name="CM10_C_RIGHT___" localSheetId="13">#REF!</definedName>
    <definedName name="CM10_C_RIGHT___" localSheetId="16">#REF!</definedName>
    <definedName name="CM10_C_RIGHT___" localSheetId="26">#REF!</definedName>
    <definedName name="CM10_C_RIGHT___" localSheetId="32">#REF!</definedName>
    <definedName name="CM10_C_RIGHT___" localSheetId="33">#REF!</definedName>
    <definedName name="CM10_C_RIGHT___" localSheetId="34">#REF!</definedName>
    <definedName name="CM10_C_RIGHT___" localSheetId="35">#REF!</definedName>
    <definedName name="CM10_C_RIGHT___">#REF!</definedName>
    <definedName name="CMA" hidden="1">#REF!</definedName>
    <definedName name="cmb_Per10080G.StateCode" localSheetId="0">#REF!</definedName>
    <definedName name="cmb_Per10080G.StateCode">#REF!</definedName>
    <definedName name="CMH" localSheetId="2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#REF!</definedName>
    <definedName name="CMP">#REF!</definedName>
    <definedName name="cn" localSheetId="25" hidden="1">{"'Sheet1'!$L$16"}</definedName>
    <definedName name="cn" localSheetId="0" hidden="1">{"'Sheet1'!$L$16"}</definedName>
    <definedName name="cn" localSheetId="5" hidden="1">{"'Sheet1'!$L$16"}</definedName>
    <definedName name="cn" hidden="1">{"'Sheet1'!$L$16"}</definedName>
    <definedName name="cn_asia">#REF!</definedName>
    <definedName name="CNO" localSheetId="0">#REF!</definedName>
    <definedName name="CNO">#REF!</definedName>
    <definedName name="co">#REF!</definedName>
    <definedName name="Co_Act_Calculated_life">#REF!</definedName>
    <definedName name="COA_11" localSheetId="0">#REF!</definedName>
    <definedName name="COA_11">#REF!</definedName>
    <definedName name="COA_12" localSheetId="0">#REF!</definedName>
    <definedName name="COA_12">#REF!</definedName>
    <definedName name="COA_13" localSheetId="0">#REF!</definedName>
    <definedName name="COA_13">#REF!</definedName>
    <definedName name="COA_14" localSheetId="0">#REF!</definedName>
    <definedName name="COA_14">#REF!</definedName>
    <definedName name="COA_15" localSheetId="0">#REF!</definedName>
    <definedName name="COA_15">#REF!</definedName>
    <definedName name="COA_16" localSheetId="0">#REF!</definedName>
    <definedName name="COA_16">#REF!</definedName>
    <definedName name="COA_17" localSheetId="0">#REF!</definedName>
    <definedName name="COA_17">#REF!</definedName>
    <definedName name="COA_18" localSheetId="0">#REF!</definedName>
    <definedName name="COA_18">#REF!</definedName>
    <definedName name="COA_19" localSheetId="0">#REF!</definedName>
    <definedName name="COA_19">#REF!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Add" localSheetId="0">#REF!</definedName>
    <definedName name="CoAdd">#REF!</definedName>
    <definedName name="Code" localSheetId="0">#REF!</definedName>
    <definedName name="Code" hidden="1">#REF!</definedName>
    <definedName name="CODE_TYPE">#REF!</definedName>
    <definedName name="codeDestination">#REF!</definedName>
    <definedName name="CODELK_Path">#REF!</definedName>
    <definedName name="CoG" localSheetId="0">#REF!</definedName>
    <definedName name="CoG">#REF!</definedName>
    <definedName name="COGS">#REF!</definedName>
    <definedName name="Colend">#REF!</definedName>
    <definedName name="collateral_payments">#REF!</definedName>
    <definedName name="Columns">#REF!</definedName>
    <definedName name="COM" localSheetId="0">#REF!</definedName>
    <definedName name="Com" hidden="1">#REF!</definedName>
    <definedName name="COMBER">#REF!</definedName>
    <definedName name="COMM" localSheetId="25" hidden="1">{"'Mach'!$A$1:$D$39"}</definedName>
    <definedName name="COMM" localSheetId="5" hidden="1">{"'Mach'!$A$1:$D$39"}</definedName>
    <definedName name="COMM" hidden="1">{"'Mach'!$A$1:$D$39"}</definedName>
    <definedName name="Commission">#REF!</definedName>
    <definedName name="COMP" localSheetId="0">#REF!</definedName>
    <definedName name="Comp" hidden="1">#REF!</definedName>
    <definedName name="COMP_TR">#REF!</definedName>
    <definedName name="COMP_선택">#REF!</definedName>
    <definedName name="COMP_선택1">#REF!</definedName>
    <definedName name="comp2003"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omp200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ompany">#REF!</definedName>
    <definedName name="Company_reported_exceptionals">#REF!</definedName>
    <definedName name="compdty">#REF!</definedName>
    <definedName name="Complaint_Table">#REF!</definedName>
    <definedName name="Complex">#REF!</definedName>
    <definedName name="compspun">#REF!</definedName>
    <definedName name="CON">#N/A</definedName>
    <definedName name="CoName" localSheetId="0">#REF!</definedName>
    <definedName name="CoName">#REF!</definedName>
    <definedName name="conanalysis" localSheetId="25" hidden="1">{#N/A,#N/A,TRUE,"Front";#N/A,#N/A,TRUE,"Simple Letter";#N/A,#N/A,TRUE,"Inside";#N/A,#N/A,TRUE,"Contents";#N/A,#N/A,TRUE,"Basis";#N/A,#N/A,TRUE,"Inclusions";#N/A,#N/A,TRUE,"Exclusions";#N/A,#N/A,TRUE,"Areas";#N/A,#N/A,TRUE,"Summary";#N/A,#N/A,TRUE,"Detail"}</definedName>
    <definedName name="conanalysis" localSheetId="5" hidden="1">{#N/A,#N/A,TRUE,"Front";#N/A,#N/A,TRUE,"Simple Letter";#N/A,#N/A,TRUE,"Inside";#N/A,#N/A,TRUE,"Contents";#N/A,#N/A,TRUE,"Basis";#N/A,#N/A,TRUE,"Inclusions";#N/A,#N/A,TRUE,"Exclusions";#N/A,#N/A,TRUE,"Areas";#N/A,#N/A,TRUE,"Summary";#N/A,#N/A,TRUE,"Detail"}</definedName>
    <definedName name="conanalysis" hidden="1">{#N/A,#N/A,TRUE,"Front";#N/A,#N/A,TRUE,"Simple Letter";#N/A,#N/A,TRUE,"Inside";#N/A,#N/A,TRUE,"Contents";#N/A,#N/A,TRUE,"Basis";#N/A,#N/A,TRUE,"Inclusions";#N/A,#N/A,TRUE,"Exclusions";#N/A,#N/A,TRUE,"Areas";#N/A,#N/A,TRUE,"Summary";#N/A,#N/A,TRUE,"Detail"}</definedName>
    <definedName name="CONCEPT" localSheetId="0">#REF!</definedName>
    <definedName name="CONCEPT">#REF!</definedName>
    <definedName name="conf_balamended" localSheetId="25" hidden="1">{#N/A,#N/A,FALSE,"PMTABB";#N/A,#N/A,FALSE,"PMTABB"}</definedName>
    <definedName name="conf_balamended" localSheetId="0" hidden="1">{#N/A,#N/A,FALSE,"PMTABB";#N/A,#N/A,FALSE,"PMTABB"}</definedName>
    <definedName name="conf_balamended" localSheetId="5" hidden="1">{#N/A,#N/A,FALSE,"PMTABB";#N/A,#N/A,FALSE,"PMTABB"}</definedName>
    <definedName name="conf_balamended" hidden="1">{#N/A,#N/A,FALSE,"PMTABB";#N/A,#N/A,FALSE,"PMTABB"}</definedName>
    <definedName name="cons">#REF!</definedName>
    <definedName name="CONSF_1">#REF!</definedName>
    <definedName name="CONSN1">#REF!</definedName>
    <definedName name="CONSN2">#REF!</definedName>
    <definedName name="CONSN3">#REF!</definedName>
    <definedName name="CONSN4">#REF!</definedName>
    <definedName name="CONSN5">#REF!</definedName>
    <definedName name="CONSN6">#REF!</definedName>
    <definedName name="_xlnm.Consolidate_Area">#N/A</definedName>
    <definedName name="CONSTANTS" localSheetId="0">#REF!</definedName>
    <definedName name="CONSTANTS">#REF!</definedName>
    <definedName name="CONSUM">#REF!</definedName>
    <definedName name="Consumers">#REF!</definedName>
    <definedName name="Consumption">#REF!</definedName>
    <definedName name="CONT_NO">#N/A</definedName>
    <definedName name="Content">#REF!</definedName>
    <definedName name="Contents">#REF!</definedName>
    <definedName name="ContentsHelp" localSheetId="9" hidden="1">#REF!</definedName>
    <definedName name="ContentsHelp" localSheetId="8" hidden="1">#REF!</definedName>
    <definedName name="ContentsHelp" localSheetId="10" hidden="1">#REF!</definedName>
    <definedName name="ContentsHelp" localSheetId="43" hidden="1">#REF!</definedName>
    <definedName name="ContentsHelp" localSheetId="46" hidden="1">#REF!</definedName>
    <definedName name="ContentsHelp" localSheetId="45" hidden="1">#REF!</definedName>
    <definedName name="ContentsHelp" localSheetId="49" hidden="1">#REF!</definedName>
    <definedName name="ContentsHelp" localSheetId="50" hidden="1">#REF!</definedName>
    <definedName name="ContentsHelp" localSheetId="51" hidden="1">#REF!</definedName>
    <definedName name="ContentsHelp" localSheetId="52" hidden="1">#REF!</definedName>
    <definedName name="ContentsHelp" localSheetId="56" hidden="1">#REF!</definedName>
    <definedName name="ContentsHelp" localSheetId="57" hidden="1">#REF!</definedName>
    <definedName name="ContentsHelp" localSheetId="58" hidden="1">#REF!</definedName>
    <definedName name="ContentsHelp" localSheetId="59" hidden="1">#REF!</definedName>
    <definedName name="ContentsHelp" hidden="1">#REF!</definedName>
    <definedName name="ContEx3">#REF!</definedName>
    <definedName name="ContEx4">#REF!</definedName>
    <definedName name="ContEx5">#REF!</definedName>
    <definedName name="context">#REF!</definedName>
    <definedName name="ContLo1">#REF!</definedName>
    <definedName name="ContLo2">#REF!</definedName>
    <definedName name="ContLo3">#REF!</definedName>
    <definedName name="ContLo4">#REF!</definedName>
    <definedName name="ContLo5">#REF!</definedName>
    <definedName name="convertible_bonds">#REF!</definedName>
    <definedName name="coos" localSheetId="0" hidden="1">{"VIEW1",#N/A,FALSE,"P&amp;L Account 2001-2002";"VIEW2",#N/A,FALSE,"P&amp;L Account 2001-2002";"VIEW3",#N/A,FALSE,"P&amp;L Account 2001-2002";"VIEW4",#N/A,FALSE,"P&amp;L Account 2001-2002"}</definedName>
    <definedName name="coos" hidden="1">{"VIEW1",#N/A,FALSE,"P&amp;L Account 2001-2002";"VIEW2",#N/A,FALSE,"P&amp;L Account 2001-2002";"VIEW3",#N/A,FALSE,"P&amp;L Account 2001-2002";"VIEW4",#N/A,FALSE,"P&amp;L Account 2001-2002"}</definedName>
    <definedName name="COOST" localSheetId="0" hidden="1">{"VIEW1",#N/A,FALSE,"P&amp;L Account 2001-2002";"VIEW2",#N/A,FALSE,"P&amp;L Account 2001-2002";"VIEW3",#N/A,FALSE,"P&amp;L Account 2001-2002";"VIEW4",#N/A,FALSE,"P&amp;L Account 2001-2002"}</definedName>
    <definedName name="COOST" hidden="1">{"VIEW1",#N/A,FALSE,"P&amp;L Account 2001-2002";"VIEW2",#N/A,FALSE,"P&amp;L Account 2001-2002";"VIEW3",#N/A,FALSE,"P&amp;L Account 2001-2002";"VIEW4",#N/A,FALSE,"P&amp;L Account 2001-2002"}</definedName>
    <definedName name="COP" localSheetId="0">#REF!</definedName>
    <definedName name="COP">#REF!</definedName>
    <definedName name="Core_Net_Cash_Debt">#REF!</definedName>
    <definedName name="Core_Sales">#REF!</definedName>
    <definedName name="corrctn">#REF!</definedName>
    <definedName name="COS_UC">#N/A</definedName>
    <definedName name="COST">#REF!</definedName>
    <definedName name="cost_calcn">#REF!</definedName>
    <definedName name="cost_of_debt">#REF!</definedName>
    <definedName name="cost_of_equity">#REF!</definedName>
    <definedName name="CoStatus" localSheetId="0">#REF!</definedName>
    <definedName name="CoStatus">#REF!</definedName>
    <definedName name="CostMul" localSheetId="0">#REF!</definedName>
    <definedName name="CostMul">#REF!</definedName>
    <definedName name="costofgoodssold" localSheetId="0">#REF!</definedName>
    <definedName name="costofgoodssold">#REF!</definedName>
    <definedName name="cosumm_q2" localSheetId="0" hidden="1">#REF!</definedName>
    <definedName name="cosumm_q2" hidden="1">#REF!</definedName>
    <definedName name="Countries">#REF!</definedName>
    <definedName name="Country" localSheetId="25" hidden="1">{#N/A,#N/A,FALSE,"Balance Sheets";#N/A,#N/A,FALSE,"96 Conservative";#N/A,#N/A,FALSE,"96 Possible"}</definedName>
    <definedName name="Country" localSheetId="0" hidden="1">{#N/A,#N/A,FALSE,"Balance Sheets";#N/A,#N/A,FALSE,"96 Conservative";#N/A,#N/A,FALSE,"96 Possible"}</definedName>
    <definedName name="Country" localSheetId="5" hidden="1">{#N/A,#N/A,FALSE,"Balance Sheets";#N/A,#N/A,FALSE,"96 Conservative";#N/A,#N/A,FALSE,"96 Possible"}</definedName>
    <definedName name="Country" hidden="1">{#N/A,#N/A,FALSE,"Balance Sheets";#N/A,#N/A,FALSE,"96 Conservative";#N/A,#N/A,FALSE,"96 Possible"}</definedName>
    <definedName name="Cov_97_Rev">#REF!</definedName>
    <definedName name="Cov_98_PS">#REF!</definedName>
    <definedName name="Cov_98_Rev">#REF!</definedName>
    <definedName name="Cov_99_PS">#REF!</definedName>
    <definedName name="Cov_99_Rev">#REF!</definedName>
    <definedName name="Cov_EPS_00">#REF!</definedName>
    <definedName name="Cov_EPS_98">#REF!</definedName>
    <definedName name="Cov_EPS_99">#REF!</definedName>
    <definedName name="Cov_Mkt_Cap">#REF!</definedName>
    <definedName name="Cov_Off_High">#REF!</definedName>
    <definedName name="Cov_Perf_97">#REF!</definedName>
    <definedName name="Cov_Perf_98">#REF!</definedName>
    <definedName name="Cov_Perf_99">#REF!</definedName>
    <definedName name="cov_perf_99b">#REF!</definedName>
    <definedName name="COVER">#REF!</definedName>
    <definedName name="Cover2">#REF!</definedName>
    <definedName name="COVER50" localSheetId="0">#REF!</definedName>
    <definedName name="COVER50">#REF!</definedName>
    <definedName name="CP1_">#N/A</definedName>
    <definedName name="CP2_">#N/A</definedName>
    <definedName name="CP3_" localSheetId="0">#REF!</definedName>
    <definedName name="CP3_">#REF!</definedName>
    <definedName name="CPLG">#REF!</definedName>
    <definedName name="CPP">#REF!</definedName>
    <definedName name="cprrr" localSheetId="0">#REF!</definedName>
    <definedName name="cprrr">#REF!</definedName>
    <definedName name="cpsummary" localSheetId="25" hidden="1">{#N/A,#N/A,FALSE,"Aging Summary";#N/A,#N/A,FALSE,"Ratio Analysis";#N/A,#N/A,FALSE,"Test 120 Day Accts";#N/A,#N/A,FALSE,"Tickmarks"}</definedName>
    <definedName name="cpsummary" localSheetId="5" hidden="1">{#N/A,#N/A,FALSE,"Aging Summary";#N/A,#N/A,FALSE,"Ratio Analysis";#N/A,#N/A,FALSE,"Test 120 Day Accts";#N/A,#N/A,FALSE,"Tickmarks"}</definedName>
    <definedName name="cpsummary" hidden="1">{#N/A,#N/A,FALSE,"Aging Summary";#N/A,#N/A,FALSE,"Ratio Analysis";#N/A,#N/A,FALSE,"Test 120 Day Accts";#N/A,#N/A,FALSE,"Tickmarks"}</definedName>
    <definedName name="CQ">#REF!</definedName>
    <definedName name="cqwfe" localSheetId="0">#REF!</definedName>
    <definedName name="cqwfe">#REF!</definedName>
    <definedName name="CR" localSheetId="0">#REF!</definedName>
    <definedName name="CR">#REF!</definedName>
    <definedName name="CR_SCH_E">#REF!</definedName>
    <definedName name="crador" localSheetId="25" hidden="1">{"'kpi2-1'!$E$4"}</definedName>
    <definedName name="crador" localSheetId="5" hidden="1">{"'kpi2-1'!$E$4"}</definedName>
    <definedName name="crador" hidden="1">{"'kpi2-1'!$E$4"}</definedName>
    <definedName name="CreateTable" localSheetId="9" hidden="1">#REF!</definedName>
    <definedName name="CreateTable" localSheetId="8" hidden="1">#REF!</definedName>
    <definedName name="CreateTable" localSheetId="10" hidden="1">#REF!</definedName>
    <definedName name="CreateTable" localSheetId="43" hidden="1">#REF!</definedName>
    <definedName name="CreateTable" localSheetId="46" hidden="1">#REF!</definedName>
    <definedName name="CreateTable" localSheetId="45" hidden="1">#REF!</definedName>
    <definedName name="CreateTable" localSheetId="49" hidden="1">#REF!</definedName>
    <definedName name="CreateTable" localSheetId="50" hidden="1">#REF!</definedName>
    <definedName name="CreateTable" localSheetId="51" hidden="1">#REF!</definedName>
    <definedName name="CreateTable" localSheetId="52" hidden="1">#REF!</definedName>
    <definedName name="CreateTable" localSheetId="56" hidden="1">#REF!</definedName>
    <definedName name="CreateTable" localSheetId="57" hidden="1">#REF!</definedName>
    <definedName name="CreateTable" localSheetId="58" hidden="1">#REF!</definedName>
    <definedName name="CreateTable" localSheetId="59" hidden="1">#REF!</definedName>
    <definedName name="CreateTable" hidden="1">#REF!</definedName>
    <definedName name="CREATOR">#REF!</definedName>
    <definedName name="creditors">#REF!</definedName>
    <definedName name="crisil">#REF!</definedName>
    <definedName name="CRIT" localSheetId="25" hidden="1">{#N/A,#N/A,FALSE,"consu_cover";#N/A,#N/A,FALSE,"consu_strategy";#N/A,#N/A,FALSE,"consu_flow";#N/A,#N/A,FALSE,"Summary_reqmt";#N/A,#N/A,FALSE,"field_ppg";#N/A,#N/A,FALSE,"ppg_shop";#N/A,#N/A,FALSE,"strl";#N/A,#N/A,FALSE,"tankages";#N/A,#N/A,FALSE,"gases"}</definedName>
    <definedName name="CRIT" localSheetId="0" hidden="1">{#N/A,#N/A,FALSE,"consu_cover";#N/A,#N/A,FALSE,"consu_strategy";#N/A,#N/A,FALSE,"consu_flow";#N/A,#N/A,FALSE,"Summary_reqmt";#N/A,#N/A,FALSE,"field_ppg";#N/A,#N/A,FALSE,"ppg_shop";#N/A,#N/A,FALSE,"strl";#N/A,#N/A,FALSE,"tankages";#N/A,#N/A,FALSE,"gases"}</definedName>
    <definedName name="CRIT" localSheetId="5" hidden="1">{#N/A,#N/A,FALSE,"consu_cover";#N/A,#N/A,FALSE,"consu_strategy";#N/A,#N/A,FALSE,"consu_flow";#N/A,#N/A,FALSE,"Summary_reqmt";#N/A,#N/A,FALSE,"field_ppg";#N/A,#N/A,FALSE,"ppg_shop";#N/A,#N/A,FALSE,"strl";#N/A,#N/A,FALSE,"tankages";#N/A,#N/A,FALSE,"gases"}</definedName>
    <definedName name="CRIT" hidden="1">{#N/A,#N/A,FALSE,"consu_cover";#N/A,#N/A,FALSE,"consu_strategy";#N/A,#N/A,FALSE,"consu_flow";#N/A,#N/A,FALSE,"Summary_reqmt";#N/A,#N/A,FALSE,"field_ppg";#N/A,#N/A,FALSE,"ppg_shop";#N/A,#N/A,FALSE,"strl";#N/A,#N/A,FALSE,"tankages";#N/A,#N/A,FALSE,"gases"}</definedName>
    <definedName name="_xlnm.Criteria" localSheetId="0">#REF!</definedName>
    <definedName name="_xlnm.Criteria">#REF!</definedName>
    <definedName name="Criteria_MI">#REF!</definedName>
    <definedName name="CRITICAL" localSheetId="25" hidden="1">{#N/A,#N/A,FALSE,"consu_cover";#N/A,#N/A,FALSE,"consu_strategy";#N/A,#N/A,FALSE,"consu_flow";#N/A,#N/A,FALSE,"Summary_reqmt";#N/A,#N/A,FALSE,"field_ppg";#N/A,#N/A,FALSE,"ppg_shop";#N/A,#N/A,FALSE,"strl";#N/A,#N/A,FALSE,"tankages";#N/A,#N/A,FALSE,"gases"}</definedName>
    <definedName name="CRITICAL" localSheetId="0" hidden="1">{#N/A,#N/A,FALSE,"consu_cover";#N/A,#N/A,FALSE,"consu_strategy";#N/A,#N/A,FALSE,"consu_flow";#N/A,#N/A,FALSE,"Summary_reqmt";#N/A,#N/A,FALSE,"field_ppg";#N/A,#N/A,FALSE,"ppg_shop";#N/A,#N/A,FALSE,"strl";#N/A,#N/A,FALSE,"tankages";#N/A,#N/A,FALSE,"gases"}</definedName>
    <definedName name="CRITICAL" localSheetId="5" hidden="1">{#N/A,#N/A,FALSE,"consu_cover";#N/A,#N/A,FALSE,"consu_strategy";#N/A,#N/A,FALSE,"consu_flow";#N/A,#N/A,FALSE,"Summary_reqmt";#N/A,#N/A,FALSE,"field_ppg";#N/A,#N/A,FALSE,"ppg_shop";#N/A,#N/A,FALSE,"strl";#N/A,#N/A,FALSE,"tankages";#N/A,#N/A,FALSE,"gases"}</definedName>
    <definedName name="CRITICAL" hidden="1">{#N/A,#N/A,FALSE,"consu_cover";#N/A,#N/A,FALSE,"consu_strategy";#N/A,#N/A,FALSE,"consu_flow";#N/A,#N/A,FALSE,"Summary_reqmt";#N/A,#N/A,FALSE,"field_ppg";#N/A,#N/A,FALSE,"ppg_shop";#N/A,#N/A,FALSE,"strl";#N/A,#N/A,FALSE,"tankages";#N/A,#N/A,FALSE,"gases"}</definedName>
    <definedName name="CROCIWACCcapmm">#REF!</definedName>
    <definedName name="CROCIWACCmarket">#REF!</definedName>
    <definedName name="Crores">10000000</definedName>
    <definedName name="crs_31.03.02" hidden="1">#REF!</definedName>
    <definedName name="csa">#REF!</definedName>
    <definedName name="Csdfs"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sdf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shcrdt">#REF!</definedName>
    <definedName name="CSMPD" localSheetId="0">#REF!</definedName>
    <definedName name="CSMPD">#REF!</definedName>
    <definedName name="CST_MP">#REF!</definedName>
    <definedName name="CST_PI">#REF!</definedName>
    <definedName name="CT">#N/A</definedName>
    <definedName name="CT_PT_Details">#REF!</definedName>
    <definedName name="CTopics">#REF!</definedName>
    <definedName name="CTTRV">#N/A</definedName>
    <definedName name="cu107.DPSSymbol" hidden="1">"Rs"</definedName>
    <definedName name="cu107.EPSSymbol" hidden="1">"Rs"</definedName>
    <definedName name="CUF" localSheetId="0">#REF!</definedName>
    <definedName name="CUF">#REF!</definedName>
    <definedName name="CUF_.5">#REF!</definedName>
    <definedName name="CUF_1">#REF!</definedName>
    <definedName name="CUF_1.5">#REF!</definedName>
    <definedName name="CUF_2">#REF!</definedName>
    <definedName name="CUF_2.5">#REF!</definedName>
    <definedName name="CUF_3">#REF!</definedName>
    <definedName name="CUF_P50">#REF!</definedName>
    <definedName name="CUF_P75">#REF!</definedName>
    <definedName name="CUr_mth">#REF!</definedName>
    <definedName name="curra" localSheetId="0">#REF!</definedName>
    <definedName name="curra">#REF!</definedName>
    <definedName name="CURRAPPLI" localSheetId="0">#REF!</definedName>
    <definedName name="CURRAPPLI">#REF!</definedName>
    <definedName name="Currency" localSheetId="0">#REF!</definedName>
    <definedName name="Currency">#REF!</definedName>
    <definedName name="Current_assets">#REF!</definedName>
    <definedName name="Current_cost_adjusted_net_income">#REF!</definedName>
    <definedName name="Current_liabilities">#REF!</definedName>
    <definedName name="current_liability">#REF!</definedName>
    <definedName name="current_yr">#REF!</definedName>
    <definedName name="CurrentLiabilty">#REF!</definedName>
    <definedName name="CurrentYear">#REF!</definedName>
    <definedName name="currpr" localSheetId="0" hidden="1">{"VIEW1",#N/A,FALSE,"P&amp;L Account 2001-2002";"VIEW2",#N/A,FALSE,"P&amp;L Account 2001-2002";"VIEW3",#N/A,FALSE,"P&amp;L Account 2001-2002";"VIEW4",#N/A,FALSE,"P&amp;L Account 2001-2002"}</definedName>
    <definedName name="currpr" hidden="1">{"VIEW1",#N/A,FALSE,"P&amp;L Account 2001-2002";"VIEW2",#N/A,FALSE,"P&amp;L Account 2001-2002";"VIEW3",#N/A,FALSE,"P&amp;L Account 2001-2002";"VIEW4",#N/A,FALSE,"P&amp;L Account 2001-2002"}</definedName>
    <definedName name="CURVE" localSheetId="25" hidden="1">{#N/A,#N/A,FALSE,"COVER1.XLS ";#N/A,#N/A,FALSE,"RACT1.XLS";#N/A,#N/A,FALSE,"RACT2.XLS";#N/A,#N/A,FALSE,"ECCMP";#N/A,#N/A,FALSE,"WELDER.XLS"}</definedName>
    <definedName name="CURVE" localSheetId="0" hidden="1">{#N/A,#N/A,FALSE,"COVER1.XLS ";#N/A,#N/A,FALSE,"RACT1.XLS";#N/A,#N/A,FALSE,"RACT2.XLS";#N/A,#N/A,FALSE,"ECCMP";#N/A,#N/A,FALSE,"WELDER.XLS"}</definedName>
    <definedName name="CURVE" localSheetId="5" hidden="1">{#N/A,#N/A,FALSE,"COVER1.XLS ";#N/A,#N/A,FALSE,"RACT1.XLS";#N/A,#N/A,FALSE,"RACT2.XLS";#N/A,#N/A,FALSE,"ECCMP";#N/A,#N/A,FALSE,"WELDER.XLS"}</definedName>
    <definedName name="CURVE" hidden="1">{#N/A,#N/A,FALSE,"COVER1.XLS ";#N/A,#N/A,FALSE,"RACT1.XLS";#N/A,#N/A,FALSE,"RACT2.XLS";#N/A,#N/A,FALSE,"ECCMP";#N/A,#N/A,FALSE,"WELDER.XLS"}</definedName>
    <definedName name="cust">#REF!</definedName>
    <definedName name="CUSTOM">#N/A</definedName>
    <definedName name="Customer_Address">"Rm 2409, 24/F Winsor House"</definedName>
    <definedName name="Customer_City">"Causeway Bay, Hong KOng"</definedName>
    <definedName name="Customer_Name">"Trend_Micro_HK_Limited"</definedName>
    <definedName name="Customer_nr">#REF!</definedName>
    <definedName name="Customer_State">"Hong KOng"</definedName>
    <definedName name="Customer_ZIP">"sdf"</definedName>
    <definedName name="CutImportantCities" localSheetId="0">#REF!</definedName>
    <definedName name="CutImportantCities">#REF!</definedName>
    <definedName name="CutImportantCities_H0010" localSheetId="0">#REF!</definedName>
    <definedName name="CutImportantCities_H0010">#REF!</definedName>
    <definedName name="CUTONHQ" localSheetId="0">#REF!</definedName>
    <definedName name="CUTONHQ">#REF!</definedName>
    <definedName name="CUTONHQ_H0010" localSheetId="0">#REF!</definedName>
    <definedName name="CUTONHQ_H0010">#REF!</definedName>
    <definedName name="CutUrbanIndustrialArea" localSheetId="0">#REF!</definedName>
    <definedName name="CutUrbanIndustrialArea">#REF!</definedName>
    <definedName name="CutUrbanIndustrialArea_H0010" localSheetId="0">#REF!</definedName>
    <definedName name="CutUrbanIndustrialArea_H0010">#REF!</definedName>
    <definedName name="CV" localSheetId="11">#REF!</definedName>
    <definedName name="CV" localSheetId="13">#REF!</definedName>
    <definedName name="CV" localSheetId="16">#REF!</definedName>
    <definedName name="CV" localSheetId="26">#REF!</definedName>
    <definedName name="CV" localSheetId="32">#REF!</definedName>
    <definedName name="CV" localSheetId="33">#REF!</definedName>
    <definedName name="CV" localSheetId="34">#REF!</definedName>
    <definedName name="CV" localSheetId="35">#REF!</definedName>
    <definedName name="CV">#REF!</definedName>
    <definedName name="CV_1" localSheetId="0">#REF!</definedName>
    <definedName name="CV_1">#REF!</definedName>
    <definedName name="CV_11" localSheetId="0">#REF!</definedName>
    <definedName name="CV_11">#REF!</definedName>
    <definedName name="CV_12" localSheetId="0">#REF!</definedName>
    <definedName name="CV_12">#REF!</definedName>
    <definedName name="CV_13" localSheetId="0">#REF!</definedName>
    <definedName name="CV_13">#REF!</definedName>
    <definedName name="CV_14" localSheetId="0">#REF!</definedName>
    <definedName name="CV_14">#REF!</definedName>
    <definedName name="CV_15" localSheetId="0">#REF!</definedName>
    <definedName name="CV_15">#REF!</definedName>
    <definedName name="CV_16" localSheetId="0">#REF!</definedName>
    <definedName name="CV_16">#REF!</definedName>
    <definedName name="CV_17" localSheetId="0">#REF!</definedName>
    <definedName name="CV_17">#REF!</definedName>
    <definedName name="CV_19" localSheetId="0">#REF!</definedName>
    <definedName name="CV_19">#REF!</definedName>
    <definedName name="CV_20" localSheetId="0">#REF!</definedName>
    <definedName name="CV_20">#REF!</definedName>
    <definedName name="CV_30" localSheetId="0">#REF!</definedName>
    <definedName name="CV_30">#REF!</definedName>
    <definedName name="CV_40" localSheetId="0">#REF!</definedName>
    <definedName name="CV_40">#REF!</definedName>
    <definedName name="CV_50" localSheetId="0">#REF!</definedName>
    <definedName name="CV_50">#REF!</definedName>
    <definedName name="CV_60" localSheetId="0">#REF!</definedName>
    <definedName name="CV_60">#REF!</definedName>
    <definedName name="CV_70" localSheetId="0">#REF!</definedName>
    <definedName name="CV_70">#REF!</definedName>
    <definedName name="CV_80" localSheetId="0">#REF!</definedName>
    <definedName name="CV_80">#REF!</definedName>
    <definedName name="CW">#REF!</definedName>
    <definedName name="cwedkwqnb">#REF!</definedName>
    <definedName name="cwefcve" localSheetId="0">#REF!</definedName>
    <definedName name="cwefcve">#REF!</definedName>
    <definedName name="cwfvewrg" localSheetId="0">#REF!</definedName>
    <definedName name="cwfvewrg">#REF!</definedName>
    <definedName name="cwfvw" localSheetId="0">#REF!</definedName>
    <definedName name="cwfvw">#REF!</definedName>
    <definedName name="cwgfweg" localSheetId="0">#REF!</definedName>
    <definedName name="cwgfweg">#REF!</definedName>
    <definedName name="cwip">#REF!</definedName>
    <definedName name="CWIP28.03.2003">#REF!</definedName>
    <definedName name="cwt">#REF!</definedName>
    <definedName name="Cwvu.GREY_ALL." hidden="1">#REF!</definedName>
    <definedName name="cwwfvw" localSheetId="0">#REF!</definedName>
    <definedName name="cwwfvw">#REF!</definedName>
    <definedName name="cwwr" localSheetId="0">#REF!</definedName>
    <definedName name="cwwr">#REF!</definedName>
    <definedName name="CY" localSheetId="0">#REF!</definedName>
    <definedName name="CY">#REF!</definedName>
    <definedName name="CY_Accounts_Receivable">#REF!</definedName>
    <definedName name="CY_Cash">#REF!</definedName>
    <definedName name="CY_Common_Equity">#REF!</definedName>
    <definedName name="CY_Cost_of_Sales">#REF!</definedName>
    <definedName name="CY_Current_Liabilities">#REF!</definedName>
    <definedName name="CY_Depreciation">#REF!</definedName>
    <definedName name="CY_END">#REF!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ik_Equity">#REF!</definedName>
    <definedName name="CY_lik_Income">#REF!</definedName>
    <definedName name="CY_lik_Liabs">#REF!</definedName>
    <definedName name="CY_lik_RetEarn_bf">#REF!</definedName>
    <definedName name="CY_LT_Debt">#REF!</definedName>
    <definedName name="CY_Market_Value_of_Equity">#REF!</definedName>
    <definedName name="CY_Marketable_Sec">#REF!</definedName>
    <definedName name="CY_NET_PROFIT">#REF!</definedName>
    <definedName name="CY_Net_Revenue">#REF!</definedName>
    <definedName name="CY_OP">#REF!</definedName>
    <definedName name="CY_Operating_Income">#REF!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_Working_Capital">#REF!</definedName>
    <definedName name="CYMACHINE_GEN_TA">#REF!</definedName>
    <definedName name="CYMACHINE_GEN_TD">#REF!</definedName>
    <definedName name="cz">#REF!</definedName>
    <definedName name="D">#N/A</definedName>
    <definedName name="D.DCF1" hidden="1">#REF!</definedName>
    <definedName name="D.DCF2" hidden="1">#REF!</definedName>
    <definedName name="D.DCF3" hidden="1">#REF!</definedName>
    <definedName name="D.DCF4" hidden="1">#REF!</definedName>
    <definedName name="D.DCF5" hidden="1">#REF!</definedName>
    <definedName name="D.DCF6" hidden="1">#REF!</definedName>
    <definedName name="D.DCF7" hidden="1">#REF!</definedName>
    <definedName name="D.DCF8" hidden="1">#REF!</definedName>
    <definedName name="D_1">#REF!</definedName>
    <definedName name="D_2">#REF!</definedName>
    <definedName name="D_3">#REF!</definedName>
    <definedName name="D_4">#REF!</definedName>
    <definedName name="D_5">#REF!</definedName>
    <definedName name="D_6">#REF!</definedName>
    <definedName name="d_m">#REF!</definedName>
    <definedName name="D_s1">#REF!</definedName>
    <definedName name="D_s2">#REF!</definedName>
    <definedName name="D_T" localSheetId="0">#REF!</definedName>
    <definedName name="D_T">#REF!</definedName>
    <definedName name="D202\">#REF!</definedName>
    <definedName name="D5764841">#REF!</definedName>
    <definedName name="D8j139" localSheetId="0">#REF!</definedName>
    <definedName name="D8j139">#REF!</definedName>
    <definedName name="da" localSheetId="25" hidden="1">{#N/A,#N/A,TRUE,"Front";#N/A,#N/A,TRUE,"Simple Letter";#N/A,#N/A,TRUE,"Inside";#N/A,#N/A,TRUE,"Contents";#N/A,#N/A,TRUE,"Basis";#N/A,#N/A,TRUE,"Inclusions";#N/A,#N/A,TRUE,"Exclusions";#N/A,#N/A,TRUE,"Areas";#N/A,#N/A,TRUE,"Summary";#N/A,#N/A,TRUE,"Detail"}</definedName>
    <definedName name="da" localSheetId="5" hidden="1">{#N/A,#N/A,TRUE,"Front";#N/A,#N/A,TRUE,"Simple Letter";#N/A,#N/A,TRUE,"Inside";#N/A,#N/A,TRUE,"Contents";#N/A,#N/A,TRUE,"Basis";#N/A,#N/A,TRUE,"Inclusions";#N/A,#N/A,TRUE,"Exclusions";#N/A,#N/A,TRUE,"Areas";#N/A,#N/A,TRUE,"Summary";#N/A,#N/A,TRUE,"Detail"}</definedName>
    <definedName name="da" hidden="1">{#N/A,#N/A,TRUE,"Front";#N/A,#N/A,TRUE,"Simple Letter";#N/A,#N/A,TRUE,"Inside";#N/A,#N/A,TRUE,"Contents";#N/A,#N/A,TRUE,"Basis";#N/A,#N/A,TRUE,"Inclusions";#N/A,#N/A,TRUE,"Exclusions";#N/A,#N/A,TRUE,"Areas";#N/A,#N/A,TRUE,"Summary";#N/A,#N/A,TRUE,"Detail"}</definedName>
    <definedName name="DA_2316391256800001637" localSheetId="0" hidden="1">#REF!</definedName>
    <definedName name="DA_2316391256800001637" hidden="1">#REF!</definedName>
    <definedName name="DA_2316391256800001641" localSheetId="0" hidden="1">#REF!</definedName>
    <definedName name="DA_2316391256800001641" hidden="1">#REF!</definedName>
    <definedName name="DA_2316391256800001646" localSheetId="0" hidden="1">#REF!</definedName>
    <definedName name="DA_2316391256800001646" hidden="1">#REF!</definedName>
    <definedName name="DA_2316391256800001650" localSheetId="0" hidden="1">#REF!</definedName>
    <definedName name="DA_2316391256800001650" hidden="1">#REF!</definedName>
    <definedName name="DA_2982428562800000010" hidden="1">#REF!</definedName>
    <definedName name="dadfsdf">#REF!</definedName>
    <definedName name="daf">#REF!</definedName>
    <definedName name="dafa">#REF!</definedName>
    <definedName name="dafaf">#REF!</definedName>
    <definedName name="dafdadfa">#REF!</definedName>
    <definedName name="dafsff">#REF!</definedName>
    <definedName name="dai">#REF!</definedName>
    <definedName name="daily" localSheetId="0" hidden="1">{"VIEW1",#N/A,FALSE,"P&amp;L Account 2001-2002";"VIEW2",#N/A,FALSE,"P&amp;L Account 2001-2002";"VIEW3",#N/A,FALSE,"P&amp;L Account 2001-2002";"VIEW4",#N/A,FALSE,"P&amp;L Account 2001-2002"}</definedName>
    <definedName name="daily" hidden="1">{"VIEW1",#N/A,FALSE,"P&amp;L Account 2001-2002";"VIEW2",#N/A,FALSE,"P&amp;L Account 2001-2002";"VIEW3",#N/A,FALSE,"P&amp;L Account 2001-2002";"VIEW4",#N/A,FALSE,"P&amp;L Account 2001-2002"}</definedName>
    <definedName name="DAILY.22.03.10" localSheetId="0" hidden="1">{"VIEW1",#N/A,FALSE,"P&amp;L Account 2001-2002";"VIEW2",#N/A,FALSE,"P&amp;L Account 2001-2002";"VIEW3",#N/A,FALSE,"P&amp;L Account 2001-2002";"VIEW4",#N/A,FALSE,"P&amp;L Account 2001-2002"}</definedName>
    <definedName name="DAILY.22.03.10" hidden="1">{"VIEW1",#N/A,FALSE,"P&amp;L Account 2001-2002";"VIEW2",#N/A,FALSE,"P&amp;L Account 2001-2002";"VIEW3",#N/A,FALSE,"P&amp;L Account 2001-2002";"VIEW4",#N/A,FALSE,"P&amp;L Account 2001-2002"}</definedName>
    <definedName name="DAILY.23.10" localSheetId="0" hidden="1">{"VIEW1",#N/A,FALSE,"P&amp;L Account 2001-2002";"VIEW2",#N/A,FALSE,"P&amp;L Account 2001-2002";"VIEW3",#N/A,FALSE,"P&amp;L Account 2001-2002";"VIEW4",#N/A,FALSE,"P&amp;L Account 2001-2002"}</definedName>
    <definedName name="DAILY.23.10" hidden="1">{"VIEW1",#N/A,FALSE,"P&amp;L Account 2001-2002";"VIEW2",#N/A,FALSE,"P&amp;L Account 2001-2002";"VIEW3",#N/A,FALSE,"P&amp;L Account 2001-2002";"VIEW4",#N/A,FALSE,"P&amp;L Account 2001-2002"}</definedName>
    <definedName name="DAILY13.05.10" localSheetId="0" hidden="1">{"VIEW1",#N/A,FALSE,"P&amp;L Account 2001-2002";"VIEW2",#N/A,FALSE,"P&amp;L Account 2001-2002";"VIEW3",#N/A,FALSE,"P&amp;L Account 2001-2002";"VIEW4",#N/A,FALSE,"P&amp;L Account 2001-2002"}</definedName>
    <definedName name="DAILY13.05.10" hidden="1">{"VIEW1",#N/A,FALSE,"P&amp;L Account 2001-2002";"VIEW2",#N/A,FALSE,"P&amp;L Account 2001-2002";"VIEW3",#N/A,FALSE,"P&amp;L Account 2001-2002";"VIEW4",#N/A,FALSE,"P&amp;L Account 2001-2002"}</definedName>
    <definedName name="DALALINTR">#REF!</definedName>
    <definedName name="DAM">#N/A</definedName>
    <definedName name="DAMTM" localSheetId="0">#REF!</definedName>
    <definedName name="DAMTM">#REF!</definedName>
    <definedName name="DAN">#N/A</definedName>
    <definedName name="DAO" localSheetId="0">#REF!</definedName>
    <definedName name="DAO">#REF!</definedName>
    <definedName name="dargad">#REF!,#REF!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s">#REF!</definedName>
    <definedName name="dat">#REF!</definedName>
    <definedName name="data">#REF!</definedName>
    <definedName name="Data.Dump" localSheetId="25" hidden="1">OFFSET([0]!Data.Top.Left,1,0)</definedName>
    <definedName name="Data.Dump" localSheetId="9" hidden="1">OFFSET([0]!Data.Top.Left,1,0)</definedName>
    <definedName name="Data.Dump" localSheetId="8" hidden="1">OFFSET([0]!Data.Top.Left,1,0)</definedName>
    <definedName name="Data.Dump" localSheetId="10" hidden="1">OFFSET([0]!Data.Top.Left,1,0)</definedName>
    <definedName name="Data.Dump" localSheetId="43" hidden="1">OFFSET([0]!Data.Top.Left,1,0)</definedName>
    <definedName name="Data.Dump" localSheetId="46" hidden="1">OFFSET([0]!Data.Top.Left,1,0)</definedName>
    <definedName name="Data.Dump" localSheetId="45" hidden="1">OFFSET([0]!Data.Top.Left,1,0)</definedName>
    <definedName name="Data.Dump" localSheetId="49" hidden="1">OFFSET([0]!Data.Top.Left,1,0)</definedName>
    <definedName name="Data.Dump" localSheetId="50" hidden="1">OFFSET([0]!Data.Top.Left,1,0)</definedName>
    <definedName name="Data.Dump" localSheetId="51" hidden="1">OFFSET([0]!Data.Top.Left,1,0)</definedName>
    <definedName name="Data.Dump" localSheetId="52" hidden="1">OFFSET([0]!Data.Top.Left,1,0)</definedName>
    <definedName name="Data.Dump" localSheetId="56" hidden="1">OFFSET([0]!Data.Top.Left,1,0)</definedName>
    <definedName name="Data.Dump" localSheetId="57" hidden="1">OFFSET([0]!Data.Top.Left,1,0)</definedName>
    <definedName name="Data.Dump" localSheetId="58" hidden="1">OFFSET([0]!Data.Top.Left,1,0)</definedName>
    <definedName name="Data.Dump" localSheetId="59" hidden="1">OFFSET([0]!Data.Top.Left,1,0)</definedName>
    <definedName name="Data.Dump" localSheetId="5" hidden="1">OFFSET([0]!Data.Top.Left,1,0)</definedName>
    <definedName name="Data.Dump" hidden="1">OFFSET([0]!Data.Top.Left,1,0)</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1" localSheetId="0">#REF!</definedName>
    <definedName name="data1" hidden="1">#REF!</definedName>
    <definedName name="data1___0">NA()</definedName>
    <definedName name="data1___0___0">NA()</definedName>
    <definedName name="DATA10">#REF!</definedName>
    <definedName name="data10___0">NA()</definedName>
    <definedName name="data10___0___0">NA()</definedName>
    <definedName name="data100">NA()</definedName>
    <definedName name="data100___0">NA()</definedName>
    <definedName name="data100___0___0">NA()</definedName>
    <definedName name="data101">NA()</definedName>
    <definedName name="data101___0">NA()</definedName>
    <definedName name="data101___0___0">NA()</definedName>
    <definedName name="DATA11">#REF!</definedName>
    <definedName name="data11___0">NA()</definedName>
    <definedName name="data11___0___0">NA()</definedName>
    <definedName name="DATA12">#REF!</definedName>
    <definedName name="data12___0">NA()</definedName>
    <definedName name="data12___0___0">NA()</definedName>
    <definedName name="DATA13">#REF!</definedName>
    <definedName name="data13___0">NA()</definedName>
    <definedName name="data13___0___0">NA()</definedName>
    <definedName name="DATA14">#REF!</definedName>
    <definedName name="data14___0">NA()</definedName>
    <definedName name="data14___0___0">NA()</definedName>
    <definedName name="DATA15">#REF!</definedName>
    <definedName name="data15___0">NA()</definedName>
    <definedName name="data15___0___0">NA()</definedName>
    <definedName name="DATA16">#REF!</definedName>
    <definedName name="data16___0">NA()</definedName>
    <definedName name="data16___0___0">NA()</definedName>
    <definedName name="DATA17">#REF!</definedName>
    <definedName name="data17___0">NA()</definedName>
    <definedName name="data17___0___0">NA()</definedName>
    <definedName name="DATA18">#REF!</definedName>
    <definedName name="data18___0">NA()</definedName>
    <definedName name="data18___0___0">NA()</definedName>
    <definedName name="DATA19">#REF!</definedName>
    <definedName name="data19___0">NA()</definedName>
    <definedName name="data19___0___0">NA()</definedName>
    <definedName name="DATA2" localSheetId="0">#REF!</definedName>
    <definedName name="data2" hidden="1">#REF!</definedName>
    <definedName name="data2___0">NA()</definedName>
    <definedName name="data2___0___0">NA()</definedName>
    <definedName name="DATA20">#REF!</definedName>
    <definedName name="data20___0">NA()</definedName>
    <definedName name="data20___0___0">NA()</definedName>
    <definedName name="DATA21">#REF!</definedName>
    <definedName name="data21___0">NA()</definedName>
    <definedName name="data21___0___0">NA()</definedName>
    <definedName name="DATA22">#REF!</definedName>
    <definedName name="data22___0">NA()</definedName>
    <definedName name="data22___0___0">NA()</definedName>
    <definedName name="DATA23">#REF!</definedName>
    <definedName name="data23___0">NA()</definedName>
    <definedName name="data23___0___0">NA()</definedName>
    <definedName name="DATA24">#REF!</definedName>
    <definedName name="data24___0">NA()</definedName>
    <definedName name="data24___0___0">NA()</definedName>
    <definedName name="DATA25">#REF!</definedName>
    <definedName name="data25___0">NA()</definedName>
    <definedName name="data25___0___0">NA()</definedName>
    <definedName name="DATA26">#REF!</definedName>
    <definedName name="data26___0">NA()</definedName>
    <definedName name="data26___0___0">NA()</definedName>
    <definedName name="DATA27">#REF!</definedName>
    <definedName name="data27___0">NA()</definedName>
    <definedName name="data27___0___0">NA()</definedName>
    <definedName name="DATA28">#REF!</definedName>
    <definedName name="data28___0">NA()</definedName>
    <definedName name="data28___0___0">NA()</definedName>
    <definedName name="DATA29">#REF!</definedName>
    <definedName name="data29___0">NA()</definedName>
    <definedName name="data29___0___0">NA()</definedName>
    <definedName name="data2PL" hidden="1">#REF!</definedName>
    <definedName name="data3" hidden="1">#REF!</definedName>
    <definedName name="data3___0">NA()</definedName>
    <definedName name="data3___0___0">NA()</definedName>
    <definedName name="DATA30">#REF!</definedName>
    <definedName name="data30___0">NA()</definedName>
    <definedName name="data30___0___0">NA()</definedName>
    <definedName name="DATA31">#REF!</definedName>
    <definedName name="data31___0">NA()</definedName>
    <definedName name="data31___0___0">NA()</definedName>
    <definedName name="DATA32">#REF!</definedName>
    <definedName name="data32___0">NA()</definedName>
    <definedName name="data32___0___0">NA()</definedName>
    <definedName name="DATA33">#REF!</definedName>
    <definedName name="data33___0">NA()</definedName>
    <definedName name="data33___0___0">NA()</definedName>
    <definedName name="DATA34">#REF!</definedName>
    <definedName name="data34___0">NA()</definedName>
    <definedName name="data34___0___0">NA()</definedName>
    <definedName name="DATA35">#REF!</definedName>
    <definedName name="data35___0">NA()</definedName>
    <definedName name="data35___0___0">NA()</definedName>
    <definedName name="DATA36">#REF!</definedName>
    <definedName name="data36___0">NA()</definedName>
    <definedName name="data36___0___0">NA()</definedName>
    <definedName name="DATA37">#REF!</definedName>
    <definedName name="data37___0">NA()</definedName>
    <definedName name="data37___0___0">NA()</definedName>
    <definedName name="DATA38">#REF!</definedName>
    <definedName name="data38___0">NA()</definedName>
    <definedName name="data38___0___0">NA()</definedName>
    <definedName name="DATA39">#REF!</definedName>
    <definedName name="data39___0">NA()</definedName>
    <definedName name="data39___0___0">NA()</definedName>
    <definedName name="DATA4" localSheetId="0">#REF!</definedName>
    <definedName name="DATA4">#REF!</definedName>
    <definedName name="data4___0">NA()</definedName>
    <definedName name="data4___0___0">NA()</definedName>
    <definedName name="DATA40">#REF!</definedName>
    <definedName name="data40___0">NA()</definedName>
    <definedName name="data40___0___0">NA()</definedName>
    <definedName name="DATA41">#REF!</definedName>
    <definedName name="data41___0">NA()</definedName>
    <definedName name="data41___0___0">NA()</definedName>
    <definedName name="DATA42">#REF!</definedName>
    <definedName name="data42___0">NA()</definedName>
    <definedName name="data42___0___0">NA()</definedName>
    <definedName name="DATA43">#REF!</definedName>
    <definedName name="data43___0">NA()</definedName>
    <definedName name="data43___0___0">NA()</definedName>
    <definedName name="DATA44">#REF!</definedName>
    <definedName name="data44___0">NA()</definedName>
    <definedName name="data44___0___0">NA()</definedName>
    <definedName name="DATA45">#REF!</definedName>
    <definedName name="data45___0">NA()</definedName>
    <definedName name="data45___0___0">NA()</definedName>
    <definedName name="DATA46">#REF!</definedName>
    <definedName name="data46___0">NA()</definedName>
    <definedName name="data46___0___0">NA()</definedName>
    <definedName name="DATA47">#REF!</definedName>
    <definedName name="data47___0">NA()</definedName>
    <definedName name="data47___0___0">NA()</definedName>
    <definedName name="DATA48">#REF!</definedName>
    <definedName name="data48___0">NA()</definedName>
    <definedName name="data48___0___0">NA()</definedName>
    <definedName name="DATA49">#REF!</definedName>
    <definedName name="data49___0">NA()</definedName>
    <definedName name="data49___0___0">NA()</definedName>
    <definedName name="DATA5">#REF!</definedName>
    <definedName name="data5___0">NA()</definedName>
    <definedName name="data5___0___0">NA()</definedName>
    <definedName name="DATA50">#REF!</definedName>
    <definedName name="data50___0">NA()</definedName>
    <definedName name="data50___0___0">NA()</definedName>
    <definedName name="DATA51">#REF!</definedName>
    <definedName name="data51___0">NA()</definedName>
    <definedName name="data51___0___0">NA()</definedName>
    <definedName name="DATA52">#REF!</definedName>
    <definedName name="data52___0">NA()</definedName>
    <definedName name="data52___0___0">NA()</definedName>
    <definedName name="DATA53">#REF!</definedName>
    <definedName name="data53___0">NA()</definedName>
    <definedName name="data53___0___0">NA()</definedName>
    <definedName name="DATA54">#REF!</definedName>
    <definedName name="data54___0">NA()</definedName>
    <definedName name="data54___0___0">NA()</definedName>
    <definedName name="DATA55">#REF!</definedName>
    <definedName name="data55___0">NA()</definedName>
    <definedName name="data55___0___0">NA()</definedName>
    <definedName name="DATA56">#REF!</definedName>
    <definedName name="data56___0">NA()</definedName>
    <definedName name="data56___0___0">NA()</definedName>
    <definedName name="DATA57">#REF!</definedName>
    <definedName name="data57___0">NA()</definedName>
    <definedName name="data57___0___0">NA()</definedName>
    <definedName name="DATA58">#REF!</definedName>
    <definedName name="data58___0">NA()</definedName>
    <definedName name="data58___0___0">NA()</definedName>
    <definedName name="DATA59">#REF!</definedName>
    <definedName name="data59___0">NA()</definedName>
    <definedName name="data59___0___0">NA()</definedName>
    <definedName name="DATA6">#REF!</definedName>
    <definedName name="data6___0">NA()</definedName>
    <definedName name="data6___0___0">NA()</definedName>
    <definedName name="DATA60">#REF!</definedName>
    <definedName name="data60___0">NA()</definedName>
    <definedName name="data60___0___0">NA()</definedName>
    <definedName name="DATA61">#REF!</definedName>
    <definedName name="data61___0">NA()</definedName>
    <definedName name="data61___0___0">NA()</definedName>
    <definedName name="data62">NA()</definedName>
    <definedName name="data62___0">NA()</definedName>
    <definedName name="data62___0___0">NA()</definedName>
    <definedName name="data63">NA()</definedName>
    <definedName name="data63___0">NA()</definedName>
    <definedName name="data63___0___0">NA()</definedName>
    <definedName name="data64">NA()</definedName>
    <definedName name="data64___0">NA()</definedName>
    <definedName name="data64___0___0">NA()</definedName>
    <definedName name="data65">NA()</definedName>
    <definedName name="data65___0">NA()</definedName>
    <definedName name="data65___0___0">NA()</definedName>
    <definedName name="data66">NA()</definedName>
    <definedName name="data66___0">NA()</definedName>
    <definedName name="data66___0___0">NA()</definedName>
    <definedName name="data67">NA()</definedName>
    <definedName name="data67___0">NA()</definedName>
    <definedName name="data67___0___0">NA()</definedName>
    <definedName name="data68">NA()</definedName>
    <definedName name="data68___0">NA()</definedName>
    <definedName name="data68___0___0">NA()</definedName>
    <definedName name="data69">NA()</definedName>
    <definedName name="data69___0">NA()</definedName>
    <definedName name="data69___0___0">NA()</definedName>
    <definedName name="DATA7">#REF!</definedName>
    <definedName name="data7___0">NA()</definedName>
    <definedName name="data7___0___0">NA()</definedName>
    <definedName name="data70">NA()</definedName>
    <definedName name="data70___0">NA()</definedName>
    <definedName name="data70___0___0">NA()</definedName>
    <definedName name="data71">NA()</definedName>
    <definedName name="data71___0">NA()</definedName>
    <definedName name="data71___0___0">NA()</definedName>
    <definedName name="data72">NA()</definedName>
    <definedName name="data72___0">NA()</definedName>
    <definedName name="data72___0___0">NA()</definedName>
    <definedName name="data73">NA()</definedName>
    <definedName name="data73___0">NA()</definedName>
    <definedName name="data73___0___0">NA()</definedName>
    <definedName name="data74">NA()</definedName>
    <definedName name="data74___0">NA()</definedName>
    <definedName name="data74___0___0">NA()</definedName>
    <definedName name="data75">NA()</definedName>
    <definedName name="data75___0">NA()</definedName>
    <definedName name="data75___0___0">NA()</definedName>
    <definedName name="data76">NA()</definedName>
    <definedName name="data76___0">NA()</definedName>
    <definedName name="data76___0___0">NA()</definedName>
    <definedName name="data77">NA()</definedName>
    <definedName name="data77___0">NA()</definedName>
    <definedName name="data77___0___0">NA()</definedName>
    <definedName name="data78">NA()</definedName>
    <definedName name="data78___0">NA()</definedName>
    <definedName name="data78___0___0">NA()</definedName>
    <definedName name="data79">NA()</definedName>
    <definedName name="data79___0">NA()</definedName>
    <definedName name="data79___0___0">NA()</definedName>
    <definedName name="DATA8">#REF!</definedName>
    <definedName name="data8___0">NA()</definedName>
    <definedName name="data8___0___0">NA()</definedName>
    <definedName name="data80">NA()</definedName>
    <definedName name="data80___0">NA()</definedName>
    <definedName name="data80___0___0">NA()</definedName>
    <definedName name="data81">NA()</definedName>
    <definedName name="data81___0">NA()</definedName>
    <definedName name="data81___0___0">NA()</definedName>
    <definedName name="data82">NA()</definedName>
    <definedName name="data82___0">NA()</definedName>
    <definedName name="data82___0___0">NA()</definedName>
    <definedName name="data83">NA()</definedName>
    <definedName name="data83___0">NA()</definedName>
    <definedName name="data83___0___0">NA()</definedName>
    <definedName name="data84">NA()</definedName>
    <definedName name="data84___0">NA()</definedName>
    <definedName name="data84___0___0">NA()</definedName>
    <definedName name="data85">NA()</definedName>
    <definedName name="data85___0">NA()</definedName>
    <definedName name="data85___0___0">NA()</definedName>
    <definedName name="data86">NA()</definedName>
    <definedName name="data86___0">NA()</definedName>
    <definedName name="data86___0___0">NA()</definedName>
    <definedName name="data87">NA()</definedName>
    <definedName name="data87___0">NA()</definedName>
    <definedName name="data87___0___0">NA()</definedName>
    <definedName name="data88">NA()</definedName>
    <definedName name="data88___0">NA()</definedName>
    <definedName name="data88___0___0">NA()</definedName>
    <definedName name="data89">NA()</definedName>
    <definedName name="data89___0">NA()</definedName>
    <definedName name="data89___0___0">NA()</definedName>
    <definedName name="DATA9" localSheetId="0">#REF!</definedName>
    <definedName name="DATA9">#REF!</definedName>
    <definedName name="data9___0">NA()</definedName>
    <definedName name="data9___0___0">NA()</definedName>
    <definedName name="data90">NA()</definedName>
    <definedName name="data90___0">NA()</definedName>
    <definedName name="data90___0___0">NA()</definedName>
    <definedName name="data91">NA()</definedName>
    <definedName name="data91___0">NA()</definedName>
    <definedName name="data91___0___0">NA()</definedName>
    <definedName name="data92">NA()</definedName>
    <definedName name="data92___0">NA()</definedName>
    <definedName name="data92___0___0">NA()</definedName>
    <definedName name="data93">NA()</definedName>
    <definedName name="data93___0">NA()</definedName>
    <definedName name="data93___0___0">NA()</definedName>
    <definedName name="data94">NA()</definedName>
    <definedName name="data94___0">NA()</definedName>
    <definedName name="data94___0___0">NA()</definedName>
    <definedName name="data95">NA()</definedName>
    <definedName name="data95___0">NA()</definedName>
    <definedName name="data95___0___0">NA()</definedName>
    <definedName name="data96">NA()</definedName>
    <definedName name="data96___0">NA()</definedName>
    <definedName name="data96___0___0">NA()</definedName>
    <definedName name="data97">NA()</definedName>
    <definedName name="data97___0">NA()</definedName>
    <definedName name="data97___0___0">NA()</definedName>
    <definedName name="data98">NA()</definedName>
    <definedName name="data98___0">NA()</definedName>
    <definedName name="data98___0___0">NA()</definedName>
    <definedName name="data99">NA()</definedName>
    <definedName name="data99___0">NA()</definedName>
    <definedName name="data99___0___0">NA()</definedName>
    <definedName name="dataarea">#REF!</definedName>
    <definedName name="_xlnm.Database">#REF!</definedName>
    <definedName name="Database.File" hidden="1">#REF!</definedName>
    <definedName name="Database_MI">#REF!</definedName>
    <definedName name="DATABASE_VERSION">#REF!</definedName>
    <definedName name="Database1">#REF!</definedName>
    <definedName name="Database2">#REF!</definedName>
    <definedName name="DataFilter" localSheetId="0">#REF!</definedName>
    <definedName name="DataFilter">#REF!</definedName>
    <definedName name="DataSort" localSheetId="0">#REF!</definedName>
    <definedName name="DataSort">#REF!</definedName>
    <definedName name="DataStart">#REF!</definedName>
    <definedName name="DATA영역" localSheetId="0">#REF!,#REF!,#REF!,#REF!,#REF!,#REF!,#REF!</definedName>
    <definedName name="DATA영역">#REF!,#REF!,#REF!,#REF!,#REF!,#REF!,#REF!</definedName>
    <definedName name="Date" localSheetId="0">#REF!</definedName>
    <definedName name="Date">#REF!</definedName>
    <definedName name="DATE_TIME">#REF!</definedName>
    <definedName name="DateRange">"1998.10.01 To 1998.10.31"</definedName>
    <definedName name="Dates">#REF!</definedName>
    <definedName name="Dates2">#REF!</definedName>
    <definedName name="DaWk7">#REF!</definedName>
    <definedName name="DAWWD" hidden="1">#REF!</definedName>
    <definedName name="Daxal" localSheetId="0" hidden="1">{"VIEW1",#N/A,FALSE,"P&amp;L Account 2001-2002";"VIEW2",#N/A,FALSE,"P&amp;L Account 2001-2002";"VIEW3",#N/A,FALSE,"P&amp;L Account 2001-2002";"VIEW4",#N/A,FALSE,"P&amp;L Account 2001-2002"}</definedName>
    <definedName name="Daxal" hidden="1">{"VIEW1",#N/A,FALSE,"P&amp;L Account 2001-2002";"VIEW2",#N/A,FALSE,"P&amp;L Account 2001-2002";"VIEW3",#N/A,FALSE,"P&amp;L Account 2001-2002";"VIEW4",#N/A,FALSE,"P&amp;L Account 2001-2002"}</definedName>
    <definedName name="Day">#REF!</definedName>
    <definedName name="Days">#REF!</definedName>
    <definedName name="DB">#REF!</definedName>
    <definedName name="DB_PDiv" localSheetId="0">#REF!</definedName>
    <definedName name="DB_PDiv">#REF!</definedName>
    <definedName name="dbn_assts" localSheetId="0">#REF!</definedName>
    <definedName name="dbn_assts">#REF!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CF_EY1">#REF!</definedName>
    <definedName name="DCF_EY10">#REF!</definedName>
    <definedName name="DCF_EY14">#REF!</definedName>
    <definedName name="DCF_EY15">#REF!</definedName>
    <definedName name="DCF_EY2">#REF!</definedName>
    <definedName name="DCF_EY24">#REF!</definedName>
    <definedName name="DCF_EY25">#REF!</definedName>
    <definedName name="DCF_EY3">#REF!</definedName>
    <definedName name="DCF_EY4">#REF!</definedName>
    <definedName name="DCF_EY5">#REF!</definedName>
    <definedName name="DCF_EY9">#REF!</definedName>
    <definedName name="DCF_P">#REF!</definedName>
    <definedName name="dcfadsfad" localSheetId="25" hidden="1">{"a1",#N/A,FALSE,"Interest On Security Deposi (2)";"a2",#N/A,FALSE,"Interest On Security Deposi (2)"}</definedName>
    <definedName name="dcfadsfad" localSheetId="5" hidden="1">{"a1",#N/A,FALSE,"Interest On Security Deposi (2)";"a2",#N/A,FALSE,"Interest On Security Deposi (2)"}</definedName>
    <definedName name="dcfadsfad" hidden="1">{"a1",#N/A,FALSE,"Interest On Security Deposi (2)";"a2",#N/A,FALSE,"Interest On Security Deposi (2)"}</definedName>
    <definedName name="dcfoth98">#REF!</definedName>
    <definedName name="DCI" localSheetId="25" hidden="1">{#N/A,#N/A,TRUE,"Front";#N/A,#N/A,TRUE,"Simple Letter";#N/A,#N/A,TRUE,"Inside";#N/A,#N/A,TRUE,"Contents";#N/A,#N/A,TRUE,"Basis";#N/A,#N/A,TRUE,"Inclusions";#N/A,#N/A,TRUE,"Exclusions";#N/A,#N/A,TRUE,"Areas";#N/A,#N/A,TRUE,"Summary";#N/A,#N/A,TRUE,"Detail"}</definedName>
    <definedName name="DCI" localSheetId="5"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cit" localSheetId="25" hidden="1">{#N/A,#N/A,TRUE,"Front";#N/A,#N/A,TRUE,"Simple Letter";#N/A,#N/A,TRUE,"Inside";#N/A,#N/A,TRUE,"Contents";#N/A,#N/A,TRUE,"Basis";#N/A,#N/A,TRUE,"Inclusions";#N/A,#N/A,TRUE,"Exclusions";#N/A,#N/A,TRUE,"Areas";#N/A,#N/A,TRUE,"Summary";#N/A,#N/A,TRUE,"Detail"}</definedName>
    <definedName name="dcit" localSheetId="5"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localSheetId="25" hidden="1">{#N/A,#N/A,TRUE,"Front";#N/A,#N/A,TRUE,"Simple Letter";#N/A,#N/A,TRUE,"Inside";#N/A,#N/A,TRUE,"Contents";#N/A,#N/A,TRUE,"Basis";#N/A,#N/A,TRUE,"Inclusions";#N/A,#N/A,TRUE,"Exclusions";#N/A,#N/A,TRUE,"Areas";#N/A,#N/A,TRUE,"Summary";#N/A,#N/A,TRUE,"Detail"}</definedName>
    <definedName name="DCLAB" localSheetId="5"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localSheetId="25" hidden="1">{#N/A,#N/A,TRUE,"Front";#N/A,#N/A,TRUE,"Simple Letter";#N/A,#N/A,TRUE,"Inside";#N/A,#N/A,TRUE,"Contents";#N/A,#N/A,TRUE,"Basis";#N/A,#N/A,TRUE,"Inclusions";#N/A,#N/A,TRUE,"Exclusions";#N/A,#N/A,TRUE,"Areas";#N/A,#N/A,TRUE,"Summary";#N/A,#N/A,TRUE,"Detail"}</definedName>
    <definedName name="dclabc" localSheetId="5"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 localSheetId="25" hidden="1">{#N/A,#N/A,TRUE,"Front";#N/A,#N/A,TRUE,"Simple Letter";#N/A,#N/A,TRUE,"Inside";#N/A,#N/A,TRUE,"Contents";#N/A,#N/A,TRUE,"Basis";#N/A,#N/A,TRUE,"Inclusions";#N/A,#N/A,TRUE,"Exclusions";#N/A,#N/A,TRUE,"Areas";#N/A,#N/A,TRUE,"Summary";#N/A,#N/A,TRUE,"Detail"}</definedName>
    <definedName name="DD" localSheetId="5" hidden="1">{#N/A,#N/A,TRUE,"Front";#N/A,#N/A,TRUE,"Simple Letter";#N/A,#N/A,TRUE,"Inside";#N/A,#N/A,TRUE,"Contents";#N/A,#N/A,TRUE,"Basis";#N/A,#N/A,TRUE,"Inclusions";#N/A,#N/A,TRUE,"Exclusions";#N/A,#N/A,TRUE,"Areas";#N/A,#N/A,TRUE,"Summary";#N/A,#N/A,TRUE,"Detail"}</definedName>
    <definedName name="DD" hidden="1">{#N/A,#N/A,TRUE,"Front";#N/A,#N/A,TRUE,"Simple Letter";#N/A,#N/A,TRUE,"Inside";#N/A,#N/A,TRUE,"Contents";#N/A,#N/A,TRUE,"Basis";#N/A,#N/A,TRUE,"Inclusions";#N/A,#N/A,TRUE,"Exclusions";#N/A,#N/A,TRUE,"Areas";#N/A,#N/A,TRUE,"Summary";#N/A,#N/A,TRUE,"Detail"}</definedName>
    <definedName name="dd1___0">#REF!</definedName>
    <definedName name="dd1___6">#REF!</definedName>
    <definedName name="ddD" localSheetId="25" hidden="1">{#N/A,#N/A,FALSE,"PMTABB";#N/A,#N/A,FALSE,"PMTABB"}</definedName>
    <definedName name="ddd" localSheetId="0">#REF!</definedName>
    <definedName name="ddD" localSheetId="5" hidden="1">{#N/A,#N/A,FALSE,"PMTABB";#N/A,#N/A,FALSE,"PMTABB"}</definedName>
    <definedName name="ddD" hidden="1">{#N/A,#N/A,FALSE,"PMTABB";#N/A,#N/A,FALSE,"PMTABB"}</definedName>
    <definedName name="dddd" localSheetId="25" hidden="1">{"DJH3",#N/A,FALSE,"PFL00805";"PJB3",#N/A,FALSE,"PFL00805";"JMD3",#N/A,FALSE,"PFL00805";"DNB3",#N/A,FALSE,"PFL00805";"MJP3",#N/A,FALSE,"PFL00805";"RAB3",#N/A,FALSE,"PFL00805";"GJW3",#N/A,FALSE,"PFL00805";"MASTER3",#N/A,FALSE,"PFL00805"}</definedName>
    <definedName name="dddd" localSheetId="5" hidden="1">{"DJH3",#N/A,FALSE,"PFL00805";"PJB3",#N/A,FALSE,"PFL00805";"JMD3",#N/A,FALSE,"PFL00805";"DNB3",#N/A,FALSE,"PFL00805";"MJP3",#N/A,FALSE,"PFL00805";"RAB3",#N/A,FALSE,"PFL00805";"GJW3",#N/A,FALSE,"PFL00805";"MASTER3",#N/A,FALSE,"PFL00805"}</definedName>
    <definedName name="dddd" hidden="1">{"DJH3",#N/A,FALSE,"PFL00805";"PJB3",#N/A,FALSE,"PFL00805";"JMD3",#N/A,FALSE,"PFL00805";"DNB3",#N/A,FALSE,"PFL00805";"MJP3",#N/A,FALSE,"PFL00805";"RAB3",#N/A,FALSE,"PFL00805";"GJW3",#N/A,FALSE,"PFL00805";"MASTER3",#N/A,FALSE,"PFL00805"}</definedName>
    <definedName name="dddddd" localSheetId="25" hidden="1">{"FCB_ALL",#N/A,FALSE,"FCB";"GREY_ALL",#N/A,FALSE,"GREY"}</definedName>
    <definedName name="dddddd" localSheetId="5" hidden="1">{"FCB_ALL",#N/A,FALSE,"FCB";"GREY_ALL",#N/A,FALSE,"GREY"}</definedName>
    <definedName name="dddddd" hidden="1">{"FCB_ALL",#N/A,FALSE,"FCB";"GREY_ALL",#N/A,FALSE,"GREY"}</definedName>
    <definedName name="ddddddddddddd" localSheetId="0" hidden="1">#REF!</definedName>
    <definedName name="ddddddddddddd" hidden="1">#REF!</definedName>
    <definedName name="DDDDDDDDDDDDDD" localSheetId="25" hidden="1">{#N/A,#N/A,FALSE,"M&amp;B_43A_fab";#N/A,#N/A,FALSE,"M&amp;B_43A_ERE.";#N/A,#N/A,FALSE,"M&amp;B-43A-ALIGN"}</definedName>
    <definedName name="DDDDDDDDDDDDDD" localSheetId="5" hidden="1">{#N/A,#N/A,FALSE,"M&amp;B_43A_fab";#N/A,#N/A,FALSE,"M&amp;B_43A_ERE.";#N/A,#N/A,FALSE,"M&amp;B-43A-ALIGN"}</definedName>
    <definedName name="DDDDDDDDDDDDDD" hidden="1">{#N/A,#N/A,FALSE,"M&amp;B_43A_fab";#N/A,#N/A,FALSE,"M&amp;B_43A_ERE.";#N/A,#N/A,FALSE,"M&amp;B-43A-ALIGN"}</definedName>
    <definedName name="dddddddddddddddddddd">#REF!</definedName>
    <definedName name="ddddddddfffff">#REF!</definedName>
    <definedName name="ddffffff">#REF!</definedName>
    <definedName name="ddhgnekv" localSheetId="0">#REF!</definedName>
    <definedName name="ddhgnekv">#REF!</definedName>
    <definedName name="DDlistType">#REF!</definedName>
    <definedName name="dds" hidden="1">#REF!</definedName>
    <definedName name="DE">#REF!</definedName>
    <definedName name="dea" localSheetId="25" hidden="1">{"multiple",#N/A,FALSE,"client (4)";"margins",#N/A,FALSE,"client (4)";"data",#N/A,FALSE,"client (4)"}</definedName>
    <definedName name="dea" localSheetId="5" hidden="1">{"multiple",#N/A,FALSE,"client (4)";"margins",#N/A,FALSE,"client (4)";"data",#N/A,FALSE,"client (4)"}</definedName>
    <definedName name="dea" hidden="1">{"multiple",#N/A,FALSE,"client (4)";"margins",#N/A,FALSE,"client (4)";"data",#N/A,FALSE,"client (4)"}</definedName>
    <definedName name="DEAHIRE__ES_TA">#REF!</definedName>
    <definedName name="DEAHIRE_ES_TD">#REF!</definedName>
    <definedName name="dear" localSheetId="25" hidden="1">{#N/A,#N/A,TRUE,"Front";#N/A,#N/A,TRUE,"Simple Letter";#N/A,#N/A,TRUE,"Inside";#N/A,#N/A,TRUE,"Contents";#N/A,#N/A,TRUE,"Basis";#N/A,#N/A,TRUE,"Inclusions";#N/A,#N/A,TRUE,"Exclusions";#N/A,#N/A,TRUE,"Areas";#N/A,#N/A,TRUE,"Summary";#N/A,#N/A,TRUE,"Detail"}</definedName>
    <definedName name="dear" localSheetId="0" hidden="1">{#N/A,#N/A,TRUE,"Front";#N/A,#N/A,TRUE,"Simple Letter";#N/A,#N/A,TRUE,"Inside";#N/A,#N/A,TRUE,"Contents";#N/A,#N/A,TRUE,"Basis";#N/A,#N/A,TRUE,"Inclusions";#N/A,#N/A,TRUE,"Exclusions";#N/A,#N/A,TRUE,"Areas";#N/A,#N/A,TRUE,"Summary";#N/A,#N/A,TRUE,"Detail"}</definedName>
    <definedName name="dear" localSheetId="5" hidden="1">{#N/A,#N/A,TRUE,"Front";#N/A,#N/A,TRUE,"Simple Letter";#N/A,#N/A,TRUE,"Inside";#N/A,#N/A,TRUE,"Contents";#N/A,#N/A,TRUE,"Basis";#N/A,#N/A,TRUE,"Inclusions";#N/A,#N/A,TRUE,"Exclusions";#N/A,#N/A,TRUE,"Areas";#N/A,#N/A,TRUE,"Summary";#N/A,#N/A,TRUE,"Detail"}</definedName>
    <definedName name="dear" hidden="1">{#N/A,#N/A,TRUE,"Front";#N/A,#N/A,TRUE,"Simple Letter";#N/A,#N/A,TRUE,"Inside";#N/A,#N/A,TRUE,"Contents";#N/A,#N/A,TRUE,"Basis";#N/A,#N/A,TRUE,"Inclusions";#N/A,#N/A,TRUE,"Exclusions";#N/A,#N/A,TRUE,"Areas";#N/A,#N/A,TRUE,"Summary";#N/A,#N/A,TRUE,"Detail"}</definedName>
    <definedName name="deb">#REF!</definedName>
    <definedName name="DEBEN">#REF!</definedName>
    <definedName name="debentures">#REF!</definedName>
    <definedName name="Debt" localSheetId="0">#REF!</definedName>
    <definedName name="Debt">#REF!</definedName>
    <definedName name="debt_at_mv">#REF!</definedName>
    <definedName name="Debt_growth">#REF!</definedName>
    <definedName name="Debt_Pct" localSheetId="25">#REF!</definedName>
    <definedName name="Debt_Pct" localSheetId="0">#REF!</definedName>
    <definedName name="Debt_Pct" localSheetId="43">#REF!</definedName>
    <definedName name="Debt_Pct" localSheetId="5">#REF!</definedName>
    <definedName name="Debt_Pct">#REF!</definedName>
    <definedName name="Debt_Spare_Engine">#REF!</definedName>
    <definedName name="Debt_Upsizing_Output">#REF!</definedName>
    <definedName name="DebtCent" localSheetId="0">#REF!</definedName>
    <definedName name="DebtCent">#REF!</definedName>
    <definedName name="Debtors">#REF!</definedName>
    <definedName name="debtors_delhi" hidden="1">#REF!</definedName>
    <definedName name="DEBTSCHEDULE">#REF!</definedName>
    <definedName name="DEC" localSheetId="0" hidden="1">{"VIEW1",#N/A,FALSE,"P&amp;L Account 2001-2002";"VIEW2",#N/A,FALSE,"P&amp;L Account 2001-2002";"VIEW3",#N/A,FALSE,"P&amp;L Account 2001-2002";"VIEW4",#N/A,FALSE,"P&amp;L Account 2001-2002"}</definedName>
    <definedName name="DEC" hidden="1">{"VIEW1",#N/A,FALSE,"P&amp;L Account 2001-2002";"VIEW2",#N/A,FALSE,"P&amp;L Account 2001-2002";"VIEW3",#N/A,FALSE,"P&amp;L Account 2001-2002";"VIEW4",#N/A,FALSE,"P&amp;L Account 2001-2002"}</definedName>
    <definedName name="Dec_Proj_Cost">#REF!</definedName>
    <definedName name="dec01SchV" localSheetId="0">#REF!</definedName>
    <definedName name="dec01SchV">#REF!</definedName>
    <definedName name="decfbp">#REF!</definedName>
    <definedName name="DEDUCTION" localSheetId="0">#REF!</definedName>
    <definedName name="DEDUCTION">#REF!</definedName>
    <definedName name="dee" hidden="1">#REF!</definedName>
    <definedName name="DEF" hidden="1">#REF!</definedName>
    <definedName name="deferred_tax_assets">#REF!</definedName>
    <definedName name="deferred_tax_liabilities">#REF!</definedName>
    <definedName name="Deg_.25">#REF!</definedName>
    <definedName name="Deg_.5">#REF!</definedName>
    <definedName name="degra_var_mod">#REF!</definedName>
    <definedName name="DEL_CHK">#N/A</definedName>
    <definedName name="Delay_from_due_date">#REF!</definedName>
    <definedName name="DelDC">#REF!</definedName>
    <definedName name="DelDm">#REF!</definedName>
    <definedName name="DeleteRange" localSheetId="9" hidden="1">#REF!</definedName>
    <definedName name="DeleteRange" localSheetId="8" hidden="1">#REF!</definedName>
    <definedName name="DeleteRange" localSheetId="10" hidden="1">#REF!</definedName>
    <definedName name="DeleteRange" localSheetId="43" hidden="1">#REF!</definedName>
    <definedName name="DeleteRange" localSheetId="46" hidden="1">#REF!</definedName>
    <definedName name="DeleteRange" localSheetId="45" hidden="1">#REF!</definedName>
    <definedName name="DeleteRange" localSheetId="49" hidden="1">#REF!</definedName>
    <definedName name="DeleteRange" localSheetId="50" hidden="1">#REF!</definedName>
    <definedName name="DeleteRange" localSheetId="51" hidden="1">#REF!</definedName>
    <definedName name="DeleteRange" localSheetId="52" hidden="1">#REF!</definedName>
    <definedName name="DeleteRange" localSheetId="56" hidden="1">#REF!</definedName>
    <definedName name="DeleteRange" localSheetId="57" hidden="1">#REF!</definedName>
    <definedName name="DeleteRange" localSheetId="58" hidden="1">#REF!</definedName>
    <definedName name="DeleteRange" localSheetId="59" hidden="1">#REF!</definedName>
    <definedName name="DeleteRange" hidden="1">#REF!</definedName>
    <definedName name="DeleteTable" localSheetId="9" hidden="1">#REF!</definedName>
    <definedName name="DeleteTable" localSheetId="8" hidden="1">#REF!</definedName>
    <definedName name="DeleteTable" localSheetId="10" hidden="1">#REF!</definedName>
    <definedName name="DeleteTable" localSheetId="43" hidden="1">#REF!</definedName>
    <definedName name="DeleteTable" localSheetId="46" hidden="1">#REF!</definedName>
    <definedName name="DeleteTable" localSheetId="45" hidden="1">#REF!</definedName>
    <definedName name="DeleteTable" localSheetId="49" hidden="1">#REF!</definedName>
    <definedName name="DeleteTable" localSheetId="50" hidden="1">#REF!</definedName>
    <definedName name="DeleteTable" localSheetId="51" hidden="1">#REF!</definedName>
    <definedName name="DeleteTable" localSheetId="52" hidden="1">#REF!</definedName>
    <definedName name="DeleteTable" localSheetId="56" hidden="1">#REF!</definedName>
    <definedName name="DeleteTable" localSheetId="57" hidden="1">#REF!</definedName>
    <definedName name="DeleteTable" localSheetId="58" hidden="1">#REF!</definedName>
    <definedName name="DeleteTable" localSheetId="59" hidden="1">#REF!</definedName>
    <definedName name="DeleteTable" hidden="1">#REF!</definedName>
    <definedName name="DELI">#N/A</definedName>
    <definedName name="Delivery">#REF!</definedName>
    <definedName name="DelType">#REF!</definedName>
    <definedName name="DEM" localSheetId="0">#REF!</definedName>
    <definedName name="DEM">#REF!</definedName>
    <definedName name="DEM_payments" localSheetId="0">#REF!</definedName>
    <definedName name="DEM_payments">#REF!</definedName>
    <definedName name="demd_supply">#REF!</definedName>
    <definedName name="DEP" localSheetId="0">#REF!</definedName>
    <definedName name="DEP">#REF!</definedName>
    <definedName name="Dep.calculation">#REF!</definedName>
    <definedName name="Dep_and_Amort">#REF!</definedName>
    <definedName name="dep_co.act">#REF!</definedName>
    <definedName name="DEP_IT">#REF!</definedName>
    <definedName name="dep06_07">#REF!</definedName>
    <definedName name="Dep1Cent" localSheetId="0">#REF!</definedName>
    <definedName name="Dep1Cent">#REF!</definedName>
    <definedName name="Dep2Cent" localSheetId="0">#REF!</definedName>
    <definedName name="Dep2Cent">#REF!</definedName>
    <definedName name="DepBook" localSheetId="0">#REF!</definedName>
    <definedName name="DepBook">#REF!</definedName>
    <definedName name="Depd">#REF!</definedName>
    <definedName name="depit">#REF!</definedName>
    <definedName name="Depn_to_charge_based_on_residual_life">#REF!</definedName>
    <definedName name="Depr.IT" localSheetId="0" hidden="1">{"'Sheet1'!$A$1:$K$31"}</definedName>
    <definedName name="Depr.IT" hidden="1">{"'Sheet1'!$A$1:$K$31"}</definedName>
    <definedName name="depreciatein">#REF!</definedName>
    <definedName name="Depreciation" localSheetId="25" hidden="1">{"'Detail Summary'!$A$1:$F$83"}</definedName>
    <definedName name="Depreciation" localSheetId="0" hidden="1">{"'Detail Summary'!$A$1:$F$83"}</definedName>
    <definedName name="Depreciation" localSheetId="5" hidden="1">{"'Detail Summary'!$A$1:$F$83"}</definedName>
    <definedName name="Depreciation" hidden="1">{"'Detail Summary'!$A$1:$F$83"}</definedName>
    <definedName name="depreciation_bs">#REF!</definedName>
    <definedName name="depreciation_fixed_assets">#REF!</definedName>
    <definedName name="depreciation_other">#REF!</definedName>
    <definedName name="DeprIT" localSheetId="0" hidden="1">{#N/A,#N/A,FALSE,"17"}</definedName>
    <definedName name="DeprIT" hidden="1">{#N/A,#N/A,FALSE,"17"}</definedName>
    <definedName name="DepTax" localSheetId="0">#REF!</definedName>
    <definedName name="DepTax">#REF!</definedName>
    <definedName name="deptLookup">#REF!</definedName>
    <definedName name="depveh_pa">#REF!</definedName>
    <definedName name="DER_1">#REF!</definedName>
    <definedName name="DER_2">#REF!</definedName>
    <definedName name="DER_3">#REF!</definedName>
    <definedName name="DER_4">#REF!</definedName>
    <definedName name="DER_5">#REF!</definedName>
    <definedName name="DER_6">#REF!</definedName>
    <definedName name="Derat" localSheetId="0">#REF!</definedName>
    <definedName name="Derat">#REF!</definedName>
    <definedName name="DERatio" localSheetId="0">#REF!</definedName>
    <definedName name="DERatio">#REF!</definedName>
    <definedName name="DeratLiner" localSheetId="0">#REF!</definedName>
    <definedName name="DeratLiner">#REF!</definedName>
    <definedName name="derfactor">#REF!</definedName>
    <definedName name="DESC">#N/A</definedName>
    <definedName name="DESCRIPT">#N/A</definedName>
    <definedName name="DET" localSheetId="0">#REF!</definedName>
    <definedName name="DET">#REF!</definedName>
    <definedName name="Details">#REF!</definedName>
    <definedName name="dev" localSheetId="2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localSheetId="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#N/A</definedName>
    <definedName name="dew" hidden="1">{#N/A,#N/A,FALSE,"SUMMARY REPORT"}</definedName>
    <definedName name="DF">#N/A</definedName>
    <definedName name="dfaf" localSheetId="25" hidden="1">{"'장비'!$A$3:$M$12"}</definedName>
    <definedName name="dfaf" localSheetId="0" hidden="1">{"'장비'!$A$3:$M$12"}</definedName>
    <definedName name="dfaf" localSheetId="5" hidden="1">{"'장비'!$A$3:$M$12"}</definedName>
    <definedName name="dfaf" hidden="1">{"'장비'!$A$3:$M$12"}</definedName>
    <definedName name="dfaffff">#REF!</definedName>
    <definedName name="dfbdff" localSheetId="0">#REF!</definedName>
    <definedName name="dfbdff">#REF!</definedName>
    <definedName name="dfd">#REF!</definedName>
    <definedName name="DFDFDS">#REF!</definedName>
    <definedName name="dfdfkdf" localSheetId="0">#REF!</definedName>
    <definedName name="dfdfkdf">#REF!</definedName>
    <definedName name="dfdhflk" localSheetId="0">#REF!</definedName>
    <definedName name="dfdhflk">#REF!</definedName>
    <definedName name="dfdsf" hidden="1">#REF!</definedName>
    <definedName name="dfdtax95">#REF!</definedName>
    <definedName name="dfdtax96">#REF!</definedName>
    <definedName name="dfdtax97">#REF!</definedName>
    <definedName name="dfdtax98">#REF!</definedName>
    <definedName name="dffdg" localSheetId="0" hidden="1">{#N/A,#N/A,FALSE,"A"}</definedName>
    <definedName name="dffdg" hidden="1">{#N/A,#N/A,FALSE,"A"}</definedName>
    <definedName name="DFGHJK" hidden="1">8</definedName>
    <definedName name="dfhfh" localSheetId="25" hidden="1">{#N/A,#N/A,TRUE,"Front";#N/A,#N/A,TRUE,"Simple Letter";#N/A,#N/A,TRUE,"Inside";#N/A,#N/A,TRUE,"Contents";#N/A,#N/A,TRUE,"Basis";#N/A,#N/A,TRUE,"Inclusions";#N/A,#N/A,TRUE,"Exclusions";#N/A,#N/A,TRUE,"Areas";#N/A,#N/A,TRUE,"Summary";#N/A,#N/A,TRUE,"Detail"}</definedName>
    <definedName name="dfhfh" localSheetId="5" hidden="1">{#N/A,#N/A,TRUE,"Front";#N/A,#N/A,TRUE,"Simple Letter";#N/A,#N/A,TRUE,"Inside";#N/A,#N/A,TRUE,"Contents";#N/A,#N/A,TRUE,"Basis";#N/A,#N/A,TRUE,"Inclusions";#N/A,#N/A,TRUE,"Exclusions";#N/A,#N/A,TRUE,"Areas";#N/A,#N/A,TRUE,"Summary";#N/A,#N/A,TRUE,"Detail"}</definedName>
    <definedName name="dfhfh" hidden="1">{#N/A,#N/A,TRUE,"Front";#N/A,#N/A,TRUE,"Simple Letter";#N/A,#N/A,TRUE,"Inside";#N/A,#N/A,TRUE,"Contents";#N/A,#N/A,TRUE,"Basis";#N/A,#N/A,TRUE,"Inclusions";#N/A,#N/A,TRUE,"Exclusions";#N/A,#N/A,TRUE,"Areas";#N/A,#N/A,TRUE,"Summary";#N/A,#N/A,TRUE,"Detail"}</definedName>
    <definedName name="DFHGH" localSheetId="25" hidden="1">{#N/A,#N/A,FALSE,"PGW"}</definedName>
    <definedName name="DFHGH" localSheetId="5" hidden="1">{#N/A,#N/A,FALSE,"PGW"}</definedName>
    <definedName name="DFHGH" hidden="1">{#N/A,#N/A,FALSE,"PGW"}</definedName>
    <definedName name="dfhsjahf" localSheetId="25" hidden="1">{#N/A,#N/A,FALSE,"Aging Summary";#N/A,#N/A,FALSE,"Ratio Analysis";#N/A,#N/A,FALSE,"Test 120 Day Accts";#N/A,#N/A,FALSE,"Tickmarks"}</definedName>
    <definedName name="dfhsjahf" localSheetId="0" hidden="1">{#N/A,#N/A,FALSE,"Aging Summary";#N/A,#N/A,FALSE,"Ratio Analysis";#N/A,#N/A,FALSE,"Test 120 Day Accts";#N/A,#N/A,FALSE,"Tickmarks"}</definedName>
    <definedName name="dfhsjahf" localSheetId="5" hidden="1">{#N/A,#N/A,FALSE,"Aging Summary";#N/A,#N/A,FALSE,"Ratio Analysis";#N/A,#N/A,FALSE,"Test 120 Day Accts";#N/A,#N/A,FALSE,"Tickmarks"}</definedName>
    <definedName name="dfhsjahf" hidden="1">{#N/A,#N/A,FALSE,"Aging Summary";#N/A,#N/A,FALSE,"Ratio Analysis";#N/A,#N/A,FALSE,"Test 120 Day Accts";#N/A,#N/A,FALSE,"Tickmarks"}</definedName>
    <definedName name="dfmsam" hidden="1">#REF!</definedName>
    <definedName name="dftrt" localSheetId="0">#REF!</definedName>
    <definedName name="dftrt">#REF!</definedName>
    <definedName name="DFVSDG" localSheetId="0" hidden="1">{"VIEW1",#N/A,FALSE,"P&amp;L Account 2001-2002";"VIEW2",#N/A,FALSE,"P&amp;L Account 2001-2002";"VIEW3",#N/A,FALSE,"P&amp;L Account 2001-2002";"VIEW4",#N/A,FALSE,"P&amp;L Account 2001-2002"}</definedName>
    <definedName name="DFVSDG" hidden="1">{"VIEW1",#N/A,FALSE,"P&amp;L Account 2001-2002";"VIEW2",#N/A,FALSE,"P&amp;L Account 2001-2002";"VIEW3",#N/A,FALSE,"P&amp;L Account 2001-2002";"VIEW4",#N/A,FALSE,"P&amp;L Account 2001-2002"}</definedName>
    <definedName name="dfw" localSheetId="25" hidden="1">{"Ratio",#N/A,FALSE,"Ratios";"Funds Flow",#N/A,FALSE,"Ratios"}</definedName>
    <definedName name="dfw" localSheetId="5" hidden="1">{"Ratio",#N/A,FALSE,"Ratios";"Funds Flow",#N/A,FALSE,"Ratios"}</definedName>
    <definedName name="dfw" hidden="1">{"Ratio",#N/A,FALSE,"Ratios";"Funds Flow",#N/A,FALSE,"Ratios"}</definedName>
    <definedName name="dg" localSheetId="25" hidden="1">{#N/A,#N/A,FALSE,"COVER.XLS";#N/A,#N/A,FALSE,"RACT1.XLS";#N/A,#N/A,FALSE,"RACT2.XLS";#N/A,#N/A,FALSE,"ECCMP";#N/A,#N/A,FALSE,"WELDER.XLS"}</definedName>
    <definedName name="dg" localSheetId="5" hidden="1">{#N/A,#N/A,FALSE,"COVER.XLS";#N/A,#N/A,FALSE,"RACT1.XLS";#N/A,#N/A,FALSE,"RACT2.XLS";#N/A,#N/A,FALSE,"ECCMP";#N/A,#N/A,FALSE,"WELDER.XLS"}</definedName>
    <definedName name="dg" hidden="1">{#N/A,#N/A,FALSE,"COVER.XLS";#N/A,#N/A,FALSE,"RACT1.XLS";#N/A,#N/A,FALSE,"RACT2.XLS";#N/A,#N/A,FALSE,"ECCMP";#N/A,#N/A,FALSE,"WELDER.XLS"}</definedName>
    <definedName name="dgfgfd" localSheetId="25" hidden="1">{#N/A,#N/A,FALSE,"COVER.XLS";#N/A,#N/A,FALSE,"RACT1.XLS";#N/A,#N/A,FALSE,"RACT2.XLS";#N/A,#N/A,FALSE,"ECCMP";#N/A,#N/A,FALSE,"WELDER.XLS"}</definedName>
    <definedName name="dgfgfd" localSheetId="0" hidden="1">{#N/A,#N/A,FALSE,"COVER.XLS";#N/A,#N/A,FALSE,"RACT1.XLS";#N/A,#N/A,FALSE,"RACT2.XLS";#N/A,#N/A,FALSE,"ECCMP";#N/A,#N/A,FALSE,"WELDER.XLS"}</definedName>
    <definedName name="dgfgfd" localSheetId="5" hidden="1">{#N/A,#N/A,FALSE,"COVER.XLS";#N/A,#N/A,FALSE,"RACT1.XLS";#N/A,#N/A,FALSE,"RACT2.XLS";#N/A,#N/A,FALSE,"ECCMP";#N/A,#N/A,FALSE,"WELDER.XLS"}</definedName>
    <definedName name="dgfgfd" hidden="1">{#N/A,#N/A,FALSE,"COVER.XLS";#N/A,#N/A,FALSE,"RACT1.XLS";#N/A,#N/A,FALSE,"RACT2.XLS";#N/A,#N/A,FALSE,"ECCMP";#N/A,#N/A,FALSE,"WELDER.XLS"}</definedName>
    <definedName name="dgk" localSheetId="25" hidden="1">{#N/A,#N/A,TRUE,"Front";#N/A,#N/A,TRUE,"Simple Letter";#N/A,#N/A,TRUE,"Inside";#N/A,#N/A,TRUE,"Contents";#N/A,#N/A,TRUE,"Basis";#N/A,#N/A,TRUE,"Inclusions";#N/A,#N/A,TRUE,"Exclusions";#N/A,#N/A,TRUE,"Areas";#N/A,#N/A,TRUE,"Summary";#N/A,#N/A,TRUE,"Detail"}</definedName>
    <definedName name="dgk" localSheetId="5" hidden="1">{#N/A,#N/A,TRUE,"Front";#N/A,#N/A,TRUE,"Simple Letter";#N/A,#N/A,TRUE,"Inside";#N/A,#N/A,TRUE,"Contents";#N/A,#N/A,TRUE,"Basis";#N/A,#N/A,TRUE,"Inclusions";#N/A,#N/A,TRUE,"Exclusions";#N/A,#N/A,TRUE,"Areas";#N/A,#N/A,TRUE,"Summary";#N/A,#N/A,TRUE,"Detail"}</definedName>
    <definedName name="dgk" hidden="1">{#N/A,#N/A,TRUE,"Front";#N/A,#N/A,TRUE,"Simple Letter";#N/A,#N/A,TRUE,"Inside";#N/A,#N/A,TRUE,"Contents";#N/A,#N/A,TRUE,"Basis";#N/A,#N/A,TRUE,"Inclusions";#N/A,#N/A,TRUE,"Exclusions";#N/A,#N/A,TRUE,"Areas";#N/A,#N/A,TRUE,"Summary";#N/A,#N/A,TRUE,"Detail"}</definedName>
    <definedName name="dgxgfzdg">#REF!,#REF!</definedName>
    <definedName name="dhakjs" localSheetId="0" hidden="1">{"'August 2000'!$A$1:$J$101"}</definedName>
    <definedName name="dhakjs" hidden="1">{"'August 2000'!$A$1:$J$101"}</definedName>
    <definedName name="diameter">#REF!</definedName>
    <definedName name="diaphragm">#REF!</definedName>
    <definedName name="dif" localSheetId="0">#REF!</definedName>
    <definedName name="dif">#REF!</definedName>
    <definedName name="diff" localSheetId="0">#REF!</definedName>
    <definedName name="diff">#REF!</definedName>
    <definedName name="Diff_IDC">#REF!</definedName>
    <definedName name="Diff_Lev_COG_Mer">#REF!</definedName>
    <definedName name="Difference">#REF!</definedName>
    <definedName name="DILIP">#REF!</definedName>
    <definedName name="dinesh" localSheetId="0">#REF!</definedName>
    <definedName name="dinesh" hidden="1">{"VIEW1",#N/A,FALSE,"P&amp;L Account 2001-2002";"VIEW2",#N/A,FALSE,"P&amp;L Account 2001-2002";"VIEW3",#N/A,FALSE,"P&amp;L Account 2001-2002";"VIEW4",#N/A,FALSE,"P&amp;L Account 2001-2002"}</definedName>
    <definedName name="direct">#REF!</definedName>
    <definedName name="direct_cost">#REF!</definedName>
    <definedName name="DIRECTORY">#REF!</definedName>
    <definedName name="Disaggregations">#REF!</definedName>
    <definedName name="disc">#REF!</definedName>
    <definedName name="DISCIPLINE">#REF!</definedName>
    <definedName name="Discom1F1">#REF!</definedName>
    <definedName name="Discom1F2">#REF!</definedName>
    <definedName name="Discom1F3">#REF!</definedName>
    <definedName name="Discom1F4">#REF!</definedName>
    <definedName name="Discom1F6">#REF!</definedName>
    <definedName name="Discom2F1">#REF!</definedName>
    <definedName name="Discom2F2">#REF!</definedName>
    <definedName name="Discom2F3">#REF!</definedName>
    <definedName name="Discom2F4">#REF!</definedName>
    <definedName name="Discom2F6">#REF!</definedName>
    <definedName name="Discount" hidden="1">#REF!</definedName>
    <definedName name="DiscoverySize">#REF!</definedName>
    <definedName name="display_area_2" localSheetId="0">NA()</definedName>
    <definedName name="display_area_2" hidden="1">#REF!</definedName>
    <definedName name="display_area_2___0">NA()</definedName>
    <definedName name="display_area_2___0___0">NA()</definedName>
    <definedName name="display_area_2PL" hidden="1">#REF!</definedName>
    <definedName name="disputed_scope_changes">#REF!</definedName>
    <definedName name="Dist">#REF!</definedName>
    <definedName name="Distvalues" hidden="1">#REF!</definedName>
    <definedName name="Dividend_declared">#REF!</definedName>
    <definedName name="dividend_incl_tax">#REF!</definedName>
    <definedName name="dividends_payable">#REF!</definedName>
    <definedName name="dkk" localSheetId="0" hidden="1">{"VIEW1",#N/A,FALSE,"P&amp;L Account 2001-2002";"VIEW2",#N/A,FALSE,"P&amp;L Account 2001-2002";"VIEW3",#N/A,FALSE,"P&amp;L Account 2001-2002";"VIEW4",#N/A,FALSE,"P&amp;L Account 2001-2002"}</definedName>
    <definedName name="dkk" hidden="1">{"VIEW1",#N/A,FALSE,"P&amp;L Account 2001-2002";"VIEW2",#N/A,FALSE,"P&amp;L Account 2001-2002";"VIEW3",#N/A,FALSE,"P&amp;L Account 2001-2002";"VIEW4",#N/A,FALSE,"P&amp;L Account 2001-2002"}</definedName>
    <definedName name="DKM"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DKM"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DLYREVIEW">#REF!</definedName>
    <definedName name="dm">#REF!</definedName>
    <definedName name="dn" localSheetId="25" hidden="1">{#N/A,#N/A,FALSE,"COVER1.XLS ";#N/A,#N/A,FALSE,"RACT1.XLS";#N/A,#N/A,FALSE,"RACT2.XLS";#N/A,#N/A,FALSE,"ECCMP";#N/A,#N/A,FALSE,"WELDER.XLS"}</definedName>
    <definedName name="DN" localSheetId="0">#REF!</definedName>
    <definedName name="dn" localSheetId="5" hidden="1">{#N/A,#N/A,FALSE,"COVER1.XLS ";#N/A,#N/A,FALSE,"RACT1.XLS";#N/A,#N/A,FALSE,"RACT2.XLS";#N/A,#N/A,FALSE,"ECCMP";#N/A,#N/A,FALSE,"WELDER.XLS"}</definedName>
    <definedName name="dn" hidden="1">{#N/A,#N/A,FALSE,"COVER1.XLS ";#N/A,#N/A,FALSE,"RACT1.XLS";#N/A,#N/A,FALSE,"RACT2.XLS";#N/A,#N/A,FALSE,"ECCMP";#N/A,#N/A,FALSE,"WELDER.XLS"}</definedName>
    <definedName name="dnasjdhiuaxnkjashdu" hidden="1">#REF!</definedName>
    <definedName name="Docno">#REF!</definedName>
    <definedName name="doitg" localSheetId="25" hidden="1">{#N/A,#N/A,TRUE,"Front";#N/A,#N/A,TRUE,"Simple Letter";#N/A,#N/A,TRUE,"Inside";#N/A,#N/A,TRUE,"Contents";#N/A,#N/A,TRUE,"Basis";#N/A,#N/A,TRUE,"Inclusions";#N/A,#N/A,TRUE,"Exclusions";#N/A,#N/A,TRUE,"Areas";#N/A,#N/A,TRUE,"Summary";#N/A,#N/A,TRUE,"Detail"}</definedName>
    <definedName name="doitg" localSheetId="5" hidden="1">{#N/A,#N/A,TRUE,"Front";#N/A,#N/A,TRUE,"Simple Letter";#N/A,#N/A,TRUE,"Inside";#N/A,#N/A,TRUE,"Contents";#N/A,#N/A,TRUE,"Basis";#N/A,#N/A,TRUE,"Inclusions";#N/A,#N/A,TRUE,"Exclusions";#N/A,#N/A,TRUE,"Areas";#N/A,#N/A,TRUE,"Summary";#N/A,#N/A,TRUE,"Detail"}</definedName>
    <definedName name="doitg" hidden="1">{#N/A,#N/A,TRUE,"Front";#N/A,#N/A,TRUE,"Simple Letter";#N/A,#N/A,TRUE,"Inside";#N/A,#N/A,TRUE,"Contents";#N/A,#N/A,TRUE,"Basis";#N/A,#N/A,TRUE,"Inclusions";#N/A,#N/A,TRUE,"Exclusions";#N/A,#N/A,TRUE,"Areas";#N/A,#N/A,TRUE,"Summary";#N/A,#N/A,TRUE,"Detail"}</definedName>
    <definedName name="DOLLAR">#REF!</definedName>
    <definedName name="Dollar_Threshold">#REF!</definedName>
    <definedName name="dom">#REF!</definedName>
    <definedName name="DOM_COS">#N/A</definedName>
    <definedName name="DOM_SALE">#N/A</definedName>
    <definedName name="DOMSALE">#N/A</definedName>
    <definedName name="Downstream_deprecation">#REF!</definedName>
    <definedName name="Downstream_depreciation">#REF!</definedName>
    <definedName name="Downstream_inflation_uplift">#REF!</definedName>
    <definedName name="Downstream_maintenance_capex">#REF!</definedName>
    <definedName name="dp">#REF!</definedName>
    <definedName name="dpc" localSheetId="0">#REF!</definedName>
    <definedName name="dpc">#REF!</definedName>
    <definedName name="DPCHDG">#REF!</definedName>
    <definedName name="DPotherbanks">#REF!</definedName>
    <definedName name="DPR" localSheetId="0" hidden="1">{"VIEW1",#N/A,FALSE,"P&amp;L Account 2001-2002";"VIEW2",#N/A,FALSE,"P&amp;L Account 2001-2002";"VIEW3",#N/A,FALSE,"P&amp;L Account 2001-2002";"VIEW4",#N/A,FALSE,"P&amp;L Account 2001-2002"}</definedName>
    <definedName name="DPR" hidden="1">{"VIEW1",#N/A,FALSE,"P&amp;L Account 2001-2002";"VIEW2",#N/A,FALSE,"P&amp;L Account 2001-2002";"VIEW3",#N/A,FALSE,"P&amp;L Account 2001-2002";"VIEW4",#N/A,FALSE,"P&amp;L Account 2001-2002"}</definedName>
    <definedName name="DPS_Next_Yr">#REF!</definedName>
    <definedName name="DPSBI">#REF!</definedName>
    <definedName name="DQAFAWF" hidden="1">#REF!</definedName>
    <definedName name="dqw"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qw"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qw"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R" hidden="1">#REF!</definedName>
    <definedName name="Draft">#REF!</definedName>
    <definedName name="drain_trap">#REF!</definedName>
    <definedName name="DRAW">#REF!</definedName>
    <definedName name="DrawDown_Diff">#REF!</definedName>
    <definedName name="Drawdown_ECA_paste">#REF!</definedName>
    <definedName name="drcr">#REF!</definedName>
    <definedName name="drs" localSheetId="0">#REF!</definedName>
    <definedName name="drs">#REF!</definedName>
    <definedName name="DRUCKBEREI03">#REF!</definedName>
    <definedName name="ds" localSheetId="25" hidden="1">{#N/A,#N/A,FALSE,"str_title";#N/A,#N/A,FALSE,"SUM";#N/A,#N/A,FALSE,"Scope";#N/A,#N/A,FALSE,"PIE-Jn";#N/A,#N/A,FALSE,"PIE-Jn_Hz";#N/A,#N/A,FALSE,"Liq_Plan";#N/A,#N/A,FALSE,"S_Curve";#N/A,#N/A,FALSE,"Liq_Prof";#N/A,#N/A,FALSE,"Man_Pwr";#N/A,#N/A,FALSE,"Man_Prof"}</definedName>
    <definedName name="DS" localSheetId="0">#REF!</definedName>
    <definedName name="ds" localSheetId="5" hidden="1">{#N/A,#N/A,FALSE,"str_title";#N/A,#N/A,FALSE,"SUM";#N/A,#N/A,FALSE,"Scope";#N/A,#N/A,FALSE,"PIE-Jn";#N/A,#N/A,FALSE,"PIE-Jn_Hz";#N/A,#N/A,FALSE,"Liq_Plan";#N/A,#N/A,FALSE,"S_Curve";#N/A,#N/A,FALSE,"Liq_Prof";#N/A,#N/A,FALSE,"Man_Pwr";#N/A,#N/A,FALSE,"Man_Prof"}</definedName>
    <definedName name="ds" hidden="1">{#N/A,#N/A,FALSE,"str_title";#N/A,#N/A,FALSE,"SUM";#N/A,#N/A,FALSE,"Scope";#N/A,#N/A,FALSE,"PIE-Jn";#N/A,#N/A,FALSE,"PIE-Jn_Hz";#N/A,#N/A,FALSE,"Liq_Plan";#N/A,#N/A,FALSE,"S_Curve";#N/A,#N/A,FALSE,"Liq_Prof";#N/A,#N/A,FALSE,"Man_Pwr";#N/A,#N/A,FALSE,"Man_Prof"}</definedName>
    <definedName name="dsadaD" localSheetId="25" hidden="1">{#N/A,#N/A,FALSE,"COVER1.XLS ";#N/A,#N/A,FALSE,"RACT1.XLS";#N/A,#N/A,FALSE,"RACT2.XLS";#N/A,#N/A,FALSE,"ECCMP";#N/A,#N/A,FALSE,"WELDER.XLS"}</definedName>
    <definedName name="dsadaD" localSheetId="0" hidden="1">{#N/A,#N/A,FALSE,"COVER1.XLS ";#N/A,#N/A,FALSE,"RACT1.XLS";#N/A,#N/A,FALSE,"RACT2.XLS";#N/A,#N/A,FALSE,"ECCMP";#N/A,#N/A,FALSE,"WELDER.XLS"}</definedName>
    <definedName name="dsadaD" localSheetId="5" hidden="1">{#N/A,#N/A,FALSE,"COVER1.XLS ";#N/A,#N/A,FALSE,"RACT1.XLS";#N/A,#N/A,FALSE,"RACT2.XLS";#N/A,#N/A,FALSE,"ECCMP";#N/A,#N/A,FALSE,"WELDER.XLS"}</definedName>
    <definedName name="dsadaD" hidden="1">{#N/A,#N/A,FALSE,"COVER1.XLS ";#N/A,#N/A,FALSE,"RACT1.XLS";#N/A,#N/A,FALSE,"RACT2.XLS";#N/A,#N/A,FALSE,"ECCMP";#N/A,#N/A,FALSE,"WELDER.XLS"}</definedName>
    <definedName name="DSCR_Diff">#REF!</definedName>
    <definedName name="DSDDE_Path">#REF!</definedName>
    <definedName name="dsds">#REF!</definedName>
    <definedName name="DSF" localSheetId="0" hidden="1">{"VIEW1",#N/A,FALSE,"P&amp;L Account 2001-2002";"VIEW2",#N/A,FALSE,"P&amp;L Account 2001-2002";"VIEW3",#N/A,FALSE,"P&amp;L Account 2001-2002";"VIEW4",#N/A,FALSE,"P&amp;L Account 2001-2002"}</definedName>
    <definedName name="DSF" hidden="1">{"VIEW1",#N/A,FALSE,"P&amp;L Account 2001-2002";"VIEW2",#N/A,FALSE,"P&amp;L Account 2001-2002";"VIEW3",#N/A,FALSE,"P&amp;L Account 2001-2002";"VIEW4",#N/A,FALSE,"P&amp;L Account 2001-2002"}</definedName>
    <definedName name="dsfdfADF">#REF!</definedName>
    <definedName name="dsgdfgd" localSheetId="25" hidden="1">{#N/A,#N/A,FALSE,"Aging Summary";#N/A,#N/A,FALSE,"Ratio Analysis";#N/A,#N/A,FALSE,"Test 120 Day Accts";#N/A,#N/A,FALSE,"Tickmarks"}</definedName>
    <definedName name="dsgdfgd" localSheetId="5" hidden="1">{#N/A,#N/A,FALSE,"Aging Summary";#N/A,#N/A,FALSE,"Ratio Analysis";#N/A,#N/A,FALSE,"Test 120 Day Accts";#N/A,#N/A,FALSE,"Tickmarks"}</definedName>
    <definedName name="dsgdfgd" hidden="1">{#N/A,#N/A,FALSE,"Aging Summary";#N/A,#N/A,FALSE,"Ratio Analysis";#N/A,#N/A,FALSE,"Test 120 Day Accts";#N/A,#N/A,FALSE,"Tickmarks"}</definedName>
    <definedName name="dsklgjdfgjrenbori" localSheetId="25" hidden="1">{"multiple",#N/A,FALSE,"client (2)";"margins",#N/A,FALSE,"client (2)";"data",#N/A,FALSE,"client (2)";"multiple",#N/A,FALSE,"client";"margins",#N/A,FALSE,"client";"data",#N/A,FALSE,"client"}</definedName>
    <definedName name="dsklgjdfgjrenbori" localSheetId="5" hidden="1">{"multiple",#N/A,FALSE,"client (2)";"margins",#N/A,FALSE,"client (2)";"data",#N/A,FALSE,"client (2)";"multiple",#N/A,FALSE,"client";"margins",#N/A,FALSE,"client";"data",#N/A,FALSE,"client"}</definedName>
    <definedName name="dsklgjdfgjrenbori" hidden="1">{"multiple",#N/A,FALSE,"client (2)";"margins",#N/A,FALSE,"client (2)";"data",#N/A,FALSE,"client (2)";"multiple",#N/A,FALSE,"client";"margins",#N/A,FALSE,"client";"data",#N/A,FALSE,"client"}</definedName>
    <definedName name="dsrao">#REF!</definedName>
    <definedName name="dsrap">#REF!</definedName>
    <definedName name="dss">#REF!</definedName>
    <definedName name="DT">#REF!</definedName>
    <definedName name="DT_A2" localSheetId="2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A2"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A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ual_plate_check">#REF!</definedName>
    <definedName name="Dummy" localSheetId="25" hidden="1">{"'Sheet1'!$A$4386:$N$4591"}</definedName>
    <definedName name="Dummy" localSheetId="5" hidden="1">{"'Sheet1'!$A$4386:$N$4591"}</definedName>
    <definedName name="Dummy" hidden="1">{"'Sheet1'!$A$4386:$N$4591"}</definedName>
    <definedName name="dumppr">#REF!</definedName>
    <definedName name="duplex_strainer">#REF!</definedName>
    <definedName name="duplicate123A" hidden="1">#REF!</definedName>
    <definedName name="durifx98">#REF!</definedName>
    <definedName name="durifx99">#REF!</definedName>
    <definedName name="durigas00">#REF!</definedName>
    <definedName name="durigas01">#REF!</definedName>
    <definedName name="durigas98">#REF!</definedName>
    <definedName name="durigas99">#REF!</definedName>
    <definedName name="Dutiestaxes">#REF!</definedName>
    <definedName name="dw" localSheetId="25" hidden="1">{"'Sheet1'!$L$16"}</definedName>
    <definedName name="dw" localSheetId="0" hidden="1">{"'Sheet1'!$L$16"}</definedName>
    <definedName name="dw" localSheetId="5" hidden="1">{"'Sheet1'!$L$16"}</definedName>
    <definedName name="dw" hidden="1">{"'Sheet1'!$L$16"}</definedName>
    <definedName name="DWAX"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G_NO" localSheetId="0">#REF!</definedName>
    <definedName name="DWG_NO">#REF!</definedName>
    <definedName name="DWGNO" localSheetId="0">#REF!</definedName>
    <definedName name="DWGNO">#REF!</definedName>
    <definedName name="DWG대장_DWG_대장__2__List">#REF!</definedName>
    <definedName name="dxtnASR" hidden="1">#REF!</definedName>
    <definedName name="DXXX" localSheetId="0">#REF!</definedName>
    <definedName name="DXXX">#REF!</definedName>
    <definedName name="dxzxxx">#REF!,#REF!</definedName>
    <definedName name="E">#N/A</definedName>
    <definedName name="E_">#REF!</definedName>
    <definedName name="E_1">#REF!</definedName>
    <definedName name="E_2">#REF!</definedName>
    <definedName name="E_3">#REF!</definedName>
    <definedName name="E_315MVA_Addl_Page1" localSheetId="11">#REF!</definedName>
    <definedName name="E_315MVA_Addl_Page1" localSheetId="13">#REF!</definedName>
    <definedName name="E_315MVA_Addl_Page1" localSheetId="14">#REF!</definedName>
    <definedName name="E_315MVA_Addl_Page1" localSheetId="40">#REF!</definedName>
    <definedName name="E_315MVA_Addl_Page1" localSheetId="41">#REF!</definedName>
    <definedName name="E_315MVA_Addl_Page1" localSheetId="60">#REF!</definedName>
    <definedName name="E_315MVA_Addl_Page1" localSheetId="61">#REF!</definedName>
    <definedName name="E_315MVA_Addl_Page1" localSheetId="62">#REF!</definedName>
    <definedName name="E_315MVA_Addl_Page1" localSheetId="63">#REF!</definedName>
    <definedName name="E_315MVA_Addl_Page1" localSheetId="64">#REF!</definedName>
    <definedName name="E_315MVA_Addl_Page1" localSheetId="16">#REF!</definedName>
    <definedName name="E_315MVA_Addl_Page1" localSheetId="17">#REF!</definedName>
    <definedName name="E_315MVA_Addl_Page1" localSheetId="65">#REF!</definedName>
    <definedName name="E_315MVA_Addl_Page1" localSheetId="26">#REF!</definedName>
    <definedName name="E_315MVA_Addl_Page1" localSheetId="32">#REF!</definedName>
    <definedName name="E_315MVA_Addl_Page1" localSheetId="33">#REF!</definedName>
    <definedName name="E_315MVA_Addl_Page1" localSheetId="34">#REF!</definedName>
    <definedName name="E_315MVA_Addl_Page1" localSheetId="35">#REF!</definedName>
    <definedName name="E_315MVA_Addl_Page1">#REF!</definedName>
    <definedName name="E_315MVA_Addl_Page2" localSheetId="11">#REF!</definedName>
    <definedName name="E_315MVA_Addl_Page2" localSheetId="13">#REF!</definedName>
    <definedName name="E_315MVA_Addl_Page2" localSheetId="14">#REF!</definedName>
    <definedName name="E_315MVA_Addl_Page2" localSheetId="40">#REF!</definedName>
    <definedName name="E_315MVA_Addl_Page2" localSheetId="41">#REF!</definedName>
    <definedName name="E_315MVA_Addl_Page2" localSheetId="60">#REF!</definedName>
    <definedName name="E_315MVA_Addl_Page2" localSheetId="61">#REF!</definedName>
    <definedName name="E_315MVA_Addl_Page2" localSheetId="62">#REF!</definedName>
    <definedName name="E_315MVA_Addl_Page2" localSheetId="63">#REF!</definedName>
    <definedName name="E_315MVA_Addl_Page2" localSheetId="64">#REF!</definedName>
    <definedName name="E_315MVA_Addl_Page2" localSheetId="16">#REF!</definedName>
    <definedName name="E_315MVA_Addl_Page2" localSheetId="17">#REF!</definedName>
    <definedName name="E_315MVA_Addl_Page2" localSheetId="65">#REF!</definedName>
    <definedName name="E_315MVA_Addl_Page2" localSheetId="26">#REF!</definedName>
    <definedName name="E_315MVA_Addl_Page2" localSheetId="32">#REF!</definedName>
    <definedName name="E_315MVA_Addl_Page2" localSheetId="33">#REF!</definedName>
    <definedName name="E_315MVA_Addl_Page2" localSheetId="34">#REF!</definedName>
    <definedName name="E_315MVA_Addl_Page2" localSheetId="35">#REF!</definedName>
    <definedName name="E_315MVA_Addl_Page2">#REF!</definedName>
    <definedName name="E_4">#REF!</definedName>
    <definedName name="E_5">#REF!</definedName>
    <definedName name="E_6">#REF!</definedName>
    <definedName name="E_DEP">#REF!</definedName>
    <definedName name="E_P">#REF!</definedName>
    <definedName name="eaa">#REF!</definedName>
    <definedName name="eap">#REF!</definedName>
    <definedName name="EARHRIT" localSheetId="25" hidden="1">{#N/A,#N/A,FALSE,"Aging Summary";#N/A,#N/A,FALSE,"Ratio Analysis";#N/A,#N/A,FALSE,"Test 120 Day Accts";#N/A,#N/A,FALSE,"Tickmarks"}</definedName>
    <definedName name="EARHRIT" localSheetId="0" hidden="1">{#N/A,#N/A,FALSE,"Aging Summary";#N/A,#N/A,FALSE,"Ratio Analysis";#N/A,#N/A,FALSE,"Test 120 Day Accts";#N/A,#N/A,FALSE,"Tickmarks"}</definedName>
    <definedName name="EARHRIT" localSheetId="5" hidden="1">{#N/A,#N/A,FALSE,"Aging Summary";#N/A,#N/A,FALSE,"Ratio Analysis";#N/A,#N/A,FALSE,"Test 120 Day Accts";#N/A,#N/A,FALSE,"Tickmarks"}</definedName>
    <definedName name="EARHRIT" hidden="1">{#N/A,#N/A,FALSE,"Aging Summary";#N/A,#N/A,FALSE,"Ratio Analysis";#N/A,#N/A,FALSE,"Test 120 Day Accts";#N/A,#N/A,FALSE,"Tickmarks"}</definedName>
    <definedName name="earning">#REF!</definedName>
    <definedName name="earning1">#REF!</definedName>
    <definedName name="earning2">#REF!</definedName>
    <definedName name="eat">#REF!</definedName>
    <definedName name="ebida">#REF!</definedName>
    <definedName name="ebida_core_activity">#REF!</definedName>
    <definedName name="EBIT">#REF!</definedName>
    <definedName name="ebit_core_activity">#REF!</definedName>
    <definedName name="EBIT_growth">#REF!</definedName>
    <definedName name="EBIT_margin">#REF!</definedName>
    <definedName name="ebit00">#REF!</definedName>
    <definedName name="EBITA">#REF!</definedName>
    <definedName name="EBITD">#REF!</definedName>
    <definedName name="EBITDA">#REF!</definedName>
    <definedName name="EBITDA_CAL00">#REF!</definedName>
    <definedName name="EBITDA_CAL01">#REF!</definedName>
    <definedName name="EBITDA_CAL02">#REF!</definedName>
    <definedName name="EBITDA_CAL95">#REF!</definedName>
    <definedName name="EBITDA_CAL96">#REF!</definedName>
    <definedName name="EBITDA_CAL97">#REF!</definedName>
    <definedName name="EBITDA_CAL98">#REF!</definedName>
    <definedName name="EBITDA_CAL99">#REF!</definedName>
    <definedName name="ebitda_core_activity">#REF!</definedName>
    <definedName name="EBITDA_DCF">#REF!</definedName>
    <definedName name="EBITDA_growth">#REF!</definedName>
    <definedName name="EBITDA_margin">#REF!</definedName>
    <definedName name="EBITDA94">#REF!</definedName>
    <definedName name="EBITDAMultipleHigh">#REF!</definedName>
    <definedName name="EBITDAMultipleLow">#REF!</definedName>
    <definedName name="ec" localSheetId="25" hidden="1">{#N/A,#N/A,FALSE,"Aging Summary";#N/A,#N/A,FALSE,"Ratio Analysis";#N/A,#N/A,FALSE,"Test 120 Day Accts";#N/A,#N/A,FALSE,"Tickmarks"}</definedName>
    <definedName name="ec" localSheetId="5" hidden="1">{#N/A,#N/A,FALSE,"Aging Summary";#N/A,#N/A,FALSE,"Ratio Analysis";#N/A,#N/A,FALSE,"Test 120 Day Accts";#N/A,#N/A,FALSE,"Tickmarks"}</definedName>
    <definedName name="ec" hidden="1">{#N/A,#N/A,FALSE,"Aging Summary";#N/A,#N/A,FALSE,"Ratio Analysis";#N/A,#N/A,FALSE,"Test 120 Day Accts";#N/A,#N/A,FALSE,"Tickmarks"}</definedName>
    <definedName name="eCIiIiÞA_Iª">#N/A</definedName>
    <definedName name="ECL">#REF!</definedName>
    <definedName name="econ_profit">#REF!</definedName>
    <definedName name="Economic_book_value">#REF!</definedName>
    <definedName name="Economic_profit">#REF!</definedName>
    <definedName name="Economic_profit_dcf">#REF!</definedName>
    <definedName name="Economic_profit2">#REF!</definedName>
    <definedName name="EconomicNPV10">#REF!</definedName>
    <definedName name="EconomicNPV12">#REF!</definedName>
    <definedName name="ED_Norm_MP">#REF!</definedName>
    <definedName name="ED_Norm_PI">#REF!</definedName>
    <definedName name="ED_TED_MP">#REF!</definedName>
    <definedName name="ED_TED_PI">#REF!</definedName>
    <definedName name="EDC" hidden="1">#REF!</definedName>
    <definedName name="ee" localSheetId="2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EE" localSheetId="0">#REF!</definedName>
    <definedName name="ee" localSheetId="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ee"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eee" hidden="1">#REF!</definedName>
    <definedName name="eeee" localSheetId="0">#REF!</definedName>
    <definedName name="eeee">#REF!</definedName>
    <definedName name="eeeeeeeee" hidden="1">#REF!</definedName>
    <definedName name="EFD" localSheetId="0" hidden="1">{"VIEW1",#N/A,FALSE,"P&amp;L Account 2001-2002";"VIEW2",#N/A,FALSE,"P&amp;L Account 2001-2002";"VIEW3",#N/A,FALSE,"P&amp;L Account 2001-2002";"VIEW4",#N/A,FALSE,"P&amp;L Account 2001-2002"}</definedName>
    <definedName name="EFD" hidden="1">{"VIEW1",#N/A,FALSE,"P&amp;L Account 2001-2002";"VIEW2",#N/A,FALSE,"P&amp;L Account 2001-2002";"VIEW3",#N/A,FALSE,"P&amp;L Account 2001-2002";"VIEW4",#N/A,FALSE,"P&amp;L Account 2001-2002"}</definedName>
    <definedName name="eff_tax_pasted">#REF!</definedName>
    <definedName name="EFG" localSheetId="25" hidden="1">{"'Mach'!$A$1:$D$39"}</definedName>
    <definedName name="EFG" localSheetId="5" hidden="1">{"'Mach'!$A$1:$D$39"}</definedName>
    <definedName name="EFG" hidden="1">{"'Mach'!$A$1:$D$39"}</definedName>
    <definedName name="efgvfdv" localSheetId="0">#REF!</definedName>
    <definedName name="efgvfdv">#REF!</definedName>
    <definedName name="efr" localSheetId="25" hidden="1">{#N/A,#N/A,FALSE,"Aging Summary";#N/A,#N/A,FALSE,"Ratio Analysis";#N/A,#N/A,FALSE,"Test 120 Day Accts";#N/A,#N/A,FALSE,"Tickmarks"}</definedName>
    <definedName name="efr" localSheetId="5" hidden="1">{#N/A,#N/A,FALSE,"Aging Summary";#N/A,#N/A,FALSE,"Ratio Analysis";#N/A,#N/A,FALSE,"Test 120 Day Accts";#N/A,#N/A,FALSE,"Tickmarks"}</definedName>
    <definedName name="efr" hidden="1">{#N/A,#N/A,FALSE,"Aging Summary";#N/A,#N/A,FALSE,"Ratio Analysis";#N/A,#N/A,FALSE,"Test 120 Day Accts";#N/A,#N/A,FALSE,"Tickmarks"}</definedName>
    <definedName name="EG_EPS">#REF!</definedName>
    <definedName name="EG_Net_Profit">#REF!</definedName>
    <definedName name="egtdgtgxdg">#REF!</definedName>
    <definedName name="eighteen_pct">#REF!</definedName>
    <definedName name="eighteen_pctneu">#REF!</definedName>
    <definedName name="EightyIA" localSheetId="0">#REF!</definedName>
    <definedName name="EightyIA">#REF!</definedName>
    <definedName name="EITL">#REF!</definedName>
    <definedName name="EL">#REF!</definedName>
    <definedName name="ELE.EQUIP_ES_TA">#REF!</definedName>
    <definedName name="ELEC.EQUIP_ES_TD">#REF!</definedName>
    <definedName name="Electricity" localSheetId="25" hidden="1">{#N/A,#N/A,FALSE,"Proj.Cost &amp; Means of Fin."}</definedName>
    <definedName name="Electricity" localSheetId="5" hidden="1">{#N/A,#N/A,FALSE,"Proj.Cost &amp; Means of Fin."}</definedName>
    <definedName name="Electricity" hidden="1">{#N/A,#N/A,FALSE,"Proj.Cost &amp; Means of Fin."}</definedName>
    <definedName name="Elim">#REF!</definedName>
    <definedName name="employee_expenses">#REF!</definedName>
    <definedName name="employees">#REF!</definedName>
    <definedName name="En_T">#REF!</definedName>
    <definedName name="END">#REF!</definedName>
    <definedName name="End_Bal">#REF!</definedName>
    <definedName name="Engg" hidden="1">{#N/A,#N/A,FALSE,"COVER.XLS";#N/A,#N/A,FALSE,"RACT1.XLS";#N/A,#N/A,FALSE,"RACT2.XLS";#N/A,#N/A,FALSE,"ECCMP";#N/A,#N/A,FALSE,"WELDER.XLS"}</definedName>
    <definedName name="enp">#REF!</definedName>
    <definedName name="ENR_BEST_BEF">#REF!</definedName>
    <definedName name="ENR_BSES_AFT">#REF!</definedName>
    <definedName name="ENR_BSES_BEF">#REF!</definedName>
    <definedName name="ENR_BSES220_BEF">#REF!</definedName>
    <definedName name="ENR_TIR_BEF">#REF!</definedName>
    <definedName name="Enterprise_value">#REF!</definedName>
    <definedName name="enterprise_value_core">#REF!</definedName>
    <definedName name="EOH">#N/A</definedName>
    <definedName name="EOH_UC">#N/A</definedName>
    <definedName name="EOHAMT">#N/A</definedName>
    <definedName name="EOHQTY">#N/A</definedName>
    <definedName name="EOL">#REF!</definedName>
    <definedName name="EPL">#REF!</definedName>
    <definedName name="EPMWorkbookOptions_1" localSheetId="0">"6ksAAB+LCAAAAAAABADtnG1vokwUhr9vsv/B+F1596WhbhCxJVEgiHW7zYaAjJWsgg/Q2v77ZxBREXTVukaQJm3JzJkzw8WZe4YZgP7xMZ0U3oHjmrZ1X8TKaLEArKFtmNbrffHNG5WwSvFH4/s3emA7f3Tb/iPOPGjqFmA5y737cM374tjzZncIMp/Py3OibDuvCI6iGPKz2+kNx2CqlUzL9TRrCIqrUsbfSxVhrYUCzdqWBYZ+nYrNvjkO"</definedName>
    <definedName name="EPMWorkbookOptions_1" hidden="1">"SAEAAB|LCAAAAAAABADsvQdgHEmWJSYvbcp7f0r1StfgdKEIgGATJNiQQBDswYjN5pLsHWlHIymrKoHKZVZlXWYWQMztnbz33nvvvffee||997o7nU4n99//P1xmZAFs9s5K2smeIYCqyB8/fnwfPyIe/x7vFmV6mddNUS0/|2h3vPNRmi|n1axYXnz20bo939799KPf4|g3Th5/t6rfTqrq7Zerlpo2Kb23bB69a4rPPpq37erR3btXV1fjq3v"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2" localSheetId="0" hidden="1">"sLwnE8wXmZHsluZpy1SYLmhTENS2qskD09mbYy6q6rvAkRwwAtDfEJRhg4oNtS111abECgMMVV+WhbAqXsYqZRwjylTtroaiKOJqM0SfDZHf6osiiQNOhgeMLKstvqf4xyNt4oLVfxrxm7JuGDObTcyhtgHx4AaGPqJeNpKX591YtWar8oDYGmIB2Zn1aBoGsFrmFFjuoqm7TdfNdCM20Ko3tucrH6w9sZ2G57wBGknI2Fd0cRYJJWNntywI"</definedName>
    <definedName name="EPMWorkbookOptions_2" hidden="1">"jqr64u7ezs3v39/7i|evpPF9k28WyabPlNP/IvjW7|a2PqNc0ffwqP6/zZv7l8stVvjw6z8omf3w3/JDbnZR5Vj/N2uzL5evsMjctux9zWzOWl3XV5tM2n5nW/S/C9lez9C6IYRsqNY7|nwAAAP//Sn4wTEgBAAA="</definedName>
    <definedName name="EPMWorkbookOptions_3" localSheetId="0" hidden="1">"o8IDH15be7cd04PtWlyLoHAsb6v8o/k6nsBfrwcmMLKA8WgCR3OGY3PtZ6/NAe1pm47rbZxQcv6Wo9VZ7wZ+qNWmXd8y/3sDq7hhWFbsCwqNJBns8xNcRagXFIoRNWzDQdL1XZQVHQM4DZRGgoNE7+5son1Kjj0DjvfZwKgKNQL6qERVDLJE4qN6qUYBUEI1gJOGXiWrOuHXHC2V4LijuauL1wVTHSpgglk00BMNoElQfgPTywbI3+UXiZE5"</definedName>
    <definedName name="EPMWorkbookOptions_3" hidden="1">"vVsZ4vhw4ZvbMl5tZLq4X8sD4htH2nbsH8znyRT/uV04xTEGRw8mRAYaTsyNn0919uhPy0SOu7VD8e07jtZ7/THwfbW29TTL/P8FroOHYVlJE1WaiFP4zI9/FPHIQQGyXCe3HMQd36WthEYQNQBN+F9ivTvzqfEuI3sOkfveIKkqNYaDcYGqjiqFSml8U6hTEBaAAUuV0aBWqQ3K3pbDVjGOO4azPngCnA3wWBijFg70WAWs4ttvYXraAvmr"</definedName>
    <definedName name="EPMWorkbookOptions_4" localSheetId="0" hidden="1">"QXnE4CGG+j8UBWUhVmqH9zC0PtemBSi7d5Y5uS/6IVTc6pv7L/JhZWnkb+d9ZjAwI2cSZ6K2+t3uc05mi0xPURdwVAzN2exkg6WdDY0cItMbI80/HRlbMv/EyacPjChKwvnj4eMils1xMcAYjVlBDJNTHrHnBuPPF3DV/5uTiZJ5VlppR3JF8tZv8YoiM3znZHkjCIoiSfJwecMzKG8rjNFYbQ5UXkh7tJ4bSpAuKkwnJxMlwwtSX0k7lOsR"</definedName>
    <definedName name="EPMWorkbookOptions_4" hidden="1">"+CQzCieqDyT+6jU0NUHo48EhYvaB+yC23jeqOTwC31rm9C7vxVB+Jzk/P8r72dLE33Y8YTIk8H4oKu1gaGKf0NrKjn+azU2Ff+SU45MZgAqufvvnMpnNXPYxhgNWlAJxyiM2aTBeJpd07zPtZM4ol7Umr6oKw3eOzuVymaIqlcr+uVzKYC6vMYZD9r6n82LaozVpKL5cUpnOlUyYDC/KmnqFEoYicAqrM83/Slcw8WDItIM5n3LIMirXlpT+"</definedName>
    <definedName name="EPMWorkbookOptions_5" localSheetId="0" hidden="1">"N5ZRuAdRfj5Z2ipVDK3VqodLG3GEtGmgrtfrZL1k6DpRIimsVtJHVa2kVQxCrxMUjo+MK5C2ECIMTz9YVfRmlzCiJLqczKo3vHgRpdGEU1U8R+GjYP1Ze44ijIrUo7ii8azfU8Tu11YiKhWCOGIpgszeXD2kGJ163fRyazISptNR/Zy0U7meDgzJ8srp09Hjd9io7HXfgGF8sSztUXpOHuxD6ncAzoUDz0h4XI+ItTvi4IISVsmehPkEox22"</definedName>
    <definedName name="EPMWorkbookOptions_5" hidden="1">"0cWwWiNBvV7bvxiWs1cMA4g4RPEv683Y0h6hyaCQdZD609BkSNxfgyJAIfQvtuJHsuNayeK7eUwl07qqJHxtiaZaLZcPWKOpZLCUrSiGJ14XvdAaj4TpdHSv5UolEiiZ4HI+Axtmy6vHT9APv4xEZW9Y8xlGV1fTHqVJ8mDb19lIfDePSNpWR+qdMGWr2UtZj2A4QFv6zc1N2kM0SRyqlPoymySODJxhn88AJuBTVYVnjr9KdvggVsveIBZQ"</definedName>
    <definedName name="EPMWorkbookOptions_6" localSheetId="0" hidden="1">"rSpi6sfZc+Ko1+s5jjWO/DZqVzNPEDCpwwjPHPOF26ijRayaPRELKQZ3+jiK1dIeoWcjkffV5Gae0ldlsc0rKgul8CvrHkd32FoGO+wmyugAo0gPstiX0h62/4CMIKoSm3OJcfEfMlcHvMzlbJLZ9PrSzW5v72Hjh4zKC6mXmusZIWXugReFCw6N9ewNjQHDmPIvk1MequeE4m8J/BKFm1X9JCYtKGnszS7eJBG56We7koCwj2IGHnG+njFP"</definedName>
    <definedName name="EPMWorkbookOptions_6" hidden="1">"9E/4RUnHgrTHaDIsGFloM920sziffJU7jNjnmC8sfxycr/Xs5WtA0Y/REiDraY/QxEjUriRWJFI/y0iGhH8DoqoxHV1O/eLgGQ3kitTiVZ3F89qvLGYfPJrfZHA030a5s/iD8YCLvcHiEzBtnRVk9gomGjEkKKf/et2/AAOuqRQLRpXbiqTJaSdzPqVR5QXuhBWRzODzNB7CcJSWAKgWM3Fz6vkE6iPT0VaPDZ4uWjP4xMia485N5hdbhj8A"</definedName>
    <definedName name="EPMWorkbookOptions_7" localSheetId="0" hidden="1">"4bvcBUc8LIMvqvkIo0GKo2ilnImuez2B+sR0+oxy2fkZlsHXR1YcoyHrJ9/sXGQHk+bNbv3uCxK1mXYq1yNqg2bvknKWwddFIMHYzaaflvIQPRuOxSwkJ7JBhCKrFIWl/tH76xGxLsf0+jJ3USU75u2QlChZiDHY+8zAq5nnASFxMi+2+NTvHJ2xvx5gFGlNshGNJH0AKZIamkNv8U9EbSbGPytFy2DkAHcsWuIMWOE3f6KJCzt2AjTHdypa"</definedName>
    <definedName name="EPMWorkbookOptions_7" hidden="1">"4om5tDM5n/Tt3XdPmbgZfDwEE9yZC3kFRvfEKY/SxIiIUhZwnE/SChzT1RTupJmbwXvZA4yrW1Q5hZea/MWuB4Rp9NVm2kEkmK97KIV6E69EE3Gv4QhJA3XsLfq2km1h9A0ntALHCDoTyZLm0ApeOhEWLvXYKTSQ51SyusYrDDR3xUvd4FUuOEndJcZAO9oQ1l+MVkeN5p1HA5nGYAoFiJ43HiLy7982blevjmn8ATvW3Mx1RgAA"</definedName>
    <definedName name="EPMWorkbookOptions_8" hidden="1">"Pe0dhJbbyQvb8PtZsJN6C4yhdTwjaj83lleN5t0nzTE1fQK6wHlde4ilf/+2drv8Xlfjf5D9HMrqSwAA"</definedName>
    <definedName name="EPS">#REF!</definedName>
    <definedName name="EPS.Normalized">#REF!</definedName>
    <definedName name="EPS_CAL00">#REF!</definedName>
    <definedName name="EPS_CAL01">#REF!</definedName>
    <definedName name="EPS_CAL02">#REF!</definedName>
    <definedName name="EPS_CAL95">#REF!</definedName>
    <definedName name="EPS_CAL96">#REF!</definedName>
    <definedName name="EPS_CAL97">#REF!</definedName>
    <definedName name="EPS_CAL98">#REF!</definedName>
    <definedName name="EPS_CAL99">#REF!</definedName>
    <definedName name="EPS_EY1">#REF!</definedName>
    <definedName name="EPS_EY2">#REF!</definedName>
    <definedName name="EPS_EY3">#REF!</definedName>
    <definedName name="eps_growth">#REF!</definedName>
    <definedName name="EPS_Qtr_Date">#REF!</definedName>
    <definedName name="EPS_Y2001D">#REF!</definedName>
    <definedName name="EPS_Y2002D">#REF!</definedName>
    <definedName name="EPS_Y2003D">#REF!</definedName>
    <definedName name="EPS_Y2004D">#REF!</definedName>
    <definedName name="Equity" localSheetId="0">#REF!</definedName>
    <definedName name="Equity">#REF!</definedName>
    <definedName name="Equity_Del_Item">#REF!</definedName>
    <definedName name="Equity_Equivalents">#REF!</definedName>
    <definedName name="Equity_Ins_Item">#REF!</definedName>
    <definedName name="equity_raised">#REF!</definedName>
    <definedName name="Equity_risk_premium">#REF!</definedName>
    <definedName name="EquityCent" localSheetId="0">#REF!</definedName>
    <definedName name="EquityCent">#REF!</definedName>
    <definedName name="ER" localSheetId="0">#REF!</definedName>
    <definedName name="ER" hidden="1">{"VIEW1",#N/A,FALSE,"P&amp;L Account 2001-2002";"VIEW2",#N/A,FALSE,"P&amp;L Account 2001-2002";"VIEW3",#N/A,FALSE,"P&amp;L Account 2001-2002";"VIEW4",#N/A,FALSE,"P&amp;L Account 2001-2002"}</definedName>
    <definedName name="Erai_level" localSheetId="25">#REF!</definedName>
    <definedName name="Erai_level" localSheetId="0">#REF!</definedName>
    <definedName name="Erai_level" localSheetId="43">#REF!</definedName>
    <definedName name="Erai_level" localSheetId="5">#REF!</definedName>
    <definedName name="Erai_level">#REF!</definedName>
    <definedName name="ere">#REF!</definedName>
    <definedName name="erewrewrewr" hidden="1">#REF!</definedName>
    <definedName name="ERTFDSG" localSheetId="25" hidden="1">{#N/A,#N/A,FALSE,"PGW"}</definedName>
    <definedName name="ERTFDSG" localSheetId="5" hidden="1">{#N/A,#N/A,FALSE,"PGW"}</definedName>
    <definedName name="ERTFDSG" hidden="1">{#N/A,#N/A,FALSE,"PGW"}</definedName>
    <definedName name="eryery"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 localSheetId="25" hidden="1">{"'Sheet1'!$L$16"}</definedName>
    <definedName name="es" localSheetId="0" hidden="1">{"'Sheet1'!$L$16"}</definedName>
    <definedName name="es" localSheetId="5" hidden="1">{"'Sheet1'!$L$16"}</definedName>
    <definedName name="es" hidden="1">{"'Sheet1'!$L$16"}</definedName>
    <definedName name="Esc_AGExp" localSheetId="25">#REF!</definedName>
    <definedName name="Esc_AGExp" localSheetId="0">#REF!</definedName>
    <definedName name="Esc_AGExp" localSheetId="43">#REF!</definedName>
    <definedName name="Esc_AGExp" localSheetId="5">#REF!</definedName>
    <definedName name="Esc_AGExp">#REF!</definedName>
    <definedName name="Esc_Coal" localSheetId="25">#REF!</definedName>
    <definedName name="Esc_Coal" localSheetId="0">#REF!</definedName>
    <definedName name="Esc_Coal" localSheetId="43">#REF!</definedName>
    <definedName name="Esc_Coal" localSheetId="5">#REF!</definedName>
    <definedName name="Esc_Coal">#REF!</definedName>
    <definedName name="Esc_DomGas" localSheetId="25">#REF!</definedName>
    <definedName name="Esc_DomGas" localSheetId="0">#REF!</definedName>
    <definedName name="Esc_DomGas" localSheetId="43">#REF!</definedName>
    <definedName name="Esc_DomGas" localSheetId="5">#REF!</definedName>
    <definedName name="Esc_DomGas">#REF!</definedName>
    <definedName name="Esc_EmpExp" localSheetId="25">#REF!</definedName>
    <definedName name="Esc_EmpExp" localSheetId="0">#REF!</definedName>
    <definedName name="Esc_EmpExp" localSheetId="43">#REF!</definedName>
    <definedName name="Esc_EmpExp" localSheetId="5">#REF!</definedName>
    <definedName name="Esc_EmpExp">#REF!</definedName>
    <definedName name="Esc_LNGas" localSheetId="25">#REF!</definedName>
    <definedName name="Esc_LNGas" localSheetId="0">#REF!</definedName>
    <definedName name="Esc_LNGas" localSheetId="43">#REF!</definedName>
    <definedName name="Esc_LNGas" localSheetId="5">#REF!</definedName>
    <definedName name="Esc_LNGas">#REF!</definedName>
    <definedName name="Esc_Oil" localSheetId="25">#REF!</definedName>
    <definedName name="Esc_Oil" localSheetId="0">#REF!</definedName>
    <definedName name="Esc_Oil" localSheetId="43">#REF!</definedName>
    <definedName name="Esc_Oil" localSheetId="5">#REF!</definedName>
    <definedName name="Esc_Oil">#REF!</definedName>
    <definedName name="Esc_OtherIncome">#REF!</definedName>
    <definedName name="Esc_OtherVarCharge" localSheetId="25">#REF!</definedName>
    <definedName name="Esc_OtherVarCharge" localSheetId="0">#REF!</definedName>
    <definedName name="Esc_OtherVarCharge" localSheetId="43">#REF!</definedName>
    <definedName name="Esc_OtherVarCharge" localSheetId="5">#REF!</definedName>
    <definedName name="Esc_OtherVarCharge">#REF!</definedName>
    <definedName name="Esc_RMExp" localSheetId="25">#REF!</definedName>
    <definedName name="Esc_RMExp" localSheetId="0">#REF!</definedName>
    <definedName name="Esc_RMExp" localSheetId="43">#REF!</definedName>
    <definedName name="Esc_RMExp" localSheetId="5">#REF!</definedName>
    <definedName name="Esc_RMExp">#REF!</definedName>
    <definedName name="EscAGExp" localSheetId="11">#REF!</definedName>
    <definedName name="EscAGExp" localSheetId="13">#REF!</definedName>
    <definedName name="EscAGExp" localSheetId="16">#REF!</definedName>
    <definedName name="EscAGExp" localSheetId="26">#REF!</definedName>
    <definedName name="EscAGExp" localSheetId="32">#REF!</definedName>
    <definedName name="EscAGExp" localSheetId="33">#REF!</definedName>
    <definedName name="EscAGExp" localSheetId="34">#REF!</definedName>
    <definedName name="EscAGExp" localSheetId="35">#REF!</definedName>
    <definedName name="EscAGExp">#REF!</definedName>
    <definedName name="Escalable">#REF!</definedName>
    <definedName name="EscCoal" localSheetId="11">#REF!</definedName>
    <definedName name="EscCoal" localSheetId="13">#REF!</definedName>
    <definedName name="EscCoal" localSheetId="16">#REF!</definedName>
    <definedName name="EscCoal" localSheetId="26">#REF!</definedName>
    <definedName name="EscCoal" localSheetId="32">#REF!</definedName>
    <definedName name="EscCoal" localSheetId="33">#REF!</definedName>
    <definedName name="EscCoal" localSheetId="34">#REF!</definedName>
    <definedName name="EscCoal" localSheetId="35">#REF!</definedName>
    <definedName name="EscCoal">#REF!</definedName>
    <definedName name="EscDomGas" localSheetId="11">#REF!</definedName>
    <definedName name="EscDomGas" localSheetId="13">#REF!</definedName>
    <definedName name="EscDomGas" localSheetId="16">#REF!</definedName>
    <definedName name="EscDomGas" localSheetId="26">#REF!</definedName>
    <definedName name="EscDomGas" localSheetId="32">#REF!</definedName>
    <definedName name="EscDomGas" localSheetId="33">#REF!</definedName>
    <definedName name="EscDomGas" localSheetId="34">#REF!</definedName>
    <definedName name="EscDomGas" localSheetId="35">#REF!</definedName>
    <definedName name="EscDomGas">#REF!</definedName>
    <definedName name="EscEmpExp" localSheetId="11">#REF!</definedName>
    <definedName name="EscEmpExp" localSheetId="13">#REF!</definedName>
    <definedName name="EscEmpExp" localSheetId="16">#REF!</definedName>
    <definedName name="EscEmpExp" localSheetId="26">#REF!</definedName>
    <definedName name="EscEmpExp" localSheetId="32">#REF!</definedName>
    <definedName name="EscEmpExp" localSheetId="33">#REF!</definedName>
    <definedName name="EscEmpExp" localSheetId="34">#REF!</definedName>
    <definedName name="EscEmpExp" localSheetId="35">#REF!</definedName>
    <definedName name="EscEmpExp">#REF!</definedName>
    <definedName name="EscLNGas" localSheetId="11">#REF!</definedName>
    <definedName name="EscLNGas" localSheetId="13">#REF!</definedName>
    <definedName name="EscLNGas" localSheetId="16">#REF!</definedName>
    <definedName name="EscLNGas" localSheetId="26">#REF!</definedName>
    <definedName name="EscLNGas" localSheetId="32">#REF!</definedName>
    <definedName name="EscLNGas" localSheetId="33">#REF!</definedName>
    <definedName name="EscLNGas" localSheetId="34">#REF!</definedName>
    <definedName name="EscLNGas" localSheetId="35">#REF!</definedName>
    <definedName name="EscLNGas">#REF!</definedName>
    <definedName name="EsclOnMCent" localSheetId="0">#REF!</definedName>
    <definedName name="EsclOnMCent">#REF!</definedName>
    <definedName name="EscOil" localSheetId="11">#REF!</definedName>
    <definedName name="EscOil" localSheetId="13">#REF!</definedName>
    <definedName name="EscOil" localSheetId="16">#REF!</definedName>
    <definedName name="EscOil" localSheetId="26">#REF!</definedName>
    <definedName name="EscOil" localSheetId="32">#REF!</definedName>
    <definedName name="EscOil" localSheetId="33">#REF!</definedName>
    <definedName name="EscOil" localSheetId="34">#REF!</definedName>
    <definedName name="EscOil" localSheetId="35">#REF!</definedName>
    <definedName name="EscOil">#REF!</definedName>
    <definedName name="EscOM">#REF!</definedName>
    <definedName name="EscOM10">#REF!</definedName>
    <definedName name="EscOM11">#REF!</definedName>
    <definedName name="EscOM12">#REF!</definedName>
    <definedName name="EscOM13">#REF!</definedName>
    <definedName name="EscOMMYT">#REF!</definedName>
    <definedName name="EscOMMYTMERC">#REF!</definedName>
    <definedName name="EscOtherIncome" localSheetId="11">#REF!</definedName>
    <definedName name="EscOtherIncome" localSheetId="13">#REF!</definedName>
    <definedName name="EscOtherIncome" localSheetId="16">#REF!</definedName>
    <definedName name="EscOtherIncome" localSheetId="26">#REF!</definedName>
    <definedName name="EscOtherIncome" localSheetId="32">#REF!</definedName>
    <definedName name="EscOtherIncome" localSheetId="33">#REF!</definedName>
    <definedName name="EscOtherIncome" localSheetId="34">#REF!</definedName>
    <definedName name="EscOtherIncome" localSheetId="35">#REF!</definedName>
    <definedName name="EscOtherIncome">#REF!</definedName>
    <definedName name="EscOtherVarCharge" localSheetId="11">#REF!</definedName>
    <definedName name="EscOtherVarCharge" localSheetId="13">#REF!</definedName>
    <definedName name="EscOtherVarCharge" localSheetId="16">#REF!</definedName>
    <definedName name="EscOtherVarCharge" localSheetId="26">#REF!</definedName>
    <definedName name="EscOtherVarCharge" localSheetId="32">#REF!</definedName>
    <definedName name="EscOtherVarCharge" localSheetId="33">#REF!</definedName>
    <definedName name="EscOtherVarCharge" localSheetId="34">#REF!</definedName>
    <definedName name="EscOtherVarCharge" localSheetId="35">#REF!</definedName>
    <definedName name="EscOtherVarCharge">#REF!</definedName>
    <definedName name="EscRMExp" localSheetId="11">#REF!</definedName>
    <definedName name="EscRMExp" localSheetId="13">#REF!</definedName>
    <definedName name="EscRMExp" localSheetId="16">#REF!</definedName>
    <definedName name="EscRMExp" localSheetId="26">#REF!</definedName>
    <definedName name="EscRMExp" localSheetId="32">#REF!</definedName>
    <definedName name="EscRMExp" localSheetId="33">#REF!</definedName>
    <definedName name="EscRMExp" localSheetId="34">#REF!</definedName>
    <definedName name="EscRMExp" localSheetId="35">#REF!</definedName>
    <definedName name="EscRMExp">#REF!</definedName>
    <definedName name="ese" localSheetId="0">#REF!</definedName>
    <definedName name="ese">#REF!</definedName>
    <definedName name="esic">#REF!</definedName>
    <definedName name="estimate_to_complete">#REF!</definedName>
    <definedName name="estimated" localSheetId="25" hidden="1">{#N/A,#N/A,FALSE,"SMT1";#N/A,#N/A,FALSE,"SMT2";#N/A,#N/A,FALSE,"Summary";#N/A,#N/A,FALSE,"Graphs";#N/A,#N/A,FALSE,"4 Panel"}</definedName>
    <definedName name="estimated" localSheetId="5" hidden="1">{#N/A,#N/A,FALSE,"SMT1";#N/A,#N/A,FALSE,"SMT2";#N/A,#N/A,FALSE,"Summary";#N/A,#N/A,FALSE,"Graphs";#N/A,#N/A,FALSE,"4 Panel"}</definedName>
    <definedName name="estimated" hidden="1">{#N/A,#N/A,FALSE,"SMT1";#N/A,#N/A,FALSE,"SMT2";#N/A,#N/A,FALSE,"Summary";#N/A,#N/A,FALSE,"Graphs";#N/A,#N/A,FALSE,"4 Panel"}</definedName>
    <definedName name="et" localSheetId="25" hidden="1">{"'Sheet1'!$L$16"}</definedName>
    <definedName name="et" localSheetId="0" hidden="1">{"'Sheet1'!$L$16"}</definedName>
    <definedName name="et" localSheetId="5" hidden="1">{"'Sheet1'!$L$16"}</definedName>
    <definedName name="et" hidden="1">{"'Sheet1'!$L$16"}</definedName>
    <definedName name="ET_MP">#REF!</definedName>
    <definedName name="ET_PI">#REF!</definedName>
    <definedName name="eu_ro">#REF!</definedName>
    <definedName name="EUR">#REF!</definedName>
    <definedName name="EURBOR">#REF!</definedName>
    <definedName name="EURIBOR">#REF!</definedName>
    <definedName name="EURO">#REF!</definedName>
    <definedName name="EURO_payments_fpcms" localSheetId="0">#REF!</definedName>
    <definedName name="EURO_payments_fpcms">#REF!</definedName>
    <definedName name="euwqtyeuiwqetyqwr" localSheetId="0" hidden="1">{#N/A,#N/A,FALSE,"Banksum";#N/A,#N/A,FALSE,"Banksum"}</definedName>
    <definedName name="euwqtyeuiwqetyqwr" hidden="1">{#N/A,#N/A,FALSE,"Banksum";#N/A,#N/A,FALSE,"Banksum"}</definedName>
    <definedName name="EV">#REF!</definedName>
    <definedName name="EV__EVCOM_OPTIONS__" hidden="1">8</definedName>
    <definedName name="EV__EXPOPTIONS__" hidden="1">0</definedName>
    <definedName name="EV__LASTREFTIME__" hidden="1">"(GMT+05:30)5/14/2016 12:27:02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V__WSINFO__" hidden="1">"protra2020"</definedName>
    <definedName name="EV_EBITDA_data">OFFSET(#REF!,1,0,(COUNTA(#REF!)-1-COUNTIF(#REF!,"#N/A")),1)</definedName>
    <definedName name="ev_ic">#REF!</definedName>
    <definedName name="EW" localSheetId="0">#REF!</definedName>
    <definedName name="EW" localSheetId="46">#REF!</definedName>
    <definedName name="EW" localSheetId="45">#REF!</definedName>
    <definedName name="EW" localSheetId="49">#REF!</definedName>
    <definedName name="EW" localSheetId="50">#REF!</definedName>
    <definedName name="EW" localSheetId="51">#REF!</definedName>
    <definedName name="EW" localSheetId="52">#REF!</definedName>
    <definedName name="EW" localSheetId="56">#REF!</definedName>
    <definedName name="EW" localSheetId="57">#REF!</definedName>
    <definedName name="EW" localSheetId="58">#REF!</definedName>
    <definedName name="EW" localSheetId="59">#REF!</definedName>
    <definedName name="EW">#REF!</definedName>
    <definedName name="EWEQEQ" hidden="1">#REF!</definedName>
    <definedName name="ewewew" localSheetId="0" hidden="1">{#N/A,#N/A,FALSE,"Banksum";#N/A,#N/A,FALSE,"Banksum"}</definedName>
    <definedName name="ewewew" hidden="1">{#N/A,#N/A,FALSE,"Banksum";#N/A,#N/A,FALSE,"Banksum"}</definedName>
    <definedName name="ewqjekwq" localSheetId="0" hidden="1">{#N/A,#N/A,FALSE,"Banksum";#N/A,#N/A,FALSE,"Banksum"}</definedName>
    <definedName name="ewqjekwq" hidden="1">{#N/A,#N/A,FALSE,"Banksum";#N/A,#N/A,FALSE,"Banksum"}</definedName>
    <definedName name="ewrefc" localSheetId="0">#REF!</definedName>
    <definedName name="ewrefc">#REF!</definedName>
    <definedName name="ewrewrewr" hidden="1">#REF!</definedName>
    <definedName name="ewrewrewrwer" hidden="1">#REF!</definedName>
    <definedName name="EX_EBITDA_INT">#REF!</definedName>
    <definedName name="ex_joint">#REF!</definedName>
    <definedName name="exc" localSheetId="25" hidden="1">{"'Sheet1'!$A$4386:$N$4591"}</definedName>
    <definedName name="exc" localSheetId="0" hidden="1">{"'Sheet1'!$A$4386:$N$4591"}</definedName>
    <definedName name="exc" localSheetId="5" hidden="1">{"'Sheet1'!$A$4386:$N$4591"}</definedName>
    <definedName name="exc" hidden="1">{"'Sheet1'!$A$4386:$N$4591"}</definedName>
    <definedName name="Excel_BuiltIn__FilterDatabase_6">#REF!</definedName>
    <definedName name="Excel_BuiltIn_Database">#REF!</definedName>
    <definedName name="Excel_BuiltIn_Database_0">#REF!</definedName>
    <definedName name="Excel_BuiltIn_Database_1">#REF!</definedName>
    <definedName name="Excel_BuiltIn_Database_4">#REF!</definedName>
    <definedName name="Excel_BuiltIn_Database_5">#REF!</definedName>
    <definedName name="Excel_BuiltIn_Database_6">#REF!</definedName>
    <definedName name="Excel_BuiltIn_Print_Area">#REF!</definedName>
    <definedName name="Excel_BuiltIn_Print_Area_1">#REF!</definedName>
    <definedName name="Excel_BuiltIn_Print_Area_10">#REF!</definedName>
    <definedName name="Excel_BuiltIn_Print_Area_11">#REF!</definedName>
    <definedName name="Excel_BuiltIn_Print_Area_12">#REF!</definedName>
    <definedName name="Excel_BuiltIn_Print_Area_15">#REF!</definedName>
    <definedName name="Excel_BuiltIn_Print_Area_2">#REF!</definedName>
    <definedName name="Excel_BuiltIn_Print_Area_3">#REF!</definedName>
    <definedName name="Excel_BuiltIn_Print_Area_4">#REF!</definedName>
    <definedName name="Excel_BuiltIn_Print_Area_4_1">#REF!</definedName>
    <definedName name="Excel_BuiltIn_Print_Area_5" localSheetId="0">#REF!</definedName>
    <definedName name="Excel_BuiltIn_Print_Area_5">#REF!</definedName>
    <definedName name="Excel_BuiltIn_Print_Area_7">#REF!</definedName>
    <definedName name="Excel_BuiltIn_Print_Area_8">#REF!</definedName>
    <definedName name="Excel_BuiltIn_Print_Area_9">#REF!</definedName>
    <definedName name="Excel_BuiltIn_Print_Titles">NA()</definedName>
    <definedName name="Excel_BuiltIn_Print_Titles_2">#REF!</definedName>
    <definedName name="Excel_BuiltIn_Print_Titles_4">#REF!</definedName>
    <definedName name="Excel_Version">#REF!</definedName>
    <definedName name="Excess_cash">#REF!</definedName>
    <definedName name="Excess_Cash_Core">#REF!</definedName>
    <definedName name="excise_duty">#REF!</definedName>
    <definedName name="EXEL" localSheetId="0" hidden="1">{"VIEW1",#N/A,FALSE,"P&amp;L Account 2001-2002";"VIEW2",#N/A,FALSE,"P&amp;L Account 2001-2002";"VIEW3",#N/A,FALSE,"P&amp;L Account 2001-2002";"VIEW4",#N/A,FALSE,"P&amp;L Account 2001-2002"}</definedName>
    <definedName name="EXEL" hidden="1">{"VIEW1",#N/A,FALSE,"P&amp;L Account 2001-2002";"VIEW2",#N/A,FALSE,"P&amp;L Account 2001-2002";"VIEW3",#N/A,FALSE,"P&amp;L Account 2001-2002";"VIEW4",#N/A,FALSE,"P&amp;L Account 2001-2002"}</definedName>
    <definedName name="Exp" localSheetId="25" hidden="1">{#N/A,#N/A,FALSE,"Aging Summary";#N/A,#N/A,FALSE,"Ratio Analysis";#N/A,#N/A,FALSE,"Test 120 Day Accts";#N/A,#N/A,FALSE,"Tickmarks"}</definedName>
    <definedName name="exp" localSheetId="0">#REF!</definedName>
    <definedName name="Exp" localSheetId="5" hidden="1">{#N/A,#N/A,FALSE,"Aging Summary";#N/A,#N/A,FALSE,"Ratio Analysis";#N/A,#N/A,FALSE,"Test 120 Day Accts";#N/A,#N/A,FALSE,"Tickmarks"}</definedName>
    <definedName name="Exp" hidden="1">{#N/A,#N/A,FALSE,"Aging Summary";#N/A,#N/A,FALSE,"Ratio Analysis";#N/A,#N/A,FALSE,"Test 120 Day Accts";#N/A,#N/A,FALSE,"Tickmarks"}</definedName>
    <definedName name="EXP_SALE">#N/A</definedName>
    <definedName name="Expected_balance">#REF!</definedName>
    <definedName name="expenses" localSheetId="0">#REF!</definedName>
    <definedName name="expenses">#REF!</definedName>
    <definedName name="expinrrechrge">#REF!</definedName>
    <definedName name="Export">#REF!</definedName>
    <definedName name="ExportAdvance">#REF!</definedName>
    <definedName name="exports">#REF!</definedName>
    <definedName name="EXPORTS1" localSheetId="0" hidden="1">{"VIEW1",#N/A,FALSE,"P&amp;L Account 2001-2002";"VIEW2",#N/A,FALSE,"P&amp;L Account 2001-2002";"VIEW3",#N/A,FALSE,"P&amp;L Account 2001-2002";"VIEW4",#N/A,FALSE,"P&amp;L Account 2001-2002"}</definedName>
    <definedName name="EXPORTS1" hidden="1">{"VIEW1",#N/A,FALSE,"P&amp;L Account 2001-2002";"VIEW2",#N/A,FALSE,"P&amp;L Account 2001-2002";"VIEW3",#N/A,FALSE,"P&amp;L Account 2001-2002";"VIEW4",#N/A,FALSE,"P&amp;L Account 2001-2002"}</definedName>
    <definedName name="EXPORTSMAIL" localSheetId="0" hidden="1">{"VIEW1",#N/A,FALSE,"P&amp;L Account 2001-2002";"VIEW2",#N/A,FALSE,"P&amp;L Account 2001-2002";"VIEW3",#N/A,FALSE,"P&amp;L Account 2001-2002";"VIEW4",#N/A,FALSE,"P&amp;L Account 2001-2002"}</definedName>
    <definedName name="EXPORTSMAIL" hidden="1">{"VIEW1",#N/A,FALSE,"P&amp;L Account 2001-2002";"VIEW2",#N/A,FALSE,"P&amp;L Account 2001-2002";"VIEW3",#N/A,FALSE,"P&amp;L Account 2001-2002";"VIEW4",#N/A,FALSE,"P&amp;L Account 2001-2002"}</definedName>
    <definedName name="EXPSREC">#REF!</definedName>
    <definedName name="expsum">#REF!</definedName>
    <definedName name="exrt">#REF!</definedName>
    <definedName name="Ext_EP" localSheetId="25" hidden="1">{"'kpi2-1'!$E$4"}</definedName>
    <definedName name="Ext_EP" localSheetId="5" hidden="1">{"'kpi2-1'!$E$4"}</definedName>
    <definedName name="Ext_EP" hidden="1">{"'kpi2-1'!$E$4"}</definedName>
    <definedName name="EXTEN">#REF!</definedName>
    <definedName name="ExtFiles">#REF!</definedName>
    <definedName name="Extra_Pay">#REF!</definedName>
    <definedName name="_xlnm.Extract" localSheetId="0">#REF!</definedName>
    <definedName name="_xlnm.Extract">#REF!</definedName>
    <definedName name="Extract_MI">#REF!</definedName>
    <definedName name="extraordinary_items">#REF!</definedName>
    <definedName name="f" localSheetId="0">#REF!</definedName>
    <definedName name="f">#REF!</definedName>
    <definedName name="F.2002.03">#REF!</definedName>
    <definedName name="F.A." localSheetId="25" hidden="1">{#N/A,#N/A,FALSE,"Aging Summary";#N/A,#N/A,FALSE,"Ratio Analysis";#N/A,#N/A,FALSE,"Test 120 Day Accts";#N/A,#N/A,FALSE,"Tickmarks"}</definedName>
    <definedName name="F.A." localSheetId="5" hidden="1">{#N/A,#N/A,FALSE,"Aging Summary";#N/A,#N/A,FALSE,"Ratio Analysis";#N/A,#N/A,FALSE,"Test 120 Day Accts";#N/A,#N/A,FALSE,"Tickmarks"}</definedName>
    <definedName name="F.A." hidden="1">{#N/A,#N/A,FALSE,"Aging Summary";#N/A,#N/A,FALSE,"Ratio Analysis";#N/A,#N/A,FALSE,"Test 120 Day Accts";#N/A,#N/A,FALSE,"Tickmarks"}</definedName>
    <definedName name="F_">#REF!</definedName>
    <definedName name="F_1">#REF!</definedName>
    <definedName name="F_AFLCFM1">#REF!</definedName>
    <definedName name="F_AFLCFM2">#REF!</definedName>
    <definedName name="F_AFLPEM3">#REF!</definedName>
    <definedName name="F_AFLPEM4">#REF!</definedName>
    <definedName name="F_AFLPEMb">#REF!</definedName>
    <definedName name="F_AFLSD1">#REF!</definedName>
    <definedName name="F_AFLSD2">#REF!</definedName>
    <definedName name="F_BALANCE">#REF!</definedName>
    <definedName name="f_capital">#REF!</definedName>
    <definedName name="F_CASH">#REF!</definedName>
    <definedName name="f_econ_profit">#REF!</definedName>
    <definedName name="F_FINANCE">#REF!</definedName>
    <definedName name="f_free_cash_flow">#REF!</definedName>
    <definedName name="F_INCOME">#REF!</definedName>
    <definedName name="F_INVEST">#REF!</definedName>
    <definedName name="f_manual">#REF!</definedName>
    <definedName name="F_NOPLAT">#REF!</definedName>
    <definedName name="F_OPERATING">#REF!</definedName>
    <definedName name="f_ratios">#REF!</definedName>
    <definedName name="F_RESULTS">#REF!</definedName>
    <definedName name="f_roic">#REF!</definedName>
    <definedName name="F_SUP_CALC">#REF!</definedName>
    <definedName name="f_valuation">#REF!</definedName>
    <definedName name="F1_Server">"Server Name"</definedName>
    <definedName name="F1_Server_1">"HK-CILLIN"</definedName>
    <definedName name="F1_Server_2">""</definedName>
    <definedName name="F1_Server_3">""</definedName>
    <definedName name="F1_Server_4">""</definedName>
    <definedName name="F1_Server_5">""</definedName>
    <definedName name="F1_Service">"Service "</definedName>
    <definedName name="F1_Service_1">"InterScan NT"</definedName>
    <definedName name="F1_Service_2">""</definedName>
    <definedName name="F1_Service_3">""</definedName>
    <definedName name="F1_Service_4">""</definedName>
    <definedName name="F1_Service_5">""</definedName>
    <definedName name="F1_virus_1">"1"</definedName>
    <definedName name="F1_virus_2">""</definedName>
    <definedName name="F1_virus_3">""</definedName>
    <definedName name="F1_virus_4">""</definedName>
    <definedName name="F1_virus_5">""</definedName>
    <definedName name="F3_Machine">"Machine Name"</definedName>
    <definedName name="F3_Machine_1">""</definedName>
    <definedName name="F3_Machine_2">""</definedName>
    <definedName name="F3_Machine_3">""</definedName>
    <definedName name="F3_Machine_4">""</definedName>
    <definedName name="F3_Machine_5">""</definedName>
    <definedName name="F3_Virus_1">""</definedName>
    <definedName name="F3_Virus_2">""</definedName>
    <definedName name="F3_Virus_3">""</definedName>
    <definedName name="F3_Virus_4">""</definedName>
    <definedName name="F3_Virus_5">""</definedName>
    <definedName name="fa">#REF!</definedName>
    <definedName name="fa.xls" localSheetId="25" hidden="1">{#N/A,#N/A,FALSE,"Full";#N/A,#N/A,FALSE,"Half";#N/A,#N/A,FALSE,"Op Expenses";#N/A,#N/A,FALSE,"Cap Charge";#N/A,#N/A,FALSE,"Cost C";#N/A,#N/A,FALSE,"PP&amp;E";#N/A,#N/A,FALSE,"R&amp;D"}</definedName>
    <definedName name="fa.xls" localSheetId="0" hidden="1">{#N/A,#N/A,FALSE,"Full";#N/A,#N/A,FALSE,"Half";#N/A,#N/A,FALSE,"Op Expenses";#N/A,#N/A,FALSE,"Cap Charge";#N/A,#N/A,FALSE,"Cost C";#N/A,#N/A,FALSE,"PP&amp;E";#N/A,#N/A,FALSE,"R&amp;D"}</definedName>
    <definedName name="fa.xls" localSheetId="5" hidden="1">{#N/A,#N/A,FALSE,"Full";#N/A,#N/A,FALSE,"Half";#N/A,#N/A,FALSE,"Op Expenses";#N/A,#N/A,FALSE,"Cap Charge";#N/A,#N/A,FALSE,"Cost C";#N/A,#N/A,FALSE,"PP&amp;E";#N/A,#N/A,FALSE,"R&amp;D"}</definedName>
    <definedName name="fa.xls" hidden="1">{#N/A,#N/A,FALSE,"Full";#N/A,#N/A,FALSE,"Half";#N/A,#N/A,FALSE,"Op Expenses";#N/A,#N/A,FALSE,"Cap Charge";#N/A,#N/A,FALSE,"Cost C";#N/A,#N/A,FALSE,"PP&amp;E";#N/A,#N/A,FALSE,"R&amp;D"}</definedName>
    <definedName name="FA_KG_Block" localSheetId="0">#REF!</definedName>
    <definedName name="FA_KG_Block">#REF!</definedName>
    <definedName name="FA_SCHEDULE" localSheetId="25"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localSheetId="5"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 localSheetId="25" hidden="1">{#N/A,#N/A,FALSE,"Full";#N/A,#N/A,FALSE,"Half";#N/A,#N/A,FALSE,"Op Expenses";#N/A,#N/A,FALSE,"Cap Charge";#N/A,#N/A,FALSE,"Cost C";#N/A,#N/A,FALSE,"PP&amp;E";#N/A,#N/A,FALSE,"R&amp;D"}</definedName>
    <definedName name="fab" localSheetId="5" hidden="1">{#N/A,#N/A,FALSE,"Full";#N/A,#N/A,FALSE,"Half";#N/A,#N/A,FALSE,"Op Expenses";#N/A,#N/A,FALSE,"Cap Charge";#N/A,#N/A,FALSE,"Cost C";#N/A,#N/A,FALSE,"PP&amp;E";#N/A,#N/A,FALSE,"R&amp;D"}</definedName>
    <definedName name="fab" hidden="1">{#N/A,#N/A,FALSE,"Full";#N/A,#N/A,FALSE,"Half";#N/A,#N/A,FALSE,"Op Expenses";#N/A,#N/A,FALSE,"Cap Charge";#N/A,#N/A,FALSE,"Cost C";#N/A,#N/A,FALSE,"PP&amp;E";#N/A,#N/A,FALSE,"R&amp;D"}</definedName>
    <definedName name="fact">#REF!</definedName>
    <definedName name="Fade">#REF!</definedName>
    <definedName name="fadfaasd" localSheetId="0" hidden="1">{"VIEW1",#N/A,FALSE,"P&amp;L Account 2001-2002";"VIEW2",#N/A,FALSE,"P&amp;L Account 2001-2002";"VIEW3",#N/A,FALSE,"P&amp;L Account 2001-2002";"VIEW4",#N/A,FALSE,"P&amp;L Account 2001-2002"}</definedName>
    <definedName name="fadfaasd" hidden="1">{"VIEW1",#N/A,FALSE,"P&amp;L Account 2001-2002";"VIEW2",#N/A,FALSE,"P&amp;L Account 2001-2002";"VIEW3",#N/A,FALSE,"P&amp;L Account 2001-2002";"VIEW4",#N/A,FALSE,"P&amp;L Account 2001-2002"}</definedName>
    <definedName name="FairMarket_Cap">#REF!</definedName>
    <definedName name="FairPrice">#REF!</definedName>
    <definedName name="FAMERangeDJ_BALAL28">#REF!</definedName>
    <definedName name="FAMERangeDJ_BALAM28">#REF!</definedName>
    <definedName name="FAMERangeDJ_BALAN28">#REF!</definedName>
    <definedName name="FAMERangeGCI_BALD62">#REF!</definedName>
    <definedName name="FAMERangeGCI_BALD63">#REF!</definedName>
    <definedName name="FAMERangeKRI_BALAL99">#REF!</definedName>
    <definedName name="FAMERangeKRI_BALAM99">#REF!</definedName>
    <definedName name="FAMERangeKRI_BALAN99">#REF!</definedName>
    <definedName name="far">#REF!</definedName>
    <definedName name="FAX" localSheetId="11">#REF!</definedName>
    <definedName name="FAX" localSheetId="13">#REF!</definedName>
    <definedName name="FAX" localSheetId="16">#REF!</definedName>
    <definedName name="FAX" localSheetId="26">#REF!</definedName>
    <definedName name="FAX" localSheetId="32">#REF!</definedName>
    <definedName name="FAX" localSheetId="33">#REF!</definedName>
    <definedName name="FAX" localSheetId="34">#REF!</definedName>
    <definedName name="FAX" localSheetId="35">#REF!</definedName>
    <definedName name="FAX">#REF!</definedName>
    <definedName name="FBASE">#REF!</definedName>
    <definedName name="FBTSection">#REF!</definedName>
    <definedName name="FCASHTAX">#REF!</definedName>
    <definedName name="fchk" localSheetId="25" hidden="1">{#N/A,#N/A,TRUE,"Front";#N/A,#N/A,TRUE,"Simple Letter";#N/A,#N/A,TRUE,"Inside";#N/A,#N/A,TRUE,"Contents";#N/A,#N/A,TRUE,"Basis";#N/A,#N/A,TRUE,"Inclusions";#N/A,#N/A,TRUE,"Exclusions";#N/A,#N/A,TRUE,"Areas";#N/A,#N/A,TRUE,"Summary";#N/A,#N/A,TRUE,"Detail"}</definedName>
    <definedName name="fchk" localSheetId="5" hidden="1">{#N/A,#N/A,TRUE,"Front";#N/A,#N/A,TRUE,"Simple Letter";#N/A,#N/A,TRUE,"Inside";#N/A,#N/A,TRUE,"Contents";#N/A,#N/A,TRUE,"Basis";#N/A,#N/A,TRUE,"Inclusions";#N/A,#N/A,TRUE,"Exclusions";#N/A,#N/A,TRUE,"Areas";#N/A,#N/A,TRUE,"Summary";#N/A,#N/A,TRUE,"Detail"}</definedName>
    <definedName name="fchk" hidden="1">{#N/A,#N/A,TRUE,"Front";#N/A,#N/A,TRUE,"Simple Letter";#N/A,#N/A,TRUE,"Inside";#N/A,#N/A,TRUE,"Contents";#N/A,#N/A,TRUE,"Basis";#N/A,#N/A,TRUE,"Inclusions";#N/A,#N/A,TRUE,"Exclusions";#N/A,#N/A,TRUE,"Areas";#N/A,#N/A,TRUE,"Summary";#N/A,#N/A,TRUE,"Detail"}</definedName>
    <definedName name="fcl">#REF!</definedName>
    <definedName name="fco">#REF!</definedName>
    <definedName name="FCode" hidden="1">#REF!</definedName>
    <definedName name="FCodePL" hidden="1">#REF!</definedName>
    <definedName name="FCOGS">#REF!</definedName>
    <definedName name="FCONSTANT">#REF!</definedName>
    <definedName name="fcwge" localSheetId="0">#REF!</definedName>
    <definedName name="fcwge">#REF!</definedName>
    <definedName name="fd" localSheetId="25" hidden="1">{"'Sheet1'!$L$16"}</definedName>
    <definedName name="fd" localSheetId="0" hidden="1">{"'Sheet1'!$L$16"}</definedName>
    <definedName name="fd" localSheetId="5" hidden="1">{"'Sheet1'!$L$16"}</definedName>
    <definedName name="fd" hidden="1">{"'Sheet1'!$L$16"}</definedName>
    <definedName name="FDaFAF" localSheetId="25" hidden="1">{"'Mach'!$A$1:$D$39"}</definedName>
    <definedName name="FDaFAF" localSheetId="5" hidden="1">{"'Mach'!$A$1:$D$39"}</definedName>
    <definedName name="FDaFAF" hidden="1">{"'Mach'!$A$1:$D$39"}</definedName>
    <definedName name="FDCost">#REF!</definedName>
    <definedName name="FDEPRECIATION">#REF!</definedName>
    <definedName name="FDF" localSheetId="0" hidden="1">{#N/A,#N/A,FALSE,"A"}</definedName>
    <definedName name="FDF" hidden="1">{#N/A,#N/A,FALSE,"A"}</definedName>
    <definedName name="FDF\" hidden="1">#REF!</definedName>
    <definedName name="fdfd" localSheetId="25" hidden="1">{#N/A,#N/A,FALSE,"COVER.XLS";#N/A,#N/A,FALSE,"RACT1.XLS";#N/A,#N/A,FALSE,"RACT2.XLS";#N/A,#N/A,FALSE,"ECCMP";#N/A,#N/A,FALSE,"WELDER.XLS"}</definedName>
    <definedName name="fdfd" localSheetId="0" hidden="1">{#N/A,#N/A,FALSE,"COVER.XLS";#N/A,#N/A,FALSE,"RACT1.XLS";#N/A,#N/A,FALSE,"RACT2.XLS";#N/A,#N/A,FALSE,"ECCMP";#N/A,#N/A,FALSE,"WELDER.XLS"}</definedName>
    <definedName name="fdfd" localSheetId="5" hidden="1">{#N/A,#N/A,FALSE,"COVER.XLS";#N/A,#N/A,FALSE,"RACT1.XLS";#N/A,#N/A,FALSE,"RACT2.XLS";#N/A,#N/A,FALSE,"ECCMP";#N/A,#N/A,FALSE,"WELDER.XLS"}</definedName>
    <definedName name="fdfd" hidden="1">{#N/A,#N/A,FALSE,"COVER.XLS";#N/A,#N/A,FALSE,"RACT1.XLS";#N/A,#N/A,FALSE,"RACT2.XLS";#N/A,#N/A,FALSE,"ECCMP";#N/A,#N/A,FALSE,"WELDER.XLS"}</definedName>
    <definedName name="fdfdsagsgsa" hidden="1">#REF!</definedName>
    <definedName name="fdgd" localSheetId="25" hidden="1">{#N/A,#N/A,TRUE,"Front";#N/A,#N/A,TRUE,"Simple Letter";#N/A,#N/A,TRUE,"Inside";#N/A,#N/A,TRUE,"Contents";#N/A,#N/A,TRUE,"Basis";#N/A,#N/A,TRUE,"Inclusions";#N/A,#N/A,TRUE,"Exclusions";#N/A,#N/A,TRUE,"Areas";#N/A,#N/A,TRUE,"Summary";#N/A,#N/A,TRUE,"Detail"}</definedName>
    <definedName name="fdgd" localSheetId="5" hidden="1">{#N/A,#N/A,TRUE,"Front";#N/A,#N/A,TRUE,"Simple Letter";#N/A,#N/A,TRUE,"Inside";#N/A,#N/A,TRUE,"Contents";#N/A,#N/A,TRUE,"Basis";#N/A,#N/A,TRUE,"Inclusions";#N/A,#N/A,TRUE,"Exclusions";#N/A,#N/A,TRUE,"Areas";#N/A,#N/A,TRUE,"Summary";#N/A,#N/A,TRUE,"Detail"}</definedName>
    <definedName name="fdgd" hidden="1">{#N/A,#N/A,TRUE,"Front";#N/A,#N/A,TRUE,"Simple Letter";#N/A,#N/A,TRUE,"Inside";#N/A,#N/A,TRUE,"Contents";#N/A,#N/A,TRUE,"Basis";#N/A,#N/A,TRUE,"Inclusions";#N/A,#N/A,TRUE,"Exclusions";#N/A,#N/A,TRUE,"Areas";#N/A,#N/A,TRUE,"Summary";#N/A,#N/A,TRUE,"Detail"}</definedName>
    <definedName name="fdgdr" localSheetId="25" hidden="1">{#N/A,#N/A,TRUE,"Front";#N/A,#N/A,TRUE,"Simple Letter";#N/A,#N/A,TRUE,"Inside";#N/A,#N/A,TRUE,"Contents";#N/A,#N/A,TRUE,"Basis";#N/A,#N/A,TRUE,"Inclusions";#N/A,#N/A,TRUE,"Exclusions";#N/A,#N/A,TRUE,"Areas";#N/A,#N/A,TRUE,"Summary";#N/A,#N/A,TRUE,"Detail"}</definedName>
    <definedName name="fdgdr" localSheetId="5"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fdgk" localSheetId="25" hidden="1">{"'Sheet1'!$L$16"}</definedName>
    <definedName name="fdgk" localSheetId="0" hidden="1">{"'Sheet1'!$L$16"}</definedName>
    <definedName name="fdgk" localSheetId="5" hidden="1">{"'Sheet1'!$L$16"}</definedName>
    <definedName name="fdgk" hidden="1">{"'Sheet1'!$L$16"}</definedName>
    <definedName name="fdhdfhdf" localSheetId="25" hidden="1">{#N/A,#N/A,FALSE,"Aging Summary";#N/A,#N/A,FALSE,"Ratio Analysis";#N/A,#N/A,FALSE,"Test 120 Day Accts";#N/A,#N/A,FALSE,"Tickmarks"}</definedName>
    <definedName name="fdhdfhdf" localSheetId="5" hidden="1">{#N/A,#N/A,FALSE,"Aging Summary";#N/A,#N/A,FALSE,"Ratio Analysis";#N/A,#N/A,FALSE,"Test 120 Day Accts";#N/A,#N/A,FALSE,"Tickmarks"}</definedName>
    <definedName name="fdhdfhdf" hidden="1">{#N/A,#N/A,FALSE,"Aging Summary";#N/A,#N/A,FALSE,"Ratio Analysis";#N/A,#N/A,FALSE,"Test 120 Day Accts";#N/A,#N/A,FALSE,"Tickmarks"}</definedName>
    <definedName name="fdksldls">#REF!</definedName>
    <definedName name="FDP_102_1_aSrv" hidden="1">#REF!</definedName>
    <definedName name="FDP_103_1_aSrv" hidden="1">#REF!</definedName>
    <definedName name="FDP_104_1_aSrv" hidden="1">#REF!</definedName>
    <definedName name="FDP_12_1_aDrv" hidden="1">#REF!</definedName>
    <definedName name="FDP_13_1_aDrv" hidden="1">#N/A</definedName>
    <definedName name="FDP_14_1_aDrv" hidden="1">#N/A</definedName>
    <definedName name="FDP_15_1_aUrv" hidden="1">#N/A</definedName>
    <definedName name="FDP_17_1_aSrv" hidden="1">#N/A</definedName>
    <definedName name="FDP_19_1_aDrv" hidden="1">#N/A</definedName>
    <definedName name="FDP_2_1_aSrv" hidden="1">#N/A</definedName>
    <definedName name="FDP_20_1_aDrv" hidden="1">#N/A</definedName>
    <definedName name="FDP_21_1_aDrv" hidden="1">#N/A</definedName>
    <definedName name="FDP_22_1_aDrv" hidden="1">#N/A</definedName>
    <definedName name="FDP_23_1_aDrv" hidden="1">#N/A</definedName>
    <definedName name="FDP_24_1_aDrv" hidden="1">#N/A</definedName>
    <definedName name="FDP_25_1_aUrv" hidden="1">#N/A</definedName>
    <definedName name="FDP_26_1_aSrv" hidden="1">#N/A</definedName>
    <definedName name="FDP_27_1_aUrv" hidden="1">#N/A</definedName>
    <definedName name="FDP_28_1_aUrv" hidden="1">#N/A</definedName>
    <definedName name="FDP_29_1_aUrv" hidden="1">#N/A</definedName>
    <definedName name="FDP_30_1_aUrv" hidden="1">#N/A</definedName>
    <definedName name="FDP_31_1_aUrv" hidden="1">#N/A</definedName>
    <definedName name="FDP_32_1_aUrv" hidden="1">#N/A</definedName>
    <definedName name="FDP_33_1_aUrv" hidden="1">#N/A</definedName>
    <definedName name="FDP_34_1_aUrv" hidden="1">#N/A</definedName>
    <definedName name="FDP_35_1_aUrv" hidden="1">#N/A</definedName>
    <definedName name="FDP_36_1_aUrv" hidden="1">#N/A</definedName>
    <definedName name="FDP_37_1_aUrv" hidden="1">#N/A</definedName>
    <definedName name="FDP_38_1_aUrv" hidden="1">#N/A</definedName>
    <definedName name="FDP_39_1_aUrv" hidden="1">#N/A</definedName>
    <definedName name="FDP_4_1_aSrv" hidden="1">#N/A</definedName>
    <definedName name="FDP_40_1_aUrv" hidden="1">#N/A</definedName>
    <definedName name="FDP_50_1_aDrv" hidden="1">#N/A</definedName>
    <definedName name="FDP_51_1_aDrv" hidden="1">#N/A</definedName>
    <definedName name="FDP_52_1_aDrv" hidden="1">#N/A</definedName>
    <definedName name="FDP_53_1_aUrv" hidden="1">#N/A</definedName>
    <definedName name="FDP_54_1_aUrv" hidden="1">#N/A</definedName>
    <definedName name="FDP_57_1_aSrv" hidden="1">#N/A</definedName>
    <definedName name="FDP_59_1_aUrv" hidden="1">#N/A</definedName>
    <definedName name="FDP_60_1_aUrv" hidden="1">#N/A</definedName>
    <definedName name="FDP_61_1_aSrv" hidden="1">#N/A</definedName>
    <definedName name="FDP_62_1_aDrv" hidden="1">#N/A</definedName>
    <definedName name="FDP_63_1_aUrv" hidden="1">#N/A</definedName>
    <definedName name="FDP_64_1_aUrv" hidden="1">#N/A</definedName>
    <definedName name="FDP_65_1_aUrv" hidden="1">#N/A</definedName>
    <definedName name="FDP_66_1_aUrv" hidden="1">#N/A</definedName>
    <definedName name="FDP_67_1_aDrv" hidden="1">#N/A</definedName>
    <definedName name="FDP_68_1_aUrv" hidden="1">#N/A</definedName>
    <definedName name="FDP_69_1_aUrv" hidden="1">#N/A</definedName>
    <definedName name="FDP_70_1_aUrv" hidden="1">#N/A</definedName>
    <definedName name="FDP_71_1_aDrv" hidden="1">#N/A</definedName>
    <definedName name="FDP_72_1_aDrv" hidden="1">#N/A</definedName>
    <definedName name="FDP_73_1_aDrv" hidden="1">#N/A</definedName>
    <definedName name="FDP_74_1_aDrv" hidden="1">#N/A</definedName>
    <definedName name="FDP_75_1_aUrv" hidden="1">#N/A</definedName>
    <definedName name="FDP_76_1_aUrv" hidden="1">#N/A</definedName>
    <definedName name="FDP_77_1_aDrv" hidden="1">#N/A</definedName>
    <definedName name="FDP_78_1_aUrv" hidden="1">#N/A</definedName>
    <definedName name="FDP_79_1_aUrv" hidden="1">#N/A</definedName>
    <definedName name="FDP_80_1_aDrv" hidden="1">#N/A</definedName>
    <definedName name="FDP_81_1_aSrv" hidden="1">#N/A</definedName>
    <definedName name="FDP_82_1_aUrv" hidden="1">#N/A</definedName>
    <definedName name="FDP_83_1_aDrv" hidden="1">#N/A</definedName>
    <definedName name="FDP_84_1_aDrv" hidden="1">#N/A</definedName>
    <definedName name="FDP_85_1_aDrv" hidden="1">#N/A</definedName>
    <definedName name="FDP_86_1_aDrv" hidden="1">#N/A</definedName>
    <definedName name="FDP_87_1_aDrv" hidden="1">#N/A</definedName>
    <definedName name="FDP_88_1_aDrv" hidden="1">#N/A</definedName>
    <definedName name="FDP_89_1_aDrv" hidden="1">#N/A</definedName>
    <definedName name="FDP_90_1_aDrv" hidden="1">#N/A</definedName>
    <definedName name="FDP_91_1_aDrv" hidden="1">#N/A</definedName>
    <definedName name="FDP_92_1_aDrv" hidden="1">#N/A</definedName>
    <definedName name="FDP_93_1_aSrv" hidden="1">#N/A</definedName>
    <definedName name="FDP_94_1_aSrv" hidden="1">#N/A</definedName>
    <definedName name="FDP_95_1_aSrv" hidden="1">#N/A</definedName>
    <definedName name="FDP_96_1_aSrv" hidden="1">#N/A</definedName>
    <definedName name="FDP_97_1_aUrv" hidden="1">#N/A</definedName>
    <definedName name="FDP_98_1_aSrv" hidden="1">#N/A</definedName>
    <definedName name="FDP_99_1_aSrv" hidden="1">#N/A</definedName>
    <definedName name="FDSHARES">#REF!</definedName>
    <definedName name="fdxfds">#REF!</definedName>
    <definedName name="FDY">#REF!</definedName>
    <definedName name="FDY___0">#REF!</definedName>
    <definedName name="fe" localSheetId="25" hidden="1">{"'Sheet1'!$L$16"}</definedName>
    <definedName name="fe" localSheetId="0" hidden="1">{"'Sheet1'!$L$16"}</definedName>
    <definedName name="fe" localSheetId="5" hidden="1">{"'Sheet1'!$L$16"}</definedName>
    <definedName name="fe" hidden="1">{"'Sheet1'!$L$16"}</definedName>
    <definedName name="fefcdf" localSheetId="0">#REF!</definedName>
    <definedName name="fefcdf">#REF!</definedName>
    <definedName name="feftgvrg" localSheetId="0">#REF!</definedName>
    <definedName name="feftgvrg">#REF!</definedName>
    <definedName name="ferdwer" hidden="1">#REF!</definedName>
    <definedName name="feret" localSheetId="25" hidden="1">{#N/A,#N/A,FALSE,"FREE"}</definedName>
    <definedName name="feret" localSheetId="5" hidden="1">{#N/A,#N/A,FALSE,"FREE"}</definedName>
    <definedName name="feret" hidden="1">{#N/A,#N/A,FALSE,"FREE"}</definedName>
    <definedName name="fertgfr" localSheetId="0">#REF!</definedName>
    <definedName name="fertgfr">#REF!</definedName>
    <definedName name="few" localSheetId="25" hidden="1">{#N/A,#N/A,FALSE,"PMTABB";#N/A,#N/A,FALSE,"PMTABB"}</definedName>
    <definedName name="few" localSheetId="5" hidden="1">{#N/A,#N/A,FALSE,"PMTABB";#N/A,#N/A,FALSE,"PMTABB"}</definedName>
    <definedName name="few" hidden="1">{#N/A,#N/A,FALSE,"PMTABB";#N/A,#N/A,FALSE,"PMTABB"}</definedName>
    <definedName name="fewt" localSheetId="25" hidden="1">{#N/A,#N/A,FALSE,"EW"}</definedName>
    <definedName name="fewt" localSheetId="5" hidden="1">{#N/A,#N/A,FALSE,"EW"}</definedName>
    <definedName name="fewt" hidden="1">{#N/A,#N/A,FALSE,"EW"}</definedName>
    <definedName name="ff">#REF!</definedName>
    <definedName name="FF_967">#REF!</definedName>
    <definedName name="FFF" localSheetId="0">#REF!</definedName>
    <definedName name="FFF">#REF!</definedName>
    <definedName name="ffff" localSheetId="25" hidden="1">{"CF vs PnL",#N/A,FALSE,"CF vs P&amp;L"}</definedName>
    <definedName name="ffff" localSheetId="5" hidden="1">{"CF vs PnL",#N/A,FALSE,"CF vs P&amp;L"}</definedName>
    <definedName name="ffff" hidden="1">{"CF vs PnL",#N/A,FALSE,"CF vs P&amp;L"}</definedName>
    <definedName name="ffffd" hidden="1">#REF!</definedName>
    <definedName name="fffff">#REF!</definedName>
    <definedName name="ffgfdg" localSheetId="0" hidden="1">{"VIEW1",#N/A,FALSE,"P&amp;L Account 2001-2002";"VIEW2",#N/A,FALSE,"P&amp;L Account 2001-2002";"VIEW3",#N/A,FALSE,"P&amp;L Account 2001-2002";"VIEW4",#N/A,FALSE,"P&amp;L Account 2001-2002"}</definedName>
    <definedName name="ffgfdg" hidden="1">{"VIEW1",#N/A,FALSE,"P&amp;L Account 2001-2002";"VIEW2",#N/A,FALSE,"P&amp;L Account 2001-2002";"VIEW3",#N/A,FALSE,"P&amp;L Account 2001-2002";"VIEW4",#N/A,FALSE,"P&amp;L Account 2001-2002"}</definedName>
    <definedName name="FFGSGDSAGF" localSheetId="0" hidden="1">{"VIEW1",#N/A,FALSE,"P&amp;L Account 2001-2002";"VIEW2",#N/A,FALSE,"P&amp;L Account 2001-2002";"VIEW3",#N/A,FALSE,"P&amp;L Account 2001-2002";"VIEW4",#N/A,FALSE,"P&amp;L Account 2001-2002"}</definedName>
    <definedName name="FFGSGDSAGF" hidden="1">{"VIEW1",#N/A,FALSE,"P&amp;L Account 2001-2002";"VIEW2",#N/A,FALSE,"P&amp;L Account 2001-2002";"VIEW3",#N/A,FALSE,"P&amp;L Account 2001-2002";"VIEW4",#N/A,FALSE,"P&amp;L Account 2001-2002"}</definedName>
    <definedName name="FFINANCE">#REF!</definedName>
    <definedName name="FFINR">#REF!</definedName>
    <definedName name="FFr" localSheetId="0">#REF!</definedName>
    <definedName name="FFr">#REF!</definedName>
    <definedName name="FFr00" localSheetId="0">#REF!</definedName>
    <definedName name="FFr00">#REF!</definedName>
    <definedName name="FFUSD">#REF!</definedName>
    <definedName name="FFWW" localSheetId="25" hidden="1">{#N/A,#N/A,TRUE,"Front";#N/A,#N/A,TRUE,"Simple Letter";#N/A,#N/A,TRUE,"Inside";#N/A,#N/A,TRUE,"Contents";#N/A,#N/A,TRUE,"Basis";#N/A,#N/A,TRUE,"Inclusions";#N/A,#N/A,TRUE,"Exclusions";#N/A,#N/A,TRUE,"Areas";#N/A,#N/A,TRUE,"Summary";#N/A,#N/A,TRUE,"Detail"}</definedName>
    <definedName name="FFWW" localSheetId="5" hidden="1">{#N/A,#N/A,TRUE,"Front";#N/A,#N/A,TRUE,"Simple Letter";#N/A,#N/A,TRUE,"Inside";#N/A,#N/A,TRUE,"Contents";#N/A,#N/A,TRUE,"Basis";#N/A,#N/A,TRUE,"Inclusions";#N/A,#N/A,TRUE,"Exclusions";#N/A,#N/A,TRUE,"Areas";#N/A,#N/A,TRUE,"Summary";#N/A,#N/A,TRUE,"Detail"}</definedName>
    <definedName name="FFWW" hidden="1">{#N/A,#N/A,TRUE,"Front";#N/A,#N/A,TRUE,"Simple Letter";#N/A,#N/A,TRUE,"Inside";#N/A,#N/A,TRUE,"Contents";#N/A,#N/A,TRUE,"Basis";#N/A,#N/A,TRUE,"Inclusions";#N/A,#N/A,TRUE,"Exclusions";#N/A,#N/A,TRUE,"Areas";#N/A,#N/A,TRUE,"Summary";#N/A,#N/A,TRUE,"Detail"}</definedName>
    <definedName name="fg" hidden="1">{"SLIPS",#N/A,FALSE,"Sheet1"}</definedName>
    <definedName name="FG46TBTB4RTDKDK">#REF!</definedName>
    <definedName name="fgdgchjgd">#REF!</definedName>
    <definedName name="FGGT5" localSheetId="0" hidden="1">{#N/A,#N/A,FALSE,"A"}</definedName>
    <definedName name="FGGT5" hidden="1">{#N/A,#N/A,FALSE,"A"}</definedName>
    <definedName name="fghfd" localSheetId="25" hidden="1">{#N/A,#N/A,FALSE,"Aging Summary";#N/A,#N/A,FALSE,"Ratio Analysis";#N/A,#N/A,FALSE,"Test 120 Day Accts";#N/A,#N/A,FALSE,"Tickmarks"}</definedName>
    <definedName name="fghfd" localSheetId="5" hidden="1">{#N/A,#N/A,FALSE,"Aging Summary";#N/A,#N/A,FALSE,"Ratio Analysis";#N/A,#N/A,FALSE,"Test 120 Day Accts";#N/A,#N/A,FALSE,"Tickmarks"}</definedName>
    <definedName name="fghfd" hidden="1">{#N/A,#N/A,FALSE,"Aging Summary";#N/A,#N/A,FALSE,"Ratio Analysis";#N/A,#N/A,FALSE,"Test 120 Day Accts";#N/A,#N/A,FALSE,"Tickmarks"}</definedName>
    <definedName name="FGHFDH"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25" hidden="1">{#N/A,#N/A,FALSE,"PGW"}</definedName>
    <definedName name="FGHFH" localSheetId="5" hidden="1">{#N/A,#N/A,FALSE,"PGW"}</definedName>
    <definedName name="FGHFH" hidden="1">{#N/A,#N/A,FALSE,"PGW"}</definedName>
    <definedName name="FGR53C11R63C11TB3RTCN">#REF!</definedName>
    <definedName name="FGR6C8R8C8TB4RTCN">#REF!</definedName>
    <definedName name="FGR6C9R8C9TB3RTCN">#REF!</definedName>
    <definedName name="FGROWTH">#REF!</definedName>
    <definedName name="fgsdfds" localSheetId="0">#REF!</definedName>
    <definedName name="fgsdfds">#REF!</definedName>
    <definedName name="FGSOUTMP">#N/A</definedName>
    <definedName name="FGSOUTPP">#N/A</definedName>
    <definedName name="FGVDFG" localSheetId="25" hidden="1">{#N/A,#N/A,FALSE,"Staffnos &amp; cost"}</definedName>
    <definedName name="FGVDFG" localSheetId="5" hidden="1">{#N/A,#N/A,FALSE,"Staffnos &amp; cost"}</definedName>
    <definedName name="FGVDFG" hidden="1">{#N/A,#N/A,FALSE,"Staffnos &amp; cost"}</definedName>
    <definedName name="fhfd" localSheetId="25" hidden="1">{#N/A,#N/A,FALSE,"Aging Summary";#N/A,#N/A,FALSE,"Ratio Analysis";#N/A,#N/A,FALSE,"Test 120 Day Accts";#N/A,#N/A,FALSE,"Tickmarks"}</definedName>
    <definedName name="fhfd" localSheetId="5" hidden="1">{#N/A,#N/A,FALSE,"Aging Summary";#N/A,#N/A,FALSE,"Ratio Analysis";#N/A,#N/A,FALSE,"Test 120 Day Accts";#N/A,#N/A,FALSE,"Tickmarks"}</definedName>
    <definedName name="fhfd" hidden="1">{#N/A,#N/A,FALSE,"Aging Summary";#N/A,#N/A,FALSE,"Ratio Analysis";#N/A,#N/A,FALSE,"Test 120 Day Accts";#N/A,#N/A,FALSE,"Tickmarks"}</definedName>
    <definedName name="fhh" localSheetId="25" hidden="1">{#N/A,#N/A,FALSE,"Balance Sheets";#N/A,#N/A,FALSE,"96 Conservative";#N/A,#N/A,FALSE,"96 Possible"}</definedName>
    <definedName name="fhh" localSheetId="0" hidden="1">{#N/A,#N/A,FALSE,"Balance Sheets";#N/A,#N/A,FALSE,"96 Conservative";#N/A,#N/A,FALSE,"96 Possible"}</definedName>
    <definedName name="fhh" localSheetId="5" hidden="1">{#N/A,#N/A,FALSE,"Balance Sheets";#N/A,#N/A,FALSE,"96 Conservative";#N/A,#N/A,FALSE,"96 Possible"}</definedName>
    <definedName name="fhh" hidden="1">{#N/A,#N/A,FALSE,"Balance Sheets";#N/A,#N/A,FALSE,"96 Conservative";#N/A,#N/A,FALSE,"96 Possible"}</definedName>
    <definedName name="fhhhh" localSheetId="25" hidden="1">{#N/A,#N/A,FALSE,"str_title";#N/A,#N/A,FALSE,"SUM";#N/A,#N/A,FALSE,"Scope";#N/A,#N/A,FALSE,"PIE-Jn";#N/A,#N/A,FALSE,"PIE-Jn_Hz";#N/A,#N/A,FALSE,"Liq_Plan";#N/A,#N/A,FALSE,"S_Curve";#N/A,#N/A,FALSE,"Liq_Prof";#N/A,#N/A,FALSE,"Man_Pwr";#N/A,#N/A,FALSE,"Man_Prof"}</definedName>
    <definedName name="fhhhh" localSheetId="0" hidden="1">{#N/A,#N/A,FALSE,"str_title";#N/A,#N/A,FALSE,"SUM";#N/A,#N/A,FALSE,"Scope";#N/A,#N/A,FALSE,"PIE-Jn";#N/A,#N/A,FALSE,"PIE-Jn_Hz";#N/A,#N/A,FALSE,"Liq_Plan";#N/A,#N/A,FALSE,"S_Curve";#N/A,#N/A,FALSE,"Liq_Prof";#N/A,#N/A,FALSE,"Man_Pwr";#N/A,#N/A,FALSE,"Man_Prof"}</definedName>
    <definedName name="fhhhh" localSheetId="5" hidden="1">{#N/A,#N/A,FALSE,"str_title";#N/A,#N/A,FALSE,"SUM";#N/A,#N/A,FALSE,"Scope";#N/A,#N/A,FALSE,"PIE-Jn";#N/A,#N/A,FALSE,"PIE-Jn_Hz";#N/A,#N/A,FALSE,"Liq_Plan";#N/A,#N/A,FALSE,"S_Curve";#N/A,#N/A,FALSE,"Liq_Prof";#N/A,#N/A,FALSE,"Man_Pwr";#N/A,#N/A,FALSE,"Man_Prof"}</definedName>
    <definedName name="fhhhh" hidden="1">{#N/A,#N/A,FALSE,"str_title";#N/A,#N/A,FALSE,"SUM";#N/A,#N/A,FALSE,"Scope";#N/A,#N/A,FALSE,"PIE-Jn";#N/A,#N/A,FALSE,"PIE-Jn_Hz";#N/A,#N/A,FALSE,"Liq_Plan";#N/A,#N/A,FALSE,"S_Curve";#N/A,#N/A,FALSE,"Liq_Prof";#N/A,#N/A,FALSE,"Man_Pwr";#N/A,#N/A,FALSE,"Man_Prof"}</definedName>
    <definedName name="FHJFJF"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#REF!</definedName>
    <definedName name="FIBOR">#REF!</definedName>
    <definedName name="FIELDS">#REF!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I">#REF!</definedName>
    <definedName name="FILE">#REF!</definedName>
    <definedName name="File.Type" hidden="1">#REF!</definedName>
    <definedName name="FileServer">"File Server"</definedName>
    <definedName name="FileServer_Grade">"C"</definedName>
    <definedName name="fill" hidden="1">#REF!</definedName>
    <definedName name="FIN">#REF!</definedName>
    <definedName name="final" localSheetId="0">#REF!</definedName>
    <definedName name="final">#REF!</definedName>
    <definedName name="final_milestone_payment">#REF!</definedName>
    <definedName name="FINANCE">#REF!</definedName>
    <definedName name="FinancecostPranav">#REF!</definedName>
    <definedName name="FinCharge" localSheetId="25">#REF!</definedName>
    <definedName name="FinCharge" localSheetId="0">#REF!</definedName>
    <definedName name="FinCharge" localSheetId="43">#REF!</definedName>
    <definedName name="FinCharge" localSheetId="5">#REF!</definedName>
    <definedName name="FinCharge">#REF!</definedName>
    <definedName name="FINCREASED">#REF!</definedName>
    <definedName name="FINCriteriaType">1</definedName>
    <definedName name="FINETOTHER">#REF!</definedName>
    <definedName name="FINETPPE">#REF!</definedName>
    <definedName name="FinishedGoods">#REF!,#REF!</definedName>
    <definedName name="FINTENSITY">#REF!</definedName>
    <definedName name="Fintotalline">#REF!</definedName>
    <definedName name="FINVESTMENT">#REF!</definedName>
    <definedName name="FINVESTYEARS">#REF!</definedName>
    <definedName name="FITTING">#N/A</definedName>
    <definedName name="five">#REF!</definedName>
    <definedName name="FIWORKING">#REF!</definedName>
    <definedName name="fix"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x"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XED">#REF!</definedName>
    <definedName name="Fixed_Asset_BS">#REF!</definedName>
    <definedName name="Fixed_asset_turns">#REF!</definedName>
    <definedName name="Fixed_asset_turns_DCF">#REF!</definedName>
    <definedName name="Fixed_Assets">#REF!</definedName>
    <definedName name="Fixed_Assets_Core">#REF!</definedName>
    <definedName name="Fixed_assets_DCF">#REF!</definedName>
    <definedName name="Fixed_Assets_Schedule">#REF!</definedName>
    <definedName name="Fixed_costs" localSheetId="0">#REF!</definedName>
    <definedName name="Fixed_costs">#REF!</definedName>
    <definedName name="FixedAssets" localSheetId="25"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localSheetId="0">#REF!</definedName>
    <definedName name="FixedAssets" localSheetId="5"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_it" hidden="1">#REF!</definedName>
    <definedName name="fixedassetss">#REF!</definedName>
    <definedName name="FixedExp">#REF!</definedName>
    <definedName name="fkkfkfkedf">#REF!</definedName>
    <definedName name="flash" hidden="1">#REF!</definedName>
    <definedName name="FLG">#REF!</definedName>
    <definedName name="FLG_Orifice">#REF!</definedName>
    <definedName name="FMARGIN">#REF!</definedName>
    <definedName name="FN3.1" localSheetId="0" hidden="1">#REF!</definedName>
    <definedName name="FN3.1" hidden="1">#REF!</definedName>
    <definedName name="FNETPPE">#REF!</definedName>
    <definedName name="FNOPLAT">#REF!</definedName>
    <definedName name="foex">#REF!</definedName>
    <definedName name="FOPERATING">#REF!</definedName>
    <definedName name="Force_out_sub12">#REF!</definedName>
    <definedName name="Forcedout_super56">#REF!</definedName>
    <definedName name="Forcedout_super789">#REF!</definedName>
    <definedName name="FORE_ALL">#REF!</definedName>
    <definedName name="Forecast_Year_end">#REF!</definedName>
    <definedName name="forex">#REF!</definedName>
    <definedName name="forex_gains_losses">#REF!</definedName>
    <definedName name="FORM_A_BS">#REF!</definedName>
    <definedName name="FORM_A_PL">#REF!</definedName>
    <definedName name="FORM_A_RA">#REF!</definedName>
    <definedName name="Formats">#REF!</definedName>
    <definedName name="formworkl" localSheetId="25" hidden="1">{#N/A,#N/A,TRUE,"Front";#N/A,#N/A,TRUE,"Simple Letter";#N/A,#N/A,TRUE,"Inside";#N/A,#N/A,TRUE,"Contents";#N/A,#N/A,TRUE,"Basis";#N/A,#N/A,TRUE,"Inclusions";#N/A,#N/A,TRUE,"Exclusions";#N/A,#N/A,TRUE,"Areas";#N/A,#N/A,TRUE,"Summary";#N/A,#N/A,TRUE,"Detail"}</definedName>
    <definedName name="formworkl" localSheetId="5" hidden="1">{#N/A,#N/A,TRUE,"Front";#N/A,#N/A,TRUE,"Simple Letter";#N/A,#N/A,TRUE,"Inside";#N/A,#N/A,TRUE,"Contents";#N/A,#N/A,TRUE,"Basis";#N/A,#N/A,TRUE,"Inclusions";#N/A,#N/A,TRUE,"Exclusions";#N/A,#N/A,TRUE,"Areas";#N/A,#N/A,TRUE,"Summary";#N/A,#N/A,TRUE,"Detail"}</definedName>
    <definedName name="formworkl" hidden="1">{#N/A,#N/A,TRUE,"Front";#N/A,#N/A,TRUE,"Simple Letter";#N/A,#N/A,TRUE,"Inside";#N/A,#N/A,TRUE,"Contents";#N/A,#N/A,TRUE,"Basis";#N/A,#N/A,TRUE,"Inclusions";#N/A,#N/A,TRUE,"Exclusions";#N/A,#N/A,TRUE,"Areas";#N/A,#N/A,TRUE,"Summary";#N/A,#N/A,TRUE,"Detail"}</definedName>
    <definedName name="forx95">#REF!</definedName>
    <definedName name="forx96">#REF!</definedName>
    <definedName name="forx97">#REF!</definedName>
    <definedName name="forx98">#REF!</definedName>
    <definedName name="forx99">#REF!</definedName>
    <definedName name="FOTHER">#REF!</definedName>
    <definedName name="FOXC" localSheetId="25" hidden="1">{#N/A,#N/A,TRUE,"Front";#N/A,#N/A,TRUE,"Simple Letter";#N/A,#N/A,TRUE,"Inside";#N/A,#N/A,TRUE,"Contents";#N/A,#N/A,TRUE,"Basis";#N/A,#N/A,TRUE,"Inclusions";#N/A,#N/A,TRUE,"Exclusions";#N/A,#N/A,TRUE,"Areas";#N/A,#N/A,TRUE,"Summary";#N/A,#N/A,TRUE,"Detail"}</definedName>
    <definedName name="FOXC" localSheetId="0" hidden="1">{#N/A,#N/A,TRUE,"Front";#N/A,#N/A,TRUE,"Simple Letter";#N/A,#N/A,TRUE,"Inside";#N/A,#N/A,TRUE,"Contents";#N/A,#N/A,TRUE,"Basis";#N/A,#N/A,TRUE,"Inclusions";#N/A,#N/A,TRUE,"Exclusions";#N/A,#N/A,TRUE,"Areas";#N/A,#N/A,TRUE,"Summary";#N/A,#N/A,TRUE,"Detail"}</definedName>
    <definedName name="FOXC" localSheetId="5" hidden="1">{#N/A,#N/A,TRUE,"Front";#N/A,#N/A,TRUE,"Simple Letter";#N/A,#N/A,TRUE,"Inside";#N/A,#N/A,TRUE,"Contents";#N/A,#N/A,TRUE,"Basis";#N/A,#N/A,TRUE,"Inclusions";#N/A,#N/A,TRUE,"Exclusions";#N/A,#N/A,TRUE,"Areas";#N/A,#N/A,TRUE,"Summary";#N/A,#N/A,TRUE,"Detail"}</definedName>
    <definedName name="FOXC" hidden="1">{#N/A,#N/A,TRUE,"Front";#N/A,#N/A,TRUE,"Simple Letter";#N/A,#N/A,TRUE,"Inside";#N/A,#N/A,TRUE,"Contents";#N/A,#N/A,TRUE,"Basis";#N/A,#N/A,TRUE,"Inclusions";#N/A,#N/A,TRUE,"Exclusions";#N/A,#N/A,TRUE,"Areas";#N/A,#N/A,TRUE,"Summary";#N/A,#N/A,TRUE,"Detail"}</definedName>
    <definedName name="FPREROIC">#REF!</definedName>
    <definedName name="FPY" localSheetId="0">#REF!</definedName>
    <definedName name="FPY">#REF!</definedName>
    <definedName name="fqfdq" hidden="1">#REF!</definedName>
    <definedName name="FR" localSheetId="0">#REF!</definedName>
    <definedName name="FR">#REF!</definedName>
    <definedName name="Free_cash_flow_yield">#REF!</definedName>
    <definedName name="Free_Reserves">#REF!</definedName>
    <definedName name="FreeOnMPer" localSheetId="0">#REF!</definedName>
    <definedName name="FreeOnMPer">#REF!</definedName>
    <definedName name="freight">#REF!</definedName>
    <definedName name="FREQS">#REF!</definedName>
    <definedName name="FRF" localSheetId="0">#REF!</definedName>
    <definedName name="FRF">#REF!</definedName>
    <definedName name="FRF_payments" localSheetId="0">#REF!</definedName>
    <definedName name="FRF_payments">#REF!</definedName>
    <definedName name="frgrr" localSheetId="25" hidden="1">{#N/A,#N/A,TRUE,"Front";#N/A,#N/A,TRUE,"Simple Letter";#N/A,#N/A,TRUE,"Inside";#N/A,#N/A,TRUE,"Contents";#N/A,#N/A,TRUE,"Basis";#N/A,#N/A,TRUE,"Inclusions";#N/A,#N/A,TRUE,"Exclusions";#N/A,#N/A,TRUE,"Areas";#N/A,#N/A,TRUE,"Summary";#N/A,#N/A,TRUE,"Detail"}</definedName>
    <definedName name="frgrr" localSheetId="5" hidden="1">{#N/A,#N/A,TRUE,"Front";#N/A,#N/A,TRUE,"Simple Letter";#N/A,#N/A,TRUE,"Inside";#N/A,#N/A,TRUE,"Contents";#N/A,#N/A,TRUE,"Basis";#N/A,#N/A,TRUE,"Inclusions";#N/A,#N/A,TRUE,"Exclusions";#N/A,#N/A,TRUE,"Areas";#N/A,#N/A,TRUE,"Summary";#N/A,#N/A,TRUE,"Detail"}</definedName>
    <definedName name="frgrr" hidden="1">{#N/A,#N/A,TRUE,"Front";#N/A,#N/A,TRUE,"Simple Letter";#N/A,#N/A,TRUE,"Inside";#N/A,#N/A,TRUE,"Contents";#N/A,#N/A,TRUE,"Basis";#N/A,#N/A,TRUE,"Inclusions";#N/A,#N/A,TRUE,"Exclusions";#N/A,#N/A,TRUE,"Areas";#N/A,#N/A,TRUE,"Summary";#N/A,#N/A,TRUE,"Detail"}</definedName>
    <definedName name="FROIC">#REF!</definedName>
    <definedName name="FROICYEARS">#REF!</definedName>
    <definedName name="frt" localSheetId="0">#REF!</definedName>
    <definedName name="frt" hidden="1">{#N/A,#N/A,FALSE,"Banksum";#N/A,#N/A,FALSE,"Banksum"}</definedName>
    <definedName name="fs" localSheetId="25" hidden="1">{"'Sheet1'!$L$16"}</definedName>
    <definedName name="fs" localSheetId="0" hidden="1">{"'Sheet1'!$L$16"}</definedName>
    <definedName name="fs" localSheetId="5" hidden="1">{"'Sheet1'!$L$16"}</definedName>
    <definedName name="fs" hidden="1">{"'Sheet1'!$L$16"}</definedName>
    <definedName name="fsafafs">#REF!</definedName>
    <definedName name="fsdfsf" localSheetId="25" hidden="1">{#N/A,#N/A,FALSE,"Aging Summary";#N/A,#N/A,FALSE,"Ratio Analysis";#N/A,#N/A,FALSE,"Test 120 Day Accts";#N/A,#N/A,FALSE,"Tickmarks"}</definedName>
    <definedName name="fsdfsf" localSheetId="5" hidden="1">{#N/A,#N/A,FALSE,"Aging Summary";#N/A,#N/A,FALSE,"Ratio Analysis";#N/A,#N/A,FALSE,"Test 120 Day Accts";#N/A,#N/A,FALSE,"Tickmarks"}</definedName>
    <definedName name="fsdfsf" hidden="1">{#N/A,#N/A,FALSE,"Aging Summary";#N/A,#N/A,FALSE,"Ratio Analysis";#N/A,#N/A,FALSE,"Test 120 Day Accts";#N/A,#N/A,FALSE,"Tickmarks"}</definedName>
    <definedName name="FSDS" hidden="1">{#N/A,#N/A,FALSE,"SUMMARY REPORT"}</definedName>
    <definedName name="fsdsd" localSheetId="25" hidden="1">{"a1",#N/A,FALSE,"Interest On Security Deposi (2)";"a2",#N/A,FALSE,"Interest On Security Deposi (2)"}</definedName>
    <definedName name="fsdsd" localSheetId="5" hidden="1">{"a1",#N/A,FALSE,"Interest On Security Deposi (2)";"a2",#N/A,FALSE,"Interest On Security Deposi (2)"}</definedName>
    <definedName name="fsdsd" hidden="1">{"a1",#N/A,FALSE,"Interest On Security Deposi (2)";"a2",#N/A,FALSE,"Interest On Security Deposi (2)"}</definedName>
    <definedName name="FSE" localSheetId="0" hidden="1">{"VIEW1",#N/A,FALSE,"P&amp;L Account 2001-2002";"VIEW2",#N/A,FALSE,"P&amp;L Account 2001-2002";"VIEW3",#N/A,FALSE,"P&amp;L Account 2001-2002";"VIEW4",#N/A,FALSE,"P&amp;L Account 2001-2002"}</definedName>
    <definedName name="FSE" hidden="1">{"VIEW1",#N/A,FALSE,"P&amp;L Account 2001-2002";"VIEW2",#N/A,FALSE,"P&amp;L Account 2001-2002";"VIEW3",#N/A,FALSE,"P&amp;L Account 2001-2002";"VIEW4",#N/A,FALSE,"P&amp;L Account 2001-2002"}</definedName>
    <definedName name="fsf">#REF!</definedName>
    <definedName name="fsffg">#REF!</definedName>
    <definedName name="fsfs">#REF!</definedName>
    <definedName name="fsfsgfs" localSheetId="0">#REF!</definedName>
    <definedName name="fsfsgfs">#REF!</definedName>
    <definedName name="FSG_A">#REF!</definedName>
    <definedName name="fssdzfzsdffzsdf">#REF!</definedName>
    <definedName name="FTURNOVER">#REF!</definedName>
    <definedName name="Fuel_Exp_CY" localSheetId="11">#REF!</definedName>
    <definedName name="Fuel_Exp_CY" localSheetId="13">#REF!</definedName>
    <definedName name="Fuel_Exp_CY" localSheetId="14">#REF!</definedName>
    <definedName name="Fuel_Exp_CY" localSheetId="40">#REF!</definedName>
    <definedName name="Fuel_Exp_CY" localSheetId="41">#REF!</definedName>
    <definedName name="Fuel_Exp_CY" localSheetId="60">#REF!</definedName>
    <definedName name="Fuel_Exp_CY" localSheetId="61">#REF!</definedName>
    <definedName name="Fuel_Exp_CY" localSheetId="62">#REF!</definedName>
    <definedName name="Fuel_Exp_CY" localSheetId="63">#REF!</definedName>
    <definedName name="Fuel_Exp_CY" localSheetId="64">#REF!</definedName>
    <definedName name="Fuel_Exp_CY" localSheetId="16">#REF!</definedName>
    <definedName name="Fuel_Exp_CY" localSheetId="17">#REF!</definedName>
    <definedName name="Fuel_Exp_CY" localSheetId="65">#REF!</definedName>
    <definedName name="Fuel_Exp_CY" localSheetId="26">#REF!</definedName>
    <definedName name="Fuel_Exp_CY" localSheetId="32">#REF!</definedName>
    <definedName name="Fuel_Exp_CY" localSheetId="33">#REF!</definedName>
    <definedName name="Fuel_Exp_CY" localSheetId="34">#REF!</definedName>
    <definedName name="Fuel_Exp_CY" localSheetId="35">#REF!</definedName>
    <definedName name="Fuel_Exp_CY">#REF!</definedName>
    <definedName name="Fuel_Exp_EY" localSheetId="11">#REF!</definedName>
    <definedName name="Fuel_Exp_EY" localSheetId="13">#REF!</definedName>
    <definedName name="Fuel_Exp_EY" localSheetId="14">#REF!</definedName>
    <definedName name="Fuel_Exp_EY" localSheetId="40">#REF!</definedName>
    <definedName name="Fuel_Exp_EY" localSheetId="41">#REF!</definedName>
    <definedName name="Fuel_Exp_EY" localSheetId="60">#REF!</definedName>
    <definedName name="Fuel_Exp_EY" localSheetId="61">#REF!</definedName>
    <definedName name="Fuel_Exp_EY" localSheetId="62">#REF!</definedName>
    <definedName name="Fuel_Exp_EY" localSheetId="63">#REF!</definedName>
    <definedName name="Fuel_Exp_EY" localSheetId="64">#REF!</definedName>
    <definedName name="Fuel_Exp_EY" localSheetId="16">#REF!</definedName>
    <definedName name="Fuel_Exp_EY" localSheetId="17">#REF!</definedName>
    <definedName name="Fuel_Exp_EY" localSheetId="65">#REF!</definedName>
    <definedName name="Fuel_Exp_EY" localSheetId="26">#REF!</definedName>
    <definedName name="Fuel_Exp_EY" localSheetId="32">#REF!</definedName>
    <definedName name="Fuel_Exp_EY" localSheetId="33">#REF!</definedName>
    <definedName name="Fuel_Exp_EY" localSheetId="34">#REF!</definedName>
    <definedName name="Fuel_Exp_EY" localSheetId="35">#REF!</definedName>
    <definedName name="Fuel_Exp_EY">#REF!</definedName>
    <definedName name="Fuel_exp_ey01">#REF!</definedName>
    <definedName name="Fuel_Exp_PY" localSheetId="11">#REF!</definedName>
    <definedName name="Fuel_Exp_PY" localSheetId="13">#REF!</definedName>
    <definedName name="Fuel_Exp_PY" localSheetId="14">#REF!</definedName>
    <definedName name="Fuel_Exp_PY" localSheetId="40">#REF!</definedName>
    <definedName name="Fuel_Exp_PY" localSheetId="41">#REF!</definedName>
    <definedName name="Fuel_Exp_PY" localSheetId="60">#REF!</definedName>
    <definedName name="Fuel_Exp_PY" localSheetId="61">#REF!</definedName>
    <definedName name="Fuel_Exp_PY" localSheetId="62">#REF!</definedName>
    <definedName name="Fuel_Exp_PY" localSheetId="63">#REF!</definedName>
    <definedName name="Fuel_Exp_PY" localSheetId="64">#REF!</definedName>
    <definedName name="Fuel_Exp_PY" localSheetId="16">#REF!</definedName>
    <definedName name="Fuel_Exp_PY" localSheetId="17">#REF!</definedName>
    <definedName name="Fuel_Exp_PY" localSheetId="65">#REF!</definedName>
    <definedName name="Fuel_Exp_PY" localSheetId="26">#REF!</definedName>
    <definedName name="Fuel_Exp_PY" localSheetId="32">#REF!</definedName>
    <definedName name="Fuel_Exp_PY" localSheetId="33">#REF!</definedName>
    <definedName name="Fuel_Exp_PY" localSheetId="34">#REF!</definedName>
    <definedName name="Fuel_Exp_PY" localSheetId="35">#REF!</definedName>
    <definedName name="Fuel_Exp_PY">#REF!</definedName>
    <definedName name="FUEL_TYPE">#REF!</definedName>
    <definedName name="FUELCOST" localSheetId="0">#REF!</definedName>
    <definedName name="FUELCOST">#REF!</definedName>
    <definedName name="full" localSheetId="25" hidden="1">{#N/A,#N/A,TRUE,"Front";#N/A,#N/A,TRUE,"Simple Letter";#N/A,#N/A,TRUE,"Inside";#N/A,#N/A,TRUE,"Contents";#N/A,#N/A,TRUE,"Basis";#N/A,#N/A,TRUE,"Inclusions";#N/A,#N/A,TRUE,"Exclusions";#N/A,#N/A,TRUE,"Areas";#N/A,#N/A,TRUE,"Summary";#N/A,#N/A,TRUE,"Detail"}</definedName>
    <definedName name="FULL" localSheetId="0">#REF!</definedName>
    <definedName name="full" localSheetId="5" hidden="1">{#N/A,#N/A,TRUE,"Front";#N/A,#N/A,TRUE,"Simple Letter";#N/A,#N/A,TRUE,"Inside";#N/A,#N/A,TRUE,"Contents";#N/A,#N/A,TRUE,"Basis";#N/A,#N/A,TRUE,"Inclusions";#N/A,#N/A,TRUE,"Exclusions";#N/A,#N/A,TRUE,"Areas";#N/A,#N/A,TRUE,"Summary";#N/A,#N/A,TRUE,"Detail"}</definedName>
    <definedName name="full" hidden="1">{#N/A,#N/A,TRUE,"Front";#N/A,#N/A,TRUE,"Simple Letter";#N/A,#N/A,TRUE,"Inside";#N/A,#N/A,TRUE,"Contents";#N/A,#N/A,TRUE,"Basis";#N/A,#N/A,TRUE,"Inclusions";#N/A,#N/A,TRUE,"Exclusions";#N/A,#N/A,TRUE,"Areas";#N/A,#N/A,TRUE,"Summary";#N/A,#N/A,TRUE,"Detail"}</definedName>
    <definedName name="FULL_PG1" localSheetId="0">#REF!</definedName>
    <definedName name="FULL_PG1">#REF!</definedName>
    <definedName name="FULL_PRINT">#REF!</definedName>
    <definedName name="FULL_REPORT">#REF!</definedName>
    <definedName name="FULL2001" localSheetId="0">#REF!</definedName>
    <definedName name="FULL2001">#REF!</definedName>
    <definedName name="fullname">#REF!</definedName>
    <definedName name="fully_diluted_earnings">#REF!</definedName>
    <definedName name="fully_diluted_shares">#REF!</definedName>
    <definedName name="Function" localSheetId="0">#REF!</definedName>
    <definedName name="Function">#REF!</definedName>
    <definedName name="fund" localSheetId="25" hidden="1">{#N/A,#N/A,FALSE,"Aging Summary";#N/A,#N/A,FALSE,"Ratio Analysis";#N/A,#N/A,FALSE,"Test 120 Day Accts";#N/A,#N/A,FALSE,"Tickmarks"}</definedName>
    <definedName name="FUND" localSheetId="0">#REF!</definedName>
    <definedName name="fund" localSheetId="5" hidden="1">{#N/A,#N/A,FALSE,"Aging Summary";#N/A,#N/A,FALSE,"Ratio Analysis";#N/A,#N/A,FALSE,"Test 120 Day Accts";#N/A,#N/A,FALSE,"Tickmarks"}</definedName>
    <definedName name="fund" hidden="1">{#N/A,#N/A,FALSE,"Aging Summary";#N/A,#N/A,FALSE,"Ratio Analysis";#N/A,#N/A,FALSE,"Test 120 Day Accts";#N/A,#N/A,FALSE,"Tickmarks"}</definedName>
    <definedName name="FURNITURE_ES_TA">#REF!</definedName>
    <definedName name="FURNITURE_ES_TD">#REF!</definedName>
    <definedName name="FURNITURE_GEN_TA">#REF!</definedName>
    <definedName name="FURNITURE_GEN_TD">#REF!</definedName>
    <definedName name="fw" localSheetId="25" hidden="1">{"a1",#N/A,FALSE,"Interest On Security Deposi (2)";"a2",#N/A,FALSE,"Interest On Security Deposi (2)"}</definedName>
    <definedName name="fw" localSheetId="5" hidden="1">{"a1",#N/A,FALSE,"Interest On Security Deposi (2)";"a2",#N/A,FALSE,"Interest On Security Deposi (2)"}</definedName>
    <definedName name="fw" hidden="1">{"a1",#N/A,FALSE,"Interest On Security Deposi (2)";"a2",#N/A,FALSE,"Interest On Security Deposi (2)"}</definedName>
    <definedName name="fwef" localSheetId="25" hidden="1">{#N/A,#N/A,FALSE,"OSBL"}</definedName>
    <definedName name="fwef" localSheetId="5" hidden="1">{#N/A,#N/A,FALSE,"OSBL"}</definedName>
    <definedName name="fwef" hidden="1">{#N/A,#N/A,FALSE,"OSBL"}</definedName>
    <definedName name="fweferg" localSheetId="0">#REF!</definedName>
    <definedName name="fweferg">#REF!</definedName>
    <definedName name="FWORKING">#REF!</definedName>
    <definedName name="fx">#REF!</definedName>
    <definedName name="FXRATE96">#REF!</definedName>
    <definedName name="FXRATE97">#REF!</definedName>
    <definedName name="FXRATE98">#REF!</definedName>
    <definedName name="FXRATE99">#REF!</definedName>
    <definedName name="fy">#REF!</definedName>
    <definedName name="FY1994_">#REF!</definedName>
    <definedName name="FY1995_">#REF!</definedName>
    <definedName name="FY1996_">#REF!</definedName>
    <definedName name="FY1997_">#REF!</definedName>
    <definedName name="FY1998_">#REF!</definedName>
    <definedName name="FY1999_">#REF!</definedName>
    <definedName name="fy1i3">#REF!</definedName>
    <definedName name="FY2000_">#REF!</definedName>
    <definedName name="FY2001_">#REF!</definedName>
    <definedName name="FY2002_">#REF!</definedName>
    <definedName name="FY2003_">#REF!</definedName>
    <definedName name="FY2004_">#REF!</definedName>
    <definedName name="FY2005_">#REF!</definedName>
    <definedName name="FYEnd">#REF!</definedName>
    <definedName name="G" localSheetId="0">#N/A</definedName>
    <definedName name="g">#REF!</definedName>
    <definedName name="G_">#REF!</definedName>
    <definedName name="g___0">#N/A</definedName>
    <definedName name="g___8">#N/A</definedName>
    <definedName name="G_1">#REF!</definedName>
    <definedName name="G_P_P">#N/A</definedName>
    <definedName name="G083BAAN1">#REF!</definedName>
    <definedName name="ga">#REF!</definedName>
    <definedName name="gaga">#REF!</definedName>
    <definedName name="gagan" hidden="1">#REF!</definedName>
    <definedName name="gahZh">#REF!</definedName>
    <definedName name="gain96">#REF!</definedName>
    <definedName name="gain97">#REF!</definedName>
    <definedName name="gain98">#REF!</definedName>
    <definedName name="gain99">#REF!</definedName>
    <definedName name="GainLoss">#REF!</definedName>
    <definedName name="gajkahuah">#REF!</definedName>
    <definedName name="gand" localSheetId="0" hidden="1">{"VIEW1",#N/A,FALSE,"P&amp;L Account 2001-2002";"VIEW2",#N/A,FALSE,"P&amp;L Account 2001-2002";"VIEW3",#N/A,FALSE,"P&amp;L Account 2001-2002";"VIEW4",#N/A,FALSE,"P&amp;L Account 2001-2002"}</definedName>
    <definedName name="gand" hidden="1">{"VIEW1",#N/A,FALSE,"P&amp;L Account 2001-2002";"VIEW2",#N/A,FALSE,"P&amp;L Account 2001-2002";"VIEW3",#N/A,FALSE,"P&amp;L Account 2001-2002";"VIEW4",#N/A,FALSE,"P&amp;L Account 2001-2002"}</definedName>
    <definedName name="Gas_maintenance_capex">#REF!</definedName>
    <definedName name="GASDFG" localSheetId="25" hidden="1">{#N/A,#N/A,TRUE,"Staffnos &amp; cost"}</definedName>
    <definedName name="GASDFG" localSheetId="5" hidden="1">{#N/A,#N/A,TRUE,"Staffnos &amp; cost"}</definedName>
    <definedName name="GASDFG" hidden="1">{#N/A,#N/A,TRUE,"Staffnos &amp; cost"}</definedName>
    <definedName name="gasgdskhdu">#REF!,#REF!</definedName>
    <definedName name="gate">#REF!</definedName>
    <definedName name="GBALANCE">#REF!</definedName>
    <definedName name="GBP" localSheetId="0">#REF!</definedName>
    <definedName name="GBP">#REF!</definedName>
    <definedName name="GBP_payments" localSheetId="0">#REF!</definedName>
    <definedName name="GBP_payments">#REF!</definedName>
    <definedName name="GCAP_INVEST">#REF!</definedName>
    <definedName name="GDF" localSheetId="25" hidden="1">{#N/A,#N/A,FALSE,"COMP"}</definedName>
    <definedName name="GDF" localSheetId="5" hidden="1">{#N/A,#N/A,FALSE,"COMP"}</definedName>
    <definedName name="GDF" hidden="1">{#N/A,#N/A,FALSE,"COMP"}</definedName>
    <definedName name="gdfgg">#REF!</definedName>
    <definedName name="gdgdf" localSheetId="25" hidden="1">{"multiple",#N/A,FALSE,"client (2)";"margins",#N/A,FALSE,"client (2)";"data",#N/A,FALSE,"client (2)";"multiple",#N/A,FALSE,"client";"margins",#N/A,FALSE,"client";"data",#N/A,FALSE,"client"}</definedName>
    <definedName name="gdgdf" localSheetId="5" hidden="1">{"multiple",#N/A,FALSE,"client (2)";"margins",#N/A,FALSE,"client (2)";"data",#N/A,FALSE,"client (2)";"multiple",#N/A,FALSE,"client";"margins",#N/A,FALSE,"client";"data",#N/A,FALSE,"client"}</definedName>
    <definedName name="gdgdf" hidden="1">{"multiple",#N/A,FALSE,"client (2)";"margins",#N/A,FALSE,"client (2)";"data",#N/A,FALSE,"client (2)";"multiple",#N/A,FALSE,"client";"margins",#N/A,FALSE,"client";"data",#N/A,FALSE,"client"}</definedName>
    <definedName name="gdgfg">#REF!,#REF!</definedName>
    <definedName name="gdsfgsdfg" localSheetId="25" hidden="1">{"FCB_ALL",#N/A,FALSE,"FCB";"GREY_ALL",#N/A,FALSE,"GREY"}</definedName>
    <definedName name="gdsfgsdfg" localSheetId="5" hidden="1">{"FCB_ALL",#N/A,FALSE,"FCB";"GREY_ALL",#N/A,FALSE,"GREY"}</definedName>
    <definedName name="gdsfgsdfg" hidden="1">{"FCB_ALL",#N/A,FALSE,"FCB";"GREY_ALL",#N/A,FALSE,"GREY"}</definedName>
    <definedName name="gdsgds" localSheetId="25" hidden="1">{"FCB_ALL",#N/A,FALSE,"FCB";"GREY_ALL",#N/A,FALSE,"GREY"}</definedName>
    <definedName name="gdsgds" localSheetId="5" hidden="1">{"FCB_ALL",#N/A,FALSE,"FCB";"GREY_ALL",#N/A,FALSE,"GREY"}</definedName>
    <definedName name="gdsgds" hidden="1">{"FCB_ALL",#N/A,FALSE,"FCB";"GREY_ALL",#N/A,FALSE,"GREY"}</definedName>
    <definedName name="ge" localSheetId="25" hidden="1">{#N/A,#N/A,FALSE,"EW"}</definedName>
    <definedName name="ge" localSheetId="5" hidden="1">{#N/A,#N/A,FALSE,"EW"}</definedName>
    <definedName name="ge" hidden="1">{#N/A,#N/A,FALSE,"EW"}</definedName>
    <definedName name="geg">#REF!</definedName>
    <definedName name="GENERAL">#REF!</definedName>
    <definedName name="GENERATION" localSheetId="0">#REF!</definedName>
    <definedName name="GENERATION">#REF!</definedName>
    <definedName name="GENPUF" localSheetId="0">#REF!</definedName>
    <definedName name="GENPUF">#REF!</definedName>
    <definedName name="GEOG">#REF!</definedName>
    <definedName name="geogsp">"Chart 2"</definedName>
    <definedName name="gf" localSheetId="0">#REF!</definedName>
    <definedName name="gf" hidden="1">{#N/A,#N/A,FALSE,"Banksum";#N/A,#N/A,FALSE,"Banksum"}</definedName>
    <definedName name="gfdashgsfs">#REF!</definedName>
    <definedName name="gfgf"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gfgf"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gfg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gfhgh" hidden="1">{#N/A,#N/A,FALSE,"SUMMARY REPORT"}</definedName>
    <definedName name="GFINANCE">#REF!</definedName>
    <definedName name="GFNFGJH" localSheetId="25" hidden="1">{#N/A,#N/A,FALSE,"TOWNSHIP"}</definedName>
    <definedName name="GFNFGJH" localSheetId="5" hidden="1">{#N/A,#N/A,FALSE,"TOWNSHIP"}</definedName>
    <definedName name="GFNFGJH" hidden="1">{#N/A,#N/A,FALSE,"TOWNSHIP"}</definedName>
    <definedName name="GFORECAST">#REF!</definedName>
    <definedName name="GFREE_CASH">#REF!</definedName>
    <definedName name="gg" localSheetId="25" hidden="1">{#N/A,#N/A,FALSE,"COVER1.XLS ";#N/A,#N/A,FALSE,"RACT1.XLS";#N/A,#N/A,FALSE,"RACT2.XLS";#N/A,#N/A,FALSE,"ECCMP";#N/A,#N/A,FALSE,"WELDER.XLS"}</definedName>
    <definedName name="gg" localSheetId="0">#REF!</definedName>
    <definedName name="gg" localSheetId="5" hidden="1">{#N/A,#N/A,FALSE,"COVER1.XLS ";#N/A,#N/A,FALSE,"RACT1.XLS";#N/A,#N/A,FALSE,"RACT2.XLS";#N/A,#N/A,FALSE,"ECCMP";#N/A,#N/A,FALSE,"WELDER.XLS"}</definedName>
    <definedName name="gg" hidden="1">{#N/A,#N/A,FALSE,"COVER1.XLS ";#N/A,#N/A,FALSE,"RACT1.XLS";#N/A,#N/A,FALSE,"RACT2.XLS";#N/A,#N/A,FALSE,"ECCMP";#N/A,#N/A,FALSE,"WELDER.XLS"}</definedName>
    <definedName name="ggf" localSheetId="0" hidden="1">{#N/A,#N/A,FALSE,"Banksum";#N/A,#N/A,FALSE,"Banksum"}</definedName>
    <definedName name="ggf" hidden="1">{#N/A,#N/A,FALSE,"Banksum";#N/A,#N/A,FALSE,"Banksum"}</definedName>
    <definedName name="GGG"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g" localSheetId="0">#REF!</definedName>
    <definedName name="GGG"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GG" localSheetId="0" hidden="1">{"VIEW1",#N/A,FALSE,"P&amp;L Account 2001-2002";"VIEW2",#N/A,FALSE,"P&amp;L Account 2001-2002";"VIEW3",#N/A,FALSE,"P&amp;L Account 2001-2002";"VIEW4",#N/A,FALSE,"P&amp;L Account 2001-2002"}</definedName>
    <definedName name="GGGG" hidden="1">{"VIEW1",#N/A,FALSE,"P&amp;L Account 2001-2002";"VIEW2",#N/A,FALSE,"P&amp;L Account 2001-2002";"VIEW3",#N/A,FALSE,"P&amp;L Account 2001-2002";"VIEW4",#N/A,FALSE,"P&amp;L Account 2001-2002"}</definedName>
    <definedName name="ggggg"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ggggg"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gggggggg">#REF!</definedName>
    <definedName name="gggggggggggg" hidden="1">#REF!</definedName>
    <definedName name="gh" hidden="1">{"SALARY",#N/A,FALSE,"SALARY95"}</definedName>
    <definedName name="ghdfhfg" localSheetId="0">#REF!</definedName>
    <definedName name="ghdfhfg">#REF!</definedName>
    <definedName name="ghf">#REF!</definedName>
    <definedName name="ghhfh">#REF!</definedName>
    <definedName name="ghj" hidden="1">{"SLIPS",#N/A,FALSE,"Sheet1"}</definedName>
    <definedName name="ghjkfgdch" localSheetId="0" hidden="1">{"VIEW1",#N/A,FALSE,"P&amp;L Account 2001-2002";"VIEW2",#N/A,FALSE,"P&amp;L Account 2001-2002";"VIEW3",#N/A,FALSE,"P&amp;L Account 2001-2002";"VIEW4",#N/A,FALSE,"P&amp;L Account 2001-2002"}</definedName>
    <definedName name="ghjkfgdch" hidden="1">{"VIEW1",#N/A,FALSE,"P&amp;L Account 2001-2002";"VIEW2",#N/A,FALSE,"P&amp;L Account 2001-2002";"VIEW3",#N/A,FALSE,"P&amp;L Account 2001-2002";"VIEW4",#N/A,FALSE,"P&amp;L Account 2001-2002"}</definedName>
    <definedName name="GHJTI" localSheetId="25" hidden="1">{#N/A,#N/A,FALSE,"FREE"}</definedName>
    <definedName name="GHJTI" localSheetId="5" hidden="1">{#N/A,#N/A,FALSE,"FREE"}</definedName>
    <definedName name="GHJTI" hidden="1">{#N/A,#N/A,FALSE,"FREE"}</definedName>
    <definedName name="ghnjgf" localSheetId="25" hidden="1">{#N/A,#N/A,TRUE,"Front";#N/A,#N/A,TRUE,"Simple Letter";#N/A,#N/A,TRUE,"Inside";#N/A,#N/A,TRUE,"Contents";#N/A,#N/A,TRUE,"Basis";#N/A,#N/A,TRUE,"Inclusions";#N/A,#N/A,TRUE,"Exclusions";#N/A,#N/A,TRUE,"Areas";#N/A,#N/A,TRUE,"Summary";#N/A,#N/A,TRUE,"Detail"}</definedName>
    <definedName name="ghnjgf" localSheetId="5" hidden="1">{#N/A,#N/A,TRUE,"Front";#N/A,#N/A,TRUE,"Simple Letter";#N/A,#N/A,TRUE,"Inside";#N/A,#N/A,TRUE,"Contents";#N/A,#N/A,TRUE,"Basis";#N/A,#N/A,TRUE,"Inclusions";#N/A,#N/A,TRUE,"Exclusions";#N/A,#N/A,TRUE,"Areas";#N/A,#N/A,TRUE,"Summary";#N/A,#N/A,TRUE,"Detail"}</definedName>
    <definedName name="ghnjgf" hidden="1">{#N/A,#N/A,TRUE,"Front";#N/A,#N/A,TRUE,"Simple Letter";#N/A,#N/A,TRUE,"Inside";#N/A,#N/A,TRUE,"Contents";#N/A,#N/A,TRUE,"Basis";#N/A,#N/A,TRUE,"Inclusions";#N/A,#N/A,TRUE,"Exclusions";#N/A,#N/A,TRUE,"Areas";#N/A,#N/A,TRUE,"Summary";#N/A,#N/A,TRUE,"Detail"}</definedName>
    <definedName name="gid" localSheetId="25" hidden="1">{"'Sheet1'!$L$16"}</definedName>
    <definedName name="gid" localSheetId="0" hidden="1">{"'Sheet1'!$L$16"}</definedName>
    <definedName name="gid" localSheetId="5" hidden="1">{"'Sheet1'!$L$16"}</definedName>
    <definedName name="gid" hidden="1">{"'Sheet1'!$L$16"}</definedName>
    <definedName name="GINCOME">#REF!</definedName>
    <definedName name="gj" localSheetId="25" hidden="1">{"'Sheet1'!$L$16"}</definedName>
    <definedName name="gj" localSheetId="0" hidden="1">{"'Sheet1'!$L$16"}</definedName>
    <definedName name="gj" localSheetId="5" hidden="1">{"'Sheet1'!$L$16"}</definedName>
    <definedName name="gj" hidden="1">{"'Sheet1'!$L$16"}</definedName>
    <definedName name="gjjjj">#REF!</definedName>
    <definedName name="gjk" hidden="1">{"SALARY",#N/A,FALSE,"SALARY95"}</definedName>
    <definedName name="GK">#REF!</definedName>
    <definedName name="GK_RESULTS">#REF!</definedName>
    <definedName name="gk0901int" localSheetId="25" hidden="1">{#N/A,#N/A,FALSE,"PMTABB";#N/A,#N/A,FALSE,"PMTABB"}</definedName>
    <definedName name="gk0901int" localSheetId="0" hidden="1">{#N/A,#N/A,FALSE,"PMTABB";#N/A,#N/A,FALSE,"PMTABB"}</definedName>
    <definedName name="gk0901int" localSheetId="5" hidden="1">{#N/A,#N/A,FALSE,"PMTABB";#N/A,#N/A,FALSE,"PMTABB"}</definedName>
    <definedName name="gk0901int" hidden="1">{#N/A,#N/A,FALSE,"PMTABB";#N/A,#N/A,FALSE,"PMTABB"}</definedName>
    <definedName name="gkd" localSheetId="25" hidden="1">{"'Sheet1'!$L$16"}</definedName>
    <definedName name="gkd" localSheetId="0" hidden="1">{"'Sheet1'!$L$16"}</definedName>
    <definedName name="gkd" localSheetId="5" hidden="1">{"'Sheet1'!$L$16"}</definedName>
    <definedName name="gkd" hidden="1">{"'Sheet1'!$L$16"}</definedName>
    <definedName name="GL">#REF!</definedName>
    <definedName name="GLANCE">#REF!</definedName>
    <definedName name="globe">#REF!</definedName>
    <definedName name="GNOPLAT">#REF!</definedName>
    <definedName name="gnr">#REF!</definedName>
    <definedName name="goa">#REF!</definedName>
    <definedName name="GoBack" localSheetId="0">#REF!</definedName>
    <definedName name="GoBack">#REF!</definedName>
    <definedName name="Goodwill_Amort">#REF!</definedName>
    <definedName name="GOPERATING">#REF!</definedName>
    <definedName name="gopi" localSheetId="25" hidden="1">{#N/A,#N/A,FALSE,"consu_cover";#N/A,#N/A,FALSE,"consu_strategy";#N/A,#N/A,FALSE,"consu_flow";#N/A,#N/A,FALSE,"Summary_reqmt";#N/A,#N/A,FALSE,"field_ppg";#N/A,#N/A,FALSE,"ppg_shop";#N/A,#N/A,FALSE,"strl";#N/A,#N/A,FALSE,"tankages";#N/A,#N/A,FALSE,"gases"}</definedName>
    <definedName name="gopi" localSheetId="0" hidden="1">{#N/A,#N/A,FALSE,"consu_cover";#N/A,#N/A,FALSE,"consu_strategy";#N/A,#N/A,FALSE,"consu_flow";#N/A,#N/A,FALSE,"Summary_reqmt";#N/A,#N/A,FALSE,"field_ppg";#N/A,#N/A,FALSE,"ppg_shop";#N/A,#N/A,FALSE,"strl";#N/A,#N/A,FALSE,"tankages";#N/A,#N/A,FALSE,"gases"}</definedName>
    <definedName name="gopi" localSheetId="5" hidden="1">{#N/A,#N/A,FALSE,"consu_cover";#N/A,#N/A,FALSE,"consu_strategy";#N/A,#N/A,FALSE,"consu_flow";#N/A,#N/A,FALSE,"Summary_reqmt";#N/A,#N/A,FALSE,"field_ppg";#N/A,#N/A,FALSE,"ppg_shop";#N/A,#N/A,FALSE,"strl";#N/A,#N/A,FALSE,"tankages";#N/A,#N/A,FALSE,"gases"}</definedName>
    <definedName name="gopi" hidden="1">{#N/A,#N/A,FALSE,"consu_cover";#N/A,#N/A,FALSE,"consu_strategy";#N/A,#N/A,FALSE,"consu_flow";#N/A,#N/A,FALSE,"Summary_reqmt";#N/A,#N/A,FALSE,"field_ppg";#N/A,#N/A,FALSE,"ppg_shop";#N/A,#N/A,FALSE,"strl";#N/A,#N/A,FALSE,"tankages";#N/A,#N/A,FALSE,"gases"}</definedName>
    <definedName name="GP" localSheetId="0">#REF!</definedName>
    <definedName name="gp" hidden="1">{"VIEW1",#N/A,FALSE,"P&amp;L Account 2001-2002";"VIEW2",#N/A,FALSE,"P&amp;L Account 2001-2002";"VIEW3",#N/A,FALSE,"P&amp;L Account 2001-2002";"VIEW4",#N/A,FALSE,"P&amp;L Account 2001-2002"}</definedName>
    <definedName name="gqarefg" localSheetId="25" hidden="1">{#N/A,#N/A,FALSE,"PMTABB";#N/A,#N/A,FALSE,"PMTABB"}</definedName>
    <definedName name="gqarefg" localSheetId="5" hidden="1">{#N/A,#N/A,FALSE,"PMTABB";#N/A,#N/A,FALSE,"PMTABB"}</definedName>
    <definedName name="gqarefg" hidden="1">{#N/A,#N/A,FALSE,"PMTABB";#N/A,#N/A,FALSE,"PMTABB"}</definedName>
    <definedName name="GR" localSheetId="0">#REF!</definedName>
    <definedName name="GR" localSheetId="11">#REF!</definedName>
    <definedName name="GR" localSheetId="13">#REF!</definedName>
    <definedName name="GR" localSheetId="16">#REF!</definedName>
    <definedName name="GR" localSheetId="26">#REF!</definedName>
    <definedName name="GR" localSheetId="32">#REF!</definedName>
    <definedName name="GR" localSheetId="33">#REF!</definedName>
    <definedName name="GR" localSheetId="34">#REF!</definedName>
    <definedName name="GR" localSheetId="35">#REF!</definedName>
    <definedName name="GR">#REF!</definedName>
    <definedName name="GR_NO">#N/A</definedName>
    <definedName name="Grade">"C"</definedName>
    <definedName name="Grade_Level">"Grade "</definedName>
    <definedName name="graph" hidden="1">#REF!</definedName>
    <definedName name="GRAPH_A" hidden="1">#REF!</definedName>
    <definedName name="GRATUITY" hidden="1">#REF!</definedName>
    <definedName name="GRNO" localSheetId="0">#REF!</definedName>
    <definedName name="GRNO">#REF!</definedName>
    <definedName name="gross_fixed_assets">#REF!</definedName>
    <definedName name="Gross_income">#REF!</definedName>
    <definedName name="Gross_margin" localSheetId="0">#REF!</definedName>
    <definedName name="Gross_margin">#REF!</definedName>
    <definedName name="Gross_Margin___Rs_M">#REF!</definedName>
    <definedName name="gross_sales">#REF!</definedName>
    <definedName name="GrossBlock">#REF!</definedName>
    <definedName name="GrossTB">#REF!</definedName>
    <definedName name="GROUP1">#N/A</definedName>
    <definedName name="GROUP10" localSheetId="0">#REF!</definedName>
    <definedName name="GROUP10">#REF!</definedName>
    <definedName name="GROUP11" localSheetId="0">#REF!</definedName>
    <definedName name="GROUP11">#REF!</definedName>
    <definedName name="GROUP12" localSheetId="0">#REF!</definedName>
    <definedName name="GROUP12">#REF!</definedName>
    <definedName name="GROUP13" localSheetId="0">#REF!</definedName>
    <definedName name="GROUP13">#REF!</definedName>
    <definedName name="GROUP14" localSheetId="0">#REF!</definedName>
    <definedName name="GROUP14">#REF!</definedName>
    <definedName name="GROUP15" localSheetId="0">#REF!</definedName>
    <definedName name="GROUP15">#REF!</definedName>
    <definedName name="GROUP2">#N/A</definedName>
    <definedName name="GROUP3">#N/A</definedName>
    <definedName name="GROUP4">#N/A</definedName>
    <definedName name="GROUP5">#N/A</definedName>
    <definedName name="GROUP6">#N/A</definedName>
    <definedName name="GROUP7">#N/A</definedName>
    <definedName name="GROUP8">#N/A</definedName>
    <definedName name="GROUP9" localSheetId="0">#REF!</definedName>
    <definedName name="GROUP9">#REF!</definedName>
    <definedName name="Growth_99">#REF!</definedName>
    <definedName name="GRPCO3011">#REF!</definedName>
    <definedName name="GrphActSales">#REF!</definedName>
    <definedName name="GrphActStk">#REF!</definedName>
    <definedName name="GrphPlanSales">#REF!</definedName>
    <definedName name="GrphTgtStk">#REF!</definedName>
    <definedName name="gsdgd" localSheetId="25" hidden="1">{"multiple",#N/A,FALSE,"client (4)";"margins",#N/A,FALSE,"client (4)";"data",#N/A,FALSE,"client (4)"}</definedName>
    <definedName name="gsdgd" localSheetId="5" hidden="1">{"multiple",#N/A,FALSE,"client (4)";"margins",#N/A,FALSE,"client (4)";"data",#N/A,FALSE,"client (4)"}</definedName>
    <definedName name="gsdgd" hidden="1">{"multiple",#N/A,FALSE,"client (4)";"margins",#N/A,FALSE,"client (4)";"data",#N/A,FALSE,"client (4)"}</definedName>
    <definedName name="gsfdgds" localSheetId="25" hidden="1">{#N/A,#N/A,FALSE,"Aging Summary";#N/A,#N/A,FALSE,"Ratio Analysis";#N/A,#N/A,FALSE,"Test 120 Day Accts";#N/A,#N/A,FALSE,"Tickmarks"}</definedName>
    <definedName name="gsfdgds" localSheetId="5" hidden="1">{#N/A,#N/A,FALSE,"Aging Summary";#N/A,#N/A,FALSE,"Ratio Analysis";#N/A,#N/A,FALSE,"Test 120 Day Accts";#N/A,#N/A,FALSE,"Tickmarks"}</definedName>
    <definedName name="gsfdgds" hidden="1">{#N/A,#N/A,FALSE,"Aging Summary";#N/A,#N/A,FALSE,"Ratio Analysis";#N/A,#N/A,FALSE,"Test 120 Day Accts";#N/A,#N/A,FALSE,"Tickmarks"}</definedName>
    <definedName name="gsfds" localSheetId="2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localSheetId="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jgshgs">#REF!</definedName>
    <definedName name="GSUP_CALC">#REF!</definedName>
    <definedName name="gt" localSheetId="25" hidden="1">{#N/A,#N/A,FALSE,"str_title";#N/A,#N/A,FALSE,"SUM";#N/A,#N/A,FALSE,"Scope";#N/A,#N/A,FALSE,"PIE-Jn";#N/A,#N/A,FALSE,"PIE-Jn_Hz";#N/A,#N/A,FALSE,"Liq_Plan";#N/A,#N/A,FALSE,"S_Curve";#N/A,#N/A,FALSE,"Liq_Prof";#N/A,#N/A,FALSE,"Man_Pwr";#N/A,#N/A,FALSE,"Man_Prof"}</definedName>
    <definedName name="gt" localSheetId="5" hidden="1">{#N/A,#N/A,FALSE,"str_title";#N/A,#N/A,FALSE,"SUM";#N/A,#N/A,FALSE,"Scope";#N/A,#N/A,FALSE,"PIE-Jn";#N/A,#N/A,FALSE,"PIE-Jn_Hz";#N/A,#N/A,FALSE,"Liq_Plan";#N/A,#N/A,FALSE,"S_Curve";#N/A,#N/A,FALSE,"Liq_Prof";#N/A,#N/A,FALSE,"Man_Pwr";#N/A,#N/A,FALSE,"Man_Prof"}</definedName>
    <definedName name="gt" hidden="1">{#N/A,#N/A,FALSE,"str_title";#N/A,#N/A,FALSE,"SUM";#N/A,#N/A,FALSE,"Scope";#N/A,#N/A,FALSE,"PIE-Jn";#N/A,#N/A,FALSE,"PIE-Jn_Hz";#N/A,#N/A,FALSE,"Liq_Plan";#N/A,#N/A,FALSE,"S_Curve";#N/A,#N/A,FALSE,"Liq_Prof";#N/A,#N/A,FALSE,"Man_Pwr";#N/A,#N/A,FALSE,"Man_Prof"}</definedName>
    <definedName name="GT_TYPE">#REF!</definedName>
    <definedName name="gtg" hidden="1">#REF!</definedName>
    <definedName name="gthh" localSheetId="25" hidden="1">{#N/A,#N/A,TRUE,"Front";#N/A,#N/A,TRUE,"Simple Letter";#N/A,#N/A,TRUE,"Inside";#N/A,#N/A,TRUE,"Contents";#N/A,#N/A,TRUE,"Basis";#N/A,#N/A,TRUE,"Inclusions";#N/A,#N/A,TRUE,"Exclusions";#N/A,#N/A,TRUE,"Areas";#N/A,#N/A,TRUE,"Summary";#N/A,#N/A,TRUE,"Detail"}</definedName>
    <definedName name="gthh" localSheetId="5" hidden="1">{#N/A,#N/A,TRUE,"Front";#N/A,#N/A,TRUE,"Simple Letter";#N/A,#N/A,TRUE,"Inside";#N/A,#N/A,TRUE,"Contents";#N/A,#N/A,TRUE,"Basis";#N/A,#N/A,TRUE,"Inclusions";#N/A,#N/A,TRUE,"Exclusions";#N/A,#N/A,TRUE,"Areas";#N/A,#N/A,TRUE,"Summary";#N/A,#N/A,TRUE,"Detail"}</definedName>
    <definedName name="gthh" hidden="1">{#N/A,#N/A,TRUE,"Front";#N/A,#N/A,TRUE,"Simple Letter";#N/A,#N/A,TRUE,"Inside";#N/A,#N/A,TRUE,"Contents";#N/A,#N/A,TRUE,"Basis";#N/A,#N/A,TRUE,"Inclusions";#N/A,#N/A,TRUE,"Exclusions";#N/A,#N/A,TRUE,"Areas";#N/A,#N/A,TRUE,"Summary";#N/A,#N/A,TRUE,"Detail"}</definedName>
    <definedName name="gty" hidden="1">{#N/A,#N/A,TRUE,"AIRCONDITIONER";#N/A,#N/A,TRUE,"COMPUTER";#N/A,#N/A,TRUE,"ELECTRICAL INSTALLATION";#N/A,#N/A,TRUE,"F&amp;F (FACTORY)";#N/A,#N/A,TRUE,"F&amp;F (RESD.)";#N/A,#N/A,TRUE,"GENERATOR";#N/A,#N/A,TRUE,"O.E. RESIDENCE";#N/A,#N/A,TRUE,"LEASEHOLD-PLANT";#N/A,#N/A,TRUE,"O.E-PLANT";#N/A,#N/A,TRUE,"P&amp;M";#N/A,#N/A,TRUE,"TOOLS";#N/A,#N/A,TRUE,"MOTOR CAR"}</definedName>
    <definedName name="GUESTPNT" localSheetId="0">#REF!</definedName>
    <definedName name="GUESTPNT" localSheetId="46">#REF!</definedName>
    <definedName name="GUESTPNT" localSheetId="45">#REF!</definedName>
    <definedName name="GUESTPNT" localSheetId="49">#REF!</definedName>
    <definedName name="GUESTPNT" localSheetId="50">#REF!</definedName>
    <definedName name="GUESTPNT" localSheetId="51">#REF!</definedName>
    <definedName name="GUESTPNT" localSheetId="52">#REF!</definedName>
    <definedName name="GUESTPNT" localSheetId="56">#REF!</definedName>
    <definedName name="GUESTPNT" localSheetId="57">#REF!</definedName>
    <definedName name="GUESTPNT" localSheetId="58">#REF!</definedName>
    <definedName name="GUESTPNT" localSheetId="59">#REF!</definedName>
    <definedName name="GUESTPNT">#REF!</definedName>
    <definedName name="GULF">#REF!</definedName>
    <definedName name="GVALUE">#REF!</definedName>
    <definedName name="gw">#REF!</definedName>
    <definedName name="gwergwr" localSheetId="25" hidden="1">{#N/A,#N/A,FALSE,"ISBL"}</definedName>
    <definedName name="gwergwr" localSheetId="5" hidden="1">{#N/A,#N/A,FALSE,"ISBL"}</definedName>
    <definedName name="gwergwr" hidden="1">{#N/A,#N/A,FALSE,"ISBL"}</definedName>
    <definedName name="gydgdg">#REF!,#REF!</definedName>
    <definedName name="gyt" localSheetId="25" hidden="1">{#N/A,#N/A,TRUE,"Front";#N/A,#N/A,TRUE,"Simple Letter";#N/A,#N/A,TRUE,"Inside";#N/A,#N/A,TRUE,"Contents";#N/A,#N/A,TRUE,"Basis";#N/A,#N/A,TRUE,"Inclusions";#N/A,#N/A,TRUE,"Exclusions";#N/A,#N/A,TRUE,"Areas";#N/A,#N/A,TRUE,"Summary";#N/A,#N/A,TRUE,"Detail"}</definedName>
    <definedName name="gyt" localSheetId="5" hidden="1">{#N/A,#N/A,TRUE,"Front";#N/A,#N/A,TRUE,"Simple Letter";#N/A,#N/A,TRUE,"Inside";#N/A,#N/A,TRUE,"Contents";#N/A,#N/A,TRUE,"Basis";#N/A,#N/A,TRUE,"Inclusions";#N/A,#N/A,TRUE,"Exclusions";#N/A,#N/A,TRUE,"Areas";#N/A,#N/A,TRUE,"Summary";#N/A,#N/A,TRUE,"Detail"}</definedName>
    <definedName name="gyt" hidden="1">{#N/A,#N/A,TRUE,"Front";#N/A,#N/A,TRUE,"Simple Letter";#N/A,#N/A,TRUE,"Inside";#N/A,#N/A,TRUE,"Contents";#N/A,#N/A,TRUE,"Basis";#N/A,#N/A,TRUE,"Inclusions";#N/A,#N/A,TRUE,"Exclusions";#N/A,#N/A,TRUE,"Areas";#N/A,#N/A,TRUE,"Summary";#N/A,#N/A,TRUE,"Detail"}</definedName>
    <definedName name="H" localSheetId="0">#N/A</definedName>
    <definedName name="h">#REF!</definedName>
    <definedName name="H_">#REF!</definedName>
    <definedName name="H_DB" localSheetId="0">#REF!</definedName>
    <definedName name="H_DB">#REF!</definedName>
    <definedName name="H_INCOME">#REF!</definedName>
    <definedName name="H1_">#N/A</definedName>
    <definedName name="H10_">#N/A</definedName>
    <definedName name="H11_">#N/A</definedName>
    <definedName name="H12_">#N/A</definedName>
    <definedName name="H13_">#N/A</definedName>
    <definedName name="H14_">#N/A</definedName>
    <definedName name="H15_">#N/A</definedName>
    <definedName name="H16_">#N/A</definedName>
    <definedName name="H17_">#N/A</definedName>
    <definedName name="H2_">#N/A</definedName>
    <definedName name="H3_">#N/A</definedName>
    <definedName name="H4_">#N/A</definedName>
    <definedName name="H5_">#N/A</definedName>
    <definedName name="H6_">#N/A</definedName>
    <definedName name="H7_">#N/A</definedName>
    <definedName name="H8_">#N/A</definedName>
    <definedName name="H9_">#N/A</definedName>
    <definedName name="hahshuis">#REF!</definedName>
    <definedName name="hap" localSheetId="25" hidden="1">{#N/A,#N/A,FALSE,"COVER1.XLS ";#N/A,#N/A,FALSE,"RACT1.XLS";#N/A,#N/A,FALSE,"RACT2.XLS";#N/A,#N/A,FALSE,"ECCMP";#N/A,#N/A,FALSE,"WELDER.XLS"}</definedName>
    <definedName name="hap" localSheetId="0" hidden="1">{#N/A,#N/A,FALSE,"COVER1.XLS ";#N/A,#N/A,FALSE,"RACT1.XLS";#N/A,#N/A,FALSE,"RACT2.XLS";#N/A,#N/A,FALSE,"ECCMP";#N/A,#N/A,FALSE,"WELDER.XLS"}</definedName>
    <definedName name="hap" localSheetId="5" hidden="1">{#N/A,#N/A,FALSE,"COVER1.XLS ";#N/A,#N/A,FALSE,"RACT1.XLS";#N/A,#N/A,FALSE,"RACT2.XLS";#N/A,#N/A,FALSE,"ECCMP";#N/A,#N/A,FALSE,"WELDER.XLS"}</definedName>
    <definedName name="hap" hidden="1">{#N/A,#N/A,FALSE,"COVER1.XLS ";#N/A,#N/A,FALSE,"RACT1.XLS";#N/A,#N/A,FALSE,"RACT2.XLS";#N/A,#N/A,FALSE,"ECCMP";#N/A,#N/A,FALSE,"WELDER.XLS"}</definedName>
    <definedName name="hasnain">#REF!</definedName>
    <definedName name="hawwa" hidden="1">#REF!</definedName>
    <definedName name="HBALANCE">#REF!</definedName>
    <definedName name="hbi4stat">#REF!</definedName>
    <definedName name="HBKJHLA">#REF!</definedName>
    <definedName name="HCAP_INVEST">#REF!</definedName>
    <definedName name="HCV.WEEKLY" hidden="1">{#N/A,#N/A,FALSE,"SUMMARY REPORT"}</definedName>
    <definedName name="hdhd" localSheetId="25" hidden="1">{"Ratio",#N/A,FALSE,"Ratios";"Funds Flow",#N/A,FALSE,"Ratios"}</definedName>
    <definedName name="hdhd" localSheetId="5" hidden="1">{"Ratio",#N/A,FALSE,"Ratios";"Funds Flow",#N/A,FALSE,"Ratios"}</definedName>
    <definedName name="hdhd" hidden="1">{"Ratio",#N/A,FALSE,"Ratios";"Funds Flow",#N/A,FALSE,"Ratios"}</definedName>
    <definedName name="hdhdh" localSheetId="25" hidden="1">{"Ratio",#N/A,FALSE,"Ratios";"Funds Flow",#N/A,FALSE,"Ratios"}</definedName>
    <definedName name="hdhdh" localSheetId="5" hidden="1">{"Ratio",#N/A,FALSE,"Ratios";"Funds Flow",#N/A,FALSE,"Ratios"}</definedName>
    <definedName name="hdhdh" hidden="1">{"Ratio",#N/A,FALSE,"Ratios";"Funds Flow",#N/A,FALSE,"Ratios"}</definedName>
    <definedName name="hdhdjh">#REF!</definedName>
    <definedName name="head"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head"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Head_office">#REF!</definedName>
    <definedName name="Header">#REF!</definedName>
    <definedName name="HEADER_KFP_ORIGIN_KEY">#REF!</definedName>
    <definedName name="Header_Row">ROW(#REF!)</definedName>
    <definedName name="Header1" hidden="1">IFERROR(IF(COUNTA(#REF!)=0,0,INDEX(#REF!,MATCH(ROW(#REF!),#REF!,TRUE)))+1,1)</definedName>
    <definedName name="Header2" localSheetId="25" hidden="1">[0]!Header1-1 &amp; "." &amp; MAX(1,COUNTA(INDEX(#REF!,MATCH([0]!Header1-1,#REF!,FALSE)):#REF!))</definedName>
    <definedName name="Header2" localSheetId="0" hidden="1">#REF!-1 &amp; "." &amp; MAX(1,COUNTA(INDEX(#REF!,MATCH(#REF!-1,#REF!,FALSE)):#REF!))</definedName>
    <definedName name="Header2" localSheetId="5" hidden="1">[0]!Header1-1 &amp; "." &amp; MAX(1,COUNTA(INDEX(#REF!,MATCH([0]!Header1-1,#REF!,FALSE)):#REF!))</definedName>
    <definedName name="Header2" hidden="1">[0]!Header1-1 &amp; "." &amp; MAX(1,COUNTA(INDEX(#REF!,MATCH([0]!Header1-1,#REF!,FALSE)):#REF!))</definedName>
    <definedName name="Headerline">#REF!</definedName>
    <definedName name="HEADING">#REF!</definedName>
    <definedName name="Health_maintenance_capex">#REF!</definedName>
    <definedName name="heatrate">#REF!</definedName>
    <definedName name="Height">#REF!</definedName>
    <definedName name="Hemas" localSheetId="25" hidden="1">{"'August 2000'!$A$1:$J$101"}</definedName>
    <definedName name="Hemas" localSheetId="5" hidden="1">{"'August 2000'!$A$1:$J$101"}</definedName>
    <definedName name="Hemas" hidden="1">{"'August 2000'!$A$1:$J$101"}</definedName>
    <definedName name="herher"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 localSheetId="0">#REF!</definedName>
    <definedName name="HF">#REF!</definedName>
    <definedName name="HFGJM" localSheetId="25" hidden="1">{#N/A,#N/A,FALSE,"PGW"}</definedName>
    <definedName name="HFGJM" localSheetId="5" hidden="1">{#N/A,#N/A,FALSE,"PGW"}</definedName>
    <definedName name="HFGJM" hidden="1">{#N/A,#N/A,FALSE,"PGW"}</definedName>
    <definedName name="hfh" localSheetId="0">#REF!</definedName>
    <definedName name="hfh">#REF!</definedName>
    <definedName name="HFINANCE">#REF!</definedName>
    <definedName name="HFOHSD" localSheetId="0">#REF!</definedName>
    <definedName name="HFOHSD">#REF!</definedName>
    <definedName name="HFREE_CASH">#REF!</definedName>
    <definedName name="hfuiefvj" hidden="1">{#N/A,#N/A,FALSE,"SUMMARY REPORT"}</definedName>
    <definedName name="HFUJYT" localSheetId="25" hidden="1">{#N/A,#N/A,FALSE,"PMTABB";#N/A,#N/A,FALSE,"PMTABB"}</definedName>
    <definedName name="HFUJYT" localSheetId="5" hidden="1">{#N/A,#N/A,FALSE,"PMTABB";#N/A,#N/A,FALSE,"PMTABB"}</definedName>
    <definedName name="HFUJYT" hidden="1">{#N/A,#N/A,FALSE,"PMTABB";#N/A,#N/A,FALSE,"PMTABB"}</definedName>
    <definedName name="hg">#REF!</definedName>
    <definedName name="hgdf" localSheetId="25" hidden="1">{"one (KEY)",#N/A,FALSE,"P&amp;L"}</definedName>
    <definedName name="hgdf" localSheetId="5" hidden="1">{"one (KEY)",#N/A,FALSE,"P&amp;L"}</definedName>
    <definedName name="hgdf" hidden="1">{"one (KEY)",#N/A,FALSE,"P&amp;L"}</definedName>
    <definedName name="hghg">#REF!</definedName>
    <definedName name="HGMYGJ" localSheetId="25" hidden="1">{#N/A,#N/A,FALSE,"OSBL"}</definedName>
    <definedName name="HGMYGJ" localSheetId="5" hidden="1">{#N/A,#N/A,FALSE,"OSBL"}</definedName>
    <definedName name="HGMYGJ" hidden="1">{#N/A,#N/A,FALSE,"OSBL"}</definedName>
    <definedName name="hgtfhdh" localSheetId="0">#REF!</definedName>
    <definedName name="hgtfhdh">#REF!</definedName>
    <definedName name="hgwr" localSheetId="25" hidden="1">{#N/A,#N/A,FALSE,"PGW"}</definedName>
    <definedName name="hgwr" localSheetId="5" hidden="1">{#N/A,#N/A,FALSE,"PGW"}</definedName>
    <definedName name="hgwr" hidden="1">{#N/A,#N/A,FALSE,"PGW"}</definedName>
    <definedName name="hh" localSheetId="25" hidden="1">{"'Detail Summary'!$A$1:$F$83"}</definedName>
    <definedName name="hh" localSheetId="5" hidden="1">{"'Detail Summary'!$A$1:$F$83"}</definedName>
    <definedName name="hh" hidden="1">{"'Detail Summary'!$A$1:$F$83"}</definedName>
    <definedName name="hhh" hidden="1">#REF!</definedName>
    <definedName name="hhhh" hidden="1">#REF!</definedName>
    <definedName name="hhhhhhhhfff">#REF!</definedName>
    <definedName name="hhhhhhhhhhhhhhhhhh">#REF!</definedName>
    <definedName name="hhhuh">#REF!</definedName>
    <definedName name="hHzhzh">#REF!</definedName>
    <definedName name="hi" localSheetId="25" hidden="1">{#N/A,#N/A,TRUE,"Front";#N/A,#N/A,TRUE,"Simple Letter";#N/A,#N/A,TRUE,"Inside";#N/A,#N/A,TRUE,"Contents";#N/A,#N/A,TRUE,"Basis";#N/A,#N/A,TRUE,"Inclusions";#N/A,#N/A,TRUE,"Exclusions";#N/A,#N/A,TRUE,"Areas";#N/A,#N/A,TRUE,"Summary";#N/A,#N/A,TRUE,"Detail"}</definedName>
    <definedName name="hi" localSheetId="0" hidden="1">{#N/A,#N/A,TRUE,"Front";#N/A,#N/A,TRUE,"Simple Letter";#N/A,#N/A,TRUE,"Inside";#N/A,#N/A,TRUE,"Contents";#N/A,#N/A,TRUE,"Basis";#N/A,#N/A,TRUE,"Inclusions";#N/A,#N/A,TRUE,"Exclusions";#N/A,#N/A,TRUE,"Areas";#N/A,#N/A,TRUE,"Summary";#N/A,#N/A,TRUE,"Detail"}</definedName>
    <definedName name="hi" localSheetId="5" hidden="1">{#N/A,#N/A,TRUE,"Front";#N/A,#N/A,TRUE,"Simple Letter";#N/A,#N/A,TRUE,"Inside";#N/A,#N/A,TRUE,"Contents";#N/A,#N/A,TRUE,"Basis";#N/A,#N/A,TRUE,"Inclusions";#N/A,#N/A,TRUE,"Exclusions";#N/A,#N/A,TRUE,"Areas";#N/A,#N/A,TRUE,"Summary";#N/A,#N/A,TRUE,"Detail"}</definedName>
    <definedName name="hi" hidden="1">{#N/A,#N/A,TRUE,"Front";#N/A,#N/A,TRUE,"Simple Letter";#N/A,#N/A,TRUE,"Inside";#N/A,#N/A,TRUE,"Contents";#N/A,#N/A,TRUE,"Basis";#N/A,#N/A,TRUE,"Inclusions";#N/A,#N/A,TRUE,"Exclusions";#N/A,#N/A,TRUE,"Areas";#N/A,#N/A,TRUE,"Summary";#N/A,#N/A,TRUE,"Detail"}</definedName>
    <definedName name="HICOUT">#N/A</definedName>
    <definedName name="HiddenRows" hidden="1">#REF!</definedName>
    <definedName name="HIST_ALL">#REF!</definedName>
    <definedName name="Historical_Economic_Profit">#REF!</definedName>
    <definedName name="Historical_Incremental_ROIC">#REF!</definedName>
    <definedName name="Hitech1" localSheetId="25" hidden="1">{#N/A,#N/A,FALSE,"Aging Summary";#N/A,#N/A,FALSE,"Ratio Analysis";#N/A,#N/A,FALSE,"Test 120 Day Accts";#N/A,#N/A,FALSE,"Tickmarks"}</definedName>
    <definedName name="Hitech1" localSheetId="5" hidden="1">{#N/A,#N/A,FALSE,"Aging Summary";#N/A,#N/A,FALSE,"Ratio Analysis";#N/A,#N/A,FALSE,"Test 120 Day Accts";#N/A,#N/A,FALSE,"Tickmarks"}</definedName>
    <definedName name="Hitech1" hidden="1">{#N/A,#N/A,FALSE,"Aging Summary";#N/A,#N/A,FALSE,"Ratio Analysis";#N/A,#N/A,FALSE,"Test 120 Day Accts";#N/A,#N/A,FALSE,"Tickmarks"}</definedName>
    <definedName name="HJ" localSheetId="0">#REF!</definedName>
    <definedName name="HJ">#REF!</definedName>
    <definedName name="hjdsfkjdsfkh" localSheetId="0" hidden="1">{"'Sheet1'!$L$16"}</definedName>
    <definedName name="hjdsfkjdsfkh" hidden="1">{"'Sheet1'!$L$16"}</definedName>
    <definedName name="hjergbciutybvt" localSheetId="0">#REF!</definedName>
    <definedName name="hjergbciutybvt">#REF!</definedName>
    <definedName name="hjhj" localSheetId="0">#REF!</definedName>
    <definedName name="hjhj">#REF!</definedName>
    <definedName name="hjhuyg" localSheetId="0" hidden="1">{"VIEW1",#N/A,FALSE,"P&amp;L Account 2001-2002";"VIEW2",#N/A,FALSE,"P&amp;L Account 2001-2002";"VIEW3",#N/A,FALSE,"P&amp;L Account 2001-2002";"VIEW4",#N/A,FALSE,"P&amp;L Account 2001-2002"}</definedName>
    <definedName name="hjhuyg" hidden="1">{"VIEW1",#N/A,FALSE,"P&amp;L Account 2001-2002";"VIEW2",#N/A,FALSE,"P&amp;L Account 2001-2002";"VIEW3",#N/A,FALSE,"P&amp;L Account 2001-2002";"VIEW4",#N/A,FALSE,"P&amp;L Account 2001-2002"}</definedName>
    <definedName name="hjjj" localSheetId="25" hidden="1">{#N/A,#N/A,FALSE,"Aging Summary";#N/A,#N/A,FALSE,"Ratio Analysis";#N/A,#N/A,FALSE,"Test 120 Day Accts";#N/A,#N/A,FALSE,"Tickmarks"}</definedName>
    <definedName name="hjjj" localSheetId="5" hidden="1">{#N/A,#N/A,FALSE,"Aging Summary";#N/A,#N/A,FALSE,"Ratio Analysis";#N/A,#N/A,FALSE,"Test 120 Day Accts";#N/A,#N/A,FALSE,"Tickmarks"}</definedName>
    <definedName name="hjjj" hidden="1">{#N/A,#N/A,FALSE,"Aging Summary";#N/A,#N/A,FALSE,"Ratio Analysis";#N/A,#N/A,FALSE,"Test 120 Day Accts";#N/A,#N/A,FALSE,"Tickmarks"}</definedName>
    <definedName name="hjk" hidden="1">{#N/A,#N/A,FALSE,"Balance Sheet ";#N/A,#N/A,FALSE,"FIXED ASSETS 97-98";#N/A,#N/A,FALSE,"P&amp;L Acc.";#N/A,#N/A,FALSE,"SCH 5-8";#N/A,#N/A,FALSE,"SCH 1 2 3";#N/A,#N/A,FALSE,"SCH 9 10";#N/A,#N/A,FALSE,"SCH12 13"}</definedName>
    <definedName name="hjkfh_control" localSheetId="25" hidden="1">{"'August 2000'!$A$1:$J$101"}</definedName>
    <definedName name="hjkfh_control" localSheetId="5" hidden="1">{"'August 2000'!$A$1:$J$101"}</definedName>
    <definedName name="hjkfh_control" hidden="1">{"'August 2000'!$A$1:$J$101"}</definedName>
    <definedName name="hk_asia">#REF!</definedName>
    <definedName name="hk_nie">#REF!</definedName>
    <definedName name="HK_RESULT">#REF!</definedName>
    <definedName name="HKA" localSheetId="0" hidden="1">#REF!</definedName>
    <definedName name="HKA" hidden="1">#REF!</definedName>
    <definedName name="HNOPLAT">#REF!</definedName>
    <definedName name="HO">#REF!</definedName>
    <definedName name="hold_confirmed_cost">#REF!</definedName>
    <definedName name="hold_estimated_cost">#REF!</definedName>
    <definedName name="holder4">#REF!</definedName>
    <definedName name="holder5">#REF!</definedName>
    <definedName name="holding1">#REF!</definedName>
    <definedName name="holding2">#REF!</definedName>
    <definedName name="holding3">#REF!</definedName>
    <definedName name="holding4">#REF!</definedName>
    <definedName name="holding5">#REF!</definedName>
    <definedName name="home">#REF!</definedName>
    <definedName name="HOPERATING">#REF!</definedName>
    <definedName name="HOPIP" localSheetId="25" hidden="1">{#N/A,#N/A,FALSE,"PMTABB";#N/A,#N/A,FALSE,"PMTABB"}</definedName>
    <definedName name="HOPIP" localSheetId="5" hidden="1">{#N/A,#N/A,FALSE,"PMTABB";#N/A,#N/A,FALSE,"PMTABB"}</definedName>
    <definedName name="HOPIP" hidden="1">{#N/A,#N/A,FALSE,"PMTABB";#N/A,#N/A,FALSE,"PMTABB"}</definedName>
    <definedName name="howToChange">#REF!</definedName>
    <definedName name="howToCheck">#REF!</definedName>
    <definedName name="HPINRCSG">#REF!</definedName>
    <definedName name="HR">#REF!</definedName>
    <definedName name="hr_u4">#REF!</definedName>
    <definedName name="hr_u5">#REF!</definedName>
    <definedName name="hr_u6">#REF!</definedName>
    <definedName name="hr_u7">#REF!</definedName>
    <definedName name="hrd" hidden="1">#REF!</definedName>
    <definedName name="hre" localSheetId="25" hidden="1">{#N/A,#N/A,FALSE,"TOWNSHIP"}</definedName>
    <definedName name="hre" localSheetId="5" hidden="1">{#N/A,#N/A,FALSE,"TOWNSHIP"}</definedName>
    <definedName name="hre" hidden="1">{#N/A,#N/A,FALSE,"TOWNSHIP"}</definedName>
    <definedName name="hsbc_cash_flow">#REF!</definedName>
    <definedName name="hsbc_eps">#REF!</definedName>
    <definedName name="hsbc_net_profit">#REF!</definedName>
    <definedName name="hsdfhfdsk" localSheetId="0">#REF!</definedName>
    <definedName name="hsdfhfdsk">#REF!</definedName>
    <definedName name="hsgtrheir" localSheetId="0">#REF!</definedName>
    <definedName name="hsgtrheir">#REF!</definedName>
    <definedName name="hshhxuhxu">#REF!</definedName>
    <definedName name="HSUP_CALC">#REF!</definedName>
    <definedName name="ht">#REF!</definedName>
    <definedName name="HTML" localSheetId="25" hidden="1">{"'장비'!$A$3:$M$12"}</definedName>
    <definedName name="HTML" localSheetId="0" hidden="1">{"'장비'!$A$3:$M$12"}</definedName>
    <definedName name="HTML" localSheetId="5" hidden="1">{"'장비'!$A$3:$M$12"}</definedName>
    <definedName name="HTML" hidden="1">{"'장비'!$A$3:$M$12"}</definedName>
    <definedName name="HTML_CodePage" localSheetId="0" hidden="1">1252</definedName>
    <definedName name="HTML_CodePage" hidden="1">1252</definedName>
    <definedName name="HTML_Control" localSheetId="25" hidden="1">{"'장비'!$A$3:$M$12"}</definedName>
    <definedName name="HTML_Control" localSheetId="0" hidden="1">{"'p&amp;l.htm'!$A$1:$G$126","'p&amp;l.htm'!$A$1:$G$115","'p&amp;l.htm'!$A$88:$B$88","'p&amp;l.htm'!$A$1:$G$35","'p&amp;l.htm'!$A$9:$G$34","'p&amp;l.htm'!$A$87:$H$116"}</definedName>
    <definedName name="HTML_Control" localSheetId="5" hidden="1">{"'장비'!$A$3:$M$12"}</definedName>
    <definedName name="HTML_Control" hidden="1">{"'장비'!$A$3:$M$12"}</definedName>
    <definedName name="HTML_Control_1" localSheetId="0" hidden="1">{"'August 2000'!$A$1:$J$101"}</definedName>
    <definedName name="HTML_Control_1" hidden="1">{"'August 2000'!$A$1:$J$101"}</definedName>
    <definedName name="HTML_Control_2" localSheetId="0" hidden="1">{"'August 2000'!$A$1:$J$101"}</definedName>
    <definedName name="HTML_Control_2" hidden="1">{"'August 2000'!$A$1:$J$101"}</definedName>
    <definedName name="HTML_control1" localSheetId="0" hidden="1">{"'August 2000'!$A$1:$J$101"}</definedName>
    <definedName name="HTML_control1" hidden="1">{"'August 2000'!$A$1:$J$101"}</definedName>
    <definedName name="HTML_control1_1" localSheetId="0" hidden="1">{"'August 2000'!$A$1:$J$101"}</definedName>
    <definedName name="HTML_control1_1" hidden="1">{"'August 2000'!$A$1:$J$101"}</definedName>
    <definedName name="HTML_control1_2" localSheetId="0" hidden="1">{"'August 2000'!$A$1:$J$101"}</definedName>
    <definedName name="HTML_control1_2" hidden="1">{"'August 2000'!$A$1:$J$101"}</definedName>
    <definedName name="HTML_Description" hidden="1">""</definedName>
    <definedName name="HTML_Email" hidden="1">""</definedName>
    <definedName name="HTML_Header" localSheetId="0" hidden="1">""</definedName>
    <definedName name="HTML_Header" hidden="1">"Sheet1"</definedName>
    <definedName name="HTML_LastUpdate" localSheetId="0" hidden="1">"6/17/98"</definedName>
    <definedName name="HTML_LastUpdate" hidden="1">"03/07/00"</definedName>
    <definedName name="HTML_LineAfter" hidden="1">FALSE</definedName>
    <definedName name="HTML_LineBefore" hidden="1">FALSE</definedName>
    <definedName name="HTML_Name" localSheetId="0" hidden="1">"adh"</definedName>
    <definedName name="HTML_Name" hidden="1">"Grant Boultwood"</definedName>
    <definedName name="HTML_OBDlg2" hidden="1">TRUE</definedName>
    <definedName name="HTML_OBDlg3" hidden="1">TRUE</definedName>
    <definedName name="HTML_OBDlg4" hidden="1">TRUE</definedName>
    <definedName name="HTML_OS" hidden="1">0</definedName>
    <definedName name="HTML_PathFile" localSheetId="0" hidden="1">"C:\My Documents\p&amp;l.htm"</definedName>
    <definedName name="HTML_PathFile" hidden="1">"H:\CCUKSALESSNAP.htm"</definedName>
    <definedName name="HTML_PathTemplate" hidden="1">"C:\WINDOWS\Profiles\Kartikj\My Documents\HTMLTemp.htm"</definedName>
    <definedName name="HTML_Title" localSheetId="0" hidden="1">"p&amp;l"</definedName>
    <definedName name="HTML_Title" hidden="1">"JUNE FINAL 2000"</definedName>
    <definedName name="huy" localSheetId="0" hidden="1">{"'Sheet1'!$L$16"}</definedName>
    <definedName name="huy" hidden="1">{"'Sheet1'!$L$16"}</definedName>
    <definedName name="hvdc.avlblty">#REF!</definedName>
    <definedName name="hw" localSheetId="25" hidden="1">{#N/A,#N/A,FALSE,"SUMMARY";#N/A,#N/A,FALSE,"SUMMARY"}</definedName>
    <definedName name="hw" localSheetId="5" hidden="1">{#N/A,#N/A,FALSE,"SUMMARY";#N/A,#N/A,FALSE,"SUMMARY"}</definedName>
    <definedName name="hw" hidden="1">{#N/A,#N/A,FALSE,"SUMMARY";#N/A,#N/A,FALSE,"SUMMARY"}</definedName>
    <definedName name="HWSheet">1</definedName>
    <definedName name="HydroResLife">#REF!</definedName>
    <definedName name="HydroResLife16">#REF!</definedName>
    <definedName name="HYSD">#REF!</definedName>
    <definedName name="hzfdjhSf" hidden="1">{"SALARY",#N/A,FALSE,"SALARY95"}</definedName>
    <definedName name="i" localSheetId="0">#N/A</definedName>
    <definedName name="i">#REF!</definedName>
    <definedName name="I_">#REF!</definedName>
    <definedName name="ibf">#REF!</definedName>
    <definedName name="IBRDO" localSheetId="0">#REF!</definedName>
    <definedName name="IBRDO">#REF!</definedName>
    <definedName name="IC">#REF!</definedName>
    <definedName name="IC_1">#REF!</definedName>
    <definedName name="IC_10">#REF!</definedName>
    <definedName name="IC_11">#REF!</definedName>
    <definedName name="IC_12">#REF!</definedName>
    <definedName name="IC_13">#REF!</definedName>
    <definedName name="IC_14">#REF!</definedName>
    <definedName name="IC_2">#REF!</definedName>
    <definedName name="IC_3">#REF!</definedName>
    <definedName name="IC_4">#REF!</definedName>
    <definedName name="IC_5">#REF!</definedName>
    <definedName name="IC_6">#REF!</definedName>
    <definedName name="IC_7">#REF!</definedName>
    <definedName name="IC_8">#REF!</definedName>
    <definedName name="IC_9">#REF!</definedName>
    <definedName name="IC_P">#REF!</definedName>
    <definedName name="IC_P1">#REF!</definedName>
    <definedName name="IC_P2">#REF!</definedName>
    <definedName name="IC_P3">#REF!</definedName>
    <definedName name="ICD">#REF!</definedName>
    <definedName name="ICRP" localSheetId="0">#REF!</definedName>
    <definedName name="ICRP">#REF!</definedName>
    <definedName name="icrplist" localSheetId="0">#REF!</definedName>
    <definedName name="icrplist">#REF!</definedName>
    <definedName name="ict">#REF!</definedName>
    <definedName name="ictsymbol">"Rs"</definedName>
    <definedName name="icusymbol">"Rs"</definedName>
    <definedName name="id">#REF!</definedName>
    <definedName name="id_asean">#REF!</definedName>
    <definedName name="id_asean5">#REF!</definedName>
    <definedName name="id_asia">#REF!</definedName>
    <definedName name="idbi">#REF!</definedName>
    <definedName name="idc" localSheetId="25" hidden="1">{#N/A,#N/A,TRUE,"Front";#N/A,#N/A,TRUE,"Simple Letter";#N/A,#N/A,TRUE,"Inside";#N/A,#N/A,TRUE,"Contents";#N/A,#N/A,TRUE,"Basis";#N/A,#N/A,TRUE,"Inclusions";#N/A,#N/A,TRUE,"Exclusions";#N/A,#N/A,TRUE,"Areas";#N/A,#N/A,TRUE,"Summary";#N/A,#N/A,TRUE,"Detail"}</definedName>
    <definedName name="IDC" localSheetId="0">#REF!</definedName>
    <definedName name="idc" localSheetId="5" hidden="1">{#N/A,#N/A,TRUE,"Front";#N/A,#N/A,TRUE,"Simple Letter";#N/A,#N/A,TRUE,"Inside";#N/A,#N/A,TRUE,"Contents";#N/A,#N/A,TRUE,"Basis";#N/A,#N/A,TRUE,"Inclusions";#N/A,#N/A,TRUE,"Exclusions";#N/A,#N/A,TRUE,"Areas";#N/A,#N/A,TRUE,"Summary";#N/A,#N/A,TRUE,"Detail"}</definedName>
    <definedName name="idc" hidden="1">{#N/A,#N/A,TRUE,"Front";#N/A,#N/A,TRUE,"Simple Letter";#N/A,#N/A,TRUE,"Inside";#N/A,#N/A,TRUE,"Contents";#N/A,#N/A,TRUE,"Basis";#N/A,#N/A,TRUE,"Inclusions";#N/A,#N/A,TRUE,"Exclusions";#N/A,#N/A,TRUE,"Areas";#N/A,#N/A,TRUE,"Summary";#N/A,#N/A,TRUE,"Detail"}</definedName>
    <definedName name="IDC_Copy">#REF!</definedName>
    <definedName name="idc_copy_3">#REF!</definedName>
    <definedName name="IDC_Diff">#REF!</definedName>
    <definedName name="IDC_DIFF_1">#REF!</definedName>
    <definedName name="idc_p4">#REF!</definedName>
    <definedName name="idc_paste">#REF!</definedName>
    <definedName name="idc_paste_3">#REF!</definedName>
    <definedName name="IDC2_Copy">#REF!</definedName>
    <definedName name="IDC2_Paste">#REF!</definedName>
    <definedName name="IDC3_Copy">#REF!</definedName>
    <definedName name="IDC3_Paste">#REF!</definedName>
    <definedName name="IdcDiff">#REF!</definedName>
    <definedName name="IDCDifference">#REF!</definedName>
    <definedName name="idcPaste1">#REF!</definedName>
    <definedName name="idd">#REF!</definedName>
    <definedName name="IDReference" hidden="1">"A1"</definedName>
    <definedName name="IDT">#N/A</definedName>
    <definedName name="ie" localSheetId="25" hidden="1">{"'Sheet1'!$L$16"}</definedName>
    <definedName name="ie" localSheetId="0" hidden="1">{"'Sheet1'!$L$16"}</definedName>
    <definedName name="ie" localSheetId="5" hidden="1">{"'Sheet1'!$L$16"}</definedName>
    <definedName name="ie" hidden="1">{"'Sheet1'!$L$16"}</definedName>
    <definedName name="IELWSALES">#REF!</definedName>
    <definedName name="IELYSALES">#REF!</definedName>
    <definedName name="IEPLANSALES">#REF!</definedName>
    <definedName name="IESP">#REF!</definedName>
    <definedName name="ifl">#REF!</definedName>
    <definedName name="ifn">#REF!</definedName>
    <definedName name="ifo">#REF!</definedName>
    <definedName name="ihd">#REF!</definedName>
    <definedName name="II">#N/A</definedName>
    <definedName name="II_control" localSheetId="25" hidden="1">{"'August 2000'!$A$1:$J$101"}</definedName>
    <definedName name="II_control" localSheetId="5" hidden="1">{"'August 2000'!$A$1:$J$101"}</definedName>
    <definedName name="II_control" hidden="1">{"'August 2000'!$A$1:$J$101"}</definedName>
    <definedName name="III_control" localSheetId="25" hidden="1">{"'August 2000'!$A$1:$J$101"}</definedName>
    <definedName name="III_control" localSheetId="5" hidden="1">{"'August 2000'!$A$1:$J$101"}</definedName>
    <definedName name="III_control" hidden="1">{"'August 2000'!$A$1:$J$101"}</definedName>
    <definedName name="iiiiiierygclwmhru" localSheetId="0">#REF!</definedName>
    <definedName name="iiiiiierygclwmhru">#REF!</definedName>
    <definedName name="IKB_1">#REF!</definedName>
    <definedName name="IKB_2">#REF!</definedName>
    <definedName name="IKB_4">#REF!</definedName>
    <definedName name="IKB_5">#REF!</definedName>
    <definedName name="IKB_7">#REF!</definedName>
    <definedName name="Im_control" localSheetId="25" hidden="1">{"'August 2000'!$A$1:$J$101"}</definedName>
    <definedName name="Im_control" localSheetId="5" hidden="1">{"'August 2000'!$A$1:$J$101"}</definedName>
    <definedName name="Im_control" hidden="1">{"'August 2000'!$A$1:$J$101"}</definedName>
    <definedName name="ime">#REF!</definedName>
    <definedName name="IMP">#REF!</definedName>
    <definedName name="Impact.of.wage.revision" localSheetId="0">#REF!</definedName>
    <definedName name="Impact.of.wage.revision">#REF!</definedName>
    <definedName name="Import_Tariff">#REF!</definedName>
    <definedName name="imports">#REF!</definedName>
    <definedName name="imptax97">#REF!</definedName>
    <definedName name="imptax98">#REF!</definedName>
    <definedName name="IN" localSheetId="0">#REF!</definedName>
    <definedName name="IN">#REF!</definedName>
    <definedName name="in_asia">#REF!</definedName>
    <definedName name="IN_TAMT">#N/A</definedName>
    <definedName name="IN_TOTAL">#N/A</definedName>
    <definedName name="IN_TQTY">#N/A</definedName>
    <definedName name="IN_UC">#N/A</definedName>
    <definedName name="INAMT">#N/A</definedName>
    <definedName name="inc" localSheetId="0">#REF!</definedName>
    <definedName name="inc">#REF!</definedName>
    <definedName name="Inc_Proj_Cost">#REF!</definedName>
    <definedName name="INCM" localSheetId="0">#REF!</definedName>
    <definedName name="INCM">#REF!</definedName>
    <definedName name="income" localSheetId="0">#REF!</definedName>
    <definedName name="Income">#REF!</definedName>
    <definedName name="Income_equivalents">#REF!</definedName>
    <definedName name="Income_from_Unconsolidated_Subs">#REF!</definedName>
    <definedName name="income_she_Cr">#REF!</definedName>
    <definedName name="Income_tax">#REF!</definedName>
    <definedName name="Income_tax_rate">#REF!</definedName>
    <definedName name="Income_taxes_payable">#REF!</definedName>
    <definedName name="Increase_Capitalized_R_D_net">#REF!</definedName>
    <definedName name="Increase_Deferred_Taxes">#REF!</definedName>
    <definedName name="Increase_in_other_reserves">#REF!</definedName>
    <definedName name="Increase_LIFO_Reserve">#REF!</definedName>
    <definedName name="Incremental_investment">#REF!</definedName>
    <definedName name="Incremental_ROIC">#REF!</definedName>
    <definedName name="Incremental_ROIC_DCF">#REF!</definedName>
    <definedName name="IND">#REF!</definedName>
    <definedName name="INDE">#N/A</definedName>
    <definedName name="index" hidden="1">92</definedName>
    <definedName name="INDIA_PLASTIC_in_KUSD">#REF!</definedName>
    <definedName name="indooil00">#REF!</definedName>
    <definedName name="indooil01">#REF!</definedName>
    <definedName name="indooil96">#REF!</definedName>
    <definedName name="indooil97">#REF!</definedName>
    <definedName name="indooil98">#REF!</definedName>
    <definedName name="indooil99">#REF!</definedName>
    <definedName name="indorev00">#REF!</definedName>
    <definedName name="indorev01">#REF!</definedName>
    <definedName name="indorev94">#REF!</definedName>
    <definedName name="indorev95">#REF!</definedName>
    <definedName name="indorev96">#REF!</definedName>
    <definedName name="indorev97">#REF!</definedName>
    <definedName name="indorev98">#REF!</definedName>
    <definedName name="indorev99">#REF!</definedName>
    <definedName name="indoroy94">#REF!</definedName>
    <definedName name="indoroy95">#REF!</definedName>
    <definedName name="INETOTHER">#REF!</definedName>
    <definedName name="INETPPE">#REF!</definedName>
    <definedName name="Inflation">#REF!</definedName>
    <definedName name="Inflationfactor">#REF!</definedName>
    <definedName name="InfoPane">#REF!</definedName>
    <definedName name="InformationPane">#REF!</definedName>
    <definedName name="InfpPane">#REF!</definedName>
    <definedName name="INFRA">#REF!</definedName>
    <definedName name="INI_CurMth">#REF!</definedName>
    <definedName name="Ini_CurUnit">#REF!</definedName>
    <definedName name="Inland2">#REF!</definedName>
    <definedName name="inpdat">+OFFSET(#REF!,0,0,COUNTA(#REF!)-1-COUNTIF(#REF!,"#N/A"),2)</definedName>
    <definedName name="InputPO">#REF!</definedName>
    <definedName name="INR">#REF!</definedName>
    <definedName name="InstCap" hidden="1">#REF!,#REF!,#REF!,#REF!,#REF!,#REF!,#REF!,#REF!</definedName>
    <definedName name="Insurance" localSheetId="2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localSheetId="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_money_received" localSheetId="0">SUM(#REF!)</definedName>
    <definedName name="Insurance_money_received">SUM(#REF!)</definedName>
    <definedName name="INT">#REF!</definedName>
    <definedName name="Int_Balance_Cal">#REF!</definedName>
    <definedName name="Int_Balance_Paste">#REF!</definedName>
    <definedName name="Int_Cash_Sweep_Diff">#REF!</definedName>
    <definedName name="Int_Diff">#REF!</definedName>
    <definedName name="Int_DSRA_Diff">#REF!</definedName>
    <definedName name="Int_exp_OL">#REF!</definedName>
    <definedName name="Int_on_cash_calc">#REF!</definedName>
    <definedName name="Int_on_cash_paste">#REF!</definedName>
    <definedName name="Int_on_DSRA_paste">#REF!</definedName>
    <definedName name="int_paid">#REF!</definedName>
    <definedName name="Int_Rate">#REF!</definedName>
    <definedName name="int_recd">#REF!</definedName>
    <definedName name="intdty">#REF!</definedName>
    <definedName name="intere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terest_and_finance_charges_bs">#REF!</definedName>
    <definedName name="Interest_expense_after_taxes">#REF!</definedName>
    <definedName name="Interest_expense_income">#REF!</definedName>
    <definedName name="Interest_expense_oper_leases">#REF!</definedName>
    <definedName name="interest_finance_charges_schedule">#REF!</definedName>
    <definedName name="Interest_oper_lease">#REF!</definedName>
    <definedName name="Interest_Rate">#REF!</definedName>
    <definedName name="Interest_rate_for_working_capital___FY14">#REF!</definedName>
    <definedName name="Interest_rate_for_working_capital___FY15">#REF!</definedName>
    <definedName name="Interest_rate_for_working_capital___FY16">#REF!</definedName>
    <definedName name="Interest_rate_for_working_capital___FY17">#REF!</definedName>
    <definedName name="Interest_rate_for_working_capital___FY18">#REF!</definedName>
    <definedName name="Interest_rate_for_working_capital___FY19">#REF!</definedName>
    <definedName name="Interest_rate_for_working_capital___FY20">#REF!</definedName>
    <definedName name="InterestrateforworkingcapitalFY15">#REF!</definedName>
    <definedName name="INTERFACE_FORMAT_VERSION">#REF!</definedName>
    <definedName name="INTERFACE_NAME">#REF!</definedName>
    <definedName name="InternetProtection">"Internet Protection"</definedName>
    <definedName name="InternetProtection_Grade">"C"</definedName>
    <definedName name="interwisesept02" localSheetId="0">#REF!</definedName>
    <definedName name="interwisesept02">#REF!</definedName>
    <definedName name="IntFreeCred">#REF!</definedName>
    <definedName name="intinc98">#REF!</definedName>
    <definedName name="intinc99">#REF!</definedName>
    <definedName name="IntPricelb">#REF!</definedName>
    <definedName name="IntPriceMT">#REF!</definedName>
    <definedName name="IntRate_100">#REF!</definedName>
    <definedName name="IntRate_11" localSheetId="25">#REF!</definedName>
    <definedName name="IntRate_11" localSheetId="0">#REF!</definedName>
    <definedName name="IntRate_11" localSheetId="43">#REF!</definedName>
    <definedName name="IntRate_11" localSheetId="5">#REF!</definedName>
    <definedName name="IntRate_11">#REF!</definedName>
    <definedName name="IntRate_12" localSheetId="25">#REF!</definedName>
    <definedName name="IntRate_12" localSheetId="0">#REF!</definedName>
    <definedName name="IntRate_12" localSheetId="43">#REF!</definedName>
    <definedName name="IntRate_12" localSheetId="5">#REF!</definedName>
    <definedName name="IntRate_12">#REF!</definedName>
    <definedName name="IntRate_25">#REF!</definedName>
    <definedName name="IntRate_50">#REF!</definedName>
    <definedName name="IntRate_75">#REF!</definedName>
    <definedName name="IntRate_WC" localSheetId="25">#REF!</definedName>
    <definedName name="IntRate_WC" localSheetId="0">#REF!</definedName>
    <definedName name="IntRate_WC" localSheetId="43">#REF!</definedName>
    <definedName name="IntRate_WC" localSheetId="5">#REF!</definedName>
    <definedName name="IntRate_WC">#REF!</definedName>
    <definedName name="IntRate_WC10" localSheetId="25">#REF!</definedName>
    <definedName name="IntRate_WC10" localSheetId="0">#REF!</definedName>
    <definedName name="IntRate_WC10" localSheetId="43">#REF!</definedName>
    <definedName name="IntRate_WC10" localSheetId="5">#REF!</definedName>
    <definedName name="IntRate_WC10">#REF!</definedName>
    <definedName name="IntRate_WC11" localSheetId="25">#REF!</definedName>
    <definedName name="IntRate_WC11" localSheetId="0">#REF!</definedName>
    <definedName name="IntRate_WC11" localSheetId="43">#REF!</definedName>
    <definedName name="IntRate_WC11" localSheetId="5">#REF!</definedName>
    <definedName name="IntRate_WC11">#REF!</definedName>
    <definedName name="IntRate_WC12" localSheetId="25">#REF!</definedName>
    <definedName name="IntRate_WC12" localSheetId="0">#REF!</definedName>
    <definedName name="IntRate_WC12" localSheetId="43">#REF!</definedName>
    <definedName name="IntRate_WC12" localSheetId="5">#REF!</definedName>
    <definedName name="IntRate_WC12">#REF!</definedName>
    <definedName name="IntRate11" localSheetId="0">#REF!</definedName>
    <definedName name="IntRate11">#REF!</definedName>
    <definedName name="IntRate12" localSheetId="11">#REF!</definedName>
    <definedName name="IntRate12" localSheetId="13">#REF!</definedName>
    <definedName name="IntRate12" localSheetId="16">#REF!</definedName>
    <definedName name="IntRate12" localSheetId="26">#REF!</definedName>
    <definedName name="IntRate12" localSheetId="32">#REF!</definedName>
    <definedName name="IntRate12" localSheetId="33">#REF!</definedName>
    <definedName name="IntRate12" localSheetId="34">#REF!</definedName>
    <definedName name="IntRate12" localSheetId="35">#REF!</definedName>
    <definedName name="IntRate12">#REF!</definedName>
    <definedName name="IntRate13" localSheetId="11">#REF!</definedName>
    <definedName name="IntRate13" localSheetId="13">#REF!</definedName>
    <definedName name="IntRate13" localSheetId="16">#REF!</definedName>
    <definedName name="IntRate13" localSheetId="26">#REF!</definedName>
    <definedName name="IntRate13" localSheetId="32">#REF!</definedName>
    <definedName name="IntRate13" localSheetId="33">#REF!</definedName>
    <definedName name="IntRate13" localSheetId="34">#REF!</definedName>
    <definedName name="IntRate13" localSheetId="35">#REF!</definedName>
    <definedName name="IntRate13">#REF!</definedName>
    <definedName name="IntRate14">#REF!</definedName>
    <definedName name="IntRate15">#REF!</definedName>
    <definedName name="IntRateWC11" localSheetId="11">#REF!</definedName>
    <definedName name="IntRateWC11" localSheetId="13">#REF!</definedName>
    <definedName name="IntRateWC11" localSheetId="16">#REF!</definedName>
    <definedName name="IntRateWC11" localSheetId="26">#REF!</definedName>
    <definedName name="IntRateWC11" localSheetId="32">#REF!</definedName>
    <definedName name="IntRateWC11" localSheetId="33">#REF!</definedName>
    <definedName name="IntRateWC11" localSheetId="34">#REF!</definedName>
    <definedName name="IntRateWC11" localSheetId="35">#REF!</definedName>
    <definedName name="IntRateWC11">#REF!</definedName>
    <definedName name="IntRateWC12" localSheetId="11">#REF!</definedName>
    <definedName name="IntRateWC12" localSheetId="13">#REF!</definedName>
    <definedName name="IntRateWC12" localSheetId="16">#REF!</definedName>
    <definedName name="IntRateWC12" localSheetId="26">#REF!</definedName>
    <definedName name="IntRateWC12" localSheetId="32">#REF!</definedName>
    <definedName name="IntRateWC12" localSheetId="33">#REF!</definedName>
    <definedName name="IntRateWC12" localSheetId="34">#REF!</definedName>
    <definedName name="IntRateWC12" localSheetId="35">#REF!</definedName>
    <definedName name="IntRateWC12">#REF!</definedName>
    <definedName name="IntRateWC13" localSheetId="11">#REF!</definedName>
    <definedName name="IntRateWC13" localSheetId="13">#REF!</definedName>
    <definedName name="IntRateWC13" localSheetId="16">#REF!</definedName>
    <definedName name="IntRateWC13" localSheetId="26">#REF!</definedName>
    <definedName name="IntRateWC13" localSheetId="32">#REF!</definedName>
    <definedName name="IntRateWC13" localSheetId="33">#REF!</definedName>
    <definedName name="IntRateWC13" localSheetId="34">#REF!</definedName>
    <definedName name="IntRateWC13" localSheetId="35">#REF!</definedName>
    <definedName name="IntRateWC13">#REF!</definedName>
    <definedName name="IntRateWC14">#REF!</definedName>
    <definedName name="IntRateWC15">#REF!</definedName>
    <definedName name="IntRateWC17">#REF!</definedName>
    <definedName name="IntRateWC18">#REF!</definedName>
    <definedName name="IntRateWC19">#REF!</definedName>
    <definedName name="IntRateWC20">#REF!</definedName>
    <definedName name="IntrLoan" localSheetId="0">#REF!</definedName>
    <definedName name="IntrLoan">#REF!</definedName>
    <definedName name="IntroPrintArea" hidden="1">#REF!</definedName>
    <definedName name="intspun">#REF!</definedName>
    <definedName name="Intt_Charge_cY" localSheetId="11">#REF!,#REF!</definedName>
    <definedName name="Intt_Charge_cY" localSheetId="13">#REF!,#REF!</definedName>
    <definedName name="Intt_Charge_cY" localSheetId="14">#REF!,#REF!</definedName>
    <definedName name="Intt_Charge_cY" localSheetId="40">#REF!,#REF!</definedName>
    <definedName name="Intt_Charge_cY" localSheetId="41">#REF!,#REF!</definedName>
    <definedName name="Intt_Charge_cY" localSheetId="60">#REF!,#REF!</definedName>
    <definedName name="Intt_Charge_cY" localSheetId="61">#REF!,#REF!</definedName>
    <definedName name="Intt_Charge_cY" localSheetId="62">#REF!,#REF!</definedName>
    <definedName name="Intt_Charge_cY" localSheetId="63">#REF!,#REF!</definedName>
    <definedName name="Intt_Charge_cY" localSheetId="64">#REF!,#REF!</definedName>
    <definedName name="Intt_Charge_cY" localSheetId="16">#REF!,#REF!</definedName>
    <definedName name="Intt_Charge_cY" localSheetId="17">#REF!,#REF!</definedName>
    <definedName name="Intt_Charge_cY" localSheetId="65">#REF!,#REF!</definedName>
    <definedName name="Intt_Charge_cY" localSheetId="26">#REF!,#REF!</definedName>
    <definedName name="Intt_Charge_cY" localSheetId="32">#REF!,#REF!</definedName>
    <definedName name="Intt_Charge_cY" localSheetId="33">#REF!,#REF!</definedName>
    <definedName name="Intt_Charge_cY" localSheetId="34">#REF!,#REF!</definedName>
    <definedName name="Intt_Charge_cY" localSheetId="35">#REF!,#REF!</definedName>
    <definedName name="Intt_Charge_cY">#REF!,#REF!</definedName>
    <definedName name="Intt_Charge_cy_1" localSheetId="25">#REF!,#REF!</definedName>
    <definedName name="Intt_Charge_cy_1" localSheetId="0">#REF!,#REF!</definedName>
    <definedName name="Intt_Charge_cy_1" localSheetId="43">#REF!,#REF!</definedName>
    <definedName name="Intt_Charge_cy_1" localSheetId="5">#REF!,#REF!</definedName>
    <definedName name="Intt_Charge_cy_1">#REF!,#REF!</definedName>
    <definedName name="Intt_Charge_eY" localSheetId="11">#REF!,#REF!</definedName>
    <definedName name="Intt_Charge_eY" localSheetId="13">#REF!,#REF!</definedName>
    <definedName name="Intt_Charge_eY" localSheetId="14">#REF!,#REF!</definedName>
    <definedName name="Intt_Charge_eY" localSheetId="40">#REF!,#REF!</definedName>
    <definedName name="Intt_Charge_eY" localSheetId="41">#REF!,#REF!</definedName>
    <definedName name="Intt_Charge_eY" localSheetId="60">#REF!,#REF!</definedName>
    <definedName name="Intt_Charge_eY" localSheetId="61">#REF!,#REF!</definedName>
    <definedName name="Intt_Charge_eY" localSheetId="62">#REF!,#REF!</definedName>
    <definedName name="Intt_Charge_eY" localSheetId="63">#REF!,#REF!</definedName>
    <definedName name="Intt_Charge_eY" localSheetId="64">#REF!,#REF!</definedName>
    <definedName name="Intt_Charge_eY" localSheetId="16">#REF!,#REF!</definedName>
    <definedName name="Intt_Charge_eY" localSheetId="17">#REF!,#REF!</definedName>
    <definedName name="Intt_Charge_eY" localSheetId="65">#REF!,#REF!</definedName>
    <definedName name="Intt_Charge_eY" localSheetId="26">#REF!,#REF!</definedName>
    <definedName name="Intt_Charge_eY" localSheetId="32">#REF!,#REF!</definedName>
    <definedName name="Intt_Charge_eY" localSheetId="33">#REF!,#REF!</definedName>
    <definedName name="Intt_Charge_eY" localSheetId="34">#REF!,#REF!</definedName>
    <definedName name="Intt_Charge_eY" localSheetId="35">#REF!,#REF!</definedName>
    <definedName name="Intt_Charge_eY">#REF!,#REF!</definedName>
    <definedName name="Intt_Charge_ey_1" localSheetId="25">#REF!,#REF!</definedName>
    <definedName name="Intt_Charge_ey_1" localSheetId="0">#REF!,#REF!</definedName>
    <definedName name="Intt_Charge_ey_1" localSheetId="43">#REF!,#REF!</definedName>
    <definedName name="Intt_Charge_ey_1" localSheetId="5">#REF!,#REF!</definedName>
    <definedName name="Intt_Charge_ey_1">#REF!,#REF!</definedName>
    <definedName name="Intt_Charge_PY" localSheetId="11">#REF!,#REF!</definedName>
    <definedName name="Intt_Charge_PY" localSheetId="13">#REF!,#REF!</definedName>
    <definedName name="Intt_Charge_PY" localSheetId="14">#REF!,#REF!</definedName>
    <definedName name="Intt_Charge_PY" localSheetId="40">#REF!,#REF!</definedName>
    <definedName name="Intt_Charge_PY" localSheetId="41">#REF!,#REF!</definedName>
    <definedName name="Intt_Charge_PY" localSheetId="60">#REF!,#REF!</definedName>
    <definedName name="Intt_Charge_PY" localSheetId="61">#REF!,#REF!</definedName>
    <definedName name="Intt_Charge_PY" localSheetId="62">#REF!,#REF!</definedName>
    <definedName name="Intt_Charge_PY" localSheetId="63">#REF!,#REF!</definedName>
    <definedName name="Intt_Charge_PY" localSheetId="64">#REF!,#REF!</definedName>
    <definedName name="Intt_Charge_PY" localSheetId="16">#REF!,#REF!</definedName>
    <definedName name="Intt_Charge_PY" localSheetId="17">#REF!,#REF!</definedName>
    <definedName name="Intt_Charge_PY" localSheetId="65">#REF!,#REF!</definedName>
    <definedName name="Intt_Charge_PY" localSheetId="26">#REF!,#REF!</definedName>
    <definedName name="Intt_Charge_PY" localSheetId="32">#REF!,#REF!</definedName>
    <definedName name="Intt_Charge_PY" localSheetId="33">#REF!,#REF!</definedName>
    <definedName name="Intt_Charge_PY" localSheetId="34">#REF!,#REF!</definedName>
    <definedName name="Intt_Charge_PY" localSheetId="35">#REF!,#REF!</definedName>
    <definedName name="Intt_Charge_PY">#REF!,#REF!</definedName>
    <definedName name="Intt_Charge_py_1" localSheetId="25">#REF!,#REF!</definedName>
    <definedName name="Intt_Charge_py_1" localSheetId="0">#REF!,#REF!</definedName>
    <definedName name="Intt_Charge_py_1" localSheetId="43">#REF!,#REF!</definedName>
    <definedName name="Intt_Charge_py_1" localSheetId="5">#REF!,#REF!</definedName>
    <definedName name="Intt_Charge_py_1">#REF!,#REF!</definedName>
    <definedName name="inttrgtdty">#REF!</definedName>
    <definedName name="inttrgtspun">#REF!</definedName>
    <definedName name="inv" localSheetId="25" hidden="1">{#N/A,#N/A,TRUE,"Front";#N/A,#N/A,TRUE,"Simple Letter";#N/A,#N/A,TRUE,"Inside";#N/A,#N/A,TRUE,"Contents";#N/A,#N/A,TRUE,"Basis";#N/A,#N/A,TRUE,"Inclusions";#N/A,#N/A,TRUE,"Exclusions";#N/A,#N/A,TRUE,"Areas";#N/A,#N/A,TRUE,"Summary";#N/A,#N/A,TRUE,"Detail"}</definedName>
    <definedName name="inv" localSheetId="5" hidden="1">{#N/A,#N/A,TRUE,"Front";#N/A,#N/A,TRUE,"Simple Letter";#N/A,#N/A,TRUE,"Inside";#N/A,#N/A,TRUE,"Contents";#N/A,#N/A,TRUE,"Basis";#N/A,#N/A,TRUE,"Inclusions";#N/A,#N/A,TRUE,"Exclusions";#N/A,#N/A,TRUE,"Areas";#N/A,#N/A,TRUE,"Summary";#N/A,#N/A,TRUE,"Detail"}</definedName>
    <definedName name="inv" hidden="1">{#N/A,#N/A,TRUE,"Front";#N/A,#N/A,TRUE,"Simple Letter";#N/A,#N/A,TRUE,"Inside";#N/A,#N/A,TRUE,"Contents";#N/A,#N/A,TRUE,"Basis";#N/A,#N/A,TRUE,"Inclusions";#N/A,#N/A,TRUE,"Exclusions";#N/A,#N/A,TRUE,"Areas";#N/A,#N/A,TRUE,"Summary";#N/A,#N/A,TRUE,"Detail"}</definedName>
    <definedName name="Inventory">#REF!</definedName>
    <definedName name="Inventory_turns">#REF!</definedName>
    <definedName name="INVEST">#N/A</definedName>
    <definedName name="Invested_capital">#REF!</definedName>
    <definedName name="invested_capital_avg">#REF!</definedName>
    <definedName name="Invested_Capital_Core">#REF!</definedName>
    <definedName name="Invested_capital_DCF">#REF!</definedName>
    <definedName name="Invested_capital_turns">#REF!</definedName>
    <definedName name="Invested_capital_turns_DCF">#REF!</definedName>
    <definedName name="investments">#REF!</definedName>
    <definedName name="Investments_in_Unconsolidated_Subs">#REF!</definedName>
    <definedName name="InvRev" localSheetId="0">#REF!</definedName>
    <definedName name="InvRev">#REF!</definedName>
    <definedName name="Invtory" localSheetId="0">#REF!</definedName>
    <definedName name="Invtory">#REF!</definedName>
    <definedName name="iop" localSheetId="25" hidden="1">{"'Sheet1'!$L$16"}</definedName>
    <definedName name="iop" localSheetId="0" hidden="1">{"'Sheet1'!$L$16"}</definedName>
    <definedName name="iop" localSheetId="5" hidden="1">{"'Sheet1'!$L$16"}</definedName>
    <definedName name="iop" hidden="1">{"'Sheet1'!$L$16"}</definedName>
    <definedName name="IoWC" localSheetId="0">#REF!</definedName>
    <definedName name="IoWC">#REF!</definedName>
    <definedName name="iowc16">#REF!</definedName>
    <definedName name="iowc17onwards">#REF!</definedName>
    <definedName name="Iowc18">#REF!</definedName>
    <definedName name="Iowc19onwards">#REF!</definedName>
    <definedName name="ip3_">#REF!</definedName>
    <definedName name="ip4_">#REF!</definedName>
    <definedName name="ip5_">#REF!</definedName>
    <definedName name="ipoprice">#REF!</definedName>
    <definedName name="ipr">#REF!</definedName>
    <definedName name="IPT">#REF!</definedName>
    <definedName name="ipu">#REF!</definedName>
    <definedName name="ipv">#REF!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ACT_OR_EST_REUT" hidden="1">"c5471"</definedName>
    <definedName name="IQ_BV_EST" hidden="1">"c5624"</definedName>
    <definedName name="IQ_BV_EST_REUT" hidden="1">"c5403"</definedName>
    <definedName name="IQ_BV_HIGH_EST" hidden="1">"c5626"</definedName>
    <definedName name="IQ_BV_HIGH_EST_REUT" hidden="1">"c5405"</definedName>
    <definedName name="IQ_BV_LOW_EST" hidden="1">"c5627"</definedName>
    <definedName name="IQ_BV_LOW_EST_REUT" hidden="1">"c5406"</definedName>
    <definedName name="IQ_BV_MEDIAN_EST" hidden="1">"c5625"</definedName>
    <definedName name="IQ_BV_MEDIAN_EST_REUT" hidden="1">"c5404"</definedName>
    <definedName name="IQ_BV_NUM_EST" hidden="1">"c5628"</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localSheetId="0" hidden="1">"c1630"</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NOTE_THOM" hidden="1">"c17598"</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REUT" hidden="1">"c5409"</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"c1666"</definedName>
    <definedName name="IQ_EST_ACT_FFO_ADJ" hidden="1">"c4406"</definedName>
    <definedName name="IQ_EST_ACT_FFO_CIQ_COL" hidden="1">"c11579"</definedName>
    <definedName name="IQ_EST_ACT_FFO_REUT" hidden="1">"c3843"</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"c1869"</definedName>
    <definedName name="IQ_EST_FFO_DIFF_CIQ_COL" hidden="1">"c11616"</definedName>
    <definedName name="IQ_EST_FFO_DIFF_REUT" hidden="1">"c3890"</definedName>
    <definedName name="IQ_EST_FFO_GROWTH_1YR" hidden="1">"c1770"</definedName>
    <definedName name="IQ_EST_FFO_GROWTH_1YR_CIQ_COL" hidden="1">"c11597"</definedName>
    <definedName name="IQ_EST_FFO_GROWTH_1YR_THOM" hidden="1">"c5170"</definedName>
    <definedName name="IQ_EST_FFO_GROWTH_2YR" hidden="1">"c1771"</definedName>
    <definedName name="IQ_EST_FFO_GROWTH_2YR_CIQ_COL" hidden="1">"c11598"</definedName>
    <definedName name="IQ_EST_FFO_GROWTH_2YR_THOM" hidden="1">"c5171"</definedName>
    <definedName name="IQ_EST_FFO_GROWTH_Q_1YR" hidden="1">"c1772"</definedName>
    <definedName name="IQ_EST_FFO_GROWTH_Q_1YR_CIQ_COL" hidden="1">"c11599"</definedName>
    <definedName name="IQ_EST_FFO_GROWTH_Q_1YR_THOM" hidden="1">"c5172"</definedName>
    <definedName name="IQ_EST_FFO_SEQ_GROWTH_Q" hidden="1">"c1773"</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"c1870"</definedName>
    <definedName name="IQ_EST_FFO_SURPRISE_PERCENT_CIQ_COL" hidden="1">"c11629"</definedName>
    <definedName name="IQ_EST_FFO_SURPRISE_PERCENT_REUT" hidden="1">"c3891"</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CIQ_COL" hidden="1">"c11617"</definedName>
    <definedName name="IQ_FFO_EST_REUT" hidden="1">"c3837"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EST_REUT" hidden="1">"c3839"</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EST_REUT" hidden="1">"c3840"</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MEDIAN_EST_REUT" hidden="1">"c3838"</definedName>
    <definedName name="IQ_FFO_NUM_EST" hidden="1">"c421"</definedName>
    <definedName name="IQ_FFO_NUM_EST_CIQ_COL" hidden="1">"c11627"</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STDDEV_EST_REUT" hidden="1">"c3842"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NOTE_THOM" hidden="1">"c17595"</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41148.6962152778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NOTE_THOM" hidden="1">"c17597"</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localSheetId="0" hidden="1">"c2127"</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DAY" hidden="1">"c1822"</definedName>
    <definedName name="IQ_PERCENT_CHANGE_EST_FFO_DAY_CIQ" hidden="1">"c3764"</definedName>
    <definedName name="IQ_PERCENT_CHANGE_EST_FFO_DAY_REUT" hidden="1">"c3933"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39211.7829166667</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NOTE_THOM" hidden="1">"c17596"</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D12" hidden="1">"$D$13:$D$744"</definedName>
    <definedName name="iQShowHideColumns" hidden="1">"iQShowAll"</definedName>
    <definedName name="IRANFARS_최종_3차분">#REF!</definedName>
    <definedName name="IRANFARS2차분_REV_">#REF!</definedName>
    <definedName name="irc">#REF!</definedName>
    <definedName name="ire">#REF!</definedName>
    <definedName name="irf">#REF!</definedName>
    <definedName name="irg">#REF!</definedName>
    <definedName name="irp">#REF!</definedName>
    <definedName name="IRTable" localSheetId="0">#REF!</definedName>
    <definedName name="IRTable">#REF!</definedName>
    <definedName name="is" localSheetId="25" hidden="1">{"'Sheet1'!$L$16"}</definedName>
    <definedName name="is" localSheetId="0" hidden="1">{"'Sheet1'!$L$16"}</definedName>
    <definedName name="is" localSheetId="5" hidden="1">{"'Sheet1'!$L$16"}</definedName>
    <definedName name="is" hidden="1">{"'Sheet1'!$L$16"}</definedName>
    <definedName name="IS_1">#REF!</definedName>
    <definedName name="IS_10">#REF!</definedName>
    <definedName name="IS_11">#REF!</definedName>
    <definedName name="IS_12">#REF!</definedName>
    <definedName name="IS_13">#REF!</definedName>
    <definedName name="IS_14">#REF!</definedName>
    <definedName name="IS_2">#REF!</definedName>
    <definedName name="IS_3">#REF!</definedName>
    <definedName name="IS_4">#REF!</definedName>
    <definedName name="IS_5">#REF!</definedName>
    <definedName name="IS_6">#REF!</definedName>
    <definedName name="IS_7">#REF!</definedName>
    <definedName name="IS_8">#REF!</definedName>
    <definedName name="IS_9">#REF!</definedName>
    <definedName name="IS_p">#REF!</definedName>
    <definedName name="is1_">#REF!</definedName>
    <definedName name="is2_">#REF!</definedName>
    <definedName name="is3_">#REF!</definedName>
    <definedName name="is4_">#REF!</definedName>
    <definedName name="is5_">#REF!</definedName>
    <definedName name="isb">#REF!</definedName>
    <definedName name="ISBL_K">#REF!</definedName>
    <definedName name="isc">#REF!</definedName>
    <definedName name="IsCircular" localSheetId="11">#REF!</definedName>
    <definedName name="IsCircular" localSheetId="13">#REF!</definedName>
    <definedName name="IsCircular" localSheetId="16">#REF!</definedName>
    <definedName name="IsCircular" localSheetId="26">#REF!</definedName>
    <definedName name="IsCircular" localSheetId="32">#REF!</definedName>
    <definedName name="IsCircular" localSheetId="33">#REF!</definedName>
    <definedName name="IsCircular" localSheetId="34">#REF!</definedName>
    <definedName name="IsCircular" localSheetId="35">#REF!</definedName>
    <definedName name="IsCircular">#REF!</definedName>
    <definedName name="ise">#REF!</definedName>
    <definedName name="isf">#REF!</definedName>
    <definedName name="ish" localSheetId="25" hidden="1">{#N/A,#N/A,FALSE,"1";#N/A,#N/A,FALSE,"2";#N/A,#N/A,FALSE,"3";#N/A,#N/A,FALSE,"4";#N/A,#N/A,FALSE,"5";#N/A,#N/A,FALSE,"6";#N/A,#N/A,FALSE,"7";#N/A,#N/A,FALSE,"8";#N/A,#N/A,FALSE,"9";#N/A,#N/A,FALSE,"10";#N/A,#N/A,FALSE,"11";#N/A,#N/A,FALSE,"12";#N/A,#N/A,FALSE,"13";#N/A,#N/A,FALSE,"14";#N/A,#N/A,FALSE,"15";#N/A,#N/A,FALSE,"16";#N/A,#N/A,FALSE,"17"}</definedName>
    <definedName name="ish" localSheetId="0" hidden="1">{#N/A,#N/A,FALSE,"1";#N/A,#N/A,FALSE,"2";#N/A,#N/A,FALSE,"3";#N/A,#N/A,FALSE,"4";#N/A,#N/A,FALSE,"5";#N/A,#N/A,FALSE,"6";#N/A,#N/A,FALSE,"7";#N/A,#N/A,FALSE,"8";#N/A,#N/A,FALSE,"9";#N/A,#N/A,FALSE,"10";#N/A,#N/A,FALSE,"11";#N/A,#N/A,FALSE,"12";#N/A,#N/A,FALSE,"13";#N/A,#N/A,FALSE,"14";#N/A,#N/A,FALSE,"15";#N/A,#N/A,FALSE,"16";#N/A,#N/A,FALSE,"17"}</definedName>
    <definedName name="ish" localSheetId="5" hidden="1">{#N/A,#N/A,FALSE,"1";#N/A,#N/A,FALSE,"2";#N/A,#N/A,FALSE,"3";#N/A,#N/A,FALSE,"4";#N/A,#N/A,FALSE,"5";#N/A,#N/A,FALSE,"6";#N/A,#N/A,FALSE,"7";#N/A,#N/A,FALSE,"8";#N/A,#N/A,FALSE,"9";#N/A,#N/A,FALSE,"10";#N/A,#N/A,FALSE,"11";#N/A,#N/A,FALSE,"12";#N/A,#N/A,FALSE,"13";#N/A,#N/A,FALSE,"14";#N/A,#N/A,FALSE,"15";#N/A,#N/A,FALSE,"16";#N/A,#N/A,FALSE,"17"}</definedName>
    <definedName name="ish" hidden="1">{#N/A,#N/A,FALSE,"1";#N/A,#N/A,FALSE,"2";#N/A,#N/A,FALSE,"3";#N/A,#N/A,FALSE,"4";#N/A,#N/A,FALSE,"5";#N/A,#N/A,FALSE,"6";#N/A,#N/A,FALSE,"7";#N/A,#N/A,FALSE,"8";#N/A,#N/A,FALSE,"9";#N/A,#N/A,FALSE,"10";#N/A,#N/A,FALSE,"11";#N/A,#N/A,FALSE,"12";#N/A,#N/A,FALSE,"13";#N/A,#N/A,FALSE,"14";#N/A,#N/A,FALSE,"15";#N/A,#N/A,FALSE,"16";#N/A,#N/A,FALSE,"17"}</definedName>
    <definedName name="ishares">#REF!</definedName>
    <definedName name="isi">#REF!</definedName>
    <definedName name="ISIN">#REF!</definedName>
    <definedName name="isl">#REF!</definedName>
    <definedName name="ISODWG">#N/A</definedName>
    <definedName name="ist">#REF!</definedName>
    <definedName name="it" localSheetId="25" hidden="1">{"'Sheet1'!$L$16"}</definedName>
    <definedName name="it" localSheetId="0" hidden="1">{"'Sheet1'!$L$16"}</definedName>
    <definedName name="it" localSheetId="5" hidden="1">{"'Sheet1'!$L$16"}</definedName>
    <definedName name="it" hidden="1">{"'Sheet1'!$L$16"}</definedName>
    <definedName name="IT_COMPUTE">#REF!</definedName>
    <definedName name="ITCent_sub50" localSheetId="0">#REF!</definedName>
    <definedName name="ITCent_sub50">#REF!</definedName>
    <definedName name="ITCent_sup50" localSheetId="0">#REF!</definedName>
    <definedName name="ITCent_sup50">#REF!</definedName>
    <definedName name="ITCY">#N/A</definedName>
    <definedName name="ITDEP">#REF!</definedName>
    <definedName name="ITEM">#N/A</definedName>
    <definedName name="ITEM_CODE" localSheetId="0">#REF!</definedName>
    <definedName name="ITEM_CODE">#REF!</definedName>
    <definedName name="ITEM_NAME">#N/A</definedName>
    <definedName name="ITEM_NO">"stock"</definedName>
    <definedName name="ITEMUNIT">#REF!</definedName>
    <definedName name="iti" localSheetId="0">#REF!</definedName>
    <definedName name="iti">#REF!</definedName>
    <definedName name="ITNO">#N/A</definedName>
    <definedName name="ITREE">#REF!</definedName>
    <definedName name="ITSection">#REF!</definedName>
    <definedName name="itt">#REF!</definedName>
    <definedName name="IT수정" localSheetId="25" hidden="1">{"'Sheet1'!$A$1:$H$36"}</definedName>
    <definedName name="IT수정" localSheetId="5" hidden="1">{"'Sheet1'!$A$1:$H$36"}</definedName>
    <definedName name="IT수정" hidden="1">{"'Sheet1'!$A$1:$H$36"}</definedName>
    <definedName name="iue">1</definedName>
    <definedName name="iuesymbol">"Rs"</definedName>
    <definedName name="iun">1000000</definedName>
    <definedName name="iunsymbol">"Rsm"</definedName>
    <definedName name="ius">1000000</definedName>
    <definedName name="iv">#REF!</definedName>
    <definedName name="iv2dt" localSheetId="0" hidden="1">#REF!</definedName>
    <definedName name="iv2dt" hidden="1">#REF!</definedName>
    <definedName name="ivdt" localSheetId="0" hidden="1">#REF!</definedName>
    <definedName name="ivdt" hidden="1">#REF!</definedName>
    <definedName name="IWORKING">#REF!</definedName>
    <definedName name="J" localSheetId="0">#REF!</definedName>
    <definedName name="j">#REF!</definedName>
    <definedName name="J_">#REF!</definedName>
    <definedName name="J_CODE">#N/A</definedName>
    <definedName name="J_DATE">#N/A</definedName>
    <definedName name="J_DEL">#N/A</definedName>
    <definedName name="J_DESC">#N/A</definedName>
    <definedName name="J_NAME">#N/A</definedName>
    <definedName name="J_P_MH">#N/A</definedName>
    <definedName name="J_PROG">#N/A</definedName>
    <definedName name="J_REMAINMH">#N/A</definedName>
    <definedName name="J_TEL" localSheetId="0">#REF!</definedName>
    <definedName name="J_TEL">#REF!</definedName>
    <definedName name="JA">#REF!</definedName>
    <definedName name="Jai" localSheetId="25" hidden="1">{"'August 2000'!$A$1:$J$101"}</definedName>
    <definedName name="Jai" localSheetId="5" hidden="1">{"'August 2000'!$A$1:$J$101"}</definedName>
    <definedName name="Jai" hidden="1">{"'August 2000'!$A$1:$J$101"}</definedName>
    <definedName name="janimpo">#REF!</definedName>
    <definedName name="JBIC1" localSheetId="0">#REF!</definedName>
    <definedName name="JBIC1">#REF!</definedName>
    <definedName name="JBIC2" localSheetId="0">#REF!</definedName>
    <definedName name="JBIC2">#REF!</definedName>
    <definedName name="JBIC3" localSheetId="0">#REF!</definedName>
    <definedName name="JBIC3">#REF!</definedName>
    <definedName name="JBIC4" localSheetId="0">#REF!</definedName>
    <definedName name="JBIC4">#REF!</definedName>
    <definedName name="JDCL_MISC">#REF!</definedName>
    <definedName name="JE">#N/A</definedName>
    <definedName name="JEJAK">#N/A</definedName>
    <definedName name="jetstream">#REF!</definedName>
    <definedName name="jetstream_01">#REF!</definedName>
    <definedName name="jetstream_02">#REF!</definedName>
    <definedName name="jetstream_03">#REF!</definedName>
    <definedName name="jetstream_04">#REF!</definedName>
    <definedName name="jetstream_05">#REF!</definedName>
    <definedName name="jetstream_06">#REF!</definedName>
    <definedName name="jfgf" localSheetId="0">#REF!</definedName>
    <definedName name="jfgf">#REF!</definedName>
    <definedName name="jfjfj_control" localSheetId="25" hidden="1">{"'August 2000'!$A$1:$J$101"}</definedName>
    <definedName name="jfjfj_control" localSheetId="5" hidden="1">{"'August 2000'!$A$1:$J$101"}</definedName>
    <definedName name="jfjfj_control" hidden="1">{"'August 2000'!$A$1:$J$101"}</definedName>
    <definedName name="jfjh" localSheetId="25" hidden="1">{#N/A,#N/A,FALSE,"Aging Summary";#N/A,#N/A,FALSE,"Ratio Analysis";#N/A,#N/A,FALSE,"Test 120 Day Accts";#N/A,#N/A,FALSE,"Tickmarks"}</definedName>
    <definedName name="jfjh" localSheetId="5" hidden="1">{#N/A,#N/A,FALSE,"Aging Summary";#N/A,#N/A,FALSE,"Ratio Analysis";#N/A,#N/A,FALSE,"Test 120 Day Accts";#N/A,#N/A,FALSE,"Tickmarks"}</definedName>
    <definedName name="jfjh" hidden="1">{#N/A,#N/A,FALSE,"Aging Summary";#N/A,#N/A,FALSE,"Ratio Analysis";#N/A,#N/A,FALSE,"Test 120 Day Accts";#N/A,#N/A,FALSE,"Tickmarks"}</definedName>
    <definedName name="jgjgj" localSheetId="25" hidden="1">{#N/A,#N/A,FALSE,"COVER.XLS";#N/A,#N/A,FALSE,"RACT1.XLS";#N/A,#N/A,FALSE,"RACT2.XLS";#N/A,#N/A,FALSE,"ECCMP";#N/A,#N/A,FALSE,"WELDER.XLS"}</definedName>
    <definedName name="jgjgj" localSheetId="0" hidden="1">{#N/A,#N/A,FALSE,"COVER.XLS";#N/A,#N/A,FALSE,"RACT1.XLS";#N/A,#N/A,FALSE,"RACT2.XLS";#N/A,#N/A,FALSE,"ECCMP";#N/A,#N/A,FALSE,"WELDER.XLS"}</definedName>
    <definedName name="jgjgj" localSheetId="5" hidden="1">{#N/A,#N/A,FALSE,"COVER.XLS";#N/A,#N/A,FALSE,"RACT1.XLS";#N/A,#N/A,FALSE,"RACT2.XLS";#N/A,#N/A,FALSE,"ECCMP";#N/A,#N/A,FALSE,"WELDER.XLS"}</definedName>
    <definedName name="jgjgj" hidden="1">{#N/A,#N/A,FALSE,"COVER.XLS";#N/A,#N/A,FALSE,"RACT1.XLS";#N/A,#N/A,FALSE,"RACT2.XLS";#N/A,#N/A,FALSE,"ECCMP";#N/A,#N/A,FALSE,"WELDER.XLS"}</definedName>
    <definedName name="jh">#REF!</definedName>
    <definedName name="JI">#REF!</definedName>
    <definedName name="JII">#REF!</definedName>
    <definedName name="jiohif" hidden="1">{#N/A,#N/A,FALSE,"SUMMARY REPORT"}</definedName>
    <definedName name="jj" localSheetId="25" hidden="1">{"DJH3",#N/A,FALSE,"PFL00805";"PJB3",#N/A,FALSE,"PFL00805";"JMD3",#N/A,FALSE,"PFL00805";"DNB3",#N/A,FALSE,"PFL00805";"MJP3",#N/A,FALSE,"PFL00805";"RAB3",#N/A,FALSE,"PFL00805";"GJW3",#N/A,FALSE,"PFL00805";"MASTER3",#N/A,FALSE,"PFL00805"}</definedName>
    <definedName name="JJ" localSheetId="0">#REF!</definedName>
    <definedName name="jj" localSheetId="5" hidden="1">{"DJH3",#N/A,FALSE,"PFL00805";"PJB3",#N/A,FALSE,"PFL00805";"JMD3",#N/A,FALSE,"PFL00805";"DNB3",#N/A,FALSE,"PFL00805";"MJP3",#N/A,FALSE,"PFL00805";"RAB3",#N/A,FALSE,"PFL00805";"GJW3",#N/A,FALSE,"PFL00805";"MASTER3",#N/A,FALSE,"PFL00805"}</definedName>
    <definedName name="jj" hidden="1">{"DJH3",#N/A,FALSE,"PFL00805";"PJB3",#N/A,FALSE,"PFL00805";"JMD3",#N/A,FALSE,"PFL00805";"DNB3",#N/A,FALSE,"PFL00805";"MJP3",#N/A,FALSE,"PFL00805";"RAB3",#N/A,FALSE,"PFL00805";"GJW3",#N/A,FALSE,"PFL00805";"MASTER3",#N/A,FALSE,"PFL00805"}</definedName>
    <definedName name="JJ_control" localSheetId="25" hidden="1">{"'August 2000'!$A$1:$J$101"}</definedName>
    <definedName name="JJ_control" localSheetId="5" hidden="1">{"'August 2000'!$A$1:$J$101"}</definedName>
    <definedName name="JJ_control" hidden="1">{"'August 2000'!$A$1:$J$101"}</definedName>
    <definedName name="jjh"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0">#REF!</definedName>
    <definedName name="JJJ" hidden="1">#REF!</definedName>
    <definedName name="jjjj" localSheetId="25" hidden="1">{#N/A,#N/A,FALSE,"Staffnos &amp; cost"}</definedName>
    <definedName name="jjjj" localSheetId="5" hidden="1">{#N/A,#N/A,FALSE,"Staffnos &amp; cost"}</definedName>
    <definedName name="jjjj" hidden="1">{#N/A,#N/A,FALSE,"Staffnos &amp; cost"}</definedName>
    <definedName name="jjjjjj" hidden="1">#REF!</definedName>
    <definedName name="JJKJKJL" localSheetId="25" hidden="1">{"'Mach'!$A$1:$D$39"}</definedName>
    <definedName name="JJKJKJL" localSheetId="5" hidden="1">{"'Mach'!$A$1:$D$39"}</definedName>
    <definedName name="JJKJKJL" hidden="1">{"'Mach'!$A$1:$D$39"}</definedName>
    <definedName name="jjkjklj">#REF!,#REF!</definedName>
    <definedName name="jjskjsklj">#REF!</definedName>
    <definedName name="jjutyu" localSheetId="0" hidden="1">{"VIEW1",#N/A,FALSE,"P&amp;L Account 2001-2002";"VIEW2",#N/A,FALSE,"P&amp;L Account 2001-2002";"VIEW3",#N/A,FALSE,"P&amp;L Account 2001-2002";"VIEW4",#N/A,FALSE,"P&amp;L Account 2001-2002"}</definedName>
    <definedName name="jjutyu" hidden="1">{"VIEW1",#N/A,FALSE,"P&amp;L Account 2001-2002";"VIEW2",#N/A,FALSE,"P&amp;L Account 2001-2002";"VIEW3",#N/A,FALSE,"P&amp;L Account 2001-2002";"VIEW4",#N/A,FALSE,"P&amp;L Account 2001-2002"}</definedName>
    <definedName name="jk">#REF!</definedName>
    <definedName name="jkdv\">#REF!</definedName>
    <definedName name="jkhjkhdg">#REF!</definedName>
    <definedName name="jkjj" hidden="1">#REF!</definedName>
    <definedName name="jkl" hidden="1">{#N/A,#N/A,FALSE,"Balance Sheet ";#N/A,#N/A,FALSE,"FIXED ASSETS 97-98";#N/A,#N/A,FALSE,"P&amp;L Acc.";#N/A,#N/A,FALSE,"SCH 5-8";#N/A,#N/A,FALSE,"SCH 1 2 3";#N/A,#N/A,FALSE,"SCH 9 10";#N/A,#N/A,FALSE,"SCH12 13"}</definedName>
    <definedName name="jl">#REF!</definedName>
    <definedName name="jot">#REF!</definedName>
    <definedName name="jsd" hidden="1">{#N/A,#N/A,FALSE,"SUMMARY REPORT"}</definedName>
    <definedName name="jsjssij">#REF!</definedName>
    <definedName name="JU" localSheetId="0">#REF!</definedName>
    <definedName name="JU">#REF!</definedName>
    <definedName name="JV10Group_944">#REF!</definedName>
    <definedName name="JV14Group_944">#REF!</definedName>
    <definedName name="jvhjv" hidden="1">{#N/A,#N/A,FALSE,"COVER1.XLS ";#N/A,#N/A,FALSE,"RACT1.XLS";#N/A,#N/A,FALSE,"RACT2.XLS";#N/A,#N/A,FALSE,"ECCMP";#N/A,#N/A,FALSE,"WELDER.XLS"}</definedName>
    <definedName name="JVTB">#REF!</definedName>
    <definedName name="JY" localSheetId="25" hidden="1">{#N/A,#N/A,FALSE,"Part ABC"}</definedName>
    <definedName name="JY" localSheetId="5" hidden="1">{#N/A,#N/A,FALSE,"Part ABC"}</definedName>
    <definedName name="JY" hidden="1">{#N/A,#N/A,FALSE,"Part ABC"}</definedName>
    <definedName name="K" localSheetId="0">#REF!</definedName>
    <definedName name="k">#REF!</definedName>
    <definedName name="K_1">#REF!</definedName>
    <definedName name="K_2">#REF!</definedName>
    <definedName name="K_3">#REF!</definedName>
    <definedName name="K2000_">#N/A</definedName>
    <definedName name="KABOLINE" localSheetId="0" hidden="1">#REF!</definedName>
    <definedName name="KABOLINE" hidden="1">#REF!</definedName>
    <definedName name="kadam" localSheetId="25" hidden="1">{#N/A,#N/A,TRUE,"Front";#N/A,#N/A,TRUE,"Simple Letter";#N/A,#N/A,TRUE,"Inside";#N/A,#N/A,TRUE,"Contents";#N/A,#N/A,TRUE,"Basis";#N/A,#N/A,TRUE,"Inclusions";#N/A,#N/A,TRUE,"Exclusions";#N/A,#N/A,TRUE,"Areas";#N/A,#N/A,TRUE,"Summary";#N/A,#N/A,TRUE,"Detail"}</definedName>
    <definedName name="kadam" localSheetId="5" hidden="1">{#N/A,#N/A,TRUE,"Front";#N/A,#N/A,TRUE,"Simple Letter";#N/A,#N/A,TRUE,"Inside";#N/A,#N/A,TRUE,"Contents";#N/A,#N/A,TRUE,"Basis";#N/A,#N/A,TRUE,"Inclusions";#N/A,#N/A,TRUE,"Exclusions";#N/A,#N/A,TRUE,"Areas";#N/A,#N/A,TRUE,"Summary";#N/A,#N/A,TRUE,"Detail"}</definedName>
    <definedName name="kadam" hidden="1">{#N/A,#N/A,TRUE,"Front";#N/A,#N/A,TRUE,"Simple Letter";#N/A,#N/A,TRUE,"Inside";#N/A,#N/A,TRUE,"Contents";#N/A,#N/A,TRUE,"Basis";#N/A,#N/A,TRUE,"Inclusions";#N/A,#N/A,TRUE,"Exclusions";#N/A,#N/A,TRUE,"Areas";#N/A,#N/A,TRUE,"Summary";#N/A,#N/A,TRUE,"Detail"}</definedName>
    <definedName name="kalpesh">#REF!</definedName>
    <definedName name="Kap">#REF!</definedName>
    <definedName name="kay" hidden="1">#REF!</definedName>
    <definedName name="Ke">#REF!</definedName>
    <definedName name="KEII" localSheetId="0">#REF!</definedName>
    <definedName name="KEII">#REF!</definedName>
    <definedName name="KEIIU" localSheetId="0">#REF!</definedName>
    <definedName name="KEIIU">#REF!</definedName>
    <definedName name="ket" localSheetId="0">#REF!</definedName>
    <definedName name="ket">#REF!</definedName>
    <definedName name="Keta">#REF!</definedName>
    <definedName name="Ketan" localSheetId="25" hidden="1">{0,0,0,0;0,0,0,0;0,0,0,0;0,0,FALSE,0}</definedName>
    <definedName name="Ketan" localSheetId="5" hidden="1">{0,0,0,0;0,0,0,0;0,0,0,0;0,0,FALSE,0}</definedName>
    <definedName name="Ketan" hidden="1">{0,0,0,0;0,0,0,0;0,0,0,0;0,0,FALSE,0}</definedName>
    <definedName name="kew">#REF!</definedName>
    <definedName name="key" hidden="1">#REF!</definedName>
    <definedName name="KFW" localSheetId="0">#REF!</definedName>
    <definedName name="KFW">#REF!</definedName>
    <definedName name="KG" localSheetId="0">#REF!</definedName>
    <definedName name="KG">#REF!</definedName>
    <definedName name="kgjgj" localSheetId="25" hidden="1">{#N/A,#N/A,FALSE,"1";#N/A,#N/A,FALSE,"2";#N/A,#N/A,FALSE,"3";#N/A,#N/A,FALSE,"4";#N/A,#N/A,FALSE,"5";#N/A,#N/A,FALSE,"6";#N/A,#N/A,FALSE,"7";#N/A,#N/A,FALSE,"8";#N/A,#N/A,FALSE,"9";#N/A,#N/A,FALSE,"10";#N/A,#N/A,FALSE,"11";#N/A,#N/A,FALSE,"12";#N/A,#N/A,FALSE,"13";#N/A,#N/A,FALSE,"14";#N/A,#N/A,FALSE,"15";#N/A,#N/A,FALSE,"16";#N/A,#N/A,FALSE,"17"}</definedName>
    <definedName name="kgjgj" localSheetId="0" hidden="1">{#N/A,#N/A,FALSE,"1";#N/A,#N/A,FALSE,"2";#N/A,#N/A,FALSE,"3";#N/A,#N/A,FALSE,"4";#N/A,#N/A,FALSE,"5";#N/A,#N/A,FALSE,"6";#N/A,#N/A,FALSE,"7";#N/A,#N/A,FALSE,"8";#N/A,#N/A,FALSE,"9";#N/A,#N/A,FALSE,"10";#N/A,#N/A,FALSE,"11";#N/A,#N/A,FALSE,"12";#N/A,#N/A,FALSE,"13";#N/A,#N/A,FALSE,"14";#N/A,#N/A,FALSE,"15";#N/A,#N/A,FALSE,"16";#N/A,#N/A,FALSE,"17"}</definedName>
    <definedName name="kgjgj" localSheetId="5" hidden="1">{#N/A,#N/A,FALSE,"1";#N/A,#N/A,FALSE,"2";#N/A,#N/A,FALSE,"3";#N/A,#N/A,FALSE,"4";#N/A,#N/A,FALSE,"5";#N/A,#N/A,FALSE,"6";#N/A,#N/A,FALSE,"7";#N/A,#N/A,FALSE,"8";#N/A,#N/A,FALSE,"9";#N/A,#N/A,FALSE,"10";#N/A,#N/A,FALSE,"11";#N/A,#N/A,FALSE,"12";#N/A,#N/A,FALSE,"13";#N/A,#N/A,FALSE,"14";#N/A,#N/A,FALSE,"15";#N/A,#N/A,FALSE,"16";#N/A,#N/A,FALSE,"17"}</definedName>
    <definedName name="kgjgj" hidden="1">{#N/A,#N/A,FALSE,"1";#N/A,#N/A,FALSE,"2";#N/A,#N/A,FALSE,"3";#N/A,#N/A,FALSE,"4";#N/A,#N/A,FALSE,"5";#N/A,#N/A,FALSE,"6";#N/A,#N/A,FALSE,"7";#N/A,#N/A,FALSE,"8";#N/A,#N/A,FALSE,"9";#N/A,#N/A,FALSE,"10";#N/A,#N/A,FALSE,"11";#N/A,#N/A,FALSE,"12";#N/A,#N/A,FALSE,"13";#N/A,#N/A,FALSE,"14";#N/A,#N/A,FALSE,"15";#N/A,#N/A,FALSE,"16";#N/A,#N/A,FALSE,"17"}</definedName>
    <definedName name="Kha5ResLife">#REF!</definedName>
    <definedName name="Khap5ResLife16">#REF!</definedName>
    <definedName name="khaperkheda">#REF!</definedName>
    <definedName name="KhapResLife16">#REF!</definedName>
    <definedName name="KhaResLife">#REF!</definedName>
    <definedName name="khj">#REF!</definedName>
    <definedName name="KI" localSheetId="0">#REF!</definedName>
    <definedName name="KI">#REF!</definedName>
    <definedName name="kil">#REF!</definedName>
    <definedName name="king" localSheetId="0">#REF!</definedName>
    <definedName name="king">#REF!</definedName>
    <definedName name="kishor">#REF!</definedName>
    <definedName name="KISS" localSheetId="0">#REF!</definedName>
    <definedName name="KISS">#REF!</definedName>
    <definedName name="KJH" localSheetId="0" hidden="1">{"VIEW1",#N/A,FALSE,"P&amp;L Account 2001-2002";"VIEW2",#N/A,FALSE,"P&amp;L Account 2001-2002";"VIEW3",#N/A,FALSE,"P&amp;L Account 2001-2002";"VIEW4",#N/A,FALSE,"P&amp;L Account 2001-2002"}</definedName>
    <definedName name="KJH" hidden="1">{"VIEW1",#N/A,FALSE,"P&amp;L Account 2001-2002";"VIEW2",#N/A,FALSE,"P&amp;L Account 2001-2002";"VIEW3",#N/A,FALSE,"P&amp;L Account 2001-2002";"VIEW4",#N/A,FALSE,"P&amp;L Account 2001-2002"}</definedName>
    <definedName name="kjhg" localSheetId="0">#REF!</definedName>
    <definedName name="kjhg">#REF!</definedName>
    <definedName name="kjyfyitdeiytd" hidden="1">#REF!</definedName>
    <definedName name="KK"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KK" localSheetId="0">#REF!</definedName>
    <definedName name="KK"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KK"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kkfkfkfk">#REF!</definedName>
    <definedName name="kkJJ">#REF!</definedName>
    <definedName name="KKK" localSheetId="0" hidden="1">#REF!</definedName>
    <definedName name="KKK" hidden="1">#REF!</definedName>
    <definedName name="kkkk">#REF!</definedName>
    <definedName name="kkkkkkk">#REF!</definedName>
    <definedName name="kks" localSheetId="0" hidden="1">{#N/A,#N/A,FALSE,"17"}</definedName>
    <definedName name="kks" hidden="1">{#N/A,#N/A,FALSE,"17"}</definedName>
    <definedName name="KL" localSheetId="0">#REF!</definedName>
    <definedName name="KL">#REF!</definedName>
    <definedName name="KLKK" localSheetId="25" hidden="1">{#N/A,#N/A,FALSE,"OSBL"}</definedName>
    <definedName name="KLKK" localSheetId="5" hidden="1">{#N/A,#N/A,FALSE,"OSBL"}</definedName>
    <definedName name="KLKK" hidden="1">{#N/A,#N/A,FALSE,"OSBL"}</definedName>
    <definedName name="klm.gtg02" localSheetId="25" hidden="1">{#N/A,#N/A,FALSE,"BS"}</definedName>
    <definedName name="klm.gtg02" localSheetId="0" hidden="1">{#N/A,#N/A,FALSE,"BS"}</definedName>
    <definedName name="klm.gtg02" localSheetId="5" hidden="1">{#N/A,#N/A,FALSE,"BS"}</definedName>
    <definedName name="klm.gtg02" hidden="1">{#N/A,#N/A,FALSE,"BS"}</definedName>
    <definedName name="km" hidden="1">{#N/A,#N/A,TRUE,"AIRCONDITIONER";#N/A,#N/A,TRUE,"COMPUTER";#N/A,#N/A,TRUE,"ELECTRICAL INSTALLATION";#N/A,#N/A,TRUE,"F&amp;F (FACTORY)";#N/A,#N/A,TRUE,"F&amp;F (RESD.)";#N/A,#N/A,TRUE,"GENERATOR";#N/A,#N/A,TRUE,"O.E. RESIDENCE";#N/A,#N/A,TRUE,"LEASEHOLD-PLANT";#N/A,#N/A,TRUE,"O.E-PLANT";#N/A,#N/A,TRUE,"P&amp;M";#N/A,#N/A,TRUE,"TOOLS";#N/A,#N/A,TRUE,"MOTOR CAR"}</definedName>
    <definedName name="knj">#REF!</definedName>
    <definedName name="ko" localSheetId="25" hidden="1">{#N/A,#N/A,FALSE,"Proj.Cost &amp; Means of Fin."}</definedName>
    <definedName name="ko" localSheetId="5" hidden="1">{#N/A,#N/A,FALSE,"Proj.Cost &amp; Means of Fin."}</definedName>
    <definedName name="ko" hidden="1">{#N/A,#N/A,FALSE,"Proj.Cost &amp; Means of Fin."}</definedName>
    <definedName name="koa" hidden="1">#REF!</definedName>
    <definedName name="koko" hidden="1">#REF!</definedName>
    <definedName name="KoraResLife16">#REF!</definedName>
    <definedName name="KoraResLife17">#REF!</definedName>
    <definedName name="KOREA_PLASTIC_in_KUSD">#REF!</definedName>
    <definedName name="KorResLife">#REF!</definedName>
    <definedName name="kr_asia">#REF!</definedName>
    <definedName name="kr_nie">#REF!</definedName>
    <definedName name="ks" localSheetId="25" hidden="1">{#N/A,#N/A,FALSE,"COVER.XLS";#N/A,#N/A,FALSE,"RACT1.XLS";#N/A,#N/A,FALSE,"RACT2.XLS";#N/A,#N/A,FALSE,"ECCMP";#N/A,#N/A,FALSE,"WELDER.XLS"}</definedName>
    <definedName name="ks" localSheetId="0" hidden="1">{#N/A,#N/A,FALSE,"COVER.XLS";#N/A,#N/A,FALSE,"RACT1.XLS";#N/A,#N/A,FALSE,"RACT2.XLS";#N/A,#N/A,FALSE,"ECCMP";#N/A,#N/A,FALSE,"WELDER.XLS"}</definedName>
    <definedName name="ks" localSheetId="5" hidden="1">{#N/A,#N/A,FALSE,"COVER.XLS";#N/A,#N/A,FALSE,"RACT1.XLS";#N/A,#N/A,FALSE,"RACT2.XLS";#N/A,#N/A,FALSE,"ECCMP";#N/A,#N/A,FALSE,"WELDER.XLS"}</definedName>
    <definedName name="ks" hidden="1">{#N/A,#N/A,FALSE,"COVER.XLS";#N/A,#N/A,FALSE,"RACT1.XLS";#N/A,#N/A,FALSE,"RACT2.XLS";#N/A,#N/A,FALSE,"ECCMP";#N/A,#N/A,FALSE,"WELDER.XLS"}</definedName>
    <definedName name="ksdkdsk" hidden="1">#REF!</definedName>
    <definedName name="kskk" localSheetId="25" hidden="1">{#N/A,#N/A,FALSE,"COVER.XLS";#N/A,#N/A,FALSE,"RACT1.XLS";#N/A,#N/A,FALSE,"RACT2.XLS";#N/A,#N/A,FALSE,"ECCMP";#N/A,#N/A,FALSE,"WELDER.XLS"}</definedName>
    <definedName name="kskk" localSheetId="0" hidden="1">{#N/A,#N/A,FALSE,"COVER.XLS";#N/A,#N/A,FALSE,"RACT1.XLS";#N/A,#N/A,FALSE,"RACT2.XLS";#N/A,#N/A,FALSE,"ECCMP";#N/A,#N/A,FALSE,"WELDER.XLS"}</definedName>
    <definedName name="kskk" localSheetId="5" hidden="1">{#N/A,#N/A,FALSE,"COVER.XLS";#N/A,#N/A,FALSE,"RACT1.XLS";#N/A,#N/A,FALSE,"RACT2.XLS";#N/A,#N/A,FALSE,"ECCMP";#N/A,#N/A,FALSE,"WELDER.XLS"}</definedName>
    <definedName name="kskk" hidden="1">{#N/A,#N/A,FALSE,"COVER.XLS";#N/A,#N/A,FALSE,"RACT1.XLS";#N/A,#N/A,FALSE,"RACT2.XLS";#N/A,#N/A,FALSE,"ECCMP";#N/A,#N/A,FALSE,"WELDER.XLS"}</definedName>
    <definedName name="ksokskosk">#REF!</definedName>
    <definedName name="KUULSD" localSheetId="25" hidden="1">{#N/A,#N/A,FALSE,"COMP"}</definedName>
    <definedName name="KUULSD" localSheetId="5" hidden="1">{#N/A,#N/A,FALSE,"COMP"}</definedName>
    <definedName name="KUULSD" hidden="1">{#N/A,#N/A,FALSE,"COMP"}</definedName>
    <definedName name="kv" localSheetId="25" hidden="1">{#N/A,#N/A,FALSE,"COVER1.XLS ";#N/A,#N/A,FALSE,"RACT1.XLS";#N/A,#N/A,FALSE,"RACT2.XLS";#N/A,#N/A,FALSE,"ECCMP";#N/A,#N/A,FALSE,"WELDER.XLS"}</definedName>
    <definedName name="kv" localSheetId="0" hidden="1">{#N/A,#N/A,FALSE,"COVER1.XLS ";#N/A,#N/A,FALSE,"RACT1.XLS";#N/A,#N/A,FALSE,"RACT2.XLS";#N/A,#N/A,FALSE,"ECCMP";#N/A,#N/A,FALSE,"WELDER.XLS"}</definedName>
    <definedName name="kv" localSheetId="5" hidden="1">{#N/A,#N/A,FALSE,"COVER1.XLS ";#N/A,#N/A,FALSE,"RACT1.XLS";#N/A,#N/A,FALSE,"RACT2.XLS";#N/A,#N/A,FALSE,"ECCMP";#N/A,#N/A,FALSE,"WELDER.XLS"}</definedName>
    <definedName name="kv" hidden="1">{#N/A,#N/A,FALSE,"COVER1.XLS ";#N/A,#N/A,FALSE,"RACT1.XLS";#N/A,#N/A,FALSE,"RACT2.XLS";#N/A,#N/A,FALSE,"ECCMP";#N/A,#N/A,FALSE,"WELDER.XLS"}</definedName>
    <definedName name="kv.avlblty">#REF!</definedName>
    <definedName name="kvs" localSheetId="25" hidden="1">{#N/A,#N/A,FALSE,"COVER1.XLS ";#N/A,#N/A,FALSE,"RACT1.XLS";#N/A,#N/A,FALSE,"RACT2.XLS";#N/A,#N/A,FALSE,"ECCMP";#N/A,#N/A,FALSE,"WELDER.XLS"}</definedName>
    <definedName name="kvs" localSheetId="0" hidden="1">{#N/A,#N/A,FALSE,"COVER1.XLS ";#N/A,#N/A,FALSE,"RACT1.XLS";#N/A,#N/A,FALSE,"RACT2.XLS";#N/A,#N/A,FALSE,"ECCMP";#N/A,#N/A,FALSE,"WELDER.XLS"}</definedName>
    <definedName name="kvs" localSheetId="5" hidden="1">{#N/A,#N/A,FALSE,"COVER1.XLS ";#N/A,#N/A,FALSE,"RACT1.XLS";#N/A,#N/A,FALSE,"RACT2.XLS";#N/A,#N/A,FALSE,"ECCMP";#N/A,#N/A,FALSE,"WELDER.XLS"}</definedName>
    <definedName name="kvs" hidden="1">{#N/A,#N/A,FALSE,"COVER1.XLS ";#N/A,#N/A,FALSE,"RACT1.XLS";#N/A,#N/A,FALSE,"RACT2.XLS";#N/A,#N/A,FALSE,"ECCMP";#N/A,#N/A,FALSE,"WELDER.XLS"}</definedName>
    <definedName name="kvv" localSheetId="25" hidden="1">{#N/A,#N/A,FALSE,"COVER.XLS";#N/A,#N/A,FALSE,"RACT1.XLS";#N/A,#N/A,FALSE,"RACT2.XLS";#N/A,#N/A,FALSE,"ECCMP";#N/A,#N/A,FALSE,"WELDER.XLS"}</definedName>
    <definedName name="kvv" localSheetId="0" hidden="1">{#N/A,#N/A,FALSE,"COVER.XLS";#N/A,#N/A,FALSE,"RACT1.XLS";#N/A,#N/A,FALSE,"RACT2.XLS";#N/A,#N/A,FALSE,"ECCMP";#N/A,#N/A,FALSE,"WELDER.XLS"}</definedName>
    <definedName name="kvv" localSheetId="5" hidden="1">{#N/A,#N/A,FALSE,"COVER.XLS";#N/A,#N/A,FALSE,"RACT1.XLS";#N/A,#N/A,FALSE,"RACT2.XLS";#N/A,#N/A,FALSE,"ECCMP";#N/A,#N/A,FALSE,"WELDER.XLS"}</definedName>
    <definedName name="kvv" hidden="1">{#N/A,#N/A,FALSE,"COVER.XLS";#N/A,#N/A,FALSE,"RACT1.XLS";#N/A,#N/A,FALSE,"RACT2.XLS";#N/A,#N/A,FALSE,"ECCMP";#N/A,#N/A,FALSE,"WELDER.XLS"}</definedName>
    <definedName name="kW">#REF!</definedName>
    <definedName name="L" localSheetId="0">#REF!</definedName>
    <definedName name="l" hidden="1">#REF!</definedName>
    <definedName name="L_">#REF!</definedName>
    <definedName name="L_Adjust" localSheetId="0">#REF!</definedName>
    <definedName name="L_Adjust">#REF!</definedName>
    <definedName name="L_AJE_Tot" localSheetId="0">#REF!</definedName>
    <definedName name="L_AJE_Tot">#REF!</definedName>
    <definedName name="L_CY_Beg" localSheetId="0">#REF!</definedName>
    <definedName name="L_CY_Beg">#REF!</definedName>
    <definedName name="L_CY_End" localSheetId="0">#REF!</definedName>
    <definedName name="L_CY_End">#REF!</definedName>
    <definedName name="L_PY_End" localSheetId="0">#REF!</definedName>
    <definedName name="L_PY_End">#REF!</definedName>
    <definedName name="L_RJE_Tot" localSheetId="0">#REF!</definedName>
    <definedName name="L_RJE_Tot">#REF!</definedName>
    <definedName name="L_T_obligations_under_cap_leases">#REF!</definedName>
    <definedName name="LAC" localSheetId="0">#REF!</definedName>
    <definedName name="LAC">#REF!</definedName>
    <definedName name="Lacs">100000</definedName>
    <definedName name="lala" localSheetId="25" hidden="1">{#N/A,#N/A,FALSE,"Proj.Cost &amp; Means of Fin."}</definedName>
    <definedName name="lala" localSheetId="5" hidden="1">{#N/A,#N/A,FALSE,"Proj.Cost &amp; Means of Fin."}</definedName>
    <definedName name="lala" hidden="1">{#N/A,#N/A,FALSE,"Proj.Cost &amp; Means of Fin."}</definedName>
    <definedName name="Land__Freehold">#REF!</definedName>
    <definedName name="land_buildings">#REF!</definedName>
    <definedName name="LAND_DEV">#REF!</definedName>
    <definedName name="Landing_Cost">#REF!</definedName>
    <definedName name="LANGUAGE_VERSION">#REF!</definedName>
    <definedName name="Last_Row">#N/A</definedName>
    <definedName name="Last_Update">#REF!</definedName>
    <definedName name="LastYear">#REF!</definedName>
    <definedName name="Latest_Indian_Price">#REF!</definedName>
    <definedName name="lavda" localSheetId="0" hidden="1">{"VIEW1",#N/A,FALSE,"P&amp;L Account 2001-2002";"VIEW2",#N/A,FALSE,"P&amp;L Account 2001-2002";"VIEW3",#N/A,FALSE,"P&amp;L Account 2001-2002";"VIEW4",#N/A,FALSE,"P&amp;L Account 2001-2002"}</definedName>
    <definedName name="lavda" hidden="1">{"VIEW1",#N/A,FALSE,"P&amp;L Account 2001-2002";"VIEW2",#N/A,FALSE,"P&amp;L Account 2001-2002";"VIEW3",#N/A,FALSE,"P&amp;L Account 2001-2002";"VIEW4",#N/A,FALSE,"P&amp;L Account 2001-2002"}</definedName>
    <definedName name="LC">#REF!</definedName>
    <definedName name="LCLIST" hidden="1">#REF!</definedName>
    <definedName name="LE">#N/A</definedName>
    <definedName name="Lease_Rent_Received">"income"</definedName>
    <definedName name="Lease_thereafter">#REF!</definedName>
    <definedName name="Lease_years">#REF!</definedName>
    <definedName name="Lease_yr_1">#REF!</definedName>
    <definedName name="Lease_yr_2">#REF!</definedName>
    <definedName name="Lease_yr_3">#REF!</definedName>
    <definedName name="Lease_yr_4">#REF!</definedName>
    <definedName name="Lease_yr_5">#REF!</definedName>
    <definedName name="leo" localSheetId="0" hidden="1">{#N/A,#N/A,FALSE,"15"}</definedName>
    <definedName name="leo" hidden="1">{#N/A,#N/A,FALSE,"15"}</definedName>
    <definedName name="Lev_COG">#REF!</definedName>
    <definedName name="LEVEL">#REF!</definedName>
    <definedName name="lfdsh95">#REF!</definedName>
    <definedName name="lfdsh96">#REF!</definedName>
    <definedName name="lfdsh97">#REF!</definedName>
    <definedName name="lfdsh98">#REF!</definedName>
    <definedName name="lfdsh99">#REF!</definedName>
    <definedName name="lfdshr00">#REF!</definedName>
    <definedName name="lfdshr01">#REF!</definedName>
    <definedName name="LIAB_PEN">#REF!</definedName>
    <definedName name="LIBOR">#REF!</definedName>
    <definedName name="LICENSE">#REF!</definedName>
    <definedName name="lidfsppdsfio">#REF!</definedName>
    <definedName name="liebherr_risk">#REF!</definedName>
    <definedName name="Life" localSheetId="0">#REF!</definedName>
    <definedName name="Life">#REF!</definedName>
    <definedName name="LIFO_Reserve">#REF!</definedName>
    <definedName name="LILIL" localSheetId="0" hidden="1">{#N/A,#N/A,FALSE,"A"}</definedName>
    <definedName name="LILIL" hidden="1">{#N/A,#N/A,FALSE,"A"}</definedName>
    <definedName name="limcount" hidden="1">1</definedName>
    <definedName name="Links">#REF!</definedName>
    <definedName name="LIST">#REF!</definedName>
    <definedName name="List_1" localSheetId="0">#REF!</definedName>
    <definedName name="List_1">#REF!</definedName>
    <definedName name="ListOfSuperCriticalEquipment">#REF!</definedName>
    <definedName name="LJ" localSheetId="0">#REF!</definedName>
    <definedName name="LJ">#REF!</definedName>
    <definedName name="ljghjv" localSheetId="0" hidden="1">#REF!</definedName>
    <definedName name="ljghjv" hidden="1">#REF!</definedName>
    <definedName name="LJLJJ" localSheetId="25" hidden="1">{#N/A,#N/A,FALSE,"FREE"}</definedName>
    <definedName name="LJLJJ" localSheetId="5" hidden="1">{#N/A,#N/A,FALSE,"FREE"}</definedName>
    <definedName name="LJLJJ" hidden="1">{#N/A,#N/A,FALSE,"FREE"}</definedName>
    <definedName name="lk"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fjdl" localSheetId="25" hidden="1">{#N/A,#N/A,FALSE,"Aging Summary";#N/A,#N/A,FALSE,"Ratio Analysis";#N/A,#N/A,FALSE,"Test 120 Day Accts";#N/A,#N/A,FALSE,"Tickmarks"}</definedName>
    <definedName name="lkfjdl" localSheetId="5" hidden="1">{#N/A,#N/A,FALSE,"Aging Summary";#N/A,#N/A,FALSE,"Ratio Analysis";#N/A,#N/A,FALSE,"Test 120 Day Accts";#N/A,#N/A,FALSE,"Tickmarks"}</definedName>
    <definedName name="lkfjdl" hidden="1">{#N/A,#N/A,FALSE,"Aging Summary";#N/A,#N/A,FALSE,"Ratio Analysis";#N/A,#N/A,FALSE,"Test 120 Day Accts";#N/A,#N/A,FALSE,"Tickmarks"}</definedName>
    <definedName name="LKJ" localSheetId="0" hidden="1">{"VIEW1",#N/A,FALSE,"P&amp;L Account 2001-2002";"VIEW2",#N/A,FALSE,"P&amp;L Account 2001-2002";"VIEW3",#N/A,FALSE,"P&amp;L Account 2001-2002";"VIEW4",#N/A,FALSE,"P&amp;L Account 2001-2002"}</definedName>
    <definedName name="LKJ" hidden="1">{"VIEW1",#N/A,FALSE,"P&amp;L Account 2001-2002";"VIEW2",#N/A,FALSE,"P&amp;L Account 2001-2002";"VIEW3",#N/A,FALSE,"P&amp;L Account 2001-2002";"VIEW4",#N/A,FALSE,"P&amp;L Account 2001-2002"}</definedName>
    <definedName name="ll" localSheetId="0" hidden="1">{"VIEW1",#N/A,FALSE,"P&amp;L Account 2001-2002";"VIEW2",#N/A,FALSE,"P&amp;L Account 2001-2002";"VIEW3",#N/A,FALSE,"P&amp;L Account 2001-2002";"VIEW4",#N/A,FALSE,"P&amp;L Account 2001-2002"}</definedName>
    <definedName name="ll" hidden="1">{"VIEW1",#N/A,FALSE,"P&amp;L Account 2001-2002";"VIEW2",#N/A,FALSE,"P&amp;L Account 2001-2002";"VIEW3",#N/A,FALSE,"P&amp;L Account 2001-2002";"VIEW4",#N/A,FALSE,"P&amp;L Account 2001-2002"}</definedName>
    <definedName name="LL_control" localSheetId="25" hidden="1">{"'August 2000'!$A$1:$J$101"}</definedName>
    <definedName name="LL_control" localSheetId="5" hidden="1">{"'August 2000'!$A$1:$J$101"}</definedName>
    <definedName name="LL_control" hidden="1">{"'August 2000'!$A$1:$J$101"}</definedName>
    <definedName name="llJkljl">#REF!</definedName>
    <definedName name="LLL" localSheetId="0" hidden="1">#REF!</definedName>
    <definedName name="LLL" hidden="1">#REF!</definedName>
    <definedName name="llll">#REF!</definedName>
    <definedName name="llllllllllllllll">#REF!</definedName>
    <definedName name="lllllllllllllllllll" localSheetId="0">#REF!</definedName>
    <definedName name="lllllllllllllllllll">#REF!</definedName>
    <definedName name="llxop">#REF!</definedName>
    <definedName name="lmit">#REF!</definedName>
    <definedName name="lnkjlokhjo" localSheetId="25" hidden="1">{#N/A,#N/A,FALSE,"1";#N/A,#N/A,FALSE,"2";#N/A,#N/A,FALSE,"3";#N/A,#N/A,FALSE,"4";#N/A,#N/A,FALSE,"5";#N/A,#N/A,FALSE,"6";#N/A,#N/A,FALSE,"7";#N/A,#N/A,FALSE,"8";#N/A,#N/A,FALSE,"9";#N/A,#N/A,FALSE,"10";#N/A,#N/A,FALSE,"11";#N/A,#N/A,FALSE,"12";#N/A,#N/A,FALSE,"13";#N/A,#N/A,FALSE,"14";#N/A,#N/A,FALSE,"15";#N/A,#N/A,FALSE,"16";#N/A,#N/A,FALSE,"17"}</definedName>
    <definedName name="lnkjlokhjo" localSheetId="0" hidden="1">{#N/A,#N/A,FALSE,"1";#N/A,#N/A,FALSE,"2";#N/A,#N/A,FALSE,"3";#N/A,#N/A,FALSE,"4";#N/A,#N/A,FALSE,"5";#N/A,#N/A,FALSE,"6";#N/A,#N/A,FALSE,"7";#N/A,#N/A,FALSE,"8";#N/A,#N/A,FALSE,"9";#N/A,#N/A,FALSE,"10";#N/A,#N/A,FALSE,"11";#N/A,#N/A,FALSE,"12";#N/A,#N/A,FALSE,"13";#N/A,#N/A,FALSE,"14";#N/A,#N/A,FALSE,"15";#N/A,#N/A,FALSE,"16";#N/A,#N/A,FALSE,"17"}</definedName>
    <definedName name="lnkjlokhjo" localSheetId="5" hidden="1">{#N/A,#N/A,FALSE,"1";#N/A,#N/A,FALSE,"2";#N/A,#N/A,FALSE,"3";#N/A,#N/A,FALSE,"4";#N/A,#N/A,FALSE,"5";#N/A,#N/A,FALSE,"6";#N/A,#N/A,FALSE,"7";#N/A,#N/A,FALSE,"8";#N/A,#N/A,FALSE,"9";#N/A,#N/A,FALSE,"10";#N/A,#N/A,FALSE,"11";#N/A,#N/A,FALSE,"12";#N/A,#N/A,FALSE,"13";#N/A,#N/A,FALSE,"14";#N/A,#N/A,FALSE,"15";#N/A,#N/A,FALSE,"16";#N/A,#N/A,FALSE,"17"}</definedName>
    <definedName name="lnkjlokhjo" hidden="1">{#N/A,#N/A,FALSE,"1";#N/A,#N/A,FALSE,"2";#N/A,#N/A,FALSE,"3";#N/A,#N/A,FALSE,"4";#N/A,#N/A,FALSE,"5";#N/A,#N/A,FALSE,"6";#N/A,#N/A,FALSE,"7";#N/A,#N/A,FALSE,"8";#N/A,#N/A,FALSE,"9";#N/A,#N/A,FALSE,"10";#N/A,#N/A,FALSE,"11";#N/A,#N/A,FALSE,"12";#N/A,#N/A,FALSE,"13";#N/A,#N/A,FALSE,"14";#N/A,#N/A,FALSE,"15";#N/A,#N/A,FALSE,"16";#N/A,#N/A,FALSE,"17"}</definedName>
    <definedName name="LO" localSheetId="0">#REF!</definedName>
    <definedName name="LO">#REF!</definedName>
    <definedName name="loan">#REF!</definedName>
    <definedName name="Loan_Amount">#REF!</definedName>
    <definedName name="Loan_Amountneu">#REF!</definedName>
    <definedName name="loan_cntr">#REF!</definedName>
    <definedName name="Loan_Loss_Provision_fore">#REF!</definedName>
    <definedName name="Loan_Start">#REF!</definedName>
    <definedName name="Loan_Years">#REF!</definedName>
    <definedName name="LOANRATE" localSheetId="0">#REF!</definedName>
    <definedName name="LOANRATE">#REF!</definedName>
    <definedName name="loans_advances">#REF!</definedName>
    <definedName name="LoansandAdvances">#REF!</definedName>
    <definedName name="LOANTO" localSheetId="0">#REF!</definedName>
    <definedName name="LOANTO">#REF!</definedName>
    <definedName name="Locations">#REF!</definedName>
    <definedName name="logo">"Object 1"</definedName>
    <definedName name="loi" localSheetId="25" hidden="1">{#N/A,#N/A,TRUE,"Front";#N/A,#N/A,TRUE,"Simple Letter";#N/A,#N/A,TRUE,"Inside";#N/A,#N/A,TRUE,"Contents";#N/A,#N/A,TRUE,"Basis";#N/A,#N/A,TRUE,"Inclusions";#N/A,#N/A,TRUE,"Exclusions";#N/A,#N/A,TRUE,"Areas";#N/A,#N/A,TRUE,"Summary";#N/A,#N/A,TRUE,"Detail"}</definedName>
    <definedName name="loi" localSheetId="5" hidden="1">{#N/A,#N/A,TRUE,"Front";#N/A,#N/A,TRUE,"Simple Letter";#N/A,#N/A,TRUE,"Inside";#N/A,#N/A,TRUE,"Contents";#N/A,#N/A,TRUE,"Basis";#N/A,#N/A,TRUE,"Inclusions";#N/A,#N/A,TRUE,"Exclusions";#N/A,#N/A,TRUE,"Areas";#N/A,#N/A,TRUE,"Summary";#N/A,#N/A,TRUE,"Detail"}</definedName>
    <definedName name="loi" hidden="1">{#N/A,#N/A,TRUE,"Front";#N/A,#N/A,TRUE,"Simple Letter";#N/A,#N/A,TRUE,"Inside";#N/A,#N/A,TRUE,"Contents";#N/A,#N/A,TRUE,"Basis";#N/A,#N/A,TRUE,"Inclusions";#N/A,#N/A,TRUE,"Exclusions";#N/A,#N/A,TRUE,"Areas";#N/A,#N/A,TRUE,"Summary";#N/A,#N/A,TRUE,"Detail"}</definedName>
    <definedName name="LOLD">1</definedName>
    <definedName name="LOLD_Table">15</definedName>
    <definedName name="Look1Area">#REF!</definedName>
    <definedName name="Look2Area">#REF!</definedName>
    <definedName name="Look3Area">#REF!</definedName>
    <definedName name="Look4Area">#REF!</definedName>
    <definedName name="Look5Area">#REF!</definedName>
    <definedName name="LOOSETOOLS_ES_TA">#REF!</definedName>
    <definedName name="LOOSETOOLS_ES_TD">#REF!</definedName>
    <definedName name="loth96">#REF!</definedName>
    <definedName name="loth97">#REF!</definedName>
    <definedName name="loth98">#REF!</definedName>
    <definedName name="loth99">#REF!</definedName>
    <definedName name="LOTUS">#REF!</definedName>
    <definedName name="lpfd98">#REF!</definedName>
    <definedName name="lpfd99">#REF!</definedName>
    <definedName name="lshr94">#REF!</definedName>
    <definedName name="lshr95">#REF!</definedName>
    <definedName name="lshr96">#REF!</definedName>
    <definedName name="lshr97">#REF!</definedName>
    <definedName name="lshr98">#REF!</definedName>
    <definedName name="lshr99">#REF!</definedName>
    <definedName name="lslsl" hidden="1">#REF!</definedName>
    <definedName name="lstMetrics" localSheetId="0">OFFSET(#REF!,0,0,COUNTA(#REF!))</definedName>
    <definedName name="lstMetrics">OFFSET(#REF!,0,0,COUNTA(#REF!))</definedName>
    <definedName name="lstYears" localSheetId="0">OFFSET(#REF!,0,1,1,COUNTA(#REF!)-1)</definedName>
    <definedName name="lstYears">OFFSET(#REF!,0,1,1,COUNTA(#REF!)-1)</definedName>
    <definedName name="LT_debt">#REF!</definedName>
    <definedName name="LT_Debt_1q99">#REF!</definedName>
    <definedName name="lt_debt_foreign">#REF!</definedName>
    <definedName name="lt_debt_lease_financing">#REF!</definedName>
    <definedName name="LtDebtDmy" hidden="1">#REF!,#REF!,#REF!,#REF!,#REF!</definedName>
    <definedName name="ltind">#REF!</definedName>
    <definedName name="LTL_DEBT">#REF!</definedName>
    <definedName name="LTL_TAX">#REF!</definedName>
    <definedName name="LTR_M_NEW" localSheetId="11">#REF!</definedName>
    <definedName name="LTR_M_NEW" localSheetId="13">#REF!</definedName>
    <definedName name="LTR_M_NEW" localSheetId="16">#REF!</definedName>
    <definedName name="LTR_M_NEW" localSheetId="26">#REF!</definedName>
    <definedName name="LTR_M_NEW" localSheetId="32">#REF!</definedName>
    <definedName name="LTR_M_NEW" localSheetId="33">#REF!</definedName>
    <definedName name="LTR_M_NEW" localSheetId="34">#REF!</definedName>
    <definedName name="LTR_M_NEW" localSheetId="35">#REF!</definedName>
    <definedName name="LTR_M_NEW">#REF!</definedName>
    <definedName name="LTR_MOR" localSheetId="11">#REF!</definedName>
    <definedName name="LTR_MOR" localSheetId="13">#REF!</definedName>
    <definedName name="LTR_MOR" localSheetId="16">#REF!</definedName>
    <definedName name="LTR_MOR" localSheetId="26">#REF!</definedName>
    <definedName name="LTR_MOR" localSheetId="32">#REF!</definedName>
    <definedName name="LTR_MOR" localSheetId="33">#REF!</definedName>
    <definedName name="LTR_MOR" localSheetId="34">#REF!</definedName>
    <definedName name="LTR_MOR" localSheetId="35">#REF!</definedName>
    <definedName name="LTR_MOR">#REF!</definedName>
    <definedName name="lumnm" localSheetId="25" hidden="1">{#N/A,#N/A,TRUE,"Front";#N/A,#N/A,TRUE,"Simple Letter";#N/A,#N/A,TRUE,"Inside";#N/A,#N/A,TRUE,"Contents";#N/A,#N/A,TRUE,"Basis";#N/A,#N/A,TRUE,"Inclusions";#N/A,#N/A,TRUE,"Exclusions";#N/A,#N/A,TRUE,"Areas";#N/A,#N/A,TRUE,"Summary";#N/A,#N/A,TRUE,"Detail"}</definedName>
    <definedName name="lumnm" localSheetId="5" hidden="1">{#N/A,#N/A,TRUE,"Front";#N/A,#N/A,TRUE,"Simple Letter";#N/A,#N/A,TRUE,"Inside";#N/A,#N/A,TRUE,"Contents";#N/A,#N/A,TRUE,"Basis";#N/A,#N/A,TRUE,"Inclusions";#N/A,#N/A,TRUE,"Exclusions";#N/A,#N/A,TRUE,"Areas";#N/A,#N/A,TRUE,"Summary";#N/A,#N/A,TRUE,"Detail"}</definedName>
    <definedName name="lumnm" hidden="1">{#N/A,#N/A,TRUE,"Front";#N/A,#N/A,TRUE,"Simple Letter";#N/A,#N/A,TRUE,"Inside";#N/A,#N/A,TRUE,"Contents";#N/A,#N/A,TRUE,"Basis";#N/A,#N/A,TRUE,"Inclusions";#N/A,#N/A,TRUE,"Exclusions";#N/A,#N/A,TRUE,"Areas";#N/A,#N/A,TRUE,"Summary";#N/A,#N/A,TRUE,"Detail"}</definedName>
    <definedName name="LWSALES">#REF!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 localSheetId="0">#REF!</definedName>
    <definedName name="M">#REF!</definedName>
    <definedName name="M.E.">#REF!</definedName>
    <definedName name="M_">#REF!</definedName>
    <definedName name="M_A_L_G_A">#N/A</definedName>
    <definedName name="M_L_N_G">#N/A</definedName>
    <definedName name="M_P_D_P">#N/A</definedName>
    <definedName name="M_PlaceofPath" hidden="1">"\\SNYCEQT0100\HOME\LZURLO\DATA\TELMEX\Models\tmx_vdf.xls"</definedName>
    <definedName name="M1_">#REF!</definedName>
    <definedName name="m105.">#REF!</definedName>
    <definedName name="M2_">#REF!</definedName>
    <definedName name="MACHINETOOLS_ES_TA">#REF!</definedName>
    <definedName name="MACHINETOOLS_ES_TD">#REF!</definedName>
    <definedName name="macre1">NA()</definedName>
    <definedName name="Macro1">#REF!</definedName>
    <definedName name="Macro10">#REF!</definedName>
    <definedName name="Macro11">#REF!</definedName>
    <definedName name="Macro12">#REF!</definedName>
    <definedName name="Macro13">#REF!</definedName>
    <definedName name="Macro17">#REF!</definedName>
    <definedName name="Macro18">#REF!</definedName>
    <definedName name="Macro2">#REF!</definedName>
    <definedName name="Macro21">#REF!</definedName>
    <definedName name="Macro22">#REF!</definedName>
    <definedName name="Macro23">#REF!</definedName>
    <definedName name="Macro24">#REF!</definedName>
    <definedName name="Macro25">#REF!</definedName>
    <definedName name="Macro26">#REF!</definedName>
    <definedName name="Macro27">#REF!</definedName>
    <definedName name="Macro28">#REF!</definedName>
    <definedName name="Macro29">#REF!</definedName>
    <definedName name="Macro3">#REF!</definedName>
    <definedName name="Macro30">#REF!</definedName>
    <definedName name="Macro31">#REF!</definedName>
    <definedName name="Macro32">#REF!</definedName>
    <definedName name="Macro33">#REF!</definedName>
    <definedName name="Macro34">#REF!</definedName>
    <definedName name="Macro4">#REF!</definedName>
    <definedName name="Macro5">#REF!</definedName>
    <definedName name="Macro6">#REF!</definedName>
    <definedName name="Macro7">#REF!</definedName>
    <definedName name="Macro8">#REF!</definedName>
    <definedName name="Maha" hidden="1">{#N/A,#N/A,FALSE,"SUMMARY REPORT"}</definedName>
    <definedName name="mahMah">#REF!</definedName>
    <definedName name="MailSystem">"Mail System"</definedName>
    <definedName name="MailSystem_Grade">"C"</definedName>
    <definedName name="MAIN">#REF!</definedName>
    <definedName name="MAIN_01">#REF!</definedName>
    <definedName name="MAJOR">#REF!</definedName>
    <definedName name="MAKEQTY">#N/A</definedName>
    <definedName name="MAKEQTYNU">#N/A</definedName>
    <definedName name="MAKETWT">#N/A</definedName>
    <definedName name="MAKETWTNU">#N/A</definedName>
    <definedName name="man">#REF!</definedName>
    <definedName name="mani">#REF!</definedName>
    <definedName name="MANUAL">#REF!</definedName>
    <definedName name="march06" localSheetId="25" hidden="1">{#N/A,#N/A,FALSE,"Aging Summary";#N/A,#N/A,FALSE,"Ratio Analysis";#N/A,#N/A,FALSE,"Test 120 Day Accts";#N/A,#N/A,FALSE,"Tickmarks"}</definedName>
    <definedName name="march06" localSheetId="5"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25" hidden="1">{#N/A,#N/A,FALSE,"Aging Summary";#N/A,#N/A,FALSE,"Ratio Analysis";#N/A,#N/A,FALSE,"Test 120 Day Accts";#N/A,#N/A,FALSE,"Tickmarks"}</definedName>
    <definedName name="march06topsheet" localSheetId="5" hidden="1">{#N/A,#N/A,FALSE,"Aging Summary";#N/A,#N/A,FALSE,"Ratio Analysis";#N/A,#N/A,FALSE,"Test 120 Day Accts";#N/A,#N/A,FALSE,"Tickmarks"}</definedName>
    <definedName name="march06topsheet" hidden="1">{#N/A,#N/A,FALSE,"Aging Summary";#N/A,#N/A,FALSE,"Ratio Analysis";#N/A,#N/A,FALSE,"Test 120 Day Accts";#N/A,#N/A,FALSE,"Tickmarks"}</definedName>
    <definedName name="March2008"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March2008"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MARGIN">#REF!</definedName>
    <definedName name="MarginalNPV10">#REF!</definedName>
    <definedName name="MarginalNPV12">#REF!</definedName>
    <definedName name="MARGINPLAN">#REF!</definedName>
    <definedName name="MARGINPROJ">#REF!</definedName>
    <definedName name="MARK">#REF!</definedName>
    <definedName name="market_capitalisation">#REF!</definedName>
    <definedName name="marketable_securities_at_cost">#REF!</definedName>
    <definedName name="marketing_expenses">#REF!</definedName>
    <definedName name="MaruHold">#REF!</definedName>
    <definedName name="MaruOGI">#REF!</definedName>
    <definedName name="mason">#REF!</definedName>
    <definedName name="Master" localSheetId="25" hidden="1">{"Full Summary",#N/A,FALSE,"Summary"}</definedName>
    <definedName name="Master" localSheetId="5" hidden="1">{"Full Summary",#N/A,FALSE,"Summary"}</definedName>
    <definedName name="Master" hidden="1">{"Full Summary",#N/A,FALSE,"Summary"}</definedName>
    <definedName name="master_cell">#REF!</definedName>
    <definedName name="Master_Phase3" localSheetId="25" hidden="1">{"Full Summary",#N/A,FALSE,"Summary"}</definedName>
    <definedName name="Master_Phase3" localSheetId="5" hidden="1">{"Full Summary",#N/A,FALSE,"Summary"}</definedName>
    <definedName name="Master_Phase3" hidden="1">{"Full Summary",#N/A,FALSE,"Summary"}</definedName>
    <definedName name="master_ref">#REF!</definedName>
    <definedName name="mat" localSheetId="25" hidden="1">{#N/A,#N/A,TRUE,"Front";#N/A,#N/A,TRUE,"Simple Letter";#N/A,#N/A,TRUE,"Inside";#N/A,#N/A,TRUE,"Contents";#N/A,#N/A,TRUE,"Basis";#N/A,#N/A,TRUE,"Inclusions";#N/A,#N/A,TRUE,"Exclusions";#N/A,#N/A,TRUE,"Areas";#N/A,#N/A,TRUE,"Summary";#N/A,#N/A,TRUE,"Detail"}</definedName>
    <definedName name="mat" localSheetId="5" hidden="1">{#N/A,#N/A,TRUE,"Front";#N/A,#N/A,TRUE,"Simple Letter";#N/A,#N/A,TRUE,"Inside";#N/A,#N/A,TRUE,"Contents";#N/A,#N/A,TRUE,"Basis";#N/A,#N/A,TRUE,"Inclusions";#N/A,#N/A,TRUE,"Exclusions";#N/A,#N/A,TRUE,"Areas";#N/A,#N/A,TRUE,"Summary";#N/A,#N/A,TRUE,"Detail"}</definedName>
    <definedName name="mat" hidden="1">{#N/A,#N/A,TRUE,"Front";#N/A,#N/A,TRUE,"Simple Letter";#N/A,#N/A,TRUE,"Inside";#N/A,#N/A,TRUE,"Contents";#N/A,#N/A,TRUE,"Basis";#N/A,#N/A,TRUE,"Inclusions";#N/A,#N/A,TRUE,"Exclusions";#N/A,#N/A,TRUE,"Areas";#N/A,#N/A,TRUE,"Summary";#N/A,#N/A,TRUE,"Detail"}</definedName>
    <definedName name="MAT_NO">#N/A</definedName>
    <definedName name="MAT_SIZE">#N/A</definedName>
    <definedName name="MATCent" localSheetId="0">#REF!</definedName>
    <definedName name="MATCent">#REF!</definedName>
    <definedName name="matdata">#REF!</definedName>
    <definedName name="MATERIAL">#N/A</definedName>
    <definedName name="Materiality">#REF!</definedName>
    <definedName name="MATL">#N/A</definedName>
    <definedName name="MATPer" localSheetId="0">#REF!</definedName>
    <definedName name="MATPer">#REF!</definedName>
    <definedName name="MATTYPE">#REF!</definedName>
    <definedName name="MaxDepBook" localSheetId="0">#REF!</definedName>
    <definedName name="MaxDepBook">#REF!</definedName>
    <definedName name="MaxSNo">#REF!</definedName>
    <definedName name="mb_inputLocation" hidden="1">#REF!</definedName>
    <definedName name="MBASE">#REF!</definedName>
    <definedName name="mbn" localSheetId="0">#REF!</definedName>
    <definedName name="mbn">#REF!</definedName>
    <definedName name="mc" localSheetId="0">#REF!</definedName>
    <definedName name="mc">#REF!</definedName>
    <definedName name="MCASHTAX">#REF!</definedName>
    <definedName name="MCOGS">#REF!</definedName>
    <definedName name="MCONSTANT">#REF!</definedName>
    <definedName name="MCOST_CAP">#REF!</definedName>
    <definedName name="MCV.WEEKLY" hidden="1">{#N/A,#N/A,FALSE,"SUMMARY REPORT"}</definedName>
    <definedName name="MDATA_FILE">#REF!</definedName>
    <definedName name="MDEPRECIATION">#REF!</definedName>
    <definedName name="MDEVISES">#REF!,#REF!,#REF!</definedName>
    <definedName name="mdno">#REF!</definedName>
    <definedName name="MDR_BEST_BEF">#REF!</definedName>
    <definedName name="MDR_BSES_BEF">#REF!</definedName>
    <definedName name="MDR_HTCOMM_AFT" localSheetId="0">#REF!</definedName>
    <definedName name="MDR_HTCOMM_AFT">#REF!</definedName>
    <definedName name="MDR_HTCOMM_BEF">#REF!</definedName>
    <definedName name="MDR_HTIND_AFT" localSheetId="0">#REF!</definedName>
    <definedName name="MDR_HTIND_AFT">#REF!</definedName>
    <definedName name="MDR_HTIND_BEF">#REF!</definedName>
    <definedName name="MDR_LTCOMM_AFT" localSheetId="0">#REF!</definedName>
    <definedName name="MDR_LTCOMM_AFT">#REF!</definedName>
    <definedName name="MDR_LTCOMM_BEF">#REF!</definedName>
    <definedName name="MDR_LTIND_AFT" localSheetId="0">#REF!</definedName>
    <definedName name="MDR_LTIND_AFT">#REF!</definedName>
    <definedName name="MDR_LTIND_BEF">#REF!</definedName>
    <definedName name="MDR_RLY_AFT" localSheetId="0">#REF!</definedName>
    <definedName name="MDR_RLY_AFT">#REF!</definedName>
    <definedName name="MDR_RLY_BEF">#REF!</definedName>
    <definedName name="MDR_TIR_BEF">#REF!</definedName>
    <definedName name="MDR_TXT_AFT" localSheetId="0">#REF!</definedName>
    <definedName name="MDR_TXT_AFT">#REF!</definedName>
    <definedName name="MDR_TXT_BEF">#REF!</definedName>
    <definedName name="MENU">#N/A</definedName>
    <definedName name="MEPE" localSheetId="0">#REF!</definedName>
    <definedName name="MEPE">#REF!</definedName>
    <definedName name="Mer_Tariff_Pasted">#REF!</definedName>
    <definedName name="Mer_Tariff_Start">#REF!</definedName>
    <definedName name="MERCOps">#REF!</definedName>
    <definedName name="MERCType">#REF!</definedName>
    <definedName name="MerrillPrintIt" localSheetId="9" hidden="1">#REF!</definedName>
    <definedName name="MerrillPrintIt" localSheetId="8" hidden="1">#REF!</definedName>
    <definedName name="MerrillPrintIt" localSheetId="10" hidden="1">#REF!</definedName>
    <definedName name="MerrillPrintIt" localSheetId="43" hidden="1">#REF!</definedName>
    <definedName name="MerrillPrintIt" localSheetId="46" hidden="1">#REF!</definedName>
    <definedName name="MerrillPrintIt" localSheetId="45" hidden="1">#REF!</definedName>
    <definedName name="MerrillPrintIt" localSheetId="49" hidden="1">#REF!</definedName>
    <definedName name="MerrillPrintIt" localSheetId="50" hidden="1">#REF!</definedName>
    <definedName name="MerrillPrintIt" localSheetId="51" hidden="1">#REF!</definedName>
    <definedName name="MerrillPrintIt" localSheetId="52" hidden="1">#REF!</definedName>
    <definedName name="MerrillPrintIt" localSheetId="56" hidden="1">#REF!</definedName>
    <definedName name="MerrillPrintIt" localSheetId="57" hidden="1">#REF!</definedName>
    <definedName name="MerrillPrintIt" localSheetId="58" hidden="1">#REF!</definedName>
    <definedName name="MerrillPrintIt" localSheetId="59" hidden="1">#REF!</definedName>
    <definedName name="MerrillPrintIt" hidden="1">#REF!</definedName>
    <definedName name="Meter_information">#REF!</definedName>
    <definedName name="METERS_ES_TA">#REF!</definedName>
    <definedName name="METERS_ES_TD">#REF!</definedName>
    <definedName name="METHOD" localSheetId="0">#REF!</definedName>
    <definedName name="METHOD">#REF!</definedName>
    <definedName name="MethodAcc" localSheetId="0">#REF!</definedName>
    <definedName name="MethodAcc">#REF!</definedName>
    <definedName name="MEWarning" hidden="1">1</definedName>
    <definedName name="MFORECAST">#REF!</definedName>
    <definedName name="MFRF">#REF!,#REF!,#REF!,#REF!,#REF!</definedName>
    <definedName name="MGOTO">#REF!</definedName>
    <definedName name="MGRATIOS">#REF!</definedName>
    <definedName name="MGROWTH">#REF!</definedName>
    <definedName name="MGRP">#REF!</definedName>
    <definedName name="mh">#REF!</definedName>
    <definedName name="MHGMGH" localSheetId="25" hidden="1">{#N/A,#N/A,FALSE,"ISBL"}</definedName>
    <definedName name="MHGMGH" localSheetId="5" hidden="1">{#N/A,#N/A,FALSE,"ISBL"}</definedName>
    <definedName name="MHGMGH" hidden="1">{#N/A,#N/A,FALSE,"ISBL"}</definedName>
    <definedName name="MHIST_RATIOS">#REF!</definedName>
    <definedName name="MHISTORICAL">#REF!</definedName>
    <definedName name="MHM" localSheetId="0">#REF!</definedName>
    <definedName name="MHM">#REF!</definedName>
    <definedName name="MI">#REF!</definedName>
    <definedName name="MICON">#N/A</definedName>
    <definedName name="microtome" localSheetId="0" hidden="1">{"VIEW1",#N/A,FALSE,"P&amp;L Account 2001-2002";"VIEW2",#N/A,FALSE,"P&amp;L Account 2001-2002";"VIEW3",#N/A,FALSE,"P&amp;L Account 2001-2002";"VIEW4",#N/A,FALSE,"P&amp;L Account 2001-2002"}</definedName>
    <definedName name="microtome" hidden="1">{"VIEW1",#N/A,FALSE,"P&amp;L Account 2001-2002";"VIEW2",#N/A,FALSE,"P&amp;L Account 2001-2002";"VIEW3",#N/A,FALSE,"P&amp;L Account 2001-2002";"VIEW4",#N/A,FALSE,"P&amp;L Account 2001-2002"}</definedName>
    <definedName name="MID">#N/A</definedName>
    <definedName name="MIII">#REF!</definedName>
    <definedName name="mile">#REF!</definedName>
    <definedName name="mill">#REF!</definedName>
    <definedName name="million">#REF!</definedName>
    <definedName name="Millions">1000000</definedName>
    <definedName name="MIMPORT">#REF!</definedName>
    <definedName name="MIN" localSheetId="0">#REF!</definedName>
    <definedName name="MIN">#REF!</definedName>
    <definedName name="Min_Bid_Sale">#REF!</definedName>
    <definedName name="Min_Bid_Sale_U">#REF!</definedName>
    <definedName name="MINCREASED">#REF!</definedName>
    <definedName name="MINETOTHER">#REF!</definedName>
    <definedName name="MINETPPE">#REF!</definedName>
    <definedName name="Minimum_DSCR">#REF!</definedName>
    <definedName name="MINIT">#REF!</definedName>
    <definedName name="MINOR">#REF!</definedName>
    <definedName name="mINORheAD">#REF!</definedName>
    <definedName name="minorities_pl">#REF!</definedName>
    <definedName name="MINPUT">#REF!</definedName>
    <definedName name="MinSNo">#REF!</definedName>
    <definedName name="MINTENSITY">#REF!</definedName>
    <definedName name="MINVESTMENT">#REF!</definedName>
    <definedName name="MINVESTYEARS">#REF!</definedName>
    <definedName name="MISC">#REF!</definedName>
    <definedName name="misc_exp">#REF!</definedName>
    <definedName name="Miscelleneous_Expenditure">#REF!</definedName>
    <definedName name="MIWORKING">#REF!</definedName>
    <definedName name="mk" hidden="1">#REF!</definedName>
    <definedName name="MKT_COMP">#REF!</definedName>
    <definedName name="MKT_DEBT">#REF!</definedName>
    <definedName name="ML">#N/A</definedName>
    <definedName name="MLM" localSheetId="25" hidden="1">{#N/A,#N/A,FALSE,"Proj.Cost &amp; Means of Fin."}</definedName>
    <definedName name="MLM" localSheetId="5" hidden="1">{#N/A,#N/A,FALSE,"Proj.Cost &amp; Means of Fin."}</definedName>
    <definedName name="MLM" hidden="1">{#N/A,#N/A,FALSE,"Proj.Cost &amp; Means of Fin."}</definedName>
    <definedName name="mm" localSheetId="25" hidden="1">{#N/A,#N/A,TRUE,"Front";#N/A,#N/A,TRUE,"Simple Letter";#N/A,#N/A,TRUE,"Inside";#N/A,#N/A,TRUE,"Contents";#N/A,#N/A,TRUE,"Basis";#N/A,#N/A,TRUE,"Inclusions";#N/A,#N/A,TRUE,"Exclusions";#N/A,#N/A,TRUE,"Areas";#N/A,#N/A,TRUE,"Summary";#N/A,#N/A,TRUE,"Detail"}</definedName>
    <definedName name="mm" localSheetId="0">#REF!</definedName>
    <definedName name="mm" localSheetId="5" hidden="1">{#N/A,#N/A,TRUE,"Front";#N/A,#N/A,TRUE,"Simple Letter";#N/A,#N/A,TRUE,"Inside";#N/A,#N/A,TRUE,"Contents";#N/A,#N/A,TRUE,"Basis";#N/A,#N/A,TRUE,"Inclusions";#N/A,#N/A,TRUE,"Exclusions";#N/A,#N/A,TRUE,"Areas";#N/A,#N/A,TRUE,"Summary";#N/A,#N/A,TRUE,"Detail"}</definedName>
    <definedName name="mm" hidden="1">{#N/A,#N/A,TRUE,"Front";#N/A,#N/A,TRUE,"Simple Letter";#N/A,#N/A,TRUE,"Inside";#N/A,#N/A,TRUE,"Contents";#N/A,#N/A,TRUE,"Basis";#N/A,#N/A,TRUE,"Inclusions";#N/A,#N/A,TRUE,"Exclusions";#N/A,#N/A,TRUE,"Areas";#N/A,#N/A,TRUE,"Summary";#N/A,#N/A,TRUE,"Detail"}</definedName>
    <definedName name="mmac">#REF!</definedName>
    <definedName name="MMAIN">#REF!</definedName>
    <definedName name="MMARGIN">#REF!</definedName>
    <definedName name="mmboe101_96">#REF!</definedName>
    <definedName name="mmboe101_97">#REF!</definedName>
    <definedName name="mmboe101_98">#REF!</definedName>
    <definedName name="mmboe101_99">#REF!</definedName>
    <definedName name="mmboe61_93">#REF!</definedName>
    <definedName name="mmboe61_94">#REF!</definedName>
    <definedName name="mmm" localSheetId="25" hidden="1">{#N/A,#N/A,FALSE,"COVER.XLS";#N/A,#N/A,FALSE,"RACT1.XLS";#N/A,#N/A,FALSE,"RACT2.XLS";#N/A,#N/A,FALSE,"ECCMP";#N/A,#N/A,FALSE,"WELDER.XLS"}</definedName>
    <definedName name="mmm" localSheetId="0" hidden="1">{#N/A,#N/A,FALSE,"COVER.XLS";#N/A,#N/A,FALSE,"RACT1.XLS";#N/A,#N/A,FALSE,"RACT2.XLS";#N/A,#N/A,FALSE,"ECCMP";#N/A,#N/A,FALSE,"WELDER.XLS"}</definedName>
    <definedName name="mmm" localSheetId="5" hidden="1">{#N/A,#N/A,FALSE,"COVER.XLS";#N/A,#N/A,FALSE,"RACT1.XLS";#N/A,#N/A,FALSE,"RACT2.XLS";#N/A,#N/A,FALSE,"ECCMP";#N/A,#N/A,FALSE,"WELDER.XLS"}</definedName>
    <definedName name="mmm" hidden="1">{#N/A,#N/A,FALSE,"COVER.XLS";#N/A,#N/A,FALSE,"RACT1.XLS";#N/A,#N/A,FALSE,"RACT2.XLS";#N/A,#N/A,FALSE,"ECCMP";#N/A,#N/A,FALSE,"WELDER.XLS"}</definedName>
    <definedName name="mmmm">#REF!</definedName>
    <definedName name="mmmmmmmmmmmm">#REF!</definedName>
    <definedName name="mmnbv" hidden="1">{#N/A,#N/A,FALSE,"SUMMARY REPORT"}</definedName>
    <definedName name="mmno">#REF!</definedName>
    <definedName name="mn" localSheetId="25" hidden="1">{"'Sheet1'!$L$16"}</definedName>
    <definedName name="mn" localSheetId="0" hidden="1">{"'Sheet1'!$L$16"}</definedName>
    <definedName name="mn" localSheetId="5" hidden="1">{"'Sheet1'!$L$16"}</definedName>
    <definedName name="mn" hidden="1">{"'Sheet1'!$L$16"}</definedName>
    <definedName name="MNETPPE">#REF!</definedName>
    <definedName name="mng">#REF!</definedName>
    <definedName name="mnh" hidden="1">{#N/A,#N/A,FALSE,"SUMMARY REPORT"}</definedName>
    <definedName name="MNOPLAT">#REF!</definedName>
    <definedName name="mo">#REF!</definedName>
    <definedName name="MO_DES">#N/A</definedName>
    <definedName name="MO_NO">#N/A</definedName>
    <definedName name="MOD" localSheetId="0">#REF!</definedName>
    <definedName name="MOD">#REF!</definedName>
    <definedName name="MODEL">#N/A</definedName>
    <definedName name="MODES">#N/A</definedName>
    <definedName name="MODESC">#N/A</definedName>
    <definedName name="MOGOTO">#REF!</definedName>
    <definedName name="MOITEM">#N/A</definedName>
    <definedName name="Monetary_Precision">#REF!</definedName>
    <definedName name="MONITORPNT" localSheetId="0">#REF!</definedName>
    <definedName name="MONITORPNT" localSheetId="46">#REF!</definedName>
    <definedName name="MONITORPNT" localSheetId="45">#REF!</definedName>
    <definedName name="MONITORPNT" localSheetId="49">#REF!</definedName>
    <definedName name="MONITORPNT" localSheetId="50">#REF!</definedName>
    <definedName name="MONITORPNT" localSheetId="51">#REF!</definedName>
    <definedName name="MONITORPNT" localSheetId="52">#REF!</definedName>
    <definedName name="MONITORPNT" localSheetId="56">#REF!</definedName>
    <definedName name="MONITORPNT" localSheetId="57">#REF!</definedName>
    <definedName name="MONITORPNT" localSheetId="58">#REF!</definedName>
    <definedName name="MONITORPNT" localSheetId="59">#REF!</definedName>
    <definedName name="MONITORPNT">#REF!</definedName>
    <definedName name="MONO">#N/A</definedName>
    <definedName name="month">#REF!</definedName>
    <definedName name="Month2">#REF!</definedName>
    <definedName name="Months_of_Construction">#REF!</definedName>
    <definedName name="Morat" localSheetId="0">#REF!</definedName>
    <definedName name="Morat">#REF!</definedName>
    <definedName name="MOTHER">#REF!</definedName>
    <definedName name="MOTORVEHICLE_ES_TA">#REF!</definedName>
    <definedName name="MOTORVEHICLE_ES_TD">#REF!</definedName>
    <definedName name="MP" localSheetId="0" hidden="1">{"VIEW1",#N/A,FALSE,"P&amp;L Account 2001-2002";"VIEW2",#N/A,FALSE,"P&amp;L Account 2001-2002";"VIEW3",#N/A,FALSE,"P&amp;L Account 2001-2002";"VIEW4",#N/A,FALSE,"P&amp;L Account 2001-2002"}</definedName>
    <definedName name="MP" hidden="1">{"VIEW1",#N/A,FALSE,"P&amp;L Account 2001-2002";"VIEW2",#N/A,FALSE,"P&amp;L Account 2001-2002";"VIEW3",#N/A,FALSE,"P&amp;L Account 2001-2002";"VIEW4",#N/A,FALSE,"P&amp;L Account 2001-2002"}</definedName>
    <definedName name="MPEOH">#N/A</definedName>
    <definedName name="MPREROIC">#REF!</definedName>
    <definedName name="MPRINT">#REF!</definedName>
    <definedName name="mpwr">#REF!</definedName>
    <definedName name="mrcniboe">#REF!</definedName>
    <definedName name="MrgnTax">#REF!</definedName>
    <definedName name="MROIC">#REF!</definedName>
    <definedName name="MROICYEARS">#REF!</definedName>
    <definedName name="MRTREE">#REF!</definedName>
    <definedName name="MS">#REF!</definedName>
    <definedName name="ms.temp"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MSG_A">#REF!</definedName>
    <definedName name="msjj" localSheetId="25" hidden="1">{#N/A,#N/A,FALSE,"Proj.Cost &amp; Means of Fin."}</definedName>
    <definedName name="msjj" localSheetId="5" hidden="1">{#N/A,#N/A,FALSE,"Proj.Cost &amp; Means of Fin."}</definedName>
    <definedName name="msjj" hidden="1">{#N/A,#N/A,FALSE,"Proj.Cost &amp; Means of Fin."}</definedName>
    <definedName name="MStVal" localSheetId="0">#REF!</definedName>
    <definedName name="MStVal">#REF!</definedName>
    <definedName name="mtax">#REF!</definedName>
    <definedName name="mth" localSheetId="0">#REF!</definedName>
    <definedName name="mth">#REF!</definedName>
    <definedName name="MTL">#N/A</definedName>
    <definedName name="MTPI">#REF!</definedName>
    <definedName name="MTREE_INVEST">#REF!</definedName>
    <definedName name="MTRTRNCAP" comment="MTK original" localSheetId="0">#REF!</definedName>
    <definedName name="MTRTRNCAP" comment="MTK original">#REF!</definedName>
    <definedName name="MTURNOVER">#REF!</definedName>
    <definedName name="Mullions" localSheetId="25" hidden="1">{#N/A,#N/A,TRUE,"Front";#N/A,#N/A,TRUE,"Simple Letter";#N/A,#N/A,TRUE,"Inside";#N/A,#N/A,TRUE,"Contents";#N/A,#N/A,TRUE,"Basis";#N/A,#N/A,TRUE,"Inclusions";#N/A,#N/A,TRUE,"Exclusions";#N/A,#N/A,TRUE,"Areas";#N/A,#N/A,TRUE,"Summary";#N/A,#N/A,TRUE,"Detail"}</definedName>
    <definedName name="Mullions" localSheetId="0" hidden="1">{#N/A,#N/A,TRUE,"Front";#N/A,#N/A,TRUE,"Simple Letter";#N/A,#N/A,TRUE,"Inside";#N/A,#N/A,TRUE,"Contents";#N/A,#N/A,TRUE,"Basis";#N/A,#N/A,TRUE,"Inclusions";#N/A,#N/A,TRUE,"Exclusions";#N/A,#N/A,TRUE,"Areas";#N/A,#N/A,TRUE,"Summary";#N/A,#N/A,TRUE,"Detail"}</definedName>
    <definedName name="Mullions" localSheetId="5" hidden="1">{#N/A,#N/A,TRUE,"Front";#N/A,#N/A,TRUE,"Simple Letter";#N/A,#N/A,TRUE,"Inside";#N/A,#N/A,TRUE,"Contents";#N/A,#N/A,TRUE,"Basis";#N/A,#N/A,TRUE,"Inclusions";#N/A,#N/A,TRUE,"Exclusions";#N/A,#N/A,TRUE,"Areas";#N/A,#N/A,TRUE,"Summary";#N/A,#N/A,TRUE,"Detail"}</definedName>
    <definedName name="Mullions" hidden="1">{#N/A,#N/A,TRUE,"Front";#N/A,#N/A,TRUE,"Simple Letter";#N/A,#N/A,TRUE,"Inside";#N/A,#N/A,TRUE,"Contents";#N/A,#N/A,TRUE,"Basis";#N/A,#N/A,TRUE,"Inclusions";#N/A,#N/A,TRUE,"Exclusions";#N/A,#N/A,TRUE,"Areas";#N/A,#N/A,TRUE,"Summary";#N/A,#N/A,TRUE,"Detail"}</definedName>
    <definedName name="MURALI">#REF!</definedName>
    <definedName name="MVALUE">#REF!</definedName>
    <definedName name="MVEHICLE_GEN_TA">#REF!</definedName>
    <definedName name="MVEHICLE_GEN_TD">#REF!</definedName>
    <definedName name="MWACC">#REF!</definedName>
    <definedName name="MWINDOW">#REF!</definedName>
    <definedName name="MWORKING">#REF!</definedName>
    <definedName name="my_asean">#REF!</definedName>
    <definedName name="my_asean5">#REF!</definedName>
    <definedName name="my_asia">#REF!</definedName>
    <definedName name="MYCAP" localSheetId="0">#REF!</definedName>
    <definedName name="MYCAP">#REF!</definedName>
    <definedName name="myDialog">"dial"</definedName>
    <definedName name="MYLOAN" localSheetId="0">#REF!</definedName>
    <definedName name="MYLOAN">#REF!</definedName>
    <definedName name="MYRATE" localSheetId="0">#REF!</definedName>
    <definedName name="MYRATE">#REF!</definedName>
    <definedName name="MYTO" localSheetId="0">#REF!</definedName>
    <definedName name="MYTO">#REF!</definedName>
    <definedName name="MYUJTG" localSheetId="25" hidden="1">{#N/A,#N/A,FALSE,"EW"}</definedName>
    <definedName name="MYUJTG" localSheetId="5" hidden="1">{#N/A,#N/A,FALSE,"EW"}</definedName>
    <definedName name="MYUJTG" hidden="1">{#N/A,#N/A,FALSE,"EW"}</definedName>
    <definedName name="N" localSheetId="0">#REF!</definedName>
    <definedName name="n" hidden="1">#REF!</definedName>
    <definedName name="N_">#REF!</definedName>
    <definedName name="N_A">#REF!</definedName>
    <definedName name="na"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M_1">#N/A</definedName>
    <definedName name="name" localSheetId="0">#REF!</definedName>
    <definedName name="name">#REF!</definedName>
    <definedName name="name1">#REF!</definedName>
    <definedName name="Nashik" hidden="1">#REF!</definedName>
    <definedName name="NashResLife16">#REF!</definedName>
    <definedName name="NasResLife">#REF!</definedName>
    <definedName name="NATION" localSheetId="0">#REF!</definedName>
    <definedName name="NATION">#REF!</definedName>
    <definedName name="natunagas00">#REF!</definedName>
    <definedName name="natunagas01">#REF!</definedName>
    <definedName name="Nature27">#REF!</definedName>
    <definedName name="NatureBusiness" localSheetId="0">#REF!</definedName>
    <definedName name="NatureBusiness">#REF!</definedName>
    <definedName name="navneet" localSheetId="25" hidden="1">{"'Sheet3'!$A$1:$B$30"}</definedName>
    <definedName name="navneet" localSheetId="5" hidden="1">{"'Sheet3'!$A$1:$B$30"}</definedName>
    <definedName name="navneet" hidden="1">{"'Sheet3'!$A$1:$B$30"}</definedName>
    <definedName name="NavPane">#REF!</definedName>
    <definedName name="nbc" localSheetId="25" hidden="1">{#N/A,#N/A,TRUE,"Front";#N/A,#N/A,TRUE,"Simple Letter";#N/A,#N/A,TRUE,"Inside";#N/A,#N/A,TRUE,"Contents";#N/A,#N/A,TRUE,"Basis";#N/A,#N/A,TRUE,"Inclusions";#N/A,#N/A,TRUE,"Exclusions";#N/A,#N/A,TRUE,"Areas";#N/A,#N/A,TRUE,"Summary";#N/A,#N/A,TRUE,"Detail"}</definedName>
    <definedName name="nbc" localSheetId="5" hidden="1">{#N/A,#N/A,TRUE,"Front";#N/A,#N/A,TRUE,"Simple Letter";#N/A,#N/A,TRUE,"Inside";#N/A,#N/A,TRUE,"Contents";#N/A,#N/A,TRUE,"Basis";#N/A,#N/A,TRUE,"Inclusions";#N/A,#N/A,TRUE,"Exclusions";#N/A,#N/A,TRUE,"Areas";#N/A,#N/A,TRUE,"Summary";#N/A,#N/A,TRUE,"Detail"}</definedName>
    <definedName name="nbc" hidden="1">{#N/A,#N/A,TRUE,"Front";#N/A,#N/A,TRUE,"Simple Letter";#N/A,#N/A,TRUE,"Inside";#N/A,#N/A,TRUE,"Contents";#N/A,#N/A,TRUE,"Basis";#N/A,#N/A,TRUE,"Inclusions";#N/A,#N/A,TRUE,"Exclusions";#N/A,#N/A,TRUE,"Areas";#N/A,#N/A,TRUE,"Summary";#N/A,#N/A,TRUE,"Detail"}</definedName>
    <definedName name="nbdvqn">#REF!</definedName>
    <definedName name="NBhusResLife">#REF!</definedName>
    <definedName name="nbn">#REF!</definedName>
    <definedName name="NBNNBN" localSheetId="0" hidden="1">{#N/A,#N/A,FALSE,"A"}</definedName>
    <definedName name="NBNNBN" hidden="1">{#N/A,#N/A,FALSE,"A"}</definedName>
    <definedName name="NBV_per_share">#REF!</definedName>
    <definedName name="ND_EQ">#REF!</definedName>
    <definedName name="NDEM">#REF!</definedName>
    <definedName name="NDGNDN" localSheetId="25" hidden="1">{"'Mach'!$A$1:$D$39"}</definedName>
    <definedName name="NDGNDN" localSheetId="5" hidden="1">{"'Mach'!$A$1:$D$39"}</definedName>
    <definedName name="NDGNDN" hidden="1">{"'Mach'!$A$1:$D$39"}</definedName>
    <definedName name="needle">#REF!</definedName>
    <definedName name="Net_Adj_capitalized_expenses">#REF!</definedName>
    <definedName name="Net_cash">#REF!</definedName>
    <definedName name="net_chg_in_cash">#REF!</definedName>
    <definedName name="net_debt_cash">#REF!</definedName>
    <definedName name="NET_DEBTY2002D">#REF!</definedName>
    <definedName name="NET_DEBTY2003D">#REF!</definedName>
    <definedName name="NET_DEBTY2004D">#REF!</definedName>
    <definedName name="NET_DEBTY2005D">#REF!</definedName>
    <definedName name="Net_financial_expense">#REF!</definedName>
    <definedName name="Net_fixed_assets">#REF!</definedName>
    <definedName name="net_fixed_assets_avg">#REF!</definedName>
    <definedName name="Net_Income">#REF!</definedName>
    <definedName name="Net_income_adj_cap_expenses">#REF!</definedName>
    <definedName name="Net_income_growth">#REF!</definedName>
    <definedName name="Net_increase_in_cash_and_cash_equivalents">#REF!</definedName>
    <definedName name="net_investible_bhagya_premiums">#REF!</definedName>
    <definedName name="net_investible_bhagya_premiums___april_2003">#REF!</definedName>
    <definedName name="net_investible_bhagya_premiums___april_2003___balf">#REF!</definedName>
    <definedName name="net_investible_bhagya_premiums___april_2003___capf">#REF!</definedName>
    <definedName name="net_investible_bhagya_premiums___balf">#REF!</definedName>
    <definedName name="net_investible_bhagya_premiums___capf">#REF!</definedName>
    <definedName name="Net_margin">#REF!</definedName>
    <definedName name="Net_PPE">#REF!</definedName>
    <definedName name="Net_PPE_DCF">#REF!</definedName>
    <definedName name="Net_profit" localSheetId="0">#REF!</definedName>
    <definedName name="Net_profit">#REF!</definedName>
    <definedName name="Net_property_under_capital_leases">#REF!</definedName>
    <definedName name="Net_sales">#REF!</definedName>
    <definedName name="Net_sales_DCF">#REF!</definedName>
    <definedName name="Net_Tax_Benefit_of_Non_Op_Charges_Gains">#REF!</definedName>
    <definedName name="Net_Unrealized_Gains_Losses">#REF!</definedName>
    <definedName name="Net_Working_Capital_Core">#REF!</definedName>
    <definedName name="Net_working_capital_DCF">#REF!</definedName>
    <definedName name="Net_working_capital_turns">#REF!</definedName>
    <definedName name="Net_working_capital_turns_DCF">#REF!</definedName>
    <definedName name="Netcash">#REF!</definedName>
    <definedName name="NETPPE">#REF!</definedName>
    <definedName name="Neuror">#REF!</definedName>
    <definedName name="new" localSheetId="25" hidden="1">#REF!</definedName>
    <definedName name="new" localSheetId="0" hidden="1">#REF!</definedName>
    <definedName name="new" localSheetId="11" hidden="1">#REF!</definedName>
    <definedName name="new" localSheetId="13" hidden="1">#REF!</definedName>
    <definedName name="new" localSheetId="43" hidden="1">#REF!</definedName>
    <definedName name="new" localSheetId="16" hidden="1">#REF!</definedName>
    <definedName name="new" localSheetId="26" hidden="1">#REF!</definedName>
    <definedName name="new" localSheetId="32" hidden="1">#REF!</definedName>
    <definedName name="new" localSheetId="33" hidden="1">#REF!</definedName>
    <definedName name="new" localSheetId="34" hidden="1">#REF!</definedName>
    <definedName name="new" localSheetId="35" hidden="1">#REF!</definedName>
    <definedName name="new" localSheetId="5" hidden="1">#REF!</definedName>
    <definedName name="new" hidden="1">#REF!</definedName>
    <definedName name="NEW_ADV_CONS_LIST">#REF!</definedName>
    <definedName name="NEW_BASE_DATA">#REF!</definedName>
    <definedName name="NEW_COLUMN_3" hidden="1">#REF!</definedName>
    <definedName name="NEW_FINAL_LIST_CONS">#REF!</definedName>
    <definedName name="NEW_INVESTMENT">#REF!</definedName>
    <definedName name="NEWLINE">#REF!</definedName>
    <definedName name="NEWNA"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EWNA"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EWNA"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EWNA"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ewp" localSheetId="0" hidden="1">{"VIEW1",#N/A,FALSE,"P&amp;L Account 2001-2002";"VIEW2",#N/A,FALSE,"P&amp;L Account 2001-2002";"VIEW3",#N/A,FALSE,"P&amp;L Account 2001-2002";"VIEW4",#N/A,FALSE,"P&amp;L Account 2001-2002"}</definedName>
    <definedName name="newp" hidden="1">{"VIEW1",#N/A,FALSE,"P&amp;L Account 2001-2002";"VIEW2",#N/A,FALSE,"P&amp;L Account 2001-2002";"VIEW3",#N/A,FALSE,"P&amp;L Account 2001-2002";"VIEW4",#N/A,FALSE,"P&amp;L Account 2001-2002"}</definedName>
    <definedName name="newprod">#REF!</definedName>
    <definedName name="NewRange" localSheetId="9" hidden="1">#REF!</definedName>
    <definedName name="NewRange" localSheetId="8" hidden="1">#REF!</definedName>
    <definedName name="NewRange" localSheetId="10" hidden="1">#REF!</definedName>
    <definedName name="NewRange" localSheetId="43" hidden="1">#REF!</definedName>
    <definedName name="NewRange" localSheetId="46" hidden="1">#REF!</definedName>
    <definedName name="NewRange" localSheetId="45" hidden="1">#REF!</definedName>
    <definedName name="NewRange" localSheetId="49" hidden="1">#REF!</definedName>
    <definedName name="NewRange" localSheetId="50" hidden="1">#REF!</definedName>
    <definedName name="NewRange" localSheetId="51" hidden="1">#REF!</definedName>
    <definedName name="NewRange" localSheetId="52" hidden="1">#REF!</definedName>
    <definedName name="NewRange" localSheetId="56" hidden="1">#REF!</definedName>
    <definedName name="NewRange" localSheetId="57" hidden="1">#REF!</definedName>
    <definedName name="NewRange" localSheetId="58" hidden="1">#REF!</definedName>
    <definedName name="NewRange" localSheetId="59" hidden="1">#REF!</definedName>
    <definedName name="NewRange" hidden="1">#REF!</definedName>
    <definedName name="Newsprint" hidden="1">#REF!</definedName>
    <definedName name="NG" localSheetId="0">#REF!</definedName>
    <definedName name="NG">#REF!</definedName>
    <definedName name="NGFHFG" localSheetId="25" hidden="1">{#N/A,#N/A,FALSE,"PGW"}</definedName>
    <definedName name="NGFHFG" localSheetId="5" hidden="1">{#N/A,#N/A,FALSE,"PGW"}</definedName>
    <definedName name="NGFHFG" hidden="1">{#N/A,#N/A,FALSE,"PGW"}</definedName>
    <definedName name="NI">#REF!</definedName>
    <definedName name="NIB" localSheetId="0">#REF!</definedName>
    <definedName name="NIB">#REF!</definedName>
    <definedName name="NIBCLs">#REF!</definedName>
    <definedName name="Niko_Block">#REF!</definedName>
    <definedName name="NIPP">#REF!</definedName>
    <definedName name="nis" hidden="1">#REF!</definedName>
    <definedName name="Nitin" hidden="1">#REF!</definedName>
    <definedName name="nklbkj" hidden="1">{#N/A,#N/A,FALSE,"str_title";#N/A,#N/A,FALSE,"SUM";#N/A,#N/A,FALSE,"Scope";#N/A,#N/A,FALSE,"PIE-Jn";#N/A,#N/A,FALSE,"PIE-Jn_Hz";#N/A,#N/A,FALSE,"Liq_Plan";#N/A,#N/A,FALSE,"S_Curve";#N/A,#N/A,FALSE,"Liq_Prof";#N/A,#N/A,FALSE,"Man_Pwr";#N/A,#N/A,FALSE,"Man_Prof"}</definedName>
    <definedName name="NLG" localSheetId="0">#REF!</definedName>
    <definedName name="NLG">#REF!</definedName>
    <definedName name="NLG_payments" localSheetId="0">#REF!</definedName>
    <definedName name="NLG_payments">#REF!</definedName>
    <definedName name="nm" hidden="1">{"PF",#N/A,FALSE,"SALARY95"}</definedName>
    <definedName name="nn" localSheetId="25" hidden="1">{#N/A,#N/A,FALSE,"Part ABC"}</definedName>
    <definedName name="NN" localSheetId="0">#REF!</definedName>
    <definedName name="nn" localSheetId="5" hidden="1">{#N/A,#N/A,FALSE,"Part ABC"}</definedName>
    <definedName name="nn" hidden="1">{#N/A,#N/A,FALSE,"Part ABC"}</definedName>
    <definedName name="nnkklj">#REF!</definedName>
    <definedName name="nnn"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nnn"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nnnnnnnnnn">#REF!</definedName>
    <definedName name="NNOPLAT">#REF!</definedName>
    <definedName name="NO">NA()</definedName>
    <definedName name="No._of_days_in_year">#REF!</definedName>
    <definedName name="No._of_hours_in_day">#REF!</definedName>
    <definedName name="No._of_months_in_year">#REF!</definedName>
    <definedName name="NO___0">NA()</definedName>
    <definedName name="NO___0___0">NA()</definedName>
    <definedName name="NO_G">#REF!</definedName>
    <definedName name="Non_Performing_or_Peripheral_Assets_NPAs">#REF!</definedName>
    <definedName name="non_recurring_items">#REF!</definedName>
    <definedName name="Non_Recurring_loss_gain">#REF!</definedName>
    <definedName name="noname">#REF!</definedName>
    <definedName name="NonDom">#REF!</definedName>
    <definedName name="NOPAT">#REF!</definedName>
    <definedName name="NOPAT_DCF">#REF!</definedName>
    <definedName name="NOPAT_growth">#REF!</definedName>
    <definedName name="NOPAT_margin">#REF!</definedName>
    <definedName name="NOPBT">#REF!</definedName>
    <definedName name="NOPLAT">#REF!</definedName>
    <definedName name="NOPLATP">#REF!</definedName>
    <definedName name="Norm_forecast_6_10">#REF!</definedName>
    <definedName name="North_zone">#REF!</definedName>
    <definedName name="NOS">#REF!</definedName>
    <definedName name="Note"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_26bs">#REF!</definedName>
    <definedName name="Note_3bs.">#REF!</definedName>
    <definedName name="Note_Pay_1q99">#REF!</definedName>
    <definedName name="NOTES">#REF!</definedName>
    <definedName name="Notes__11bs">#REF!</definedName>
    <definedName name="Notes_10bs">#REF!</definedName>
    <definedName name="Notes_12bs">#REF!</definedName>
    <definedName name="Notes_13bs">#REF!</definedName>
    <definedName name="Notes_14bs">#REF!</definedName>
    <definedName name="Notes_15bs">#REF!</definedName>
    <definedName name="Notes_16Bs">#REF!</definedName>
    <definedName name="Notes_17bs">#REF!</definedName>
    <definedName name="Notes_18Bs">#REF!</definedName>
    <definedName name="Notes_19bs">#REF!</definedName>
    <definedName name="Notes_20bs">#REF!</definedName>
    <definedName name="Notes_21bs">#REF!</definedName>
    <definedName name="Notes_22bs">#REF!</definedName>
    <definedName name="Notes_23bs">#REF!</definedName>
    <definedName name="Notes_24bs">#REF!</definedName>
    <definedName name="Notes_25Bs">#REF!</definedName>
    <definedName name="notes_2bs.">#REF!</definedName>
    <definedName name="Notes_3bs">#REF!</definedName>
    <definedName name="Notes_4bs">#REF!</definedName>
    <definedName name="Notes_5bs">#REF!</definedName>
    <definedName name="Notes_6bs">#REF!</definedName>
    <definedName name="Notes_7bs">#REF!</definedName>
    <definedName name="Notes_8bs">#REF!</definedName>
    <definedName name="Notes_9bs">#REF!</definedName>
    <definedName name="notes_payable">#REF!</definedName>
    <definedName name="Notes2.bs">#REF!</definedName>
    <definedName name="NOUN">#REF!</definedName>
    <definedName name="Now">#REF!</definedName>
    <definedName name="NPA">#REF!</definedName>
    <definedName name="NParliResLife">#REF!</definedName>
    <definedName name="NPL" localSheetId="0" hidden="1">#REF!</definedName>
    <definedName name="NPL" hidden="1">#REF!</definedName>
    <definedName name="NPT_1">#REF!</definedName>
    <definedName name="NPT_10">#REF!</definedName>
    <definedName name="NPT_11">#REF!</definedName>
    <definedName name="NPT_12">#REF!</definedName>
    <definedName name="NPT_13">#REF!</definedName>
    <definedName name="NPT_14">#REF!</definedName>
    <definedName name="NPT_2">#REF!</definedName>
    <definedName name="NPT_3">#REF!</definedName>
    <definedName name="NPT_4">#REF!</definedName>
    <definedName name="NPT_5">#REF!</definedName>
    <definedName name="NPT_6">#REF!</definedName>
    <definedName name="NPT_7">#REF!</definedName>
    <definedName name="NPT_8">#REF!</definedName>
    <definedName name="NPT_9">#REF!</definedName>
    <definedName name="NPT_EY1">#REF!</definedName>
    <definedName name="NPT_EY2">#REF!</definedName>
    <definedName name="NPT_EY3">#REF!</definedName>
    <definedName name="NPT_P">#REF!</definedName>
    <definedName name="NPV">#REF!</definedName>
    <definedName name="NPV_Rate">#REF!</definedName>
    <definedName name="NrLossesPercentage" localSheetId="0">#REF!</definedName>
    <definedName name="NrLossesPercentage">#REF!</definedName>
    <definedName name="nss" localSheetId="25" hidden="1">{#N/A,#N/A,FALSE,"consu_cover";#N/A,#N/A,FALSE,"consu_strategy";#N/A,#N/A,FALSE,"consu_flow";#N/A,#N/A,FALSE,"Summary_reqmt";#N/A,#N/A,FALSE,"field_ppg";#N/A,#N/A,FALSE,"ppg_shop";#N/A,#N/A,FALSE,"strl";#N/A,#N/A,FALSE,"tankages";#N/A,#N/A,FALSE,"gases"}</definedName>
    <definedName name="nss" localSheetId="0" hidden="1">{#N/A,#N/A,FALSE,"consu_cover";#N/A,#N/A,FALSE,"consu_strategy";#N/A,#N/A,FALSE,"consu_flow";#N/A,#N/A,FALSE,"Summary_reqmt";#N/A,#N/A,FALSE,"field_ppg";#N/A,#N/A,FALSE,"ppg_shop";#N/A,#N/A,FALSE,"strl";#N/A,#N/A,FALSE,"tankages";#N/A,#N/A,FALSE,"gases"}</definedName>
    <definedName name="nss" localSheetId="5" hidden="1">{#N/A,#N/A,FALSE,"consu_cover";#N/A,#N/A,FALSE,"consu_strategy";#N/A,#N/A,FALSE,"consu_flow";#N/A,#N/A,FALSE,"Summary_reqmt";#N/A,#N/A,FALSE,"field_ppg";#N/A,#N/A,FALSE,"ppg_shop";#N/A,#N/A,FALSE,"strl";#N/A,#N/A,FALSE,"tankages";#N/A,#N/A,FALSE,"gases"}</definedName>
    <definedName name="nss" hidden="1">{#N/A,#N/A,FALSE,"consu_cover";#N/A,#N/A,FALSE,"consu_strategy";#N/A,#N/A,FALSE,"consu_flow";#N/A,#N/A,FALSE,"Summary_reqmt";#N/A,#N/A,FALSE,"field_ppg";#N/A,#N/A,FALSE,"ppg_shop";#N/A,#N/A,FALSE,"strl";#N/A,#N/A,FALSE,"tankages";#N/A,#N/A,FALSE,"gases"}</definedName>
    <definedName name="ntax">#REF!</definedName>
    <definedName name="Ntreasury">#REF!</definedName>
    <definedName name="Num_Pmt_Per_Year">#REF!</definedName>
    <definedName name="Number_of_Payments">#N/A</definedName>
    <definedName name="NVB" localSheetId="0" hidden="1">{"VIEW1",#N/A,FALSE,"P&amp;L Account 2001-2002";"VIEW2",#N/A,FALSE,"P&amp;L Account 2001-2002";"VIEW3",#N/A,FALSE,"P&amp;L Account 2001-2002";"VIEW4",#N/A,FALSE,"P&amp;L Account 2001-2002"}</definedName>
    <definedName name="NVB" hidden="1">{"VIEW1",#N/A,FALSE,"P&amp;L Account 2001-2002";"VIEW2",#N/A,FALSE,"P&amp;L Account 2001-2002";"VIEW3",#N/A,FALSE,"P&amp;L Account 2001-2002";"VIEW4",#N/A,FALSE,"P&amp;L Account 2001-2002"}</definedName>
    <definedName name="NVBxyz" localSheetId="0" hidden="1">{"VIEW1",#N/A,FALSE,"P&amp;L Account 2001-2002";"VIEW2",#N/A,FALSE,"P&amp;L Account 2001-2002";"VIEW3",#N/A,FALSE,"P&amp;L Account 2001-2002";"VIEW4",#N/A,FALSE,"P&amp;L Account 2001-2002"}</definedName>
    <definedName name="NVBxyz" hidden="1">{"VIEW1",#N/A,FALSE,"P&amp;L Account 2001-2002";"VIEW2",#N/A,FALSE,"P&amp;L Account 2001-2002";"VIEW3",#N/A,FALSE,"P&amp;L Account 2001-2002";"VIEW4",#N/A,FALSE,"P&amp;L Account 2001-2002"}</definedName>
    <definedName name="nwjehfi" localSheetId="0">#REF!</definedName>
    <definedName name="nwjehfi">#REF!</definedName>
    <definedName name="O" localSheetId="0">#REF!</definedName>
    <definedName name="O" localSheetId="11">#REF!</definedName>
    <definedName name="O" localSheetId="13">#REF!</definedName>
    <definedName name="O" localSheetId="16">#REF!</definedName>
    <definedName name="O" localSheetId="26">#REF!</definedName>
    <definedName name="O" localSheetId="32">#REF!</definedName>
    <definedName name="O" localSheetId="33">#REF!</definedName>
    <definedName name="O" localSheetId="34">#REF!</definedName>
    <definedName name="O" localSheetId="35">#REF!</definedName>
    <definedName name="O">#REF!</definedName>
    <definedName name="O_1">#REF!</definedName>
    <definedName name="O_11">#REF!</definedName>
    <definedName name="O_12">#REF!</definedName>
    <definedName name="O_2">#REF!</definedName>
    <definedName name="O_2_">#REF!</definedName>
    <definedName name="O_SCOPE_DATA">#REF!</definedName>
    <definedName name="oan">#REF!</definedName>
    <definedName name="oandm_var_mod">#REF!</definedName>
    <definedName name="oar">#REF!</definedName>
    <definedName name="oba">#REF!</definedName>
    <definedName name="obb">#REF!</definedName>
    <definedName name="OBC" localSheetId="0">#REF!</definedName>
    <definedName name="OBC">#REF!</definedName>
    <definedName name="obd">#REF!</definedName>
    <definedName name="obe">#REF!</definedName>
    <definedName name="obt">#REF!</definedName>
    <definedName name="oca">#REF!</definedName>
    <definedName name="occ">#REF!</definedName>
    <definedName name="oci">#REF!</definedName>
    <definedName name="oco">#REF!</definedName>
    <definedName name="ocr">#REF!</definedName>
    <definedName name="oct" localSheetId="0" hidden="1">{"VIEW1",#N/A,FALSE,"P&amp;L Account 2001-2002";"VIEW2",#N/A,FALSE,"P&amp;L Account 2001-2002";"VIEW3",#N/A,FALSE,"P&amp;L Account 2001-2002";"VIEW4",#N/A,FALSE,"P&amp;L Account 2001-2002"}</definedName>
    <definedName name="oct" hidden="1">{"VIEW1",#N/A,FALSE,"P&amp;L Account 2001-2002";"VIEW2",#N/A,FALSE,"P&amp;L Account 2001-2002";"VIEW3",#N/A,FALSE,"P&amp;L Account 2001-2002";"VIEW4",#N/A,FALSE,"P&amp;L Account 2001-2002"}</definedName>
    <definedName name="oct18_est">#REF!</definedName>
    <definedName name="ofa">#REF!</definedName>
    <definedName name="Off_B_S_Income">#REF!</definedName>
    <definedName name="Off_B_S_Income_DCF">#REF!</definedName>
    <definedName name="OFFICE.EQUIP_ES_TA">#REF!</definedName>
    <definedName name="OFFICE.EQUIP_ES_TD">#REF!</definedName>
    <definedName name="officeq" localSheetId="0">#REF!</definedName>
    <definedName name="officeq">#REF!</definedName>
    <definedName name="ofl">#REF!</definedName>
    <definedName name="ofn">#REF!</definedName>
    <definedName name="oga">#REF!</definedName>
    <definedName name="ogm">#REF!</definedName>
    <definedName name="ogn">#REF!</definedName>
    <definedName name="ogp">#REF!</definedName>
    <definedName name="ogw">#REF!</definedName>
    <definedName name="OH">#REF!</definedName>
    <definedName name="OI">#REF!</definedName>
    <definedName name="OII">#REF!</definedName>
    <definedName name="OIII">#REF!</definedName>
    <definedName name="oil">#REF!</definedName>
    <definedName name="Oil_page">#REF!</definedName>
    <definedName name="Oilfield_services">#REF!</definedName>
    <definedName name="OILKULY" hidden="1">{#N/A,#N/A,FALSE,"PMTABB";#N/A,#N/A,FALSE,"PMTABB"}</definedName>
    <definedName name="oir">#REF!</definedName>
    <definedName name="ois">#REF!</definedName>
    <definedName name="oit">#REF!</definedName>
    <definedName name="OIUOUY" localSheetId="0" hidden="1">{"VIEW1",#N/A,FALSE,"P&amp;L Account 2001-2002";"VIEW2",#N/A,FALSE,"P&amp;L Account 2001-2002";"VIEW3",#N/A,FALSE,"P&amp;L Account 2001-2002";"VIEW4",#N/A,FALSE,"P&amp;L Account 2001-2002"}</definedName>
    <definedName name="OIUOUY" hidden="1">{"VIEW1",#N/A,FALSE,"P&amp;L Account 2001-2002";"VIEW2",#N/A,FALSE,"P&amp;L Account 2001-2002";"VIEW3",#N/A,FALSE,"P&amp;L Account 2001-2002";"VIEW4",#N/A,FALSE,"P&amp;L Account 2001-2002"}</definedName>
    <definedName name="ok" localSheetId="25" hidden="1">{#N/A,#N/A,FALSE,"Aging Summary";#N/A,#N/A,FALSE,"Ratio Analysis";#N/A,#N/A,FALSE,"Test 120 Day Accts";#N/A,#N/A,FALSE,"Tickmarks"}</definedName>
    <definedName name="OK" localSheetId="0" hidden="1">#REF!</definedName>
    <definedName name="ok" localSheetId="5" hidden="1">{#N/A,#N/A,FALSE,"Aging Summary";#N/A,#N/A,FALSE,"Ratio Analysis";#N/A,#N/A,FALSE,"Test 120 Day Accts";#N/A,#N/A,FALSE,"Tickmarks"}</definedName>
    <definedName name="ok" hidden="1">{#N/A,#N/A,FALSE,"Aging Summary";#N/A,#N/A,FALSE,"Ratio Analysis";#N/A,#N/A,FALSE,"Test 120 Day Accts";#N/A,#N/A,FALSE,"Tickmarks"}</definedName>
    <definedName name="ol" hidden="1">{"SALARY",#N/A,FALSE,"SALARY95"}</definedName>
    <definedName name="OL_1">#REF!</definedName>
    <definedName name="OL_10">#REF!</definedName>
    <definedName name="OL_11">#REF!</definedName>
    <definedName name="OL_12">#REF!</definedName>
    <definedName name="OL_13">#REF!</definedName>
    <definedName name="OL_14">#REF!</definedName>
    <definedName name="OL_2">#REF!</definedName>
    <definedName name="OL_3">#REF!</definedName>
    <definedName name="OL_4">#REF!</definedName>
    <definedName name="OL_5">#REF!</definedName>
    <definedName name="OL_6">#REF!</definedName>
    <definedName name="OL_7">#REF!</definedName>
    <definedName name="OL_8">#REF!</definedName>
    <definedName name="OL_9">#REF!</definedName>
    <definedName name="OL_P">#REF!</definedName>
    <definedName name="old" localSheetId="0">#REF!</definedName>
    <definedName name="old">#REF!</definedName>
    <definedName name="oldda">#REF!</definedName>
    <definedName name="OLE_LINK1">#REF!</definedName>
    <definedName name="Olklkk">#REF!</definedName>
    <definedName name="oln">#REF!</definedName>
    <definedName name="olo">#REF!</definedName>
    <definedName name="olr">#REF!</definedName>
    <definedName name="olt">#REF!</definedName>
    <definedName name="OM.5">#REF!</definedName>
    <definedName name="OM_1">#REF!</definedName>
    <definedName name="OM_1.5">#REF!</definedName>
    <definedName name="OM_2">#REF!</definedName>
    <definedName name="OM_2.5">#REF!</definedName>
    <definedName name="OM_3">#REF!</definedName>
    <definedName name="omv">#REF!</definedName>
    <definedName name="onb">#REF!</definedName>
    <definedName name="onc">#REF!</definedName>
    <definedName name="OnM" localSheetId="0">#REF!</definedName>
    <definedName name="OnM">#REF!</definedName>
    <definedName name="onp">#REF!</definedName>
    <definedName name="ons">#REF!</definedName>
    <definedName name="oo" hidden="1">{#N/A,#N/A,FALSE,"COVER1.XLS ";#N/A,#N/A,FALSE,"RACT1.XLS";#N/A,#N/A,FALSE,"RACT2.XLS";#N/A,#N/A,FALSE,"ECCMP";#N/A,#N/A,FALSE,"WELDER.XLS"}</definedName>
    <definedName name="ooa">#REF!</definedName>
    <definedName name="oooo">#REF!</definedName>
    <definedName name="oop">#REF!</definedName>
    <definedName name="oot">#REF!</definedName>
    <definedName name="OP">#REF!</definedName>
    <definedName name="OP_CF">#REF!</definedName>
    <definedName name="Op_profit_01">#REF!</definedName>
    <definedName name="Op_profit_02">#REF!</definedName>
    <definedName name="Op_profit00">#REF!</definedName>
    <definedName name="Op_profit03">#REF!</definedName>
    <definedName name="Op_profit96">#REF!</definedName>
    <definedName name="Op_profit97">#REF!</definedName>
    <definedName name="Op_profit98">#REF!</definedName>
    <definedName name="Op_profit99">#REF!</definedName>
    <definedName name="OpAccruals">#REF!</definedName>
    <definedName name="OpAdvances">#REF!</definedName>
    <definedName name="opec97">#REF!</definedName>
    <definedName name="opec98">#REF!</definedName>
    <definedName name="opec99">#REF!</definedName>
    <definedName name="openAdvance">#REF!</definedName>
    <definedName name="OpeningAcrual">#REF!</definedName>
    <definedName name="OpeningAdvance">#REF!</definedName>
    <definedName name="OPER_MARGIN">#REF!</definedName>
    <definedName name="OPER_PROFIT">#REF!</definedName>
    <definedName name="Oper1">#REF!</definedName>
    <definedName name="OPERATING">#REF!</definedName>
    <definedName name="operating_expenses">#REF!</definedName>
    <definedName name="Operating_income">#REF!</definedName>
    <definedName name="Operating_Lease_Expense">#REF!</definedName>
    <definedName name="Operating_Sys">#REF!</definedName>
    <definedName name="OperatingResult" localSheetId="25" hidden="1">{"Ratio",#N/A,FALSE,"Ratios";"Funds Flow",#N/A,FALSE,"Ratios"}</definedName>
    <definedName name="OperatingResult" localSheetId="5" hidden="1">{"Ratio",#N/A,FALSE,"Ratios";"Funds Flow",#N/A,FALSE,"Ratios"}</definedName>
    <definedName name="OperatingResult" hidden="1">{"Ratio",#N/A,FALSE,"Ratios";"Funds Flow",#N/A,FALSE,"Ratios"}</definedName>
    <definedName name="Operation_Time">#REF!</definedName>
    <definedName name="operations">#REF!</definedName>
    <definedName name="OperisTopLeft">#REF!</definedName>
    <definedName name="opg">#REF!</definedName>
    <definedName name="opi">#REF!</definedName>
    <definedName name="OPM">#REF!</definedName>
    <definedName name="OpnAccrual">#REF!</definedName>
    <definedName name="OPNACR">#REF!</definedName>
    <definedName name="OpnAdvance">#REF!</definedName>
    <definedName name="optgresult" localSheetId="25" hidden="1">{"Ratio",#N/A,FALSE,"Ratios";"Funds Flow",#N/A,FALSE,"Ratios"}</definedName>
    <definedName name="optgresult" localSheetId="5" hidden="1">{"Ratio",#N/A,FALSE,"Ratios";"Funds Flow",#N/A,FALSE,"Ratios"}</definedName>
    <definedName name="optgresult" hidden="1">{"Ratio",#N/A,FALSE,"Ratios";"Funds Flow",#N/A,FALSE,"Ratios"}</definedName>
    <definedName name="Optimistic_Scenario">#REF!</definedName>
    <definedName name="opz">#REF!</definedName>
    <definedName name="Order_Report">#REF!</definedName>
    <definedName name="OrderTable" hidden="1">#REF!</definedName>
    <definedName name="Org" localSheetId="25" hidden="1">{#N/A,#N/A,TRUE,"Front";#N/A,#N/A,TRUE,"Simple Letter";#N/A,#N/A,TRUE,"Inside";#N/A,#N/A,TRUE,"Contents";#N/A,#N/A,TRUE,"Basis";#N/A,#N/A,TRUE,"Inclusions";#N/A,#N/A,TRUE,"Exclusions";#N/A,#N/A,TRUE,"Areas";#N/A,#N/A,TRUE,"Summary";#N/A,#N/A,TRUE,"Detail"}</definedName>
    <definedName name="Org" localSheetId="0" hidden="1">{#N/A,#N/A,TRUE,"Front";#N/A,#N/A,TRUE,"Simple Letter";#N/A,#N/A,TRUE,"Inside";#N/A,#N/A,TRUE,"Contents";#N/A,#N/A,TRUE,"Basis";#N/A,#N/A,TRUE,"Inclusions";#N/A,#N/A,TRUE,"Exclusions";#N/A,#N/A,TRUE,"Areas";#N/A,#N/A,TRUE,"Summary";#N/A,#N/A,TRUE,"Detail"}</definedName>
    <definedName name="Org" localSheetId="5" hidden="1">{#N/A,#N/A,TRUE,"Front";#N/A,#N/A,TRUE,"Simple Letter";#N/A,#N/A,TRUE,"Inside";#N/A,#N/A,TRUE,"Contents";#N/A,#N/A,TRUE,"Basis";#N/A,#N/A,TRUE,"Inclusions";#N/A,#N/A,TRUE,"Exclusions";#N/A,#N/A,TRUE,"Areas";#N/A,#N/A,TRUE,"Summary";#N/A,#N/A,TRUE,"Detail"}</definedName>
    <definedName name="Org" hidden="1">{#N/A,#N/A,TRUE,"Front";#N/A,#N/A,TRUE,"Simple Letter";#N/A,#N/A,TRUE,"Inside";#N/A,#N/A,TRUE,"Contents";#N/A,#N/A,TRUE,"Basis";#N/A,#N/A,TRUE,"Inclusions";#N/A,#N/A,TRUE,"Exclusions";#N/A,#N/A,TRUE,"Areas";#N/A,#N/A,TRUE,"Summary";#N/A,#N/A,TRUE,"Detail"}</definedName>
    <definedName name="organ" localSheetId="25" hidden="1">{#N/A,#N/A,TRUE,"Front";#N/A,#N/A,TRUE,"Simple Letter";#N/A,#N/A,TRUE,"Inside";#N/A,#N/A,TRUE,"Contents";#N/A,#N/A,TRUE,"Basis";#N/A,#N/A,TRUE,"Inclusions";#N/A,#N/A,TRUE,"Exclusions";#N/A,#N/A,TRUE,"Areas";#N/A,#N/A,TRUE,"Summary";#N/A,#N/A,TRUE,"Detail"}</definedName>
    <definedName name="organ" localSheetId="5" hidden="1">{#N/A,#N/A,TRUE,"Front";#N/A,#N/A,TRUE,"Simple Letter";#N/A,#N/A,TRUE,"Inside";#N/A,#N/A,TRUE,"Contents";#N/A,#N/A,TRUE,"Basis";#N/A,#N/A,TRUE,"Inclusions";#N/A,#N/A,TRUE,"Exclusions";#N/A,#N/A,TRUE,"Areas";#N/A,#N/A,TRUE,"Summary";#N/A,#N/A,TRUE,"Detail"}</definedName>
    <definedName name="organ" hidden="1">{#N/A,#N/A,TRUE,"Front";#N/A,#N/A,TRUE,"Simple Letter";#N/A,#N/A,TRUE,"Inside";#N/A,#N/A,TRUE,"Contents";#N/A,#N/A,TRUE,"Basis";#N/A,#N/A,TRUE,"Inclusions";#N/A,#N/A,TRUE,"Exclusions";#N/A,#N/A,TRUE,"Areas";#N/A,#N/A,TRUE,"Summary";#N/A,#N/A,TRUE,"Detail"}</definedName>
    <definedName name="ORIGIN">#REF!</definedName>
    <definedName name="orty"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rty"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rty"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SBL_K">#REF!</definedName>
    <definedName name="OSCH1">#REF!</definedName>
    <definedName name="OSCH2">#REF!</definedName>
    <definedName name="OSCH3">#REF!</definedName>
    <definedName name="OSCH4">#REF!</definedName>
    <definedName name="OSCH5">#REF!</definedName>
    <definedName name="OSCH6">#REF!</definedName>
    <definedName name="OSCH7">#REF!</definedName>
    <definedName name="OSCH8">#REF!</definedName>
    <definedName name="osdty">#REF!</definedName>
    <definedName name="osexprt">#REF!</definedName>
    <definedName name="osfdy">#REF!</definedName>
    <definedName name="osi">#REF!</definedName>
    <definedName name="osn">#REF!</definedName>
    <definedName name="osp">#REF!</definedName>
    <definedName name="osspun">#REF!</definedName>
    <definedName name="ost">#REF!</definedName>
    <definedName name="Oth">#REF!</definedName>
    <definedName name="Oth_Int" localSheetId="0">#REF!</definedName>
    <definedName name="Oth_Int">#REF!</definedName>
    <definedName name="OTH_UC">#N/A</definedName>
    <definedName name="OTHAMT">#N/A</definedName>
    <definedName name="OTHBOH">#N/A</definedName>
    <definedName name="OTHEOH">#N/A</definedName>
    <definedName name="OTHER">#N/A</definedName>
    <definedName name="Other_Asset_Core">#REF!</definedName>
    <definedName name="Other_asset_turns">#REF!</definedName>
    <definedName name="Other_asset_turns_DCF">#REF!</definedName>
    <definedName name="Other_assets">#REF!</definedName>
    <definedName name="Other_assets_DCF">#REF!</definedName>
    <definedName name="Other_Assets2">#REF!</definedName>
    <definedName name="Other_Current_Assets2">#REF!</definedName>
    <definedName name="other_current_liabilities">#REF!</definedName>
    <definedName name="Other_Current_Liabilities2">#REF!</definedName>
    <definedName name="Other_DCF">#REF!</definedName>
    <definedName name="other_deferred_assets">#REF!</definedName>
    <definedName name="other_deferred_liabilities">#REF!</definedName>
    <definedName name="Other_Expenses">#REF!</definedName>
    <definedName name="Other_expenses_gains">#REF!</definedName>
    <definedName name="Other_fixed_asset_turns">#REF!</definedName>
    <definedName name="Other_fixed_assets">#REF!</definedName>
    <definedName name="Other_fixed_assets2">#REF!</definedName>
    <definedName name="Other_Income">#REF!</definedName>
    <definedName name="Other_Intangible_Assets">#REF!</definedName>
    <definedName name="other_intangible_fixed_assets">#REF!</definedName>
    <definedName name="Other_liabilities">#REF!</definedName>
    <definedName name="Other_liabilities2">#REF!</definedName>
    <definedName name="Other_LT_Debt">#REF!</definedName>
    <definedName name="Other_ncome_expenses">#REF!</definedName>
    <definedName name="other_non_current_assets">#REF!</definedName>
    <definedName name="other_non_current_liabilities">#REF!</definedName>
    <definedName name="other_non_equity_interests">#REF!</definedName>
    <definedName name="other_operating_expenses">#REF!</definedName>
    <definedName name="other_pretax">#REF!</definedName>
    <definedName name="other_provisions">#REF!</definedName>
    <definedName name="other_provisions_bs">#REF!</definedName>
    <definedName name="other_reserves">#REF!</definedName>
    <definedName name="Other_ST_Debt">#REF!</definedName>
    <definedName name="other_tangible_fixed_assets">#REF!</definedName>
    <definedName name="other95">#REF!</definedName>
    <definedName name="other96">#REF!</definedName>
    <definedName name="other97">#REF!</definedName>
    <definedName name="other98">#REF!</definedName>
    <definedName name="other99">#REF!</definedName>
    <definedName name="OtherCurrentAssets">#REF!</definedName>
    <definedName name="ots">#REF!</definedName>
    <definedName name="ott">#REF!</definedName>
    <definedName name="OUT_TOTAL">#N/A</definedName>
    <definedName name="OUTAMT">#N/A</definedName>
    <definedName name="Output_area">#REF!</definedName>
    <definedName name="OUTQTY">#N/A</definedName>
    <definedName name="OutstandingRange">#REF!</definedName>
    <definedName name="OWN">#REF!</definedName>
    <definedName name="Ownership" localSheetId="25" hidden="1">OFFSET([0]!Data.Top.Left,1,0)</definedName>
    <definedName name="Ownership" localSheetId="9" hidden="1">OFFSET([0]!Data.Top.Left,1,0)</definedName>
    <definedName name="Ownership" localSheetId="8" hidden="1">OFFSET([0]!Data.Top.Left,1,0)</definedName>
    <definedName name="Ownership" localSheetId="10" hidden="1">OFFSET([0]!Data.Top.Left,1,0)</definedName>
    <definedName name="Ownership" localSheetId="43" hidden="1">OFFSET([0]!Data.Top.Left,1,0)</definedName>
    <definedName name="Ownership" localSheetId="46" hidden="1">OFFSET([0]!Data.Top.Left,1,0)</definedName>
    <definedName name="Ownership" localSheetId="45" hidden="1">OFFSET([0]!Data.Top.Left,1,0)</definedName>
    <definedName name="Ownership" localSheetId="49" hidden="1">OFFSET([0]!Data.Top.Left,1,0)</definedName>
    <definedName name="Ownership" localSheetId="50" hidden="1">OFFSET([0]!Data.Top.Left,1,0)</definedName>
    <definedName name="Ownership" localSheetId="51" hidden="1">OFFSET([0]!Data.Top.Left,1,0)</definedName>
    <definedName name="Ownership" localSheetId="52" hidden="1">OFFSET([0]!Data.Top.Left,1,0)</definedName>
    <definedName name="Ownership" localSheetId="56" hidden="1">OFFSET([0]!Data.Top.Left,1,0)</definedName>
    <definedName name="Ownership" localSheetId="57" hidden="1">OFFSET([0]!Data.Top.Left,1,0)</definedName>
    <definedName name="Ownership" localSheetId="58" hidden="1">OFFSET([0]!Data.Top.Left,1,0)</definedName>
    <definedName name="Ownership" localSheetId="59" hidden="1">OFFSET([0]!Data.Top.Left,1,0)</definedName>
    <definedName name="Ownership" localSheetId="5" hidden="1">OFFSET([0]!Data.Top.Left,1,0)</definedName>
    <definedName name="Ownership" hidden="1">OFFSET([0]!Data.Top.Left,1,0)</definedName>
    <definedName name="oxybel_interest" localSheetId="0">SUM(#REF!)</definedName>
    <definedName name="oxybel_interest">SUM(#REF!)</definedName>
    <definedName name="p" localSheetId="11">#REF!</definedName>
    <definedName name="p" localSheetId="13">#REF!</definedName>
    <definedName name="p" localSheetId="16">#REF!</definedName>
    <definedName name="p" localSheetId="26">#REF!</definedName>
    <definedName name="p" localSheetId="32">#REF!</definedName>
    <definedName name="p" localSheetId="33">#REF!</definedName>
    <definedName name="p" localSheetId="34">#REF!</definedName>
    <definedName name="p" localSheetId="35">#REF!</definedName>
    <definedName name="p">#REF!</definedName>
    <definedName name="P.C._ES_TA">#REF!</definedName>
    <definedName name="P.C._ES_TD">#REF!</definedName>
    <definedName name="P___L___Statement">#REF!</definedName>
    <definedName name="P_1">#REF!</definedName>
    <definedName name="P_2">#REF!</definedName>
    <definedName name="P_Area">#REF!</definedName>
    <definedName name="P_loans" localSheetId="25" hidden="1">{"'kpi2-1'!$E$4"}</definedName>
    <definedName name="P_loans" localSheetId="5" hidden="1">{"'kpi2-1'!$E$4"}</definedName>
    <definedName name="P_loans" hidden="1">{"'kpi2-1'!$E$4"}</definedName>
    <definedName name="P1_">#N/A</definedName>
    <definedName name="P10_">#N/A</definedName>
    <definedName name="P11_">#N/A</definedName>
    <definedName name="P12_">#N/A</definedName>
    <definedName name="P13_">#N/A</definedName>
    <definedName name="P14_">#N/A</definedName>
    <definedName name="P15_">#N/A</definedName>
    <definedName name="P16_">#N/A</definedName>
    <definedName name="P17_">#N/A</definedName>
    <definedName name="P2_">#N/A</definedName>
    <definedName name="p2stat">#REF!</definedName>
    <definedName name="P3_">#N/A</definedName>
    <definedName name="P4_">#N/A</definedName>
    <definedName name="P5_">#N/A</definedName>
    <definedName name="P6_">#N/A</definedName>
    <definedName name="P7_">#N/A</definedName>
    <definedName name="P8_">#N/A</definedName>
    <definedName name="P9_">#N/A</definedName>
    <definedName name="P90_var_mod">#REF!</definedName>
    <definedName name="PA">#REF!</definedName>
    <definedName name="PA_PAF">#REF!+#REF!</definedName>
    <definedName name="PA_SCH1_2">#REF!</definedName>
    <definedName name="PA_SCH3">#REF!</definedName>
    <definedName name="PA_SCH4_5">#REF!</definedName>
    <definedName name="PA_SCH5_7">#REF!</definedName>
    <definedName name="PA_SCH5_8">#REF!</definedName>
    <definedName name="pacf" localSheetId="0">#REF!</definedName>
    <definedName name="pacf">#REF!</definedName>
    <definedName name="PAGE_1">NA()</definedName>
    <definedName name="PAGE1" localSheetId="11">#REF!</definedName>
    <definedName name="PAGE1" localSheetId="13">#REF!</definedName>
    <definedName name="PAGE1" localSheetId="16">#REF!</definedName>
    <definedName name="PAGE1" localSheetId="26">#REF!</definedName>
    <definedName name="PAGE1" localSheetId="32">#REF!</definedName>
    <definedName name="PAGE1" localSheetId="33">#REF!</definedName>
    <definedName name="PAGE1" localSheetId="34">#REF!</definedName>
    <definedName name="PAGE1" localSheetId="35">#REF!</definedName>
    <definedName name="PAGE1">#REF!</definedName>
    <definedName name="page10" localSheetId="11">#REF!</definedName>
    <definedName name="page10" localSheetId="13">#REF!</definedName>
    <definedName name="page10" localSheetId="16">#REF!</definedName>
    <definedName name="page10" localSheetId="26">#REF!</definedName>
    <definedName name="page10" localSheetId="32">#REF!</definedName>
    <definedName name="page10" localSheetId="33">#REF!</definedName>
    <definedName name="page10" localSheetId="34">#REF!</definedName>
    <definedName name="page10" localSheetId="35">#REF!</definedName>
    <definedName name="page10">#REF!</definedName>
    <definedName name="PAGE10_6" localSheetId="11">#REF!</definedName>
    <definedName name="PAGE10_6" localSheetId="13">#REF!</definedName>
    <definedName name="PAGE10_6" localSheetId="16">#REF!</definedName>
    <definedName name="PAGE10_6" localSheetId="26">#REF!</definedName>
    <definedName name="PAGE10_6" localSheetId="32">#REF!</definedName>
    <definedName name="PAGE10_6" localSheetId="33">#REF!</definedName>
    <definedName name="PAGE10_6" localSheetId="34">#REF!</definedName>
    <definedName name="PAGE10_6" localSheetId="35">#REF!</definedName>
    <definedName name="PAGE10_6">#REF!</definedName>
    <definedName name="PAGE11">#N/A</definedName>
    <definedName name="PAGE11_6" localSheetId="11">#REF!</definedName>
    <definedName name="PAGE11_6" localSheetId="13">#REF!</definedName>
    <definedName name="PAGE11_6" localSheetId="16">#REF!</definedName>
    <definedName name="PAGE11_6" localSheetId="26">#REF!</definedName>
    <definedName name="PAGE11_6" localSheetId="32">#REF!</definedName>
    <definedName name="PAGE11_6" localSheetId="33">#REF!</definedName>
    <definedName name="PAGE11_6" localSheetId="34">#REF!</definedName>
    <definedName name="PAGE11_6" localSheetId="35">#REF!</definedName>
    <definedName name="PAGE11_6">#REF!</definedName>
    <definedName name="PAGE12">#N/A</definedName>
    <definedName name="PAGE12_6" localSheetId="11">#REF!</definedName>
    <definedName name="PAGE12_6" localSheetId="13">#REF!</definedName>
    <definedName name="PAGE12_6" localSheetId="16">#REF!</definedName>
    <definedName name="PAGE12_6" localSheetId="26">#REF!</definedName>
    <definedName name="PAGE12_6" localSheetId="32">#REF!</definedName>
    <definedName name="PAGE12_6" localSheetId="33">#REF!</definedName>
    <definedName name="PAGE12_6" localSheetId="34">#REF!</definedName>
    <definedName name="PAGE12_6" localSheetId="35">#REF!</definedName>
    <definedName name="PAGE12_6">#REF!</definedName>
    <definedName name="PAGE13">#REF!</definedName>
    <definedName name="PAGE14" localSheetId="11">#REF!</definedName>
    <definedName name="PAGE14" localSheetId="13">#REF!</definedName>
    <definedName name="PAGE14" localSheetId="16">#REF!</definedName>
    <definedName name="PAGE14" localSheetId="26">#REF!</definedName>
    <definedName name="PAGE14" localSheetId="32">#REF!</definedName>
    <definedName name="PAGE14" localSheetId="33">#REF!</definedName>
    <definedName name="PAGE14" localSheetId="34">#REF!</definedName>
    <definedName name="PAGE14" localSheetId="35">#REF!</definedName>
    <definedName name="PAGE14">#REF!</definedName>
    <definedName name="PAGE15" localSheetId="11">#REF!</definedName>
    <definedName name="PAGE15" localSheetId="13">#REF!</definedName>
    <definedName name="PAGE15" localSheetId="16">#REF!</definedName>
    <definedName name="PAGE15" localSheetId="26">#REF!</definedName>
    <definedName name="PAGE15" localSheetId="32">#REF!</definedName>
    <definedName name="PAGE15" localSheetId="33">#REF!</definedName>
    <definedName name="PAGE15" localSheetId="34">#REF!</definedName>
    <definedName name="PAGE15" localSheetId="35">#REF!</definedName>
    <definedName name="PAGE15">#REF!</definedName>
    <definedName name="PAGE16" localSheetId="11">#REF!</definedName>
    <definedName name="PAGE16" localSheetId="13">#REF!</definedName>
    <definedName name="PAGE16" localSheetId="16">#REF!</definedName>
    <definedName name="PAGE16" localSheetId="26">#REF!</definedName>
    <definedName name="PAGE16" localSheetId="32">#REF!</definedName>
    <definedName name="PAGE16" localSheetId="33">#REF!</definedName>
    <definedName name="PAGE16" localSheetId="34">#REF!</definedName>
    <definedName name="PAGE16" localSheetId="35">#REF!</definedName>
    <definedName name="PAGE16">#REF!</definedName>
    <definedName name="PAGE17" localSheetId="11">#REF!</definedName>
    <definedName name="PAGE17" localSheetId="13">#REF!</definedName>
    <definedName name="PAGE17" localSheetId="16">#REF!</definedName>
    <definedName name="PAGE17" localSheetId="26">#REF!</definedName>
    <definedName name="PAGE17" localSheetId="32">#REF!</definedName>
    <definedName name="PAGE17" localSheetId="33">#REF!</definedName>
    <definedName name="PAGE17" localSheetId="34">#REF!</definedName>
    <definedName name="PAGE17" localSheetId="35">#REF!</definedName>
    <definedName name="PAGE17">#REF!</definedName>
    <definedName name="PAGE18" localSheetId="11">#REF!</definedName>
    <definedName name="PAGE18" localSheetId="13">#REF!</definedName>
    <definedName name="PAGE18" localSheetId="16">#REF!</definedName>
    <definedName name="PAGE18" localSheetId="26">#REF!</definedName>
    <definedName name="PAGE18" localSheetId="32">#REF!</definedName>
    <definedName name="PAGE18" localSheetId="33">#REF!</definedName>
    <definedName name="PAGE18" localSheetId="34">#REF!</definedName>
    <definedName name="PAGE18" localSheetId="35">#REF!</definedName>
    <definedName name="PAGE18">#REF!</definedName>
    <definedName name="PAGE19" localSheetId="11">#REF!</definedName>
    <definedName name="PAGE19" localSheetId="13">#REF!</definedName>
    <definedName name="PAGE19" localSheetId="16">#REF!</definedName>
    <definedName name="PAGE19" localSheetId="26">#REF!</definedName>
    <definedName name="PAGE19" localSheetId="32">#REF!</definedName>
    <definedName name="PAGE19" localSheetId="33">#REF!</definedName>
    <definedName name="PAGE19" localSheetId="34">#REF!</definedName>
    <definedName name="PAGE19" localSheetId="35">#REF!</definedName>
    <definedName name="PAGE19">#REF!</definedName>
    <definedName name="PAGE2" localSheetId="11">#REF!</definedName>
    <definedName name="PAGE2" localSheetId="13">#REF!</definedName>
    <definedName name="PAGE2" localSheetId="16">#REF!</definedName>
    <definedName name="PAGE2" localSheetId="26">#REF!</definedName>
    <definedName name="PAGE2" localSheetId="32">#REF!</definedName>
    <definedName name="PAGE2" localSheetId="33">#REF!</definedName>
    <definedName name="PAGE2" localSheetId="34">#REF!</definedName>
    <definedName name="PAGE2" localSheetId="35">#REF!</definedName>
    <definedName name="PAGE2">#REF!</definedName>
    <definedName name="PAGE2_6" localSheetId="11">#REF!</definedName>
    <definedName name="PAGE2_6" localSheetId="13">#REF!</definedName>
    <definedName name="PAGE2_6" localSheetId="16">#REF!</definedName>
    <definedName name="PAGE2_6" localSheetId="26">#REF!</definedName>
    <definedName name="PAGE2_6" localSheetId="32">#REF!</definedName>
    <definedName name="PAGE2_6" localSheetId="33">#REF!</definedName>
    <definedName name="PAGE2_6" localSheetId="34">#REF!</definedName>
    <definedName name="PAGE2_6" localSheetId="35">#REF!</definedName>
    <definedName name="PAGE2_6">#REF!</definedName>
    <definedName name="PAGE20" localSheetId="11">#REF!</definedName>
    <definedName name="PAGE20" localSheetId="13">#REF!</definedName>
    <definedName name="PAGE20" localSheetId="16">#REF!</definedName>
    <definedName name="PAGE20" localSheetId="26">#REF!</definedName>
    <definedName name="PAGE20" localSheetId="32">#REF!</definedName>
    <definedName name="PAGE20" localSheetId="33">#REF!</definedName>
    <definedName name="PAGE20" localSheetId="34">#REF!</definedName>
    <definedName name="PAGE20" localSheetId="35">#REF!</definedName>
    <definedName name="PAGE20">#REF!</definedName>
    <definedName name="PAGE21" localSheetId="0">#REF!</definedName>
    <definedName name="PAGE21" localSheetId="11">#REF!</definedName>
    <definedName name="PAGE21" localSheetId="13">#REF!</definedName>
    <definedName name="PAGE21" localSheetId="16">#REF!</definedName>
    <definedName name="PAGE21" localSheetId="26">#REF!</definedName>
    <definedName name="PAGE21" localSheetId="32">#REF!</definedName>
    <definedName name="PAGE21" localSheetId="33">#REF!</definedName>
    <definedName name="PAGE21" localSheetId="34">#REF!</definedName>
    <definedName name="PAGE21" localSheetId="35">#REF!</definedName>
    <definedName name="PAGE21">#REF!</definedName>
    <definedName name="PAGE210" localSheetId="11">#REF!</definedName>
    <definedName name="PAGE210" localSheetId="13">#REF!</definedName>
    <definedName name="PAGE210" localSheetId="16">#REF!</definedName>
    <definedName name="PAGE210" localSheetId="26">#REF!</definedName>
    <definedName name="PAGE210" localSheetId="32">#REF!</definedName>
    <definedName name="PAGE210" localSheetId="33">#REF!</definedName>
    <definedName name="PAGE210" localSheetId="34">#REF!</definedName>
    <definedName name="PAGE210" localSheetId="35">#REF!</definedName>
    <definedName name="PAGE210">#REF!</definedName>
    <definedName name="PAGE22" localSheetId="0">#REF!</definedName>
    <definedName name="PAGE22" localSheetId="11">#REF!</definedName>
    <definedName name="PAGE22" localSheetId="13">#REF!</definedName>
    <definedName name="PAGE22" localSheetId="16">#REF!</definedName>
    <definedName name="PAGE22" localSheetId="26">#REF!</definedName>
    <definedName name="PAGE22" localSheetId="32">#REF!</definedName>
    <definedName name="PAGE22" localSheetId="33">#REF!</definedName>
    <definedName name="PAGE22" localSheetId="34">#REF!</definedName>
    <definedName name="PAGE22" localSheetId="35">#REF!</definedName>
    <definedName name="PAGE22">#REF!</definedName>
    <definedName name="PAGE23" localSheetId="11">#REF!</definedName>
    <definedName name="PAGE23" localSheetId="13">#REF!</definedName>
    <definedName name="PAGE23" localSheetId="16">#REF!</definedName>
    <definedName name="PAGE23" localSheetId="26">#REF!</definedName>
    <definedName name="PAGE23" localSheetId="32">#REF!</definedName>
    <definedName name="PAGE23" localSheetId="33">#REF!</definedName>
    <definedName name="PAGE23" localSheetId="34">#REF!</definedName>
    <definedName name="PAGE23" localSheetId="35">#REF!</definedName>
    <definedName name="PAGE23">#REF!</definedName>
    <definedName name="PAGE24" localSheetId="11">#REF!</definedName>
    <definedName name="PAGE24" localSheetId="13">#REF!</definedName>
    <definedName name="PAGE24" localSheetId="16">#REF!</definedName>
    <definedName name="PAGE24" localSheetId="26">#REF!</definedName>
    <definedName name="PAGE24" localSheetId="32">#REF!</definedName>
    <definedName name="PAGE24" localSheetId="33">#REF!</definedName>
    <definedName name="PAGE24" localSheetId="34">#REF!</definedName>
    <definedName name="PAGE24" localSheetId="35">#REF!</definedName>
    <definedName name="PAGE24">#REF!</definedName>
    <definedName name="PAGE25" localSheetId="11">#REF!</definedName>
    <definedName name="PAGE25" localSheetId="13">#REF!</definedName>
    <definedName name="PAGE25" localSheetId="16">#REF!</definedName>
    <definedName name="PAGE25" localSheetId="26">#REF!</definedName>
    <definedName name="PAGE25" localSheetId="32">#REF!</definedName>
    <definedName name="PAGE25" localSheetId="33">#REF!</definedName>
    <definedName name="PAGE25" localSheetId="34">#REF!</definedName>
    <definedName name="PAGE25" localSheetId="35">#REF!</definedName>
    <definedName name="PAGE25">#REF!</definedName>
    <definedName name="PAGE26" localSheetId="11">#REF!</definedName>
    <definedName name="PAGE26" localSheetId="13">#REF!</definedName>
    <definedName name="PAGE26" localSheetId="16">#REF!</definedName>
    <definedName name="PAGE26" localSheetId="26">#REF!</definedName>
    <definedName name="PAGE26" localSheetId="32">#REF!</definedName>
    <definedName name="PAGE26" localSheetId="33">#REF!</definedName>
    <definedName name="PAGE26" localSheetId="34">#REF!</definedName>
    <definedName name="PAGE26" localSheetId="35">#REF!</definedName>
    <definedName name="PAGE26">#REF!</definedName>
    <definedName name="PAGE27" localSheetId="11">#REF!</definedName>
    <definedName name="PAGE27" localSheetId="13">#REF!</definedName>
    <definedName name="PAGE27" localSheetId="16">#REF!</definedName>
    <definedName name="PAGE27" localSheetId="26">#REF!</definedName>
    <definedName name="PAGE27" localSheetId="32">#REF!</definedName>
    <definedName name="PAGE27" localSheetId="33">#REF!</definedName>
    <definedName name="PAGE27" localSheetId="34">#REF!</definedName>
    <definedName name="PAGE27" localSheetId="35">#REF!</definedName>
    <definedName name="PAGE27">#REF!</definedName>
    <definedName name="PAGE28" localSheetId="11">#REF!</definedName>
    <definedName name="PAGE28" localSheetId="13">#REF!</definedName>
    <definedName name="PAGE28" localSheetId="16">#REF!</definedName>
    <definedName name="PAGE28" localSheetId="26">#REF!</definedName>
    <definedName name="PAGE28" localSheetId="32">#REF!</definedName>
    <definedName name="PAGE28" localSheetId="33">#REF!</definedName>
    <definedName name="PAGE28" localSheetId="34">#REF!</definedName>
    <definedName name="PAGE28" localSheetId="35">#REF!</definedName>
    <definedName name="PAGE28">#REF!</definedName>
    <definedName name="PAGE29" localSheetId="11">#REF!</definedName>
    <definedName name="PAGE29" localSheetId="13">#REF!</definedName>
    <definedName name="PAGE29" localSheetId="16">#REF!</definedName>
    <definedName name="PAGE29" localSheetId="26">#REF!</definedName>
    <definedName name="PAGE29" localSheetId="32">#REF!</definedName>
    <definedName name="PAGE29" localSheetId="33">#REF!</definedName>
    <definedName name="PAGE29" localSheetId="34">#REF!</definedName>
    <definedName name="PAGE29" localSheetId="35">#REF!</definedName>
    <definedName name="PAGE29">#REF!</definedName>
    <definedName name="PAGE3">#REF!</definedName>
    <definedName name="PAGE3_6" localSheetId="11">#REF!</definedName>
    <definedName name="PAGE3_6" localSheetId="13">#REF!</definedName>
    <definedName name="PAGE3_6" localSheetId="16">#REF!</definedName>
    <definedName name="PAGE3_6" localSheetId="26">#REF!</definedName>
    <definedName name="PAGE3_6" localSheetId="32">#REF!</definedName>
    <definedName name="PAGE3_6" localSheetId="33">#REF!</definedName>
    <definedName name="PAGE3_6" localSheetId="34">#REF!</definedName>
    <definedName name="PAGE3_6" localSheetId="35">#REF!</definedName>
    <definedName name="PAGE3_6">#REF!</definedName>
    <definedName name="PAGE30">#REF!</definedName>
    <definedName name="PAGE31">#N/A</definedName>
    <definedName name="PAGE32">#N/A</definedName>
    <definedName name="page34" localSheetId="11">#REF!</definedName>
    <definedName name="page34" localSheetId="13">#REF!</definedName>
    <definedName name="page34" localSheetId="16">#REF!</definedName>
    <definedName name="page34" localSheetId="26">#REF!</definedName>
    <definedName name="page34" localSheetId="32">#REF!</definedName>
    <definedName name="page34" localSheetId="33">#REF!</definedName>
    <definedName name="page34" localSheetId="34">#REF!</definedName>
    <definedName name="page34" localSheetId="35">#REF!</definedName>
    <definedName name="page34">#REF!</definedName>
    <definedName name="Page35" localSheetId="11">#REF!</definedName>
    <definedName name="Page35" localSheetId="13">#REF!</definedName>
    <definedName name="Page35" localSheetId="16">#REF!</definedName>
    <definedName name="Page35" localSheetId="26">#REF!</definedName>
    <definedName name="Page35" localSheetId="32">#REF!</definedName>
    <definedName name="Page35" localSheetId="33">#REF!</definedName>
    <definedName name="Page35" localSheetId="34">#REF!</definedName>
    <definedName name="Page35" localSheetId="35">#REF!</definedName>
    <definedName name="Page35">#REF!</definedName>
    <definedName name="PAGE4">#REF!</definedName>
    <definedName name="PAGE4_6" localSheetId="11">#REF!</definedName>
    <definedName name="PAGE4_6" localSheetId="13">#REF!</definedName>
    <definedName name="PAGE4_6" localSheetId="16">#REF!</definedName>
    <definedName name="PAGE4_6" localSheetId="26">#REF!</definedName>
    <definedName name="PAGE4_6" localSheetId="32">#REF!</definedName>
    <definedName name="PAGE4_6" localSheetId="33">#REF!</definedName>
    <definedName name="PAGE4_6" localSheetId="34">#REF!</definedName>
    <definedName name="PAGE4_6" localSheetId="35">#REF!</definedName>
    <definedName name="PAGE4_6">#REF!</definedName>
    <definedName name="PAGE41">#N/A</definedName>
    <definedName name="PAGE42">#N/A</definedName>
    <definedName name="PAGE5">#REF!</definedName>
    <definedName name="PAGE5_6" localSheetId="11">#REF!</definedName>
    <definedName name="PAGE5_6" localSheetId="13">#REF!</definedName>
    <definedName name="PAGE5_6" localSheetId="16">#REF!</definedName>
    <definedName name="PAGE5_6" localSheetId="26">#REF!</definedName>
    <definedName name="PAGE5_6" localSheetId="32">#REF!</definedName>
    <definedName name="PAGE5_6" localSheetId="33">#REF!</definedName>
    <definedName name="PAGE5_6" localSheetId="34">#REF!</definedName>
    <definedName name="PAGE5_6" localSheetId="35">#REF!</definedName>
    <definedName name="PAGE5_6">#REF!</definedName>
    <definedName name="page50" localSheetId="11">#REF!</definedName>
    <definedName name="page50" localSheetId="13">#REF!</definedName>
    <definedName name="page50" localSheetId="16">#REF!</definedName>
    <definedName name="page50" localSheetId="26">#REF!</definedName>
    <definedName name="page50" localSheetId="32">#REF!</definedName>
    <definedName name="page50" localSheetId="33">#REF!</definedName>
    <definedName name="page50" localSheetId="34">#REF!</definedName>
    <definedName name="page50" localSheetId="35">#REF!</definedName>
    <definedName name="page50">#REF!</definedName>
    <definedName name="page51" localSheetId="11">#REF!</definedName>
    <definedName name="page51" localSheetId="13">#REF!</definedName>
    <definedName name="page51" localSheetId="16">#REF!</definedName>
    <definedName name="page51" localSheetId="26">#REF!</definedName>
    <definedName name="page51" localSheetId="32">#REF!</definedName>
    <definedName name="page51" localSheetId="33">#REF!</definedName>
    <definedName name="page51" localSheetId="34">#REF!</definedName>
    <definedName name="page51" localSheetId="35">#REF!</definedName>
    <definedName name="page51">#REF!</definedName>
    <definedName name="page52" localSheetId="11">#REF!</definedName>
    <definedName name="page52" localSheetId="13">#REF!</definedName>
    <definedName name="page52" localSheetId="16">#REF!</definedName>
    <definedName name="page52" localSheetId="26">#REF!</definedName>
    <definedName name="page52" localSheetId="32">#REF!</definedName>
    <definedName name="page52" localSheetId="33">#REF!</definedName>
    <definedName name="page52" localSheetId="34">#REF!</definedName>
    <definedName name="page52" localSheetId="35">#REF!</definedName>
    <definedName name="page52">#REF!</definedName>
    <definedName name="PAGE6" localSheetId="11">#REF!</definedName>
    <definedName name="PAGE6" localSheetId="13">#REF!</definedName>
    <definedName name="PAGE6" localSheetId="16">#REF!</definedName>
    <definedName name="PAGE6" localSheetId="26">#REF!</definedName>
    <definedName name="PAGE6" localSheetId="32">#REF!</definedName>
    <definedName name="PAGE6" localSheetId="33">#REF!</definedName>
    <definedName name="PAGE6" localSheetId="34">#REF!</definedName>
    <definedName name="PAGE6" localSheetId="35">#REF!</definedName>
    <definedName name="PAGE6">#REF!</definedName>
    <definedName name="PAGE6_6" localSheetId="11">#REF!</definedName>
    <definedName name="PAGE6_6" localSheetId="13">#REF!</definedName>
    <definedName name="PAGE6_6" localSheetId="16">#REF!</definedName>
    <definedName name="PAGE6_6" localSheetId="26">#REF!</definedName>
    <definedName name="PAGE6_6" localSheetId="32">#REF!</definedName>
    <definedName name="PAGE6_6" localSheetId="33">#REF!</definedName>
    <definedName name="PAGE6_6" localSheetId="34">#REF!</definedName>
    <definedName name="PAGE6_6" localSheetId="35">#REF!</definedName>
    <definedName name="PAGE6_6">#REF!</definedName>
    <definedName name="PAGE7" localSheetId="11">#REF!</definedName>
    <definedName name="PAGE7" localSheetId="13">#REF!</definedName>
    <definedName name="PAGE7" localSheetId="16">#REF!</definedName>
    <definedName name="PAGE7" localSheetId="26">#REF!</definedName>
    <definedName name="PAGE7" localSheetId="32">#REF!</definedName>
    <definedName name="PAGE7" localSheetId="33">#REF!</definedName>
    <definedName name="PAGE7" localSheetId="34">#REF!</definedName>
    <definedName name="PAGE7" localSheetId="35">#REF!</definedName>
    <definedName name="PAGE7">#REF!</definedName>
    <definedName name="PAGE7_6" localSheetId="11">#REF!</definedName>
    <definedName name="PAGE7_6" localSheetId="13">#REF!</definedName>
    <definedName name="PAGE7_6" localSheetId="16">#REF!</definedName>
    <definedName name="PAGE7_6" localSheetId="26">#REF!</definedName>
    <definedName name="PAGE7_6" localSheetId="32">#REF!</definedName>
    <definedName name="PAGE7_6" localSheetId="33">#REF!</definedName>
    <definedName name="PAGE7_6" localSheetId="34">#REF!</definedName>
    <definedName name="PAGE7_6" localSheetId="35">#REF!</definedName>
    <definedName name="PAGE7_6">#REF!</definedName>
    <definedName name="PAGE8" localSheetId="11">#REF!</definedName>
    <definedName name="PAGE8" localSheetId="13">#REF!</definedName>
    <definedName name="PAGE8" localSheetId="16">#REF!</definedName>
    <definedName name="PAGE8" localSheetId="26">#REF!</definedName>
    <definedName name="PAGE8" localSheetId="32">#REF!</definedName>
    <definedName name="PAGE8" localSheetId="33">#REF!</definedName>
    <definedName name="PAGE8" localSheetId="34">#REF!</definedName>
    <definedName name="PAGE8" localSheetId="35">#REF!</definedName>
    <definedName name="PAGE8">#REF!</definedName>
    <definedName name="PAGE8_6U1A" localSheetId="11">#REF!</definedName>
    <definedName name="PAGE8_6U1A" localSheetId="13">#REF!</definedName>
    <definedName name="PAGE8_6U1A" localSheetId="16">#REF!</definedName>
    <definedName name="PAGE8_6U1A" localSheetId="26">#REF!</definedName>
    <definedName name="PAGE8_6U1A" localSheetId="32">#REF!</definedName>
    <definedName name="PAGE8_6U1A" localSheetId="33">#REF!</definedName>
    <definedName name="PAGE8_6U1A" localSheetId="34">#REF!</definedName>
    <definedName name="PAGE8_6U1A" localSheetId="35">#REF!</definedName>
    <definedName name="PAGE8_6U1A">#REF!</definedName>
    <definedName name="PAGE8_6U1B" localSheetId="11">#REF!</definedName>
    <definedName name="PAGE8_6U1B" localSheetId="13">#REF!</definedName>
    <definedName name="PAGE8_6U1B" localSheetId="16">#REF!</definedName>
    <definedName name="PAGE8_6U1B" localSheetId="26">#REF!</definedName>
    <definedName name="PAGE8_6U1B" localSheetId="32">#REF!</definedName>
    <definedName name="PAGE8_6U1B" localSheetId="33">#REF!</definedName>
    <definedName name="PAGE8_6U1B" localSheetId="34">#REF!</definedName>
    <definedName name="PAGE8_6U1B" localSheetId="35">#REF!</definedName>
    <definedName name="PAGE8_6U1B">#REF!</definedName>
    <definedName name="PAGE8_6U2A" localSheetId="11">#REF!</definedName>
    <definedName name="PAGE8_6U2A" localSheetId="13">#REF!</definedName>
    <definedName name="PAGE8_6U2A" localSheetId="16">#REF!</definedName>
    <definedName name="PAGE8_6U2A" localSheetId="26">#REF!</definedName>
    <definedName name="PAGE8_6U2A" localSheetId="32">#REF!</definedName>
    <definedName name="PAGE8_6U2A" localSheetId="33">#REF!</definedName>
    <definedName name="PAGE8_6U2A" localSheetId="34">#REF!</definedName>
    <definedName name="PAGE8_6U2A" localSheetId="35">#REF!</definedName>
    <definedName name="PAGE8_6U2A">#REF!</definedName>
    <definedName name="PAGE8_6U2B" localSheetId="11">#REF!</definedName>
    <definedName name="PAGE8_6U2B" localSheetId="13">#REF!</definedName>
    <definedName name="PAGE8_6U2B" localSheetId="16">#REF!</definedName>
    <definedName name="PAGE8_6U2B" localSheetId="26">#REF!</definedName>
    <definedName name="PAGE8_6U2B" localSheetId="32">#REF!</definedName>
    <definedName name="PAGE8_6U2B" localSheetId="33">#REF!</definedName>
    <definedName name="PAGE8_6U2B" localSheetId="34">#REF!</definedName>
    <definedName name="PAGE8_6U2B" localSheetId="35">#REF!</definedName>
    <definedName name="PAGE8_6U2B">#REF!</definedName>
    <definedName name="PAGE8_6U3A" localSheetId="11">#REF!</definedName>
    <definedName name="PAGE8_6U3A" localSheetId="13">#REF!</definedName>
    <definedName name="PAGE8_6U3A" localSheetId="16">#REF!</definedName>
    <definedName name="PAGE8_6U3A" localSheetId="26">#REF!</definedName>
    <definedName name="PAGE8_6U3A" localSheetId="32">#REF!</definedName>
    <definedName name="PAGE8_6U3A" localSheetId="33">#REF!</definedName>
    <definedName name="PAGE8_6U3A" localSheetId="34">#REF!</definedName>
    <definedName name="PAGE8_6U3A" localSheetId="35">#REF!</definedName>
    <definedName name="PAGE8_6U3A">#REF!</definedName>
    <definedName name="PAGE8_6U3B" localSheetId="11">#REF!</definedName>
    <definedName name="PAGE8_6U3B" localSheetId="13">#REF!</definedName>
    <definedName name="PAGE8_6U3B" localSheetId="16">#REF!</definedName>
    <definedName name="PAGE8_6U3B" localSheetId="26">#REF!</definedName>
    <definedName name="PAGE8_6U3B" localSheetId="32">#REF!</definedName>
    <definedName name="PAGE8_6U3B" localSheetId="33">#REF!</definedName>
    <definedName name="PAGE8_6U3B" localSheetId="34">#REF!</definedName>
    <definedName name="PAGE8_6U3B" localSheetId="35">#REF!</definedName>
    <definedName name="PAGE8_6U3B">#REF!</definedName>
    <definedName name="PAGE9" localSheetId="11">#REF!</definedName>
    <definedName name="PAGE9" localSheetId="13">#REF!</definedName>
    <definedName name="PAGE9" localSheetId="16">#REF!</definedName>
    <definedName name="PAGE9" localSheetId="26">#REF!</definedName>
    <definedName name="PAGE9" localSheetId="32">#REF!</definedName>
    <definedName name="PAGE9" localSheetId="33">#REF!</definedName>
    <definedName name="PAGE9" localSheetId="34">#REF!</definedName>
    <definedName name="PAGE9" localSheetId="35">#REF!</definedName>
    <definedName name="PAGE9">#REF!</definedName>
    <definedName name="PAGE9_6" localSheetId="11">#REF!</definedName>
    <definedName name="PAGE9_6" localSheetId="13">#REF!</definedName>
    <definedName name="PAGE9_6" localSheetId="16">#REF!</definedName>
    <definedName name="PAGE9_6" localSheetId="26">#REF!</definedName>
    <definedName name="PAGE9_6" localSheetId="32">#REF!</definedName>
    <definedName name="PAGE9_6" localSheetId="33">#REF!</definedName>
    <definedName name="PAGE9_6" localSheetId="34">#REF!</definedName>
    <definedName name="PAGE9_6" localSheetId="35">#REF!</definedName>
    <definedName name="PAGE9_6">#REF!</definedName>
    <definedName name="paid_up_capital">#REF!</definedName>
    <definedName name="paidadams" localSheetId="0">SUM(#REF!)</definedName>
    <definedName name="paidadams">SUM(#REF!)</definedName>
    <definedName name="paidchemineer" localSheetId="0">SUM(#REF!)</definedName>
    <definedName name="paidchemineer">SUM(#REF!)</definedName>
    <definedName name="paidcopes" localSheetId="0">SUM(#REF!)</definedName>
    <definedName name="paidcopes">SUM(#REF!)</definedName>
    <definedName name="paiddba" localSheetId="0">SUM(#REF!)</definedName>
    <definedName name="paiddba">SUM(#REF!)</definedName>
    <definedName name="paiddelavan" localSheetId="0">SUM(#REF!)</definedName>
    <definedName name="paiddelavan">SUM(#REF!)</definedName>
    <definedName name="paiddkm51" localSheetId="0">SUM(#REF!)</definedName>
    <definedName name="paiddkm51">SUM(#REF!)</definedName>
    <definedName name="paiddkm52" localSheetId="0">SUM(#REF!)</definedName>
    <definedName name="paiddkm52">SUM(#REF!)</definedName>
    <definedName name="paidemba" localSheetId="0">SUM(#REF!)</definedName>
    <definedName name="paidemba">SUM(#REF!)</definedName>
    <definedName name="paidenviro" localSheetId="0">SUM(#REF!)</definedName>
    <definedName name="paidenviro">SUM(#REF!)</definedName>
    <definedName name="paidflowserve" localSheetId="0">SUM(#REF!)</definedName>
    <definedName name="paidflowserve">SUM(#REF!)</definedName>
    <definedName name="paidfmc" localSheetId="0">SUM(#REF!)</definedName>
    <definedName name="paidfmc">SUM(#REF!)</definedName>
    <definedName name="paidgeveke149" localSheetId="0">SUM(#REF!)</definedName>
    <definedName name="paidgeveke149">SUM(#REF!)</definedName>
    <definedName name="paidgeveke80" localSheetId="0">SUM(#REF!)</definedName>
    <definedName name="paidgeveke80">SUM(#REF!)</definedName>
    <definedName name="paidgeveke81" localSheetId="0">SUM(#REF!)</definedName>
    <definedName name="paidgeveke81">SUM(#REF!)</definedName>
    <definedName name="paidghhb" localSheetId="0">SUM(#REF!)</definedName>
    <definedName name="paidghhb">SUM(#REF!)</definedName>
    <definedName name="paidgutor110" localSheetId="0">SUM(#REF!)</definedName>
    <definedName name="paidgutor110">SUM(#REF!)</definedName>
    <definedName name="paidgutor96" localSheetId="0">SUM(#REF!)</definedName>
    <definedName name="paidgutor96">SUM(#REF!)</definedName>
    <definedName name="paidhamw" localSheetId="0">SUM(#REF!)</definedName>
    <definedName name="paidhamw">SUM(#REF!)</definedName>
    <definedName name="paidheurtey" localSheetId="0">SUM(#REF!)</definedName>
    <definedName name="paidheurtey">SUM(#REF!)</definedName>
    <definedName name="paidhmd" localSheetId="0">SUM(#REF!)</definedName>
    <definedName name="paidhmd">SUM(#REF!)</definedName>
    <definedName name="paidhydro" localSheetId="0">SUM(#REF!)</definedName>
    <definedName name="paidhydro">SUM(#REF!)</definedName>
    <definedName name="paidimi" localSheetId="0">SUM(#REF!)</definedName>
    <definedName name="paidimi">SUM(#REF!)</definedName>
    <definedName name="paidkerp" localSheetId="0">SUM(#REF!)</definedName>
    <definedName name="paidkerp">SUM(#REF!)</definedName>
    <definedName name="paidkiekens" localSheetId="0">SUM(#REF!)</definedName>
    <definedName name="paidkiekens">SUM(#REF!)</definedName>
    <definedName name="paidklinger" localSheetId="0">SUM(#REF!)</definedName>
    <definedName name="paidklinger">SUM(#REF!)</definedName>
    <definedName name="paidkoch" localSheetId="0">SUM(#REF!)</definedName>
    <definedName name="paidkoch">SUM(#REF!)</definedName>
    <definedName name="paidkuervers" localSheetId="0">SUM(#REF!)</definedName>
    <definedName name="paidkuervers">SUM(#REF!)</definedName>
    <definedName name="paidliebert" localSheetId="0">SUM(#REF!)</definedName>
    <definedName name="paidliebert">SUM(#REF!)</definedName>
    <definedName name="paidliebherr" localSheetId="0">SUM(#REF!)</definedName>
    <definedName name="paidliebherr">SUM(#REF!)</definedName>
    <definedName name="paidmann" localSheetId="0">SUM(#REF!)</definedName>
    <definedName name="paidmann">SUM(#REF!)</definedName>
    <definedName name="paidmrm" localSheetId="0">SUM(#REF!)</definedName>
    <definedName name="paidmrm">SUM(#REF!)</definedName>
    <definedName name="paidnat" localSheetId="0">SUM(#REF!)</definedName>
    <definedName name="paidnat">SUM(#REF!)</definedName>
    <definedName name="paidnp" localSheetId="0">SUM(#REF!)</definedName>
    <definedName name="paidnp">SUM(#REF!)</definedName>
    <definedName name="paidods" localSheetId="0">SUM(#REF!)</definedName>
    <definedName name="paidods">SUM(#REF!)</definedName>
    <definedName name="paidoxybel951" localSheetId="0">SUM(#REF!)</definedName>
    <definedName name="paidoxybel951">SUM(#REF!)</definedName>
    <definedName name="paidoxybel952" localSheetId="0">SUM(#REF!)</definedName>
    <definedName name="paidoxybel952">SUM(#REF!)</definedName>
    <definedName name="paidpirelli" localSheetId="0">SUM(#REF!)</definedName>
    <definedName name="paidpirelli">SUM(#REF!)</definedName>
    <definedName name="paidsafex" localSheetId="0">SUM(#REF!)</definedName>
    <definedName name="paidsafex">SUM(#REF!)</definedName>
    <definedName name="paidschulz" localSheetId="0">SUM(#REF!)</definedName>
    <definedName name="paidschulz">SUM(#REF!)</definedName>
    <definedName name="paidsirco" localSheetId="0">SUM(#REF!)</definedName>
    <definedName name="paidsirco">SUM(#REF!)</definedName>
    <definedName name="paidtaprogge" localSheetId="0">SUM(#REF!)</definedName>
    <definedName name="paidtaprogge">SUM(#REF!)</definedName>
    <definedName name="paidthermoheat165" localSheetId="0">SUM(#REF!)</definedName>
    <definedName name="paidthermoheat165">SUM(#REF!)</definedName>
    <definedName name="paidthermoheat175" localSheetId="0">SUM(#REF!)</definedName>
    <definedName name="paidthermoheat175">SUM(#REF!)</definedName>
    <definedName name="paidyokogawa" localSheetId="0">SUM(#REF!)</definedName>
    <definedName name="paidyokogawa">SUM(#REF!)</definedName>
    <definedName name="paidyork" localSheetId="0">SUM(#REF!)</definedName>
    <definedName name="paidyork">SUM(#REF!)</definedName>
    <definedName name="Pal_Workbook_GUID" hidden="1">"LMXR2IBAYBUFIIQ8L6NSU9P8"</definedName>
    <definedName name="PAN">#REF!</definedName>
    <definedName name="para1">#REF!</definedName>
    <definedName name="para2">#REF!</definedName>
    <definedName name="ParasBL17">#REF!</definedName>
    <definedName name="ParasResLife">#REF!</definedName>
    <definedName name="ParasResLife16">#REF!</definedName>
    <definedName name="Parli67ResLife16">#REF!</definedName>
    <definedName name="ParliResLife">#REF!</definedName>
    <definedName name="ParliResLife16">#REF!</definedName>
    <definedName name="ParliResLife17">#REF!</definedName>
    <definedName name="PARS">#REF!</definedName>
    <definedName name="parse" hidden="1">#REF!</definedName>
    <definedName name="Part" hidden="1">#REF!</definedName>
    <definedName name="PART_NO">#N/A</definedName>
    <definedName name="PARTBBNew">#REF!</definedName>
    <definedName name="PartDesignation" localSheetId="0">#REF!</definedName>
    <definedName name="PartDesignation">#REF!</definedName>
    <definedName name="PARTICULARS">#REF!</definedName>
    <definedName name="pas" localSheetId="0">#REF!</definedName>
    <definedName name="pas">#REF!</definedName>
    <definedName name="pat">#REF!</definedName>
    <definedName name="PATNA" hidden="1">#REF!</definedName>
    <definedName name="Pay_Num">#REF!</definedName>
    <definedName name="Payment_by_ABB_LGN" localSheetId="0">#REF!</definedName>
    <definedName name="Payment_by_ABB_LGN">#REF!</definedName>
    <definedName name="Payment_by_ABB_LGN_EURO" localSheetId="0">#REF!</definedName>
    <definedName name="Payment_by_ABB_LGN_EURO">#REF!</definedName>
    <definedName name="payments_PA">#REF!</definedName>
    <definedName name="Payout_ratio">#REF!</definedName>
    <definedName name="Payout_ratio_on_underlying">#REF!</definedName>
    <definedName name="PBASE">#REF!</definedName>
    <definedName name="PC">#N/A</definedName>
    <definedName name="PC_1">#REF!</definedName>
    <definedName name="PC_2">#REF!</definedName>
    <definedName name="PC_3">#REF!</definedName>
    <definedName name="PC_4">#REF!</definedName>
    <definedName name="PC_5">#REF!</definedName>
    <definedName name="PC_6">#REF!</definedName>
    <definedName name="PC_GEN_TA">#REF!</definedName>
    <definedName name="PC_GEN_TD">#REF!</definedName>
    <definedName name="PCASHTAX">#REF!</definedName>
    <definedName name="PCL">#N/A</definedName>
    <definedName name="PCN">#REF!</definedName>
    <definedName name="PCNO">#REF!</definedName>
    <definedName name="PCNO1">#REF!</definedName>
    <definedName name="PCOGS">#REF!</definedName>
    <definedName name="PCONSTANT">#REF!</definedName>
    <definedName name="pcraig1">#REF!</definedName>
    <definedName name="pd"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pd"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PDEPRECIATION">#REF!</definedName>
    <definedName name="PDRP">#REF!</definedName>
    <definedName name="PDVT">#REF!</definedName>
    <definedName name="PE">#REF!</definedName>
    <definedName name="PE_2007_data">OFFSET(#REF!,1,0,(COUNTA(#REF!)-1-COUNTIF(#REF!,"#N/A")),1)</definedName>
    <definedName name="PE_2008_data">OFFSET(#REF!,1,0,(COUNTA(#REF!)-1-COUNTIF(#REF!,"#N/A")),1)</definedName>
    <definedName name="PE_2009_data">OFFSET(#REF!,1,0,(COUNTA(#REF!)-1-COUNTIF(#REF!,"#N/A")),1)</definedName>
    <definedName name="Peak1">#REF!</definedName>
    <definedName name="Peak2">#REF!</definedName>
    <definedName name="Peak3">#REF!</definedName>
    <definedName name="Peak4">#REF!</definedName>
    <definedName name="PEG_data">OFFSET(#REF!,1,0,(COUNTA(#REF!)-1-COUNTIF(#REF!,"#N/A")),1)</definedName>
    <definedName name="PEHigh">#REF!</definedName>
    <definedName name="Pellet.Net" hidden="1">#REF!</definedName>
    <definedName name="PELow">#REF!</definedName>
    <definedName name="per">#REF!</definedName>
    <definedName name="Percent_Threshold">#REF!</definedName>
    <definedName name="perf">#REF!</definedName>
    <definedName name="PERF_1_WEEK_data">OFFSET(#REF!,1,0,(COUNTA(#REF!)-1-COUNTIF(#REF!,"#N/A")),1)</definedName>
    <definedName name="PerFD">#REF!</definedName>
    <definedName name="Performance">#REF!</definedName>
    <definedName name="Period">#REF!</definedName>
    <definedName name="period_months">#REF!</definedName>
    <definedName name="periodcerc">#REF!</definedName>
    <definedName name="periodicity" localSheetId="0">#REF!</definedName>
    <definedName name="periodicity">#REF!</definedName>
    <definedName name="periodmerc">#REF!</definedName>
    <definedName name="PEVA">#REF!</definedName>
    <definedName name="PF" localSheetId="25" hidden="1">{#N/A,#N/A,FALSE,"COVER.XLS";#N/A,#N/A,FALSE,"RACT1.XLS";#N/A,#N/A,FALSE,"RACT2.XLS";#N/A,#N/A,FALSE,"ECCMP";#N/A,#N/A,FALSE,"WELDER.XLS"}</definedName>
    <definedName name="PF" localSheetId="5" hidden="1">{#N/A,#N/A,FALSE,"COVER.XLS";#N/A,#N/A,FALSE,"RACT1.XLS";#N/A,#N/A,FALSE,"RACT2.XLS";#N/A,#N/A,FALSE,"ECCMP";#N/A,#N/A,FALSE,"WELDER.XLS"}</definedName>
    <definedName name="PF" hidden="1">{#N/A,#N/A,FALSE,"COVER.XLS";#N/A,#N/A,FALSE,"RACT1.XLS";#N/A,#N/A,FALSE,"RACT2.XLS";#N/A,#N/A,FALSE,"ECCMP";#N/A,#N/A,FALSE,"WELDER.XLS"}</definedName>
    <definedName name="PFC_Int" localSheetId="0">#REF!</definedName>
    <definedName name="PFC_Int">#REF!</definedName>
    <definedName name="pfddiv96">#REF!</definedName>
    <definedName name="pfddiv97">#REF!</definedName>
    <definedName name="PGROWTH">#REF!</definedName>
    <definedName name="ph_asean">#REF!</definedName>
    <definedName name="ph_asean5">#REF!</definedName>
    <definedName name="ph_asia">#REF!</definedName>
    <definedName name="PHISTORICAL">#REF!</definedName>
    <definedName name="PI">#REF!</definedName>
    <definedName name="pic">#REF!</definedName>
    <definedName name="pickling">#REF!</definedName>
    <definedName name="PIN">#N/A</definedName>
    <definedName name="PINCREASED">#REF!</definedName>
    <definedName name="PINETOTHER">#REF!</definedName>
    <definedName name="PINETPPE">#REF!</definedName>
    <definedName name="PINTENSITY">#REF!</definedName>
    <definedName name="PINVESTMENT">#REF!</definedName>
    <definedName name="PINVESTYEARS">#REF!</definedName>
    <definedName name="PIPE">#REF!</definedName>
    <definedName name="PIWORKING">#REF!</definedName>
    <definedName name="PJT">#N/A</definedName>
    <definedName name="pk" hidden="1">{#N/A,#N/A,FALSE,"SUMMARY REPORT"}</definedName>
    <definedName name="PKG_LD">#N/A</definedName>
    <definedName name="PKK" hidden="1">#REF!</definedName>
    <definedName name="PKS">#REF!</definedName>
    <definedName name="PKTCLHold">#REF!</definedName>
    <definedName name="PKTCLOGI">#REF!</definedName>
    <definedName name="pl" localSheetId="25" hidden="1">{#N/A,#N/A,FALSE,"BS"}</definedName>
    <definedName name="pl" localSheetId="5" hidden="1">{#N/A,#N/A,FALSE,"BS"}</definedName>
    <definedName name="pl" hidden="1">{#N/A,#N/A,FALSE,"BS"}</definedName>
    <definedName name="PL_1">#REF!</definedName>
    <definedName name="PL_2">#REF!</definedName>
    <definedName name="PL_5">#REF!</definedName>
    <definedName name="PL_Statement">#REF!</definedName>
    <definedName name="PLANT">#REF!</definedName>
    <definedName name="plant_equipment">#REF!</definedName>
    <definedName name="PLANT_GEN_TA">#REF!</definedName>
    <definedName name="PLANT_GEN_TD">#REF!</definedName>
    <definedName name="Plant_Tech" localSheetId="0">#REF!</definedName>
    <definedName name="Plant_Tech">#REF!</definedName>
    <definedName name="Plant_Tech_Details" localSheetId="0">#REF!</definedName>
    <definedName name="Plant_Tech_Details">#REF!</definedName>
    <definedName name="planvsact">#REF!</definedName>
    <definedName name="PLF" localSheetId="0">#REF!</definedName>
    <definedName name="PLF">#REF!</definedName>
    <definedName name="PLFIN">#REF!</definedName>
    <definedName name="PLIII">#REF!</definedName>
    <definedName name="plj" hidden="1">{#N/A,#N/A,FALSE,"SUMMARY REPORT"}</definedName>
    <definedName name="pln" localSheetId="0">#REF!</definedName>
    <definedName name="pln">#REF!</definedName>
    <definedName name="pln.xls" localSheetId="0">#REF!</definedName>
    <definedName name="pln.xls">#REF!</definedName>
    <definedName name="plp"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lp"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l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LPRODUCT">#REF!</definedName>
    <definedName name="PLS" hidden="1">{#N/A,#N/A,FALSE,"SUMMARY REPORT"}</definedName>
    <definedName name="PLUG">#REF!</definedName>
    <definedName name="pm" localSheetId="0" hidden="1">{#N/A,#N/A,FALSE,"A"}</definedName>
    <definedName name="pm" hidden="1">{#N/A,#N/A,FALSE,"A"}</definedName>
    <definedName name="PMARGIN">#REF!</definedName>
    <definedName name="PMIX">#REF!</definedName>
    <definedName name="pmts" localSheetId="0">#REF!</definedName>
    <definedName name="pmts">#REF!</definedName>
    <definedName name="PNETPPE">#REF!</definedName>
    <definedName name="PNOPLAT">#REF!</definedName>
    <definedName name="pnt" localSheetId="0">#REF!</definedName>
    <definedName name="pnt">#REF!</definedName>
    <definedName name="po"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_to_GO_excl_CC_and_ABB_payments">#REF!</definedName>
    <definedName name="poadams">#REF!</definedName>
    <definedName name="pochemineer">#REF!</definedName>
    <definedName name="PoCInvoices">#REF!</definedName>
    <definedName name="pocopes">#REF!</definedName>
    <definedName name="podba">#REF!</definedName>
    <definedName name="podelavan">#REF!</definedName>
    <definedName name="podkm51">#REF!</definedName>
    <definedName name="podkm52">#REF!</definedName>
    <definedName name="poemba">#REF!</definedName>
    <definedName name="poenviro">#REF!</definedName>
    <definedName name="poflowserve">#REF!</definedName>
    <definedName name="pofmc">#REF!</definedName>
    <definedName name="pogeveke149">#REF!</definedName>
    <definedName name="pogeveke80">#REF!</definedName>
    <definedName name="pogeveke81">#REF!</definedName>
    <definedName name="poghhb">#REF!</definedName>
    <definedName name="pogutor110">#REF!</definedName>
    <definedName name="pogutor96">#REF!</definedName>
    <definedName name="pohamw">#REF!</definedName>
    <definedName name="poheurtey">#REF!</definedName>
    <definedName name="pohmd">#REF!</definedName>
    <definedName name="pohydro">#REF!</definedName>
    <definedName name="poi"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i"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i"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imi">#REF!</definedName>
    <definedName name="poinprogress">#REF!</definedName>
    <definedName name="poissued">#REF!</definedName>
    <definedName name="poiu"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iu"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iu"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kerp">#REF!</definedName>
    <definedName name="pokiekens">#REF!</definedName>
    <definedName name="poklinger">#REF!</definedName>
    <definedName name="pokoch">#REF!</definedName>
    <definedName name="pokuervers">#REF!</definedName>
    <definedName name="polhf" hidden="1">{#N/A,#N/A,FALSE,"SUMMARY REPORT"}</definedName>
    <definedName name="poliebert">#REF!</definedName>
    <definedName name="poliebherr">#REF!</definedName>
    <definedName name="POLY">#REF!</definedName>
    <definedName name="pomann">#REF!</definedName>
    <definedName name="pomrm">#REF!</definedName>
    <definedName name="ponat">#REF!</definedName>
    <definedName name="PONO">#N/A</definedName>
    <definedName name="ponp">#REF!</definedName>
    <definedName name="poo"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o"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o"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ods">#REF!</definedName>
    <definedName name="pooxybel">#REF!</definedName>
    <definedName name="pooxybel951">#REF!</definedName>
    <definedName name="pooxybel952">#REF!</definedName>
    <definedName name="pop">#REF!</definedName>
    <definedName name="Pop_Ratio" localSheetId="11">#REF!</definedName>
    <definedName name="Pop_Ratio" localSheetId="13">#REF!</definedName>
    <definedName name="Pop_Ratio" localSheetId="14">#REF!</definedName>
    <definedName name="Pop_Ratio" localSheetId="40">#REF!</definedName>
    <definedName name="Pop_Ratio" localSheetId="41">#REF!</definedName>
    <definedName name="Pop_Ratio" localSheetId="60">#REF!</definedName>
    <definedName name="Pop_Ratio" localSheetId="61">#REF!</definedName>
    <definedName name="Pop_Ratio" localSheetId="62">#REF!</definedName>
    <definedName name="Pop_Ratio" localSheetId="63">#REF!</definedName>
    <definedName name="Pop_Ratio" localSheetId="64">#REF!</definedName>
    <definedName name="Pop_Ratio" localSheetId="16">#REF!</definedName>
    <definedName name="Pop_Ratio" localSheetId="17">#REF!</definedName>
    <definedName name="Pop_Ratio" localSheetId="65">#REF!</definedName>
    <definedName name="Pop_Ratio" localSheetId="26">#REF!</definedName>
    <definedName name="Pop_Ratio" localSheetId="32">#REF!</definedName>
    <definedName name="Pop_Ratio" localSheetId="33">#REF!</definedName>
    <definedName name="Pop_Ratio" localSheetId="34">#REF!</definedName>
    <definedName name="Pop_Ratio" localSheetId="35">#REF!</definedName>
    <definedName name="Pop_Ratio">#REF!</definedName>
    <definedName name="popirelli">#REF!</definedName>
    <definedName name="popo"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po"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po"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pop"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pop"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po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opopopooooooooooooooooooooo">#REF!</definedName>
    <definedName name="Poppy">#REF!</definedName>
    <definedName name="posafex">#REF!</definedName>
    <definedName name="poschulz">#REF!</definedName>
    <definedName name="posirco">#REF!</definedName>
    <definedName name="Post_tax_stock_gains_losses">#REF!</definedName>
    <definedName name="Post_vs_pretax">#REF!</definedName>
    <definedName name="Postage" localSheetId="25" hidden="1">{#N/A,#N/A,FALSE,"Aging Summary";#N/A,#N/A,FALSE,"Ratio Analysis";#N/A,#N/A,FALSE,"Test 120 Day Accts";#N/A,#N/A,FALSE,"Tickmarks"}</definedName>
    <definedName name="Postage" localSheetId="5"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25" hidden="1">{#N/A,#N/A,FALSE,"Aging Summary";#N/A,#N/A,FALSE,"Ratio Analysis";#N/A,#N/A,FALSE,"Test 120 Day Accts";#N/A,#N/A,FALSE,"Tickmarks"}</definedName>
    <definedName name="PostageCourierTelephoneExpenses" localSheetId="5"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suppl">#REF!</definedName>
    <definedName name="potaprogge">#REF!</definedName>
    <definedName name="potential_exposure">#REF!</definedName>
    <definedName name="POTHER">#REF!</definedName>
    <definedName name="pothermoheat165">#REF!</definedName>
    <definedName name="pothermoheat175">#REF!</definedName>
    <definedName name="pound">#REF!</definedName>
    <definedName name="power">#REF!</definedName>
    <definedName name="PowerCut3Wire" localSheetId="0">#REF!</definedName>
    <definedName name="PowerCut3Wire">#REF!</definedName>
    <definedName name="PowerCut3Wire_H0010" localSheetId="0">#REF!</definedName>
    <definedName name="PowerCut3Wire_H0010">#REF!</definedName>
    <definedName name="PowerCut4Wire" localSheetId="0">#REF!</definedName>
    <definedName name="PowerCut4Wire">#REF!</definedName>
    <definedName name="PowerCut4Wire_H0010" localSheetId="0">#REF!</definedName>
    <definedName name="PowerCut4Wire_H0010">#REF!</definedName>
    <definedName name="POY">#REF!</definedName>
    <definedName name="POYBE">#REF!</definedName>
    <definedName name="POYBE___0">#REF!</definedName>
    <definedName name="poyokogawa">#REF!</definedName>
    <definedName name="poyork">#REF!</definedName>
    <definedName name="pp" localSheetId="0" hidden="1">{"VIEW1",#N/A,FALSE,"P&amp;L Account 2001-2002";"VIEW2",#N/A,FALSE,"P&amp;L Account 2001-2002";"VIEW3",#N/A,FALSE,"P&amp;L Account 2001-2002";"VIEW4",#N/A,FALSE,"P&amp;L Account 2001-2002"}</definedName>
    <definedName name="pp" hidden="1">{"VIEW1",#N/A,FALSE,"P&amp;L Account 2001-2002";"VIEW2",#N/A,FALSE,"P&amp;L Account 2001-2002";"VIEW3",#N/A,FALSE,"P&amp;L Account 2001-2002";"VIEW4",#N/A,FALSE,"P&amp;L Account 2001-2002"}</definedName>
    <definedName name="PPBOH">#N/A</definedName>
    <definedName name="PPEOH">#N/A</definedName>
    <definedName name="ppl">#REF!</definedName>
    <definedName name="PPMIX">#REF!</definedName>
    <definedName name="PPnE_turns_fore">#REF!</definedName>
    <definedName name="ppoo"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poo"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poo"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pp"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pp"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p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PPP" localSheetId="25" hidden="1">{#N/A,#N/A,FALSE,"ISBL"}</definedName>
    <definedName name="PPPP" localSheetId="5" hidden="1">{#N/A,#N/A,FALSE,"ISBL"}</definedName>
    <definedName name="PPPP" hidden="1">{#N/A,#N/A,FALSE,"ISBL"}</definedName>
    <definedName name="PPREROIC">#REF!</definedName>
    <definedName name="PQ">#REF!</definedName>
    <definedName name="PQR">#REF!</definedName>
    <definedName name="PR">#N/A</definedName>
    <definedName name="prachi" hidden="1">#REF!</definedName>
    <definedName name="pradip"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radip"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radi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prakash" localSheetId="25" hidden="1">{#N/A,#N/A,FALSE,"COMICRO";#N/A,#N/A,FALSE,"BALSCH";#N/A,#N/A,FALSE,"GLASS";#N/A,#N/A,FALSE,"DEPRE";#N/A,#N/A,FALSE,"A&amp;MCUR";#N/A,#N/A,FALSE,"AGEANAlysis";#N/A,#N/A,FALSE,"CHECKS";#N/A,#N/A,FALSE,"CHECKS"}</definedName>
    <definedName name="prakash" localSheetId="5" hidden="1">{#N/A,#N/A,FALSE,"COMICRO";#N/A,#N/A,FALSE,"BALSCH";#N/A,#N/A,FALSE,"GLASS";#N/A,#N/A,FALSE,"DEPRE";#N/A,#N/A,FALSE,"A&amp;MCUR";#N/A,#N/A,FALSE,"AGEANAlysis";#N/A,#N/A,FALSE,"CHECKS";#N/A,#N/A,FALSE,"CHECKS"}</definedName>
    <definedName name="prakash" hidden="1">{#N/A,#N/A,FALSE,"COMICRO";#N/A,#N/A,FALSE,"BALSCH";#N/A,#N/A,FALSE,"GLASS";#N/A,#N/A,FALSE,"DEPRE";#N/A,#N/A,FALSE,"A&amp;MCUR";#N/A,#N/A,FALSE,"AGEANAlysis";#N/A,#N/A,FALSE,"CHECKS";#N/A,#N/A,FALSE,"CHECKS"}</definedName>
    <definedName name="pravin" hidden="1">#REF!</definedName>
    <definedName name="PRDN">#REF!</definedName>
    <definedName name="PRDump">#REF!</definedName>
    <definedName name="pre">#REF!</definedName>
    <definedName name="PRE_EPS">#REF!</definedName>
    <definedName name="PRE_NP">#REF!</definedName>
    <definedName name="Pre_tax_materiality">#REF!</definedName>
    <definedName name="pre_tax_profit">#REF!</definedName>
    <definedName name="PREF">#N/A</definedName>
    <definedName name="preference_dividend">#REF!</definedName>
    <definedName name="preference_share_capital">#REF!</definedName>
    <definedName name="Preferred_book_value">#REF!</definedName>
    <definedName name="Preferred_Dividends">#REF!</definedName>
    <definedName name="Preferred_stock">#REF!</definedName>
    <definedName name="PrefSh" hidden="1">#REF!</definedName>
    <definedName name="preisfaktor">#REF!</definedName>
    <definedName name="PREOPS">#REF!</definedName>
    <definedName name="prepaid" localSheetId="25" hidden="1">{#N/A,#N/A,FALSE,"Aging Summary";#N/A,#N/A,FALSE,"Ratio Analysis";#N/A,#N/A,FALSE,"Test 120 Day Accts";#N/A,#N/A,FALSE,"Tickmarks"}</definedName>
    <definedName name="prepaid" localSheetId="5" hidden="1">{#N/A,#N/A,FALSE,"Aging Summary";#N/A,#N/A,FALSE,"Ratio Analysis";#N/A,#N/A,FALSE,"Test 120 Day Accts";#N/A,#N/A,FALSE,"Tickmarks"}</definedName>
    <definedName name="prepaid" hidden="1">{#N/A,#N/A,FALSE,"Aging Summary";#N/A,#N/A,FALSE,"Ratio Analysis";#N/A,#N/A,FALSE,"Test 120 Day Accts";#N/A,#N/A,FALSE,"Tickmarks"}</definedName>
    <definedName name="prepaidcpinterest" localSheetId="25" hidden="1">{#N/A,#N/A,FALSE,"Aging Summary";#N/A,#N/A,FALSE,"Ratio Analysis";#N/A,#N/A,FALSE,"Test 120 Day Accts";#N/A,#N/A,FALSE,"Tickmarks"}</definedName>
    <definedName name="prepaidcpinterest" localSheetId="5" hidden="1">{#N/A,#N/A,FALSE,"Aging Summary";#N/A,#N/A,FALSE,"Ratio Analysis";#N/A,#N/A,FALSE,"Test 120 Day Accts";#N/A,#N/A,FALSE,"Tickmarks"}</definedName>
    <definedName name="prepaidcpinterest" hidden="1">{#N/A,#N/A,FALSE,"Aging Summary";#N/A,#N/A,FALSE,"Ratio Analysis";#N/A,#N/A,FALSE,"Test 120 Day Accts";#N/A,#N/A,FALSE,"Tickmarks"}</definedName>
    <definedName name="prepay" localSheetId="25" hidden="1">{#N/A,#N/A,FALSE,"PMTABB";#N/A,#N/A,FALSE,"PMTABB"}</definedName>
    <definedName name="prepay" localSheetId="5" hidden="1">{#N/A,#N/A,FALSE,"PMTABB";#N/A,#N/A,FALSE,"PMTABB"}</definedName>
    <definedName name="prepay" hidden="1">{#N/A,#N/A,FALSE,"PMTABB";#N/A,#N/A,FALSE,"PMTABB"}</definedName>
    <definedName name="Prepay_Cal">#REF!</definedName>
    <definedName name="Prepay_Cal1">#REF!</definedName>
    <definedName name="Prepay_Cal2">#REF!</definedName>
    <definedName name="Prepay_Diff">#REF!</definedName>
    <definedName name="Prepay_Paste">#REF!</definedName>
    <definedName name="Prepay_Paste1">#REF!</definedName>
    <definedName name="PREROIC">#REF!</definedName>
    <definedName name="PRESENT_VALUE_DISCOUNT_ACCOUNT">"ㅣ"</definedName>
    <definedName name="Present_Value_Oper_lease">#REF!</definedName>
    <definedName name="Pretax_income">#REF!</definedName>
    <definedName name="PREV_NO1" localSheetId="0">#REF!</definedName>
    <definedName name="PREV_NO1">#REF!</definedName>
    <definedName name="PREV_NO10" localSheetId="0">#REF!</definedName>
    <definedName name="PREV_NO10">#REF!</definedName>
    <definedName name="PREV_NO11" localSheetId="0">#REF!</definedName>
    <definedName name="PREV_NO11">#REF!</definedName>
    <definedName name="PREV_NO12" localSheetId="0">#REF!</definedName>
    <definedName name="PREV_NO12">#REF!</definedName>
    <definedName name="PREV_NO13" localSheetId="0">#REF!</definedName>
    <definedName name="PREV_NO13">#REF!</definedName>
    <definedName name="PREV_NO14" localSheetId="0">#REF!</definedName>
    <definedName name="PREV_NO14">#REF!</definedName>
    <definedName name="PREV_NO15" localSheetId="0">#REF!</definedName>
    <definedName name="PREV_NO15">#REF!</definedName>
    <definedName name="PREV_NO2" localSheetId="0">#REF!</definedName>
    <definedName name="PREV_NO2">#REF!</definedName>
    <definedName name="PREV_NO3" localSheetId="0">#REF!</definedName>
    <definedName name="PREV_NO3">#REF!</definedName>
    <definedName name="PREV_NO4" localSheetId="0">#REF!</definedName>
    <definedName name="PREV_NO4">#REF!</definedName>
    <definedName name="PREV_NO5" localSheetId="0">#REF!</definedName>
    <definedName name="PREV_NO5">#REF!</definedName>
    <definedName name="PREV_NO6" localSheetId="0">#REF!</definedName>
    <definedName name="PREV_NO6">#REF!</definedName>
    <definedName name="PREV_NO7" localSheetId="0">#REF!</definedName>
    <definedName name="PREV_NO7">#REF!</definedName>
    <definedName name="PREV_NO8" localSheetId="0">#REF!</definedName>
    <definedName name="PREV_NO8">#REF!</definedName>
    <definedName name="PREV_NO9" localSheetId="0">#REF!</definedName>
    <definedName name="PREV_NO9">#REF!</definedName>
    <definedName name="Previous_yr">#REF!</definedName>
    <definedName name="PRF_1" localSheetId="11">#REF!</definedName>
    <definedName name="PRF_1" localSheetId="13">#REF!</definedName>
    <definedName name="PRF_1" localSheetId="16">#REF!</definedName>
    <definedName name="PRF_1" localSheetId="26">#REF!</definedName>
    <definedName name="PRF_1" localSheetId="32">#REF!</definedName>
    <definedName name="PRF_1" localSheetId="33">#REF!</definedName>
    <definedName name="PRF_1" localSheetId="34">#REF!</definedName>
    <definedName name="PRF_1" localSheetId="35">#REF!</definedName>
    <definedName name="PRF_1">#REF!</definedName>
    <definedName name="PRF_2_P1" localSheetId="11">#REF!</definedName>
    <definedName name="PRF_2_P1" localSheetId="13">#REF!</definedName>
    <definedName name="PRF_2_P1" localSheetId="16">#REF!</definedName>
    <definedName name="PRF_2_P1" localSheetId="26">#REF!</definedName>
    <definedName name="PRF_2_P1" localSheetId="32">#REF!</definedName>
    <definedName name="PRF_2_P1" localSheetId="33">#REF!</definedName>
    <definedName name="PRF_2_P1" localSheetId="34">#REF!</definedName>
    <definedName name="PRF_2_P1" localSheetId="35">#REF!</definedName>
    <definedName name="PRF_2_P1">#REF!</definedName>
    <definedName name="PRF_2_P2" localSheetId="11">#REF!</definedName>
    <definedName name="PRF_2_P2" localSheetId="13">#REF!</definedName>
    <definedName name="PRF_2_P2" localSheetId="16">#REF!</definedName>
    <definedName name="PRF_2_P2" localSheetId="26">#REF!</definedName>
    <definedName name="PRF_2_P2" localSheetId="32">#REF!</definedName>
    <definedName name="PRF_2_P2" localSheetId="33">#REF!</definedName>
    <definedName name="PRF_2_P2" localSheetId="34">#REF!</definedName>
    <definedName name="PRF_2_P2" localSheetId="35">#REF!</definedName>
    <definedName name="PRF_2_P2">#REF!</definedName>
    <definedName name="PRF_3_AN1" localSheetId="11">#REF!</definedName>
    <definedName name="PRF_3_AN1" localSheetId="13">#REF!</definedName>
    <definedName name="PRF_3_AN1" localSheetId="16">#REF!</definedName>
    <definedName name="PRF_3_AN1" localSheetId="26">#REF!</definedName>
    <definedName name="PRF_3_AN1" localSheetId="32">#REF!</definedName>
    <definedName name="PRF_3_AN1" localSheetId="33">#REF!</definedName>
    <definedName name="PRF_3_AN1" localSheetId="34">#REF!</definedName>
    <definedName name="PRF_3_AN1" localSheetId="35">#REF!</definedName>
    <definedName name="PRF_3_AN1">#REF!</definedName>
    <definedName name="PRF_3_AN2" localSheetId="11">#REF!</definedName>
    <definedName name="PRF_3_AN2" localSheetId="13">#REF!</definedName>
    <definedName name="PRF_3_AN2" localSheetId="16">#REF!</definedName>
    <definedName name="PRF_3_AN2" localSheetId="26">#REF!</definedName>
    <definedName name="PRF_3_AN2" localSheetId="32">#REF!</definedName>
    <definedName name="PRF_3_AN2" localSheetId="33">#REF!</definedName>
    <definedName name="PRF_3_AN2" localSheetId="34">#REF!</definedName>
    <definedName name="PRF_3_AN2" localSheetId="35">#REF!</definedName>
    <definedName name="PRF_3_AN2">#REF!</definedName>
    <definedName name="PRF_3_AN3" localSheetId="11">#REF!</definedName>
    <definedName name="PRF_3_AN3" localSheetId="13">#REF!</definedName>
    <definedName name="PRF_3_AN3" localSheetId="16">#REF!</definedName>
    <definedName name="PRF_3_AN3" localSheetId="26">#REF!</definedName>
    <definedName name="PRF_3_AN3" localSheetId="32">#REF!</definedName>
    <definedName name="PRF_3_AN3" localSheetId="33">#REF!</definedName>
    <definedName name="PRF_3_AN3" localSheetId="34">#REF!</definedName>
    <definedName name="PRF_3_AN3" localSheetId="35">#REF!</definedName>
    <definedName name="PRF_3_AN3">#REF!</definedName>
    <definedName name="prg">#REF!</definedName>
    <definedName name="pri">#REF!</definedName>
    <definedName name="price" localSheetId="0" hidden="1">{"VIEW1",#N/A,FALSE,"P&amp;L Account 2001-2002";"VIEW2",#N/A,FALSE,"P&amp;L Account 2001-2002";"VIEW3",#N/A,FALSE,"P&amp;L Account 2001-2002";"VIEW4",#N/A,FALSE,"P&amp;L Account 2001-2002"}</definedName>
    <definedName name="price" hidden="1">{"VIEW1",#N/A,FALSE,"P&amp;L Account 2001-2002";"VIEW2",#N/A,FALSE,"P&amp;L Account 2001-2002";"VIEW3",#N/A,FALSE,"P&amp;L Account 2001-2002";"VIEW4",#N/A,FALSE,"P&amp;L Account 2001-2002"}</definedName>
    <definedName name="Price_hike_Domestic_Coal">#REF!</definedName>
    <definedName name="Price_hike_FO">#REF!</definedName>
    <definedName name="Price_hike_Imported_Coal">#REF!</definedName>
    <definedName name="Price_hike_LDO">#REF!</definedName>
    <definedName name="Price_structure">#REF!</definedName>
    <definedName name="Price1">#REF!</definedName>
    <definedName name="Price2">#REF!</definedName>
    <definedName name="Price3">#REF!</definedName>
    <definedName name="Price4">#REF!</definedName>
    <definedName name="Price5">#REF!</definedName>
    <definedName name="Price6">#REF!</definedName>
    <definedName name="pricecomp">#REF!</definedName>
    <definedName name="Princ">#REF!</definedName>
    <definedName name="Print">#REF!</definedName>
    <definedName name="_xlnm.Print_Area" localSheetId="6">'ARR-Summary'!$B$1:$Q$130</definedName>
    <definedName name="_xlnm.Print_Area" localSheetId="7">'F1'!$B$1:$O$428</definedName>
    <definedName name="_xlnm.Print_Area" localSheetId="9">'F1 Non-SEZ'!$B$1:$O$427</definedName>
    <definedName name="_xlnm.Print_Area" localSheetId="8">'F1 SEZ'!$B$1:$O$427</definedName>
    <definedName name="_xlnm.Print_Area" localSheetId="10">'F1.1'!$B$1:$O$428</definedName>
    <definedName name="_xlnm.Print_Area" localSheetId="11">'F1.2'!$A$1:$N$21</definedName>
    <definedName name="_xlnm.Print_Area" localSheetId="13">'F1.4'!$A$1:$O$59</definedName>
    <definedName name="_xlnm.Print_Area" localSheetId="40">'F10'!$A$1:$P$34</definedName>
    <definedName name="_xlnm.Print_Area" localSheetId="41">'F11'!$A$1:$P$52</definedName>
    <definedName name="_xlnm.Print_Area" localSheetId="42">'F12'!$B$1:$I$45</definedName>
    <definedName name="_xlnm.Print_Area" localSheetId="43">'F12 A'!$B$1:$F$101</definedName>
    <definedName name="_xlnm.Print_Area" localSheetId="44">'F13'!$B$2:$S$226</definedName>
    <definedName name="_xlnm.Print_Area" localSheetId="46">'F13 Non SEZ'!$B$2:$S$226</definedName>
    <definedName name="_xlnm.Print_Area" localSheetId="45">'F13 SEZ'!$B$2:$S$226</definedName>
    <definedName name="_xlnm.Print_Area" localSheetId="48">'F13.1'!$B$1:$Y$100</definedName>
    <definedName name="_xlnm.Print_Area" localSheetId="49">'F13.2'!$B$1:$Z$154</definedName>
    <definedName name="_xlnm.Print_Area" localSheetId="50">'F13.3'!$B$1:$Z$154</definedName>
    <definedName name="_xlnm.Print_Area" localSheetId="51">'F13.4'!$B$1:$Z$154</definedName>
    <definedName name="_xlnm.Print_Area" localSheetId="52">'F13.5'!$B$1:$Z$154</definedName>
    <definedName name="_xlnm.Print_Area" localSheetId="56">'F14.2'!$B$1:$AB$154</definedName>
    <definedName name="_xlnm.Print_Area" localSheetId="57">'F14.3'!$B$1:$AB$154</definedName>
    <definedName name="_xlnm.Print_Area" localSheetId="58">'F14.4'!$B$1:$AB$154</definedName>
    <definedName name="_xlnm.Print_Area" localSheetId="59">'F14.5'!$B$1:$AB$154</definedName>
    <definedName name="_xlnm.Print_Area" localSheetId="60">'F15'!$A$1:$L$78</definedName>
    <definedName name="_xlnm.Print_Area" localSheetId="61">'F16'!$B$1:$AF$169</definedName>
    <definedName name="_xlnm.Print_Area" localSheetId="63">'F18'!$B$3:$J$335</definedName>
    <definedName name="_xlnm.Print_Area" localSheetId="64">'F19'!$B$1:$I$43</definedName>
    <definedName name="_xlnm.Print_Area" localSheetId="15">'F2'!$A$1:$R$193</definedName>
    <definedName name="_xlnm.Print_Area" localSheetId="16">'F2.1'!$A$1:$Q$570</definedName>
    <definedName name="_xlnm.Print_Area" localSheetId="17">'F2.2'!$B$1:$P$14</definedName>
    <definedName name="_xlnm.Print_Area" localSheetId="65">'F20'!$B$1:$J$431</definedName>
    <definedName name="_xlnm.Print_Area" localSheetId="66">'F22'!$A$1:$H$27</definedName>
    <definedName name="_xlnm.Print_Area" localSheetId="19">'F3'!$A$1:$Q$31</definedName>
    <definedName name="_xlnm.Print_Area" localSheetId="20">'F3.1'!$A$1:$N$109</definedName>
    <definedName name="_xlnm.Print_Area" localSheetId="21">'F3.2'!$B$1:$K$145</definedName>
    <definedName name="_xlnm.Print_Area" localSheetId="22">'F3.3'!$B$2:$J$125</definedName>
    <definedName name="_xlnm.Print_Area" localSheetId="23">'F3.4'!$B$1:$J$56</definedName>
    <definedName name="_xlnm.Print_Area" localSheetId="26">'F4'!$A$1:$P$31</definedName>
    <definedName name="_xlnm.Print_Area" localSheetId="27">'F4.1'!$B$1:$S$616</definedName>
    <definedName name="_xlnm.Print_Area" localSheetId="28">'F4.2'!$A$1:$BM$186</definedName>
    <definedName name="_xlnm.Print_Area" localSheetId="29">'F4.3'!$A$1:$O$385</definedName>
    <definedName name="_xlnm.Print_Area" localSheetId="31">'F5'!$A$1:$W$140</definedName>
    <definedName name="_xlnm.Print_Area" localSheetId="32">'F5.1 (E) Exisiting'!$A$1:$W$140</definedName>
    <definedName name="_xlnm.Print_Area" localSheetId="33">'F5.1 (N) New'!$A$1:$W$140</definedName>
    <definedName name="_xlnm.Print_Area" localSheetId="34">'F5.2 (E) Existing'!$A$1:$W$140</definedName>
    <definedName name="_xlnm.Print_Area" localSheetId="35">'F5.2 (N) New'!$A$1:$W$140</definedName>
    <definedName name="_xlnm.Print_Area" localSheetId="36">'F6'!$B$1:$P$230</definedName>
    <definedName name="_xlnm.Print_Area" localSheetId="37">'F7'!$B$3:$K$99</definedName>
    <definedName name="_xlnm.Print_Area" localSheetId="38">'F8'!$A$1:$J$82,'F8'!$A$86:$J$130</definedName>
    <definedName name="_xlnm.Print_Area" localSheetId="39">'F9'!$B$1:$P$72</definedName>
    <definedName name="_xlnm.Print_Area" localSheetId="3">Index!$B$2:$D$59</definedName>
    <definedName name="_xlnm.Print_Area" localSheetId="2">'Sales Proj'!$A$1:$AD$64</definedName>
    <definedName name="_xlnm.Print_Area">#REF!</definedName>
    <definedName name="Print_Area_Deepak">#REF!</definedName>
    <definedName name="PRINT_AREA_MI" localSheetId="11">#REF!</definedName>
    <definedName name="PRINT_AREA_MI" localSheetId="13">#REF!</definedName>
    <definedName name="PRINT_AREA_MI" localSheetId="16">#REF!</definedName>
    <definedName name="PRINT_AREA_MI" localSheetId="26">#REF!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#REF!</definedName>
    <definedName name="PRINT_AREA_MI1">#REF!</definedName>
    <definedName name="PRINT_AREA_MII">#REF!</definedName>
    <definedName name="Print_Area01">#REF!</definedName>
    <definedName name="Print_Area02">#REF!</definedName>
    <definedName name="Print_Area1">#REF!</definedName>
    <definedName name="Print_Front_Page">#REF!</definedName>
    <definedName name="Print_tile">#REF!</definedName>
    <definedName name="Print_title">#REF!</definedName>
    <definedName name="_xlnm.Print_Titles" localSheetId="12">'F1.3'!$2:$5</definedName>
    <definedName name="_xlnm.Print_Titles" localSheetId="43">'F12 A'!$2:$4</definedName>
    <definedName name="_xlnm.Print_Titles" localSheetId="44">'F13'!$2:$4</definedName>
    <definedName name="_xlnm.Print_Titles" localSheetId="46">'F13 Non SEZ'!$2:$4</definedName>
    <definedName name="_xlnm.Print_Titles" localSheetId="45">'F13 SEZ'!$2:$4</definedName>
    <definedName name="_xlnm.Print_Titles" localSheetId="15">'F2'!$2:$4</definedName>
    <definedName name="_xlnm.Print_Titles" localSheetId="16">'F2.1'!$3:$5</definedName>
    <definedName name="_xlnm.Print_Titles" localSheetId="65">'F20'!$2:$4</definedName>
    <definedName name="_xlnm.Print_Titles" localSheetId="21">'F3.2'!$1:$4</definedName>
    <definedName name="_xlnm.Print_Titles" localSheetId="22">'F3.3'!$2:$4</definedName>
    <definedName name="_xlnm.Print_Titles" localSheetId="27">'F4.1'!$2:$4</definedName>
    <definedName name="_xlnm.Print_Titles" localSheetId="28">'F4.2'!$2:$5</definedName>
    <definedName name="_xlnm.Print_Titles" localSheetId="29">'F4.3'!$2:$4</definedName>
    <definedName name="_xlnm.Print_Titles" localSheetId="31">'F5'!$2:$4</definedName>
    <definedName name="_xlnm.Print_Titles" localSheetId="32">'F5.1 (E) Exisiting'!$2:$4</definedName>
    <definedName name="_xlnm.Print_Titles" localSheetId="33">'F5.1 (N) New'!$2:$4</definedName>
    <definedName name="_xlnm.Print_Titles" localSheetId="36">'F6'!$2:$4</definedName>
    <definedName name="_xlnm.Print_Titles">#REF!</definedName>
    <definedName name="PRINT_TITLES_MI" localSheetId="0">#REF!</definedName>
    <definedName name="Print_Titles_MI">#REF!,#REF!</definedName>
    <definedName name="PRINT_TITLES_MI1">#REF!</definedName>
    <definedName name="Print_titles1">#REF!</definedName>
    <definedName name="PRINT_TITLS">#REF!</definedName>
    <definedName name="Print02" localSheetId="0">#REF!</definedName>
    <definedName name="Print02">#REF!</definedName>
    <definedName name="print1">#REF!</definedName>
    <definedName name="Print2">#REF!</definedName>
    <definedName name="Printarea">#REF!</definedName>
    <definedName name="PrintPG1">#REF!</definedName>
    <definedName name="priyanka">#REF!</definedName>
    <definedName name="PRO" hidden="1">#REF!</definedName>
    <definedName name="PROC_NO1">#N/A</definedName>
    <definedName name="PROC_NO10" localSheetId="0">#REF!</definedName>
    <definedName name="PROC_NO10">#REF!</definedName>
    <definedName name="PROC_NO11" localSheetId="0">#REF!</definedName>
    <definedName name="PROC_NO11">#REF!</definedName>
    <definedName name="PROC_NO12" localSheetId="0">#REF!</definedName>
    <definedName name="PROC_NO12">#REF!</definedName>
    <definedName name="PROC_NO13" localSheetId="0">#REF!</definedName>
    <definedName name="PROC_NO13">#REF!</definedName>
    <definedName name="PROC_NO14" localSheetId="0">#REF!</definedName>
    <definedName name="PROC_NO14">#REF!</definedName>
    <definedName name="PROC_NO15" localSheetId="0">#REF!</definedName>
    <definedName name="PROC_NO15">#REF!</definedName>
    <definedName name="PROC_NO2">#N/A</definedName>
    <definedName name="PROC_NO3">#N/A</definedName>
    <definedName name="PROC_NO4">#N/A</definedName>
    <definedName name="PROC_NO5">#N/A</definedName>
    <definedName name="PROC_NO6">#N/A</definedName>
    <definedName name="PROC_NO7">#N/A</definedName>
    <definedName name="PROC_NO8">#N/A</definedName>
    <definedName name="PROC_NO9" localSheetId="0">#REF!</definedName>
    <definedName name="PROC_NO9">#REF!</definedName>
    <definedName name="Process" hidden="1">{#N/A,#N/A,FALSE,"SUMMARY REPORT"}</definedName>
    <definedName name="PROD">#N/A</definedName>
    <definedName name="ProdForm" hidden="1">#REF!</definedName>
    <definedName name="prodndty">#REF!</definedName>
    <definedName name="prodnspun">#REF!</definedName>
    <definedName name="Product" hidden="1">#REF!</definedName>
    <definedName name="Production_facility">#REF!</definedName>
    <definedName name="PRODUCTIONBOE">#REF!</definedName>
    <definedName name="Productioncost">#REF!</definedName>
    <definedName name="PRODUCTIONPERCENT">#REF!</definedName>
    <definedName name="ProductPL" hidden="1">#REF!</definedName>
    <definedName name="Productwise_Capacity">#REF!</definedName>
    <definedName name="Prof_Loss">#REF!</definedName>
    <definedName name="ProfileOfTaggedInstruments___ByConstrMgr_Complex_Category">#REF!</definedName>
    <definedName name="PROFIT">#REF!</definedName>
    <definedName name="profit_after_tax">#REF!</definedName>
    <definedName name="Profit_Loss">#REF!</definedName>
    <definedName name="ProfitLossaccount">#REF!</definedName>
    <definedName name="PROIC">#REF!</definedName>
    <definedName name="PROICF">#REF!</definedName>
    <definedName name="PROICYEARS">#REF!</definedName>
    <definedName name="proj">#REF!</definedName>
    <definedName name="proj9798">#REF!</definedName>
    <definedName name="proj9900">#REF!</definedName>
    <definedName name="PROJECT_COST">#REF!</definedName>
    <definedName name="PROJECT_NAME">#REF!</definedName>
    <definedName name="Provision2" localSheetId="25" hidden="1">{"plansummary",#N/A,FALSE,"PlanSummary";"sales",#N/A,FALSE,"Sales Rec";"productivity",#N/A,FALSE,"Productivity Rec";"capitalspending",#N/A,FALSE,"Capital Spending"}</definedName>
    <definedName name="Provision2" localSheetId="5"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P">#REF!</definedName>
    <definedName name="PSF">#REF!</definedName>
    <definedName name="PSF___0">#REF!</definedName>
    <definedName name="PSG_A">#REF!</definedName>
    <definedName name="pss" localSheetId="25" hidden="1">{#N/A,#N/A,FALSE,"COMICRO";#N/A,#N/A,FALSE,"BALSCH";#N/A,#N/A,FALSE,"GLASS";#N/A,#N/A,FALSE,"DEPRE";#N/A,#N/A,FALSE,"A&amp;MCUR";#N/A,#N/A,FALSE,"AGEANAlysis";#N/A,#N/A,FALSE,"CHECKS";#N/A,#N/A,FALSE,"CHECKS"}</definedName>
    <definedName name="pss" localSheetId="5" hidden="1">{#N/A,#N/A,FALSE,"COMICRO";#N/A,#N/A,FALSE,"BALSCH";#N/A,#N/A,FALSE,"GLASS";#N/A,#N/A,FALSE,"DEPRE";#N/A,#N/A,FALSE,"A&amp;MCUR";#N/A,#N/A,FALSE,"AGEANAlysis";#N/A,#N/A,FALSE,"CHECKS";#N/A,#N/A,FALSE,"CHECKS"}</definedName>
    <definedName name="pss" hidden="1">{#N/A,#N/A,FALSE,"COMICRO";#N/A,#N/A,FALSE,"BALSCH";#N/A,#N/A,FALSE,"GLASS";#N/A,#N/A,FALSE,"DEPRE";#N/A,#N/A,FALSE,"A&amp;MCUR";#N/A,#N/A,FALSE,"AGEANAlysis";#N/A,#N/A,FALSE,"CHECKS";#N/A,#N/A,FALSE,"CHECKS"}</definedName>
    <definedName name="PTA_Bulk">#REF!</definedName>
    <definedName name="PTA_ISBL">#REF!</definedName>
    <definedName name="ptd">#REF!</definedName>
    <definedName name="pti">#REF!</definedName>
    <definedName name="ptm">#REF!,#REF!</definedName>
    <definedName name="PTPI">#REF!</definedName>
    <definedName name="PTURNOVER">#REF!</definedName>
    <definedName name="PUR">#N/A</definedName>
    <definedName name="PURCHASE" localSheetId="0">#REF!</definedName>
    <definedName name="PURCHASE">#REF!</definedName>
    <definedName name="PURCOST" localSheetId="0">#REF!</definedName>
    <definedName name="PURCOST">#REF!</definedName>
    <definedName name="PUY" localSheetId="0" hidden="1">{"VIEW1",#N/A,FALSE,"P&amp;L Account 2001-2002";"VIEW2",#N/A,FALSE,"P&amp;L Account 2001-2002";"VIEW3",#N/A,FALSE,"P&amp;L Account 2001-2002";"VIEW4",#N/A,FALSE,"P&amp;L Account 2001-2002"}</definedName>
    <definedName name="PUY" hidden="1">{"VIEW1",#N/A,FALSE,"P&amp;L Account 2001-2002";"VIEW2",#N/A,FALSE,"P&amp;L Account 2001-2002";"VIEW3",#N/A,FALSE,"P&amp;L Account 2001-2002";"VIEW4",#N/A,FALSE,"P&amp;L Account 2001-2002"}</definedName>
    <definedName name="PV_NP">#REF!</definedName>
    <definedName name="PV_of_Economic_Profit">#REF!</definedName>
    <definedName name="PV_of_FCF">#REF!</definedName>
    <definedName name="PV_of_Residual_Value">#REF!</definedName>
    <definedName name="PV_Oper_lease">#REF!</definedName>
    <definedName name="PVGO">#REF!</definedName>
    <definedName name="pw" localSheetId="0">#REF!</definedName>
    <definedName name="pw">#REF!</definedName>
    <definedName name="PWORKING">#REF!</definedName>
    <definedName name="PY" localSheetId="0">#REF!</definedName>
    <definedName name="PY">#REF!</definedName>
    <definedName name="PY_Accounts_Receivable">#REF!</definedName>
    <definedName name="PY_all_Equity">#REF!</definedName>
    <definedName name="PY_all_Income">#REF!</definedName>
    <definedName name="PY_all_RetEarn">#REF!</definedName>
    <definedName name="PY_Cash">#REF!</definedName>
    <definedName name="PY_Common_Equity">#REF!</definedName>
    <definedName name="PY_Cost_of_Sales">#REF!</definedName>
    <definedName name="PY_Current_Liabilities">#REF!</definedName>
    <definedName name="PY_Depreciation">#REF!</definedName>
    <definedName name="PY_END">#REF!</definedName>
    <definedName name="PY_Gross_Profit">#REF!</definedName>
    <definedName name="PY_Inc_Bef_Tax">#REF!</definedName>
    <definedName name="PY_Intangible_Assets">#REF!</definedName>
    <definedName name="PY_Interest_Expense">#REF!</definedName>
    <definedName name="PY_Inventory">#REF!</definedName>
    <definedName name="PY_knw_Income">#REF!</definedName>
    <definedName name="PY_knw_RetEarn">#REF!</definedName>
    <definedName name="PY_LIABIL_EQUITY">#REF!</definedName>
    <definedName name="PY_lik_Income">#REF!</definedName>
    <definedName name="PY_lik_RetEarn">#REF!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Tangible_Assets">#REF!</definedName>
    <definedName name="PY_Tangible_Net_Worth">#REF!</definedName>
    <definedName name="PY_Taxes">#REF!</definedName>
    <definedName name="PY_tot_knw_Xfoot">#REF!</definedName>
    <definedName name="PY_tot_lik_Xfoot">#REF!</definedName>
    <definedName name="PY_TOTAL_ASSETS">#REF!</definedName>
    <definedName name="PY_TOTAL_CURR_ASSETS">#REF!</definedName>
    <definedName name="PY_TOTAL_DEBT">#REF!</definedName>
    <definedName name="PY_TOTAL_EQUITY">#REF!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PY_Working_Capital">#REF!</definedName>
    <definedName name="PY2_Accounts_Receivable">#REF!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DATE">#REF!</definedName>
    <definedName name="q" localSheetId="25">#REF!,#REF!</definedName>
    <definedName name="q" localSheetId="0">#REF!,#REF!</definedName>
    <definedName name="q" localSheetId="43">#REF!,#REF!</definedName>
    <definedName name="q" localSheetId="5">#REF!,#REF!</definedName>
    <definedName name="q">#REF!,#REF!</definedName>
    <definedName name="Q1.2001.06">#REF!</definedName>
    <definedName name="Q1.2002.06">#REF!</definedName>
    <definedName name="Q1.2003.06">#REF!</definedName>
    <definedName name="Q2.2000.09">#REF!</definedName>
    <definedName name="Q2.2001.09">#REF!</definedName>
    <definedName name="Q2.2002.09">#REF!</definedName>
    <definedName name="Q2.2003.09">#REF!</definedName>
    <definedName name="q2h1results" localSheetId="0" hidden="1">#REF!</definedName>
    <definedName name="q2h1results" hidden="1">#REF!</definedName>
    <definedName name="Q3.2000.12">#REF!</definedName>
    <definedName name="Q3.2001.12">#REF!</definedName>
    <definedName name="Q3.2002.12">#REF!</definedName>
    <definedName name="Q3.2003.12">#REF!</definedName>
    <definedName name="Q4.2000.03">#REF!</definedName>
    <definedName name="Q4.2001.03">#REF!</definedName>
    <definedName name="Q4.2002.03">#REF!</definedName>
    <definedName name="QAMT86106">#N/A</definedName>
    <definedName name="QASSX" hidden="1">{#N/A,#N/A,FALSE,"SUMMARY REPORT"}</definedName>
    <definedName name="qaz"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qaz"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qaz"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qdd" localSheetId="0" hidden="1">{"VIEW1",#N/A,FALSE,"P&amp;L Account 2001-2002";"VIEW2",#N/A,FALSE,"P&amp;L Account 2001-2002";"VIEW3",#N/A,FALSE,"P&amp;L Account 2001-2002";"VIEW4",#N/A,FALSE,"P&amp;L Account 2001-2002"}</definedName>
    <definedName name="qdd" hidden="1">{"VIEW1",#N/A,FALSE,"P&amp;L Account 2001-2002";"VIEW2",#N/A,FALSE,"P&amp;L Account 2001-2002";"VIEW3",#N/A,FALSE,"P&amp;L Account 2001-2002";"VIEW4",#N/A,FALSE,"P&amp;L Account 2001-2002"}</definedName>
    <definedName name="qe" hidden="1">{#N/A,#N/A,FALSE,"SUMMARY REPORT"}</definedName>
    <definedName name="qgfqerg" localSheetId="25" hidden="1">{#N/A,#N/A,FALSE,"PMTABB";#N/A,#N/A,FALSE,"PMTABB"}</definedName>
    <definedName name="qgfqerg" localSheetId="5" hidden="1">{#N/A,#N/A,FALSE,"PMTABB";#N/A,#N/A,FALSE,"PMTABB"}</definedName>
    <definedName name="qgfqerg" hidden="1">{#N/A,#N/A,FALSE,"PMTABB";#N/A,#N/A,FALSE,"PMTABB"}</definedName>
    <definedName name="qq">#REF!</definedName>
    <definedName name="QQ_Allocation">#REF!</definedName>
    <definedName name="qq_capD_fy18_DCS_CF">#REF!</definedName>
    <definedName name="qq_capD_fy18_DCS_new">#REF!</definedName>
    <definedName name="qq_capD_fy18_DSS_CF">#REF!</definedName>
    <definedName name="QQ_capD_fy18_DSS_new">#REF!</definedName>
    <definedName name="QQ_Capex">#REF!</definedName>
    <definedName name="QQ_Capitalisation">#REF!</definedName>
    <definedName name="QQ_CapxD_FY16">#REF!</definedName>
    <definedName name="QQ_CapxD_FY17">#REF!</definedName>
    <definedName name="QQ_CapxD_fy17_a01">#REF!</definedName>
    <definedName name="QQ_CapxD_FY17_Nos.">#REF!</definedName>
    <definedName name="QQ_CapxD_FY17_stat">#REF!</definedName>
    <definedName name="QQ_CReserve">#REF!</definedName>
    <definedName name="QQ_Depreciation">#REF!</definedName>
    <definedName name="QQ_Energy_input_requirement">#REF!</definedName>
    <definedName name="QQ_Fixed_cost">#REF!</definedName>
    <definedName name="QQ_Funding">#REF!</definedName>
    <definedName name="QQ_HOME">#REF!</definedName>
    <definedName name="QQ_IDC_fy16">#REF!</definedName>
    <definedName name="QQ_Income_Tax_for_FY_2015_16">#REF!</definedName>
    <definedName name="QQ_Interest_on_new_loans">#REF!</definedName>
    <definedName name="QQ_Interest_on_Working_Capital__Wires">#REF!</definedName>
    <definedName name="QQ_Operation_and_Maintenance_Expenses">#REF!</definedName>
    <definedName name="QQ_Power_purchase_quantum_and_cost">#REF!</definedName>
    <definedName name="QQ_Renewable_energy_requirement">#REF!</definedName>
    <definedName name="QQ_Return_on_Equity">#REF!</definedName>
    <definedName name="QQ_Revenue">#REF!</definedName>
    <definedName name="QQ_Sales">#REF!</definedName>
    <definedName name="QQ_Total_Cost_of_Power_Purchase_from_TPC_G">#REF!</definedName>
    <definedName name="QQmatrix" localSheetId="0">#REF!</definedName>
    <definedName name="QQmatrix">#REF!</definedName>
    <definedName name="QQQ" localSheetId="0">#REF!</definedName>
    <definedName name="qqq" hidden="1">{"VIEW1",#N/A,FALSE,"P&amp;L Account 2001-2002";"VIEW2",#N/A,FALSE,"P&amp;L Account 2001-2002";"VIEW3",#N/A,FALSE,"P&amp;L Account 2001-2002";"VIEW4",#N/A,FALSE,"P&amp;L Account 2001-2002"}</definedName>
    <definedName name="qqqq" localSheetId="0" hidden="1">{"VIEW1",#N/A,FALSE,"P&amp;L Account 2001-2002";"VIEW2",#N/A,FALSE,"P&amp;L Account 2001-2002";"VIEW3",#N/A,FALSE,"P&amp;L Account 2001-2002";"VIEW4",#N/A,FALSE,"P&amp;L Account 2001-2002"}</definedName>
    <definedName name="qqqq" hidden="1">{"VIEW1",#N/A,FALSE,"P&amp;L Account 2001-2002";"VIEW2",#N/A,FALSE,"P&amp;L Account 2001-2002";"VIEW3",#N/A,FALSE,"P&amp;L Account 2001-2002";"VIEW4",#N/A,FALSE,"P&amp;L Account 2001-2002"}</definedName>
    <definedName name="qqqqq" hidden="1">{"'Sheet1'!$A$4386:$N$4591"}</definedName>
    <definedName name="qqqqqqq3" localSheetId="0">#REF!</definedName>
    <definedName name="qqqqqqq3">#REF!</definedName>
    <definedName name="qqqqqqqqqqqqqqqq"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qqqqqqqqqqqqqqqq"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qqqqqqqqqqqqqqqq"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qqqqqqqqqqqqqqqq"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qqqw" hidden="1">#REF!</definedName>
    <definedName name="QRAEOH">#N/A</definedName>
    <definedName name="qrycur">#REF!</definedName>
    <definedName name="qrycursort">#REF!</definedName>
    <definedName name="qryEqptOrdDelyETAProfile_byConstrMgr">#REF!</definedName>
    <definedName name="qryEqptOrdPODelProfile_ByConstrMgr">#REF!</definedName>
    <definedName name="qryForEqptProfTotalDelvdFdnErnIndImp">#REF!</definedName>
    <definedName name="qrySummROSDatesFromQuery">#REF!</definedName>
    <definedName name="qryUnitForecastUtils">#REF!</definedName>
    <definedName name="qt" localSheetId="25" hidden="1">{"'Sheet1'!$L$16"}</definedName>
    <definedName name="qt" localSheetId="5" hidden="1">{"'Sheet1'!$L$16"}</definedName>
    <definedName name="qt" hidden="1">{"'Sheet1'!$L$16"}</definedName>
    <definedName name="Qtr">#REF!</definedName>
    <definedName name="qttty" localSheetId="25" hidden="1">{#N/A,#N/A,TRUE,"Front";#N/A,#N/A,TRUE,"Simple Letter";#N/A,#N/A,TRUE,"Inside";#N/A,#N/A,TRUE,"Contents";#N/A,#N/A,TRUE,"Basis";#N/A,#N/A,TRUE,"Inclusions";#N/A,#N/A,TRUE,"Exclusions";#N/A,#N/A,TRUE,"Areas";#N/A,#N/A,TRUE,"Summary";#N/A,#N/A,TRUE,"Detail"}</definedName>
    <definedName name="qttty" localSheetId="0" hidden="1">{#N/A,#N/A,TRUE,"Front";#N/A,#N/A,TRUE,"Simple Letter";#N/A,#N/A,TRUE,"Inside";#N/A,#N/A,TRUE,"Contents";#N/A,#N/A,TRUE,"Basis";#N/A,#N/A,TRUE,"Inclusions";#N/A,#N/A,TRUE,"Exclusions";#N/A,#N/A,TRUE,"Areas";#N/A,#N/A,TRUE,"Summary";#N/A,#N/A,TRUE,"Detail"}</definedName>
    <definedName name="qttty" localSheetId="5" hidden="1">{#N/A,#N/A,TRUE,"Front";#N/A,#N/A,TRUE,"Simple Letter";#N/A,#N/A,TRUE,"Inside";#N/A,#N/A,TRUE,"Contents";#N/A,#N/A,TRUE,"Basis";#N/A,#N/A,TRUE,"Inclusions";#N/A,#N/A,TRUE,"Exclusions";#N/A,#N/A,TRUE,"Areas";#N/A,#N/A,TRUE,"Summary";#N/A,#N/A,TRUE,"Detail"}</definedName>
    <definedName name="qttty" hidden="1">{#N/A,#N/A,TRUE,"Front";#N/A,#N/A,TRUE,"Simple Letter";#N/A,#N/A,TRUE,"Inside";#N/A,#N/A,TRUE,"Contents";#N/A,#N/A,TRUE,"Basis";#N/A,#N/A,TRUE,"Inclusions";#N/A,#N/A,TRUE,"Exclusions";#N/A,#N/A,TRUE,"Areas";#N/A,#N/A,TRUE,"Summary";#N/A,#N/A,TRUE,"Detail"}</definedName>
    <definedName name="QTY">#N/A</definedName>
    <definedName name="qtyex">#REF!</definedName>
    <definedName name="QuanOpDmy">#REF!,#REF!,#REF!,#REF!,#REF!,#REF!</definedName>
    <definedName name="Quarter">#REF!</definedName>
    <definedName name="Query1">#REF!</definedName>
    <definedName name="Query3">#REF!</definedName>
    <definedName name="Query5">#REF!</definedName>
    <definedName name="QW" localSheetId="0" hidden="1">{"VIEW1",#N/A,FALSE,"P&amp;L Account 2001-2002";"VIEW2",#N/A,FALSE,"P&amp;L Account 2001-2002";"VIEW3",#N/A,FALSE,"P&amp;L Account 2001-2002";"VIEW4",#N/A,FALSE,"P&amp;L Account 2001-2002"}</definedName>
    <definedName name="QW" hidden="1">{"VIEW1",#N/A,FALSE,"P&amp;L Account 2001-2002";"VIEW2",#N/A,FALSE,"P&amp;L Account 2001-2002";"VIEW3",#N/A,FALSE,"P&amp;L Account 2001-2002";"VIEW4",#N/A,FALSE,"P&amp;L Account 2001-2002"}</definedName>
    <definedName name="qwe" localSheetId="25" hidden="1">{#N/A,#N/A,TRUE,"Front";#N/A,#N/A,TRUE,"Simple Letter";#N/A,#N/A,TRUE,"Inside";#N/A,#N/A,TRUE,"Contents";#N/A,#N/A,TRUE,"Basis";#N/A,#N/A,TRUE,"Inclusions";#N/A,#N/A,TRUE,"Exclusions";#N/A,#N/A,TRUE,"Areas";#N/A,#N/A,TRUE,"Summary";#N/A,#N/A,TRUE,"Detail"}</definedName>
    <definedName name="qwe" localSheetId="5" hidden="1">{#N/A,#N/A,TRUE,"Front";#N/A,#N/A,TRUE,"Simple Letter";#N/A,#N/A,TRUE,"Inside";#N/A,#N/A,TRUE,"Contents";#N/A,#N/A,TRUE,"Basis";#N/A,#N/A,TRUE,"Inclusions";#N/A,#N/A,TRUE,"Exclusions";#N/A,#N/A,TRUE,"Areas";#N/A,#N/A,TRUE,"Summary";#N/A,#N/A,TRUE,"Detail"}</definedName>
    <definedName name="qwe" hidden="1">{#N/A,#N/A,TRUE,"Front";#N/A,#N/A,TRUE,"Simple Letter";#N/A,#N/A,TRUE,"Inside";#N/A,#N/A,TRUE,"Contents";#N/A,#N/A,TRUE,"Basis";#N/A,#N/A,TRUE,"Inclusions";#N/A,#N/A,TRUE,"Exclusions";#N/A,#N/A,TRUE,"Areas";#N/A,#N/A,TRUE,"Summary";#N/A,#N/A,TRUE,"Detail"}</definedName>
    <definedName name="qwef" localSheetId="25" hidden="1">{#N/A,#N/A,FALSE,"EW"}</definedName>
    <definedName name="qwef" localSheetId="5" hidden="1">{#N/A,#N/A,FALSE,"EW"}</definedName>
    <definedName name="qwef" hidden="1">{#N/A,#N/A,FALSE,"EW"}</definedName>
    <definedName name="QWER" localSheetId="25" hidden="1">{#N/A,#N/A,FALSE,"SUMMARY";#N/A,#N/A,FALSE,"SUMMARY"}</definedName>
    <definedName name="QWER" localSheetId="5" hidden="1">{#N/A,#N/A,FALSE,"SUMMARY";#N/A,#N/A,FALSE,"SUMMARY"}</definedName>
    <definedName name="QWER" hidden="1">{#N/A,#N/A,FALSE,"SUMMARY";#N/A,#N/A,FALSE,"SUMMARY"}</definedName>
    <definedName name="qwfwf" localSheetId="0">#REF!</definedName>
    <definedName name="qwfwf">#REF!</definedName>
    <definedName name="qwqw" localSheetId="0" hidden="1">{#N/A,#N/A,FALSE,"Banksum";#N/A,#N/A,FALSE,"Banksum"}</definedName>
    <definedName name="qwqw" hidden="1">{#N/A,#N/A,FALSE,"Banksum";#N/A,#N/A,FALSE,"Banksum"}</definedName>
    <definedName name="qwqwqw">#REF!</definedName>
    <definedName name="QWTERW" localSheetId="0" hidden="1">{"VIEW1",#N/A,FALSE,"P&amp;L Account 2001-2002";"VIEW2",#N/A,FALSE,"P&amp;L Account 2001-2002";"VIEW3",#N/A,FALSE,"P&amp;L Account 2001-2002";"VIEW4",#N/A,FALSE,"P&amp;L Account 2001-2002"}</definedName>
    <definedName name="QWTERW" hidden="1">{"VIEW1",#N/A,FALSE,"P&amp;L Account 2001-2002";"VIEW2",#N/A,FALSE,"P&amp;L Account 2001-2002";"VIEW3",#N/A,FALSE,"P&amp;L Account 2001-2002";"VIEW4",#N/A,FALSE,"P&amp;L Account 2001-2002"}</definedName>
    <definedName name="qzqzqz10">NA()</definedName>
    <definedName name="qzqzqz10___0">NA()</definedName>
    <definedName name="qzqzqz11">NA()</definedName>
    <definedName name="qzqzqz11___0">NA()</definedName>
    <definedName name="qzqzqz12">NA()</definedName>
    <definedName name="qzqzqz12___0">NA()</definedName>
    <definedName name="qzqzqz13">NA()</definedName>
    <definedName name="qzqzqz13___0">NA()</definedName>
    <definedName name="qzqzqz14">NA()</definedName>
    <definedName name="qzqzqz14___0">NA()</definedName>
    <definedName name="qzqzqz15">NA()</definedName>
    <definedName name="qzqzqz15___0">NA()</definedName>
    <definedName name="qzqzqz16">NA()</definedName>
    <definedName name="qzqzqz16___0">NA()</definedName>
    <definedName name="qzqzqz17">NA()</definedName>
    <definedName name="qzqzqz17___0">NA()</definedName>
    <definedName name="qzqzqz18">NA()</definedName>
    <definedName name="qzqzqz18___0">NA()</definedName>
    <definedName name="qzqzqz19">NA()</definedName>
    <definedName name="qzqzqz19___0">NA()</definedName>
    <definedName name="qzqzqz20">NA()</definedName>
    <definedName name="qzqzqz20___0">NA()</definedName>
    <definedName name="qzqzqz21">NA()</definedName>
    <definedName name="qzqzqz21___0">NA()</definedName>
    <definedName name="qzqzqz22">NA()</definedName>
    <definedName name="qzqzqz22___0">NA()</definedName>
    <definedName name="qzqzqz23">NA()</definedName>
    <definedName name="qzqzqz23___0">NA()</definedName>
    <definedName name="qzqzqz24">NA()</definedName>
    <definedName name="qzqzqz24___0">NA()</definedName>
    <definedName name="qzqzqz25">NA()</definedName>
    <definedName name="qzqzqz25___0">NA()</definedName>
    <definedName name="qzqzqz26">NA()</definedName>
    <definedName name="qzqzqz26___0">NA()</definedName>
    <definedName name="qzqzqz27">NA()</definedName>
    <definedName name="qzqzqz27___0">NA()</definedName>
    <definedName name="qzqzqz28">NA()</definedName>
    <definedName name="qzqzqz28___0">NA()</definedName>
    <definedName name="qzqzqz29">NA()</definedName>
    <definedName name="qzqzqz29___0">NA()</definedName>
    <definedName name="qzqzqz30">NA()</definedName>
    <definedName name="qzqzqz30___0">NA()</definedName>
    <definedName name="qzqzqz31">NA()</definedName>
    <definedName name="qzqzqz31___0">NA()</definedName>
    <definedName name="qzqzqz32">NA()</definedName>
    <definedName name="qzqzqz32___0">NA()</definedName>
    <definedName name="qzqzqz33">NA()</definedName>
    <definedName name="qzqzqz33___0">NA()</definedName>
    <definedName name="qzqzqz34">NA()</definedName>
    <definedName name="qzqzqz34___0">NA()</definedName>
    <definedName name="qzqzqz35">NA()</definedName>
    <definedName name="qzqzqz35___0">NA()</definedName>
    <definedName name="qzqzqz36">NA()</definedName>
    <definedName name="qzqzqz36___0">NA()</definedName>
    <definedName name="qzqzqz37">NA()</definedName>
    <definedName name="qzqzqz37___0">NA()</definedName>
    <definedName name="qzqzqz38">NA()</definedName>
    <definedName name="qzqzqz38___0">NA()</definedName>
    <definedName name="qzqzqz39">NA()</definedName>
    <definedName name="qzqzqz39___0">NA()</definedName>
    <definedName name="qzqzqz40">NA()</definedName>
    <definedName name="qzqzqz40___0">NA()</definedName>
    <definedName name="qzqzqz41">NA()</definedName>
    <definedName name="qzqzqz41___0">NA()</definedName>
    <definedName name="qzqzqz42">NA()</definedName>
    <definedName name="qzqzqz42___0">NA()</definedName>
    <definedName name="qzqzqz43">NA()</definedName>
    <definedName name="qzqzqz43___0">NA()</definedName>
    <definedName name="qzqzqz44">NA()</definedName>
    <definedName name="qzqzqz44___0">NA()</definedName>
    <definedName name="qzqzqz45">NA()</definedName>
    <definedName name="qzqzqz45___0">NA()</definedName>
    <definedName name="qzqzqz46">NA()</definedName>
    <definedName name="qzqzqz46___0">NA()</definedName>
    <definedName name="qzqzqz47">NA()</definedName>
    <definedName name="qzqzqz47___0">NA()</definedName>
    <definedName name="qzqzqz48">NA()</definedName>
    <definedName name="qzqzqz48___0">NA()</definedName>
    <definedName name="qzqzqz49">NA()</definedName>
    <definedName name="qzqzqz49___0">NA()</definedName>
    <definedName name="qzqzqz50">NA()</definedName>
    <definedName name="qzqzqz50___0">NA()</definedName>
    <definedName name="qzqzqz51">NA()</definedName>
    <definedName name="qzqzqz51___0">NA()</definedName>
    <definedName name="qzqzqz52">NA()</definedName>
    <definedName name="qzqzqz52___0">NA()</definedName>
    <definedName name="qzqzqz53">NA()</definedName>
    <definedName name="qzqzqz53___0">NA()</definedName>
    <definedName name="qzqzqz54">NA()</definedName>
    <definedName name="qzqzqz54___0">NA()</definedName>
    <definedName name="qzqzqz55">NA()</definedName>
    <definedName name="qzqzqz55___0">NA()</definedName>
    <definedName name="qzqzqz56">NA()</definedName>
    <definedName name="qzqzqz56___0">NA()</definedName>
    <definedName name="qzqzqz57">NA()</definedName>
    <definedName name="qzqzqz57___0">NA()</definedName>
    <definedName name="qzqzqz58">NA()</definedName>
    <definedName name="qzqzqz58___0">NA()</definedName>
    <definedName name="qzqzqz59">NA()</definedName>
    <definedName name="qzqzqz59___0">NA()</definedName>
    <definedName name="qzqzqz6">NA()</definedName>
    <definedName name="qzqzqz6___0">NA()</definedName>
    <definedName name="qzqzqz60">NA()</definedName>
    <definedName name="qzqzqz60___0">NA()</definedName>
    <definedName name="qzqzqz61">NA()</definedName>
    <definedName name="qzqzqz61___0">NA()</definedName>
    <definedName name="qzqzqz7">NA()</definedName>
    <definedName name="qzqzqz7___0">NA()</definedName>
    <definedName name="qzqzqz8">NA()</definedName>
    <definedName name="qzqzqz8___0">NA()</definedName>
    <definedName name="qzqzqz9">NA()</definedName>
    <definedName name="qzqzqz9___0">NA()</definedName>
    <definedName name="R_">#N/A</definedName>
    <definedName name="R_1">#REF!</definedName>
    <definedName name="R_2">#REF!</definedName>
    <definedName name="r_adj" localSheetId="0">#REF!</definedName>
    <definedName name="r_adj">#REF!</definedName>
    <definedName name="R_D_amort_years">#REF!</definedName>
    <definedName name="R_D_Amortization">#REF!</definedName>
    <definedName name="R_D_Capzed">#REF!</definedName>
    <definedName name="R_D_expense">#REF!</definedName>
    <definedName name="R_D_expense_IS">#REF!</definedName>
    <definedName name="R_Esc">#REF!</definedName>
    <definedName name="R_Factor">#REF!</definedName>
    <definedName name="R_I_Q_A_S">#N/A</definedName>
    <definedName name="r_kwh">#REF!</definedName>
    <definedName name="r_met" localSheetId="0">#REF!</definedName>
    <definedName name="r_met">#REF!</definedName>
    <definedName name="r_purch" localSheetId="0">#REF!</definedName>
    <definedName name="r_purch">#REF!</definedName>
    <definedName name="r_purch_to" localSheetId="0">#REF!</definedName>
    <definedName name="r_purch_to">#REF!</definedName>
    <definedName name="r_sale" localSheetId="0">#REF!</definedName>
    <definedName name="r_sale">#REF!</definedName>
    <definedName name="ra" hidden="1">{#N/A,#N/A,FALSE,"SUMMARY REPORT"}</definedName>
    <definedName name="RA.Quo" hidden="1">#REF!</definedName>
    <definedName name="rad_dscnt">#REF!</definedName>
    <definedName name="RAG">#REF!</definedName>
    <definedName name="Raj" localSheetId="25" hidden="1">{"'Sheet1'!$A$4386:$N$4591"}</definedName>
    <definedName name="Raj" localSheetId="5" hidden="1">{"'Sheet1'!$A$4386:$N$4591"}</definedName>
    <definedName name="Raj" hidden="1">{"'Sheet1'!$A$4386:$N$4591"}</definedName>
    <definedName name="Rajeev">#REF!</definedName>
    <definedName name="rajehi" hidden="1">{#N/A,#N/A,FALSE,"SUMMARY REPORT"}</definedName>
    <definedName name="Rajiv">#REF!</definedName>
    <definedName name="rama" localSheetId="25" hidden="1">{"'August 2000'!$A$1:$J$101"}</definedName>
    <definedName name="rama" localSheetId="5" hidden="1">{"'August 2000'!$A$1:$J$101"}</definedName>
    <definedName name="rama" hidden="1">{"'August 2000'!$A$1:$J$101"}</definedName>
    <definedName name="rameee" localSheetId="25" hidden="1">{"DJH3",#N/A,FALSE,"PFL00805";"PJB3",#N/A,FALSE,"PFL00805";"JMD3",#N/A,FALSE,"PFL00805";"DNB3",#N/A,FALSE,"PFL00805";"MJP3",#N/A,FALSE,"PFL00805";"RAB3",#N/A,FALSE,"PFL00805";"GJW3",#N/A,FALSE,"PFL00805";"MASTER3",#N/A,FALSE,"PFL00805"}</definedName>
    <definedName name="rameee" localSheetId="5" hidden="1">{"DJH3",#N/A,FALSE,"PFL00805";"PJB3",#N/A,FALSE,"PFL00805";"JMD3",#N/A,FALSE,"PFL00805";"DNB3",#N/A,FALSE,"PFL00805";"MJP3",#N/A,FALSE,"PFL00805";"RAB3",#N/A,FALSE,"PFL00805";"GJW3",#N/A,FALSE,"PFL00805";"MASTER3",#N/A,FALSE,"PFL00805"}</definedName>
    <definedName name="rameee" hidden="1">{"DJH3",#N/A,FALSE,"PFL00805";"PJB3",#N/A,FALSE,"PFL00805";"JMD3",#N/A,FALSE,"PFL00805";"DNB3",#N/A,FALSE,"PFL00805";"MJP3",#N/A,FALSE,"PFL00805";"RAB3",#N/A,FALSE,"PFL00805";"GJW3",#N/A,FALSE,"PFL00805";"MASTER3",#N/A,FALSE,"PFL00805"}</definedName>
    <definedName name="range">#REF!</definedName>
    <definedName name="RANGE1">#REF!</definedName>
    <definedName name="Range11">#REF!</definedName>
    <definedName name="Range12">#REF!</definedName>
    <definedName name="Range13">#REF!</definedName>
    <definedName name="Range14">#REF!</definedName>
    <definedName name="RANGE2">#REF!</definedName>
    <definedName name="RANGE3">#REF!</definedName>
    <definedName name="rap" hidden="1">#REF!</definedName>
    <definedName name="RASCO__3">#N/A</definedName>
    <definedName name="RASCO__A">#N/A</definedName>
    <definedName name="RATE">#N/A</definedName>
    <definedName name="rates">#REF!</definedName>
    <definedName name="RATIO">#REF!</definedName>
    <definedName name="Ratios">#REF!</definedName>
    <definedName name="ravi" localSheetId="25" hidden="1">{#N/A,#N/A,TRUE,"Front";#N/A,#N/A,TRUE,"Simple Letter";#N/A,#N/A,TRUE,"Inside";#N/A,#N/A,TRUE,"Contents";#N/A,#N/A,TRUE,"Basis";#N/A,#N/A,TRUE,"Inclusions";#N/A,#N/A,TRUE,"Exclusions";#N/A,#N/A,TRUE,"Areas";#N/A,#N/A,TRUE,"Summary";#N/A,#N/A,TRUE,"Detail"}</definedName>
    <definedName name="ravi" localSheetId="5" hidden="1">{#N/A,#N/A,TRUE,"Front";#N/A,#N/A,TRUE,"Simple Letter";#N/A,#N/A,TRUE,"Inside";#N/A,#N/A,TRUE,"Contents";#N/A,#N/A,TRUE,"Basis";#N/A,#N/A,TRUE,"Inclusions";#N/A,#N/A,TRUE,"Exclusions";#N/A,#N/A,TRUE,"Areas";#N/A,#N/A,TRUE,"Summary";#N/A,#N/A,TRUE,"Detail"}</definedName>
    <definedName name="ravi" hidden="1">{#N/A,#N/A,TRUE,"Front";#N/A,#N/A,TRUE,"Simple Letter";#N/A,#N/A,TRUE,"Inside";#N/A,#N/A,TRUE,"Contents";#N/A,#N/A,TRUE,"Basis";#N/A,#N/A,TRUE,"Inclusions";#N/A,#N/A,TRUE,"Exclusions";#N/A,#N/A,TRUE,"Areas";#N/A,#N/A,TRUE,"Summary";#N/A,#N/A,TRUE,"Detail"}</definedName>
    <definedName name="raw_material">#REF!</definedName>
    <definedName name="RawAgencyPrice">#REF!</definedName>
    <definedName name="RawData">#REF!</definedName>
    <definedName name="RawHeader">#REF!</definedName>
    <definedName name="RBData">#REF!</definedName>
    <definedName name="RBORDER">#REF!</definedName>
    <definedName name="RCArea" hidden="1">#REF!</definedName>
    <definedName name="rd_expenses">#REF!</definedName>
    <definedName name="rdc"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rdc"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rdc"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RDN" localSheetId="25" hidden="1">{#N/A,#N/A,FALSE,"COVER.XLS";#N/A,#N/A,FALSE,"RACT1.XLS";#N/A,#N/A,FALSE,"RACT2.XLS";#N/A,#N/A,FALSE,"ECCMP";#N/A,#N/A,FALSE,"WELDER.XLS"}</definedName>
    <definedName name="RDN" localSheetId="0" hidden="1">{#N/A,#N/A,FALSE,"COVER.XLS";#N/A,#N/A,FALSE,"RACT1.XLS";#N/A,#N/A,FALSE,"RACT2.XLS";#N/A,#N/A,FALSE,"ECCMP";#N/A,#N/A,FALSE,"WELDER.XLS"}</definedName>
    <definedName name="RDN" localSheetId="5" hidden="1">{#N/A,#N/A,FALSE,"COVER.XLS";#N/A,#N/A,FALSE,"RACT1.XLS";#N/A,#N/A,FALSE,"RACT2.XLS";#N/A,#N/A,FALSE,"ECCMP";#N/A,#N/A,FALSE,"WELDER.XLS"}</definedName>
    <definedName name="RDN" hidden="1">{#N/A,#N/A,FALSE,"COVER.XLS";#N/A,#N/A,FALSE,"RACT1.XLS";#N/A,#N/A,FALSE,"RACT2.XLS";#N/A,#N/A,FALSE,"ECCMP";#N/A,#N/A,FALSE,"WELDER.XLS"}</definedName>
    <definedName name="rdtgreg" localSheetId="0">#REF!</definedName>
    <definedName name="rdtgreg">#REF!</definedName>
    <definedName name="re" localSheetId="25" hidden="1">{#N/A,#N/A,TRUE,"Front";#N/A,#N/A,TRUE,"Simple Letter";#N/A,#N/A,TRUE,"Inside";#N/A,#N/A,TRUE,"Contents";#N/A,#N/A,TRUE,"Basis";#N/A,#N/A,TRUE,"Inclusions";#N/A,#N/A,TRUE,"Exclusions";#N/A,#N/A,TRUE,"Areas";#N/A,#N/A,TRUE,"Summary";#N/A,#N/A,TRUE,"Detail"}</definedName>
    <definedName name="re" localSheetId="5" hidden="1">{#N/A,#N/A,TRUE,"Front";#N/A,#N/A,TRUE,"Simple Letter";#N/A,#N/A,TRUE,"Inside";#N/A,#N/A,TRUE,"Contents";#N/A,#N/A,TRUE,"Basis";#N/A,#N/A,TRUE,"Inclusions";#N/A,#N/A,TRUE,"Exclusions";#N/A,#N/A,TRUE,"Areas";#N/A,#N/A,TRUE,"Summary";#N/A,#N/A,TRUE,"Detail"}</definedName>
    <definedName name="re" hidden="1">{#N/A,#N/A,TRUE,"Front";#N/A,#N/A,TRUE,"Simple Letter";#N/A,#N/A,TRUE,"Inside";#N/A,#N/A,TRUE,"Contents";#N/A,#N/A,TRUE,"Basis";#N/A,#N/A,TRUE,"Inclusions";#N/A,#N/A,TRUE,"Exclusions";#N/A,#N/A,TRUE,"Areas";#N/A,#N/A,TRUE,"Summary";#N/A,#N/A,TRUE,"Detail"}</definedName>
    <definedName name="RE_SIZE">#REF!</definedName>
    <definedName name="Real_earnings_yield">#REF!</definedName>
    <definedName name="Realisations_salevalue">#REF!</definedName>
    <definedName name="Realistic_Scenario">#REF!</definedName>
    <definedName name="rec">#REF!</definedName>
    <definedName name="REC_Int" localSheetId="0">#REF!</definedName>
    <definedName name="REC_Int">#REF!</definedName>
    <definedName name="recap_dividend">"Picture 69"</definedName>
    <definedName name="recap_repurchase">"Picture 64"</definedName>
    <definedName name="recdate">#REF!</definedName>
    <definedName name="recfy05">#REF!</definedName>
    <definedName name="reco">#REF!</definedName>
    <definedName name="reco3009">#REF!</definedName>
    <definedName name="RECOMMENDATION">" "</definedName>
    <definedName name="recommendationH">#REF!</definedName>
    <definedName name="Record">#REF!</definedName>
    <definedName name="_xlnm.Recorder">#REF!</definedName>
    <definedName name="RecPY4_Sel1">#REF!</definedName>
    <definedName name="RecRollFWD">#REF!</definedName>
    <definedName name="RED">#REF!</definedName>
    <definedName name="Red_Tariff_.25">#REF!</definedName>
    <definedName name="Red_Tariff_.5">#REF!</definedName>
    <definedName name="RedefinePrintTableRange" localSheetId="9" hidden="1">#REF!</definedName>
    <definedName name="RedefinePrintTableRange" localSheetId="8" hidden="1">#REF!</definedName>
    <definedName name="RedefinePrintTableRange" localSheetId="10" hidden="1">#REF!</definedName>
    <definedName name="RedefinePrintTableRange" localSheetId="43" hidden="1">#REF!</definedName>
    <definedName name="RedefinePrintTableRange" localSheetId="46" hidden="1">#REF!</definedName>
    <definedName name="RedefinePrintTableRange" localSheetId="45" hidden="1">#REF!</definedName>
    <definedName name="RedefinePrintTableRange" localSheetId="49" hidden="1">#REF!</definedName>
    <definedName name="RedefinePrintTableRange" localSheetId="50" hidden="1">#REF!</definedName>
    <definedName name="RedefinePrintTableRange" localSheetId="51" hidden="1">#REF!</definedName>
    <definedName name="RedefinePrintTableRange" localSheetId="52" hidden="1">#REF!</definedName>
    <definedName name="RedefinePrintTableRange" localSheetId="56" hidden="1">#REF!</definedName>
    <definedName name="RedefinePrintTableRange" localSheetId="57" hidden="1">#REF!</definedName>
    <definedName name="RedefinePrintTableRange" localSheetId="58" hidden="1">#REF!</definedName>
    <definedName name="RedefinePrintTableRange" localSheetId="59" hidden="1">#REF!</definedName>
    <definedName name="RedefinePrintTableRange" hidden="1">#REF!</definedName>
    <definedName name="REF" localSheetId="25" hidden="1">{#N/A,#N/A,FALSE,"COMP"}</definedName>
    <definedName name="REF" localSheetId="5" hidden="1">{#N/A,#N/A,FALSE,"COMP"}</definedName>
    <definedName name="REF" hidden="1">{#N/A,#N/A,FALSE,"COMP"}</definedName>
    <definedName name="Ref_1" localSheetId="0">#REF!</definedName>
    <definedName name="Ref_1">#REF!</definedName>
    <definedName name="Ref_2" localSheetId="0">#REF!</definedName>
    <definedName name="Ref_2">#REF!</definedName>
    <definedName name="Ref_3">#REF!</definedName>
    <definedName name="Ref_4" localSheetId="0">#REF!</definedName>
    <definedName name="Ref_4">#REF!</definedName>
    <definedName name="Ref_5" localSheetId="0">#REF!</definedName>
    <definedName name="Ref_5">#REF!</definedName>
    <definedName name="Ref_6" localSheetId="0">#REF!</definedName>
    <definedName name="Ref_6">#REF!</definedName>
    <definedName name="REF_TRV">#N/A</definedName>
    <definedName name="Reference">#REF!</definedName>
    <definedName name="region">#REF!</definedName>
    <definedName name="regiondty">#REF!</definedName>
    <definedName name="regionytd">#REF!</definedName>
    <definedName name="rehigulh" localSheetId="0">#REF!</definedName>
    <definedName name="rehigulh">#REF!</definedName>
    <definedName name="REMARK">#N/A</definedName>
    <definedName name="rename" localSheetId="25" hidden="1">{#N/A,#N/A,TRUE,"Front";#N/A,#N/A,TRUE,"Simple Letter";#N/A,#N/A,TRUE,"Inside";#N/A,#N/A,TRUE,"Contents";#N/A,#N/A,TRUE,"Basis";#N/A,#N/A,TRUE,"Inclusions";#N/A,#N/A,TRUE,"Exclusions";#N/A,#N/A,TRUE,"Areas";#N/A,#N/A,TRUE,"Summary";#N/A,#N/A,TRUE,"Detail"}</definedName>
    <definedName name="rename" localSheetId="5" hidden="1">{#N/A,#N/A,TRUE,"Front";#N/A,#N/A,TRUE,"Simple Letter";#N/A,#N/A,TRUE,"Inside";#N/A,#N/A,TRUE,"Contents";#N/A,#N/A,TRUE,"Basis";#N/A,#N/A,TRUE,"Inclusions";#N/A,#N/A,TRUE,"Exclusions";#N/A,#N/A,TRUE,"Areas";#N/A,#N/A,TRUE,"Summary";#N/A,#N/A,TRUE,"Detail"}</definedName>
    <definedName name="rename" hidden="1">{#N/A,#N/A,TRUE,"Front";#N/A,#N/A,TRUE,"Simple Letter";#N/A,#N/A,TRUE,"Inside";#N/A,#N/A,TRUE,"Contents";#N/A,#N/A,TRUE,"Basis";#N/A,#N/A,TRUE,"Inclusions";#N/A,#N/A,TRUE,"Exclusions";#N/A,#N/A,TRUE,"Areas";#N/A,#N/A,TRUE,"Summary";#N/A,#N/A,TRUE,"Detail"}</definedName>
    <definedName name="Rencl">#REF!</definedName>
    <definedName name="RenclAll">#REF!</definedName>
    <definedName name="Renu" localSheetId="0">#REF!</definedName>
    <definedName name="Renu">#REF!</definedName>
    <definedName name="RepayPer" localSheetId="0">#REF!</definedName>
    <definedName name="RepayPer">#REF!</definedName>
    <definedName name="repcurr" localSheetId="0">#REF!</definedName>
    <definedName name="repcurr">#REF!</definedName>
    <definedName name="Report_Title">"Trend eDoctor Virus Diagnostic Report for  Trend_Micro_HK_Limited"</definedName>
    <definedName name="report2" localSheetId="25" hidden="1">{#N/A,#N/A,TRUE,"Front";#N/A,#N/A,TRUE,"Simple Letter";#N/A,#N/A,TRUE,"Inside";#N/A,#N/A,TRUE,"Contents";#N/A,#N/A,TRUE,"Basis";#N/A,#N/A,TRUE,"Inclusions";#N/A,#N/A,TRUE,"Exclusions";#N/A,#N/A,TRUE,"Areas";#N/A,#N/A,TRUE,"Summary";#N/A,#N/A,TRUE,"Detail"}</definedName>
    <definedName name="report2" localSheetId="5"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qdetails">#REF!</definedName>
    <definedName name="Required_cash">#REF!</definedName>
    <definedName name="Required_Cash_Core">#REF!</definedName>
    <definedName name="Required_cash_percent">#REF!</definedName>
    <definedName name="res" localSheetId="25" hidden="1">{#N/A,#N/A,FALSE,"COVER1.XLS ";#N/A,#N/A,FALSE,"RACT1.XLS";#N/A,#N/A,FALSE,"RACT2.XLS";#N/A,#N/A,FALSE,"ECCMP";#N/A,#N/A,FALSE,"WELDER.XLS"}</definedName>
    <definedName name="res" localSheetId="0" hidden="1">{#N/A,#N/A,FALSE,"COVER1.XLS ";#N/A,#N/A,FALSE,"RACT1.XLS";#N/A,#N/A,FALSE,"RACT2.XLS";#N/A,#N/A,FALSE,"ECCMP";#N/A,#N/A,FALSE,"WELDER.XLS"}</definedName>
    <definedName name="res" localSheetId="5" hidden="1">{#N/A,#N/A,FALSE,"COVER1.XLS ";#N/A,#N/A,FALSE,"RACT1.XLS";#N/A,#N/A,FALSE,"RACT2.XLS";#N/A,#N/A,FALSE,"ECCMP";#N/A,#N/A,FALSE,"WELDER.XLS"}</definedName>
    <definedName name="res" hidden="1">{#N/A,#N/A,FALSE,"COVER1.XLS ";#N/A,#N/A,FALSE,"RACT1.XLS";#N/A,#N/A,FALSE,"RACT2.XLS";#N/A,#N/A,FALSE,"ECCMP";#N/A,#N/A,FALSE,"WELDER.XLS"}</definedName>
    <definedName name="res_sum" localSheetId="25" hidden="1">{#N/A,#N/A,FALSE,"COVER1.XLS ";#N/A,#N/A,FALSE,"RACT1.XLS";#N/A,#N/A,FALSE,"RACT2.XLS";#N/A,#N/A,FALSE,"ECCMP";#N/A,#N/A,FALSE,"WELDER.XLS"}</definedName>
    <definedName name="res_sum" localSheetId="0" hidden="1">{#N/A,#N/A,FALSE,"COVER1.XLS ";#N/A,#N/A,FALSE,"RACT1.XLS";#N/A,#N/A,FALSE,"RACT2.XLS";#N/A,#N/A,FALSE,"ECCMP";#N/A,#N/A,FALSE,"WELDER.XLS"}</definedName>
    <definedName name="res_sum" localSheetId="5" hidden="1">{#N/A,#N/A,FALSE,"COVER1.XLS ";#N/A,#N/A,FALSE,"RACT1.XLS";#N/A,#N/A,FALSE,"RACT2.XLS";#N/A,#N/A,FALSE,"ECCMP";#N/A,#N/A,FALSE,"WELDER.XLS"}</definedName>
    <definedName name="res_sum" hidden="1">{#N/A,#N/A,FALSE,"COVER1.XLS ";#N/A,#N/A,FALSE,"RACT1.XLS";#N/A,#N/A,FALSE,"RACT2.XLS";#N/A,#N/A,FALSE,"ECCMP";#N/A,#N/A,FALSE,"WELDER.XLS"}</definedName>
    <definedName name="Reselects">#REF!</definedName>
    <definedName name="reserve_rate">#REF!</definedName>
    <definedName name="Reserves_and_Surplus">#REF!</definedName>
    <definedName name="reserves_surplus">#REF!</definedName>
    <definedName name="Residual_difference">#REF!</definedName>
    <definedName name="Residual_Value">#REF!</definedName>
    <definedName name="restated1199" localSheetId="0" hidden="1">{#N/A,#N/A,FALSE,"A"}</definedName>
    <definedName name="restated1199" hidden="1">{#N/A,#N/A,FALSE,"A"}</definedName>
    <definedName name="Restricted_cash">#REF!</definedName>
    <definedName name="Result">#REF!</definedName>
    <definedName name="Results">#REF!</definedName>
    <definedName name="retained_earnings">#REF!</definedName>
    <definedName name="retirement_provision">#REF!</definedName>
    <definedName name="reuters_codeh">#REF!</definedName>
    <definedName name="rev">#REF!</definedName>
    <definedName name="REV_CAL00">#REF!</definedName>
    <definedName name="REV_CAL01">#REF!</definedName>
    <definedName name="REV_CAL02">#REF!</definedName>
    <definedName name="REV_CAL95">#REF!</definedName>
    <definedName name="REV_CAL96">#REF!</definedName>
    <definedName name="REV_CAL97">#REF!</definedName>
    <definedName name="REV_CAL98">#REF!</definedName>
    <definedName name="REV_CAL99">#REF!</definedName>
    <definedName name="REV_NO" localSheetId="0">#REF!</definedName>
    <definedName name="REV_NO">#REF!</definedName>
    <definedName name="revaluation_reserves">#REF!</definedName>
    <definedName name="Revenue" localSheetId="0">#REF!</definedName>
    <definedName name="Revenue">#REF!</definedName>
    <definedName name="RevMultipleHigh">#REF!</definedName>
    <definedName name="RevMultipleLow">#REF!</definedName>
    <definedName name="rewf" hidden="1">{#N/A,#N/A,FALSE,"SUMMARY REPORT"}</definedName>
    <definedName name="rfacfy05">#REF!</definedName>
    <definedName name="RFP003A">#REF!</definedName>
    <definedName name="RFP003B">#REF!</definedName>
    <definedName name="RFP003C">#REF!</definedName>
    <definedName name="RFP003D">#REF!</definedName>
    <definedName name="RFP003E">#REF!</definedName>
    <definedName name="RFP003F">#REF!</definedName>
    <definedName name="rg" localSheetId="25" hidden="1">{#N/A,#N/A,FALSE,"str_title";#N/A,#N/A,FALSE,"SUM";#N/A,#N/A,FALSE,"Scope";#N/A,#N/A,FALSE,"PIE-Jn";#N/A,#N/A,FALSE,"PIE-Jn_Hz";#N/A,#N/A,FALSE,"Liq_Plan";#N/A,#N/A,FALSE,"S_Curve";#N/A,#N/A,FALSE,"Liq_Prof";#N/A,#N/A,FALSE,"Man_Pwr";#N/A,#N/A,FALSE,"Man_Prof"}</definedName>
    <definedName name="rg" localSheetId="0" hidden="1">{#N/A,#N/A,FALSE,"str_title";#N/A,#N/A,FALSE,"SUM";#N/A,#N/A,FALSE,"Scope";#N/A,#N/A,FALSE,"PIE-Jn";#N/A,#N/A,FALSE,"PIE-Jn_Hz";#N/A,#N/A,FALSE,"Liq_Plan";#N/A,#N/A,FALSE,"S_Curve";#N/A,#N/A,FALSE,"Liq_Prof";#N/A,#N/A,FALSE,"Man_Pwr";#N/A,#N/A,FALSE,"Man_Prof"}</definedName>
    <definedName name="rg" localSheetId="5" hidden="1">{#N/A,#N/A,FALSE,"str_title";#N/A,#N/A,FALSE,"SUM";#N/A,#N/A,FALSE,"Scope";#N/A,#N/A,FALSE,"PIE-Jn";#N/A,#N/A,FALSE,"PIE-Jn_Hz";#N/A,#N/A,FALSE,"Liq_Plan";#N/A,#N/A,FALSE,"S_Curve";#N/A,#N/A,FALSE,"Liq_Prof";#N/A,#N/A,FALSE,"Man_Pwr";#N/A,#N/A,FALSE,"Man_Prof"}</definedName>
    <definedName name="rg" hidden="1">{#N/A,#N/A,FALSE,"str_title";#N/A,#N/A,FALSE,"SUM";#N/A,#N/A,FALSE,"Scope";#N/A,#N/A,FALSE,"PIE-Jn";#N/A,#N/A,FALSE,"PIE-Jn_Hz";#N/A,#N/A,FALSE,"Liq_Plan";#N/A,#N/A,FALSE,"S_Curve";#N/A,#N/A,FALSE,"Liq_Prof";#N/A,#N/A,FALSE,"Man_Pwr";#N/A,#N/A,FALSE,"Man_Prof"}</definedName>
    <definedName name="rh" localSheetId="25" hidden="1">{#N/A,#N/A,FALSE,"FREE"}</definedName>
    <definedName name="rh" localSheetId="5" hidden="1">{#N/A,#N/A,FALSE,"FREE"}</definedName>
    <definedName name="rh" hidden="1">{#N/A,#N/A,FALSE,"FREE"}</definedName>
    <definedName name="rhw" localSheetId="25" hidden="1">{#N/A,#N/A,FALSE,"FREE"}</definedName>
    <definedName name="rhw" localSheetId="5" hidden="1">{#N/A,#N/A,FALSE,"FREE"}</definedName>
    <definedName name="rhw" hidden="1">{#N/A,#N/A,FALSE,"FREE"}</definedName>
    <definedName name="rhwr"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c">#REF!</definedName>
    <definedName name="rica">#REF!</definedName>
    <definedName name="ricf">#REF!</definedName>
    <definedName name="ricx">#REF!</definedName>
    <definedName name="rid" localSheetId="25" hidden="1">{"'Sheet1'!$L$16"}</definedName>
    <definedName name="rid" localSheetId="0" hidden="1">{"'Sheet1'!$L$16"}</definedName>
    <definedName name="rid" localSheetId="5" hidden="1">{"'Sheet1'!$L$16"}</definedName>
    <definedName name="rid" hidden="1">{"'Sheet1'!$L$16"}</definedName>
    <definedName name="RIL_s_annual_report">#REF!</definedName>
    <definedName name="RIsk_free_30yr_Treas">#REF!</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iskUseMultipleCPUs" hidden="1">TRUE</definedName>
    <definedName name="RM">#REF!</definedName>
    <definedName name="RM___0">#REF!</definedName>
    <definedName name="rmannex">#REF!</definedName>
    <definedName name="RMB" localSheetId="0">#REF!</definedName>
    <definedName name="RMB">#REF!</definedName>
    <definedName name="rmdcfy05">#REF!</definedName>
    <definedName name="RMIN">#N/A</definedName>
    <definedName name="RMREOH">#N/A</definedName>
    <definedName name="RMRNOT">#N/A</definedName>
    <definedName name="RMRT">#REF!</definedName>
    <definedName name="RnD_expense">#REF!</definedName>
    <definedName name="RNDBOH">#N/A</definedName>
    <definedName name="RNDEOH">#N/A</definedName>
    <definedName name="rnf">#REF!</definedName>
    <definedName name="rng1982YDecFFR00126">#REF!,#REF!</definedName>
    <definedName name="rng1983YDecFFR00127">#REF!,#REF!,#REF!</definedName>
    <definedName name="rng1984YDecFFR00128">#REF!,#REF!</definedName>
    <definedName name="rng1985YDecFFR00129">#REF!,#REF!</definedName>
    <definedName name="rng1986YDecFFR00130">#REF!,#REF!</definedName>
    <definedName name="rng1987YDecFFR00131">#REF!,#REF!</definedName>
    <definedName name="rng1988YDecFFR00132">#REF!,#REF!</definedName>
    <definedName name="rng1988YDecPES00010">#REF!,#REF!,#REF!,#REF!,#REF!,#REF!,#REF!,#REF!,#REF!,#REF!,#REF!,#REF!,#REF!</definedName>
    <definedName name="rng1988YDecPES00021">#REF!,#REF!,#REF!,#REF!,#REF!,#REF!,#REF!,#REF!,#REF!,#REF!,#REF!,#REF!</definedName>
    <definedName name="rng1988YDecPES00041">#REF!,#REF!,#REF!,#REF!,#REF!,#REF!,#REF!</definedName>
    <definedName name="rng1988YDecPES00059">#REF!,#REF!,#REF!,#REF!,#REF!,#REF!,#REF!,#REF!,#REF!,#REF!</definedName>
    <definedName name="rng1988YDecPES00077">#REF!,#REF!,#REF!,#REF!,#REF!,#REF!</definedName>
    <definedName name="rng1988YDecPES00089">#REF!,#REF!,#REF!,#REF!,#REF!,#REF!,#REF!,#REF!</definedName>
    <definedName name="rng1988YDecPES00125">#REF!,#REF!,#REF!,#REF!</definedName>
    <definedName name="rng1988YDecPES00143">#REF!,#REF!,#REF!,#REF!</definedName>
    <definedName name="rng1988YDecPES00161">#REF!,#REF!,#REF!,#REF!</definedName>
    <definedName name="rng1988YDecPES00204">#REF!,#REF!,#REF!,#REF!,#REF!,#REF!</definedName>
    <definedName name="rng1988YDecPES00205">#REF!,#REF!,#REF!</definedName>
    <definedName name="rng1988YDecPES00206">#REF!,#REF!,#REF!,#REF!,#REF!,#REF!</definedName>
    <definedName name="rng1988YDecPES00207">#REF!,#REF!,#REF!</definedName>
    <definedName name="rng1988YDecPES00273">#REF!,#REF!</definedName>
    <definedName name="rng1988YDecPES00274">#REF!,#REF!,#REF!,#REF!,#REF!</definedName>
    <definedName name="rng1988YDecPES00275">#REF!,#REF!</definedName>
    <definedName name="rng1989YDecFFR00001">#REF!,#REF!,#REF!,#REF!,#REF!,#REF!</definedName>
    <definedName name="rng1989YDecFFR00014">#REF!,#REF!</definedName>
    <definedName name="rng1989YDecFFR00027">#REF!,#REF!,#REF!,#REF!,#REF!</definedName>
    <definedName name="rng1989YDecFFR00039">#REF!,#REF!,#REF!</definedName>
    <definedName name="rng1989YDecFFR00057">#REF!,#REF!,#REF!,#REF!,#REF!,#REF!</definedName>
    <definedName name="rng1989YDecFFR00066">#REF!,#REF!,#REF!,#REF!,#REF!,#REF!,#REF!</definedName>
    <definedName name="rng1989YDecFFR00101">#REF!,#REF!,#REF!,#REF!,#REF!,#REF!,#REF!,#REF!,#REF!,#REF!,#REF!</definedName>
    <definedName name="rng1989YDecFFR00133">#REF!,#REF!,#REF!,#REF!,#REF!,#REF!,#REF!,#REF!</definedName>
    <definedName name="rng1989YDecFFR00146">#REF!,#REF!,#REF!,#REF!,#REF!</definedName>
    <definedName name="rng1989YDecFFR00159">#REF!,#REF!,#REF!,#REF!,#REF!</definedName>
    <definedName name="rng1989YDecFFR00171">#REF!,#REF!,#REF!,#REF!,#REF!,#REF!,#REF!,#REF!,#REF!</definedName>
    <definedName name="rng1989YDecFFR00193">#REF!,#REF!,#REF!,#REF!</definedName>
    <definedName name="rng1989YDecFFR00209">#REF!,#REF!,#REF!,#REF!</definedName>
    <definedName name="rng1989YDecFFR00221">#REF!,#REF!,#REF!,#REF!,#REF!,#REF!,#REF!,#REF!</definedName>
    <definedName name="rng1989YDecFFR00222">#REF!,#REF!</definedName>
    <definedName name="rng1989YDecPES00011">#REF!,#REF!,#REF!,#REF!,#REF!,#REF!,#REF!,#REF!,#REF!,#REF!,#REF!,#REF!,#REF!</definedName>
    <definedName name="rng1989YDecPES00042">#REF!,#REF!,#REF!,#REF!,#REF!,#REF!,#REF!,#REF!</definedName>
    <definedName name="rng1989YDecPES00060">#REF!,#REF!,#REF!,#REF!,#REF!,#REF!,#REF!,#REF!,#REF!</definedName>
    <definedName name="rng1989YDecPES00078">#REF!,#REF!,#REF!,#REF!,#REF!,#REF!</definedName>
    <definedName name="rng1989YDecPES00090">#REF!,#REF!,#REF!,#REF!,#REF!,#REF!,#REF!,#REF!,#REF!,#REF!</definedName>
    <definedName name="rng1989YDecPES00126">#REF!,#REF!,#REF!,#REF!</definedName>
    <definedName name="rng1989YDecPES00144">#REF!,#REF!,#REF!,#REF!</definedName>
    <definedName name="rng1989YDecPES00162">#REF!,#REF!,#REF!,#REF!</definedName>
    <definedName name="rng1989YDecPES00208">#REF!,#REF!,#REF!,#REF!,#REF!,#REF!</definedName>
    <definedName name="rng1989YDecPES00209">#REF!,#REF!,#REF!</definedName>
    <definedName name="rng1989YDecPES00210">#REF!,#REF!,#REF!,#REF!,#REF!</definedName>
    <definedName name="rng1989YDecPES00211">#REF!,#REF!,#REF!,#REF!</definedName>
    <definedName name="rng1989YDecPES00276">#REF!,#REF!</definedName>
    <definedName name="rng1989YDecPES00277">#REF!,#REF!,#REF!,#REF!,#REF!</definedName>
    <definedName name="rng1989YDecPES00278">#REF!,#REF!</definedName>
    <definedName name="rng1989YDecPES00284">#REF!,#REF!,#REF!,#REF!,#REF!,#REF!,#REF!,#REF!,#REF!,#REF!,#REF!,#REF!</definedName>
    <definedName name="rng1990YDecFFR00002">#REF!,#REF!,#REF!,#REF!,#REF!,#REF!</definedName>
    <definedName name="rng1990YDecFFR00015">#REF!,#REF!</definedName>
    <definedName name="rng1990YDecFFR00028">#REF!,#REF!,#REF!,#REF!,#REF!,#REF!</definedName>
    <definedName name="rng1990YDecFFR00040">#REF!,#REF!,#REF!,#REF!</definedName>
    <definedName name="rng1990YDecFFR00058">#REF!,#REF!,#REF!,#REF!,#REF!,#REF!</definedName>
    <definedName name="rng1990YDecFFR00067">#REF!,#REF!,#REF!,#REF!,#REF!,#REF!,#REF!</definedName>
    <definedName name="rng1990YDecFFR00102">#REF!,#REF!,#REF!,#REF!,#REF!,#REF!,#REF!,#REF!,#REF!,#REF!,#REF!,#REF!</definedName>
    <definedName name="rng1990YDecFFR00117">#REF!,#REF!</definedName>
    <definedName name="rng1990YDecFFR00134">#REF!,#REF!,#REF!,#REF!,#REF!,#REF!,#REF!,#REF!,#REF!,#REF!,#REF!</definedName>
    <definedName name="rng1990YDecFFR00147">#REF!,#REF!,#REF!,#REF!,#REF!</definedName>
    <definedName name="rng1990YDecFFR00160">#REF!,#REF!,#REF!,#REF!,#REF!</definedName>
    <definedName name="rng1990YDecFFR00172">#REF!,#REF!,#REF!,#REF!,#REF!</definedName>
    <definedName name="rng1990YDecFFR00194">#REF!,#REF!,#REF!,#REF!</definedName>
    <definedName name="rng1990YDecFFR00210">#REF!,#REF!,#REF!,#REF!,#REF!</definedName>
    <definedName name="rng1990YDecFFR00224">#REF!,#REF!,#REF!,#REF!,#REF!,#REF!,#REF!,#REF!,#REF!</definedName>
    <definedName name="rng1990YDecPES00043">#REF!,#REF!,#REF!,#REF!,#REF!,#REF!,#REF!,#REF!</definedName>
    <definedName name="rng1990YDecPES00061">#REF!,#REF!,#REF!,#REF!,#REF!,#REF!,#REF!,#REF!,#REF!,#REF!</definedName>
    <definedName name="rng1990YDecPES00079">#REF!,#REF!,#REF!,#REF!,#REF!,#REF!,#REF!</definedName>
    <definedName name="rng1990YDecPES00091">#REF!,#REF!,#REF!,#REF!,#REF!,#REF!,#REF!,#REF!</definedName>
    <definedName name="rng1990YDecPES00127">#REF!,#REF!,#REF!,#REF!</definedName>
    <definedName name="rng1990YDecPES00145">#REF!,#REF!,#REF!,#REF!</definedName>
    <definedName name="rng1990YDecPES00163">#REF!,#REF!,#REF!,#REF!</definedName>
    <definedName name="rng1990YDecPES00213">#REF!,#REF!,#REF!,#REF!,#REF!,#REF!</definedName>
    <definedName name="rng1990YDecPES00214">#REF!,#REF!,#REF!</definedName>
    <definedName name="rng1990YDecPES00215">#REF!,#REF!,#REF!,#REF!,#REF!,#REF!</definedName>
    <definedName name="rng1990YDecPES00216">#REF!,#REF!,#REF!,#REF!,#REF!</definedName>
    <definedName name="rng1990YDecPES00217">#REF!,#REF!,#REF!,#REF!,#REF!</definedName>
    <definedName name="rng1990YDecPES00218">#REF!,#REF!,#REF!,#REF!,#REF!,#REF!</definedName>
    <definedName name="rng1990YDecPES00219">#REF!,#REF!,#REF!,#REF!,#REF!,#REF!,#REF!,#REF!</definedName>
    <definedName name="rng1990YDecPES00221">#REF!,#REF!,#REF!,#REF!,#REF!</definedName>
    <definedName name="rng1990YDecPES00223">#REF!,#REF!,#REF!,#REF!,#REF!</definedName>
    <definedName name="rng1990YDecPES00224">#REF!,#REF!</definedName>
    <definedName name="rng1991YDecFFR00003">#REF!,#REF!,#REF!,#REF!,#REF!,#REF!,#REF!,#REF!,#REF!</definedName>
    <definedName name="rng1991YDecFFR00016">#REF!,#REF!,#REF!</definedName>
    <definedName name="rng1991YDecFFR00029">#REF!,#REF!,#REF!,#REF!,#REF!,#REF!</definedName>
    <definedName name="rng1991YDecFFR00041">#REF!,#REF!,#REF!,#REF!</definedName>
    <definedName name="rng1991YDecFFR00059">#REF!,#REF!,#REF!,#REF!,#REF!,#REF!</definedName>
    <definedName name="rng1991YDecFFR00068">#REF!,#REF!,#REF!,#REF!,#REF!,#REF!,#REF!</definedName>
    <definedName name="rng1991YDecFFR00103">#REF!,#REF!,#REF!,#REF!,#REF!,#REF!,#REF!,#REF!,#REF!,#REF!,#REF!</definedName>
    <definedName name="rng1991YDecFFR00135">#REF!,#REF!,#REF!,#REF!,#REF!,#REF!,#REF!,#REF!,#REF!</definedName>
    <definedName name="rng1991YDecFFR00148">#REF!,#REF!,#REF!,#REF!,#REF!</definedName>
    <definedName name="rng1991YDecFFR00161">#REF!,#REF!,#REF!,#REF!,#REF!</definedName>
    <definedName name="rng1991YDecFFR00173">#REF!,#REF!,#REF!,#REF!,#REF!</definedName>
    <definedName name="rng1991YDecFFR00195">#REF!,#REF!,#REF!,#REF!</definedName>
    <definedName name="rng1991YDecFFR00211">#REF!,#REF!,#REF!,#REF!,#REF!</definedName>
    <definedName name="rng1991YDecFFR00225">#REF!,#REF!,#REF!,#REF!,#REF!,#REF!,#REF!,#REF!,#REF!</definedName>
    <definedName name="rng1991YDecPES00014">#REF!,#REF!,#REF!,#REF!,#REF!,#REF!,#REF!,#REF!</definedName>
    <definedName name="rng1991YDecPES00044">#REF!,#REF!,#REF!,#REF!,#REF!,#REF!,#REF!</definedName>
    <definedName name="rng1991YDecPES00062">#REF!,#REF!,#REF!,#REF!,#REF!,#REF!,#REF!,#REF!,#REF!,#REF!</definedName>
    <definedName name="rng1991YDecPES00080">#REF!,#REF!,#REF!,#REF!,#REF!,#REF!,#REF!</definedName>
    <definedName name="rng1991YDecPES00092">#REF!,#REF!,#REF!,#REF!,#REF!,#REF!,#REF!,#REF!</definedName>
    <definedName name="rng1991YDecPES00128">#REF!,#REF!,#REF!,#REF!</definedName>
    <definedName name="rng1991YDecPES00146">#REF!,#REF!,#REF!,#REF!</definedName>
    <definedName name="rng1991YDecPES00164">#REF!,#REF!,#REF!,#REF!</definedName>
    <definedName name="rng1991YDecPES00225">#REF!,#REF!,#REF!,#REF!,#REF!,#REF!,#REF!</definedName>
    <definedName name="rng1991YDecPES00226">#REF!,#REF!,#REF!,#REF!,#REF!</definedName>
    <definedName name="rng1991YDecPES00228">#REF!,#REF!,#REF!,#REF!,#REF!</definedName>
    <definedName name="rng1991YDecPES00229">#REF!,#REF!,#REF!,#REF!,#REF!</definedName>
    <definedName name="rng1991YDecPES00254">#REF!,#REF!,#REF!,#REF!,#REF!,#REF!</definedName>
    <definedName name="rng1991YDecPES00255">#REF!,#REF!,#REF!,#REF!</definedName>
    <definedName name="rng1992YDecFFR00004">#REF!,#REF!,#REF!,#REF!,#REF!,#REF!</definedName>
    <definedName name="rng1992YDecFFR00017">#REF!,#REF!,#REF!</definedName>
    <definedName name="rng1992YDecFFR00030">#REF!,#REF!,#REF!,#REF!,#REF!,#REF!</definedName>
    <definedName name="rng1992YDecFFR00042">#REF!,#REF!,#REF!,#REF!</definedName>
    <definedName name="rng1992YDecFFR00060">#REF!,#REF!,#REF!,#REF!,#REF!,#REF!</definedName>
    <definedName name="rng1992YDecFFR00069">#REF!,#REF!,#REF!,#REF!,#REF!,#REF!,#REF!</definedName>
    <definedName name="rng1992YDecFFR00104">#REF!,#REF!,#REF!,#REF!,#REF!,#REF!,#REF!,#REF!,#REF!,#REF!,#REF!</definedName>
    <definedName name="rng1992YDecFFR00136">#REF!,#REF!,#REF!,#REF!,#REF!,#REF!,#REF!,#REF!,#REF!</definedName>
    <definedName name="rng1992YDecFFR00149">#REF!,#REF!,#REF!,#REF!,#REF!</definedName>
    <definedName name="rng1992YDecFFR00162">#REF!,#REF!,#REF!,#REF!,#REF!</definedName>
    <definedName name="rng1992YDecFFR00174">#REF!,#REF!,#REF!,#REF!,#REF!</definedName>
    <definedName name="rng1992YDecFFR00196">#REF!,#REF!,#REF!,#REF!</definedName>
    <definedName name="rng1992YDecFFR00212">#REF!,#REF!,#REF!,#REF!,#REF!,#REF!</definedName>
    <definedName name="rng1992YDecFFR00226">#REF!,#REF!,#REF!,#REF!,#REF!,#REF!,#REF!,#REF!</definedName>
    <definedName name="rng1992YDecLIR00004">#REF!,#REF!,#REF!,#REF!,#REF!,#REF!</definedName>
    <definedName name="rng1992YDecLIR00015">#REF!,#REF!,#REF!,#REF!,#REF!,#REF!</definedName>
    <definedName name="rng1992YDecLIR00021">#REF!,#REF!,#REF!,#REF!,#REF!,#REF!</definedName>
    <definedName name="rng1992YDecLIR00030">#REF!,#REF!,#REF!,#REF!,#REF!,#REF!,#REF!</definedName>
    <definedName name="rng1992YDecLIR00040">#REF!,#REF!,#REF!,#REF!,#REF!,#REF!</definedName>
    <definedName name="rng1992YDecLIR00046">#REF!,#REF!,#REF!,#REF!</definedName>
    <definedName name="rng1992YDecLIR00055">#REF!,#REF!,#REF!,#REF!,#REF!,#REF!,#REF!</definedName>
    <definedName name="rng1992YDecLIR00062">#REF!,#REF!,#REF!,#REF!,#REF!,#REF!</definedName>
    <definedName name="rng1992YDecLIR00075">#REF!,#REF!</definedName>
    <definedName name="rng1992YDecLIR00082">#REF!,#REF!,#REF!,#REF!,#REF!,#REF!,#REF!,#REF!</definedName>
    <definedName name="rng1992YDecLIR00101">#REF!,#REF!,#REF!</definedName>
    <definedName name="rng1992YDecLIR00108">#REF!,#REF!,#REF!,#REF!,#REF!</definedName>
    <definedName name="rng1992YDecLIR00115">#REF!,#REF!,#REF!,#REF!</definedName>
    <definedName name="rng1992YDecLIR00122">#REF!,#REF!,#REF!,#REF!,#REF!</definedName>
    <definedName name="rng1992YDecLIR00129">#REF!,#REF!,#REF!,#REF!,#REF!</definedName>
    <definedName name="rng1992YDecLIR00136">#REF!,#REF!,#REF!,#REF!,#REF!</definedName>
    <definedName name="rng1992YDecLIR00152">#REF!,#REF!,#REF!,#REF!,#REF!</definedName>
    <definedName name="rng1992YDecLIR00159">#REF!,#REF!</definedName>
    <definedName name="rng1992YDecPES00013">#REF!,#REF!,#REF!,#REF!,#REF!,#REF!,#REF!,#REF!,#REF!,#REF!,#REF!,#REF!,#REF!,#REF!</definedName>
    <definedName name="rng1992YDecPES00015">#REF!,#REF!,#REF!,#REF!,#REF!,#REF!,#REF!,#REF!,#REF!,#REF!,#REF!,#REF!,#REF!</definedName>
    <definedName name="rng1992YDecPES00045">#REF!,#REF!,#REF!,#REF!,#REF!,#REF!,#REF!</definedName>
    <definedName name="rng1992YDecPES00063">#REF!,#REF!,#REF!,#REF!,#REF!,#REF!,#REF!,#REF!,#REF!</definedName>
    <definedName name="rng1992YDecPES00081">#REF!,#REF!,#REF!,#REF!,#REF!,#REF!,#REF!</definedName>
    <definedName name="rng1992YDecPES00093">#REF!,#REF!,#REF!,#REF!,#REF!,#REF!,#REF!,#REF!</definedName>
    <definedName name="rng1992YDecPES00111">#REF!,#REF!,#REF!,#REF!,#REF!,#REF!,#REF!,#REF!,#REF!,#REF!,#REF!,#REF!</definedName>
    <definedName name="rng1992YDecPES00129">#REF!,#REF!,#REF!,#REF!</definedName>
    <definedName name="rng1992YDecPES00147">#REF!,#REF!,#REF!,#REF!</definedName>
    <definedName name="rng1992YDecPES00165">#REF!,#REF!,#REF!,#REF!,#REF!</definedName>
    <definedName name="rng1992YDecPES00230">#REF!,#REF!,#REF!,#REF!,#REF!,#REF!,#REF!</definedName>
    <definedName name="rng1992YDecPES00231">#REF!,#REF!,#REF!,#REF!,#REF!,#REF!</definedName>
    <definedName name="rng1992YDecPES00232">#REF!,#REF!,#REF!,#REF!</definedName>
    <definedName name="rng1992YDecPES00233">#REF!,#REF!,#REF!,#REF!,#REF!</definedName>
    <definedName name="rng1993YDecFFR00005">#REF!,#REF!,#REF!,#REF!,#REF!,#REF!</definedName>
    <definedName name="rng1993YDecFFR00018">#REF!,#REF!,#REF!,#REF!</definedName>
    <definedName name="rng1993YDecFFR00031">#REF!,#REF!,#REF!,#REF!,#REF!,#REF!,#REF!,#REF!</definedName>
    <definedName name="rng1993YDecFFR00043">#REF!,#REF!,#REF!,#REF!</definedName>
    <definedName name="rng1993YDecFFR00061">#REF!,#REF!,#REF!,#REF!,#REF!,#REF!</definedName>
    <definedName name="rng1993YDecFFR00070">#REF!,#REF!,#REF!,#REF!,#REF!,#REF!,#REF!</definedName>
    <definedName name="rng1993YDecFFR00105">#REF!,#REF!,#REF!,#REF!,#REF!,#REF!,#REF!,#REF!,#REF!,#REF!,#REF!,#REF!</definedName>
    <definedName name="rng1993YDecFFR00137">#REF!,#REF!,#REF!,#REF!,#REF!,#REF!,#REF!,#REF!,#REF!</definedName>
    <definedName name="rng1993YDecFFR00150">#REF!,#REF!,#REF!,#REF!,#REF!</definedName>
    <definedName name="rng1993YDecFFR00163">#REF!,#REF!,#REF!,#REF!,#REF!</definedName>
    <definedName name="rng1993YDecFFR00175">#REF!,#REF!,#REF!,#REF!,#REF!</definedName>
    <definedName name="rng1993YDecFFR00197">#REF!,#REF!,#REF!,#REF!</definedName>
    <definedName name="rng1993YDecFFR00213">#REF!,#REF!,#REF!,#REF!,#REF!</definedName>
    <definedName name="rng1993YDecFFR00227">#REF!,#REF!,#REF!,#REF!,#REF!,#REF!,#REF!,#REF!,#REF!</definedName>
    <definedName name="rng1993YDecLIR00005">#REF!,#REF!,#REF!,#REF!,#REF!</definedName>
    <definedName name="rng1993YDecLIR00016">#REF!,#REF!,#REF!,#REF!,#REF!,#REF!</definedName>
    <definedName name="rng1993YDecLIR00022">#REF!,#REF!,#REF!,#REF!,#REF!,#REF!</definedName>
    <definedName name="rng1993YDecLIR00031">#REF!,#REF!,#REF!,#REF!,#REF!,#REF!,#REF!</definedName>
    <definedName name="rng1993YDecLIR00041">#REF!,#REF!,#REF!,#REF!,#REF!</definedName>
    <definedName name="rng1993YDecLIR00047">#REF!,#REF!,#REF!,#REF!</definedName>
    <definedName name="rng1993YDecLIR00056">#REF!,#REF!,#REF!,#REF!,#REF!,#REF!,#REF!</definedName>
    <definedName name="rng1993YDecLIR00063">#REF!,#REF!,#REF!,#REF!,#REF!,#REF!</definedName>
    <definedName name="rng1993YDecLIR00076">#REF!,#REF!</definedName>
    <definedName name="rng1993YDecLIR00083">#REF!,#REF!,#REF!,#REF!,#REF!,#REF!,#REF!,#REF!</definedName>
    <definedName name="rng1993YDecLIR00102">#REF!,#REF!,#REF!,#REF!,#REF!,#REF!,#REF!</definedName>
    <definedName name="rng1993YDecLIR00109">#REF!,#REF!,#REF!,#REF!,#REF!</definedName>
    <definedName name="rng1993YDecLIR00116">#REF!,#REF!,#REF!,#REF!</definedName>
    <definedName name="rng1993YDecLIR00123">#REF!,#REF!,#REF!,#REF!,#REF!</definedName>
    <definedName name="rng1993YDecLIR00130">#REF!,#REF!,#REF!,#REF!,#REF!</definedName>
    <definedName name="rng1993YDecLIR00137">#REF!,#REF!,#REF!,#REF!,#REF!</definedName>
    <definedName name="rng1993YDecLIR00160">#REF!,#REF!</definedName>
    <definedName name="rng1993YDecLIR00175">#REF!,#REF!,#REF!,#REF!,#REF!</definedName>
    <definedName name="rng1993YDecPES00016">#REF!,#REF!,#REF!,#REF!,#REF!,#REF!,#REF!,#REF!,#REF!,#REF!,#REF!,#REF!,#REF!</definedName>
    <definedName name="rng1993YDecPES00046">#REF!,#REF!,#REF!,#REF!,#REF!,#REF!,#REF!</definedName>
    <definedName name="rng1993YDecPES00064">#REF!,#REF!,#REF!,#REF!,#REF!,#REF!,#REF!,#REF!,#REF!</definedName>
    <definedName name="rng1993YDecPES00082">#REF!,#REF!,#REF!,#REF!,#REF!,#REF!,#REF!</definedName>
    <definedName name="rng1993YDecPES00094">#REF!,#REF!,#REF!,#REF!,#REF!,#REF!,#REF!,#REF!</definedName>
    <definedName name="rng1993YDecPES00130">#REF!,#REF!,#REF!,#REF!</definedName>
    <definedName name="rng1993YDecPES00148">#REF!,#REF!,#REF!,#REF!</definedName>
    <definedName name="rng1993YDecPES00166">#REF!,#REF!,#REF!,#REF!</definedName>
    <definedName name="rng1993YDecPES00234">#REF!,#REF!,#REF!,#REF!,#REF!</definedName>
    <definedName name="rng1993YDecPES00235">#REF!,#REF!,#REF!,#REF!</definedName>
    <definedName name="rng1993YDecPES00236">#REF!,#REF!,#REF!,#REF!,#REF!,#REF!</definedName>
    <definedName name="rng1993YDecPES00237">#REF!,#REF!,#REF!,#REF!,#REF!,#REF!,#REF!</definedName>
    <definedName name="rng1993YDecPES00257">#REF!,#REF!,#REF!,#REF!,#REF!,#REF!</definedName>
    <definedName name="rng1994YDecFFR00006">#REF!,#REF!,#REF!,#REF!,#REF!,#REF!</definedName>
    <definedName name="rng1994YDecFFR00019">#REF!,#REF!,#REF!,#REF!</definedName>
    <definedName name="rng1994YDecFFR00032">#REF!,#REF!,#REF!,#REF!,#REF!,#REF!</definedName>
    <definedName name="rng1994YDecFFR00044">#REF!,#REF!,#REF!,#REF!</definedName>
    <definedName name="rng1994YDecFFR00062">#REF!,#REF!,#REF!,#REF!,#REF!,#REF!</definedName>
    <definedName name="rng1994YDecFFR00071">#REF!,#REF!,#REF!,#REF!,#REF!,#REF!,#REF!</definedName>
    <definedName name="rng1994YDecFFR00106">#REF!,#REF!,#REF!,#REF!,#REF!,#REF!,#REF!,#REF!</definedName>
    <definedName name="rng1994YDecFFR00107">#REF!,#REF!,#REF!,#REF!,#REF!,#REF!</definedName>
    <definedName name="rng1994YDecFFR00138">#REF!,#REF!,#REF!,#REF!,#REF!,#REF!,#REF!,#REF!,#REF!</definedName>
    <definedName name="rng1994YDecFFR00151">#REF!,#REF!,#REF!,#REF!,#REF!</definedName>
    <definedName name="rng1994YDecFFR00164">#REF!,#REF!,#REF!,#REF!,#REF!</definedName>
    <definedName name="rng1994YDecFFR00176">#REF!,#REF!,#REF!,#REF!,#REF!</definedName>
    <definedName name="rng1994YDecFFR00198">#REF!,#REF!,#REF!,#REF!</definedName>
    <definedName name="rng1994YDecFFR00214">#REF!,#REF!,#REF!,#REF!,#REF!,#REF!</definedName>
    <definedName name="rng1994YDecFFR00228">#REF!,#REF!,#REF!,#REF!,#REF!,#REF!,#REF!,#REF!,#REF!</definedName>
    <definedName name="rng1994YDecLIR00006">#REF!,#REF!,#REF!,#REF!,#REF!</definedName>
    <definedName name="rng1994YDecLIR00017">#REF!,#REF!,#REF!,#REF!,#REF!,#REF!</definedName>
    <definedName name="rng1994YDecLIR00023">#REF!,#REF!,#REF!,#REF!,#REF!</definedName>
    <definedName name="rng1994YDecLIR00032">#REF!,#REF!,#REF!,#REF!,#REF!,#REF!,#REF!</definedName>
    <definedName name="rng1994YDecLIR00042">#REF!,#REF!,#REF!,#REF!,#REF!</definedName>
    <definedName name="rng1994YDecLIR00048">#REF!,#REF!,#REF!,#REF!</definedName>
    <definedName name="rng1994YDecLIR00057">#REF!,#REF!,#REF!,#REF!,#REF!,#REF!</definedName>
    <definedName name="rng1994YDecLIR00064">#REF!,#REF!,#REF!,#REF!,#REF!,#REF!</definedName>
    <definedName name="rng1994YDecLIR00077">#REF!,#REF!</definedName>
    <definedName name="rng1994YDecLIR00084">#REF!,#REF!,#REF!,#REF!,#REF!,#REF!,#REF!,#REF!</definedName>
    <definedName name="rng1994YDecLIR00103">#REF!,#REF!,#REF!,#REF!,#REF!,#REF!,#REF!,#REF!</definedName>
    <definedName name="rng1994YDecLIR00110">#REF!,#REF!,#REF!,#REF!,#REF!</definedName>
    <definedName name="rng1994YDecLIR00117">#REF!,#REF!,#REF!,#REF!</definedName>
    <definedName name="rng1994YDecLIR00124">#REF!,#REF!,#REF!,#REF!,#REF!</definedName>
    <definedName name="rng1994YDecLIR00131">#REF!,#REF!,#REF!,#REF!,#REF!</definedName>
    <definedName name="rng1994YDecLIR00138">#REF!,#REF!,#REF!,#REF!,#REF!</definedName>
    <definedName name="rng1994YDecLIR00143">#REF!,#REF!</definedName>
    <definedName name="rng1994YDecLIR00146">#REF!,#REF!</definedName>
    <definedName name="rng1994YDecLIR00161">#REF!,#REF!</definedName>
    <definedName name="rng1994YDecLIR00176">#REF!,#REF!,#REF!,#REF!,#REF!</definedName>
    <definedName name="rng1994YDecPES00017">#REF!,#REF!,#REF!,#REF!,#REF!,#REF!,#REF!,#REF!,#REF!,#REF!,#REF!,#REF!,#REF!,#REF!</definedName>
    <definedName name="rng1994YDecPES00047">#REF!,#REF!,#REF!,#REF!,#REF!,#REF!,#REF!</definedName>
    <definedName name="rng1994YDecPES00065">#REF!,#REF!,#REF!,#REF!,#REF!,#REF!,#REF!,#REF!,#REF!</definedName>
    <definedName name="rng1994YDecPES00083">#REF!,#REF!,#REF!,#REF!,#REF!,#REF!,#REF!</definedName>
    <definedName name="rng1994YDecPES00095">#REF!,#REF!,#REF!,#REF!,#REF!,#REF!,#REF!,#REF!,#REF!</definedName>
    <definedName name="rng1994YDecPES00113">#REF!,#REF!,#REF!,#REF!,#REF!</definedName>
    <definedName name="rng1994YDecPES00131">#REF!,#REF!,#REF!,#REF!</definedName>
    <definedName name="rng1994YDecPES00149">#REF!,#REF!,#REF!,#REF!</definedName>
    <definedName name="rng1994YDecPES00167">#REF!,#REF!,#REF!,#REF!</definedName>
    <definedName name="rng1994YDecPES00238">#REF!,#REF!,#REF!,#REF!,#REF!,#REF!</definedName>
    <definedName name="rng1994YDecPES00239">#REF!,#REF!,#REF!,#REF!,#REF!,#REF!,#REF!</definedName>
    <definedName name="rng1994YDecPES00240">#REF!,#REF!,#REF!,#REF!</definedName>
    <definedName name="rng1994YDecPES00241">#REF!,#REF!,#REF!,#REF!,#REF!</definedName>
    <definedName name="rng1994YDecPES00258">#REF!,#REF!,#REF!,#REF!,#REF!,#REF!</definedName>
    <definedName name="rng1995YDecFFR00007">#REF!,#REF!,#REF!,#REF!,#REF!,#REF!,#REF!</definedName>
    <definedName name="rng1995YDecFFR00020">#REF!,#REF!,#REF!,#REF!,#REF!</definedName>
    <definedName name="rng1995YDecFFR00033">#REF!,#REF!,#REF!,#REF!,#REF!,#REF!</definedName>
    <definedName name="rng1995YDecFFR00045">#REF!,#REF!,#REF!,#REF!</definedName>
    <definedName name="rng1995YDecFFR00063">#REF!,#REF!,#REF!,#REF!,#REF!,#REF!</definedName>
    <definedName name="rng1995YDecFFR00072">#REF!,#REF!,#REF!,#REF!,#REF!,#REF!,#REF!</definedName>
    <definedName name="rng1995YDecFFR00108">#REF!,#REF!,#REF!,#REF!,#REF!,#REF!,#REF!,#REF!</definedName>
    <definedName name="rng1995YDecFFR00109">#REF!,#REF!,#REF!,#REF!,#REF!,#REF!</definedName>
    <definedName name="rng1995YDecFFR00139">#REF!,#REF!,#REF!,#REF!,#REF!,#REF!,#REF!,#REF!,#REF!</definedName>
    <definedName name="rng1995YDecFFR00152">#REF!,#REF!,#REF!,#REF!,#REF!</definedName>
    <definedName name="rng1995YDecFFR00165">#REF!,#REF!,#REF!,#REF!</definedName>
    <definedName name="rng1995YDecFFR00177">#REF!,#REF!,#REF!,#REF!,#REF!</definedName>
    <definedName name="rng1995YDecFFR00199">#REF!,#REF!,#REF!,#REF!</definedName>
    <definedName name="rng1995YDecFFR00215">#REF!,#REF!,#REF!,#REF!</definedName>
    <definedName name="rng1995YDecFFR00229">#REF!,#REF!,#REF!,#REF!,#REF!,#REF!,#REF!,#REF!,#REF!</definedName>
    <definedName name="rng1995YDecLIR00007">#REF!,#REF!,#REF!,#REF!,#REF!</definedName>
    <definedName name="rng1995YDecLIR00018">#REF!,#REF!,#REF!,#REF!,#REF!,#REF!</definedName>
    <definedName name="rng1995YDecLIR00024">#REF!,#REF!,#REF!,#REF!,#REF!</definedName>
    <definedName name="rng1995YDecLIR00033">#REF!,#REF!,#REF!,#REF!,#REF!,#REF!,#REF!,#REF!</definedName>
    <definedName name="rng1995YDecLIR00043">#REF!,#REF!,#REF!,#REF!,#REF!</definedName>
    <definedName name="rng1995YDecLIR00052">#REF!,#REF!,#REF!,#REF!,#REF!</definedName>
    <definedName name="rng1995YDecLIR00058">#REF!,#REF!,#REF!,#REF!,#REF!,#REF!</definedName>
    <definedName name="rng1995YDecLIR00065">#REF!,#REF!,#REF!,#REF!,#REF!,#REF!</definedName>
    <definedName name="rng1995YDecLIR00078">#REF!,#REF!</definedName>
    <definedName name="rng1995YDecLIR00085">#REF!,#REF!,#REF!,#REF!,#REF!,#REF!,#REF!,#REF!</definedName>
    <definedName name="rng1995YDecLIR00095">#REF!,#REF!,#REF!,#REF!,#REF!</definedName>
    <definedName name="rng1995YDecLIR00104">#REF!,#REF!,#REF!,#REF!,#REF!,#REF!,#REF!</definedName>
    <definedName name="rng1995YDecLIR00111">#REF!,#REF!,#REF!,#REF!,#REF!</definedName>
    <definedName name="rng1995YDecLIR00118">#REF!,#REF!,#REF!,#REF!</definedName>
    <definedName name="rng1995YDecLIR00125">#REF!,#REF!,#REF!,#REF!,#REF!</definedName>
    <definedName name="rng1995YDecLIR00132">#REF!,#REF!,#REF!,#REF!,#REF!</definedName>
    <definedName name="rng1995YDecLIR00139">#REF!,#REF!,#REF!,#REF!,#REF!</definedName>
    <definedName name="rng1995YDecLIR00144">#REF!,#REF!</definedName>
    <definedName name="rng1995YDecLIR00147">#REF!,#REF!</definedName>
    <definedName name="rng1995YDecLIR00150">#REF!,#REF!</definedName>
    <definedName name="rng1995YDecLIR00162">#REF!,#REF!</definedName>
    <definedName name="rng1995YDecPES00018">#REF!,#REF!,#REF!,#REF!,#REF!,#REF!,#REF!,#REF!,#REF!,#REF!,#REF!,#REF!,#REF!</definedName>
    <definedName name="rng1995YDecPES00048">#REF!,#REF!,#REF!,#REF!,#REF!,#REF!,#REF!</definedName>
    <definedName name="rng1995YDecPES00066">#REF!,#REF!,#REF!,#REF!,#REF!,#REF!,#REF!,#REF!,#REF!,#REF!,#REF!</definedName>
    <definedName name="rng1995YDecPES00084">#REF!,#REF!,#REF!,#REF!,#REF!,#REF!,#REF!,#REF!</definedName>
    <definedName name="rng1995YDecPES00096">#REF!,#REF!,#REF!,#REF!,#REF!,#REF!,#REF!</definedName>
    <definedName name="rng1995YDecPES00114">#REF!,#REF!,#REF!,#REF!</definedName>
    <definedName name="rng1995YDecPES00132">#REF!,#REF!,#REF!,#REF!</definedName>
    <definedName name="rng1995YDecPES00150">#REF!,#REF!,#REF!,#REF!</definedName>
    <definedName name="rng1995YDecPES00168">#REF!,#REF!,#REF!,#REF!</definedName>
    <definedName name="rng1995YDecPES00242">#REF!,#REF!,#REF!,#REF!,#REF!</definedName>
    <definedName name="rng1995YDecPES00243">#REF!,#REF!,#REF!,#REF!</definedName>
    <definedName name="rng1995YDecPES00244">#REF!,#REF!,#REF!,#REF!,#REF!,#REF!</definedName>
    <definedName name="rng1995YDecPES00245">#REF!,#REF!,#REF!,#REF!,#REF!,#REF!,#REF!</definedName>
    <definedName name="rng1995YDecPES00259">#REF!,#REF!,#REF!,#REF!,#REF!,#REF!</definedName>
    <definedName name="rng1996YDecFFR00008">#REF!,#REF!,#REF!,#REF!,#REF!,#REF!</definedName>
    <definedName name="rng1996YDecFFR00021">#REF!,#REF!,#REF!,#REF!</definedName>
    <definedName name="rng1996YDecFFR00034">#REF!,#REF!,#REF!,#REF!,#REF!,#REF!</definedName>
    <definedName name="rng1996YDecFFR00046">#REF!,#REF!,#REF!,#REF!,#REF!</definedName>
    <definedName name="rng1996YDecFFR00064">#REF!,#REF!,#REF!,#REF!,#REF!,#REF!</definedName>
    <definedName name="rng1996YDecFFR00073">#REF!,#REF!,#REF!,#REF!,#REF!,#REF!,#REF!</definedName>
    <definedName name="rng1996YDecFFR00110cvt">#REF!,#REF!,#REF!,#REF!,#REF!,#REF!,#REF!,#REF!,#REF!,#REF!,#REF!,#REF!,#REF!,#REF!,#REF!,#REF!,#REF!,#REF!,#REF!</definedName>
    <definedName name="rng1996YDecFFR00140">#REF!,#REF!,#REF!,#REF!,#REF!,#REF!,#REF!,#REF!,#REF!</definedName>
    <definedName name="rng1996YDecFFR00153">#REF!,#REF!,#REF!,#REF!,#REF!</definedName>
    <definedName name="rng1996YDecFFR00166">#REF!,#REF!,#REF!,#REF!,#REF!</definedName>
    <definedName name="rng1996YDecFFR00178">#REF!,#REF!,#REF!,#REF!,#REF!</definedName>
    <definedName name="rng1996YDecFFR00200">#REF!,#REF!,#REF!,#REF!,#REF!</definedName>
    <definedName name="rng1996YDecFFR00216">#REF!,#REF!,#REF!,#REF!</definedName>
    <definedName name="rng1996YDecFFR00230">#REF!,#REF!,#REF!,#REF!,#REF!,#REF!,#REF!,#REF!</definedName>
    <definedName name="rng1996YDecLIR00008">#REF!,#REF!,#REF!,#REF!,#REF!</definedName>
    <definedName name="rng1996YDecLIR00019">#REF!,#REF!,#REF!,#REF!,#REF!,#REF!</definedName>
    <definedName name="rng1996YDecLIR00025">#REF!,#REF!,#REF!,#REF!,#REF!</definedName>
    <definedName name="rng1996YDecLIR00034">#REF!,#REF!,#REF!,#REF!,#REF!,#REF!,#REF!,#REF!</definedName>
    <definedName name="rng1996YDecLIR00044">#REF!,#REF!,#REF!,#REF!</definedName>
    <definedName name="rng1996YDecLIR00053">#REF!,#REF!,#REF!,#REF!,#REF!</definedName>
    <definedName name="rng1996YDecLIR00059">#REF!,#REF!,#REF!,#REF!,#REF!,#REF!</definedName>
    <definedName name="rng1996YDecLIR00066">#REF!,#REF!,#REF!,#REF!,#REF!,#REF!</definedName>
    <definedName name="rng1996YDecLIR00079">#REF!,#REF!</definedName>
    <definedName name="rng1996YDecLIR00086">#REF!,#REF!,#REF!,#REF!,#REF!,#REF!,#REF!,#REF!</definedName>
    <definedName name="rng1996YDecLIR00096">#REF!,#REF!,#REF!,#REF!,#REF!</definedName>
    <definedName name="rng1996YDecLIR00105">#REF!,#REF!,#REF!,#REF!,#REF!,#REF!,#REF!</definedName>
    <definedName name="rng1996YDecLIR00112">#REF!,#REF!,#REF!,#REF!,#REF!</definedName>
    <definedName name="rng1996YDecLIR00119">#REF!,#REF!,#REF!,#REF!</definedName>
    <definedName name="rng1996YDecLIR00126">#REF!,#REF!,#REF!,#REF!,#REF!</definedName>
    <definedName name="rng1996YDecLIR00133">#REF!,#REF!,#REF!,#REF!,#REF!</definedName>
    <definedName name="rng1996YDecLIR00140">#REF!,#REF!,#REF!,#REF!,#REF!</definedName>
    <definedName name="rng1996YDecLIR00145">#REF!,#REF!</definedName>
    <definedName name="rng1996YDecLIR00148">#REF!,#REF!</definedName>
    <definedName name="rng1996YDecLIR00151">#REF!,#REF!,#REF!</definedName>
    <definedName name="rng1996YDecLIR00163">#REF!,#REF!</definedName>
    <definedName name="rng1996YDecPES00019">#REF!,#REF!,#REF!,#REF!,#REF!,#REF!,#REF!,#REF!,#REF!,#REF!,#REF!,#REF!,#REF!</definedName>
    <definedName name="rng1996YDecPES00049">#REF!,#REF!,#REF!,#REF!,#REF!,#REF!,#REF!</definedName>
    <definedName name="rng1996YDecPES00067">#REF!,#REF!,#REF!,#REF!,#REF!,#REF!,#REF!,#REF!,#REF!,#REF!,#REF!</definedName>
    <definedName name="rng1996YDecPES00085">#REF!,#REF!,#REF!,#REF!,#REF!,#REF!,#REF!,#REF!</definedName>
    <definedName name="rng1996YDecPES00097">#REF!,#REF!,#REF!,#REF!,#REF!,#REF!,#REF!</definedName>
    <definedName name="rng1996YDecPES00115">#REF!,#REF!,#REF!,#REF!,#REF!</definedName>
    <definedName name="rng1996YDecPES00133">#REF!,#REF!,#REF!,#REF!</definedName>
    <definedName name="rng1996YDecPES00151">#REF!,#REF!,#REF!,#REF!</definedName>
    <definedName name="rng1996YDecPES00169">#REF!,#REF!,#REF!,#REF!</definedName>
    <definedName name="rng1996YDecPES00246">#REF!,#REF!,#REF!,#REF!,#REF!,#REF!,#REF!,#REF!,#REF!</definedName>
    <definedName name="rng1996YDecPES00247">#REF!,#REF!,#REF!,#REF!,#REF!,#REF!</definedName>
    <definedName name="rng1996YDecPES00248">#REF!,#REF!,#REF!,#REF!</definedName>
    <definedName name="rng1996YDecPES00249">#REF!,#REF!,#REF!,#REF!,#REF!,#REF!,#REF!,#REF!,#REF!</definedName>
    <definedName name="rng1996YDecPES00260">#REF!,#REF!,#REF!,#REF!,#REF!,#REF!</definedName>
    <definedName name="rng1997YDecFFR00009">#REF!,#REF!,#REF!,#REF!,#REF!</definedName>
    <definedName name="rng1997YDecFFR00022">#REF!,#REF!,#REF!</definedName>
    <definedName name="rng1997YDecFFR00035">#REF!,#REF!,#REF!,#REF!,#REF!,#REF!</definedName>
    <definedName name="rng1997YDecFFR00047">#REF!,#REF!,#REF!,#REF!,#REF!</definedName>
    <definedName name="rng1997YDecFFR00065">#REF!,#REF!,#REF!,#REF!,#REF!,#REF!</definedName>
    <definedName name="rng1997YDecFFR00074">#REF!,#REF!,#REF!,#REF!,#REF!,#REF!,#REF!</definedName>
    <definedName name="rng1997YDecFFR00111">#REF!,#REF!,#REF!,#REF!,#REF!,#REF!,#REF!,#REF!,#REF!,#REF!,#REF!,#REF!,#REF!,#REF!</definedName>
    <definedName name="rng1997YDecFFR00141">#REF!,#REF!,#REF!,#REF!,#REF!,#REF!,#REF!,#REF!,#REF!,#REF!</definedName>
    <definedName name="rng1997YDecFFR00154">#REF!,#REF!,#REF!,#REF!,#REF!,#REF!</definedName>
    <definedName name="rng1997YDecFFR00167">#REF!,#REF!,#REF!,#REF!,#REF!</definedName>
    <definedName name="rng1997YDecFFR00179">#REF!,#REF!,#REF!,#REF!,#REF!</definedName>
    <definedName name="rng1997YDecFFR00201">#REF!,#REF!,#REF!,#REF!</definedName>
    <definedName name="rng1997YDecFFR00217">#REF!,#REF!,#REF!,#REF!</definedName>
    <definedName name="rng1997YDecFFR00231">#REF!,#REF!,#REF!,#REF!,#REF!,#REF!,#REF!,#REF!,#REF!,#REF!</definedName>
    <definedName name="rng1997YDecLIR00009">#REF!,#REF!,#REF!,#REF!,#REF!</definedName>
    <definedName name="rng1997YDecLIR00020">#REF!,#REF!,#REF!,#REF!,#REF!,#REF!</definedName>
    <definedName name="rng1997YDecLIR00026">#REF!,#REF!,#REF!,#REF!,#REF!</definedName>
    <definedName name="rng1997YDecLIR00035">#REF!,#REF!,#REF!,#REF!,#REF!,#REF!,#REF!,#REF!</definedName>
    <definedName name="rng1997YDecLIR00045">#REF!,#REF!,#REF!,#REF!</definedName>
    <definedName name="rng1997YDecLIR00054">#REF!,#REF!,#REF!,#REF!</definedName>
    <definedName name="rng1997YDecLIR00060">#REF!,#REF!,#REF!,#REF!,#REF!,#REF!</definedName>
    <definedName name="rng1997YDecLIR00067">#REF!,#REF!,#REF!,#REF!,#REF!</definedName>
    <definedName name="rng1997YDecLIR00080">#REF!,#REF!</definedName>
    <definedName name="rng1997YDecLIR00087">#REF!,#REF!,#REF!,#REF!,#REF!,#REF!,#REF!,#REF!</definedName>
    <definedName name="rng1997YDecLIR00097">#REF!,#REF!,#REF!,#REF!,#REF!</definedName>
    <definedName name="rng1997YDecLIR00106">#REF!,#REF!,#REF!,#REF!,#REF!,#REF!,#REF!</definedName>
    <definedName name="rng1997YDecLIR00113">#REF!,#REF!,#REF!,#REF!,#REF!</definedName>
    <definedName name="rng1997YDecLIR00120">#REF!,#REF!,#REF!,#REF!</definedName>
    <definedName name="rng1997YDecLIR00127">#REF!,#REF!,#REF!,#REF!,#REF!</definedName>
    <definedName name="rng1997YDecLIR00134">#REF!,#REF!,#REF!,#REF!,#REF!</definedName>
    <definedName name="rng1997YDecLIR00141">#REF!,#REF!,#REF!,#REF!,#REF!</definedName>
    <definedName name="rng1997YDecLIR00164">#REF!,#REF!</definedName>
    <definedName name="rng1997YDecPES00020">#REF!,#REF!,#REF!,#REF!,#REF!,#REF!,#REF!,#REF!,#REF!,#REF!,#REF!,#REF!,#REF!</definedName>
    <definedName name="rng1997YDecPES00050">#REF!,#REF!,#REF!,#REF!,#REF!,#REF!,#REF!,#REF!,#REF!</definedName>
    <definedName name="rng1997YDecPES00068">#REF!,#REF!,#REF!,#REF!,#REF!,#REF!,#REF!,#REF!,#REF!,#REF!,#REF!</definedName>
    <definedName name="rng1997YDecPES00086">#REF!,#REF!,#REF!,#REF!,#REF!,#REF!,#REF!</definedName>
    <definedName name="rng1997YDecPES00098">#REF!,#REF!,#REF!,#REF!,#REF!,#REF!,#REF!</definedName>
    <definedName name="rng1997YDecPES00116">#REF!,#REF!,#REF!,#REF!</definedName>
    <definedName name="rng1997YDecPES00134">#REF!,#REF!,#REF!,#REF!</definedName>
    <definedName name="rng1997YDecPES00152">#REF!,#REF!,#REF!,#REF!</definedName>
    <definedName name="rng1997YDecPES00170">#REF!,#REF!,#REF!,#REF!</definedName>
    <definedName name="rng1997YDecPES00250">#REF!,#REF!,#REF!,#REF!,#REF!</definedName>
    <definedName name="rng1997YDecPES00251">#REF!,#REF!,#REF!,#REF!</definedName>
    <definedName name="rng1997YDecPES00252">#REF!,#REF!,#REF!,#REF!,#REF!,#REF!,#REF!</definedName>
    <definedName name="rng1997YDecPES00253">#REF!,#REF!,#REF!,#REF!,#REF!,#REF!,#REF!</definedName>
    <definedName name="rng1997YDecPES00261">#REF!,#REF!,#REF!,#REF!,#REF!,#REF!</definedName>
    <definedName name="rng1998YDecFFR00010">#REF!,#REF!,#REF!,#REF!</definedName>
    <definedName name="rng1998YDecFFR00023">#REF!,#REF!,#REF!</definedName>
    <definedName name="rng1998YDecFFR00036">#REF!,#REF!,#REF!,#REF!</definedName>
    <definedName name="rng1998YDecFFR00112">#REF!,#REF!,#REF!,#REF!</definedName>
    <definedName name="rng1998YDecFFR00142">#REF!,#REF!,#REF!,#REF!,#REF!</definedName>
    <definedName name="rng1998YDecFFR00155">#REF!,#REF!</definedName>
    <definedName name="rng1998YDecFFR00168">#REF!,#REF!</definedName>
    <definedName name="rng1998YDecFFR00180">#REF!,#REF!</definedName>
    <definedName name="rng1998YDecFFR00232">#REF!,#REF!,#REF!,#REF!,#REF!,#REF!</definedName>
    <definedName name="rng1998YDecLIR00027">#REF!,#REF!,#REF!,#REF!</definedName>
    <definedName name="rng1998YDecLIR00036">#REF!,#REF!,#REF!</definedName>
    <definedName name="rng1998YDecLIR00061">#REF!,#REF!,#REF!,#REF!</definedName>
    <definedName name="rng1998YDecLIR00068">#REF!,#REF!,#REF!</definedName>
    <definedName name="rng1998YDecLIR00088">#REF!,#REF!</definedName>
    <definedName name="rng1998YDecLIR00114">#REF!,#REF!</definedName>
    <definedName name="rng1998YDecLIR00121">#REF!,#REF!</definedName>
    <definedName name="rng1998YDecLIR00128">#REF!,#REF!</definedName>
    <definedName name="rng1998YDecLIR00135">#REF!,#REF!,#REF!</definedName>
    <definedName name="rng1998YDecLIR00142">#REF!,#REF!</definedName>
    <definedName name="rng1998YDecPES00033">#REF!,#REF!,#REF!,#REF!,#REF!,#REF!,#REF!,#REF!,#REF!,#REF!,#REF!,#REF!</definedName>
    <definedName name="rng1998YDecPES00051">#REF!,#REF!,#REF!</definedName>
    <definedName name="rng1998YDecPES00069">#REF!,#REF!,#REF!,#REF!,#REF!,#REF!,#REF!</definedName>
    <definedName name="rng1998YDecPES00087">#REF!,#REF!</definedName>
    <definedName name="rng1998YDecPES00099">#REF!,#REF!,#REF!,#REF!</definedName>
    <definedName name="rng1998YDecPES00117">#REF!,#REF!,#REF!,#REF!,#REF!,#REF!</definedName>
    <definedName name="rng1998YDecPES00135">#REF!,#REF!</definedName>
    <definedName name="rng1998YDecPES00153">#REF!,#REF!</definedName>
    <definedName name="rng1998YDecPES00171">#REF!,#REF!</definedName>
    <definedName name="rng1999YDecFFR00011">#REF!,#REF!,#REF!,#REF!</definedName>
    <definedName name="rng1999YDecFFR00024">#REF!,#REF!,#REF!</definedName>
    <definedName name="rng1999YDecFFR00037">#REF!,#REF!,#REF!,#REF!</definedName>
    <definedName name="rng1999YDecFFR00113">#REF!,#REF!,#REF!,#REF!</definedName>
    <definedName name="rng1999YDecFFR00143">#REF!,#REF!,#REF!,#REF!,#REF!</definedName>
    <definedName name="rng1999YDecFFR00156">#REF!,#REF!</definedName>
    <definedName name="rng1999YDecFFR00169">#REF!,#REF!</definedName>
    <definedName name="rng1999YDecFFR00181">#REF!,#REF!</definedName>
    <definedName name="rng1999YDecFFR00233">#REF!,#REF!,#REF!,#REF!,#REF!,#REF!</definedName>
    <definedName name="rng1999YDecLIR00089">#REF!,#REF!</definedName>
    <definedName name="rng1999YDecPES00034">#REF!,#REF!,#REF!,#REF!,#REF!,#REF!,#REF!,#REF!,#REF!,#REF!,#REF!</definedName>
    <definedName name="rng1999YDecPES00052">#REF!,#REF!,#REF!</definedName>
    <definedName name="rng1999YDecPES00070">#REF!,#REF!,#REF!,#REF!,#REF!,#REF!</definedName>
    <definedName name="rng1999YDecPES00100">#REF!,#REF!,#REF!,#REF!</definedName>
    <definedName name="rng1999YDecPES00118">#REF!,#REF!,#REF!,#REF!,#REF!,#REF!</definedName>
    <definedName name="rng1999YDecPES00136">#REF!,#REF!</definedName>
    <definedName name="rng1999YDecPES00154">#REF!,#REF!</definedName>
    <definedName name="rng1999YDecPES00172">#REF!,#REF!</definedName>
    <definedName name="rng2000YDecFFR00012">#REF!,#REF!,#REF!,#REF!</definedName>
    <definedName name="rng2000YDecFFR00025">#REF!,#REF!,#REF!</definedName>
    <definedName name="rng2000YDecFFR00038">#REF!,#REF!,#REF!,#REF!</definedName>
    <definedName name="rng2000YDecFFR00114">#REF!,#REF!,#REF!,#REF!</definedName>
    <definedName name="rng2000YDecFFR00144">#REF!,#REF!,#REF!,#REF!</definedName>
    <definedName name="rng2000YDecFFR00157">#REF!,#REF!</definedName>
    <definedName name="rng2000YDecFFR00170">#REF!,#REF!</definedName>
    <definedName name="rng2000YDecFFR00182">#REF!,#REF!</definedName>
    <definedName name="rng2000YDecLIR00090">#REF!,#REF!</definedName>
    <definedName name="rng2000YDecPES00035">#REF!,#REF!,#REF!,#REF!,#REF!,#REF!,#REF!,#REF!,#REF!</definedName>
    <definedName name="rng2000YDecPES00053">#REF!,#REF!,#REF!</definedName>
    <definedName name="rng2000YDecPES00071">#REF!,#REF!,#REF!,#REF!,#REF!,#REF!</definedName>
    <definedName name="rng2000YDecPES00101">#REF!,#REF!,#REF!</definedName>
    <definedName name="rng2000YDecPES00119">#REF!,#REF!,#REF!,#REF!,#REF!,#REF!,#REF!</definedName>
    <definedName name="rng2000YDecPES00137">#REF!,#REF!</definedName>
    <definedName name="rng2000YDecPES00155">#REF!,#REF!</definedName>
    <definedName name="rng2000YDecPES00173">#REF!,#REF!</definedName>
    <definedName name="rng2001YDecFFR00013">#REF!,#REF!,#REF!,#REF!</definedName>
    <definedName name="rng2001YDecFFR00026">#REF!,#REF!,#REF!</definedName>
    <definedName name="rng2001YDecFFR00115">#REF!,#REF!,#REF!,#REF!</definedName>
    <definedName name="rng2001YDecFFR00145">#REF!,#REF!,#REF!,#REF!</definedName>
    <definedName name="rng2001YDecFFR00158">#REF!,#REF!,#REF!</definedName>
    <definedName name="rng2001YDecLIR00091">#REF!,#REF!</definedName>
    <definedName name="rng2001YDecPES00036">#REF!,#REF!,#REF!,#REF!,#REF!,#REF!,#REF!,#REF!,#REF!,#REF!</definedName>
    <definedName name="rng2001YDecPES00054">#REF!,#REF!,#REF!</definedName>
    <definedName name="rng2001YDecPES00072">#REF!,#REF!,#REF!,#REF!,#REF!,#REF!</definedName>
    <definedName name="rng2001YDecPES00102">#REF!,#REF!,#REF!</definedName>
    <definedName name="rng2001YDecPES00120">#REF!,#REF!,#REF!,#REF!,#REF!,#REF!,#REF!</definedName>
    <definedName name="rng2001YDecPES00138">#REF!,#REF!</definedName>
    <definedName name="rng2001YDecPES00156">#REF!,#REF!</definedName>
    <definedName name="rng2001YDecPES00174">#REF!,#REF!</definedName>
    <definedName name="rng2002YDecPES00037">#REF!,#REF!,#REF!,#REF!,#REF!,#REF!,#REF!,#REF!,#REF!,#REF!</definedName>
    <definedName name="rng2002YDecPES00055">#REF!,#REF!,#REF!</definedName>
    <definedName name="rng2002YDecPES00073">#REF!,#REF!,#REF!,#REF!,#REF!,#REF!</definedName>
    <definedName name="rng2002YDecPES00103">#REF!,#REF!,#REF!</definedName>
    <definedName name="rng2002YDecPES00121">#REF!,#REF!,#REF!,#REF!,#REF!,#REF!</definedName>
    <definedName name="rng2002YDecPES00139">#REF!,#REF!</definedName>
    <definedName name="rng2002YDecPES00157">#REF!,#REF!</definedName>
    <definedName name="rng2002YDecPES00175">#REF!,#REF!</definedName>
    <definedName name="rng2003YDecPES00038">#REF!,#REF!,#REF!,#REF!,#REF!,#REF!,#REF!,#REF!,#REF!,#REF!</definedName>
    <definedName name="rng2003YDecPES00056">#REF!,#REF!,#REF!</definedName>
    <definedName name="rng2003YDecPES00074">#REF!,#REF!,#REF!,#REF!,#REF!,#REF!</definedName>
    <definedName name="rng2003YDecPES00104">#REF!,#REF!,#REF!</definedName>
    <definedName name="rng2003YDecPES00122">#REF!,#REF!,#REF!,#REF!,#REF!,#REF!,#REF!</definedName>
    <definedName name="rng2003YDecPES00140">#REF!,#REF!</definedName>
    <definedName name="rng2003YDecPES00158">#REF!,#REF!</definedName>
    <definedName name="rng2003YDecPES00176">#REF!,#REF!</definedName>
    <definedName name="rng2004YDecPES00039">#REF!,#REF!,#REF!,#REF!,#REF!,#REF!,#REF!,#REF!,#REF!,#REF!</definedName>
    <definedName name="rng2004YDecPES00057">#REF!,#REF!,#REF!</definedName>
    <definedName name="rng2004YDecPES00075">#REF!,#REF!,#REF!,#REF!,#REF!,#REF!</definedName>
    <definedName name="rng2004YDecPES00105">#REF!,#REF!,#REF!</definedName>
    <definedName name="rng2004YDecPES00123">#REF!,#REF!,#REF!,#REF!,#REF!,#REF!,#REF!</definedName>
    <definedName name="rng2004YDecPES00141">#REF!,#REF!</definedName>
    <definedName name="rng2004YDecPES00159">#REF!,#REF!</definedName>
    <definedName name="rng2004YDecPES00177">#REF!,#REF!</definedName>
    <definedName name="rng2005YDecPES00040">#REF!,#REF!,#REF!,#REF!,#REF!,#REF!,#REF!,#REF!,#REF!,#REF!</definedName>
    <definedName name="rng2005YDecPES00058">#REF!,#REF!,#REF!</definedName>
    <definedName name="rng2005YDecPES00076">#REF!,#REF!,#REF!,#REF!,#REF!,#REF!</definedName>
    <definedName name="rng2005YDecPES00106">#REF!,#REF!,#REF!</definedName>
    <definedName name="rng2005YDecPES00124">#REF!,#REF!,#REF!,#REF!,#REF!,#REF!,#REF!</definedName>
    <definedName name="rng2005YDecPES00142">#REF!,#REF!</definedName>
    <definedName name="rng2005YDecPES00160">#REF!,#REF!</definedName>
    <definedName name="rng2005YDecPES00178">#REF!,#REF!</definedName>
    <definedName name="RNO">#N/A</definedName>
    <definedName name="ROAE">#REF!</definedName>
    <definedName name="ROCE">#REF!</definedName>
    <definedName name="RoE" localSheetId="0">#REF!</definedName>
    <definedName name="RoE">#REF!</definedName>
    <definedName name="RoE_IT" localSheetId="0">#REF!</definedName>
    <definedName name="RoE_IT">#REF!</definedName>
    <definedName name="RoE_MAT" localSheetId="0">#REF!</definedName>
    <definedName name="RoE_MAT">#REF!</definedName>
    <definedName name="ROEFY1718">#REF!</definedName>
    <definedName name="ROEFY1819">#REF!</definedName>
    <definedName name="ROEFY1920">#REF!</definedName>
    <definedName name="ROEFY2021">#REF!</definedName>
    <definedName name="ROEFY2122">#REF!</definedName>
    <definedName name="ROEFY2223">#REF!</definedName>
    <definedName name="ROEFY2324">#REF!</definedName>
    <definedName name="ROEFY2425">#REF!</definedName>
    <definedName name="ROff" localSheetId="0">#REF!</definedName>
    <definedName name="ROff">#REF!</definedName>
    <definedName name="rohig" localSheetId="25" hidden="1">{#N/A,#N/A,TRUE,"Staffnos &amp; cost"}</definedName>
    <definedName name="rohig" localSheetId="5" hidden="1">{#N/A,#N/A,TRUE,"Staffnos &amp; cost"}</definedName>
    <definedName name="rohig" hidden="1">{#N/A,#N/A,TRUE,"Staffnos &amp; cost"}</definedName>
    <definedName name="roic">#REF!</definedName>
    <definedName name="ROIC_DCF">#REF!</definedName>
    <definedName name="roic_print">#REF!</definedName>
    <definedName name="roic_wacc">#REF!</definedName>
    <definedName name="ROICF">#REF!</definedName>
    <definedName name="ROICYEARS">#REF!</definedName>
    <definedName name="ROOMAC_GEN_TA">#REF!</definedName>
    <definedName name="ROOMAC_GEN_TD">#REF!</definedName>
    <definedName name="RORIC__3_yr_rolling">#REF!</definedName>
    <definedName name="ROS" localSheetId="0" hidden="1">{"Groupings",#N/A,TRUE,"GROUP_99 ";"Groupings-Comparitive",#N/A,TRUE,"GROUP_99 "}</definedName>
    <definedName name="ROS" hidden="1">{"Groupings",#N/A,TRUE,"GROUP_99 ";"Groupings-Comparitive",#N/A,TRUE,"GROUP_99 "}</definedName>
    <definedName name="Rowend">#REF!</definedName>
    <definedName name="Rows">#REF!</definedName>
    <definedName name="royalty">#REF!</definedName>
    <definedName name="RPT" hidden="1">#REF!</definedName>
    <definedName name="rr" localSheetId="25" hidden="1">{#N/A,#N/A,FALSE,"Part ABC"}</definedName>
    <definedName name="RR" localSheetId="0">#REF!</definedName>
    <definedName name="rr" localSheetId="5" hidden="1">{#N/A,#N/A,FALSE,"Part ABC"}</definedName>
    <definedName name="rr" hidden="1">{#N/A,#N/A,FALSE,"Part ABC"}</definedName>
    <definedName name="rrdsa" localSheetId="25" hidden="1">{#N/A,#N/A,FALSE,"consu_cover";#N/A,#N/A,FALSE,"consu_strategy";#N/A,#N/A,FALSE,"consu_flow";#N/A,#N/A,FALSE,"Summary_reqmt";#N/A,#N/A,FALSE,"field_ppg";#N/A,#N/A,FALSE,"ppg_shop";#N/A,#N/A,FALSE,"strl";#N/A,#N/A,FALSE,"tankages";#N/A,#N/A,FALSE,"gases"}</definedName>
    <definedName name="rrdsa" localSheetId="0" hidden="1">{#N/A,#N/A,FALSE,"consu_cover";#N/A,#N/A,FALSE,"consu_strategy";#N/A,#N/A,FALSE,"consu_flow";#N/A,#N/A,FALSE,"Summary_reqmt";#N/A,#N/A,FALSE,"field_ppg";#N/A,#N/A,FALSE,"ppg_shop";#N/A,#N/A,FALSE,"strl";#N/A,#N/A,FALSE,"tankages";#N/A,#N/A,FALSE,"gases"}</definedName>
    <definedName name="rrdsa" localSheetId="5" hidden="1">{#N/A,#N/A,FALSE,"consu_cover";#N/A,#N/A,FALSE,"consu_strategy";#N/A,#N/A,FALSE,"consu_flow";#N/A,#N/A,FALSE,"Summary_reqmt";#N/A,#N/A,FALSE,"field_ppg";#N/A,#N/A,FALSE,"ppg_shop";#N/A,#N/A,FALSE,"strl";#N/A,#N/A,FALSE,"tankages";#N/A,#N/A,FALSE,"gases"}</definedName>
    <definedName name="rrdsa" hidden="1">{#N/A,#N/A,FALSE,"consu_cover";#N/A,#N/A,FALSE,"consu_strategy";#N/A,#N/A,FALSE,"consu_flow";#N/A,#N/A,FALSE,"Summary_reqmt";#N/A,#N/A,FALSE,"field_ppg";#N/A,#N/A,FALSE,"ppg_shop";#N/A,#N/A,FALSE,"strl";#N/A,#N/A,FALSE,"tankages";#N/A,#N/A,FALSE,"gases"}</definedName>
    <definedName name="RRR" localSheetId="0">#REF!</definedName>
    <definedName name="RRR" hidden="1">{"VIEW1",#N/A,FALSE,"P&amp;L Account 2001-2002";"VIEW2",#N/A,FALSE,"P&amp;L Account 2001-2002";"VIEW3",#N/A,FALSE,"P&amp;L Account 2001-2002";"VIEW4",#N/A,FALSE,"P&amp;L Account 2001-2002"}</definedName>
    <definedName name="RRROIC">#REF!</definedName>
    <definedName name="rrt" localSheetId="0">#REF!</definedName>
    <definedName name="rrt">#REF!</definedName>
    <definedName name="rrtl" localSheetId="0">#REF!</definedName>
    <definedName name="rrtl">#REF!</definedName>
    <definedName name="rrtl1" localSheetId="0">#REF!</definedName>
    <definedName name="rrtl1">#REF!</definedName>
    <definedName name="rs">#REF!</definedName>
    <definedName name="Rs_Lacs">#REF!</definedName>
    <definedName name="rsdec" localSheetId="25" hidden="1">{#N/A,#N/A,TRUE,"Front";#N/A,#N/A,TRUE,"Simple Letter";#N/A,#N/A,TRUE,"Inside";#N/A,#N/A,TRUE,"Contents";#N/A,#N/A,TRUE,"Basis";#N/A,#N/A,TRUE,"Inclusions";#N/A,#N/A,TRUE,"Exclusions";#N/A,#N/A,TRUE,"Areas";#N/A,#N/A,TRUE,"Summary";#N/A,#N/A,TRUE,"Detail"}</definedName>
    <definedName name="rsdec" localSheetId="0" hidden="1">{#N/A,#N/A,TRUE,"Front";#N/A,#N/A,TRUE,"Simple Letter";#N/A,#N/A,TRUE,"Inside";#N/A,#N/A,TRUE,"Contents";#N/A,#N/A,TRUE,"Basis";#N/A,#N/A,TRUE,"Inclusions";#N/A,#N/A,TRUE,"Exclusions";#N/A,#N/A,TRUE,"Areas";#N/A,#N/A,TRUE,"Summary";#N/A,#N/A,TRUE,"Detail"}</definedName>
    <definedName name="rsdec" localSheetId="5" hidden="1">{#N/A,#N/A,TRUE,"Front";#N/A,#N/A,TRUE,"Simple Letter";#N/A,#N/A,TRUE,"Inside";#N/A,#N/A,TRUE,"Contents";#N/A,#N/A,TRUE,"Basis";#N/A,#N/A,TRUE,"Inclusions";#N/A,#N/A,TRUE,"Exclusions";#N/A,#N/A,TRUE,"Areas";#N/A,#N/A,TRUE,"Summary";#N/A,#N/A,TRUE,"Detail"}</definedName>
    <definedName name="rsdec" hidden="1">{#N/A,#N/A,TRUE,"Front";#N/A,#N/A,TRUE,"Simple Letter";#N/A,#N/A,TRUE,"Inside";#N/A,#N/A,TRUE,"Contents";#N/A,#N/A,TRUE,"Basis";#N/A,#N/A,TRUE,"Inclusions";#N/A,#N/A,TRUE,"Exclusions";#N/A,#N/A,TRUE,"Areas";#N/A,#N/A,TRUE,"Summary";#N/A,#N/A,TRUE,"Detail"}</definedName>
    <definedName name="RSIN" localSheetId="0">#REF!</definedName>
    <definedName name="RSIN">#REF!</definedName>
    <definedName name="Rsthousands">#REF!</definedName>
    <definedName name="RT">#N/A</definedName>
    <definedName name="RT_Bilateral_UI_PowPurchase">#REF!</definedName>
    <definedName name="RT_BPP_FY16">#REF!</definedName>
    <definedName name="RT_BPP_FY17">#REF!</definedName>
    <definedName name="RT_Depreciation">#REF!</definedName>
    <definedName name="RT_DprNonDprScheme">#REF!</definedName>
    <definedName name="RT_EnerBal">#REF!</definedName>
    <definedName name="RT_Equity16">#REF!</definedName>
    <definedName name="RT_InterestLoan">#REF!</definedName>
    <definedName name="RT_IWC">#REF!</definedName>
    <definedName name="RT_MiniMicroHydro_TP">#REF!</definedName>
    <definedName name="RT_OlaSale">#REF!</definedName>
    <definedName name="RT_PowPurchase">#REF!</definedName>
    <definedName name="RT_REdetails">#REF!</definedName>
    <definedName name="RT_REpurchase">#REF!</definedName>
    <definedName name="RT_RpoMet">#REF!</definedName>
    <definedName name="RT_StandbyTxMseldcCharges">#REF!</definedName>
    <definedName name="RT_SupplyBiz">#REF!</definedName>
    <definedName name="RT_TotalPowPurchase">#REF!</definedName>
    <definedName name="RT_WiresBiz">#REF!</definedName>
    <definedName name="RT17_EnerBal">#REF!</definedName>
    <definedName name="RTE" localSheetId="0" hidden="1">{"VIEW1",#N/A,FALSE,"P&amp;L Account 2001-2002";"VIEW2",#N/A,FALSE,"P&amp;L Account 2001-2002";"VIEW3",#N/A,FALSE,"P&amp;L Account 2001-2002";"VIEW4",#N/A,FALSE,"P&amp;L Account 2001-2002"}</definedName>
    <definedName name="RTE" hidden="1">{"VIEW1",#N/A,FALSE,"P&amp;L Account 2001-2002";"VIEW2",#N/A,FALSE,"P&amp;L Account 2001-2002";"VIEW3",#N/A,FALSE,"P&amp;L Account 2001-2002";"VIEW4",#N/A,FALSE,"P&amp;L Account 2001-2002"}</definedName>
    <definedName name="rtewtyer" localSheetId="0" hidden="1">{#N/A,#N/A,FALSE,"Banksum";#N/A,#N/A,FALSE,"Banksum"}</definedName>
    <definedName name="rtewtyer" hidden="1">{#N/A,#N/A,FALSE,"Banksum";#N/A,#N/A,FALSE,"Banksum"}</definedName>
    <definedName name="rtg5rg" localSheetId="0">#REF!</definedName>
    <definedName name="rtg5rg">#REF!</definedName>
    <definedName name="rthth"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IN">#N/A</definedName>
    <definedName name="rtl" localSheetId="0">#REF!</definedName>
    <definedName name="rtl">#REF!</definedName>
    <definedName name="rtl2.xls" localSheetId="0">#REF!</definedName>
    <definedName name="rtl2.xls">#REF!</definedName>
    <definedName name="rtlMar03" localSheetId="0">#REF!</definedName>
    <definedName name="rtlMar03">#REF!</definedName>
    <definedName name="rtlpmt" localSheetId="0">#REF!</definedName>
    <definedName name="rtlpmt">#REF!</definedName>
    <definedName name="RTPNT" localSheetId="0">#REF!</definedName>
    <definedName name="RTPNT" localSheetId="46">#REF!</definedName>
    <definedName name="RTPNT" localSheetId="45">#REF!</definedName>
    <definedName name="RTPNT" localSheetId="49">#REF!</definedName>
    <definedName name="RTPNT" localSheetId="50">#REF!</definedName>
    <definedName name="RTPNT" localSheetId="51">#REF!</definedName>
    <definedName name="RTPNT" localSheetId="52">#REF!</definedName>
    <definedName name="RTPNT" localSheetId="56">#REF!</definedName>
    <definedName name="RTPNT" localSheetId="57">#REF!</definedName>
    <definedName name="RTPNT" localSheetId="58">#REF!</definedName>
    <definedName name="RTPNT" localSheetId="59">#REF!</definedName>
    <definedName name="RTPNT">#REF!</definedName>
    <definedName name="RTREE">#REF!</definedName>
    <definedName name="rtrtr" localSheetId="0">#REF!</definedName>
    <definedName name="rtrtr">#REF!</definedName>
    <definedName name="RTTRTRT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TY_선택">#REF!</definedName>
    <definedName name="RTYU" localSheetId="25" hidden="1">{#N/A,#N/A,FALSE,"PGW"}</definedName>
    <definedName name="RTYU" localSheetId="5" hidden="1">{#N/A,#N/A,FALSE,"PGW"}</definedName>
    <definedName name="RTYU" hidden="1">{#N/A,#N/A,FALSE,"PGW"}</definedName>
    <definedName name="RUPEE">#REF!</definedName>
    <definedName name="Rupees">#REF!</definedName>
    <definedName name="RVI" hidden="1">#REF!</definedName>
    <definedName name="rw" localSheetId="25" hidden="1">{#N/A,#N/A,FALSE,"COVER1.XLS ";#N/A,#N/A,FALSE,"RACT1.XLS";#N/A,#N/A,FALSE,"RACT2.XLS";#N/A,#N/A,FALSE,"ECCMP";#N/A,#N/A,FALSE,"WELDER.XLS"}</definedName>
    <definedName name="rw" localSheetId="0" hidden="1">{#N/A,#N/A,FALSE,"COVER1.XLS ";#N/A,#N/A,FALSE,"RACT1.XLS";#N/A,#N/A,FALSE,"RACT2.XLS";#N/A,#N/A,FALSE,"ECCMP";#N/A,#N/A,FALSE,"WELDER.XLS"}</definedName>
    <definedName name="rw" localSheetId="5" hidden="1">{#N/A,#N/A,FALSE,"COVER1.XLS ";#N/A,#N/A,FALSE,"RACT1.XLS";#N/A,#N/A,FALSE,"RACT2.XLS";#N/A,#N/A,FALSE,"ECCMP";#N/A,#N/A,FALSE,"WELDER.XLS"}</definedName>
    <definedName name="rw" hidden="1">{#N/A,#N/A,FALSE,"COVER1.XLS ";#N/A,#N/A,FALSE,"RACT1.XLS";#N/A,#N/A,FALSE,"RACT2.XLS";#N/A,#N/A,FALSE,"ECCMP";#N/A,#N/A,FALSE,"WELDER.XLS"}</definedName>
    <definedName name="rwere" localSheetId="25" hidden="1">{#N/A,#N/A,FALSE,"COVER1.XLS ";#N/A,#N/A,FALSE,"RACT1.XLS";#N/A,#N/A,FALSE,"RACT2.XLS";#N/A,#N/A,FALSE,"ECCMP";#N/A,#N/A,FALSE,"WELDER.XLS"}</definedName>
    <definedName name="rwere" localSheetId="0" hidden="1">{#N/A,#N/A,FALSE,"COVER1.XLS ";#N/A,#N/A,FALSE,"RACT1.XLS";#N/A,#N/A,FALSE,"RACT2.XLS";#N/A,#N/A,FALSE,"ECCMP";#N/A,#N/A,FALSE,"WELDER.XLS"}</definedName>
    <definedName name="rwere" localSheetId="5" hidden="1">{#N/A,#N/A,FALSE,"COVER1.XLS ";#N/A,#N/A,FALSE,"RACT1.XLS";#N/A,#N/A,FALSE,"RACT2.XLS";#N/A,#N/A,FALSE,"ECCMP";#N/A,#N/A,FALSE,"WELDER.XLS"}</definedName>
    <definedName name="rwere" hidden="1">{#N/A,#N/A,FALSE,"COVER1.XLS ";#N/A,#N/A,FALSE,"RACT1.XLS";#N/A,#N/A,FALSE,"RACT2.XLS";#N/A,#N/A,FALSE,"ECCMP";#N/A,#N/A,FALSE,"WELDER.XLS"}</definedName>
    <definedName name="rwh" localSheetId="25" hidden="1">{#N/A,#N/A,FALSE,"PGW"}</definedName>
    <definedName name="rwh" localSheetId="5" hidden="1">{#N/A,#N/A,FALSE,"PGW"}</definedName>
    <definedName name="rwh" hidden="1">{#N/A,#N/A,FALSE,"PGW"}</definedName>
    <definedName name="rwhwr" localSheetId="25" hidden="1">{#N/A,#N/A,FALSE,"PGW"}</definedName>
    <definedName name="rwhwr" localSheetId="5" hidden="1">{#N/A,#N/A,FALSE,"PGW"}</definedName>
    <definedName name="rwhwr" hidden="1">{#N/A,#N/A,FALSE,"PGW"}</definedName>
    <definedName name="Rwvu.A." hidden="1">#REF!,#REF!,#REF!,#REF!,#REF!,#REF!,#REF!</definedName>
    <definedName name="Rwvu.aplcagr." hidden="1">#REF!,#REF!</definedName>
    <definedName name="Rwvu.KNTAPL." hidden="1">#REF!,#REF!</definedName>
    <definedName name="Rwvu.otr." hidden="1">#REF!</definedName>
    <definedName name="Rwvu.otr.." hidden="1">#REF!</definedName>
    <definedName name="RYERTREW" localSheetId="0" hidden="1">{"VIEW1",#N/A,FALSE,"P&amp;L Account 2001-2002";"VIEW2",#N/A,FALSE,"P&amp;L Account 2001-2002";"VIEW3",#N/A,FALSE,"P&amp;L Account 2001-2002";"VIEW4",#N/A,FALSE,"P&amp;L Account 2001-2002"}</definedName>
    <definedName name="RYERTREW" hidden="1">{"VIEW1",#N/A,FALSE,"P&amp;L Account 2001-2002";"VIEW2",#N/A,FALSE,"P&amp;L Account 2001-2002";"VIEW3",#N/A,FALSE,"P&amp;L Account 2001-2002";"VIEW4",#N/A,FALSE,"P&amp;L Account 2001-2002"}</definedName>
    <definedName name="rytyh" localSheetId="0">#REF!</definedName>
    <definedName name="rytyh">#REF!</definedName>
    <definedName name="S" localSheetId="0">#REF!</definedName>
    <definedName name="S" localSheetId="11">#REF!</definedName>
    <definedName name="S" localSheetId="13">#REF!</definedName>
    <definedName name="S" localSheetId="16">#REF!</definedName>
    <definedName name="S" localSheetId="26">#REF!</definedName>
    <definedName name="S" localSheetId="32">#REF!</definedName>
    <definedName name="S" localSheetId="33">#REF!</definedName>
    <definedName name="S" localSheetId="34">#REF!</definedName>
    <definedName name="S" localSheetId="35">#REF!</definedName>
    <definedName name="S">#REF!</definedName>
    <definedName name="S.1.4.3" localSheetId="25" hidden="1">{"Edition",#N/A,FALSE,"Data"}</definedName>
    <definedName name="S.1.4.3" localSheetId="0" hidden="1">{"Edition",#N/A,FALSE,"Data"}</definedName>
    <definedName name="S.1.4.3" localSheetId="5" hidden="1">{"Edition",#N/A,FALSE,"Data"}</definedName>
    <definedName name="S.1.4.3" hidden="1">{"Edition",#N/A,FALSE,"Data"}</definedName>
    <definedName name="S_">#REF!</definedName>
    <definedName name="S_0">#REF!</definedName>
    <definedName name="S_0.5">#REF!</definedName>
    <definedName name="S_1">#REF!</definedName>
    <definedName name="S_10">#REF!</definedName>
    <definedName name="S_11">#REF!</definedName>
    <definedName name="S_12">#REF!</definedName>
    <definedName name="S_13">#REF!</definedName>
    <definedName name="S_14">#REF!</definedName>
    <definedName name="S_15">#REF!</definedName>
    <definedName name="S_16">#REF!</definedName>
    <definedName name="S_17">#REF!</definedName>
    <definedName name="S_18">#REF!</definedName>
    <definedName name="S_19">#REF!</definedName>
    <definedName name="S_2">#REF!</definedName>
    <definedName name="S_20">#REF!</definedName>
    <definedName name="S_21">#REF!</definedName>
    <definedName name="S_22">#REF!</definedName>
    <definedName name="S_23">#REF!</definedName>
    <definedName name="S_24">#REF!</definedName>
    <definedName name="S_25">#REF!</definedName>
    <definedName name="S_26">#REF!</definedName>
    <definedName name="S_27">#REF!</definedName>
    <definedName name="S_28">#REF!</definedName>
    <definedName name="S_29">#REF!</definedName>
    <definedName name="S_3">#REF!</definedName>
    <definedName name="S_30">#REF!</definedName>
    <definedName name="S_4">#REF!</definedName>
    <definedName name="S_5">#REF!</definedName>
    <definedName name="S_6">#REF!</definedName>
    <definedName name="S_7">#REF!</definedName>
    <definedName name="S_8">#REF!</definedName>
    <definedName name="S_9">#REF!</definedName>
    <definedName name="S_AcctNum">#REF!</definedName>
    <definedName name="S_Adjust" localSheetId="0">#REF!</definedName>
    <definedName name="S_Adjust">#REF!</definedName>
    <definedName name="S_Adjust_Data" localSheetId="0">#REF!</definedName>
    <definedName name="S_Adjust_Data">#REF!</definedName>
    <definedName name="S_Adjust_GT" localSheetId="0">#REF!</definedName>
    <definedName name="S_Adjust_GT">#REF!</definedName>
    <definedName name="S_AJE_Tot" localSheetId="0">#REF!</definedName>
    <definedName name="S_AJE_Tot">#REF!</definedName>
    <definedName name="S_AJE_Tot_Data" localSheetId="0">#REF!</definedName>
    <definedName name="S_AJE_Tot_Data">#REF!</definedName>
    <definedName name="S_AJE_Tot_GT" localSheetId="0">#REF!</definedName>
    <definedName name="S_AJE_Tot_GT">#REF!</definedName>
    <definedName name="S_CompNum" localSheetId="0">#REF!</definedName>
    <definedName name="S_CompNum">#REF!</definedName>
    <definedName name="S_CY_Beg" localSheetId="0">#REF!</definedName>
    <definedName name="S_CY_Beg">#REF!</definedName>
    <definedName name="S_CY_Beg_Data" localSheetId="0">#REF!</definedName>
    <definedName name="S_CY_Beg_Data">#REF!</definedName>
    <definedName name="S_CY_Beg_GT" localSheetId="0">#REF!</definedName>
    <definedName name="S_CY_Beg_GT">#REF!</definedName>
    <definedName name="S_CY_End_Data" localSheetId="0">#REF!</definedName>
    <definedName name="S_CY_End_Data">#REF!</definedName>
    <definedName name="S_Diff_Amt">#REF!</definedName>
    <definedName name="S_Diff_Pct">#REF!</definedName>
    <definedName name="S_GrpNum" localSheetId="0">#REF!</definedName>
    <definedName name="S_GrpNum">#REF!</definedName>
    <definedName name="S_KeyValue" localSheetId="0">#REF!</definedName>
    <definedName name="S_KeyValue">#REF!</definedName>
    <definedName name="S_LSRange1">#REF!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M_D_S">#N/A</definedName>
    <definedName name="S_No">#REF!</definedName>
    <definedName name="S_PY_End_GT">#REF!</definedName>
    <definedName name="S_RJE_Tot" localSheetId="0">#REF!</definedName>
    <definedName name="S_RJE_Tot">#REF!</definedName>
    <definedName name="S_RJE_Tot_Data" localSheetId="0">#REF!</definedName>
    <definedName name="S_RJE_Tot_Data">#REF!</definedName>
    <definedName name="S_RJE_Tot_GT" localSheetId="0">#REF!</definedName>
    <definedName name="S_RJE_Tot_GT">#REF!</definedName>
    <definedName name="S_T">#REF!</definedName>
    <definedName name="S_T_obligations_under_cap_leases">#REF!</definedName>
    <definedName name="S_Total">#REF!</definedName>
    <definedName name="S_Total1">#REF!</definedName>
    <definedName name="S_Total2">#REF!</definedName>
    <definedName name="S_Total3">#REF!</definedName>
    <definedName name="S_Tp">#REF!</definedName>
    <definedName name="saasawqw" localSheetId="0">#REF!</definedName>
    <definedName name="saasawqw">#REF!</definedName>
    <definedName name="sadfsf" localSheetId="0">#REF!</definedName>
    <definedName name="sadfsf">#REF!</definedName>
    <definedName name="sadqe" localSheetId="0">#REF!</definedName>
    <definedName name="sadqe">#REF!</definedName>
    <definedName name="sadsad" localSheetId="0">#REF!</definedName>
    <definedName name="sadsad">#REF!</definedName>
    <definedName name="SAFCASFC" localSheetId="0">#REF!</definedName>
    <definedName name="SAFCASFC">#REF!</definedName>
    <definedName name="sagdhag" localSheetId="25" hidden="1">{#N/A,#N/A,FALSE,"COVER1.XLS ";#N/A,#N/A,FALSE,"RACT1.XLS";#N/A,#N/A,FALSE,"RACT2.XLS";#N/A,#N/A,FALSE,"ECCMP";#N/A,#N/A,FALSE,"WELDER.XLS"}</definedName>
    <definedName name="sagdhag" localSheetId="0" hidden="1">{#N/A,#N/A,FALSE,"COVER1.XLS ";#N/A,#N/A,FALSE,"RACT1.XLS";#N/A,#N/A,FALSE,"RACT2.XLS";#N/A,#N/A,FALSE,"ECCMP";#N/A,#N/A,FALSE,"WELDER.XLS"}</definedName>
    <definedName name="sagdhag" localSheetId="5" hidden="1">{#N/A,#N/A,FALSE,"COVER1.XLS ";#N/A,#N/A,FALSE,"RACT1.XLS";#N/A,#N/A,FALSE,"RACT2.XLS";#N/A,#N/A,FALSE,"ECCMP";#N/A,#N/A,FALSE,"WELDER.XLS"}</definedName>
    <definedName name="sagdhag" hidden="1">{#N/A,#N/A,FALSE,"COVER1.XLS ";#N/A,#N/A,FALSE,"RACT1.XLS";#N/A,#N/A,FALSE,"RACT2.XLS";#N/A,#N/A,FALSE,"ECCMP";#N/A,#N/A,FALSE,"WELDER.XLS"}</definedName>
    <definedName name="sahshs" localSheetId="0">#REF!</definedName>
    <definedName name="sahshs">#REF!</definedName>
    <definedName name="saini_1">#REF!</definedName>
    <definedName name="sajjjj">#REF!</definedName>
    <definedName name="SAL">#REF!</definedName>
    <definedName name="sale_fy05" localSheetId="0">#REF!</definedName>
    <definedName name="sale_fy05">#REF!</definedName>
    <definedName name="SALEBOH">#N/A</definedName>
    <definedName name="SALEEOH">#N/A</definedName>
    <definedName name="SALES" localSheetId="0">#REF!</definedName>
    <definedName name="SALES">#REF!</definedName>
    <definedName name="Sales_growth">#REF!</definedName>
    <definedName name="Sales_MiscIncome">#REF!</definedName>
    <definedName name="Sales_otherincome">#REF!</definedName>
    <definedName name="Sales_price_unit" localSheetId="0">#REF!</definedName>
    <definedName name="Sales_price_unit">#REF!</definedName>
    <definedName name="Sales_volume_units" localSheetId="0">#REF!</definedName>
    <definedName name="Sales_volume_units">#REF!</definedName>
    <definedName name="SALES_Y2001D">#REF!</definedName>
    <definedName name="SALES_Y2002D">#REF!</definedName>
    <definedName name="SALES_Y2003D">#REF!</definedName>
    <definedName name="SALES_Y2004D">#REF!</definedName>
    <definedName name="SALES_Y2005D">#REF!</definedName>
    <definedName name="sales00">#REF!</definedName>
    <definedName name="sales01">#REF!</definedName>
    <definedName name="sales1">#REF!</definedName>
    <definedName name="sales4">#REF!</definedName>
    <definedName name="sales93">#REF!</definedName>
    <definedName name="sales94">#REF!</definedName>
    <definedName name="sales95">#REF!</definedName>
    <definedName name="sales96">#REF!</definedName>
    <definedName name="sales97">#REF!</definedName>
    <definedName name="sales98">#REF!</definedName>
    <definedName name="sales99">#REF!</definedName>
    <definedName name="salescollection">#REF!</definedName>
    <definedName name="SALESPLAN">#REF!</definedName>
    <definedName name="SALESPROJ">#REF!</definedName>
    <definedName name="SaleUnit" hidden="1">#REF!,#REF!,#REF!,#REF!,#REF!,#REF!,#REF!,#REF!</definedName>
    <definedName name="SaleValue" hidden="1">#REF!,#REF!,#REF!,#REF!,#REF!,#REF!,#REF!,#REF!</definedName>
    <definedName name="saltech">#REF!</definedName>
    <definedName name="sam">#REF!</definedName>
    <definedName name="SAMBOH">#N/A</definedName>
    <definedName name="SAMEOH">#N/A</definedName>
    <definedName name="SAN">#N/A</definedName>
    <definedName name="SAN___0">#N/A</definedName>
    <definedName name="SAN___8">#N/A</definedName>
    <definedName name="SANAND" localSheetId="25" hidden="1">{"'Sheet1'!$A$4386:$N$4591"}</definedName>
    <definedName name="SANAND" localSheetId="0" hidden="1">{"'Sheet1'!$A$4386:$N$4591"}</definedName>
    <definedName name="SANAND" localSheetId="5" hidden="1">{"'Sheet1'!$A$4386:$N$4591"}</definedName>
    <definedName name="SANAND" hidden="1">{"'Sheet1'!$A$4386:$N$4591"}</definedName>
    <definedName name="SAP.003.SPA224_VALVES.KFP_AABBCC_CODE_VALVES">#REF!</definedName>
    <definedName name="SAP.003.SPA224_VALVES.KFP_CASING_MATERIAL">#REF!</definedName>
    <definedName name="SAP.003.SPA224_VALVES.KFP_DESCRIPTION">#REF!</definedName>
    <definedName name="SAP.003.SPA224_VALVES.KFP_DESCRIPTION_NATIVE">#REF!</definedName>
    <definedName name="SAP.003.SPA224_VALVES.KFP_DIMENSION_CONNECT_INLET">#REF!</definedName>
    <definedName name="SAP.003.SPA224_VALVES.KFP_DIMENSION_CONNECT_OUTLET">#REF!</definedName>
    <definedName name="SAP.003.SPA224_VALVES.KFP_DRAWING_NUMBER">#REF!</definedName>
    <definedName name="SAP.003.SPA224_VALVES.KFP_ENGINEERING_SZENARIO">#REF!</definedName>
    <definedName name="SAP.003.SPA224_VALVES.KFP_KKS">#REF!</definedName>
    <definedName name="SAP.003.SPA224_VALVES.KFP_KWU_VALVE_TYPE_CODE_1">#REF!</definedName>
    <definedName name="SAP.003.SPA224_VALVES.KFP_KWU_VALVE_TYPE_CODE_2">#REF!</definedName>
    <definedName name="SAP.003.SPA224_VALVES.KFP_MANUFACTURER">#REF!</definedName>
    <definedName name="SAP.003.SPA224_VALVES.KFP_MANUFACTURER_TYPE">#REF!</definedName>
    <definedName name="SAP.003.SPA224_VALVES.KFP_MAX_ALLOWED_WORK_PRESSURE">#REF!</definedName>
    <definedName name="SAP.003.SPA224_VALVES.KFP_MAX_ALLOWED_WORK_TEMP">#REF!</definedName>
    <definedName name="SAP.003.SPA224_VALVES.KFP_MEDIUM">#REF!</definedName>
    <definedName name="SAP.003.SPA224_VALVES.KFP_MIN_ALLOWED_WORK_PRESSURE">#REF!</definedName>
    <definedName name="SAP.003.SPA224_VALVES.KFP_NOMINAL_DIAMETER">#REF!</definedName>
    <definedName name="SAP.003.SPA224_VALVES.KFP_NOMINAL_PRESSURE">#REF!</definedName>
    <definedName name="SAP.003.SPA224_VALVES.KFP_ORIGIN_KEY">#REF!</definedName>
    <definedName name="SAP.003.SPA224_VALVES.KFP_PIPE_MATERIAL">#REF!</definedName>
    <definedName name="SAP.003.SPA224_VALVES.KFP_REMARK_VALVES">#REF!</definedName>
    <definedName name="SAP.003.SPA224_VALVES.KFP_ROOM_NUMBER_VALVES">#REF!</definedName>
    <definedName name="SAP.003.SPA224_VALVES.KFP_RPP_SOURCE">#REF!</definedName>
    <definedName name="SAP.003.SPA224_VALVES.KFP_STATUS_INPUT_VALVES">#REF!</definedName>
    <definedName name="SAP.003.SPA224_VALVES.KFP_TYPE_OF_ACTUATION">#REF!</definedName>
    <definedName name="SAP.003.SPA224_VALVES.KFP_TYPE_OF_CONNECT_INLET">#REF!</definedName>
    <definedName name="SAP.003.SPA224_VALVES.KFP_TYPE_OF_CONNECT_OUTLET">#REF!</definedName>
    <definedName name="SAP.003.SPA224_VALVES.KFP_VALVE_LENGTH">#REF!</definedName>
    <definedName name="SAP.003.SPA224_VALVES.KFP_WEIGHT">#REF!</definedName>
    <definedName name="sapan" hidden="1">{"'Sheet1'!$A$5:$E$42"}</definedName>
    <definedName name="sapan2" hidden="1">{"'Sheet1'!$A$5:$E$42"}</definedName>
    <definedName name="SAPBEXdnldView" localSheetId="0" hidden="1">"4BU7SHNQP3SD5RGC8OH822H7D"</definedName>
    <definedName name="SAPBEXdnldView" hidden="1">"0X0OE7WK13YFKD38BSVV8QK93"</definedName>
    <definedName name="SAPBEXhrIndnt" localSheetId="0" hidden="1">1</definedName>
    <definedName name="SAPBEXhrIndnt" hidden="1">"Wide"</definedName>
    <definedName name="SAPBEXq0001_1">#REF!</definedName>
    <definedName name="SAPBEXq0001f0CACONT_ACC_1">#REF!</definedName>
    <definedName name="SAPBEXq0001f0UC_INVDOC_1">#REF!</definedName>
    <definedName name="SAPBEXq0001f0UCPORTION_1">#REF!</definedName>
    <definedName name="SAPBEXq0001f0UCRATE_CAT_1">#REF!</definedName>
    <definedName name="SAPBEXq0001f48UX5TE6CLRZ6ZZG67A6VIYPP_1">#REF!</definedName>
    <definedName name="SAPBEXq0001fZCYCLE_1">#REF!</definedName>
    <definedName name="SAPBEXq0001fZREGIOAR_1">#REF!</definedName>
    <definedName name="SAPBEXq0001fZREGIOGRP_1">#REF!</definedName>
    <definedName name="SAPBEXq0001fZUCSLAB_1">#REF!</definedName>
    <definedName name="SAPBEXq0001tFILTER_0CACONT_ACC_1">#REF!</definedName>
    <definedName name="SAPBEXq0001tFILTER_0PSTNG_DATE_1">#REF!</definedName>
    <definedName name="SAPBEXq0001tREPTXTLG_1">#REF!</definedName>
    <definedName name="SAPBEXrevision" hidden="1">1</definedName>
    <definedName name="SAPBEXrevision01" hidden="1">52</definedName>
    <definedName name="SAPBEXsysID" localSheetId="0" hidden="1">"P95"</definedName>
    <definedName name="SAPBEXsysID" hidden="1">"BWP"</definedName>
    <definedName name="SAPBEXwbID" localSheetId="0" hidden="1">"46OG1DD8LIBRG5PB4T3MTHHB6"</definedName>
    <definedName name="SAPBEXwbID" hidden="1">"D3UN4EXUZQPKS8GBQH847ZWBG"</definedName>
    <definedName name="SAPsysID" hidden="1">"708C5W7SBKP804JT78WJ0JNKI"</definedName>
    <definedName name="SAPwbID" hidden="1">"ARS"</definedName>
    <definedName name="sarad">#REF!</definedName>
    <definedName name="saryder" localSheetId="25" hidden="1">{#N/A,#N/A,FALSE,"PGW"}</definedName>
    <definedName name="saryder" localSheetId="5" hidden="1">{#N/A,#N/A,FALSE,"PGW"}</definedName>
    <definedName name="saryder" hidden="1">{#N/A,#N/A,FALSE,"PGW"}</definedName>
    <definedName name="SAS" hidden="1">#REF!</definedName>
    <definedName name="sasd" hidden="1">{#N/A,#N/A,FALSE,"COVER1.XLS ";#N/A,#N/A,FALSE,"RACT1.XLS";#N/A,#N/A,FALSE,"RACT2.XLS";#N/A,#N/A,FALSE,"ECCMP";#N/A,#N/A,FALSE,"WELDER.XLS"}</definedName>
    <definedName name="sasws">#REF!,#REF!</definedName>
    <definedName name="saurabh" localSheetId="25" hidden="1">{"'Mach'!$A$1:$D$39"}</definedName>
    <definedName name="saurabh" localSheetId="5" hidden="1">{"'Mach'!$A$1:$D$39"}</definedName>
    <definedName name="saurabh" hidden="1">{"'Mach'!$A$1:$D$39"}</definedName>
    <definedName name="sbi">#REF!</definedName>
    <definedName name="sbi.bs.rt">#REF!</definedName>
    <definedName name="SBI_PLR">#REF!</definedName>
    <definedName name="SBT" hidden="1">{"'Sheet1'!$A$5:$E$42"}</definedName>
    <definedName name="sc">#REF!</definedName>
    <definedName name="sc_cabdata">#REF!</definedName>
    <definedName name="scale" localSheetId="0">#REF!</definedName>
    <definedName name="scale">#REF!</definedName>
    <definedName name="scaling">#REF!</definedName>
    <definedName name="Scaling1">#REF!</definedName>
    <definedName name="SCENTER">#REF!</definedName>
    <definedName name="scf" localSheetId="25" hidden="1">{"Ratio",#N/A,FALSE,"Ratios";"Funds Flow",#N/A,FALSE,"Ratios"}</definedName>
    <definedName name="scf" localSheetId="5" hidden="1">{"Ratio",#N/A,FALSE,"Ratios";"Funds Flow",#N/A,FALSE,"Ratios"}</definedName>
    <definedName name="scf" hidden="1">{"Ratio",#N/A,FALSE,"Ratios";"Funds Flow",#N/A,FALSE,"Ratios"}</definedName>
    <definedName name="SCH">#N/A</definedName>
    <definedName name="Sch_B">#REF!</definedName>
    <definedName name="SCH_CR">#REF!</definedName>
    <definedName name="SCH_D">#REF!</definedName>
    <definedName name="Sch_E" localSheetId="0">#REF!</definedName>
    <definedName name="Sch_E">#REF!</definedName>
    <definedName name="sch_E_cr">#REF!</definedName>
    <definedName name="SCH1_5">#REF!</definedName>
    <definedName name="SCH10_5">#REF!</definedName>
    <definedName name="SCH11_5">#REF!</definedName>
    <definedName name="Sch11to12">#REF!</definedName>
    <definedName name="Sch13to15">#REF!</definedName>
    <definedName name="Sch1to3">#REF!</definedName>
    <definedName name="SCH2_5">#REF!</definedName>
    <definedName name="SCH3_5">#REF!</definedName>
    <definedName name="Sch3Fixed" hidden="1">#REF!</definedName>
    <definedName name="sch4.1" localSheetId="0">#REF!</definedName>
    <definedName name="sch4.1">#REF!</definedName>
    <definedName name="SCH4_5">#REF!</definedName>
    <definedName name="Sch4to5A">#REF!</definedName>
    <definedName name="SCH5_5">#REF!</definedName>
    <definedName name="SCH6_5">#REF!</definedName>
    <definedName name="Sch6to7">#REF!</definedName>
    <definedName name="SCH7_5">#REF!</definedName>
    <definedName name="SCH8_5">#REF!</definedName>
    <definedName name="Sch8A">#REF!</definedName>
    <definedName name="Sch8B">#REF!</definedName>
    <definedName name="SCH9_5">#REF!</definedName>
    <definedName name="schbal1">#REF!</definedName>
    <definedName name="schbal2">#REF!</definedName>
    <definedName name="SCHDF">#REF!</definedName>
    <definedName name="SCHDLS">#REF!</definedName>
    <definedName name="Sched_F">#REF!</definedName>
    <definedName name="Sched_Pay">#REF!</definedName>
    <definedName name="Schedule" localSheetId="0">#REF!</definedName>
    <definedName name="Schedule">#N/A</definedName>
    <definedName name="SCHEDULE_1" localSheetId="0">#REF!</definedName>
    <definedName name="SCHEDULE_1">#REF!</definedName>
    <definedName name="sCHEDULE_1_sHEET_1">#REF!</definedName>
    <definedName name="SCHEDULE_10">#REF!</definedName>
    <definedName name="SCHEDULE_11">#REF!</definedName>
    <definedName name="SCHEDULE_12">#REF!</definedName>
    <definedName name="SCHEDULE_13">#REF!</definedName>
    <definedName name="SCHEDULE_14">#REF!</definedName>
    <definedName name="SCHEDULE_15" localSheetId="0">#REF!</definedName>
    <definedName name="SCHEDULE_15">#REF!</definedName>
    <definedName name="SCHEDULE_16">#REF!</definedName>
    <definedName name="SCHEDULE_17">#REF!</definedName>
    <definedName name="SCHEDULE_18">#REF!</definedName>
    <definedName name="Schedule_2">#REF!</definedName>
    <definedName name="SCHEDULE_20">#REF!</definedName>
    <definedName name="SCHEDULE_21">#REF!</definedName>
    <definedName name="SCHEDULE_22">#REF!</definedName>
    <definedName name="SCHEDULE_23" localSheetId="0">#REF!</definedName>
    <definedName name="SCHEDULE_23">#REF!</definedName>
    <definedName name="SCHEDULE_3" localSheetId="0">#REF!</definedName>
    <definedName name="SCHEDULE_3">#REF!</definedName>
    <definedName name="SCHEDULE_4">#REF!</definedName>
    <definedName name="Schedule_4_Investment">#REF!</definedName>
    <definedName name="SCHEDULE_5" localSheetId="0">#REF!</definedName>
    <definedName name="SCHEDULE_5">#REF!</definedName>
    <definedName name="SCHEDULE_6" localSheetId="0">#REF!</definedName>
    <definedName name="SCHEDULE_6">#REF!</definedName>
    <definedName name="SCHEDULE_7">#REF!</definedName>
    <definedName name="SCHEDULE_8" localSheetId="0">#REF!</definedName>
    <definedName name="SCHEDULE_8">#REF!</definedName>
    <definedName name="SCHEDULE_9">#REF!</definedName>
    <definedName name="Schedule_E" localSheetId="0">#REF!</definedName>
    <definedName name="Schedule_E">#REF!</definedName>
    <definedName name="SCHEDULE_No.">#REF!</definedName>
    <definedName name="Schedule_No2" localSheetId="0">#REF!</definedName>
    <definedName name="Schedule_No2">#REF!</definedName>
    <definedName name="Schedule2">#REF!</definedName>
    <definedName name="scheduleA">#REF!</definedName>
    <definedName name="ScheduleBC">#REF!</definedName>
    <definedName name="ScheduleC">#REF!</definedName>
    <definedName name="ScheduleCD">#REF!</definedName>
    <definedName name="ScheduleD">#REF!</definedName>
    <definedName name="Scheduled_Extra_Payments">#REF!</definedName>
    <definedName name="Scheduled_Monthly_Payment">#REF!</definedName>
    <definedName name="ScheduleE">#REF!</definedName>
    <definedName name="SchemeA">#REF!</definedName>
    <definedName name="SchemeB">#REF!</definedName>
    <definedName name="SchemeWiseH1201213">#REF!</definedName>
    <definedName name="SCHv" localSheetId="0">#REF!</definedName>
    <definedName name="SCHv">#REF!</definedName>
    <definedName name="SCOPE" localSheetId="0">#REF!</definedName>
    <definedName name="SCOPE">#REF!</definedName>
    <definedName name="SCRBOH">#N/A</definedName>
    <definedName name="SCREOH">#N/A</definedName>
    <definedName name="sd" localSheetId="25" hidden="1">{"'Sheet1'!$L$16"}</definedName>
    <definedName name="sd" localSheetId="0" hidden="1">{"'Sheet1'!$L$16"}</definedName>
    <definedName name="sd" localSheetId="5" hidden="1">{"'Sheet1'!$L$16"}</definedName>
    <definedName name="sd" hidden="1">{"'Sheet1'!$L$16"}</definedName>
    <definedName name="sdas"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sdas"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sda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sdasfas" localSheetId="0" hidden="1">{"VIEW1",#N/A,FALSE,"P&amp;L Account 2001-2002";"VIEW2",#N/A,FALSE,"P&amp;L Account 2001-2002";"VIEW3",#N/A,FALSE,"P&amp;L Account 2001-2002";"VIEW4",#N/A,FALSE,"P&amp;L Account 2001-2002"}</definedName>
    <definedName name="sdasfas" hidden="1">{"VIEW1",#N/A,FALSE,"P&amp;L Account 2001-2002";"VIEW2",#N/A,FALSE,"P&amp;L Account 2001-2002";"VIEW3",#N/A,FALSE,"P&amp;L Account 2001-2002";"VIEW4",#N/A,FALSE,"P&amp;L Account 2001-2002"}</definedName>
    <definedName name="sdc" localSheetId="25" hidden="1">{"DJH3",#N/A,FALSE,"PFL00805";"PJB3",#N/A,FALSE,"PFL00805";"JMD3",#N/A,FALSE,"PFL00805";"DNB3",#N/A,FALSE,"PFL00805";"MJP3",#N/A,FALSE,"PFL00805";"RAB3",#N/A,FALSE,"PFL00805";"GJW3",#N/A,FALSE,"PFL00805";"MASTER3",#N/A,FALSE,"PFL00805"}</definedName>
    <definedName name="sdc" localSheetId="5" hidden="1">{"DJH3",#N/A,FALSE,"PFL00805";"PJB3",#N/A,FALSE,"PFL00805";"JMD3",#N/A,FALSE,"PFL00805";"DNB3",#N/A,FALSE,"PFL00805";"MJP3",#N/A,FALSE,"PFL00805";"RAB3",#N/A,FALSE,"PFL00805";"GJW3",#N/A,FALSE,"PFL00805";"MASTER3",#N/A,FALSE,"PFL00805"}</definedName>
    <definedName name="sdc" hidden="1">{"DJH3",#N/A,FALSE,"PFL00805";"PJB3",#N/A,FALSE,"PFL00805";"JMD3",#N/A,FALSE,"PFL00805";"DNB3",#N/A,FALSE,"PFL00805";"MJP3",#N/A,FALSE,"PFL00805";"RAB3",#N/A,FALSE,"PFL00805";"GJW3",#N/A,FALSE,"PFL00805";"MASTER3",#N/A,FALSE,"PFL00805"}</definedName>
    <definedName name="sdd" localSheetId="25" hidden="1">{#N/A,#N/A,TRUE,"Front";#N/A,#N/A,TRUE,"Simple Letter";#N/A,#N/A,TRUE,"Inside";#N/A,#N/A,TRUE,"Contents";#N/A,#N/A,TRUE,"Basis";#N/A,#N/A,TRUE,"Inclusions";#N/A,#N/A,TRUE,"Exclusions";#N/A,#N/A,TRUE,"Areas";#N/A,#N/A,TRUE,"Summary";#N/A,#N/A,TRUE,"Detail"}</definedName>
    <definedName name="sdd" localSheetId="0">#REF!</definedName>
    <definedName name="sdd" localSheetId="5" hidden="1">{#N/A,#N/A,TRUE,"Front";#N/A,#N/A,TRUE,"Simple Letter";#N/A,#N/A,TRUE,"Inside";#N/A,#N/A,TRUE,"Contents";#N/A,#N/A,TRUE,"Basis";#N/A,#N/A,TRUE,"Inclusions";#N/A,#N/A,TRUE,"Exclusions";#N/A,#N/A,TRUE,"Areas";#N/A,#N/A,TRUE,"Summary";#N/A,#N/A,TRUE,"Detail"}</definedName>
    <definedName name="sdd" hidden="1">{#N/A,#N/A,TRUE,"Front";#N/A,#N/A,TRUE,"Simple Letter";#N/A,#N/A,TRUE,"Inside";#N/A,#N/A,TRUE,"Contents";#N/A,#N/A,TRUE,"Basis";#N/A,#N/A,TRUE,"Inclusions";#N/A,#N/A,TRUE,"Exclusions";#N/A,#N/A,TRUE,"Areas";#N/A,#N/A,TRUE,"Summary";#N/A,#N/A,TRUE,"Detail"}</definedName>
    <definedName name="sddddddd" localSheetId="0">#REF!</definedName>
    <definedName name="sddddddd">#REF!</definedName>
    <definedName name="sdddddddd" localSheetId="0">#REF!</definedName>
    <definedName name="sdddddddd">#REF!</definedName>
    <definedName name="sdf" localSheetId="25" hidden="1">{#N/A,#N/A,FALSE,"COVER.XLS";#N/A,#N/A,FALSE,"RACT1.XLS";#N/A,#N/A,FALSE,"RACT2.XLS";#N/A,#N/A,FALSE,"ECCMP";#N/A,#N/A,FALSE,"WELDER.XLS"}</definedName>
    <definedName name="sdf" localSheetId="0" hidden="1">{#N/A,#N/A,FALSE,"COVER.XLS";#N/A,#N/A,FALSE,"RACT1.XLS";#N/A,#N/A,FALSE,"RACT2.XLS";#N/A,#N/A,FALSE,"ECCMP";#N/A,#N/A,FALSE,"WELDER.XLS"}</definedName>
    <definedName name="sdf" localSheetId="5" hidden="1">{#N/A,#N/A,FALSE,"COVER.XLS";#N/A,#N/A,FALSE,"RACT1.XLS";#N/A,#N/A,FALSE,"RACT2.XLS";#N/A,#N/A,FALSE,"ECCMP";#N/A,#N/A,FALSE,"WELDER.XLS"}</definedName>
    <definedName name="sdf" hidden="1">{#N/A,#N/A,FALSE,"COVER.XLS";#N/A,#N/A,FALSE,"RACT1.XLS";#N/A,#N/A,FALSE,"RACT2.XLS";#N/A,#N/A,FALSE,"ECCMP";#N/A,#N/A,FALSE,"WELDER.XLS"}</definedName>
    <definedName name="sdfd">#REF!</definedName>
    <definedName name="sdfdfhf" localSheetId="0">#REF!</definedName>
    <definedName name="sdfdfhf">#REF!</definedName>
    <definedName name="sdfgdfg">#REF!</definedName>
    <definedName name="sdfgs"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sdfgs"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sdfg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sdfmn">#REF!</definedName>
    <definedName name="sdfsdf">#REF!</definedName>
    <definedName name="sdfsds" localSheetId="0">#REF!</definedName>
    <definedName name="sdfsds">#REF!</definedName>
    <definedName name="sdfsfsdf" localSheetId="0">#REF!</definedName>
    <definedName name="sdfsfsdf">#REF!</definedName>
    <definedName name="sdfskdfskdf" localSheetId="25" hidden="1">{#N/A,#N/A,FALSE,"TOWNSHIP"}</definedName>
    <definedName name="sdfskdfskdf" localSheetId="5" hidden="1">{#N/A,#N/A,FALSE,"TOWNSHIP"}</definedName>
    <definedName name="sdfskdfskdf" hidden="1">{#N/A,#N/A,FALSE,"TOWNSHIP"}</definedName>
    <definedName name="sdsdsds" localSheetId="25" hidden="1">{#N/A,#N/A,TRUE,"Front";#N/A,#N/A,TRUE,"Simple Letter";#N/A,#N/A,TRUE,"Inside";#N/A,#N/A,TRUE,"Contents";#N/A,#N/A,TRUE,"Basis";#N/A,#N/A,TRUE,"Inclusions";#N/A,#N/A,TRUE,"Exclusions";#N/A,#N/A,TRUE,"Areas";#N/A,#N/A,TRUE,"Summary";#N/A,#N/A,TRUE,"Detail"}</definedName>
    <definedName name="sdsdsds" localSheetId="0" hidden="1">{#N/A,#N/A,TRUE,"Front";#N/A,#N/A,TRUE,"Simple Letter";#N/A,#N/A,TRUE,"Inside";#N/A,#N/A,TRUE,"Contents";#N/A,#N/A,TRUE,"Basis";#N/A,#N/A,TRUE,"Inclusions";#N/A,#N/A,TRUE,"Exclusions";#N/A,#N/A,TRUE,"Areas";#N/A,#N/A,TRUE,"Summary";#N/A,#N/A,TRUE,"Detail"}</definedName>
    <definedName name="sdsdsds" localSheetId="5" hidden="1">{#N/A,#N/A,TRUE,"Front";#N/A,#N/A,TRUE,"Simple Letter";#N/A,#N/A,TRUE,"Inside";#N/A,#N/A,TRUE,"Contents";#N/A,#N/A,TRUE,"Basis";#N/A,#N/A,TRUE,"Inclusions";#N/A,#N/A,TRUE,"Exclusions";#N/A,#N/A,TRUE,"Areas";#N/A,#N/A,TRUE,"Summary";#N/A,#N/A,TRUE,"Detail"}</definedName>
    <definedName name="sdsdsds" hidden="1">{#N/A,#N/A,TRUE,"Front";#N/A,#N/A,TRUE,"Simple Letter";#N/A,#N/A,TRUE,"Inside";#N/A,#N/A,TRUE,"Contents";#N/A,#N/A,TRUE,"Basis";#N/A,#N/A,TRUE,"Inclusions";#N/A,#N/A,TRUE,"Exclusions";#N/A,#N/A,TRUE,"Areas";#N/A,#N/A,TRUE,"Summary";#N/A,#N/A,TRUE,"Detail"}</definedName>
    <definedName name="sdsfszsfzs">#REF!,#REF!</definedName>
    <definedName name="SDT">#N/A</definedName>
    <definedName name="sdwswdsw">#REF!</definedName>
    <definedName name="se" localSheetId="0">#REF!</definedName>
    <definedName name="se">#REF!</definedName>
    <definedName name="SE_NAME">""</definedName>
    <definedName name="sec">#REF!</definedName>
    <definedName name="secln">#REF!</definedName>
    <definedName name="secloan3">#REF!</definedName>
    <definedName name="SECOAL" localSheetId="11">#REF!</definedName>
    <definedName name="SECOAL" localSheetId="13">#REF!</definedName>
    <definedName name="SECOAL" localSheetId="16">#REF!</definedName>
    <definedName name="SECOAL" localSheetId="26">#REF!</definedName>
    <definedName name="SECOAL" localSheetId="32">#REF!</definedName>
    <definedName name="SECOAL" localSheetId="33">#REF!</definedName>
    <definedName name="SECOAL" localSheetId="34">#REF!</definedName>
    <definedName name="SECOAL" localSheetId="35">#REF!</definedName>
    <definedName name="SECOAL">#REF!</definedName>
    <definedName name="secsplit">"Chart 3"</definedName>
    <definedName name="See_Annexure_B.PL">#REF!</definedName>
    <definedName name="See_Notes_1">#REF!</definedName>
    <definedName name="Segment" localSheetId="25" hidden="1">{#N/A,#N/A,FALSE,"Aging Summary";#N/A,#N/A,FALSE,"Ratio Analysis";#N/A,#N/A,FALSE,"Test 120 Day Accts";#N/A,#N/A,FALSE,"Tickmarks"}</definedName>
    <definedName name="Segment" localSheetId="5" hidden="1">{#N/A,#N/A,FALSE,"Aging Summary";#N/A,#N/A,FALSE,"Ratio Analysis";#N/A,#N/A,FALSE,"Test 120 Day Accts";#N/A,#N/A,FALSE,"Tickmarks"}</definedName>
    <definedName name="Segment" hidden="1">{#N/A,#N/A,FALSE,"Aging Summary";#N/A,#N/A,FALSE,"Ratio Analysis";#N/A,#N/A,FALSE,"Test 120 Day Accts";#N/A,#N/A,FALSE,"Tickmarks"}</definedName>
    <definedName name="Segment1_income">#REF!</definedName>
    <definedName name="Segment1_income_DCF">#REF!</definedName>
    <definedName name="Segment2_income">#REF!</definedName>
    <definedName name="Segment2_income_DCF">#REF!</definedName>
    <definedName name="SELECT">#REF!</definedName>
    <definedName name="SelectedYear" localSheetId="0">#REF!</definedName>
    <definedName name="SelectedYear">#REF!</definedName>
    <definedName name="selectF">#REF!</definedName>
    <definedName name="SelectyearB" localSheetId="0">#REF!</definedName>
    <definedName name="SelectyearB">#REF!</definedName>
    <definedName name="Selling_Dist_Schedule" localSheetId="0">#REF!</definedName>
    <definedName name="Selling_Dist_Schedule">#REF!</definedName>
    <definedName name="SellingExp">#REF!</definedName>
    <definedName name="SEMIIN">#N/A</definedName>
    <definedName name="sencount" hidden="1">1</definedName>
    <definedName name="Sensitivity_in_dollars">#REF!</definedName>
    <definedName name="Sensitivity_in_pounds">#REF!</definedName>
    <definedName name="SEOREP" localSheetId="11">#REF!</definedName>
    <definedName name="SEOREP" localSheetId="13">#REF!</definedName>
    <definedName name="SEOREP" localSheetId="16">#REF!</definedName>
    <definedName name="SEOREP" localSheetId="26">#REF!</definedName>
    <definedName name="SEOREP" localSheetId="32">#REF!</definedName>
    <definedName name="SEOREP" localSheetId="33">#REF!</definedName>
    <definedName name="SEOREP" localSheetId="34">#REF!</definedName>
    <definedName name="SEOREP" localSheetId="35">#REF!</definedName>
    <definedName name="SEOREP">#REF!</definedName>
    <definedName name="Sept2" hidden="1">#REF!</definedName>
    <definedName name="SER">#N/A</definedName>
    <definedName name="SEREPORT" localSheetId="11">#REF!</definedName>
    <definedName name="SEREPORT" localSheetId="13">#REF!</definedName>
    <definedName name="SEREPORT" localSheetId="16">#REF!</definedName>
    <definedName name="SEREPORT" localSheetId="26">#REF!</definedName>
    <definedName name="SEREPORT" localSheetId="32">#REF!</definedName>
    <definedName name="SEREPORT" localSheetId="33">#REF!</definedName>
    <definedName name="SEREPORT" localSheetId="34">#REF!</definedName>
    <definedName name="SEREPORT" localSheetId="35">#REF!</definedName>
    <definedName name="SEREPORT">#REF!</definedName>
    <definedName name="Service_expense">#REF!</definedName>
    <definedName name="Service_Type">"Service Type"</definedName>
    <definedName name="set_off">#REF!</definedName>
    <definedName name="Settlements" localSheetId="25" hidden="1">{"Short Stage 1",#N/A,FALSE,"Stage 1";"Short Stage 2",#N/A,FALSE,"Stage 2";"Short Stage 3",#N/A,FALSE,"Stage 3";"Short Stage 4",#N/A,FALSE,"Stage 4";"Short Stage 5",#N/A,FALSE,"Stage 5";"Short Stage 6",#N/A,FALSE,"Stage 6";"Short Stage 7",#N/A,FALSE,"Stage 7"}</definedName>
    <definedName name="Settlements" localSheetId="5" hidden="1">{"Short Stage 1",#N/A,FALSE,"Stage 1";"Short Stage 2",#N/A,FALSE,"Stage 2";"Short Stage 3",#N/A,FALSE,"Stage 3";"Short Stage 4",#N/A,FALSE,"Stage 4";"Short Stage 5",#N/A,FALSE,"Stage 5";"Short Stage 6",#N/A,FALSE,"Stage 6";"Short Stage 7",#N/A,FALSE,"Stage 7"}</definedName>
    <definedName name="Settlements" hidden="1">{"Short Stage 1",#N/A,FALSE,"Stage 1";"Short Stage 2",#N/A,FALSE,"Stage 2";"Short Stage 3",#N/A,FALSE,"Stage 3";"Short Stage 4",#N/A,FALSE,"Stage 4";"Short Stage 5",#N/A,FALSE,"Stage 5";"Short Stage 6",#N/A,FALSE,"Stage 6";"Short Stage 7",#N/A,FALSE,"Stage 7"}</definedName>
    <definedName name="Setup">#REF!</definedName>
    <definedName name="sf" localSheetId="0">#REF!</definedName>
    <definedName name="sf"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sfgvegvb" localSheetId="0">#REF!</definedName>
    <definedName name="sfgvegvb">#REF!</definedName>
    <definedName name="sFormat">#REF!</definedName>
    <definedName name="sFreq">#REF!</definedName>
    <definedName name="SG_A">#REF!</definedName>
    <definedName name="sg_asean5">#REF!</definedName>
    <definedName name="sg_asia">#REF!</definedName>
    <definedName name="sg_nie">#REF!</definedName>
    <definedName name="SGA">#REF!</definedName>
    <definedName name="sga_expenses">#REF!</definedName>
    <definedName name="SGA_margin">#REF!</definedName>
    <definedName name="sgggg" localSheetId="0">#REF!</definedName>
    <definedName name="sgggg">#REF!</definedName>
    <definedName name="shaan" hidden="1">#REF!</definedName>
    <definedName name="shaikh" localSheetId="0" hidden="1">{"VIEW1",#N/A,FALSE,"P&amp;L Account 2001-2002";"VIEW2",#N/A,FALSE,"P&amp;L Account 2001-2002";"VIEW3",#N/A,FALSE,"P&amp;L Account 2001-2002";"VIEW4",#N/A,FALSE,"P&amp;L Account 2001-2002"}</definedName>
    <definedName name="shaikh" hidden="1">{"VIEW1",#N/A,FALSE,"P&amp;L Account 2001-2002";"VIEW2",#N/A,FALSE,"P&amp;L Account 2001-2002";"VIEW3",#N/A,FALSE,"P&amp;L Account 2001-2002";"VIEW4",#N/A,FALSE,"P&amp;L Account 2001-2002"}</definedName>
    <definedName name="SHAILESH" localSheetId="0" hidden="1">{"VIEW1",#N/A,FALSE,"P&amp;L Account 2001-2002";"VIEW2",#N/A,FALSE,"P&amp;L Account 2001-2002";"VIEW3",#N/A,FALSE,"P&amp;L Account 2001-2002";"VIEW4",#N/A,FALSE,"P&amp;L Account 2001-2002"}</definedName>
    <definedName name="SHAILESH" hidden="1">{"VIEW1",#N/A,FALSE,"P&amp;L Account 2001-2002";"VIEW2",#N/A,FALSE,"P&amp;L Account 2001-2002";"VIEW3",#N/A,FALSE,"P&amp;L Account 2001-2002";"VIEW4",#N/A,FALSE,"P&amp;L Account 2001-2002"}</definedName>
    <definedName name="shankar" localSheetId="25" hidden="1">{#N/A,#N/A,FALSE,"COMICRO";#N/A,#N/A,FALSE,"BALSCH";#N/A,#N/A,FALSE,"GLASS";#N/A,#N/A,FALSE,"DEPRE";#N/A,#N/A,FALSE,"A&amp;MCUR";#N/A,#N/A,FALSE,"AGEANAlysis";#N/A,#N/A,FALSE,"CHECKS";#N/A,#N/A,FALSE,"CHECKS"}</definedName>
    <definedName name="shankar" localSheetId="5" hidden="1">{#N/A,#N/A,FALSE,"COMICRO";#N/A,#N/A,FALSE,"BALSCH";#N/A,#N/A,FALSE,"GLASS";#N/A,#N/A,FALSE,"DEPRE";#N/A,#N/A,FALSE,"A&amp;MCUR";#N/A,#N/A,FALSE,"AGEANAlysis";#N/A,#N/A,FALSE,"CHECKS";#N/A,#N/A,FALSE,"CHECKS"}</definedName>
    <definedName name="shankar" hidden="1">{#N/A,#N/A,FALSE,"COMICRO";#N/A,#N/A,FALSE,"BALSCH";#N/A,#N/A,FALSE,"GLASS";#N/A,#N/A,FALSE,"DEPRE";#N/A,#N/A,FALSE,"A&amp;MCUR";#N/A,#N/A,FALSE,"AGEANAlysis";#N/A,#N/A,FALSE,"CHECKS";#N/A,#N/A,FALSE,"CHECKS"}</definedName>
    <definedName name="share_premium">#REF!</definedName>
    <definedName name="SHARED_FORMULA_0">NA()</definedName>
    <definedName name="SHARED_FORMULA_1">NA()</definedName>
    <definedName name="SHARED_FORMULA_2">NA()</definedName>
    <definedName name="SHARED_FORMULA_3">NA()</definedName>
    <definedName name="SHARED_FORMULA_4">NA()</definedName>
    <definedName name="Shareholder_value">#REF!</definedName>
    <definedName name="Shareholder_Value_EVA">#REF!</definedName>
    <definedName name="shareholders_equity">#REF!</definedName>
    <definedName name="Shares_DCF">#REF!</definedName>
    <definedName name="Shares_growth">#REF!</definedName>
    <definedName name="Shares_Out_1q99">#REF!</definedName>
    <definedName name="sharetype">#REF!</definedName>
    <definedName name="SHEET">#REF!</definedName>
    <definedName name="Sheet_Challan_ListCol_3">#REF!</definedName>
    <definedName name="SHEET2">#REF!</definedName>
    <definedName name="sheet3">#REF!</definedName>
    <definedName name="Sheet4" localSheetId="25" hidden="1">{#N/A,#N/A,FALSE,"BS"}</definedName>
    <definedName name="Sheet4" localSheetId="0" hidden="1">{#N/A,#N/A,FALSE,"BS"}</definedName>
    <definedName name="Sheet4" localSheetId="5" hidden="1">{#N/A,#N/A,FALSE,"BS"}</definedName>
    <definedName name="Sheet4" hidden="1">{#N/A,#N/A,FALSE,"BS"}</definedName>
    <definedName name="shft1" localSheetId="0">#REF!</definedName>
    <definedName name="shft1">#REF!</definedName>
    <definedName name="shftI" localSheetId="25">#REF!</definedName>
    <definedName name="shftI" localSheetId="0">#REF!</definedName>
    <definedName name="shftI" localSheetId="43">#REF!</definedName>
    <definedName name="shftI" localSheetId="5">#REF!</definedName>
    <definedName name="shftI">#REF!</definedName>
    <definedName name="SHIP">#REF!</definedName>
    <definedName name="Shipping">#REF!</definedName>
    <definedName name="Shipping1">#REF!</definedName>
    <definedName name="short" localSheetId="25" hidden="1">{#N/A,#N/A,FALSE,"COVER1.XLS ";#N/A,#N/A,FALSE,"RACT1.XLS";#N/A,#N/A,FALSE,"RACT2.XLS";#N/A,#N/A,FALSE,"ECCMP";#N/A,#N/A,FALSE,"WELDER.XLS"}</definedName>
    <definedName name="short" localSheetId="0" hidden="1">{#N/A,#N/A,FALSE,"COVER1.XLS ";#N/A,#N/A,FALSE,"RACT1.XLS";#N/A,#N/A,FALSE,"RACT2.XLS";#N/A,#N/A,FALSE,"ECCMP";#N/A,#N/A,FALSE,"WELDER.XLS"}</definedName>
    <definedName name="short" localSheetId="5" hidden="1">{#N/A,#N/A,FALSE,"COVER1.XLS ";#N/A,#N/A,FALSE,"RACT1.XLS";#N/A,#N/A,FALSE,"RACT2.XLS";#N/A,#N/A,FALSE,"ECCMP";#N/A,#N/A,FALSE,"WELDER.XLS"}</definedName>
    <definedName name="short" hidden="1">{#N/A,#N/A,FALSE,"COVER1.XLS ";#N/A,#N/A,FALSE,"RACT1.XLS";#N/A,#N/A,FALSE,"RACT2.XLS";#N/A,#N/A,FALSE,"ECCMP";#N/A,#N/A,FALSE,"WELDER.XLS"}</definedName>
    <definedName name="Show.Acct.Update.Warning" hidden="1">#REF!</definedName>
    <definedName name="Show.MDB.Update.Warning" hidden="1">#REF!</definedName>
    <definedName name="ShowDetails">#REF!</definedName>
    <definedName name="SHRTFALL" hidden="1">{#N/A,#N/A,FALSE,"COVER1.XLS ";#N/A,#N/A,FALSE,"RACT1.XLS";#N/A,#N/A,FALSE,"RACT2.XLS";#N/A,#N/A,FALSE,"ECCMP";#N/A,#N/A,FALSE,"WELDER.XLS"}</definedName>
    <definedName name="shshshsh">#REF!,#REF!</definedName>
    <definedName name="shuttering" localSheetId="25" hidden="1">{#N/A,#N/A,TRUE,"Front";#N/A,#N/A,TRUE,"Simple Letter";#N/A,#N/A,TRUE,"Inside";#N/A,#N/A,TRUE,"Contents";#N/A,#N/A,TRUE,"Basis";#N/A,#N/A,TRUE,"Inclusions";#N/A,#N/A,TRUE,"Exclusions";#N/A,#N/A,TRUE,"Areas";#N/A,#N/A,TRUE,"Summary";#N/A,#N/A,TRUE,"Detail"}</definedName>
    <definedName name="shuttering" localSheetId="5" hidden="1">{#N/A,#N/A,TRUE,"Front";#N/A,#N/A,TRUE,"Simple Letter";#N/A,#N/A,TRUE,"Inside";#N/A,#N/A,TRUE,"Contents";#N/A,#N/A,TRUE,"Basis";#N/A,#N/A,TRUE,"Inclusions";#N/A,#N/A,TRUE,"Exclusions";#N/A,#N/A,TRUE,"Areas";#N/A,#N/A,TRUE,"Summary";#N/A,#N/A,TRUE,"Detail"}</definedName>
    <definedName name="shuttering" hidden="1">{#N/A,#N/A,TRUE,"Front";#N/A,#N/A,TRUE,"Simple Letter";#N/A,#N/A,TRUE,"Inside";#N/A,#N/A,TRUE,"Contents";#N/A,#N/A,TRUE,"Basis";#N/A,#N/A,TRUE,"Inclusions";#N/A,#N/A,TRUE,"Exclusions";#N/A,#N/A,TRUE,"Areas";#N/A,#N/A,TRUE,"Summary";#N/A,#N/A,TRUE,"Detail"}</definedName>
    <definedName name="SI_NAME">"Trend Micro HK eDoctor"</definedName>
    <definedName name="siertireyi" localSheetId="0">#REF!</definedName>
    <definedName name="siertireyi">#REF!</definedName>
    <definedName name="SIGN">#REF!</definedName>
    <definedName name="SIMHP1">#REF!</definedName>
    <definedName name="SIMLP1">#REF!</definedName>
    <definedName name="single" hidden="1">{#N/A,#N/A,FALSE,"COVER.XLS";#N/A,#N/A,FALSE,"RACT1.XLS";#N/A,#N/A,FALSE,"RACT2.XLS";#N/A,#N/A,FALSE,"ECCMP";#N/A,#N/A,FALSE,"WELDER.XLS"}</definedName>
    <definedName name="SIW">#REF!</definedName>
    <definedName name="SIWneu">#REF!</definedName>
    <definedName name="six_lease">#REF!</definedName>
    <definedName name="sixty_pct">#REF!</definedName>
    <definedName name="sixty_pctneu">#REF!</definedName>
    <definedName name="SIZE">#REF!</definedName>
    <definedName name="SIZE1">#N/A</definedName>
    <definedName name="SIZEC">#REF!</definedName>
    <definedName name="sjlk" localSheetId="0" hidden="1">{#N/A,#N/A,FALSE,"1"}</definedName>
    <definedName name="sjlk" hidden="1">{#N/A,#N/A,FALSE,"1"}</definedName>
    <definedName name="sjrijteodgv" localSheetId="0">#REF!</definedName>
    <definedName name="sjrijteodgv">#REF!</definedName>
    <definedName name="sk" localSheetId="25" hidden="1">{#N/A,#N/A,FALSE,"Proj.Cost &amp; Means of Fin."}</definedName>
    <definedName name="sk" localSheetId="5" hidden="1">{#N/A,#N/A,FALSE,"Proj.Cost &amp; Means of Fin."}</definedName>
    <definedName name="sk" hidden="1">{#N/A,#N/A,FALSE,"Proj.Cost &amp; Means of Fin."}</definedName>
    <definedName name="SKF">#N/A</definedName>
    <definedName name="SL" localSheetId="0">#REF!</definedName>
    <definedName name="SL">#REF!</definedName>
    <definedName name="SMLTOOLS">#REF!</definedName>
    <definedName name="Smum1" hidden="1">#REF!</definedName>
    <definedName name="SNAP">#REF!</definedName>
    <definedName name="Snapshot_PrintArea">#REF!</definedName>
    <definedName name="sndgkhdgk" localSheetId="0">#REF!</definedName>
    <definedName name="sndgkhdgk">#REF!</definedName>
    <definedName name="SO">#REF!</definedName>
    <definedName name="SO_CODE" localSheetId="0">#REF!</definedName>
    <definedName name="SO_CODE">#REF!</definedName>
    <definedName name="SO_NAME" localSheetId="0">#REF!</definedName>
    <definedName name="SO_NAME">#REF!</definedName>
    <definedName name="soch">#REF!</definedName>
    <definedName name="SOL">#REF!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hidden="1">#REF!</definedName>
    <definedName name="solver_lin" hidden="1">2</definedName>
    <definedName name="solver_neg" hidden="1">2</definedName>
    <definedName name="solver_num" hidden="1">0</definedName>
    <definedName name="solver_nwt" hidden="1">1</definedName>
    <definedName name="solver_opt" hidden="1">#REF!</definedName>
    <definedName name="solver_pre" hidden="1">0.000001</definedName>
    <definedName name="solver_rel1" hidden="1">1</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localSheetId="0" hidden="1">3</definedName>
    <definedName name="solver_typ" hidden="1">1</definedName>
    <definedName name="solver_val" localSheetId="0" hidden="1">0.1076</definedName>
    <definedName name="solver_val" hidden="1">0</definedName>
    <definedName name="SONBOH">#N/A</definedName>
    <definedName name="SONEOH">#N/A</definedName>
    <definedName name="SONIK">#REF!</definedName>
    <definedName name="sor" hidden="1">#REF!</definedName>
    <definedName name="sources96">#REF!</definedName>
    <definedName name="sources97">#REF!</definedName>
    <definedName name="sources98">#REF!</definedName>
    <definedName name="sources99">#REF!</definedName>
    <definedName name="south_zone">#REF!</definedName>
    <definedName name="SP">#REF!</definedName>
    <definedName name="SPA224_VALVES_COMPARE_COL">#REF!</definedName>
    <definedName name="SPA224_VALVES_ERROR_COL">#REF!</definedName>
    <definedName name="spcl" localSheetId="0">#REF!</definedName>
    <definedName name="spcl">#REF!</definedName>
    <definedName name="spcl1" localSheetId="0">#REF!</definedName>
    <definedName name="spcl1">#REF!</definedName>
    <definedName name="SPEC">#N/A</definedName>
    <definedName name="SpecialPrice" hidden="1">#REF!</definedName>
    <definedName name="spun">#REF!</definedName>
    <definedName name="spundisp">#REF!</definedName>
    <definedName name="Square_Meter">#REF!</definedName>
    <definedName name="SR" localSheetId="0" hidden="1">{"VIEW1",#N/A,FALSE,"P&amp;L Account 2001-2002";"VIEW2",#N/A,FALSE,"P&amp;L Account 2001-2002";"VIEW3",#N/A,FALSE,"P&amp;L Account 2001-2002";"VIEW4",#N/A,FALSE,"P&amp;L Account 2001-2002"}</definedName>
    <definedName name="SR" hidden="1">{"VIEW1",#N/A,FALSE,"P&amp;L Account 2001-2002";"VIEW2",#N/A,FALSE,"P&amp;L Account 2001-2002";"VIEW3",#N/A,FALSE,"P&amp;L Account 2001-2002";"VIEW4",#N/A,FALSE,"P&amp;L Account 2001-2002"}</definedName>
    <definedName name="SREX">#REF!</definedName>
    <definedName name="SRGERGHRE" localSheetId="0" hidden="1">{"VIEW1",#N/A,FALSE,"P&amp;L Account 2001-2002";"VIEW2",#N/A,FALSE,"P&amp;L Account 2001-2002";"VIEW3",#N/A,FALSE,"P&amp;L Account 2001-2002";"VIEW4",#N/A,FALSE,"P&amp;L Account 2001-2002"}</definedName>
    <definedName name="SRGERGHRE" hidden="1">{"VIEW1",#N/A,FALSE,"P&amp;L Account 2001-2002";"VIEW2",#N/A,FALSE,"P&amp;L Account 2001-2002";"VIEW3",#N/A,FALSE,"P&amp;L Account 2001-2002";"VIEW4",#N/A,FALSE,"P&amp;L Account 2001-2002"}</definedName>
    <definedName name="SRLC">#REF!</definedName>
    <definedName name="srt" hidden="1">{#N/A,#N/A,FALSE,"SUMMARY REPORT"}</definedName>
    <definedName name="SS" localSheetId="0">#REF!</definedName>
    <definedName name="SS" hidden="1">{#N/A,#N/A,FALSE,"A"}</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400kvstaffnorm" localSheetId="0">#REF!</definedName>
    <definedName name="ss400kvstaffnorm">#REF!</definedName>
    <definedName name="ssafsdg">#REF!</definedName>
    <definedName name="ssh" hidden="1">#REF!</definedName>
    <definedName name="Ssm">#REF!</definedName>
    <definedName name="sss" localSheetId="2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sss" localSheetId="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sss"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sssasasasaa" hidden="1">#REF!</definedName>
    <definedName name="ssss" hidden="1">{#N/A,#N/A,FALSE,"SUMMARY REPORT"}</definedName>
    <definedName name="SSSSS" hidden="1">#REF!</definedName>
    <definedName name="ssssss" hidden="1">#REF!</definedName>
    <definedName name="sssssss" localSheetId="0">#REF!</definedName>
    <definedName name="sssssss">#REF!</definedName>
    <definedName name="ssssssss">#N/A</definedName>
    <definedName name="sssssssss" localSheetId="0">#REF!</definedName>
    <definedName name="SSSSSSSSS" hidden="1">{"VIEW1",#N/A,FALSE,"P&amp;L Account 2001-2002";"VIEW2",#N/A,FALSE,"P&amp;L Account 2001-2002";"VIEW3",#N/A,FALSE,"P&amp;L Account 2001-2002";"VIEW4",#N/A,FALSE,"P&amp;L Account 2001-2002"}</definedName>
    <definedName name="ssssssssss" hidden="1">#REF!</definedName>
    <definedName name="sssssssssssss34" localSheetId="0">#REF!</definedName>
    <definedName name="sssssssssssss34">#REF!</definedName>
    <definedName name="ssssssssssssssss" hidden="1">#REF!</definedName>
    <definedName name="ssw" localSheetId="0" hidden="1">{#N/A,#N/A,FALSE,"A"}</definedName>
    <definedName name="ssw" hidden="1">{#N/A,#N/A,FALSE,"A"}</definedName>
    <definedName name="st" localSheetId="25" hidden="1">{#N/A,#N/A,TRUE,"Front";#N/A,#N/A,TRUE,"Simple Letter";#N/A,#N/A,TRUE,"Inside";#N/A,#N/A,TRUE,"Contents";#N/A,#N/A,TRUE,"Basis";#N/A,#N/A,TRUE,"Inclusions";#N/A,#N/A,TRUE,"Exclusions";#N/A,#N/A,TRUE,"Areas";#N/A,#N/A,TRUE,"Summary";#N/A,#N/A,TRUE,"Detail"}</definedName>
    <definedName name="st" localSheetId="5" hidden="1">{#N/A,#N/A,TRUE,"Front";#N/A,#N/A,TRUE,"Simple Letter";#N/A,#N/A,TRUE,"Inside";#N/A,#N/A,TRUE,"Contents";#N/A,#N/A,TRUE,"Basis";#N/A,#N/A,TRUE,"Inclusions";#N/A,#N/A,TRUE,"Exclusions";#N/A,#N/A,TRUE,"Areas";#N/A,#N/A,TRUE,"Summary";#N/A,#N/A,TRUE,"Detail"}</definedName>
    <definedName name="st" hidden="1">{#N/A,#N/A,TRUE,"Front";#N/A,#N/A,TRUE,"Simple Letter";#N/A,#N/A,TRUE,"Inside";#N/A,#N/A,TRUE,"Contents";#N/A,#N/A,TRUE,"Basis";#N/A,#N/A,TRUE,"Inclusions";#N/A,#N/A,TRUE,"Exclusions";#N/A,#N/A,TRUE,"Areas";#N/A,#N/A,TRUE,"Summary";#N/A,#N/A,TRUE,"Detail"}</definedName>
    <definedName name="ST_Comp">#REF!</definedName>
    <definedName name="ST_debt">#REF!</definedName>
    <definedName name="st_debt_foreign">#REF!</definedName>
    <definedName name="st_debt_lease_financing">#REF!</definedName>
    <definedName name="ST_MP">#REF!</definedName>
    <definedName name="ST_PI">#REF!</definedName>
    <definedName name="ST_TYPE">#REF!</definedName>
    <definedName name="sTable">#REF!</definedName>
    <definedName name="Staightline_charge">#REF!</definedName>
    <definedName name="Start">#REF!</definedName>
    <definedName name="START_DETAIL">#REF!</definedName>
    <definedName name="START_HEADER">#REF!</definedName>
    <definedName name="Start_Year">#REF!</definedName>
    <definedName name="StartDate">#REF!</definedName>
    <definedName name="STATE">#REF!</definedName>
    <definedName name="state_mktsh">#REF!</definedName>
    <definedName name="States" localSheetId="0">#REF!</definedName>
    <definedName name="States">#REF!</definedName>
    <definedName name="STATICAC_GEN_TA">#REF!</definedName>
    <definedName name="STATICAC_GEN_TD">#REF!</definedName>
    <definedName name="Status">#REF!</definedName>
    <definedName name="statutory_rate_of_tax">#REF!</definedName>
    <definedName name="stckdty">#REF!</definedName>
    <definedName name="stckspun">#REF!</definedName>
    <definedName name="StDebtDmy" hidden="1">#REF!,#REF!,#REF!,#REF!,#REF!</definedName>
    <definedName name="steam_trap">#REF!</definedName>
    <definedName name="stfcost">#REF!</definedName>
    <definedName name="stfesh">#REF!</definedName>
    <definedName name="STK" localSheetId="0">#REF!</definedName>
    <definedName name="STK">#REF!</definedName>
    <definedName name="Stock_price">#REF!</definedName>
    <definedName name="Stock_price_close">#REF!</definedName>
    <definedName name="Stock_price_high">#REF!</definedName>
    <definedName name="Stock_price_low">#REF!</definedName>
    <definedName name="stockfinal">#REF!</definedName>
    <definedName name="STOCKOP">#REF!</definedName>
    <definedName name="Stocks">#REF!</definedName>
    <definedName name="storage_and_interest">#REF!</definedName>
    <definedName name="STORES" localSheetId="0">#REF!</definedName>
    <definedName name="STORES">#REF!</definedName>
    <definedName name="Stores_1" localSheetId="0">#REF!</definedName>
    <definedName name="Stores_1">#REF!</definedName>
    <definedName name="STORES_2" localSheetId="0">#REF!</definedName>
    <definedName name="STORES_2">#REF!</definedName>
    <definedName name="Stores_CurrentAsset">#REF!</definedName>
    <definedName name="STPI">#REF!</definedName>
    <definedName name="STRAT__UP">#REF!</definedName>
    <definedName name="sTREETLAMP_ES_TA">#REF!</definedName>
    <definedName name="STREETLAMP_ES_TD">#REF!</definedName>
    <definedName name="StressTables">#REF!</definedName>
    <definedName name="STS" localSheetId="25" hidden="1">{#N/A,#N/A,TRUE,"Front";#N/A,#N/A,TRUE,"Simple Letter";#N/A,#N/A,TRUE,"Inside";#N/A,#N/A,TRUE,"Contents";#N/A,#N/A,TRUE,"Basis";#N/A,#N/A,TRUE,"Inclusions";#N/A,#N/A,TRUE,"Exclusions";#N/A,#N/A,TRUE,"Areas";#N/A,#N/A,TRUE,"Summary";#N/A,#N/A,TRUE,"Detail"}</definedName>
    <definedName name="STS" localSheetId="5" hidden="1">{#N/A,#N/A,TRUE,"Front";#N/A,#N/A,TRUE,"Simple Letter";#N/A,#N/A,TRUE,"Inside";#N/A,#N/A,TRUE,"Contents";#N/A,#N/A,TRUE,"Basis";#N/A,#N/A,TRUE,"Inclusions";#N/A,#N/A,TRUE,"Exclusions";#N/A,#N/A,TRUE,"Areas";#N/A,#N/A,TRUE,"Summary";#N/A,#N/A,TRUE,"Detail"}</definedName>
    <definedName name="STS" hidden="1">{#N/A,#N/A,TRUE,"Front";#N/A,#N/A,TRUE,"Simple Letter";#N/A,#N/A,TRUE,"Inside";#N/A,#N/A,TRUE,"Contents";#N/A,#N/A,TRUE,"Basis";#N/A,#N/A,TRUE,"Inclusions";#N/A,#N/A,TRUE,"Exclusions";#N/A,#N/A,TRUE,"Areas";#N/A,#N/A,TRUE,"Summary";#N/A,#N/A,TRUE,"Detail"}</definedName>
    <definedName name="STX" localSheetId="0">#REF!</definedName>
    <definedName name="STX">#REF!</definedName>
    <definedName name="SUBCUR">#REF!</definedName>
    <definedName name="succ" localSheetId="25" hidden="1">{#N/A,#N/A,FALSE,"COVER1.XLS ";#N/A,#N/A,FALSE,"RACT1.XLS";#N/A,#N/A,FALSE,"RACT2.XLS";#N/A,#N/A,FALSE,"ECCMP";#N/A,#N/A,FALSE,"WELDER.XLS"}</definedName>
    <definedName name="succ" localSheetId="0" hidden="1">{#N/A,#N/A,FALSE,"COVER1.XLS ";#N/A,#N/A,FALSE,"RACT1.XLS";#N/A,#N/A,FALSE,"RACT2.XLS";#N/A,#N/A,FALSE,"ECCMP";#N/A,#N/A,FALSE,"WELDER.XLS"}</definedName>
    <definedName name="succ" localSheetId="5" hidden="1">{#N/A,#N/A,FALSE,"COVER1.XLS ";#N/A,#N/A,FALSE,"RACT1.XLS";#N/A,#N/A,FALSE,"RACT2.XLS";#N/A,#N/A,FALSE,"ECCMP";#N/A,#N/A,FALSE,"WELDER.XLS"}</definedName>
    <definedName name="succ" hidden="1">{#N/A,#N/A,FALSE,"COVER1.XLS ";#N/A,#N/A,FALSE,"RACT1.XLS";#N/A,#N/A,FALSE,"RACT2.XLS";#N/A,#N/A,FALSE,"ECCMP";#N/A,#N/A,FALSE,"WELDER.XLS"}</definedName>
    <definedName name="SuccessRate">#REF!</definedName>
    <definedName name="SUFF">#N/A</definedName>
    <definedName name="sug" hidden="1">{#N/A,#N/A,FALSE,"SUMMARY REPORT"}</definedName>
    <definedName name="sum">#REF!</definedName>
    <definedName name="Sum_No">#REF!</definedName>
    <definedName name="SUMARY" localSheetId="0" hidden="1">{"VIEW1",#N/A,FALSE,"P&amp;L Account 2001-2002";"VIEW2",#N/A,FALSE,"P&amp;L Account 2001-2002";"VIEW3",#N/A,FALSE,"P&amp;L Account 2001-2002";"VIEW4",#N/A,FALSE,"P&amp;L Account 2001-2002"}</definedName>
    <definedName name="SUMARY" hidden="1">{"VIEW1",#N/A,FALSE,"P&amp;L Account 2001-2002";"VIEW2",#N/A,FALSE,"P&amp;L Account 2001-2002";"VIEW3",#N/A,FALSE,"P&amp;L Account 2001-2002";"VIEW4",#N/A,FALSE,"P&amp;L Account 2001-2002"}</definedName>
    <definedName name="sumit" hidden="1">{"SALARY",#N/A,FALSE,"SALARY95"}</definedName>
    <definedName name="summ">#REF!</definedName>
    <definedName name="SUMM_K">#REF!</definedName>
    <definedName name="SummAll">#REF!</definedName>
    <definedName name="SUMMARY">#REF!</definedName>
    <definedName name="Summary_1">#REF!</definedName>
    <definedName name="Summary_1991">#REF!</definedName>
    <definedName name="Summary_1992">#REF!</definedName>
    <definedName name="Summary_1993">#REF!</definedName>
    <definedName name="Summary_1994">#REF!</definedName>
    <definedName name="Summary_1995">#REF!</definedName>
    <definedName name="Summary_1996">#REF!</definedName>
    <definedName name="Summary_1997">#REF!</definedName>
    <definedName name="Summary_2">#REF!</definedName>
    <definedName name="Summary_3">#REF!</definedName>
    <definedName name="Summary_4">#REF!</definedName>
    <definedName name="Summary_EY1">#REF!</definedName>
    <definedName name="Summary_EY2">#REF!</definedName>
    <definedName name="Summary_P">#REF!</definedName>
    <definedName name="Summary_Phase3" localSheetId="25" hidden="1">{"Summary",#N/A,FALSE,"Summary"}</definedName>
    <definedName name="Summary_Phase3" localSheetId="5" hidden="1">{"Summary",#N/A,FALSE,"Summary"}</definedName>
    <definedName name="Summary_Phase3" hidden="1">{"Summary",#N/A,FALSE,"Summary"}</definedName>
    <definedName name="SummED">#REF!</definedName>
    <definedName name="summplan">#REF!</definedName>
    <definedName name="SUN" localSheetId="0" hidden="1">{"VIEW1",#N/A,FALSE,"P&amp;L Account 2001-2002";"VIEW2",#N/A,FALSE,"P&amp;L Account 2001-2002";"VIEW3",#N/A,FALSE,"P&amp;L Account 2001-2002";"VIEW4",#N/A,FALSE,"P&amp;L Account 2001-2002"}</definedName>
    <definedName name="SUN" hidden="1">{"VIEW1",#N/A,FALSE,"P&amp;L Account 2001-2002";"VIEW2",#N/A,FALSE,"P&amp;L Account 2001-2002";"VIEW3",#N/A,FALSE,"P&amp;L Account 2001-2002";"VIEW4",#N/A,FALSE,"P&amp;L Account 2001-2002"}</definedName>
    <definedName name="SUNDAY" localSheetId="0" hidden="1">{"VIEW1",#N/A,FALSE,"P&amp;L Account 2001-2002";"VIEW2",#N/A,FALSE,"P&amp;L Account 2001-2002";"VIEW3",#N/A,FALSE,"P&amp;L Account 2001-2002";"VIEW4",#N/A,FALSE,"P&amp;L Account 2001-2002"}</definedName>
    <definedName name="SUNDAY" hidden="1">{"VIEW1",#N/A,FALSE,"P&amp;L Account 2001-2002";"VIEW2",#N/A,FALSE,"P&amp;L Account 2001-2002";"VIEW3",#N/A,FALSE,"P&amp;L Account 2001-2002";"VIEW4",#N/A,FALSE,"P&amp;L Account 2001-2002"}</definedName>
    <definedName name="SUNIL1" localSheetId="0" hidden="1">{"VIEW1",#N/A,FALSE,"P&amp;L Account 2001-2002";"VIEW2",#N/A,FALSE,"P&amp;L Account 2001-2002";"VIEW3",#N/A,FALSE,"P&amp;L Account 2001-2002";"VIEW4",#N/A,FALSE,"P&amp;L Account 2001-2002"}</definedName>
    <definedName name="SUNIL1" hidden="1">{"VIEW1",#N/A,FALSE,"P&amp;L Account 2001-2002";"VIEW2",#N/A,FALSE,"P&amp;L Account 2001-2002";"VIEW3",#N/A,FALSE,"P&amp;L Account 2001-2002";"VIEW4",#N/A,FALSE,"P&amp;L Account 2001-2002"}</definedName>
    <definedName name="Sup">#REF!</definedName>
    <definedName name="SUP_CALC">#REF!</definedName>
    <definedName name="supno" localSheetId="0">#REF!</definedName>
    <definedName name="supno">#REF!</definedName>
    <definedName name="SUPNO1">#REF!</definedName>
    <definedName name="Supp">#REF!</definedName>
    <definedName name="SUPP1" localSheetId="0">#REF!</definedName>
    <definedName name="SUPP1">#REF!</definedName>
    <definedName name="suresh">#REF!</definedName>
    <definedName name="sususus" localSheetId="0">#REF!</definedName>
    <definedName name="sususus">#REF!</definedName>
    <definedName name="svc0">#REF!</definedName>
    <definedName name="SVFFG" localSheetId="25" hidden="1">{#N/A,#N/A,TRUE,"Front";#N/A,#N/A,TRUE,"Simple Letter";#N/A,#N/A,TRUE,"Inside";#N/A,#N/A,TRUE,"Contents";#N/A,#N/A,TRUE,"Basis";#N/A,#N/A,TRUE,"Inclusions";#N/A,#N/A,TRUE,"Exclusions";#N/A,#N/A,TRUE,"Areas";#N/A,#N/A,TRUE,"Summary";#N/A,#N/A,TRUE,"Detail"}</definedName>
    <definedName name="SVFFG" localSheetId="5" hidden="1">{#N/A,#N/A,TRUE,"Front";#N/A,#N/A,TRUE,"Simple Letter";#N/A,#N/A,TRUE,"Inside";#N/A,#N/A,TRUE,"Contents";#N/A,#N/A,TRUE,"Basis";#N/A,#N/A,TRUE,"Inclusions";#N/A,#N/A,TRUE,"Exclusions";#N/A,#N/A,TRUE,"Areas";#N/A,#N/A,TRUE,"Summary";#N/A,#N/A,TRUE,"Detail"}</definedName>
    <definedName name="SVFFG" hidden="1">{#N/A,#N/A,TRUE,"Front";#N/A,#N/A,TRUE,"Simple Letter";#N/A,#N/A,TRUE,"Inside";#N/A,#N/A,TRUE,"Contents";#N/A,#N/A,TRUE,"Basis";#N/A,#N/A,TRUE,"Inclusions";#N/A,#N/A,TRUE,"Exclusions";#N/A,#N/A,TRUE,"Areas";#N/A,#N/A,TRUE,"Summary";#N/A,#N/A,TRUE,"Detail"}</definedName>
    <definedName name="svsdhv" localSheetId="0">#REF!</definedName>
    <definedName name="svsdhv">#REF!</definedName>
    <definedName name="SwBid" localSheetId="0">#REF!</definedName>
    <definedName name="SwBid">#REF!</definedName>
    <definedName name="Swedish" localSheetId="0">#REF!</definedName>
    <definedName name="Swedish">#REF!</definedName>
    <definedName name="SWITCHGEAR_ES_TA">#REF!</definedName>
    <definedName name="SWITCHGEAR_ES_TD">#REF!</definedName>
    <definedName name="SWITCHGERA_ES_TA">#REF!</definedName>
    <definedName name="Swvu.Cost._.Allocation." hidden="1">#REF!</definedName>
    <definedName name="Swvu.Full._.Cash._.Flow." hidden="1">#REF!</definedName>
    <definedName name="Swvu.Marketing." hidden="1">#REF!</definedName>
    <definedName name="Swvu.Marketing._.95.96." hidden="1">#REF!</definedName>
    <definedName name="Swvu.Profit._.and._.Loss." hidden="1">#REF!</definedName>
    <definedName name="Swvu.Summary._.Sheet." hidden="1">#REF!</definedName>
    <definedName name="sxX" hidden="1">#REF!</definedName>
    <definedName name="sy" localSheetId="25" hidden="1">{#N/A,#N/A,FALSE,"Part ABC"}</definedName>
    <definedName name="sy" localSheetId="5" hidden="1">{#N/A,#N/A,FALSE,"Part ABC"}</definedName>
    <definedName name="sy" hidden="1">{#N/A,#N/A,FALSE,"Part ABC"}</definedName>
    <definedName name="sYesNo">#REF!</definedName>
    <definedName name="SYSTEM">#N/A</definedName>
    <definedName name="SZ" localSheetId="0" hidden="1">{#N/A,#N/A,FALSE,"A"}</definedName>
    <definedName name="SZ" hidden="1">{#N/A,#N/A,FALSE,"A"}</definedName>
    <definedName name="t" localSheetId="11">#REF!</definedName>
    <definedName name="t" localSheetId="13">#REF!</definedName>
    <definedName name="t" localSheetId="16">#REF!</definedName>
    <definedName name="t" localSheetId="26">#REF!</definedName>
    <definedName name="t" localSheetId="32">#REF!</definedName>
    <definedName name="t" localSheetId="33">#REF!</definedName>
    <definedName name="t" localSheetId="34">#REF!</definedName>
    <definedName name="t" localSheetId="35">#REF!</definedName>
    <definedName name="t">#REF!</definedName>
    <definedName name="T_">#REF!</definedName>
    <definedName name="T_2">#N/A</definedName>
    <definedName name="T_3">#N/A</definedName>
    <definedName name="T_4">#N/A</definedName>
    <definedName name="T_COMP_DATA">#REF!</definedName>
    <definedName name="T_COMP_선택">#REF!</definedName>
    <definedName name="T_T" localSheetId="0">#REF!</definedName>
    <definedName name="T_T">#REF!</definedName>
    <definedName name="T1_">#N/A</definedName>
    <definedName name="T2_">#N/A</definedName>
    <definedName name="taac">#REF!</definedName>
    <definedName name="tab" localSheetId="25" hidden="1">{#N/A,#N/A,TRUE,"Front";#N/A,#N/A,TRUE,"Simple Letter";#N/A,#N/A,TRUE,"Inside";#N/A,#N/A,TRUE,"Contents";#N/A,#N/A,TRUE,"Basis";#N/A,#N/A,TRUE,"Inclusions";#N/A,#N/A,TRUE,"Exclusions";#N/A,#N/A,TRUE,"Areas";#N/A,#N/A,TRUE,"Summary";#N/A,#N/A,TRUE,"Detail"}</definedName>
    <definedName name="tab" localSheetId="5" hidden="1">{#N/A,#N/A,TRUE,"Front";#N/A,#N/A,TRUE,"Simple Letter";#N/A,#N/A,TRUE,"Inside";#N/A,#N/A,TRUE,"Contents";#N/A,#N/A,TRUE,"Basis";#N/A,#N/A,TRUE,"Inclusions";#N/A,#N/A,TRUE,"Exclusions";#N/A,#N/A,TRUE,"Areas";#N/A,#N/A,TRUE,"Summary";#N/A,#N/A,TRUE,"Detail"}</definedName>
    <definedName name="tab" hidden="1">{#N/A,#N/A,TRUE,"Front";#N/A,#N/A,TRUE,"Simple Letter";#N/A,#N/A,TRUE,"Inside";#N/A,#N/A,TRUE,"Contents";#N/A,#N/A,TRUE,"Basis";#N/A,#N/A,TRUE,"Inclusions";#N/A,#N/A,TRUE,"Exclusions";#N/A,#N/A,TRUE,"Areas";#N/A,#N/A,TRUE,"Summary";#N/A,#N/A,TRUE,"Detail"}</definedName>
    <definedName name="Table">#REF!</definedName>
    <definedName name="table_1">#REF!</definedName>
    <definedName name="Table_x__Implied_Valuation_ranges_for_Hoechst_Group__1998_valuation_base">#REF!</definedName>
    <definedName name="Table1">#REF!</definedName>
    <definedName name="TableBS">#REF!</definedName>
    <definedName name="TableBSA">#REF!</definedName>
    <definedName name="TableCF">#REF!</definedName>
    <definedName name="TableE">#REF!</definedName>
    <definedName name="TableEPB">#REF!</definedName>
    <definedName name="TableFCF">#REF!</definedName>
    <definedName name="TableName">#REF!</definedName>
    <definedName name="TAFName" localSheetId="0">#REF!</definedName>
    <definedName name="TAFName">#REF!</definedName>
    <definedName name="TAMNo" localSheetId="0">#REF!</definedName>
    <definedName name="TAMNo">#REF!</definedName>
    <definedName name="TAName" localSheetId="0">#REF!</definedName>
    <definedName name="TAName">#REF!</definedName>
    <definedName name="TAno">#REF!</definedName>
    <definedName name="TAPlace" localSheetId="0">#REF!</definedName>
    <definedName name="TAPlace">#REF!</definedName>
    <definedName name="TAR">#REF!</definedName>
    <definedName name="tarapur1" hidden="1">#REF!</definedName>
    <definedName name="Target">#REF!</definedName>
    <definedName name="Target1">#REF!</definedName>
    <definedName name="Tariff">#REF!</definedName>
    <definedName name="Tariff_Calc">#REF!</definedName>
    <definedName name="Tariff_Paste">#REF!</definedName>
    <definedName name="tariff_var_mod">#REF!</definedName>
    <definedName name="TarPer" localSheetId="0">#REF!</definedName>
    <definedName name="TarPer">#REF!</definedName>
    <definedName name="tax">#REF!</definedName>
    <definedName name="Tax_benefit_from_interest">#REF!</definedName>
    <definedName name="Tax_benefit_from_oper_leases">#REF!</definedName>
    <definedName name="Tax_benefit_from_ops_leases">#REF!</definedName>
    <definedName name="tax_diff">#REF!</definedName>
    <definedName name="Tax_Effect_Income">#REF!</definedName>
    <definedName name="Tax_Effect_Liabs">#REF!</definedName>
    <definedName name="Tax_Effect_RetEarn">#REF!</definedName>
    <definedName name="tax_on_dividend_paid">#REF!</definedName>
    <definedName name="tax_on_non_recurring_items">#REF!</definedName>
    <definedName name="tax_payable">#REF!</definedName>
    <definedName name="Tax_Prov_c.g" localSheetId="25" hidden="1">{#N/A,#N/A,FALSE,"Aging Summary";#N/A,#N/A,FALSE,"Ratio Analysis";#N/A,#N/A,FALSE,"Test 120 Day Accts";#N/A,#N/A,FALSE,"Tickmarks"}</definedName>
    <definedName name="Tax_Prov_c.g" localSheetId="5" hidden="1">{#N/A,#N/A,FALSE,"Aging Summary";#N/A,#N/A,FALSE,"Ratio Analysis";#N/A,#N/A,FALSE,"Test 120 Day Accts";#N/A,#N/A,FALSE,"Tickmarks"}</definedName>
    <definedName name="Tax_Prov_c.g" hidden="1">{#N/A,#N/A,FALSE,"Aging Summary";#N/A,#N/A,FALSE,"Ratio Analysis";#N/A,#N/A,FALSE,"Test 120 Day Accts";#N/A,#N/A,FALSE,"Tickmarks"}</definedName>
    <definedName name="tax_provided">#REF!</definedName>
    <definedName name="Tax_Rate">#REF!</definedName>
    <definedName name="Tax_Shield_Tax_Rate">#REF!</definedName>
    <definedName name="TaxAudAdd" localSheetId="0">#REF!</definedName>
    <definedName name="TaxAudAdd">#REF!</definedName>
    <definedName name="TaxAuditDate" localSheetId="0">#REF!</definedName>
    <definedName name="TaxAuditDate">#REF!</definedName>
    <definedName name="TAXCOMPMAR03" localSheetId="0" hidden="1">{#N/A,#N/A,FALSE,"4"}</definedName>
    <definedName name="TAXCOMPMAR03" hidden="1">{#N/A,#N/A,FALSE,"4"}</definedName>
    <definedName name="taxes">#REF!</definedName>
    <definedName name="TAXONSALE">#REF!</definedName>
    <definedName name="TaxPaid10" localSheetId="25">#REF!</definedName>
    <definedName name="TaxPaid10" localSheetId="0">#REF!</definedName>
    <definedName name="TaxPaid10" localSheetId="43">#REF!</definedName>
    <definedName name="TaxPaid10" localSheetId="5">#REF!</definedName>
    <definedName name="TaxPaid10">#REF!</definedName>
    <definedName name="TaxRate11" localSheetId="25">#REF!</definedName>
    <definedName name="TaxRate11" localSheetId="0">#REF!</definedName>
    <definedName name="TaxRate11" localSheetId="43">#REF!</definedName>
    <definedName name="TaxRate11" localSheetId="5">#REF!</definedName>
    <definedName name="TaxRate11">#REF!</definedName>
    <definedName name="Taxrate12" localSheetId="11">#REF!</definedName>
    <definedName name="Taxrate12" localSheetId="13">#REF!</definedName>
    <definedName name="Taxrate12" localSheetId="16">#REF!</definedName>
    <definedName name="Taxrate12" localSheetId="26">#REF!</definedName>
    <definedName name="Taxrate12" localSheetId="32">#REF!</definedName>
    <definedName name="Taxrate12" localSheetId="33">#REF!</definedName>
    <definedName name="Taxrate12" localSheetId="34">#REF!</definedName>
    <definedName name="Taxrate12" localSheetId="35">#REF!</definedName>
    <definedName name="Taxrate12">#REF!</definedName>
    <definedName name="taxrate95">#REF!</definedName>
    <definedName name="taxrate96">#REF!</definedName>
    <definedName name="taxrate97">#REF!</definedName>
    <definedName name="taxrate98">#REF!</definedName>
    <definedName name="taxrate99">#REF!</definedName>
    <definedName name="TaxSetOffDec09" hidden="1">#REF!</definedName>
    <definedName name="TaxTV">10%</definedName>
    <definedName name="TaxXL">5%</definedName>
    <definedName name="tb" localSheetId="0">#REF!</definedName>
    <definedName name="tb">#REF!</definedName>
    <definedName name="tbl_ProdInfo" hidden="1">#REF!</definedName>
    <definedName name="tbl_ProdInfoPL" hidden="1">#REF!</definedName>
    <definedName name="TBUSD">#REF!</definedName>
    <definedName name="tcs">#REF!</definedName>
    <definedName name="TD" localSheetId="0">#REF!</definedName>
    <definedName name="TD">#REF!</definedName>
    <definedName name="TDCF94">#REF!</definedName>
    <definedName name="TDCF95">#REF!</definedName>
    <definedName name="TDSApplicability">#REF!</definedName>
    <definedName name="tdslate">#REF!</definedName>
    <definedName name="TEE">#REF!</definedName>
    <definedName name="TEHT" localSheetId="0" hidden="1">{"VIEW1",#N/A,FALSE,"P&amp;L Account 2001-2002";"VIEW2",#N/A,FALSE,"P&amp;L Account 2001-2002";"VIEW3",#N/A,FALSE,"P&amp;L Account 2001-2002";"VIEW4",#N/A,FALSE,"P&amp;L Account 2001-2002"}</definedName>
    <definedName name="TEHT" hidden="1">{"VIEW1",#N/A,FALSE,"P&amp;L Account 2001-2002";"VIEW2",#N/A,FALSE,"P&amp;L Account 2001-2002";"VIEW3",#N/A,FALSE,"P&amp;L Account 2001-2002";"VIEW4",#N/A,FALSE,"P&amp;L Account 2001-2002"}</definedName>
    <definedName name="Telangana" localSheetId="0">#REF!</definedName>
    <definedName name="Telangana">#REF!</definedName>
    <definedName name="TELE" localSheetId="25" hidden="1">{"'Mach'!$A$1:$D$39"}</definedName>
    <definedName name="TELE" localSheetId="5" hidden="1">{"'Mach'!$A$1:$D$39"}</definedName>
    <definedName name="TELE" hidden="1">{"'Mach'!$A$1:$D$39"}</definedName>
    <definedName name="Telephone">"eDoctor"</definedName>
    <definedName name="temp" localSheetId="25" hidden="1">{#N/A,#N/A,TRUE,"Front";#N/A,#N/A,TRUE,"Simple Letter";#N/A,#N/A,TRUE,"Inside";#N/A,#N/A,TRUE,"Contents";#N/A,#N/A,TRUE,"Basis";#N/A,#N/A,TRUE,"Inclusions";#N/A,#N/A,TRUE,"Exclusions";#N/A,#N/A,TRUE,"Areas";#N/A,#N/A,TRUE,"Summary";#N/A,#N/A,TRUE,"Detail"}</definedName>
    <definedName name="TEMP" localSheetId="0">#REF!</definedName>
    <definedName name="temp" localSheetId="5"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_strainer">#REF!</definedName>
    <definedName name="temp1" localSheetId="25" hidden="1">{#N/A,#N/A,TRUE,"Front";#N/A,#N/A,TRUE,"Simple Letter";#N/A,#N/A,TRUE,"Inside";#N/A,#N/A,TRUE,"Contents";#N/A,#N/A,TRUE,"Basis";#N/A,#N/A,TRUE,"Inclusions";#N/A,#N/A,TRUE,"Exclusions";#N/A,#N/A,TRUE,"Areas";#N/A,#N/A,TRUE,"Summary";#N/A,#N/A,TRUE,"Detail"}</definedName>
    <definedName name="temp1" localSheetId="5"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MP2">#N/A</definedName>
    <definedName name="TEMP3">#N/A</definedName>
    <definedName name="TEMP8">#N/A</definedName>
    <definedName name="TEMP9">#N/A</definedName>
    <definedName name="template">#REF!</definedName>
    <definedName name="TemplatePrintArea">#REF!</definedName>
    <definedName name="term">#REF!</definedName>
    <definedName name="termination_cost">#REF!</definedName>
    <definedName name="test" localSheetId="25" hidden="1">{#N/A,#N/A,FALSE,"COVER1.XLS ";#N/A,#N/A,FALSE,"RACT1.XLS";#N/A,#N/A,FALSE,"RACT2.XLS";#N/A,#N/A,FALSE,"ECCMP";#N/A,#N/A,FALSE,"WELDER.XLS"}</definedName>
    <definedName name="test" localSheetId="5" hidden="1">{#N/A,#N/A,FALSE,"COVER1.XLS ";#N/A,#N/A,FALSE,"RACT1.XLS";#N/A,#N/A,FALSE,"RACT2.XLS";#N/A,#N/A,FALSE,"ECCMP";#N/A,#N/A,FALSE,"WELDER.XLS"}</definedName>
    <definedName name="test" hidden="1">{#N/A,#N/A,FALSE,"COVER1.XLS ";#N/A,#N/A,FALSE,"RACT1.XLS";#N/A,#N/A,FALSE,"RACT2.XLS";#N/A,#N/A,FALSE,"ECCMP";#N/A,#N/A,FALSE,"WELDER.XLS"}</definedName>
    <definedName name="TEST0" localSheetId="0">#REF!</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#REF!</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#REF!</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#REF!</definedName>
    <definedName name="TEST150">#REF!</definedName>
    <definedName name="TEST151">#REF!</definedName>
    <definedName name="TEST152">#REF!</definedName>
    <definedName name="TEST153">#REF!</definedName>
    <definedName name="TEST154">#REF!</definedName>
    <definedName name="TEST155">#REF!</definedName>
    <definedName name="TEST156">#REF!</definedName>
    <definedName name="TEST157">#REF!</definedName>
    <definedName name="TEST158">#REF!</definedName>
    <definedName name="TEST159">#REF!</definedName>
    <definedName name="TEST16">#REF!</definedName>
    <definedName name="TEST160">#REF!</definedName>
    <definedName name="TEST161">#REF!</definedName>
    <definedName name="TEST162">#REF!</definedName>
    <definedName name="TEST163">#REF!</definedName>
    <definedName name="TEST164">#REF!</definedName>
    <definedName name="TEST17" localSheetId="0">#REF!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 localSheetId="0">#REF!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 localSheetId="0">#REF!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Add">"Test RefersTo1"</definedName>
    <definedName name="TESTHKEY">#REF!</definedName>
    <definedName name="TESTKEYS">#REF!</definedName>
    <definedName name="TESTVKEY">#REF!</definedName>
    <definedName name="testy">#N/A</definedName>
    <definedName name="tev">#REF!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 localSheetId="0">#REF!</definedName>
    <definedName name="TextRefCopy29">#REF!</definedName>
    <definedName name="TextRefCopy3">#REF!</definedName>
    <definedName name="TextRefCopy30" localSheetId="0">#REF!</definedName>
    <definedName name="TextRefCopy30">#REF!</definedName>
    <definedName name="TextRefCopy31" localSheetId="0">#REF!</definedName>
    <definedName name="TextRefCopy31">#REF!</definedName>
    <definedName name="TextRefCopy32" localSheetId="0">#REF!</definedName>
    <definedName name="TextRefCopy32">#REF!</definedName>
    <definedName name="TextRefCopy33">#REF!</definedName>
    <definedName name="TextRefCopy34">#REF!</definedName>
    <definedName name="TextRefCopy35">#REF!</definedName>
    <definedName name="TextRefCopy36" localSheetId="0">#REF!</definedName>
    <definedName name="TextRefCopy36">#REF!</definedName>
    <definedName name="TextRefCopy37" localSheetId="0">#REF!</definedName>
    <definedName name="TextRefCopy37">#REF!</definedName>
    <definedName name="TextRefCopy38" localSheetId="0">#REF!</definedName>
    <definedName name="TextRefCopy38">#REF!</definedName>
    <definedName name="TextRefCopy39" localSheetId="0">#REF!</definedName>
    <definedName name="TextRefCopy39">#REF!</definedName>
    <definedName name="TextRefCopy4" localSheetId="0">#REF!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 localSheetId="0">#REF!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7">#REF!</definedName>
    <definedName name="TextRefCopy8">#REF!</definedName>
    <definedName name="TextRefCopy9">#REF!</definedName>
    <definedName name="TextRefCopyRangeCount" localSheetId="0" hidden="1">5</definedName>
    <definedName name="TextRefCopyRangeCount" hidden="1">4</definedName>
    <definedName name="textToday">#REF!</definedName>
    <definedName name="tfc">#REF!</definedName>
    <definedName name="tfd">#REF!</definedName>
    <definedName name="TFO">#REF!</definedName>
    <definedName name="tfr">#REF!</definedName>
    <definedName name="tgasvs" localSheetId="0">#REF!</definedName>
    <definedName name="tgasvs">#REF!</definedName>
    <definedName name="TGHG" localSheetId="25" hidden="1">{#N/A,#N/A,FALSE,"SUMMARY";#N/A,#N/A,FALSE,"SUMMARY"}</definedName>
    <definedName name="TGHG" localSheetId="5" hidden="1">{#N/A,#N/A,FALSE,"SUMMARY";#N/A,#N/A,FALSE,"SUMMARY"}</definedName>
    <definedName name="TGHG" hidden="1">{#N/A,#N/A,FALSE,"SUMMARY";#N/A,#N/A,FALSE,"SUMMARY"}</definedName>
    <definedName name="TGTFGF"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_asean">#REF!</definedName>
    <definedName name="th_asean5">#REF!</definedName>
    <definedName name="th_asia">#REF!</definedName>
    <definedName name="THAI_PLASTIC_in_KUSD">#REF!</definedName>
    <definedName name="The_Netherlands">#REF!</definedName>
    <definedName name="THK">#REF!</definedName>
    <definedName name="thou">#REF!</definedName>
    <definedName name="threeg">#REF!</definedName>
    <definedName name="Threshold">#REF!</definedName>
    <definedName name="THTH" localSheetId="25" hidden="1">{#N/A,#N/A,FALSE,"TOWNSHIP"}</definedName>
    <definedName name="THTH" localSheetId="5" hidden="1">{#N/A,#N/A,FALSE,"TOWNSHIP"}</definedName>
    <definedName name="THTH" hidden="1">{#N/A,#N/A,FALSE,"TOWNSHIP"}</definedName>
    <definedName name="tidf" localSheetId="25" hidden="1">{"'Sheet1'!$L$16"}</definedName>
    <definedName name="tidf" localSheetId="0" hidden="1">{"'Sheet1'!$L$16"}</definedName>
    <definedName name="tidf" localSheetId="5" hidden="1">{"'Sheet1'!$L$16"}</definedName>
    <definedName name="tidf" hidden="1">{"'Sheet1'!$L$16"}</definedName>
    <definedName name="Title">#REF!</definedName>
    <definedName name="titles">#REF!</definedName>
    <definedName name="tmkk_control" localSheetId="25" hidden="1">{"'August 2000'!$A$1:$J$101"}</definedName>
    <definedName name="tmkk_control" localSheetId="5" hidden="1">{"'August 2000'!$A$1:$J$101"}</definedName>
    <definedName name="tmkk_control" hidden="1">{"'August 2000'!$A$1:$J$101"}</definedName>
    <definedName name="TML_control" localSheetId="25" hidden="1">{"'August 2000'!$A$1:$J$101"}</definedName>
    <definedName name="TML_control" localSheetId="5" hidden="1">{"'August 2000'!$A$1:$J$101"}</definedName>
    <definedName name="TML_control" hidden="1">{"'August 2000'!$A$1:$J$101"}</definedName>
    <definedName name="TMP">#REF!</definedName>
    <definedName name="tnd">#REF!</definedName>
    <definedName name="to" localSheetId="25" hidden="1">{#N/A,#N/A,TRUE,"Front";#N/A,#N/A,TRUE,"Simple Letter";#N/A,#N/A,TRUE,"Inside";#N/A,#N/A,TRUE,"Contents";#N/A,#N/A,TRUE,"Basis";#N/A,#N/A,TRUE,"Inclusions";#N/A,#N/A,TRUE,"Exclusions";#N/A,#N/A,TRUE,"Areas";#N/A,#N/A,TRUE,"Summary";#N/A,#N/A,TRUE,"Detail"}</definedName>
    <definedName name="to" localSheetId="0" hidden="1">{#N/A,#N/A,TRUE,"Front";#N/A,#N/A,TRUE,"Simple Letter";#N/A,#N/A,TRUE,"Inside";#N/A,#N/A,TRUE,"Contents";#N/A,#N/A,TRUE,"Basis";#N/A,#N/A,TRUE,"Inclusions";#N/A,#N/A,TRUE,"Exclusions";#N/A,#N/A,TRUE,"Areas";#N/A,#N/A,TRUE,"Summary";#N/A,#N/A,TRUE,"Detail"}</definedName>
    <definedName name="to" localSheetId="5" hidden="1">{#N/A,#N/A,TRUE,"Front";#N/A,#N/A,TRUE,"Simple Letter";#N/A,#N/A,TRUE,"Inside";#N/A,#N/A,TRUE,"Contents";#N/A,#N/A,TRUE,"Basis";#N/A,#N/A,TRUE,"Inclusions";#N/A,#N/A,TRUE,"Exclusions";#N/A,#N/A,TRUE,"Areas";#N/A,#N/A,TRUE,"Summary";#N/A,#N/A,TRUE,"Detail"}</definedName>
    <definedName name="to" hidden="1">{#N/A,#N/A,TRUE,"Front";#N/A,#N/A,TRUE,"Simple Letter";#N/A,#N/A,TRUE,"Inside";#N/A,#N/A,TRUE,"Contents";#N/A,#N/A,TRUE,"Basis";#N/A,#N/A,TRUE,"Inclusions";#N/A,#N/A,TRUE,"Exclusions";#N/A,#N/A,TRUE,"Areas";#N/A,#N/A,TRUE,"Summary";#N/A,#N/A,TRUE,"Detail"}</definedName>
    <definedName name="tod">#REF!</definedName>
    <definedName name="TOL">#REF!</definedName>
    <definedName name="Tolerance">0.0025</definedName>
    <definedName name="TON">#N/A</definedName>
    <definedName name="TOOL_GEN_TA">#REF!</definedName>
    <definedName name="TOOL_GEN_TD">#REF!</definedName>
    <definedName name="Topics">#REF!</definedName>
    <definedName name="TOT">NA()</definedName>
    <definedName name="TOT___0">NA()</definedName>
    <definedName name="Tot_knw_Xfoot">#REF!</definedName>
    <definedName name="Tot_lik_Xfoot">#REF!</definedName>
    <definedName name="TOTAL">"TOTAL+'990309 수정'!$A$5:$AE$501"</definedName>
    <definedName name="Total_Acc">#REF!</definedName>
    <definedName name="total_accr">#REF!</definedName>
    <definedName name="total_amortisation">#REF!</definedName>
    <definedName name="Total_Amortization">#REF!</definedName>
    <definedName name="total_arbitration">#REF!</definedName>
    <definedName name="total_assets">#REF!</definedName>
    <definedName name="total_assets_avg">#REF!</definedName>
    <definedName name="Total_Building">#REF!</definedName>
    <definedName name="total_capex">#REF!</definedName>
    <definedName name="Total_computer">#REF!</definedName>
    <definedName name="Total_COS">#REF!</definedName>
    <definedName name="Total_COS_net_DnA">#REF!</definedName>
    <definedName name="total_current_assets">#REF!</definedName>
    <definedName name="total_current_liabilities">#REF!</definedName>
    <definedName name="Total_debt">#REF!</definedName>
    <definedName name="Total_debt_DCF">#REF!</definedName>
    <definedName name="total_depreciation">#REF!</definedName>
    <definedName name="Total_Elec">#REF!</definedName>
    <definedName name="total_enterprise_value">#REF!</definedName>
    <definedName name="total_equity_liabilities">#REF!</definedName>
    <definedName name="total_exposure_curr_rate" localSheetId="0">#REF!</definedName>
    <definedName name="total_exposure_curr_rate">#REF!</definedName>
    <definedName name="total_exposure_proj_rate">#REF!</definedName>
    <definedName name="Total_Furniture">#REF!</definedName>
    <definedName name="total_income">#REF!</definedName>
    <definedName name="Total_increase_in_EEs">#REF!</definedName>
    <definedName name="total_intangible_fixed_assets">#REF!</definedName>
    <definedName name="total_liabilities">#REF!</definedName>
    <definedName name="total_non_current_assets">#REF!</definedName>
    <definedName name="total_non_current_liabilities">#REF!</definedName>
    <definedName name="Total_Office">#REF!</definedName>
    <definedName name="total_operating_cash_flow">#REF!</definedName>
    <definedName name="total_operating_expenses">#REF!</definedName>
    <definedName name="Total_other_assets">#REF!</definedName>
    <definedName name="Total_Pay">#REF!</definedName>
    <definedName name="Total_revenue">#REF!</definedName>
    <definedName name="Total_Sales" localSheetId="0">#REF!</definedName>
    <definedName name="Total_Sales">#REF!</definedName>
    <definedName name="total_shareholders_equity">#REF!</definedName>
    <definedName name="total_shareholders_equity_avg">#REF!</definedName>
    <definedName name="total_tangible_fixed_assets">#REF!</definedName>
    <definedName name="total_tax_paid">#REF!</definedName>
    <definedName name="Total_variable" localSheetId="0">#REF!</definedName>
    <definedName name="Total_variable">#REF!</definedName>
    <definedName name="total19">#REF!</definedName>
    <definedName name="total20">#REF!</definedName>
    <definedName name="total21">#REF!</definedName>
    <definedName name="total22">#REF!</definedName>
    <definedName name="total23">#REF!</definedName>
    <definedName name="totalamt">#REF!</definedName>
    <definedName name="TotalBbmb" localSheetId="0">#REF!</definedName>
    <definedName name="TotalBbmb">#REF!</definedName>
    <definedName name="totalin">#REF!</definedName>
    <definedName name="TotalRoE10" localSheetId="25">#REF!</definedName>
    <definedName name="TotalRoE10" localSheetId="0">#REF!</definedName>
    <definedName name="TotalRoE10" localSheetId="43">#REF!</definedName>
    <definedName name="TotalRoE10" localSheetId="5">#REF!</definedName>
    <definedName name="TotalRoE10">#REF!</definedName>
    <definedName name="totalwi">#REF!</definedName>
    <definedName name="TOTALWT">#N/A</definedName>
    <definedName name="tp">#REF!</definedName>
    <definedName name="tr" localSheetId="25" hidden="1">{#N/A,#N/A,FALSE,"COVER.XLS";#N/A,#N/A,FALSE,"RACT1.XLS";#N/A,#N/A,FALSE,"RACT2.XLS";#N/A,#N/A,FALSE,"ECCMP";#N/A,#N/A,FALSE,"WELDER.XLS"}</definedName>
    <definedName name="tr" localSheetId="0" hidden="1">{#N/A,#N/A,FALSE,"COVER.XLS";#N/A,#N/A,FALSE,"RACT1.XLS";#N/A,#N/A,FALSE,"RACT2.XLS";#N/A,#N/A,FALSE,"ECCMP";#N/A,#N/A,FALSE,"WELDER.XLS"}</definedName>
    <definedName name="tr" localSheetId="5" hidden="1">{#N/A,#N/A,FALSE,"COVER.XLS";#N/A,#N/A,FALSE,"RACT1.XLS";#N/A,#N/A,FALSE,"RACT2.XLS";#N/A,#N/A,FALSE,"ECCMP";#N/A,#N/A,FALSE,"WELDER.XLS"}</definedName>
    <definedName name="tr" hidden="1">{#N/A,#N/A,FALSE,"COVER.XLS";#N/A,#N/A,FALSE,"RACT1.XLS";#N/A,#N/A,FALSE,"RACT2.XLS";#N/A,#N/A,FALSE,"ECCMP";#N/A,#N/A,FALSE,"WELDER.XLS"}</definedName>
    <definedName name="TradeType">#REF!</definedName>
    <definedName name="TRANSFORMER_ES_TA">#REF!</definedName>
    <definedName name="TRANSFORMER_ES_TD">#REF!</definedName>
    <definedName name="TRAVEL">#REF!</definedName>
    <definedName name="travelling">#REF!</definedName>
    <definedName name="TRBB">#REF!</definedName>
    <definedName name="TRBC">#REF!</definedName>
    <definedName name="TRBG">#REF!</definedName>
    <definedName name="TRBH">#REF!</definedName>
    <definedName name="TRBHO">#REF!</definedName>
    <definedName name="TRBJ">#REF!</definedName>
    <definedName name="TRBM">#REF!</definedName>
    <definedName name="TRBP">#REF!</definedName>
    <definedName name="TRBY">#REF!</definedName>
    <definedName name="Treasury">#REF!</definedName>
    <definedName name="TREE_INVEST">#REF!</definedName>
    <definedName name="treeList" hidden="1">"10000000000000000000000000000000000000000000000000000000000000000000000000000000000000000000000000000000000000000000000000000000000000000000000000000000000000000000000000000000000000000000000000000000"</definedName>
    <definedName name="TrendPY4_Sel1">#REF!</definedName>
    <definedName name="TrendRollFWD">#REF!</definedName>
    <definedName name="TRGCOST">#REF!</definedName>
    <definedName name="TRGG" localSheetId="25" hidden="1">{#N/A,#N/A,TRUE,"Front";#N/A,#N/A,TRUE,"Simple Letter";#N/A,#N/A,TRUE,"Inside";#N/A,#N/A,TRUE,"Contents";#N/A,#N/A,TRUE,"Basis";#N/A,#N/A,TRUE,"Inclusions";#N/A,#N/A,TRUE,"Exclusions";#N/A,#N/A,TRUE,"Areas";#N/A,#N/A,TRUE,"Summary";#N/A,#N/A,TRUE,"Detail"}</definedName>
    <definedName name="TRGG" localSheetId="5" hidden="1">{#N/A,#N/A,TRUE,"Front";#N/A,#N/A,TRUE,"Simple Letter";#N/A,#N/A,TRUE,"Inside";#N/A,#N/A,TRUE,"Contents";#N/A,#N/A,TRUE,"Basis";#N/A,#N/A,TRUE,"Inclusions";#N/A,#N/A,TRUE,"Exclusions";#N/A,#N/A,TRUE,"Areas";#N/A,#N/A,TRUE,"Summary";#N/A,#N/A,TRUE,"Detail"}</definedName>
    <definedName name="TRGG" hidden="1">{#N/A,#N/A,TRUE,"Front";#N/A,#N/A,TRUE,"Simple Letter";#N/A,#N/A,TRUE,"Inside";#N/A,#N/A,TRUE,"Contents";#N/A,#N/A,TRUE,"Basis";#N/A,#N/A,TRUE,"Inclusions";#N/A,#N/A,TRUE,"Exclusions";#N/A,#N/A,TRUE,"Areas";#N/A,#N/A,TRUE,"Summary";#N/A,#N/A,TRUE,"Detail"}</definedName>
    <definedName name="TRIAL">#REF!</definedName>
    <definedName name="Trial_30_09_09">#REF!</definedName>
    <definedName name="TRIAL_30_11_09">#REF!</definedName>
    <definedName name="Trial_SAP">#REF!</definedName>
    <definedName name="trial2">#REF!</definedName>
    <definedName name="tripping" localSheetId="11">#REF!</definedName>
    <definedName name="tripping" localSheetId="13">#REF!</definedName>
    <definedName name="tripping" localSheetId="16">#REF!</definedName>
    <definedName name="tripping" localSheetId="26">#REF!</definedName>
    <definedName name="tripping" localSheetId="32">#REF!</definedName>
    <definedName name="tripping" localSheetId="33">#REF!</definedName>
    <definedName name="tripping" localSheetId="34">#REF!</definedName>
    <definedName name="tripping" localSheetId="35">#REF!</definedName>
    <definedName name="tripping">#REF!</definedName>
    <definedName name="trrryt" localSheetId="25" hidden="1">{#N/A,#N/A,TRUE,"Front";#N/A,#N/A,TRUE,"Simple Letter";#N/A,#N/A,TRUE,"Inside";#N/A,#N/A,TRUE,"Contents";#N/A,#N/A,TRUE,"Basis";#N/A,#N/A,TRUE,"Inclusions";#N/A,#N/A,TRUE,"Exclusions";#N/A,#N/A,TRUE,"Areas";#N/A,#N/A,TRUE,"Summary";#N/A,#N/A,TRUE,"Detail"}</definedName>
    <definedName name="trrryt" localSheetId="5" hidden="1">{#N/A,#N/A,TRUE,"Front";#N/A,#N/A,TRUE,"Simple Letter";#N/A,#N/A,TRUE,"Inside";#N/A,#N/A,TRUE,"Contents";#N/A,#N/A,TRUE,"Basis";#N/A,#N/A,TRUE,"Inclusions";#N/A,#N/A,TRUE,"Exclusions";#N/A,#N/A,TRUE,"Areas";#N/A,#N/A,TRUE,"Summary";#N/A,#N/A,TRUE,"Detail"}</definedName>
    <definedName name="trrryt" hidden="1">{#N/A,#N/A,TRUE,"Front";#N/A,#N/A,TRUE,"Simple Letter";#N/A,#N/A,TRUE,"Inside";#N/A,#N/A,TRUE,"Contents";#N/A,#N/A,TRUE,"Basis";#N/A,#N/A,TRUE,"Inclusions";#N/A,#N/A,TRUE,"Exclusions";#N/A,#N/A,TRUE,"Areas";#N/A,#N/A,TRUE,"Summary";#N/A,#N/A,TRUE,"Detail"}</definedName>
    <definedName name="TRU" localSheetId="25" hidden="1">{#N/A,#N/A,TRUE,"Front";#N/A,#N/A,TRUE,"Simple Letter";#N/A,#N/A,TRUE,"Inside";#N/A,#N/A,TRUE,"Contents";#N/A,#N/A,TRUE,"Basis";#N/A,#N/A,TRUE,"Inclusions";#N/A,#N/A,TRUE,"Exclusions";#N/A,#N/A,TRUE,"Areas";#N/A,#N/A,TRUE,"Summary";#N/A,#N/A,TRUE,"Detail"}</definedName>
    <definedName name="TRU" localSheetId="0" hidden="1">{#N/A,#N/A,TRUE,"Front";#N/A,#N/A,TRUE,"Simple Letter";#N/A,#N/A,TRUE,"Inside";#N/A,#N/A,TRUE,"Contents";#N/A,#N/A,TRUE,"Basis";#N/A,#N/A,TRUE,"Inclusions";#N/A,#N/A,TRUE,"Exclusions";#N/A,#N/A,TRUE,"Areas";#N/A,#N/A,TRUE,"Summary";#N/A,#N/A,TRUE,"Detail"}</definedName>
    <definedName name="TRU" localSheetId="5" hidden="1">{#N/A,#N/A,TRUE,"Front";#N/A,#N/A,TRUE,"Simple Letter";#N/A,#N/A,TRUE,"Inside";#N/A,#N/A,TRUE,"Contents";#N/A,#N/A,TRUE,"Basis";#N/A,#N/A,TRUE,"Inclusions";#N/A,#N/A,TRUE,"Exclusions";#N/A,#N/A,TRUE,"Areas";#N/A,#N/A,TRUE,"Summary";#N/A,#N/A,TRUE,"Detail"}</definedName>
    <definedName name="TRU" hidden="1">{#N/A,#N/A,TRUE,"Front";#N/A,#N/A,TRUE,"Simple Letter";#N/A,#N/A,TRUE,"Inside";#N/A,#N/A,TRUE,"Contents";#N/A,#N/A,TRUE,"Basis";#N/A,#N/A,TRUE,"Inclusions";#N/A,#N/A,TRUE,"Exclusions";#N/A,#N/A,TRUE,"Areas";#N/A,#N/A,TRUE,"Summary";#N/A,#N/A,TRUE,"Detail"}</definedName>
    <definedName name="TrueFalse">#REF!</definedName>
    <definedName name="TRV_LT" localSheetId="0">#REF!</definedName>
    <definedName name="TRV_LT">#REF!</definedName>
    <definedName name="TRV_NO">#N/A</definedName>
    <definedName name="TRVNO">#N/A</definedName>
    <definedName name="try">#REF!</definedName>
    <definedName name="tspcap97">#REF!</definedName>
    <definedName name="tspcap98">#REF!</definedName>
    <definedName name="tspdda93">#REF!</definedName>
    <definedName name="tspdda94">#REF!</definedName>
    <definedName name="tspdda95">#REF!</definedName>
    <definedName name="tspdda96">#REF!</definedName>
    <definedName name="tspdda97">#REF!</definedName>
    <definedName name="tspdda98">#REF!</definedName>
    <definedName name="tspdfd93">#REF!</definedName>
    <definedName name="tspdfd94">#REF!</definedName>
    <definedName name="tspdfd95">#REF!</definedName>
    <definedName name="tspdfd96">#REF!</definedName>
    <definedName name="tspdfd97">#REF!</definedName>
    <definedName name="tspdfd98">#REF!</definedName>
    <definedName name="tspga93">#REF!</definedName>
    <definedName name="tspga94">#REF!</definedName>
    <definedName name="tspga95">#REF!</definedName>
    <definedName name="tspga96">#REF!</definedName>
    <definedName name="tspga97">#REF!</definedName>
    <definedName name="tspga98">#REF!</definedName>
    <definedName name="tspint93">#REF!</definedName>
    <definedName name="tspint94">#REF!</definedName>
    <definedName name="tspint95">#REF!</definedName>
    <definedName name="tspint96">#REF!</definedName>
    <definedName name="tspint97">#REF!</definedName>
    <definedName name="tspint98">#REF!</definedName>
    <definedName name="tspoth93">#REF!</definedName>
    <definedName name="tspoth94">#REF!</definedName>
    <definedName name="tspoth95">#REF!</definedName>
    <definedName name="tspoth96">#REF!</definedName>
    <definedName name="tspoth97">#REF!</definedName>
    <definedName name="tspoth98">#REF!</definedName>
    <definedName name="tsptax93">#REF!</definedName>
    <definedName name="tsptax94">#REF!</definedName>
    <definedName name="tsptax95">#REF!</definedName>
    <definedName name="tsptax96">#REF!</definedName>
    <definedName name="tsptax97">#REF!</definedName>
    <definedName name="tsptax98">#REF!</definedName>
    <definedName name="tt">#REF!</definedName>
    <definedName name="ttl_dscnt">#REF!</definedName>
    <definedName name="TTL_SALE">#N/A</definedName>
    <definedName name="TTL_UC">#N/A</definedName>
    <definedName name="TTLSALE">#N/A</definedName>
    <definedName name="ttt" localSheetId="25" hidden="1">{"'장비'!$A$3:$M$12"}</definedName>
    <definedName name="ttt" localSheetId="0" hidden="1">{"'장비'!$A$3:$M$12"}</definedName>
    <definedName name="ttt" localSheetId="5" hidden="1">{"'장비'!$A$3:$M$12"}</definedName>
    <definedName name="ttt" hidden="1">{"'장비'!$A$3:$M$12"}</definedName>
    <definedName name="ttthtr" localSheetId="25" hidden="1">{#N/A,#N/A,FALSE,"TOWNSHIP"}</definedName>
    <definedName name="ttthtr" localSheetId="5" hidden="1">{#N/A,#N/A,FALSE,"TOWNSHIP"}</definedName>
    <definedName name="ttthtr" hidden="1">{#N/A,#N/A,FALSE,"TOWNSHIP"}</definedName>
    <definedName name="tube_test_press1_12">#REF!</definedName>
    <definedName name="TURNOVER">#REF!</definedName>
    <definedName name="tw_asia">#REF!</definedName>
    <definedName name="tw_nie">#REF!</definedName>
    <definedName name="twac">#REF!</definedName>
    <definedName name="twentytwo_pct">#REF!</definedName>
    <definedName name="twentytwo_pctneu">#REF!</definedName>
    <definedName name="TWNo">#REF!</definedName>
    <definedName name="two">#REF!</definedName>
    <definedName name="ty" hidden="1">#REF!</definedName>
    <definedName name="TYPE">#N/A</definedName>
    <definedName name="TypePlant" localSheetId="0">#REF!</definedName>
    <definedName name="TypePlant">#REF!</definedName>
    <definedName name="U" localSheetId="0">#N/A</definedName>
    <definedName name="u" hidden="1">#REF!</definedName>
    <definedName name="U_">#REF!</definedName>
    <definedName name="u_sd">#REF!</definedName>
    <definedName name="U1LossPg1">#REF!</definedName>
    <definedName name="U1LossPg2">#REF!</definedName>
    <definedName name="U1PG1">#REF!</definedName>
    <definedName name="U1PG2">#REF!</definedName>
    <definedName name="U2LossPg1">#REF!</definedName>
    <definedName name="U2LossPg2">#REF!</definedName>
    <definedName name="U2Pg_2">#REF!</definedName>
    <definedName name="U2PG1">#REF!</definedName>
    <definedName name="U2PG2">#REF!</definedName>
    <definedName name="U3LossPg1">#REF!</definedName>
    <definedName name="U3lossPg2">#REF!</definedName>
    <definedName name="U3PG1">#REF!</definedName>
    <definedName name="U3PG2">#REF!</definedName>
    <definedName name="U4to7_DB" localSheetId="0">#REF!</definedName>
    <definedName name="U4to7_DB">#REF!</definedName>
    <definedName name="U8_DB" localSheetId="0">#REF!</definedName>
    <definedName name="U8_DB">#REF!</definedName>
    <definedName name="uco" hidden="1">{"'Sheet1'!$A$5:$E$42"}</definedName>
    <definedName name="UD">#REF!</definedName>
    <definedName name="ue____Iª">#N/A</definedName>
    <definedName name="UG">#REF!</definedName>
    <definedName name="ugu">#REF!</definedName>
    <definedName name="ui">#REF!</definedName>
    <definedName name="ui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UM">#N/A</definedName>
    <definedName name="uma" hidden="1">{#N/A,#N/A,FALSE,"COVER1.XLS ";#N/A,#N/A,FALSE,"RACT1.XLS";#N/A,#N/A,FALSE,"RACT2.XLS";#N/A,#N/A,FALSE,"ECCMP";#N/A,#N/A,FALSE,"WELDER.XLS"}</definedName>
    <definedName name="UMMALNAR">#REF!</definedName>
    <definedName name="unadj._shares">#REF!</definedName>
    <definedName name="UNION">#REF!</definedName>
    <definedName name="UNIT">#N/A</definedName>
    <definedName name="uNIT1" localSheetId="11">#REF!</definedName>
    <definedName name="uNIT1" localSheetId="13">#REF!</definedName>
    <definedName name="uNIT1" localSheetId="16">#REF!</definedName>
    <definedName name="uNIT1" localSheetId="26">#REF!</definedName>
    <definedName name="uNIT1" localSheetId="32">#REF!</definedName>
    <definedName name="uNIT1" localSheetId="33">#REF!</definedName>
    <definedName name="uNIT1" localSheetId="34">#REF!</definedName>
    <definedName name="uNIT1" localSheetId="35">#REF!</definedName>
    <definedName name="uNIT1">#REF!</definedName>
    <definedName name="uNIT2" localSheetId="11">#REF!</definedName>
    <definedName name="uNIT2" localSheetId="13">#REF!</definedName>
    <definedName name="uNIT2" localSheetId="16">#REF!</definedName>
    <definedName name="uNIT2" localSheetId="26">#REF!</definedName>
    <definedName name="uNIT2" localSheetId="32">#REF!</definedName>
    <definedName name="uNIT2" localSheetId="33">#REF!</definedName>
    <definedName name="uNIT2" localSheetId="34">#REF!</definedName>
    <definedName name="uNIT2" localSheetId="35">#REF!</definedName>
    <definedName name="uNIT2">#REF!</definedName>
    <definedName name="uNIT3" localSheetId="11">#REF!</definedName>
    <definedName name="uNIT3" localSheetId="13">#REF!</definedName>
    <definedName name="uNIT3" localSheetId="16">#REF!</definedName>
    <definedName name="uNIT3" localSheetId="26">#REF!</definedName>
    <definedName name="uNIT3" localSheetId="32">#REF!</definedName>
    <definedName name="uNIT3" localSheetId="33">#REF!</definedName>
    <definedName name="uNIT3" localSheetId="34">#REF!</definedName>
    <definedName name="uNIT3" localSheetId="35">#REF!</definedName>
    <definedName name="uNIT3">#REF!</definedName>
    <definedName name="Units">#REF!</definedName>
    <definedName name="Units_sold">#REF!</definedName>
    <definedName name="UNITWT">#N/A</definedName>
    <definedName name="unnamed">#REF!</definedName>
    <definedName name="unnamed_0">#REF!</definedName>
    <definedName name="Unrealised">#REF!</definedName>
    <definedName name="unsec">#REF!</definedName>
    <definedName name="Unsecured_Loans">#REF!</definedName>
    <definedName name="UOM">#REF!</definedName>
    <definedName name="Up_down_to_TP_data">OFFSET(#REF!,1,0,(COUNTA(#REF!)-1-COUNTIF(#REF!,"#N/A")),1)</definedName>
    <definedName name="Update">#REF!</definedName>
    <definedName name="UpsideNPV10">#REF!</definedName>
    <definedName name="UpsideNPV12">#REF!</definedName>
    <definedName name="Upstream_reserve_replacement_cost">#REF!</definedName>
    <definedName name="Upstreammaintenance_capex">#REF!</definedName>
    <definedName name="UranResLife">#REF!</definedName>
    <definedName name="UranResLife16">#REF!</definedName>
    <definedName name="us" localSheetId="0">#REF!</definedName>
    <definedName name="us">#REF!</definedName>
    <definedName name="US_GENERICS">#REF!</definedName>
    <definedName name="USCAP93">#REF!</definedName>
    <definedName name="USCAP94">#REF!</definedName>
    <definedName name="USCAP95">#REF!</definedName>
    <definedName name="USCAP96">#REF!</definedName>
    <definedName name="USCAP97">#REF!</definedName>
    <definedName name="USCAP98">#REF!</definedName>
    <definedName name="USCash">#REF!</definedName>
    <definedName name="uscf00">#REF!</definedName>
    <definedName name="uscf01">#REF!</definedName>
    <definedName name="uscf93">#REF!</definedName>
    <definedName name="uscf94">#REF!</definedName>
    <definedName name="uscf95">#REF!</definedName>
    <definedName name="uscf96">#REF!</definedName>
    <definedName name="uscf97">#REF!</definedName>
    <definedName name="uscf98">#REF!</definedName>
    <definedName name="uscf99">#REF!</definedName>
    <definedName name="USD" localSheetId="0">#REF!</definedName>
    <definedName name="USD">#REF!</definedName>
    <definedName name="USD.A">#REF!</definedName>
    <definedName name="USD.E">#REF!</definedName>
    <definedName name="USD_B">#REF!</definedName>
    <definedName name="USD_payments" localSheetId="0">#REF!</definedName>
    <definedName name="USD_payments">#REF!</definedName>
    <definedName name="usdcfps93">#REF!</definedName>
    <definedName name="usdcfps94">#REF!</definedName>
    <definedName name="usdcfps95">#REF!</definedName>
    <definedName name="usdcfps96">#REF!</definedName>
    <definedName name="usdcfps97">#REF!</definedName>
    <definedName name="usdcfps98">#REF!</definedName>
    <definedName name="USDDA93">#REF!</definedName>
    <definedName name="USDDA94">#REF!</definedName>
    <definedName name="USDDA95">#REF!</definedName>
    <definedName name="USDDA96">#REF!</definedName>
    <definedName name="USDDA97">#REF!</definedName>
    <definedName name="USDDA98">#REF!</definedName>
    <definedName name="usdeps93">#REF!</definedName>
    <definedName name="usdeps94">#REF!</definedName>
    <definedName name="usdeps95">#REF!</definedName>
    <definedName name="usdeps96">#REF!</definedName>
    <definedName name="usdeps97">#REF!</definedName>
    <definedName name="usdeps98">#REF!</definedName>
    <definedName name="USDFD93">#REF!</definedName>
    <definedName name="USDFD94">#REF!</definedName>
    <definedName name="USDFD95">#REF!</definedName>
    <definedName name="USDFD96">#REF!</definedName>
    <definedName name="USDFD97">#REF!</definedName>
    <definedName name="USDFD98">#REF!</definedName>
    <definedName name="usdni00">#REF!</definedName>
    <definedName name="usdni01">#REF!</definedName>
    <definedName name="usdni93">#REF!</definedName>
    <definedName name="usdni94">#REF!</definedName>
    <definedName name="usdni95">#REF!</definedName>
    <definedName name="usdni96">#REF!</definedName>
    <definedName name="usdni97">#REF!</definedName>
    <definedName name="usdni98">#REF!</definedName>
    <definedName name="usdni99">#REF!</definedName>
    <definedName name="USDPP" localSheetId="0">#REF!</definedName>
    <definedName name="USDPP">#REF!</definedName>
    <definedName name="uses93">#REF!</definedName>
    <definedName name="uses94">#REF!</definedName>
    <definedName name="uses95">#REF!</definedName>
    <definedName name="uses96">#REF!</definedName>
    <definedName name="uses97">#REF!</definedName>
    <definedName name="uses98">#REF!</definedName>
    <definedName name="USEXPL93">#REF!</definedName>
    <definedName name="USEXPL94">#REF!</definedName>
    <definedName name="USEXPL95">#REF!</definedName>
    <definedName name="USEXPL96">#REF!</definedName>
    <definedName name="USEXPL97">#REF!</definedName>
    <definedName name="USEXPL98">#REF!</definedName>
    <definedName name="usfcf93">#REF!</definedName>
    <definedName name="usfcf94">#REF!</definedName>
    <definedName name="usfcf95">#REF!</definedName>
    <definedName name="usfcf96">#REF!</definedName>
    <definedName name="usfcf97">#REF!</definedName>
    <definedName name="usfcf98">#REF!</definedName>
    <definedName name="usfcfps93">#REF!</definedName>
    <definedName name="usfcfps94">#REF!</definedName>
    <definedName name="usfcfps95">#REF!</definedName>
    <definedName name="usfcfps96">#REF!</definedName>
    <definedName name="usfcfps97">#REF!</definedName>
    <definedName name="usfcfps98">#REF!</definedName>
    <definedName name="USFX93">#REF!</definedName>
    <definedName name="USFX94">#REF!</definedName>
    <definedName name="USFX95">#REF!</definedName>
    <definedName name="USFX96">#REF!</definedName>
    <definedName name="USFX97">#REF!</definedName>
    <definedName name="USFX98">#REF!</definedName>
    <definedName name="USGA93">#REF!</definedName>
    <definedName name="USGA94">#REF!</definedName>
    <definedName name="USGA95">#REF!</definedName>
    <definedName name="USGA96">#REF!</definedName>
    <definedName name="USGA97">#REF!</definedName>
    <definedName name="USGA98">#REF!</definedName>
    <definedName name="USINT93">#REF!</definedName>
    <definedName name="USINT94">#REF!</definedName>
    <definedName name="USINT95">#REF!</definedName>
    <definedName name="USINT96">#REF!</definedName>
    <definedName name="USINT97">#REF!</definedName>
    <definedName name="USINT98">#REF!</definedName>
    <definedName name="USOPCOST93">#REF!</definedName>
    <definedName name="USOPCOST94">#REF!</definedName>
    <definedName name="USOPCOST95">#REF!</definedName>
    <definedName name="USOPCOST96">#REF!</definedName>
    <definedName name="USOPCOST97">#REF!</definedName>
    <definedName name="USOPCOST98">#REF!</definedName>
    <definedName name="USOTH93">#REF!</definedName>
    <definedName name="USOTH94">#REF!</definedName>
    <definedName name="USOTH95">#REF!</definedName>
    <definedName name="USOTH96">#REF!</definedName>
    <definedName name="USOTH97">#REF!</definedName>
    <definedName name="USOTH98">#REF!</definedName>
    <definedName name="USREV93">#REF!</definedName>
    <definedName name="USREV94">#REF!</definedName>
    <definedName name="USREV95">#REF!</definedName>
    <definedName name="USREV96">#REF!</definedName>
    <definedName name="USREV97">#REF!</definedName>
    <definedName name="USREV98">#REF!</definedName>
    <definedName name="USROYALTY93">#REF!</definedName>
    <definedName name="USROYALTY94">#REF!</definedName>
    <definedName name="USROYALTY95">#REF!</definedName>
    <definedName name="USROYALTY96">#REF!</definedName>
    <definedName name="USROYALTY97">#REF!</definedName>
    <definedName name="USROYALTY98">#REF!</definedName>
    <definedName name="USTAX93">#REF!</definedName>
    <definedName name="USTAX94">#REF!</definedName>
    <definedName name="USTAX95">#REF!</definedName>
    <definedName name="USTAX96">#REF!</definedName>
    <definedName name="USTAX97">#REF!</definedName>
    <definedName name="USTAX98">#REF!</definedName>
    <definedName name="ut" localSheetId="25" hidden="1">{"'Sheet1'!$L$16"}</definedName>
    <definedName name="ut" localSheetId="0" hidden="1">{"'Sheet1'!$L$16"}</definedName>
    <definedName name="ut" localSheetId="5" hidden="1">{"'Sheet1'!$L$16"}</definedName>
    <definedName name="ut" hidden="1">{"'Sheet1'!$L$16"}</definedName>
    <definedName name="UtilCap" hidden="1">#REF!,#REF!,#REF!,#REF!,#REF!,#REF!,#REF!,#REF!</definedName>
    <definedName name="UtilProd" hidden="1">#REF!,#REF!,#REF!,#REF!,#REF!,#REF!,#REF!,#REF!</definedName>
    <definedName name="UTPNT" localSheetId="0">#REF!</definedName>
    <definedName name="UTPNT" localSheetId="46">#REF!</definedName>
    <definedName name="UTPNT" localSheetId="45">#REF!</definedName>
    <definedName name="UTPNT" localSheetId="49">#REF!</definedName>
    <definedName name="UTPNT" localSheetId="50">#REF!</definedName>
    <definedName name="UTPNT" localSheetId="51">#REF!</definedName>
    <definedName name="UTPNT" localSheetId="52">#REF!</definedName>
    <definedName name="UTPNT" localSheetId="56">#REF!</definedName>
    <definedName name="UTPNT" localSheetId="57">#REF!</definedName>
    <definedName name="UTPNT" localSheetId="58">#REF!</definedName>
    <definedName name="UTPNT" localSheetId="59">#REF!</definedName>
    <definedName name="UTPNT">#REF!</definedName>
    <definedName name="UU_control" localSheetId="25" hidden="1">{"'August 2000'!$A$1:$J$101"}</definedName>
    <definedName name="UU_control" localSheetId="5" hidden="1">{"'August 2000'!$A$1:$J$101"}</definedName>
    <definedName name="UU_control" hidden="1">{"'August 2000'!$A$1:$J$101"}</definedName>
    <definedName name="uuu" hidden="1">{#N/A,#N/A,FALSE,"COVER1.XLS ";#N/A,#N/A,FALSE,"RACT1.XLS";#N/A,#N/A,FALSE,"RACT2.XLS";#N/A,#N/A,FALSE,"ECCMP";#N/A,#N/A,FALSE,"WELDER.XLS"}</definedName>
    <definedName name="UUUUUUUUUUUUUUUUUU">#REF!</definedName>
    <definedName name="uuuuuuuuuuuuuuuuuuuuuuuuuuuuuuuuuuuuuuuuuuuuuuuuu" localSheetId="25" hidden="1">{"DJH3",#N/A,FALSE,"PFL00805";"PJB3",#N/A,FALSE,"PFL00805";"JMD3",#N/A,FALSE,"PFL00805";"DNB3",#N/A,FALSE,"PFL00805";"MJP3",#N/A,FALSE,"PFL00805";"RAB3",#N/A,FALSE,"PFL00805";"GJW3",#N/A,FALSE,"PFL00805";"MASTER3",#N/A,FALSE,"PFL00805"}</definedName>
    <definedName name="uuuuuuuuuuuuuuuuuuuuuuuuuuuuuuuuuuuuuuuuuuuuuuuuu" localSheetId="5" hidden="1">{"DJH3",#N/A,FALSE,"PFL00805";"PJB3",#N/A,FALSE,"PFL00805";"JMD3",#N/A,FALSE,"PFL00805";"DNB3",#N/A,FALSE,"PFL00805";"MJP3",#N/A,FALSE,"PFL00805";"RAB3",#N/A,FALSE,"PFL00805";"GJW3",#N/A,FALSE,"PFL00805";"MASTER3",#N/A,FALSE,"PFL00805"}</definedName>
    <definedName name="uuuuuuuuuuuuuuuuuuuuuuuuuuuuuuuuuuuuuuuuuuuuuuuuu" hidden="1">{"DJH3",#N/A,FALSE,"PFL00805";"PJB3",#N/A,FALSE,"PFL00805";"JMD3",#N/A,FALSE,"PFL00805";"DNB3",#N/A,FALSE,"PFL00805";"MJP3",#N/A,FALSE,"PFL00805";"RAB3",#N/A,FALSE,"PFL00805";"GJW3",#N/A,FALSE,"PFL00805";"MASTER3",#N/A,FALSE,"PFL00805"}</definedName>
    <definedName name="UW">#N/A</definedName>
    <definedName name="v" localSheetId="0">#REF!</definedName>
    <definedName name="v">#REF!</definedName>
    <definedName name="V_">#REF!</definedName>
    <definedName name="V_0">#REF!</definedName>
    <definedName name="V_1">#REF!</definedName>
    <definedName name="V_10">#REF!</definedName>
    <definedName name="V_11">#REF!</definedName>
    <definedName name="V_2">#REF!</definedName>
    <definedName name="V_3">#REF!</definedName>
    <definedName name="V_4">#REF!</definedName>
    <definedName name="V_5">#REF!</definedName>
    <definedName name="V_6">#REF!</definedName>
    <definedName name="V_7">#REF!</definedName>
    <definedName name="V_8">#REF!</definedName>
    <definedName name="V_9">#REF!</definedName>
    <definedName name="V_No">#REF!</definedName>
    <definedName name="V_Tp">#REF!</definedName>
    <definedName name="v98\">#REF!</definedName>
    <definedName name="val_2">#REF!</definedName>
    <definedName name="Val_Compare">#REF!</definedName>
    <definedName name="Val_No">#REF!</definedName>
    <definedName name="VAL_SUM">#REF!</definedName>
    <definedName name="validate_Equity_Data">#REF!</definedName>
    <definedName name="Valuation_2">#REF!</definedName>
    <definedName name="Valuation_date">#REF!</definedName>
    <definedName name="VALUE">#REF!</definedName>
    <definedName name="Value_of_Firm">#REF!</definedName>
    <definedName name="value_of_non_core_assets">#REF!</definedName>
    <definedName name="Value_of_Unconsol._Subs">#REF!</definedName>
    <definedName name="Value_per_share">#REF!</definedName>
    <definedName name="values" localSheetId="0">#REF!,#REF!,#REF!</definedName>
    <definedName name="values">#REF!,#REF!,#REF!</definedName>
    <definedName name="Values_Entered">#N/A</definedName>
    <definedName name="VALuta" localSheetId="0">#REF!</definedName>
    <definedName name="VALuta">#REF!</definedName>
    <definedName name="VALVE">#N/A</definedName>
    <definedName name="van" localSheetId="0">#REF!</definedName>
    <definedName name="van">#REF!</definedName>
    <definedName name="vandita">#REF!</definedName>
    <definedName name="vani" localSheetId="0">#REF!</definedName>
    <definedName name="vani">#REF!</definedName>
    <definedName name="vani1" localSheetId="0">#REF!</definedName>
    <definedName name="vani1">#REF!</definedName>
    <definedName name="VAR_1">#REF!</definedName>
    <definedName name="VAR_10">#REF!</definedName>
    <definedName name="VAR_11">#REF!</definedName>
    <definedName name="VAR_12">#REF!</definedName>
    <definedName name="VAR_13">#REF!</definedName>
    <definedName name="VAR_14">#REF!</definedName>
    <definedName name="VAR_15">#REF!</definedName>
    <definedName name="VAR_16">#REF!</definedName>
    <definedName name="VAR_17">#REF!</definedName>
    <definedName name="VAR_18">#REF!</definedName>
    <definedName name="VAR_19">#REF!</definedName>
    <definedName name="VAR_2">#REF!</definedName>
    <definedName name="VAR_20">#REF!</definedName>
    <definedName name="VAR_21">#REF!</definedName>
    <definedName name="VAR_22">#REF!</definedName>
    <definedName name="VAR_23">#REF!</definedName>
    <definedName name="VAR_24">#REF!</definedName>
    <definedName name="VAR_25">#REF!</definedName>
    <definedName name="VAR_26">#REF!</definedName>
    <definedName name="VAR_27">#REF!</definedName>
    <definedName name="VAR_28">#REF!</definedName>
    <definedName name="VAR_29">#REF!</definedName>
    <definedName name="VAR_3">#REF!</definedName>
    <definedName name="VAR_30">#REF!</definedName>
    <definedName name="VAR_4">#REF!</definedName>
    <definedName name="VAR_5">#REF!</definedName>
    <definedName name="VAR_6">#REF!</definedName>
    <definedName name="VAR_7">#REF!</definedName>
    <definedName name="VAR_8">#REF!</definedName>
    <definedName name="VAR_9">#REF!</definedName>
    <definedName name="VAREOH">#N/A</definedName>
    <definedName name="Variable_cost_unit" localSheetId="0">#REF!</definedName>
    <definedName name="Variable_cost_unit">#REF!</definedName>
    <definedName name="Variable_costs_unit" localSheetId="0">#REF!</definedName>
    <definedName name="Variable_costs_unit">#REF!</definedName>
    <definedName name="Variable_Unit_Cost" localSheetId="0">#REF!</definedName>
    <definedName name="Variable_Unit_Cost">#REF!</definedName>
    <definedName name="variance">#REF!</definedName>
    <definedName name="VAT_MP">#REF!</definedName>
    <definedName name="VAT_PI">#REF!</definedName>
    <definedName name="VAT_WCT">#REF!</definedName>
    <definedName name="vay">#REF!</definedName>
    <definedName name="vbv">#REF!</definedName>
    <definedName name="vcat" localSheetId="0">#REF!</definedName>
    <definedName name="vcat">#REF!</definedName>
    <definedName name="vcati" localSheetId="0">#REF!</definedName>
    <definedName name="vcati">#REF!</definedName>
    <definedName name="vcati1" localSheetId="0">#REF!</definedName>
    <definedName name="vcati1">#REF!</definedName>
    <definedName name="vcb" hidden="1">{#N/A,#N/A,FALSE,"str_title";#N/A,#N/A,FALSE,"SUM";#N/A,#N/A,FALSE,"Scope";#N/A,#N/A,FALSE,"PIE-Jn";#N/A,#N/A,FALSE,"PIE-Jn_Hz";#N/A,#N/A,FALSE,"Liq_Plan";#N/A,#N/A,FALSE,"S_Curve";#N/A,#N/A,FALSE,"Liq_Prof";#N/A,#N/A,FALSE,"Man_Pwr";#N/A,#N/A,FALSE,"Man_Prof"}</definedName>
    <definedName name="vcf">#REF!</definedName>
    <definedName name="vcurr">#REF!</definedName>
    <definedName name="vcvv" localSheetId="25" hidden="1">{#N/A,#N/A,TRUE,"Front";#N/A,#N/A,TRUE,"Simple Letter";#N/A,#N/A,TRUE,"Inside";#N/A,#N/A,TRUE,"Contents";#N/A,#N/A,TRUE,"Basis";#N/A,#N/A,TRUE,"Inclusions";#N/A,#N/A,TRUE,"Exclusions";#N/A,#N/A,TRUE,"Areas";#N/A,#N/A,TRUE,"Summary";#N/A,#N/A,TRUE,"Detail"}</definedName>
    <definedName name="vcvv" localSheetId="5" hidden="1">{#N/A,#N/A,TRUE,"Front";#N/A,#N/A,TRUE,"Simple Letter";#N/A,#N/A,TRUE,"Inside";#N/A,#N/A,TRUE,"Contents";#N/A,#N/A,TRUE,"Basis";#N/A,#N/A,TRUE,"Inclusions";#N/A,#N/A,TRUE,"Exclusions";#N/A,#N/A,TRUE,"Areas";#N/A,#N/A,TRUE,"Summary";#N/A,#N/A,TRUE,"Detail"}</definedName>
    <definedName name="vcvv" hidden="1">{#N/A,#N/A,TRUE,"Front";#N/A,#N/A,TRUE,"Simple Letter";#N/A,#N/A,TRUE,"Inside";#N/A,#N/A,TRUE,"Contents";#N/A,#N/A,TRUE,"Basis";#N/A,#N/A,TRUE,"Inclusions";#N/A,#N/A,TRUE,"Exclusions";#N/A,#N/A,TRUE,"Areas";#N/A,#N/A,TRUE,"Summary";#N/A,#N/A,TRUE,"Detail"}</definedName>
    <definedName name="VDES">#N/A</definedName>
    <definedName name="vdp">#REF!</definedName>
    <definedName name="VDR_COMP">#REF!</definedName>
    <definedName name="VDR_COMP1">#REF!</definedName>
    <definedName name="VDR_선택">#REF!</definedName>
    <definedName name="VDR_선택1">#REF!</definedName>
    <definedName name="vdsvfkj" localSheetId="0">#REF!</definedName>
    <definedName name="vdsvfkj">#REF!</definedName>
    <definedName name="veb">#REF!</definedName>
    <definedName name="veena">#REF!</definedName>
    <definedName name="veg">#REF!</definedName>
    <definedName name="VEH">#REF!</definedName>
    <definedName name="VEHS">#REF!</definedName>
    <definedName name="VEND">#N/A</definedName>
    <definedName name="vendor">#REF!</definedName>
    <definedName name="Vendoroyalty" localSheetId="0">#REF!</definedName>
    <definedName name="Vendoroyalty">#REF!</definedName>
    <definedName name="VERSION">#REF!</definedName>
    <definedName name="VEVA">#REF!</definedName>
    <definedName name="vf" localSheetId="25" hidden="1">{"'Sheet1'!$L$16"}</definedName>
    <definedName name="vf" localSheetId="0" hidden="1">{"'Sheet1'!$L$16"}</definedName>
    <definedName name="vf" localSheetId="5" hidden="1">{"'Sheet1'!$L$16"}</definedName>
    <definedName name="vf" hidden="1">{"'Sheet1'!$L$16"}</definedName>
    <definedName name="vfr"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vfr"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vf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vfsd">#REF!</definedName>
    <definedName name="vgh" hidden="1">{#N/A,#N/A,FALSE,"SUMMARY REPORT"}</definedName>
    <definedName name="via">#REF!</definedName>
    <definedName name="VIEW">#REF!</definedName>
    <definedName name="VIEWL">#REF!</definedName>
    <definedName name="VIEWQ">#REF!</definedName>
    <definedName name="vinert" localSheetId="0">#REF!</definedName>
    <definedName name="vinert">#REF!</definedName>
    <definedName name="vinu" localSheetId="25" hidden="1">{#N/A,#N/A,FALSE,"COMICRO";#N/A,#N/A,FALSE,"BALSCH";#N/A,#N/A,FALSE,"GLASS";#N/A,#N/A,FALSE,"DEPRE";#N/A,#N/A,FALSE,"A&amp;MCUR";#N/A,#N/A,FALSE,"AGEANAlysis";#N/A,#N/A,FALSE,"CHECKS";#N/A,#N/A,FALSE,"CHECKS"}</definedName>
    <definedName name="vinu" localSheetId="5" hidden="1">{#N/A,#N/A,FALSE,"COMICRO";#N/A,#N/A,FALSE,"BALSCH";#N/A,#N/A,FALSE,"GLASS";#N/A,#N/A,FALSE,"DEPRE";#N/A,#N/A,FALSE,"A&amp;MCUR";#N/A,#N/A,FALSE,"AGEANAlysis";#N/A,#N/A,FALSE,"CHECKS";#N/A,#N/A,FALSE,"CHECKS"}</definedName>
    <definedName name="vinu" hidden="1">{#N/A,#N/A,FALSE,"COMICRO";#N/A,#N/A,FALSE,"BALSCH";#N/A,#N/A,FALSE,"GLASS";#N/A,#N/A,FALSE,"DEPRE";#N/A,#N/A,FALSE,"A&amp;MCUR";#N/A,#N/A,FALSE,"AGEANAlysis";#N/A,#N/A,FALSE,"CHECKS";#N/A,#N/A,FALSE,"CHECKS"}</definedName>
    <definedName name="Vir" localSheetId="0" hidden="1">{#N/A,#N/A,FALSE,"Banksum";#N/A,#N/A,FALSE,"Banksum"}</definedName>
    <definedName name="Vir" hidden="1">{#N/A,#N/A,FALSE,"Banksum";#N/A,#N/A,FALSE,"Banksum"}</definedName>
    <definedName name="VIRD" localSheetId="0" hidden="1">{"VIEW1",#N/A,FALSE,"P&amp;L Account 2001-2002";"VIEW2",#N/A,FALSE,"P&amp;L Account 2001-2002";"VIEW3",#N/A,FALSE,"P&amp;L Account 2001-2002";"VIEW4",#N/A,FALSE,"P&amp;L Account 2001-2002"}</definedName>
    <definedName name="VIRD" hidden="1">{"VIEW1",#N/A,FALSE,"P&amp;L Account 2001-2002";"VIEW2",#N/A,FALSE,"P&amp;L Account 2001-2002";"VIEW3",#N/A,FALSE,"P&amp;L Account 2001-2002";"VIEW4",#N/A,FALSE,"P&amp;L Account 2001-2002"}</definedName>
    <definedName name="viren" localSheetId="0" hidden="1">{#N/A,#N/A,FALSE,"Banksum";#N/A,#N/A,FALSE,"Banksum"}</definedName>
    <definedName name="viren" hidden="1">{#N/A,#N/A,FALSE,"Banksum";#N/A,#N/A,FALSE,"Banksum"}</definedName>
    <definedName name="virtusa" localSheetId="25" hidden="1">{#N/A,#N/A,TRUE,"Front";#N/A,#N/A,TRUE,"Simple Letter";#N/A,#N/A,TRUE,"Inside";#N/A,#N/A,TRUE,"Contents";#N/A,#N/A,TRUE,"Basis";#N/A,#N/A,TRUE,"Inclusions";#N/A,#N/A,TRUE,"Exclusions";#N/A,#N/A,TRUE,"Areas";#N/A,#N/A,TRUE,"Summary";#N/A,#N/A,TRUE,"Detail"}</definedName>
    <definedName name="virtusa" localSheetId="5" hidden="1">{#N/A,#N/A,TRUE,"Front";#N/A,#N/A,TRUE,"Simple Letter";#N/A,#N/A,TRUE,"Inside";#N/A,#N/A,TRUE,"Contents";#N/A,#N/A,TRUE,"Basis";#N/A,#N/A,TRUE,"Inclusions";#N/A,#N/A,TRUE,"Exclusions";#N/A,#N/A,TRUE,"Areas";#N/A,#N/A,TRUE,"Summary";#N/A,#N/A,TRUE,"Detail"}</definedName>
    <definedName name="virtusa" hidden="1">{#N/A,#N/A,TRUE,"Front";#N/A,#N/A,TRUE,"Simple Letter";#N/A,#N/A,TRUE,"Inside";#N/A,#N/A,TRUE,"Contents";#N/A,#N/A,TRUE,"Basis";#N/A,#N/A,TRUE,"Inclusions";#N/A,#N/A,TRUE,"Exclusions";#N/A,#N/A,TRUE,"Areas";#N/A,#N/A,TRUE,"Summary";#N/A,#N/A,TRUE,"Detail"}</definedName>
    <definedName name="VISHWA" localSheetId="25" hidden="1">{"'Mach'!$A$1:$D$39"}</definedName>
    <definedName name="VISHWA" localSheetId="5" hidden="1">{"'Mach'!$A$1:$D$39"}</definedName>
    <definedName name="VISHWA" hidden="1">{"'Mach'!$A$1:$D$39"}</definedName>
    <definedName name="vj" localSheetId="0" hidden="1">{#N/A,#N/A,FALSE,"Banksum";#N/A,#N/A,FALSE,"Banksum"}</definedName>
    <definedName name="vj" hidden="1">{#N/A,#N/A,FALSE,"Banksum";#N/A,#N/A,FALSE,"Banksum"}</definedName>
    <definedName name="VM" hidden="1">#REF!</definedName>
    <definedName name="VMPL" localSheetId="0" hidden="1">{"VIEW1",#N/A,FALSE,"P&amp;L Account 2001-2002";"VIEW2",#N/A,FALSE,"P&amp;L Account 2001-2002";"VIEW3",#N/A,FALSE,"P&amp;L Account 2001-2002";"VIEW4",#N/A,FALSE,"P&amp;L Account 2001-2002"}</definedName>
    <definedName name="VMPL" hidden="1">{"VIEW1",#N/A,FALSE,"P&amp;L Account 2001-2002";"VIEW2",#N/A,FALSE,"P&amp;L Account 2001-2002";"VIEW3",#N/A,FALSE,"P&amp;L Account 2001-2002";"VIEW4",#N/A,FALSE,"P&amp;L Account 2001-2002"}</definedName>
    <definedName name="vn" localSheetId="25" hidden="1">{"'Sheet1'!$L$16"}</definedName>
    <definedName name="vn" localSheetId="0" hidden="1">{"'Sheet1'!$L$16"}</definedName>
    <definedName name="vn" localSheetId="5" hidden="1">{"'Sheet1'!$L$16"}</definedName>
    <definedName name="vn" hidden="1">{"'Sheet1'!$L$16"}</definedName>
    <definedName name="VO" localSheetId="25" hidden="1">{#N/A,#N/A,TRUE,"Front";#N/A,#N/A,TRUE,"Simple Letter";#N/A,#N/A,TRUE,"Inside";#N/A,#N/A,TRUE,"Contents";#N/A,#N/A,TRUE,"Basis";#N/A,#N/A,TRUE,"Inclusions";#N/A,#N/A,TRUE,"Exclusions";#N/A,#N/A,TRUE,"Areas";#N/A,#N/A,TRUE,"Summary";#N/A,#N/A,TRUE,"Detail"}</definedName>
    <definedName name="VO" localSheetId="5" hidden="1">{#N/A,#N/A,TRUE,"Front";#N/A,#N/A,TRUE,"Simple Letter";#N/A,#N/A,TRUE,"Inside";#N/A,#N/A,TRUE,"Contents";#N/A,#N/A,TRUE,"Basis";#N/A,#N/A,TRUE,"Inclusions";#N/A,#N/A,TRUE,"Exclusions";#N/A,#N/A,TRUE,"Areas";#N/A,#N/A,TRUE,"Summary";#N/A,#N/A,TRUE,"Detail"}</definedName>
    <definedName name="VO" hidden="1">{#N/A,#N/A,TRUE,"Front";#N/A,#N/A,TRUE,"Simple Letter";#N/A,#N/A,TRUE,"Inside";#N/A,#N/A,TRUE,"Contents";#N/A,#N/A,TRUE,"Basis";#N/A,#N/A,TRUE,"Inclusions";#N/A,#N/A,TRUE,"Exclusions";#N/A,#N/A,TRUE,"Areas";#N/A,#N/A,TRUE,"Summary";#N/A,#N/A,TRUE,"Detail"}</definedName>
    <definedName name="votl"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rt" localSheetId="0" hidden="1">{#N/A,#N/A,FALSE,"Banksum";#N/A,#N/A,FALSE,"Banksum"}</definedName>
    <definedName name="vrt" hidden="1">{#N/A,#N/A,FALSE,"Banksum";#N/A,#N/A,FALSE,"Banksum"}</definedName>
    <definedName name="vsasgfsghxas" localSheetId="25" hidden="1">{#N/A,#N/A,FALSE,"consu_cover";#N/A,#N/A,FALSE,"consu_strategy";#N/A,#N/A,FALSE,"consu_flow";#N/A,#N/A,FALSE,"Summary_reqmt";#N/A,#N/A,FALSE,"field_ppg";#N/A,#N/A,FALSE,"ppg_shop";#N/A,#N/A,FALSE,"strl";#N/A,#N/A,FALSE,"tankages";#N/A,#N/A,FALSE,"gases"}</definedName>
    <definedName name="vsasgfsghxas" localSheetId="0" hidden="1">{#N/A,#N/A,FALSE,"consu_cover";#N/A,#N/A,FALSE,"consu_strategy";#N/A,#N/A,FALSE,"consu_flow";#N/A,#N/A,FALSE,"Summary_reqmt";#N/A,#N/A,FALSE,"field_ppg";#N/A,#N/A,FALSE,"ppg_shop";#N/A,#N/A,FALSE,"strl";#N/A,#N/A,FALSE,"tankages";#N/A,#N/A,FALSE,"gases"}</definedName>
    <definedName name="vsasgfsghxas" localSheetId="5" hidden="1">{#N/A,#N/A,FALSE,"consu_cover";#N/A,#N/A,FALSE,"consu_strategy";#N/A,#N/A,FALSE,"consu_flow";#N/A,#N/A,FALSE,"Summary_reqmt";#N/A,#N/A,FALSE,"field_ppg";#N/A,#N/A,FALSE,"ppg_shop";#N/A,#N/A,FALSE,"strl";#N/A,#N/A,FALSE,"tankages";#N/A,#N/A,FALSE,"gases"}</definedName>
    <definedName name="vsasgfsghxas" hidden="1">{#N/A,#N/A,FALSE,"consu_cover";#N/A,#N/A,FALSE,"consu_strategy";#N/A,#N/A,FALSE,"consu_flow";#N/A,#N/A,FALSE,"Summary_reqmt";#N/A,#N/A,FALSE,"field_ppg";#N/A,#N/A,FALSE,"ppg_shop";#N/A,#N/A,FALSE,"strl";#N/A,#N/A,FALSE,"tankages";#N/A,#N/A,FALSE,"gases"}</definedName>
    <definedName name="vss" localSheetId="25" hidden="1">{#N/A,#N/A,FALSE,"COMICRO";#N/A,#N/A,FALSE,"BALSCH";#N/A,#N/A,FALSE,"GLASS";#N/A,#N/A,FALSE,"DEPRE";#N/A,#N/A,FALSE,"A&amp;MCUR";#N/A,#N/A,FALSE,"AGEANAlysis";#N/A,#N/A,FALSE,"CHECKS";#N/A,#N/A,FALSE,"CHECKS"}</definedName>
    <definedName name="vss" localSheetId="5" hidden="1">{#N/A,#N/A,FALSE,"COMICRO";#N/A,#N/A,FALSE,"BALSCH";#N/A,#N/A,FALSE,"GLASS";#N/A,#N/A,FALSE,"DEPRE";#N/A,#N/A,FALSE,"A&amp;MCUR";#N/A,#N/A,FALSE,"AGEANAlysis";#N/A,#N/A,FALSE,"CHECKS";#N/A,#N/A,FALSE,"CHECKS"}</definedName>
    <definedName name="vss" hidden="1">{#N/A,#N/A,FALSE,"COMICRO";#N/A,#N/A,FALSE,"BALSCH";#N/A,#N/A,FALSE,"GLASS";#N/A,#N/A,FALSE,"DEPRE";#N/A,#N/A,FALSE,"A&amp;MCUR";#N/A,#N/A,FALSE,"AGEANAlysis";#N/A,#N/A,FALSE,"CHECKS";#N/A,#N/A,FALSE,"CHECKS"}</definedName>
    <definedName name="VTM_2" hidden="1">#REF!</definedName>
    <definedName name="VTM_3" hidden="1">#REF!</definedName>
    <definedName name="VTM_4" hidden="1">#REF!</definedName>
    <definedName name="VTM_5" hidden="1">#REF!</definedName>
    <definedName name="VTM_6" hidden="1">#REF!</definedName>
    <definedName name="VTM_7" hidden="1">#REF!</definedName>
    <definedName name="VTM_9" hidden="1">#REF!</definedName>
    <definedName name="vtot" localSheetId="0">#REF!</definedName>
    <definedName name="vtot">#REF!</definedName>
    <definedName name="vva">#REF!</definedName>
    <definedName name="W" localSheetId="0">#REF!</definedName>
    <definedName name="W" localSheetId="11">#REF!</definedName>
    <definedName name="W" localSheetId="13">#REF!</definedName>
    <definedName name="W" localSheetId="16">#REF!</definedName>
    <definedName name="W" localSheetId="26">#REF!</definedName>
    <definedName name="W" localSheetId="32">#REF!</definedName>
    <definedName name="W" localSheetId="33">#REF!</definedName>
    <definedName name="W" localSheetId="34">#REF!</definedName>
    <definedName name="W" localSheetId="35">#REF!</definedName>
    <definedName name="W">#REF!</definedName>
    <definedName name="W_">#REF!</definedName>
    <definedName name="wacc">#REF!</definedName>
    <definedName name="WACC_12">#REF!</definedName>
    <definedName name="WACC_13">#REF!</definedName>
    <definedName name="WACC_14">#REF!</definedName>
    <definedName name="WACC_2">#REF!</definedName>
    <definedName name="WACC_3">#REF!</definedName>
    <definedName name="WACC_4">#REF!</definedName>
    <definedName name="WACC_5">#REF!</definedName>
    <definedName name="WACC_6">#REF!</definedName>
    <definedName name="WACC_7">#REF!</definedName>
    <definedName name="WACC_8">#REF!</definedName>
    <definedName name="WACC_9">#REF!</definedName>
    <definedName name="WACC_fore">#REF!</definedName>
    <definedName name="WACC_P">#REF!</definedName>
    <definedName name="WACC_P_1">#REF!</definedName>
    <definedName name="WACC_P_10">#REF!</definedName>
    <definedName name="WACC_P_11">#REF!</definedName>
    <definedName name="WACC_P_12">#REF!</definedName>
    <definedName name="WACC_P_13">#REF!</definedName>
    <definedName name="WACC_P_14">#REF!</definedName>
    <definedName name="WACC_P_2">#REF!</definedName>
    <definedName name="WACC_P_3">#REF!</definedName>
    <definedName name="WACC_P_4">#REF!</definedName>
    <definedName name="WACC_P_5">#REF!</definedName>
    <definedName name="WACC_P_6">#REF!</definedName>
    <definedName name="WACC_P_7">#REF!</definedName>
    <definedName name="WACC_P_9">#REF!</definedName>
    <definedName name="Waiting">"Picture 1"</definedName>
    <definedName name="WBMAX">#REF!</definedName>
    <definedName name="WC">#N/A</definedName>
    <definedName name="wcl">#REF!</definedName>
    <definedName name="WCM">#REF!</definedName>
    <definedName name="wcm_d4">#REF!</definedName>
    <definedName name="WCM_Diff">#REF!</definedName>
    <definedName name="WCM_P1">#REF!</definedName>
    <definedName name="WCM_T">#REF!</definedName>
    <definedName name="WDESAX" localSheetId="25" hidden="1">{#N/A,#N/A,FALSE,"SUMMARY";#N/A,#N/A,FALSE,"SUMMARY"}</definedName>
    <definedName name="WDESAX" localSheetId="5" hidden="1">{#N/A,#N/A,FALSE,"SUMMARY";#N/A,#N/A,FALSE,"SUMMARY"}</definedName>
    <definedName name="WDESAX" hidden="1">{#N/A,#N/A,FALSE,"SUMMARY";#N/A,#N/A,FALSE,"SUMMARY"}</definedName>
    <definedName name="WDSX" localSheetId="25" hidden="1">{#N/A,#N/A,FALSE,"PGW"}</definedName>
    <definedName name="WDSX" localSheetId="5" hidden="1">{#N/A,#N/A,FALSE,"PGW"}</definedName>
    <definedName name="WDSX" hidden="1">{#N/A,#N/A,FALSE,"PGW"}</definedName>
    <definedName name="WE" localSheetId="0" hidden="1">{"VIEW1",#N/A,FALSE,"P&amp;L Account 2001-2002";"VIEW2",#N/A,FALSE,"P&amp;L Account 2001-2002";"VIEW3",#N/A,FALSE,"P&amp;L Account 2001-2002";"VIEW4",#N/A,FALSE,"P&amp;L Account 2001-2002"}</definedName>
    <definedName name="WE" hidden="1">{"VIEW1",#N/A,FALSE,"P&amp;L Account 2001-2002";"VIEW2",#N/A,FALSE,"P&amp;L Account 2001-2002";"VIEW3",#N/A,FALSE,"P&amp;L Account 2001-2002";"VIEW4",#N/A,FALSE,"P&amp;L Account 2001-2002"}</definedName>
    <definedName name="WEDWQDX" localSheetId="25" hidden="1">{#N/A,#N/A,FALSE,"OSBL"}</definedName>
    <definedName name="WEDWQDX" localSheetId="5" hidden="1">{#N/A,#N/A,FALSE,"OSBL"}</definedName>
    <definedName name="WEDWQDX" hidden="1">{#N/A,#N/A,FALSE,"OSBL"}</definedName>
    <definedName name="wee" localSheetId="25" hidden="1">{#N/A,#N/A,FALSE,"Balance Sheets";#N/A,#N/A,FALSE,"96 Conservative";#N/A,#N/A,FALSE,"96 Possible"}</definedName>
    <definedName name="wee" localSheetId="0" hidden="1">{#N/A,#N/A,FALSE,"Balance Sheets";#N/A,#N/A,FALSE,"96 Conservative";#N/A,#N/A,FALSE,"96 Possible"}</definedName>
    <definedName name="wee" localSheetId="5" hidden="1">{#N/A,#N/A,FALSE,"Balance Sheets";#N/A,#N/A,FALSE,"96 Conservative";#N/A,#N/A,FALSE,"96 Possible"}</definedName>
    <definedName name="wee" hidden="1">{#N/A,#N/A,FALSE,"Balance Sheets";#N/A,#N/A,FALSE,"96 Conservative";#N/A,#N/A,FALSE,"96 Possible"}</definedName>
    <definedName name="WEEK">#REF!</definedName>
    <definedName name="WEEK_1A" localSheetId="11">#REF!</definedName>
    <definedName name="WEEK_1A" localSheetId="13">#REF!</definedName>
    <definedName name="WEEK_1A" localSheetId="16">#REF!</definedName>
    <definedName name="WEEK_1A" localSheetId="26">#REF!</definedName>
    <definedName name="WEEK_1A" localSheetId="32">#REF!</definedName>
    <definedName name="WEEK_1A" localSheetId="33">#REF!</definedName>
    <definedName name="WEEK_1A" localSheetId="34">#REF!</definedName>
    <definedName name="WEEK_1A" localSheetId="35">#REF!</definedName>
    <definedName name="WEEK_1A">#REF!</definedName>
    <definedName name="WEEK_1B" localSheetId="11">#REF!</definedName>
    <definedName name="WEEK_1B" localSheetId="13">#REF!</definedName>
    <definedName name="WEEK_1B" localSheetId="16">#REF!</definedName>
    <definedName name="WEEK_1B" localSheetId="26">#REF!</definedName>
    <definedName name="WEEK_1B" localSheetId="32">#REF!</definedName>
    <definedName name="WEEK_1B" localSheetId="33">#REF!</definedName>
    <definedName name="WEEK_1B" localSheetId="34">#REF!</definedName>
    <definedName name="WEEK_1B" localSheetId="35">#REF!</definedName>
    <definedName name="WEEK_1B">#REF!</definedName>
    <definedName name="WEEK_2A" localSheetId="11">#REF!</definedName>
    <definedName name="WEEK_2A" localSheetId="13">#REF!</definedName>
    <definedName name="WEEK_2A" localSheetId="16">#REF!</definedName>
    <definedName name="WEEK_2A" localSheetId="26">#REF!</definedName>
    <definedName name="WEEK_2A" localSheetId="32">#REF!</definedName>
    <definedName name="WEEK_2A" localSheetId="33">#REF!</definedName>
    <definedName name="WEEK_2A" localSheetId="34">#REF!</definedName>
    <definedName name="WEEK_2A" localSheetId="35">#REF!</definedName>
    <definedName name="WEEK_2A">#REF!</definedName>
    <definedName name="WEEK_2B" localSheetId="11">#REF!</definedName>
    <definedName name="WEEK_2B" localSheetId="13">#REF!</definedName>
    <definedName name="WEEK_2B" localSheetId="16">#REF!</definedName>
    <definedName name="WEEK_2B" localSheetId="26">#REF!</definedName>
    <definedName name="WEEK_2B" localSheetId="32">#REF!</definedName>
    <definedName name="WEEK_2B" localSheetId="33">#REF!</definedName>
    <definedName name="WEEK_2B" localSheetId="34">#REF!</definedName>
    <definedName name="WEEK_2B" localSheetId="35">#REF!</definedName>
    <definedName name="WEEK_2B">#REF!</definedName>
    <definedName name="weeklydty">#REF!</definedName>
    <definedName name="weeklyspun">#REF!</definedName>
    <definedName name="wefc" localSheetId="0">#REF!</definedName>
    <definedName name="wefc">#REF!</definedName>
    <definedName name="wefevsdg" localSheetId="0">#REF!</definedName>
    <definedName name="wefevsdg">#REF!</definedName>
    <definedName name="WEGREW" localSheetId="0" hidden="1">{"VIEW1",#N/A,FALSE,"P&amp;L Account 2001-2002";"VIEW2",#N/A,FALSE,"P&amp;L Account 2001-2002";"VIEW3",#N/A,FALSE,"P&amp;L Account 2001-2002";"VIEW4",#N/A,FALSE,"P&amp;L Account 2001-2002"}</definedName>
    <definedName name="WEGREW" hidden="1">{"VIEW1",#N/A,FALSE,"P&amp;L Account 2001-2002";"VIEW2",#N/A,FALSE,"P&amp;L Account 2001-2002";"VIEW3",#N/A,FALSE,"P&amp;L Account 2001-2002";"VIEW4",#N/A,FALSE,"P&amp;L Account 2001-2002"}</definedName>
    <definedName name="wehrt3uyt" localSheetId="0">#REF!</definedName>
    <definedName name="wehrt3uyt">#REF!</definedName>
    <definedName name="weki_9701.xls" localSheetId="0" hidden="1">#REF!</definedName>
    <definedName name="weki_9701.xls" hidden="1">#REF!</definedName>
    <definedName name="wekir9701.xls" localSheetId="0" hidden="1">#REF!</definedName>
    <definedName name="wekir9701.xls" hidden="1">#REF!</definedName>
    <definedName name="wer" localSheetId="25" hidden="1">{#N/A,#N/A,TRUE,"Front";#N/A,#N/A,TRUE,"Simple Letter";#N/A,#N/A,TRUE,"Inside";#N/A,#N/A,TRUE,"Contents";#N/A,#N/A,TRUE,"Basis";#N/A,#N/A,TRUE,"Inclusions";#N/A,#N/A,TRUE,"Exclusions";#N/A,#N/A,TRUE,"Areas";#N/A,#N/A,TRUE,"Summary";#N/A,#N/A,TRUE,"Detail"}</definedName>
    <definedName name="wer" localSheetId="0" hidden="1">{#N/A,#N/A,TRUE,"Front";#N/A,#N/A,TRUE,"Simple Letter";#N/A,#N/A,TRUE,"Inside";#N/A,#N/A,TRUE,"Contents";#N/A,#N/A,TRUE,"Basis";#N/A,#N/A,TRUE,"Inclusions";#N/A,#N/A,TRUE,"Exclusions";#N/A,#N/A,TRUE,"Areas";#N/A,#N/A,TRUE,"Summary";#N/A,#N/A,TRUE,"Detail"}</definedName>
    <definedName name="wer" localSheetId="5" hidden="1">{#N/A,#N/A,TRUE,"Front";#N/A,#N/A,TRUE,"Simple Letter";#N/A,#N/A,TRUE,"Inside";#N/A,#N/A,TRUE,"Contents";#N/A,#N/A,TRUE,"Basis";#N/A,#N/A,TRUE,"Inclusions";#N/A,#N/A,TRUE,"Exclusions";#N/A,#N/A,TRUE,"Areas";#N/A,#N/A,TRUE,"Summary";#N/A,#N/A,TRUE,"Detail"}</definedName>
    <definedName name="wer" hidden="1">{#N/A,#N/A,TRUE,"Front";#N/A,#N/A,TRUE,"Simple Letter";#N/A,#N/A,TRUE,"Inside";#N/A,#N/A,TRUE,"Contents";#N/A,#N/A,TRUE,"Basis";#N/A,#N/A,TRUE,"Inclusions";#N/A,#N/A,TRUE,"Exclusions";#N/A,#N/A,TRUE,"Areas";#N/A,#N/A,TRUE,"Summary";#N/A,#N/A,TRUE,"Detail"}</definedName>
    <definedName name="West_zone">#REF!</definedName>
    <definedName name="weweew" localSheetId="0" hidden="1">{#N/A,#N/A,FALSE,"Banksum";#N/A,#N/A,FALSE,"Banksum"}</definedName>
    <definedName name="weweew" hidden="1">{#N/A,#N/A,FALSE,"Banksum";#N/A,#N/A,FALSE,"Banksum"}</definedName>
    <definedName name="wfsf">#REF!</definedName>
    <definedName name="wfwegrgre" hidden="1">#REF!</definedName>
    <definedName name="wgbwt" localSheetId="25" hidden="1">{#N/A,#N/A,FALSE,"ISBL"}</definedName>
    <definedName name="wgbwt" localSheetId="5" hidden="1">{#N/A,#N/A,FALSE,"ISBL"}</definedName>
    <definedName name="wgbwt" hidden="1">{#N/A,#N/A,FALSE,"ISBL"}</definedName>
    <definedName name="WGREGRE" localSheetId="0" hidden="1">{"VIEW1",#N/A,FALSE,"P&amp;L Account 2001-2002";"VIEW2",#N/A,FALSE,"P&amp;L Account 2001-2002";"VIEW3",#N/A,FALSE,"P&amp;L Account 2001-2002";"VIEW4",#N/A,FALSE,"P&amp;L Account 2001-2002"}</definedName>
    <definedName name="WGREGRE" hidden="1">{"VIEW1",#N/A,FALSE,"P&amp;L Account 2001-2002";"VIEW2",#N/A,FALSE,"P&amp;L Account 2001-2002";"VIEW3",#N/A,FALSE,"P&amp;L Account 2001-2002";"VIEW4",#N/A,FALSE,"P&amp;L Account 2001-2002"}</definedName>
    <definedName name="WHEELING" localSheetId="0">#REF!</definedName>
    <definedName name="WHEELING">#REF!</definedName>
    <definedName name="wheeling_cost">#REF!</definedName>
    <definedName name="Wheeling_Deepak">#REF!</definedName>
    <definedName name="Width">#REF!</definedName>
    <definedName name="WIP_944">#REF!</definedName>
    <definedName name="WIPCOST">#REF!</definedName>
    <definedName name="Wireless_Asia_FCFyield">#REF!</definedName>
    <definedName name="Wireless_Asia_MV">#REF!</definedName>
    <definedName name="Wireless_Asia_PE">#REF!</definedName>
    <definedName name="Wireless_Europe_Divyield">#REF!</definedName>
    <definedName name="Wireless_Europe_EV">#REF!</definedName>
    <definedName name="Wireless_Europe_EVEBITDA">#REF!</definedName>
    <definedName name="Wireless_Europe_FCFyield">#REF!</definedName>
    <definedName name="Wireless_Europe_MV">#REF!</definedName>
    <definedName name="Wireless_Europe_PE">#REF!</definedName>
    <definedName name="Wireless_Japan_Divyield">#REF!</definedName>
    <definedName name="Wireless_Japan_EV">#REF!</definedName>
    <definedName name="Wireless_Japan_EVEBITDA">#REF!</definedName>
    <definedName name="Wireless_Japan_FCFyield">#REF!</definedName>
    <definedName name="Wireless_Japan_MV">#REF!</definedName>
    <definedName name="Wireless_Japan_PE">#REF!</definedName>
    <definedName name="Wireless_OpStats">#REF!</definedName>
    <definedName name="Wireless_Performance">#REF!</definedName>
    <definedName name="Wireless_US_Divyield">#REF!</definedName>
    <definedName name="Wireless_US_EV">#REF!</definedName>
    <definedName name="Wireless_US_EVEBITDA">#REF!</definedName>
    <definedName name="Wireless_US_FCFyield">#REF!</definedName>
    <definedName name="Wireless_US_MV">#REF!</definedName>
    <definedName name="Wireless_US_PE">#REF!</definedName>
    <definedName name="Wireless_Valuation">#REF!</definedName>
    <definedName name="Wireline_Asia_Divyield">#REF!</definedName>
    <definedName name="Wireline_Asia_EV">#REF!</definedName>
    <definedName name="Wireline_Asia_EVEBITDA">#REF!</definedName>
    <definedName name="Wireline_Asia_FCFyield">#REF!</definedName>
    <definedName name="Wireline_Asia_MV">#REF!</definedName>
    <definedName name="Wireline_Asia_PE">#REF!</definedName>
    <definedName name="Wireline_Europe_Divyield">#REF!</definedName>
    <definedName name="Wireline_Europe_EV">#REF!</definedName>
    <definedName name="Wireline_Europe_EVEBITDA">#REF!</definedName>
    <definedName name="Wireline_Europe_FCFyield">#REF!</definedName>
    <definedName name="Wireline_Europe_MV">#REF!</definedName>
    <definedName name="Wireline_Europe_PE">#REF!</definedName>
    <definedName name="Wireline_Japan_Divyield">#REF!</definedName>
    <definedName name="Wireline_Japan_EV">#REF!</definedName>
    <definedName name="Wireline_Japan_EVEBITDA">#REF!</definedName>
    <definedName name="Wireline_Japan_MV">#REF!</definedName>
    <definedName name="Wireline_Japan_PE">#REF!</definedName>
    <definedName name="Wireline_OpStats">#REF!</definedName>
    <definedName name="Wireline_Performance">#REF!</definedName>
    <definedName name="Wireline_US_FCFyield">#REF!</definedName>
    <definedName name="wjegwheg" localSheetId="0" hidden="1">{#N/A,#N/A,FALSE,"Banksum";#N/A,#N/A,FALSE,"Banksum"}</definedName>
    <definedName name="wjegwheg" hidden="1">{#N/A,#N/A,FALSE,"Banksum";#N/A,#N/A,FALSE,"Banksum"}</definedName>
    <definedName name="wk">#REF!</definedName>
    <definedName name="wmdeo">#N/A</definedName>
    <definedName name="wo_data">#REF!</definedName>
    <definedName name="WOL">#REF!</definedName>
    <definedName name="WORK">#REF!</definedName>
    <definedName name="WORKER">#REF!</definedName>
    <definedName name="working">#REF!</definedName>
    <definedName name="Working_capital_Rate_of_Interest_for_FY_10_11" localSheetId="25">#REF!</definedName>
    <definedName name="Working_capital_Rate_of_Interest_for_FY_10_11" localSheetId="0">#REF!</definedName>
    <definedName name="Working_capital_Rate_of_Interest_for_FY_10_11" localSheetId="43">#REF!</definedName>
    <definedName name="Working_capital_Rate_of_Interest_for_FY_10_11" localSheetId="5">#REF!</definedName>
    <definedName name="Working_capital_Rate_of_Interest_for_FY_10_11">#REF!</definedName>
    <definedName name="Workoverexpenses">#REF!</definedName>
    <definedName name="world1">#REF!</definedName>
    <definedName name="world2">#REF!</definedName>
    <definedName name="world3">#REF!</definedName>
    <definedName name="world4">#REF!</definedName>
    <definedName name="world5">#REF!</definedName>
    <definedName name="world6">#REF!</definedName>
    <definedName name="WQDAW" localSheetId="25" hidden="1">{#N/A,#N/A,FALSE,"ISBL"}</definedName>
    <definedName name="WQDAW" localSheetId="5" hidden="1">{#N/A,#N/A,FALSE,"ISBL"}</definedName>
    <definedName name="WQDAW" hidden="1">{#N/A,#N/A,FALSE,"ISBL"}</definedName>
    <definedName name="WQDSA" localSheetId="25" hidden="1">{#N/A,#N/A,FALSE,"PGW"}</definedName>
    <definedName name="WQDSA" localSheetId="5" hidden="1">{#N/A,#N/A,FALSE,"PGW"}</definedName>
    <definedName name="WQDSA" hidden="1">{#N/A,#N/A,FALSE,"PGW"}</definedName>
    <definedName name="WQDWAX"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25" hidden="1">{#N/A,#N/A,FALSE,"FREE"}</definedName>
    <definedName name="WQEFAS" localSheetId="5" hidden="1">{#N/A,#N/A,FALSE,"FREE"}</definedName>
    <definedName name="WQEFAS" hidden="1">{#N/A,#N/A,FALSE,"FREE"}</definedName>
    <definedName name="wr" localSheetId="25" hidden="1">{#N/A,#N/A,FALSE,"17MAY";#N/A,#N/A,FALSE,"24MAY"}</definedName>
    <definedName name="wr" localSheetId="0" hidden="1">{#N/A,#N/A,FALSE,"17MAY";#N/A,#N/A,FALSE,"24MAY"}</definedName>
    <definedName name="wr" localSheetId="5" hidden="1">{#N/A,#N/A,FALSE,"17MAY";#N/A,#N/A,FALSE,"24MAY"}</definedName>
    <definedName name="wr" hidden="1">{#N/A,#N/A,FALSE,"17MAY";#N/A,#N/A,FALSE,"24MAY"}</definedName>
    <definedName name="writeoff">#REF!</definedName>
    <definedName name="Written" hidden="1">{#N/A,#N/A,FALSE,"SUMMARY REPORT"}</definedName>
    <definedName name="wrn" localSheetId="2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 localSheetId="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 localSheetId="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1." localSheetId="25" hidden="1">{#N/A,#N/A,FALSE,"17MAY";#N/A,#N/A,FALSE,"24MAY"}</definedName>
    <definedName name="wrn.1." localSheetId="0" hidden="1">{#N/A,#N/A,FALSE,"17MAY";#N/A,#N/A,FALSE,"24MAY"}</definedName>
    <definedName name="wrn.1." localSheetId="5" hidden="1">{#N/A,#N/A,FALSE,"17MAY";#N/A,#N/A,FALSE,"24MAY"}</definedName>
    <definedName name="wrn.1." hidden="1">{#N/A,#N/A,FALSE,"17MAY";#N/A,#N/A,FALSE,"24MAY"}</definedName>
    <definedName name="wrn.2.2" localSheetId="25" hidden="1">{#N/A,#N/A,FALSE,"17MAY";#N/A,#N/A,FALSE,"24MAY"}</definedName>
    <definedName name="wrn.2.2" localSheetId="0" hidden="1">{#N/A,#N/A,FALSE,"17MAY";#N/A,#N/A,FALSE,"24MAY"}</definedName>
    <definedName name="wrn.2.2" localSheetId="5" hidden="1">{#N/A,#N/A,FALSE,"17MAY";#N/A,#N/A,FALSE,"24MAY"}</definedName>
    <definedName name="wrn.2.2" hidden="1">{#N/A,#N/A,FALSE,"17MAY";#N/A,#N/A,FALSE,"24MAY"}</definedName>
    <definedName name="wrn.AA." localSheetId="25" hidden="1">{#N/A,#N/A,FALSE,"PMTABB";#N/A,#N/A,FALSE,"PMTABB"}</definedName>
    <definedName name="wrn.AA." localSheetId="0" hidden="1">{#N/A,#N/A,FALSE,"PMTABB";#N/A,#N/A,FALSE,"PMTABB"}</definedName>
    <definedName name="wrn.AA." localSheetId="5" hidden="1">{#N/A,#N/A,FALSE,"PMTABB";#N/A,#N/A,FALSE,"PMTABB"}</definedName>
    <definedName name="wrn.AA." hidden="1">{#N/A,#N/A,FALSE,"PMTABB";#N/A,#N/A,FALSE,"PMTABB"}</definedName>
    <definedName name="wrn.aaaaaa.phase3" localSheetId="25" hidden="1">{"Summary Sheet",#N/A,FALSE,"Stage 5 vs Budget";"Summary Sheet",#N/A,FALSE,"Stage 6 vs Budget";"Summary Sheet",#N/A,FALSE,"Stage 7 vs Budget";"Summary Sheet",#N/A,FALSE,"SalesInfo vs Budget";"Summary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aaaaaa.phase3" localSheetId="5" hidden="1">{"Summary Sheet",#N/A,FALSE,"Stage 5 vs Budget";"Summary Sheet",#N/A,FALSE,"Stage 6 vs Budget";"Summary Sheet",#N/A,FALSE,"Stage 7 vs Budget";"Summary Sheet",#N/A,FALSE,"SalesInfo vs Budget";"Summary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aaaaaa.phase3" hidden="1">{"Summary Sheet",#N/A,FALSE,"Stage 5 vs Budget";"Summary Sheet",#N/A,FALSE,"Stage 6 vs Budget";"Summary Sheet",#N/A,FALSE,"Stage 7 vs Budget";"Summary Sheet",#N/A,FALSE,"SalesInfo vs Budget";"Summary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Accounts." localSheetId="0" hidden="1">{#N/A,#N/A,TRUE,"SCH99";#N/A,#N/A,TRUE,"BS99";"Groupings",#N/A,TRUE,"GROUP_99 ";"Groupings-Comparitive",#N/A,TRUE,"GROUP_99 ";#N/A,#N/A,TRUE,"SCH98_E";#N/A,#N/A,TRUE,"ASSET_99 "}</definedName>
    <definedName name="wrn.Accounts." hidden="1">{#N/A,#N/A,TRUE,"SCH99";#N/A,#N/A,TRUE,"BS99";"Groupings",#N/A,TRUE,"GROUP_99 ";"Groupings-Comparitive",#N/A,TRUE,"GROUP_99 ";#N/A,#N/A,TRUE,"SCH98_E";#N/A,#N/A,TRUE,"ASSET_99 "}</definedName>
    <definedName name="wrn.Accretion." localSheetId="25" hidden="1">{"Accretion",#N/A,FALSE,"Assum"}</definedName>
    <definedName name="wrn.Accretion." localSheetId="5" hidden="1">{"Accretion",#N/A,FALSE,"Assum"}</definedName>
    <definedName name="wrn.Accretion." hidden="1">{"Accretion",#N/A,FALSE,"Assum"}</definedName>
    <definedName name="wrn.ACHESON94TAXRETURN." localSheetId="25"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5"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tual._.vs._.Budget.Phase3" localSheetId="25" hidden="1">{"Summary Sheet",#N/A,FALSE,"Cash Flow vs Budget"}</definedName>
    <definedName name="wrn.Actual._.vs._.Budget.Phase3" localSheetId="5" hidden="1">{"Summary Sheet",#N/A,FALSE,"Cash Flow vs Budget"}</definedName>
    <definedName name="wrn.Actual._.vs._.Budget.Phase3" hidden="1">{"Summary Sheet",#N/A,FALSE,"Cash Flow vs Budget"}</definedName>
    <definedName name="wrn.Aging" localSheetId="25" hidden="1">{#N/A,#N/A,FALSE,"Aging Summary";#N/A,#N/A,FALSE,"Ratio Analysis";#N/A,#N/A,FALSE,"Test 120 Day Accts";#N/A,#N/A,FALSE,"Tickmarks"}</definedName>
    <definedName name="wrn.Aging" localSheetId="5"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 localSheetId="2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localSheetId="2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localSheetId="0" hidden="1">{#N/A,#N/A,FALSE,"1";#N/A,#N/A,FALSE,"2";#N/A,#N/A,FALSE,"3";#N/A,#N/A,FALSE,"4";#N/A,#N/A,FALSE,"5";#N/A,#N/A,FALSE,"6";#N/A,#N/A,FALSE,"7";#N/A,#N/A,FALSE,"8";#N/A,#N/A,FALSE,"9";#N/A,#N/A,FALSE,"10";#N/A,#N/A,FALSE,"11";#N/A,#N/A,FALSE,"12";#N/A,#N/A,FALSE,"13";#N/A,#N/A,FALSE,"14";#N/A,#N/A,FALSE,"15";#N/A,#N/A,FALSE,"16";#N/A,#N/A,FALSE,"17"}</definedName>
    <definedName name="wrn.All."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_.Reports." localSheetId="2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localSheetId="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tages._.Summary.Phase3" localSheetId="25" hidden="1">{"Short Stage 1",#N/A,FALSE,"Stage 1";"Short Stage 2",#N/A,FALSE,"Stage 2";"Short Stage 3",#N/A,FALSE,"Stage 3";"Short Stage 4",#N/A,FALSE,"Stage 4";"Short Stage 5",#N/A,FALSE,"Stage 5";"Short Stage 6",#N/A,FALSE,"Stage 6";"Short Stage 7",#N/A,FALSE,"Stage 7"}</definedName>
    <definedName name="wrn.All._.Stages._.Summary.Phase3" localSheetId="5" hidden="1">{"Short Stage 1",#N/A,FALSE,"Stage 1";"Short Stage 2",#N/A,FALSE,"Stage 2";"Short Stage 3",#N/A,FALSE,"Stage 3";"Short Stage 4",#N/A,FALSE,"Stage 4";"Short Stage 5",#N/A,FALSE,"Stage 5";"Short Stage 6",#N/A,FALSE,"Stage 6";"Short Stage 7",#N/A,FALSE,"Stage 7"}</definedName>
    <definedName name="wrn.All._.Stages._.Summary.Phase3" hidden="1">{"Short Stage 1",#N/A,FALSE,"Stage 1";"Short Stage 2",#N/A,FALSE,"Stage 2";"Short Stage 3",#N/A,FALSE,"Stage 3";"Short Stage 4",#N/A,FALSE,"Stage 4";"Short Stage 5",#N/A,FALSE,"Stage 5";"Short Stage 6",#N/A,FALSE,"Stage 6";"Short Stage 7",#N/A,FALSE,"Stage 7"}</definedName>
    <definedName name="wrn.All._.Summaries.Phase3" localSheetId="25" hidden="1">{"Summary vs Budget",#N/A,FALSE,"Summary vs Budget";"Stage 1 vs Budget",#N/A,FALSE,"Stage 1 vs Budget";"Stage 1 vs Budget",#N/A,FALSE,"Stage 2 vs Budget";"Stage 1 vs Budget",#N/A,FALSE,"Stage 3 vs Budget";"Stage 4 vs Budget",#N/A,FALSE,"Stage 4 vs Budget";"Summary",#N/A,FALSE,"Stage 5 vs Budget";"Summary",#N/A,FALSE,"Stage 6 vs Budget";"Summary",#N/A,FALSE,"Stage 7 vs Budget "}</definedName>
    <definedName name="wrn.All._.Summaries.Phase3" localSheetId="5" hidden="1">{"Summary vs Budget",#N/A,FALSE,"Summary vs Budget";"Stage 1 vs Budget",#N/A,FALSE,"Stage 1 vs Budget";"Stage 1 vs Budget",#N/A,FALSE,"Stage 2 vs Budget";"Stage 1 vs Budget",#N/A,FALSE,"Stage 3 vs Budget";"Stage 4 vs Budget",#N/A,FALSE,"Stage 4 vs Budget";"Summary",#N/A,FALSE,"Stage 5 vs Budget";"Summary",#N/A,FALSE,"Stage 6 vs Budget";"Summary",#N/A,FALSE,"Stage 7 vs Budget "}</definedName>
    <definedName name="wrn.All._.Summaries.Phase3" hidden="1">{"Summary vs Budget",#N/A,FALSE,"Summary vs Budget";"Stage 1 vs Budget",#N/A,FALSE,"Stage 1 vs Budget";"Stage 1 vs Budget",#N/A,FALSE,"Stage 2 vs Budget";"Stage 1 vs Budget",#N/A,FALSE,"Stage 3 vs Budget";"Stage 4 vs Budget",#N/A,FALSE,"Stage 4 vs Budget";"Summary",#N/A,FALSE,"Stage 5 vs Budget";"Summary",#N/A,FALSE,"Stage 6 vs Budget";"Summary",#N/A,FALSE,"Stage 7 vs Budget "}</definedName>
    <definedName name="wrn.All._.Summary._.Sheets.Phase3" localSheetId="25" hidden="1">{"Summary Sheet",#N/A,FALSE,"Summary vs Budget";"Summary Sheet",#N/A,FALSE,"Master vs Budget";"Summary Sheet",#N/A,FALSE,"Stage 1 vs Budget";"Summary Sheet",#N/A,FALSE,"Stage 2 vs Budget";"Summary Sheet",#N/A,FALSE,"Stage 3 vs Budget";"Summary Sheet",#N/A,FALSE,"Stage 4 vs Budget";"Summary Sheet",#N/A,FALSE,"Stage 5 vs Budget";"Summary Sheet",#N/A,FALSE,"Stage 6 vs Budget";"Summary Sheet",#N/A,FALSE,"Stage 7 vs Budget";"Summary Sheet",#N/A,FALSE,"SalesInfo vs Budget";"Summary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All._.Summary._.Sheets.Phase3" localSheetId="5" hidden="1">{"Summary Sheet",#N/A,FALSE,"Summary vs Budget";"Summary Sheet",#N/A,FALSE,"Master vs Budget";"Summary Sheet",#N/A,FALSE,"Stage 1 vs Budget";"Summary Sheet",#N/A,FALSE,"Stage 2 vs Budget";"Summary Sheet",#N/A,FALSE,"Stage 3 vs Budget";"Summary Sheet",#N/A,FALSE,"Stage 4 vs Budget";"Summary Sheet",#N/A,FALSE,"Stage 5 vs Budget";"Summary Sheet",#N/A,FALSE,"Stage 6 vs Budget";"Summary Sheet",#N/A,FALSE,"Stage 7 vs Budget";"Summary Sheet",#N/A,FALSE,"SalesInfo vs Budget";"Summary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All._.Summary._.Sheets.Phase3" hidden="1">{"Summary Sheet",#N/A,FALSE,"Summary vs Budget";"Summary Sheet",#N/A,FALSE,"Master vs Budget";"Summary Sheet",#N/A,FALSE,"Stage 1 vs Budget";"Summary Sheet",#N/A,FALSE,"Stage 2 vs Budget";"Summary Sheet",#N/A,FALSE,"Stage 3 vs Budget";"Summary Sheet",#N/A,FALSE,"Stage 4 vs Budget";"Summary Sheet",#N/A,FALSE,"Stage 5 vs Budget";"Summary Sheet",#N/A,FALSE,"Stage 6 vs Budget";"Summary Sheet",#N/A,FALSE,"Stage 7 vs Budget";"Summary Sheet",#N/A,FALSE,"SalesInfo vs Budget";"Summary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amk." localSheetId="25" hidden="1">{#N/A,#N/A,FALSE,"M&amp;B_43A_fab";#N/A,#N/A,FALSE,"M&amp;B_43A_ERE.";#N/A,#N/A,FALSE,"M&amp;B-43A-ALIGN"}</definedName>
    <definedName name="wrn.amk." localSheetId="5" hidden="1">{#N/A,#N/A,FALSE,"M&amp;B_43A_fab";#N/A,#N/A,FALSE,"M&amp;B_43A_ERE.";#N/A,#N/A,FALSE,"M&amp;B-43A-ALIGN"}</definedName>
    <definedName name="wrn.amk." hidden="1">{#N/A,#N/A,FALSE,"M&amp;B_43A_fab";#N/A,#N/A,FALSE,"M&amp;B_43A_ERE.";#N/A,#N/A,FALSE,"M&amp;B-43A-ALIGN"}</definedName>
    <definedName name="wrn.ANZ._.Report." localSheetId="25" hidden="1">{#N/A,#N/A,FALSE,"Balance Sheets";#N/A,#N/A,FALSE,"96 Conservative";#N/A,#N/A,FALSE,"96 Possible"}</definedName>
    <definedName name="wrn.ANZ._.Report." localSheetId="0" hidden="1">{#N/A,#N/A,FALSE,"Balance Sheets";#N/A,#N/A,FALSE,"96 Conservative";#N/A,#N/A,FALSE,"96 Possible"}</definedName>
    <definedName name="wrn.ANZ._.Report." localSheetId="5" hidden="1">{#N/A,#N/A,FALSE,"Balance Sheets";#N/A,#N/A,FALSE,"96 Conservative";#N/A,#N/A,FALSE,"96 Possible"}</definedName>
    <definedName name="wrn.ANZ._.Report." hidden="1">{#N/A,#N/A,FALSE,"Balance Sheets";#N/A,#N/A,FALSE,"96 Conservative";#N/A,#N/A,FALSE,"96 Possible"}</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Assumptions." localSheetId="25" hidden="1">{"Assumptions",#N/A,FALSE,"Assum"}</definedName>
    <definedName name="wrn.Assumptions." localSheetId="5" hidden="1">{"Assumptions",#N/A,FALSE,"Assum"}</definedName>
    <definedName name="wrn.Assumptions." hidden="1">{"Assumptions",#N/A,FALSE,"Assum"}</definedName>
    <definedName name="wrn.B.SHEET." localSheetId="25" hidden="1">{#N/A,#N/A,FALSE,"COMICRO";#N/A,#N/A,FALSE,"BALSCH";#N/A,#N/A,FALSE,"GLASS";#N/A,#N/A,FALSE,"DEPRE";#N/A,#N/A,FALSE,"A&amp;MCUR";#N/A,#N/A,FALSE,"AGEANAlysis";#N/A,#N/A,FALSE,"CHECKS";#N/A,#N/A,FALSE,"CHECKS"}</definedName>
    <definedName name="wrn.B.SHEET." localSheetId="5" hidden="1">{#N/A,#N/A,FALSE,"COMICRO";#N/A,#N/A,FALSE,"BALSCH";#N/A,#N/A,FALSE,"GLASS";#N/A,#N/A,FALSE,"DEPRE";#N/A,#N/A,FALSE,"A&amp;MCUR";#N/A,#N/A,FALSE,"AGEANAlysis";#N/A,#N/A,FALSE,"CHECKS";#N/A,#N/A,FALSE,"CHECKS"}</definedName>
    <definedName name="wrn.B.SHEET." hidden="1">{#N/A,#N/A,FALSE,"COMICRO";#N/A,#N/A,FALSE,"BALSCH";#N/A,#N/A,FALSE,"GLASS";#N/A,#N/A,FALSE,"DEPRE";#N/A,#N/A,FALSE,"A&amp;MCUR";#N/A,#N/A,FALSE,"AGEANAlysis";#N/A,#N/A,FALSE,"CHECKS";#N/A,#N/A,FALSE,"CHECKS"}</definedName>
    <definedName name="wrn.BALANCE._.SHEET._.9697." hidden="1">{#N/A,#N/A,FALSE,"Balance Sheet ";#N/A,#N/A,FALSE,"FIXED ASSETS 97-98";#N/A,#N/A,FALSE,"P&amp;L Acc.";#N/A,#N/A,FALSE,"SCH 5-8";#N/A,#N/A,FALSE,"SCH 1 2 3";#N/A,#N/A,FALSE,"SCH 9 10";#N/A,#N/A,FALSE,"SCH12 13"}</definedName>
    <definedName name="wrn.Book." localSheetId="25" hidden="1">{"EVA",#N/A,FALSE,"SMT2";#N/A,#N/A,FALSE,"Summary";#N/A,#N/A,FALSE,"Graphs";#N/A,#N/A,FALSE,"4 Panel"}</definedName>
    <definedName name="wrn.Book." localSheetId="0" hidden="1">{"EVA",#N/A,FALSE,"SMT2";#N/A,#N/A,FALSE,"Summary";#N/A,#N/A,FALSE,"Graphs";#N/A,#N/A,FALSE,"4 Panel"}</definedName>
    <definedName name="wrn.Book." localSheetId="5" hidden="1">{"EVA",#N/A,FALSE,"SMT2";#N/A,#N/A,FALSE,"Summary";#N/A,#N/A,FALSE,"Graphs";#N/A,#N/A,FALSE,"4 Panel"}</definedName>
    <definedName name="wrn.Book." hidden="1">{"EVA",#N/A,FALSE,"SMT2";#N/A,#N/A,FALSE,"Summary";#N/A,#N/A,FALSE,"Graphs";#N/A,#N/A,FALSE,"4 Panel"}</definedName>
    <definedName name="wrn.BSPL." localSheetId="0" hidden="1">{"BS",#N/A,FALSE,"Accounts2002 New";"PL",#N/A,FALSE,"Accounts2002 New"}</definedName>
    <definedName name="wrn.BSPL." hidden="1">{"BS",#N/A,FALSE,"Accounts2002 New";"PL",#N/A,FALSE,"Accounts2002 New"}</definedName>
    <definedName name="wrn.Budget2000." localSheetId="25" hidden="1">{#N/A,#N/A,FALSE,"Title";#N/A,#N/A,FALSE,"Corp b sheet";#N/A,#N/A,FALSE,"MODIFIED Pl";#N/A,#N/A,FALSE,"Balance Sheet";#N/A,#N/A,FALSE,"Profit and Loss";#N/A,#N/A,FALSE,"Supplement info";#N/A,#N/A,FALSE,"Cashflow";#N/A,#N/A,FALSE,"Asspc Co - Inv Schedule";#N/A,#N/A,FALSE,"kpi"}</definedName>
    <definedName name="wrn.Budget2000." localSheetId="0" hidden="1">{#N/A,#N/A,FALSE,"Title";#N/A,#N/A,FALSE,"Corp b sheet";#N/A,#N/A,FALSE,"MODIFIED Pl";#N/A,#N/A,FALSE,"Balance Sheet";#N/A,#N/A,FALSE,"Profit and Loss";#N/A,#N/A,FALSE,"Supplement info";#N/A,#N/A,FALSE,"Cashflow";#N/A,#N/A,FALSE,"Asspc Co - Inv Schedule";#N/A,#N/A,FALSE,"kpi"}</definedName>
    <definedName name="wrn.Budget2000." localSheetId="5" hidden="1">{#N/A,#N/A,FALSE,"Title";#N/A,#N/A,FALSE,"Corp b sheet";#N/A,#N/A,FALSE,"MODIFIED Pl";#N/A,#N/A,FALSE,"Balance Sheet";#N/A,#N/A,FALSE,"Profit and Loss";#N/A,#N/A,FALSE,"Supplement info";#N/A,#N/A,FALSE,"Cashflow";#N/A,#N/A,FALSE,"Asspc Co - Inv Schedule";#N/A,#N/A,FALSE,"kpi"}</definedName>
    <definedName name="wrn.Budget2000." hidden="1">{#N/A,#N/A,FALSE,"Title";#N/A,#N/A,FALSE,"Corp b sheet";#N/A,#N/A,FALSE,"MODIFIED Pl";#N/A,#N/A,FALSE,"Balance Sheet";#N/A,#N/A,FALSE,"Profit and Loss";#N/A,#N/A,FALSE,"Supplement info";#N/A,#N/A,FALSE,"Cashflow";#N/A,#N/A,FALSE,"Asspc Co - Inv Schedule";#N/A,#N/A,FALSE,"kpi"}</definedName>
    <definedName name="wrn.Cash._.Flow._.vs._.PnL.Phase3" localSheetId="25" hidden="1">{"CF vs PnL",#N/A,FALSE,"CF vs P&amp;L"}</definedName>
    <definedName name="wrn.Cash._.Flow._.vs._.PnL.Phase3" localSheetId="5" hidden="1">{"CF vs PnL",#N/A,FALSE,"CF vs P&amp;L"}</definedName>
    <definedName name="wrn.Cash._.Flow._.vs._.PnL.Phase3" hidden="1">{"CF vs PnL",#N/A,FALSE,"CF vs P&amp;L"}</definedName>
    <definedName name="wrn.CIC94TAX." localSheetId="25" hidden="1">{#N/A,#N/A,FALSE,"일반적사항";#N/A,#N/A,FALSE,"주요재무자료";#N/A,#N/A,FALSE,"표지";#N/A,#N/A,FALSE,"총괄표";#N/A,#N/A,FALSE,"1호 과표세액";#N/A,#N/A,FALSE,"2호 서식";#N/A,#N/A,FALSE,"3(3)호(갑) 원천납부";#N/A,#N/A,FALSE,"6호 소득금액";#N/A,#N/A,FALSE,"6호 첨부(익)";#N/A,#N/A,FALSE,"6호 첨부(익)";#N/A,#N/A,FALSE,"6호 첨부(손)";#N/A,#N/A,FALSE,"6-1호 수입금액";#N/A,#N/A,FALSE,"6-3호 퇴충";#N/A,#N/A,FALSE,"6-4호 접대(갑)";#N/A,#N/A,FALSE,"6-4호 접대(을)";#N/A,#N/A,FALSE,"감가총괄";#N/A,#N/A,FALSE,"6-6(3)호 감가(정액)";#N/A,#N/A,FALSE,"전기부인액추인";#N/A,#N/A,FALSE,"6-6호(부표) 자본적지출";#N/A,#N/A,FALSE,"6-10호 재고자산";#N/A,#N/A,FALSE,"6-11호 세금과공과";#N/A,#N/A,FALSE,"6-12호 선급비용";#N/A,#N/A,FALSE,"9호 자본금(갑)";#N/A,#N/A,FALSE,"9호 자본금(을)";#N/A,#N/A,FALSE,"10(4)호 조정수입";#N/A,#N/A,FALSE,"59호 해외특수"}</definedName>
    <definedName name="wrn.CIC94TAX." localSheetId="5" hidden="1">{#N/A,#N/A,FALSE,"일반적사항";#N/A,#N/A,FALSE,"주요재무자료";#N/A,#N/A,FALSE,"표지";#N/A,#N/A,FALSE,"총괄표";#N/A,#N/A,FALSE,"1호 과표세액";#N/A,#N/A,FALSE,"2호 서식";#N/A,#N/A,FALSE,"3(3)호(갑) 원천납부";#N/A,#N/A,FALSE,"6호 소득금액";#N/A,#N/A,FALSE,"6호 첨부(익)";#N/A,#N/A,FALSE,"6호 첨부(익)";#N/A,#N/A,FALSE,"6호 첨부(손)";#N/A,#N/A,FALSE,"6-1호 수입금액";#N/A,#N/A,FALSE,"6-3호 퇴충";#N/A,#N/A,FALSE,"6-4호 접대(갑)";#N/A,#N/A,FALSE,"6-4호 접대(을)";#N/A,#N/A,FALSE,"감가총괄";#N/A,#N/A,FALSE,"6-6(3)호 감가(정액)";#N/A,#N/A,FALSE,"전기부인액추인";#N/A,#N/A,FALSE,"6-6호(부표) 자본적지출";#N/A,#N/A,FALSE,"6-10호 재고자산";#N/A,#N/A,FALSE,"6-11호 세금과공과";#N/A,#N/A,FALSE,"6-12호 선급비용";#N/A,#N/A,FALSE,"9호 자본금(갑)";#N/A,#N/A,FALSE,"9호 자본금(을)";#N/A,#N/A,FALSE,"10(4)호 조정수입";#N/A,#N/A,FALSE,"59호 해외특수"}</definedName>
    <definedName name="wrn.CIC94TAX." hidden="1">{#N/A,#N/A,FALSE,"일반적사항";#N/A,#N/A,FALSE,"주요재무자료";#N/A,#N/A,FALSE,"표지";#N/A,#N/A,FALSE,"총괄표";#N/A,#N/A,FALSE,"1호 과표세액";#N/A,#N/A,FALSE,"2호 서식";#N/A,#N/A,FALSE,"3(3)호(갑) 원천납부";#N/A,#N/A,FALSE,"6호 소득금액";#N/A,#N/A,FALSE,"6호 첨부(익)";#N/A,#N/A,FALSE,"6호 첨부(익)";#N/A,#N/A,FALSE,"6호 첨부(손)";#N/A,#N/A,FALSE,"6-1호 수입금액";#N/A,#N/A,FALSE,"6-3호 퇴충";#N/A,#N/A,FALSE,"6-4호 접대(갑)";#N/A,#N/A,FALSE,"6-4호 접대(을)";#N/A,#N/A,FALSE,"감가총괄";#N/A,#N/A,FALSE,"6-6(3)호 감가(정액)";#N/A,#N/A,FALSE,"전기부인액추인";#N/A,#N/A,FALSE,"6-6호(부표) 자본적지출";#N/A,#N/A,FALSE,"6-10호 재고자산";#N/A,#N/A,FALSE,"6-11호 세금과공과";#N/A,#N/A,FALSE,"6-12호 선급비용";#N/A,#N/A,FALSE,"9호 자본금(갑)";#N/A,#N/A,FALSE,"9호 자본금(을)";#N/A,#N/A,FALSE,"10(4)호 조정수입";#N/A,#N/A,FALSE,"59호 해외특수"}</definedName>
    <definedName name="wrn.client." localSheetId="25" hidden="1">{"multiple",#N/A,FALSE,"client";"margins",#N/A,FALSE,"client";"data",#N/A,FALSE,"client"}</definedName>
    <definedName name="wrn.client." localSheetId="5" hidden="1">{"multiple",#N/A,FALSE,"client";"margins",#N/A,FALSE,"client";"data",#N/A,FALSE,"client"}</definedName>
    <definedName name="wrn.client." hidden="1">{"multiple",#N/A,FALSE,"client";"margins",#N/A,FALSE,"client";"data",#N/A,FALSE,"client"}</definedName>
    <definedName name="wrn.Client3." localSheetId="25" hidden="1">{"data",#N/A,FALSE,"client (3)";"margins",#N/A,FALSE,"client (3)";"multiple",#N/A,FALSE,"client (3)"}</definedName>
    <definedName name="wrn.Client3." localSheetId="5" hidden="1">{"data",#N/A,FALSE,"client (3)";"margins",#N/A,FALSE,"client (3)";"multiple",#N/A,FALSE,"client (3)"}</definedName>
    <definedName name="wrn.Client3." hidden="1">{"data",#N/A,FALSE,"client (3)";"margins",#N/A,FALSE,"client (3)";"multiple",#N/A,FALSE,"client (3)"}</definedName>
    <definedName name="wrn.client4." localSheetId="25" hidden="1">{"multiple",#N/A,FALSE,"client (4)";"margins",#N/A,FALSE,"client (4)";"data",#N/A,FALSE,"client (4)"}</definedName>
    <definedName name="wrn.client4." localSheetId="5" hidden="1">{"multiple",#N/A,FALSE,"client (4)";"margins",#N/A,FALSE,"client (4)";"data",#N/A,FALSE,"client (4)"}</definedName>
    <definedName name="wrn.client4." hidden="1">{"multiple",#N/A,FALSE,"client (4)";"margins",#N/A,FALSE,"client (4)";"data",#N/A,FALSE,"client (4)"}</definedName>
    <definedName name="wrn.Complete." localSheetId="25" hidden="1">{#N/A,#N/A,FALSE,"SMT1";#N/A,#N/A,FALSE,"SMT2";#N/A,#N/A,FALSE,"Summary";#N/A,#N/A,FALSE,"Graphs";#N/A,#N/A,FALSE,"4 Panel"}</definedName>
    <definedName name="wrn.Complete." localSheetId="0" hidden="1">{#N/A,#N/A,FALSE,"SMT1";#N/A,#N/A,FALSE,"SMT2";#N/A,#N/A,FALSE,"Summary";#N/A,#N/A,FALSE,"Graphs";#N/A,#N/A,FALSE,"4 Panel"}</definedName>
    <definedName name="wrn.Complete." localSheetId="5" hidden="1">{#N/A,#N/A,FALSE,"SMT1";#N/A,#N/A,FALSE,"SMT2";#N/A,#N/A,FALSE,"Summary";#N/A,#N/A,FALSE,"Graphs";#N/A,#N/A,FALSE,"4 Panel"}</definedName>
    <definedName name="wrn.Complete." hidden="1">{#N/A,#N/A,FALSE,"SMT1";#N/A,#N/A,FALSE,"SMT2";#N/A,#N/A,FALSE,"Summary";#N/A,#N/A,FALSE,"Graphs";#N/A,#N/A,FALSE,"4 Panel"}</definedName>
    <definedName name="wrn.Complete._.Report." localSheetId="2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Set." localSheetId="25" hidden="1">{#N/A,#N/A,FALSE,"Full";#N/A,#N/A,FALSE,"Half";#N/A,#N/A,FALSE,"Op Expenses";#N/A,#N/A,FALSE,"Cap Charge";#N/A,#N/A,FALSE,"Cost C";#N/A,#N/A,FALSE,"PP&amp;E";#N/A,#N/A,FALSE,"R&amp;D"}</definedName>
    <definedName name="wrn.Complete._.Set." localSheetId="0" hidden="1">{#N/A,#N/A,FALSE,"Full";#N/A,#N/A,FALSE,"Half";#N/A,#N/A,FALSE,"Op Expenses";#N/A,#N/A,FALSE,"Cap Charge";#N/A,#N/A,FALSE,"Cost C";#N/A,#N/A,FALSE,"PP&amp;E";#N/A,#N/A,FALSE,"R&amp;D"}</definedName>
    <definedName name="wrn.Complete._.Set." localSheetId="5"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Report." localSheetId="2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nsumable." localSheetId="25" hidden="1">{#N/A,#N/A,FALSE,"consu_cover";#N/A,#N/A,FALSE,"consu_strategy";#N/A,#N/A,FALSE,"consu_flow";#N/A,#N/A,FALSE,"Summary_reqmt";#N/A,#N/A,FALSE,"field_ppg";#N/A,#N/A,FALSE,"ppg_shop";#N/A,#N/A,FALSE,"strl";#N/A,#N/A,FALSE,"tankages";#N/A,#N/A,FALSE,"gases"}</definedName>
    <definedName name="wrn.consumable." localSheetId="0" hidden="1">{#N/A,#N/A,FALSE,"consu_cover";#N/A,#N/A,FALSE,"consu_strategy";#N/A,#N/A,FALSE,"consu_flow";#N/A,#N/A,FALSE,"Summary_reqmt";#N/A,#N/A,FALSE,"field_ppg";#N/A,#N/A,FALSE,"ppg_shop";#N/A,#N/A,FALSE,"strl";#N/A,#N/A,FALSE,"tankages";#N/A,#N/A,FALSE,"gases"}</definedName>
    <definedName name="wrn.consumable." localSheetId="5"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ntvar." localSheetId="25" hidden="1">{#N/A,"ContVar for 00-01",FALSE,"Contribution";#N/A,"ContVar for QI",FALSE,"Contribution";#N/A,"Contvar for Mon",FALSE,"Contribution"}</definedName>
    <definedName name="wrn.contvar." localSheetId="0" hidden="1">{#N/A,"ContVar for 00-01",FALSE,"Contribution";#N/A,"ContVar for QI",FALSE,"Contribution";#N/A,"Contvar for Mon",FALSE,"Contribution"}</definedName>
    <definedName name="wrn.contvar." localSheetId="5" hidden="1">{#N/A,"ContVar for 00-01",FALSE,"Contribution";#N/A,"ContVar for QI",FALSE,"Contribution";#N/A,"Contvar for Mon",FALSE,"Contribution"}</definedName>
    <definedName name="wrn.contvar." hidden="1">{#N/A,"ContVar for 00-01",FALSE,"Contribution";#N/A,"ContVar for QI",FALSE,"Contribution";#N/A,"Contvar for Mon",FALSE,"Contribution"}</definedName>
    <definedName name="wrn.COSA._.FS._.국문." localSheetId="25" hidden="1">{#N/A,#N/A,FALSE,"BS";#N/A,#N/A,FALSE,"PL";#N/A,#N/A,FALSE,"처분";#N/A,#N/A,FALSE,"현금";#N/A,#N/A,FALSE,"매출";#N/A,#N/A,FALSE,"원가";#N/A,#N/A,FALSE,"경영"}</definedName>
    <definedName name="wrn.COSA._.FS._.국문." localSheetId="5"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_.Inputs." localSheetId="25" hidden="1">{"Cost Inputs",#N/A,FALSE,"Cost Inputs"}</definedName>
    <definedName name="wrn.Cost._.Inputs." localSheetId="5" hidden="1">{"Cost Inputs",#N/A,FALSE,"Cost Inputs"}</definedName>
    <definedName name="wrn.Cost._.Inputs." hidden="1">{"Cost Inputs",#N/A,FALSE,"Cost Inputs"}</definedName>
    <definedName name="wrn.Current._.Summary._.Sheets.Phase3" localSheetId="25" hidden="1">{"Summary Sheet",#N/A,FALSE,"Summary vs Budget";"Summary Sheet",#N/A,FALSE,"Master vs Budget";"Summary Sheet",#N/A,FALSE,"Stage 1 vs Budget";"Summary Sheet",#N/A,FALSE,"Stage 2 vs Budget";"Summary Sheet",#N/A,FALSE,"Stage 3 vs Budget";"Summary Sheet",#N/A,FALSE,"SalesInfo vs Budget";"Summary Sheet",#N/A,FALSE,"Stock Route vs Budget";"Summary Sheet",#N/A,FALSE,"Stock Route Park vs Budget"}</definedName>
    <definedName name="wrn.Current._.Summary._.Sheets.Phase3" localSheetId="5" hidden="1">{"Summary Sheet",#N/A,FALSE,"Summary vs Budget";"Summary Sheet",#N/A,FALSE,"Master vs Budget";"Summary Sheet",#N/A,FALSE,"Stage 1 vs Budget";"Summary Sheet",#N/A,FALSE,"Stage 2 vs Budget";"Summary Sheet",#N/A,FALSE,"Stage 3 vs Budget";"Summary Sheet",#N/A,FALSE,"SalesInfo vs Budget";"Summary Sheet",#N/A,FALSE,"Stock Route vs Budget";"Summary Sheet",#N/A,FALSE,"Stock Route Park vs Budget"}</definedName>
    <definedName name="wrn.Current._.Summary._.Sheets.Phase3" hidden="1">{"Summary Sheet",#N/A,FALSE,"Summary vs Budget";"Summary Sheet",#N/A,FALSE,"Master vs Budget";"Summary Sheet",#N/A,FALSE,"Stage 1 vs Budget";"Summary Sheet",#N/A,FALSE,"Stage 2 vs Budget";"Summary Sheet",#N/A,FALSE,"Stage 3 vs Budget";"Summary Sheet",#N/A,FALSE,"SalesInfo vs Budget";"Summary Sheet",#N/A,FALSE,"Stock Route vs Budget";"Summary Sheet",#N/A,FALSE,"Stock Route Park vs Budget"}</definedName>
    <definedName name="wrn.dec02." localSheetId="25" hidden="1">{#N/A,#N/A,FALSE,"BS"}</definedName>
    <definedName name="wrn.dec02." localSheetId="0" hidden="1">{#N/A,#N/A,FALSE,"BS"}</definedName>
    <definedName name="wrn.dec02." localSheetId="5" hidden="1">{#N/A,#N/A,FALSE,"BS"}</definedName>
    <definedName name="wrn.dec02." hidden="1">{#N/A,#N/A,FALSE,"BS"}</definedName>
    <definedName name="wrn.DEP." hidden="1">{#N/A,#N/A,TRUE,"AIRCONDITIONER";#N/A,#N/A,TRUE,"COMPUTER";#N/A,#N/A,TRUE,"ELECTRICAL INSTALLATION";#N/A,#N/A,TRUE,"F&amp;F (FACTORY)";#N/A,#N/A,TRUE,"F&amp;F (RESD.)";#N/A,#N/A,TRUE,"GENERATOR";#N/A,#N/A,TRUE,"O.E. RESIDENCE";#N/A,#N/A,TRUE,"LEASEHOLD-PLANT";#N/A,#N/A,TRUE,"O.E-PLANT";#N/A,#N/A,TRUE,"P&amp;M";#N/A,#N/A,TRUE,"TOOLS";#N/A,#N/A,TRUE,"MOTOR CAR"}</definedName>
    <definedName name="wrn.Dispatch._.Workbook." localSheetId="25"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Dispatch._.Workbook." localSheetId="0"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Dispatch._.Workbook." localSheetId="5"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Dispatch._.Workbook."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elect." localSheetId="2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lect." localSheetId="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lect." localSheetId="5"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mg._.report." localSheetId="0" hidden="1">{#N/A,#N/A,FALSE,"Emerging Mkt Fund"}</definedName>
    <definedName name="wrn.Emg._.report." hidden="1">{#N/A,#N/A,FALSE,"Emerging Mkt Fund"}</definedName>
    <definedName name="wrn.EW." localSheetId="25" hidden="1">{#N/A,#N/A,FALSE,"EW"}</definedName>
    <definedName name="wrn.EW." localSheetId="5" hidden="1">{#N/A,#N/A,FALSE,"EW"}</definedName>
    <definedName name="wrn.EW." hidden="1">{#N/A,#N/A,FALSE,"EW"}</definedName>
    <definedName name="wrn.FCB." localSheetId="25" hidden="1">{"FCB_ALL",#N/A,FALSE,"FCB"}</definedName>
    <definedName name="wrn.FCB." localSheetId="5" hidden="1">{"FCB_ALL",#N/A,FALSE,"FCB"}</definedName>
    <definedName name="wrn.FCB." hidden="1">{"FCB_ALL",#N/A,FALSE,"FCB"}</definedName>
    <definedName name="wrn.fcb2" localSheetId="25" hidden="1">{"FCB_ALL",#N/A,FALSE,"FCB"}</definedName>
    <definedName name="wrn.fcb2" localSheetId="5" hidden="1">{"FCB_ALL",#N/A,FALSE,"FCB"}</definedName>
    <definedName name="wrn.fcb2" hidden="1">{"FCB_ALL",#N/A,FALSE,"FCB"}</definedName>
    <definedName name="wrn.Fin._.Year._.95.96.Phase3" localSheetId="25" hidden="1">{"Fin Year 95.96",#N/A,FALSE,"Cash Flow"}</definedName>
    <definedName name="wrn.Fin._.Year._.95.96.Phase3" localSheetId="5" hidden="1">{"Fin Year 95.96",#N/A,FALSE,"Cash Flow"}</definedName>
    <definedName name="wrn.Fin._.Year._.95.96.Phase3" hidden="1">{"Fin Year 95.96",#N/A,FALSE,"Cash Flow"}</definedName>
    <definedName name="wrn.final."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wrn.final."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wrn.Financials._.April._.02._.Rs._.000." localSheetId="25"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localSheetId="5"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ORM1." localSheetId="25" hidden="1">{#N/A,#N/A,FALSE,"COMP"}</definedName>
    <definedName name="wrn.FORM1." localSheetId="5" hidden="1">{#N/A,#N/A,FALSE,"COMP"}</definedName>
    <definedName name="wrn.FORM1." hidden="1">{#N/A,#N/A,FALSE,"COMP"}</definedName>
    <definedName name="wrn.Formats."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NDV." localSheetId="25" hidden="1">{"FORNDV",#N/A,FALSE,"Sheet1"}</definedName>
    <definedName name="wrn.FORNDV." localSheetId="0" hidden="1">{"FORNDV",#N/A,FALSE,"Sheet1"}</definedName>
    <definedName name="wrn.FORNDV." localSheetId="5" hidden="1">{"FORNDV",#N/A,FALSE,"Sheet1"}</definedName>
    <definedName name="wrn.FORNDV." hidden="1">{"FORNDV",#N/A,FALSE,"Sheet1"}</definedName>
    <definedName name="wrn.FREE." localSheetId="25" hidden="1">{#N/A,#N/A,FALSE,"FREE"}</definedName>
    <definedName name="wrn.FREE." localSheetId="5" hidden="1">{#N/A,#N/A,FALSE,"FREE"}</definedName>
    <definedName name="wrn.FREE." hidden="1">{#N/A,#N/A,FALSE,"FREE"}</definedName>
    <definedName name="WRN.FULL" localSheetId="25" hidden="1">{#N/A,#N/A,TRUE,"Front";#N/A,#N/A,TRUE,"Simple Letter";#N/A,#N/A,TRUE,"Inside";#N/A,#N/A,TRUE,"Contents";#N/A,#N/A,TRUE,"Basis";#N/A,#N/A,TRUE,"Inclusions";#N/A,#N/A,TRUE,"Exclusions";#N/A,#N/A,TRUE,"Areas";#N/A,#N/A,TRUE,"Summary";#N/A,#N/A,TRUE,"Detail"}</definedName>
    <definedName name="WRN.FULL" localSheetId="5" hidden="1">{#N/A,#N/A,TRUE,"Front";#N/A,#N/A,TRUE,"Simple Letter";#N/A,#N/A,TRUE,"Inside";#N/A,#N/A,TRUE,"Contents";#N/A,#N/A,TRUE,"Basis";#N/A,#N/A,TRUE,"Inclusions";#N/A,#N/A,TRUE,"Exclusions";#N/A,#N/A,TRUE,"Areas";#N/A,#N/A,TRUE,"Summary";#N/A,#N/A,TRUE,"Detail"}</definedName>
    <definedName name="WRN.FULL" hidden="1">{#N/A,#N/A,TRUE,"Front";#N/A,#N/A,TRUE,"Simple Letter";#N/A,#N/A,TRUE,"Inside";#N/A,#N/A,TRUE,"Contents";#N/A,#N/A,TRUE,"Basis";#N/A,#N/A,TRUE,"Inclusions";#N/A,#N/A,TRUE,"Exclusions";#N/A,#N/A,TRUE,"Areas";#N/A,#N/A,TRUE,"Summary";#N/A,#N/A,TRUE,"Detail"}</definedName>
    <definedName name="wrn.Full._.Cash._.Flow.Phase3" localSheetId="25" hidden="1">{"Full Cash Flow",#N/A,FALSE,"Cash Flow"}</definedName>
    <definedName name="wrn.Full._.Cash._.Flow.Phase3" localSheetId="5" hidden="1">{"Full Cash Flow",#N/A,FALSE,"Cash Flow"}</definedName>
    <definedName name="wrn.Full._.Cash._.Flow.Phase3" hidden="1">{"Full Cash Flow",#N/A,FALSE,"Cash Flow"}</definedName>
    <definedName name="wrn.Full._.Financials." localSheetId="25" hidden="1">{#N/A,#N/A,TRUE,"Financials";#N/A,#N/A,TRUE,"Operating Statistics";#N/A,#N/A,TRUE,"Capex &amp; Depreciation";#N/A,#N/A,TRUE,"Debt"}</definedName>
    <definedName name="wrn.Full._.Financials." localSheetId="5" hidden="1">{#N/A,#N/A,TRUE,"Financials";#N/A,#N/A,TRUE,"Operating Statistics";#N/A,#N/A,TRUE,"Capex &amp; Depreciation";#N/A,#N/A,TRUE,"Debt"}</definedName>
    <definedName name="wrn.Full._.Financials." hidden="1">{#N/A,#N/A,TRUE,"Financials";#N/A,#N/A,TRUE,"Operating Statistics";#N/A,#N/A,TRUE,"Capex &amp; Depreciation";#N/A,#N/A,TRUE,"Debt"}</definedName>
    <definedName name="wrn.Full._.Report." localSheetId="25" hidden="1">{#N/A,#N/A,TRUE,"Front";#N/A,#N/A,TRUE,"Simple Letter";#N/A,#N/A,TRUE,"Inside";#N/A,#N/A,TRUE,"Contents";#N/A,#N/A,TRUE,"Basis";#N/A,#N/A,TRUE,"Inclusions";#N/A,#N/A,TRUE,"Exclusions";#N/A,#N/A,TRUE,"Areas";#N/A,#N/A,TRUE,"Summary";#N/A,#N/A,TRUE,"Detail"}</definedName>
    <definedName name="wrn.Full._.Report." localSheetId="0" hidden="1">{#N/A,#N/A,TRUE,"Front";#N/A,#N/A,TRUE,"Simple Letter";#N/A,#N/A,TRUE,"Inside";#N/A,#N/A,TRUE,"Contents";#N/A,#N/A,TRUE,"Basis";#N/A,#N/A,TRUE,"Inclusions";#N/A,#N/A,TRUE,"Exclusions";#N/A,#N/A,TRUE,"Areas";#N/A,#N/A,TRUE,"Summary";#N/A,#N/A,TRUE,"Detail"}</definedName>
    <definedName name="wrn.Full._.Report." localSheetId="5"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full._.reports" localSheetId="25" hidden="1">{#N/A,#N/A,TRUE,"Front";#N/A,#N/A,TRUE,"Simple Letter";#N/A,#N/A,TRUE,"Inside";#N/A,#N/A,TRUE,"Contents";#N/A,#N/A,TRUE,"Basis";#N/A,#N/A,TRUE,"Inclusions";#N/A,#N/A,TRUE,"Exclusions";#N/A,#N/A,TRUE,"Areas";#N/A,#N/A,TRUE,"Summary";#N/A,#N/A,TRUE,"Detail"}</definedName>
    <definedName name="wrn.full._.reports" localSheetId="5" hidden="1">{#N/A,#N/A,TRUE,"Front";#N/A,#N/A,TRUE,"Simple Letter";#N/A,#N/A,TRUE,"Inside";#N/A,#N/A,TRUE,"Contents";#N/A,#N/A,TRUE,"Basis";#N/A,#N/A,TRUE,"Inclusions";#N/A,#N/A,TRUE,"Exclusions";#N/A,#N/A,TRUE,"Areas";#N/A,#N/A,TRUE,"Summary";#N/A,#N/A,TRUE,"Detail"}</definedName>
    <definedName name="wrn.full._.reports" hidden="1">{#N/A,#N/A,TRUE,"Front";#N/A,#N/A,TRUE,"Simple Letter";#N/A,#N/A,TRUE,"Inside";#N/A,#N/A,TRUE,"Contents";#N/A,#N/A,TRUE,"Basis";#N/A,#N/A,TRUE,"Inclusions";#N/A,#N/A,TRUE,"Exclusions";#N/A,#N/A,TRUE,"Areas";#N/A,#N/A,TRUE,"Summary";#N/A,#N/A,TRUE,"Detail"}</definedName>
    <definedName name="wrn.fulld" localSheetId="25" hidden="1">{#N/A,#N/A,TRUE,"Front";#N/A,#N/A,TRUE,"Simple Letter";#N/A,#N/A,TRUE,"Inside";#N/A,#N/A,TRUE,"Contents";#N/A,#N/A,TRUE,"Basis";#N/A,#N/A,TRUE,"Inclusions";#N/A,#N/A,TRUE,"Exclusions";#N/A,#N/A,TRUE,"Areas";#N/A,#N/A,TRUE,"Summary";#N/A,#N/A,TRUE,"Detail"}</definedName>
    <definedName name="wrn.fulld" localSheetId="5"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localSheetId="25" hidden="1">{#N/A,#N/A,TRUE,"Front";#N/A,#N/A,TRUE,"Simple Letter";#N/A,#N/A,TRUE,"Inside";#N/A,#N/A,TRUE,"Contents";#N/A,#N/A,TRUE,"Basis";#N/A,#N/A,TRUE,"Inclusions";#N/A,#N/A,TRUE,"Exclusions";#N/A,#N/A,TRUE,"Areas";#N/A,#N/A,TRUE,"Summary";#N/A,#N/A,TRUE,"Detail"}</definedName>
    <definedName name="wrn.fulll" localSheetId="5"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gfrg." localSheetId="0" hidden="1">{#N/A,#N/A,FALSE,"Rates_Onshore"}</definedName>
    <definedName name="wrn.gfrg." hidden="1">{#N/A,#N/A,FALSE,"Rates_Onshore"}</definedName>
    <definedName name="wrn.Groupings." localSheetId="0" hidden="1">{"Groupings",#N/A,TRUE,"GROUP_99 ";"Groupings-Comparitive",#N/A,TRUE,"GROUP_99 "}</definedName>
    <definedName name="wrn.Groupings." hidden="1">{"Groupings",#N/A,TRUE,"GROUP_99 ";"Groupings-Comparitive",#N/A,TRUE,"GROUP_99 "}</definedName>
    <definedName name="wrn.Hongkong." localSheetId="25" hidden="1">{#N/A,#N/A,FALSE,"Tbal";#N/A,#N/A,FALSE,"Trans";#N/A,#N/A,FALSE,"A-1";#N/A,#N/A,FALSE,"A-2";#N/A,#N/A,FALSE,"A-6";#N/A,#N/A,FALSE,"A-15";#N/A,#N/A,FALSE,"B-1";#N/A,#N/A,FALSE,"B-11"}</definedName>
    <definedName name="wrn.Hongkong." localSheetId="5" hidden="1">{#N/A,#N/A,FALSE,"Tbal";#N/A,#N/A,FALSE,"Trans";#N/A,#N/A,FALSE,"A-1";#N/A,#N/A,FALSE,"A-2";#N/A,#N/A,FALSE,"A-6";#N/A,#N/A,FALSE,"A-15";#N/A,#N/A,FALSE,"B-1";#N/A,#N/A,FALSE,"B-11"}</definedName>
    <definedName name="wrn.Hongkong." hidden="1">{#N/A,#N/A,FALSE,"Tbal";#N/A,#N/A,FALSE,"Trans";#N/A,#N/A,FALSE,"A-1";#N/A,#N/A,FALSE,"A-2";#N/A,#N/A,FALSE,"A-6";#N/A,#N/A,FALSE,"A-15";#N/A,#N/A,FALSE,"B-1";#N/A,#N/A,FALSE,"B-11"}</definedName>
    <definedName name="wrn.IFF94TAX." localSheetId="25" hidden="1">{#N/A,#N/A,FALSE,"일반적사항";#N/A,#N/A,FALSE,"주요재무자료";#N/A,#N/A,FALSE,"표지";#N/A,#N/A,FALSE,"총괄표";#N/A,#N/A,FALSE,"1호 과표세액";#N/A,#N/A,FALSE,"2호 서식";#N/A,#N/A,FALSE,"3(3)호(갑) 원천납부";#N/A,#N/A,FALSE,"6호 소득금액";#N/A,#N/A,FALSE,"6호 첨부(익)";#N/A,#N/A,FALSE,"6호 첨부(손)";#N/A,#N/A,FALSE,"6-1호 수입금액";#N/A,#N/A,FALSE,"6-3호 퇴충";#N/A,#N/A,FALSE,"6-4호 접대(갑)";#N/A,#N/A,FALSE,"6-4호 접대(을)";#N/A,#N/A,FALSE,"6-5 갑 외화";#N/A,#N/A,FALSE,"6-5을 외화";#N/A,#N/A,FALSE,"감가총괄";#N/A,#N/A,FALSE,"전기부인액추인";#N/A,#N/A,FALSE,"6-6호(부표) 자본적지출";#N/A,#N/A,FALSE,"6-11호 세금과공과";#N/A,#N/A,FALSE,"6-12호 선급비용";#N/A,#N/A,FALSE,"9호 자본금(갑)";#N/A,#N/A,FALSE,"9호 자본금(을)";#N/A,#N/A,FALSE,"10(3)호 주요계정";#N/A,#N/A,FALSE,"10(4)호 조정수입";#N/A,#N/A,FALSE,"12호 중소검토";#N/A,#N/A,FALSE,"14(1) 주주이동(갑)";#N/A,#N/A,FALSE,"59호 해외특수";#N/A,#N/A,FALSE,"해외명세";#N/A,#N/A,FALSE,"요약 BS";#N/A,#N/A,FALSE,"요약RE";#N/A,#N/A,FALSE,"요약 PL"}</definedName>
    <definedName name="wrn.IFF94TAX." localSheetId="5" hidden="1">{#N/A,#N/A,FALSE,"일반적사항";#N/A,#N/A,FALSE,"주요재무자료";#N/A,#N/A,FALSE,"표지";#N/A,#N/A,FALSE,"총괄표";#N/A,#N/A,FALSE,"1호 과표세액";#N/A,#N/A,FALSE,"2호 서식";#N/A,#N/A,FALSE,"3(3)호(갑) 원천납부";#N/A,#N/A,FALSE,"6호 소득금액";#N/A,#N/A,FALSE,"6호 첨부(익)";#N/A,#N/A,FALSE,"6호 첨부(손)";#N/A,#N/A,FALSE,"6-1호 수입금액";#N/A,#N/A,FALSE,"6-3호 퇴충";#N/A,#N/A,FALSE,"6-4호 접대(갑)";#N/A,#N/A,FALSE,"6-4호 접대(을)";#N/A,#N/A,FALSE,"6-5 갑 외화";#N/A,#N/A,FALSE,"6-5을 외화";#N/A,#N/A,FALSE,"감가총괄";#N/A,#N/A,FALSE,"전기부인액추인";#N/A,#N/A,FALSE,"6-6호(부표) 자본적지출";#N/A,#N/A,FALSE,"6-11호 세금과공과";#N/A,#N/A,FALSE,"6-12호 선급비용";#N/A,#N/A,FALSE,"9호 자본금(갑)";#N/A,#N/A,FALSE,"9호 자본금(을)";#N/A,#N/A,FALSE,"10(3)호 주요계정";#N/A,#N/A,FALSE,"10(4)호 조정수입";#N/A,#N/A,FALSE,"12호 중소검토";#N/A,#N/A,FALSE,"14(1) 주주이동(갑)";#N/A,#N/A,FALSE,"59호 해외특수";#N/A,#N/A,FALSE,"해외명세";#N/A,#N/A,FALSE,"요약 BS";#N/A,#N/A,FALSE,"요약RE";#N/A,#N/A,FALSE,"요약 PL"}</definedName>
    <definedName name="wrn.IFF94TAX." hidden="1">{#N/A,#N/A,FALSE,"일반적사항";#N/A,#N/A,FALSE,"주요재무자료";#N/A,#N/A,FALSE,"표지";#N/A,#N/A,FALSE,"총괄표";#N/A,#N/A,FALSE,"1호 과표세액";#N/A,#N/A,FALSE,"2호 서식";#N/A,#N/A,FALSE,"3(3)호(갑) 원천납부";#N/A,#N/A,FALSE,"6호 소득금액";#N/A,#N/A,FALSE,"6호 첨부(익)";#N/A,#N/A,FALSE,"6호 첨부(손)";#N/A,#N/A,FALSE,"6-1호 수입금액";#N/A,#N/A,FALSE,"6-3호 퇴충";#N/A,#N/A,FALSE,"6-4호 접대(갑)";#N/A,#N/A,FALSE,"6-4호 접대(을)";#N/A,#N/A,FALSE,"6-5 갑 외화";#N/A,#N/A,FALSE,"6-5을 외화";#N/A,#N/A,FALSE,"감가총괄";#N/A,#N/A,FALSE,"전기부인액추인";#N/A,#N/A,FALSE,"6-6호(부표) 자본적지출";#N/A,#N/A,FALSE,"6-11호 세금과공과";#N/A,#N/A,FALSE,"6-12호 선급비용";#N/A,#N/A,FALSE,"9호 자본금(갑)";#N/A,#N/A,FALSE,"9호 자본금(을)";#N/A,#N/A,FALSE,"10(3)호 주요계정";#N/A,#N/A,FALSE,"10(4)호 조정수입";#N/A,#N/A,FALSE,"12호 중소검토";#N/A,#N/A,FALSE,"14(1) 주주이동(갑)";#N/A,#N/A,FALSE,"59호 해외특수";#N/A,#N/A,FALSE,"해외명세";#N/A,#N/A,FALSE,"요약 BS";#N/A,#N/A,FALSE,"요약RE";#N/A,#N/A,FALSE,"요약 PL"}</definedName>
    <definedName name="wrn.imprim." localSheetId="2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puts." localSheetId="25" hidden="1">{"Cost Inputs",#N/A,FALSE,"Cost Inputs";"Revenue Inputs",#N/A,FALSE,"Revenue Inputs";"Other Inputs",#N/A,FALSE,"Other Inputs"}</definedName>
    <definedName name="wrn.Inputs." localSheetId="5" hidden="1">{"Cost Inputs",#N/A,FALSE,"Cost Inputs";"Revenue Inputs",#N/A,FALSE,"Revenue Inputs";"Other Inputs",#N/A,FALSE,"Other Inputs"}</definedName>
    <definedName name="wrn.Inputs." hidden="1">{"Cost Inputs",#N/A,FALSE,"Cost Inputs";"Revenue Inputs",#N/A,FALSE,"Revenue Inputs";"Other Inputs",#N/A,FALSE,"Other Inputs"}</definedName>
    <definedName name="wrn.ISBL." localSheetId="25" hidden="1">{#N/A,#N/A,FALSE,"ISBL"}</definedName>
    <definedName name="wrn.ISBL." localSheetId="5" hidden="1">{#N/A,#N/A,FALSE,"ISBL"}</definedName>
    <definedName name="wrn.ISBL." hidden="1">{#N/A,#N/A,FALSE,"ISBL"}</definedName>
    <definedName name="wrn.jck94TAXRETURN."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Lalit." localSheetId="0" hidden="1">{#N/A,#N/A,FALSE,"Banksum";#N/A,#N/A,FALSE,"Banksum"}</definedName>
    <definedName name="wrn.Lalit." hidden="1">{#N/A,#N/A,FALSE,"Banksum";#N/A,#N/A,FALSE,"Banksum"}</definedName>
    <definedName name="wrn.Lead._.Schedule." localSheetId="25" hidden="1">{#N/A,#N/A,FALSE,"BS";#N/A,#N/A,FALSE,"PL";#N/A,#N/A,FALSE,"A";#N/A,#N/A,FALSE,"B";#N/A,#N/A,FALSE,"B1";#N/A,#N/A,FALSE,"C";#N/A,#N/A,FALSE,"C1";#N/A,#N/A,FALSE,"C2";#N/A,#N/A,FALSE,"D";#N/A,#N/A,FALSE,"E";#N/A,#N/A,FALSE,"F";#N/A,#N/A,FALSE,"AA";#N/A,#N/A,FALSE,"BB";#N/A,#N/A,FALSE,"CC";#N/A,#N/A,FALSE,"DD";#N/A,#N/A,FALSE,"EE";#N/A,#N/A,FALSE,"FF";#N/A,#N/A,FALSE,"PL10";#N/A,#N/A,FALSE,"PL20";#N/A,#N/A,FALSE,"PL30"}</definedName>
    <definedName name="wrn.Lead._.Schedule." localSheetId="5"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sp." localSheetId="25" hidden="1">{#N/A,#N/A,FALSE,"index";#N/A,#N/A,FALSE,"prudential";#N/A,#N/A,FALSE,"com.verif";#N/A,#N/A,FALSE,"COND.PREC";#N/A,#N/A,FALSE,"DRAWDOWN";#N/A,#N/A,FALSE,"SETTL.INSTR";#N/A,#N/A,FALSE,"LIST DOC.";#N/A,#N/A,FALSE,"COND.SUBS.";#N/A,#N/A,FALSE,"annualrev";#N/A,#N/A,FALSE,"financ.rev"}</definedName>
    <definedName name="wrn.lsp." localSheetId="5" hidden="1">{#N/A,#N/A,FALSE,"index";#N/A,#N/A,FALSE,"prudential";#N/A,#N/A,FALSE,"com.verif";#N/A,#N/A,FALSE,"COND.PREC";#N/A,#N/A,FALSE,"DRAWDOWN";#N/A,#N/A,FALSE,"SETTL.INSTR";#N/A,#N/A,FALSE,"LIST DOC.";#N/A,#N/A,FALSE,"COND.SUBS.";#N/A,#N/A,FALSE,"annualrev";#N/A,#N/A,FALSE,"financ.rev"}</definedName>
    <definedName name="wrn.lsp." hidden="1">{#N/A,#N/A,FALSE,"index";#N/A,#N/A,FALSE,"prudential";#N/A,#N/A,FALSE,"com.verif";#N/A,#N/A,FALSE,"COND.PREC";#N/A,#N/A,FALSE,"DRAWDOWN";#N/A,#N/A,FALSE,"SETTL.INSTR";#N/A,#N/A,FALSE,"LIST DOC.";#N/A,#N/A,FALSE,"COND.SUBS.";#N/A,#N/A,FALSE,"annualrev";#N/A,#N/A,FALSE,"financ.rev"}</definedName>
    <definedName name="wrn.Master._.Full.phase3" localSheetId="25" hidden="1">{"Full Master",#N/A,FALSE,"Master"}</definedName>
    <definedName name="wrn.Master._.Full.phase3" localSheetId="5" hidden="1">{"Full Master",#N/A,FALSE,"Master"}</definedName>
    <definedName name="wrn.Master._.Full.phase3" hidden="1">{"Full Master",#N/A,FALSE,"Master"}</definedName>
    <definedName name="wrn.MBL._.Funding." localSheetId="25" hidden="1">{"MBL Funding",#N/A,FALSE,"MBL Funding"}</definedName>
    <definedName name="wrn.MBL._.Funding." localSheetId="5" hidden="1">{"MBL Funding",#N/A,FALSE,"MBL Funding"}</definedName>
    <definedName name="wrn.MBL._.Funding." hidden="1">{"MBL Funding",#N/A,FALSE,"MBL Funding"}</definedName>
    <definedName name="wrn.MDS1." localSheetId="2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onthly._.Reports.Phase3" localSheetId="25" hidden="1">{"Summary Sheet",#N/A,FALSE,"vs Budget";"Fin Year 95.96",#N/A,FALSE,"Cash Flow"}</definedName>
    <definedName name="wrn.Monthly._.Reports.Phase3" localSheetId="5" hidden="1">{"Summary Sheet",#N/A,FALSE,"vs Budget";"Fin Year 95.96",#N/A,FALSE,"Cash Flow"}</definedName>
    <definedName name="wrn.Monthly._.Reports.Phase3" hidden="1">{"Summary Sheet",#N/A,FALSE,"vs Budget";"Fin Year 95.96",#N/A,FALSE,"Cash Flow"}</definedName>
    <definedName name="wrn.One._.Pager._.plus._.Technicals." localSheetId="25" hidden="1">{#N/A,#N/A,FALSE,"One Pager";#N/A,#N/A,FALSE,"Technical"}</definedName>
    <definedName name="wrn.One._.Pager._.plus._.Technicals." localSheetId="5" hidden="1">{#N/A,#N/A,FALSE,"One Pager";#N/A,#N/A,FALSE,"Technical"}</definedName>
    <definedName name="wrn.One._.Pager._.plus._.Technicals." hidden="1">{#N/A,#N/A,FALSE,"One Pager";#N/A,#N/A,FALSE,"Technical"}</definedName>
    <definedName name="wrn.OSBL." localSheetId="25" hidden="1">{#N/A,#N/A,FALSE,"OSBL"}</definedName>
    <definedName name="wrn.OSBL." localSheetId="5" hidden="1">{#N/A,#N/A,FALSE,"OSBL"}</definedName>
    <definedName name="wrn.OSBL." hidden="1">{#N/A,#N/A,FALSE,"OSBL"}</definedName>
    <definedName name="wrn.Other._.Inputs." localSheetId="25" hidden="1">{"Other Inputs",#N/A,FALSE,"Other Inputs"}</definedName>
    <definedName name="wrn.Other._.Inputs." localSheetId="5" hidden="1">{"Other Inputs",#N/A,FALSE,"Other Inputs"}</definedName>
    <definedName name="wrn.Other._.Inputs." hidden="1">{"Other Inputs",#N/A,FALSE,"Other Inputs"}</definedName>
    <definedName name="wrn.Outputs." localSheetId="25" hidden="1">{"Summary",#N/A,FALSE,"Summary";"UPL Monthly Cash Flow",#N/A,FALSE,"Cash Flow";"Sensitivity Graphs",#N/A,FALSE,"Graphs";"MBL Funding",#N/A,FALSE,"MBL Funding"}</definedName>
    <definedName name="wrn.Outputs." localSheetId="5" hidden="1">{"Summary",#N/A,FALSE,"Summary";"UPL Monthly Cash Flow",#N/A,FALSE,"Cash Flow";"Sensitivity Graphs",#N/A,FALSE,"Graphs";"MBL Funding",#N/A,FALSE,"MBL Funding"}</definedName>
    <definedName name="wrn.Outputs." hidden="1">{"Summary",#N/A,FALSE,"Summary";"UPL Monthly Cash Flow",#N/A,FALSE,"Cash Flow";"Sensitivity Graphs",#N/A,FALSE,"Graphs";"MBL Funding",#N/A,FALSE,"MBL Funding"}</definedName>
    <definedName name="wrn.PAIM._.TAX._.PRO." localSheetId="25"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5"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krs._.etc.Phase3" localSheetId="25" hidden="1">{"Summary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Pakrs._.etc.Phase3" localSheetId="5" hidden="1">{"Summary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Pakrs._.etc.Phase3" hidden="1">{"Summary Sheet",#N/A,FALSE,"Stock Route vs Budget";"Summary Sheet",#N/A,FALSE,"Stock Route Park vs Budget";"Summary Sheet",#N/A,FALSE,"River Park vs Budget";"Summary Sheet",#N/A,FALSE,"Central Park vs Budget";"Summary Sheet",#N/A,FALSE,"Crescent Park vs Budget";"Summary Sheet",#N/A,FALSE,"The Green vs Budget"}</definedName>
    <definedName name="wrn.PARKS._.URBAN._.RENEWAL._.PROJECT." localSheetId="25" hidden="1">{"DESCRIPTION OF SPREADSHEETS",#N/A,FALSE,"Description of Spreadsheets";"PROJECT INPUT FACTORS",#N/A,FALSE,"Project Input Factors";"ALLOTMENT YIELDS",#N/A,FALSE,"Allotment Yield Details";"MASTER INPUTS",#N/A,FALSE,"Master Inputs";"PHASE 1 INPUTS",#N/A,FALSE,"Phase 1 Inputs";"OTHER PHASES INPUTS",#N/A,FALSE,"Other Phases - Inputs";"MASTER COSTS",#N/A,FALSE,"Master Costs"}</definedName>
    <definedName name="wrn.PARKS._.URBAN._.RENEWAL._.PROJECT." localSheetId="5" hidden="1">{"DESCRIPTION OF SPREADSHEETS",#N/A,FALSE,"Description of Spreadsheets";"PROJECT INPUT FACTORS",#N/A,FALSE,"Project Input Factors";"ALLOTMENT YIELDS",#N/A,FALSE,"Allotment Yield Details";"MASTER INPUTS",#N/A,FALSE,"Master Inputs";"PHASE 1 INPUTS",#N/A,FALSE,"Phase 1 Inputs";"OTHER PHASES INPUTS",#N/A,FALSE,"Other Phases - Inputs";"MASTER COSTS",#N/A,FALSE,"Master Costs"}</definedName>
    <definedName name="wrn.PARKS._.URBAN._.RENEWAL._.PROJECT." hidden="1">{"DESCRIPTION OF SPREADSHEETS",#N/A,FALSE,"Description of Spreadsheets";"PROJECT INPUT FACTORS",#N/A,FALSE,"Project Input Factors";"ALLOTMENT YIELDS",#N/A,FALSE,"Allotment Yield Details";"MASTER INPUTS",#N/A,FALSE,"Master Inputs";"PHASE 1 INPUTS",#N/A,FALSE,"Phase 1 Inputs";"OTHER PHASES INPUTS",#N/A,FALSE,"Other Phases - Inputs";"MASTER COSTS",#N/A,FALSE,"Master Costs"}</definedName>
    <definedName name="wrn.PERPACKPG3." localSheetId="25" hidden="1">{"DJH3",#N/A,FALSE,"PFL00805";"PJB3",#N/A,FALSE,"PFL00805";"JMD3",#N/A,FALSE,"PFL00805";"DNB3",#N/A,FALSE,"PFL00805";"MJP3",#N/A,FALSE,"PFL00805";"RAB3",#N/A,FALSE,"PFL00805";"GJW3",#N/A,FALSE,"PFL00805";"MASTER3",#N/A,FALSE,"PFL00805"}</definedName>
    <definedName name="wrn.PERPACKPG3." localSheetId="5"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F." hidden="1">{"PF",#N/A,FALSE,"SALARY95"}</definedName>
    <definedName name="wrn.pg1." localSheetId="0" hidden="1">{#N/A,#N/A,FALSE,"1"}</definedName>
    <definedName name="wrn.pg1." hidden="1">{#N/A,#N/A,FALSE,"1"}</definedName>
    <definedName name="wrn.pg10." localSheetId="0" hidden="1">{#N/A,#N/A,FALSE,"10"}</definedName>
    <definedName name="wrn.pg10." hidden="1">{#N/A,#N/A,FALSE,"10"}</definedName>
    <definedName name="wrn.pg11." localSheetId="0" hidden="1">{#N/A,#N/A,FALSE,"11"}</definedName>
    <definedName name="wrn.pg11." hidden="1">{#N/A,#N/A,FALSE,"11"}</definedName>
    <definedName name="wrn.pg12." localSheetId="0" hidden="1">{#N/A,#N/A,FALSE,"12"}</definedName>
    <definedName name="wrn.pg12." hidden="1">{#N/A,#N/A,FALSE,"12"}</definedName>
    <definedName name="wrn.pg13." localSheetId="0" hidden="1">{#N/A,#N/A,FALSE,"13"}</definedName>
    <definedName name="wrn.pg13." hidden="1">{#N/A,#N/A,FALSE,"13"}</definedName>
    <definedName name="wrn.pg14." localSheetId="0" hidden="1">{#N/A,#N/A,FALSE,"14"}</definedName>
    <definedName name="wrn.pg14." hidden="1">{#N/A,#N/A,FALSE,"14"}</definedName>
    <definedName name="wrn.pg15." localSheetId="0" hidden="1">{#N/A,#N/A,FALSE,"15"}</definedName>
    <definedName name="wrn.pg15." hidden="1">{#N/A,#N/A,FALSE,"15"}</definedName>
    <definedName name="wrn.pg16." localSheetId="0" hidden="1">{#N/A,#N/A,FALSE,"16"}</definedName>
    <definedName name="wrn.pg16." hidden="1">{#N/A,#N/A,FALSE,"16"}</definedName>
    <definedName name="wrn.pg17." localSheetId="0" hidden="1">{#N/A,#N/A,FALSE,"17"}</definedName>
    <definedName name="wrn.pg17." hidden="1">{#N/A,#N/A,FALSE,"17"}</definedName>
    <definedName name="wrn.pg18" localSheetId="0" hidden="1">{#N/A,#N/A,FALSE,"17"}</definedName>
    <definedName name="wrn.pg18" hidden="1">{#N/A,#N/A,FALSE,"17"}</definedName>
    <definedName name="wrn.pg2." localSheetId="0" hidden="1">{#N/A,#N/A,FALSE,"2"}</definedName>
    <definedName name="wrn.pg2." hidden="1">{#N/A,#N/A,FALSE,"2"}</definedName>
    <definedName name="wrn.pg3" localSheetId="0" hidden="1">{#N/A,#N/A,FALSE,"2"}</definedName>
    <definedName name="wrn.pg3" hidden="1">{#N/A,#N/A,FALSE,"2"}</definedName>
    <definedName name="wrn.pg3." localSheetId="0" hidden="1">{#N/A,#N/A,FALSE,"3"}</definedName>
    <definedName name="wrn.pg3." hidden="1">{#N/A,#N/A,FALSE,"3"}</definedName>
    <definedName name="wrn.pg4." localSheetId="0" hidden="1">{#N/A,#N/A,FALSE,"4"}</definedName>
    <definedName name="wrn.pg4." hidden="1">{#N/A,#N/A,FALSE,"4"}</definedName>
    <definedName name="wrn.pg5" localSheetId="0" hidden="1">{#N/A,#N/A,FALSE,"4"}</definedName>
    <definedName name="wrn.pg5" hidden="1">{#N/A,#N/A,FALSE,"4"}</definedName>
    <definedName name="wrn.pg5." localSheetId="0" hidden="1">{#N/A,#N/A,FALSE,"5"}</definedName>
    <definedName name="wrn.pg5." hidden="1">{#N/A,#N/A,FALSE,"5"}</definedName>
    <definedName name="wrn.pg6" localSheetId="0" hidden="1">{#N/A,#N/A,FALSE,"6"}</definedName>
    <definedName name="wrn.pg6" hidden="1">{#N/A,#N/A,FALSE,"6"}</definedName>
    <definedName name="wrn.pg6." localSheetId="0" hidden="1">{#N/A,#N/A,FALSE,"6"}</definedName>
    <definedName name="wrn.pg6." hidden="1">{#N/A,#N/A,FALSE,"6"}</definedName>
    <definedName name="wrn.pg7." localSheetId="0" hidden="1">{#N/A,#N/A,FALSE,"7"}</definedName>
    <definedName name="wrn.pg7." hidden="1">{#N/A,#N/A,FALSE,"7"}</definedName>
    <definedName name="wrn.pg8." localSheetId="0" hidden="1">{#N/A,#N/A,FALSE,"8"}</definedName>
    <definedName name="wrn.pg8." hidden="1">{#N/A,#N/A,FALSE,"8"}</definedName>
    <definedName name="wrn.pg9." localSheetId="0" hidden="1">{#N/A,#N/A,FALSE,"9"}</definedName>
    <definedName name="wrn.pg9." hidden="1">{#N/A,#N/A,FALSE,"9"}</definedName>
    <definedName name="wrn.pg99." localSheetId="0" hidden="1">{#N/A,#N/A,FALSE,"5"}</definedName>
    <definedName name="wrn.pg99." hidden="1">{#N/A,#N/A,FALSE,"5"}</definedName>
    <definedName name="wrn.PGW." localSheetId="25" hidden="1">{#N/A,#N/A,FALSE,"PGW"}</definedName>
    <definedName name="wrn.PGW." localSheetId="5" hidden="1">{#N/A,#N/A,FALSE,"PGW"}</definedName>
    <definedName name="wrn.PGW." hidden="1">{#N/A,#N/A,FALSE,"PGW"}</definedName>
    <definedName name="wrn.PHASE._.1._.SUMMARY." localSheetId="25" hidden="1">{"PHASE 1 CASH FLOW SUMMARY",#N/A,FALSE,"Phase 1 - Cash Flow Summary";"PHASE 1 COSTS",#N/A,FALSE,"Phase 1 - Costs";"PHASE 1 SALES",#N/A,FALSE,"Phase 1 - Sales"}</definedName>
    <definedName name="wrn.PHASE._.1._.SUMMARY." localSheetId="5" hidden="1">{"PHASE 1 CASH FLOW SUMMARY",#N/A,FALSE,"Phase 1 - Cash Flow Summary";"PHASE 1 COSTS",#N/A,FALSE,"Phase 1 - Costs";"PHASE 1 SALES",#N/A,FALSE,"Phase 1 - Sales"}</definedName>
    <definedName name="wrn.PHASE._.1._.SUMMARY." hidden="1">{"PHASE 1 CASH FLOW SUMMARY",#N/A,FALSE,"Phase 1 - Cash Flow Summary";"PHASE 1 COSTS",#N/A,FALSE,"Phase 1 - Costs";"PHASE 1 SALES",#N/A,FALSE,"Phase 1 - Sales"}</definedName>
    <definedName name="wrn.PHASE._.2._.SUMMARY." localSheetId="25" hidden="1">{"PHASE 2 CASH FLOW SUMMARY",#N/A,FALSE,"Phase 2 - Cash Flow Summary";"PHASE 2 COSTS",#N/A,FALSE,"Phase 2 - Costs";"PHASE 2 SALES",#N/A,FALSE,"Phase 2 - Sales"}</definedName>
    <definedName name="wrn.PHASE._.2._.SUMMARY." localSheetId="5" hidden="1">{"PHASE 2 CASH FLOW SUMMARY",#N/A,FALSE,"Phase 2 - Cash Flow Summary";"PHASE 2 COSTS",#N/A,FALSE,"Phase 2 - Costs";"PHASE 2 SALES",#N/A,FALSE,"Phase 2 - Sales"}</definedName>
    <definedName name="wrn.PHASE._.2._.SUMMARY." hidden="1">{"PHASE 2 CASH FLOW SUMMARY",#N/A,FALSE,"Phase 2 - Cash Flow Summary";"PHASE 2 COSTS",#N/A,FALSE,"Phase 2 - Costs";"PHASE 2 SALES",#N/A,FALSE,"Phase 2 - Sales"}</definedName>
    <definedName name="wrn.PHASE._.3._.SUMMARY." localSheetId="25" hidden="1">{"PHASE 3 CASH FLOW SUMMARY",#N/A,FALSE,"Phase 3 - Cash Flow Summary";"PHASE 3 COSTS",#N/A,FALSE,"Phase 3 - Costs";"PHASE 3 SALES",#N/A,FALSE,"Phase 3 - Sales"}</definedName>
    <definedName name="wrn.PHASE._.3._.SUMMARY." localSheetId="5" hidden="1">{"PHASE 3 CASH FLOW SUMMARY",#N/A,FALSE,"Phase 3 - Cash Flow Summary";"PHASE 3 COSTS",#N/A,FALSE,"Phase 3 - Costs";"PHASE 3 SALES",#N/A,FALSE,"Phase 3 - Sales"}</definedName>
    <definedName name="wrn.PHASE._.3._.SUMMARY." hidden="1">{"PHASE 3 CASH FLOW SUMMARY",#N/A,FALSE,"Phase 3 - Cash Flow Summary";"PHASE 3 COSTS",#N/A,FALSE,"Phase 3 - Costs";"PHASE 3 SALES",#N/A,FALSE,"Phase 3 - Sales"}</definedName>
    <definedName name="wrn.piping."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_.PRINT." localSheetId="0" hidden="1">{"VIEW1",#N/A,FALSE,"P&amp;L Account 2001-2002";"VIEW2",#N/A,FALSE,"P&amp;L Account 2001-2002";"VIEW3",#N/A,FALSE,"P&amp;L Account 2001-2002";"VIEW4",#N/A,FALSE,"P&amp;L Account 2001-2002"}</definedName>
    <definedName name="wrn.PL._.PRINT." hidden="1">{"VIEW1",#N/A,FALSE,"P&amp;L Account 2001-2002";"VIEW2",#N/A,FALSE,"P&amp;L Account 2001-2002";"VIEW3",#N/A,FALSE,"P&amp;L Account 2001-2002";"VIEW4",#N/A,FALSE,"P&amp;L Account 2001-2002"}</definedName>
    <definedName name="wrn.pp97schedules." localSheetId="25" hidden="1">{"plansummary",#N/A,FALSE,"PlanSummary";"sales",#N/A,FALSE,"Sales Rec";"productivity",#N/A,FALSE,"Productivity Rec";"capitalspending",#N/A,FALSE,"Capital Spending"}</definedName>
    <definedName name="wrn.pp97schedules." localSheetId="5"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int." localSheetId="25" hidden="1">{"scenario",#N/A,FALSE,"Scenarios";"IS",#N/A,FALSE,"IS";"BS",#N/A,FALSE,"BS";"CFS",#N/A,FALSE,"CFS";"Tax",#N/A,FALSE,"Tax";"Debt",#N/A,FALSE,"Debt";"VAS",#N/A,FALSE,"VAS_Rev";"EFS",#N/A,FALSE,"EFS";"EDI",#N/A,FALSE,"EDI";"MMS",#N/A,FALSE,"MMS";"Intra",#N/A,FALSE,"Intranet";"FA",#N/A,FALSE,"Fix_Assets";"PSTN",#N/A,FALSE,"PSTN_Lines";"PreOp",#N/A,FALSE,"Pre-Op";"InterExp",#N/A,FALSE,"Int'l_Exp";"Propcost",#N/A,FALSE,"PROP_COST";"LLCost",#N/A,FALSE,"LL_Cost";"NetCost",#N/A,FALSE,"Inet_Conn";"Phase1",#N/A,FALSE,"Phase1";"Srvrcost",#N/A,FALSE,"SRV_Cost";"DCF",#N/A,FALSE,"DCF";"DCFCO",#N/A,FALSE,"DCF_CO"}</definedName>
    <definedName name="wrn.Print." localSheetId="5" hidden="1">{"scenario",#N/A,FALSE,"Scenarios";"IS",#N/A,FALSE,"IS";"BS",#N/A,FALSE,"BS";"CFS",#N/A,FALSE,"CFS";"Tax",#N/A,FALSE,"Tax";"Debt",#N/A,FALSE,"Debt";"VAS",#N/A,FALSE,"VAS_Rev";"EFS",#N/A,FALSE,"EFS";"EDI",#N/A,FALSE,"EDI";"MMS",#N/A,FALSE,"MMS";"Intra",#N/A,FALSE,"Intranet";"FA",#N/A,FALSE,"Fix_Assets";"PSTN",#N/A,FALSE,"PSTN_Lines";"PreOp",#N/A,FALSE,"Pre-Op";"InterExp",#N/A,FALSE,"Int'l_Exp";"Propcost",#N/A,FALSE,"PROP_COST";"LLCost",#N/A,FALSE,"LL_Cost";"NetCost",#N/A,FALSE,"Inet_Conn";"Phase1",#N/A,FALSE,"Phase1";"Srvrcost",#N/A,FALSE,"SRV_Cost";"DCF",#N/A,FALSE,"DCF";"DCFCO",#N/A,FALSE,"DCF_CO"}</definedName>
    <definedName name="wrn.Print." hidden="1">{"scenario",#N/A,FALSE,"Scenarios";"IS",#N/A,FALSE,"IS";"BS",#N/A,FALSE,"BS";"CFS",#N/A,FALSE,"CFS";"Tax",#N/A,FALSE,"Tax";"Debt",#N/A,FALSE,"Debt";"VAS",#N/A,FALSE,"VAS_Rev";"EFS",#N/A,FALSE,"EFS";"EDI",#N/A,FALSE,"EDI";"MMS",#N/A,FALSE,"MMS";"Intra",#N/A,FALSE,"Intranet";"FA",#N/A,FALSE,"Fix_Assets";"PSTN",#N/A,FALSE,"PSTN_Lines";"PreOp",#N/A,FALSE,"Pre-Op";"InterExp",#N/A,FALSE,"Int'l_Exp";"Propcost",#N/A,FALSE,"PROP_COST";"LLCost",#N/A,FALSE,"LL_Cost";"NetCost",#N/A,FALSE,"Inet_Conn";"Phase1",#N/A,FALSE,"Phase1";"Srvrcost",#N/A,FALSE,"SRV_Cost";"DCF",#N/A,FALSE,"DCF";"DCFCO",#N/A,FALSE,"DCF_CO"}</definedName>
    <definedName name="wrn.print._.graphs." localSheetId="25"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25" hidden="1">{"inputs raw data",#N/A,TRUE,"INPUT"}</definedName>
    <definedName name="wrn.print._.raw._.data._.entry." localSheetId="5" hidden="1">{"inputs raw data",#N/A,TRUE,"INPUT"}</definedName>
    <definedName name="wrn.print._.raw._.data._.entry." hidden="1">{"inputs raw data",#N/A,TRUE,"INPUT"}</definedName>
    <definedName name="wrn.print._.summary._.sheets." localSheetId="25" hidden="1">{"summary1",#N/A,TRUE,"Comps";"summary2",#N/A,TRUE,"Comps";"summary3",#N/A,TRUE,"Comps"}</definedName>
    <definedName name="wrn.print._.summary._.sheets." localSheetId="5" hidden="1">{"summary1",#N/A,TRUE,"Comps";"summary2",#N/A,TRUE,"Comps";"summary3",#N/A,TRUE,"Comps"}</definedName>
    <definedName name="wrn.print._.summary._.sheets." hidden="1">{"summary1",#N/A,TRUE,"Comps";"summary2",#N/A,TRUE,"Comps";"summary3",#N/A,TRUE,"Comps"}</definedName>
    <definedName name="wrn.Print_Buyer." localSheetId="25"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2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Short." localSheetId="25" hidden="1">{"scenario",#N/A,FALSE,"Scenarios";"IS",#N/A,FALSE,"IS";"BS",#N/A,FALSE,"BS";"CFS",#N/A,FALSE,"CFS";"Intra",#N/A,FALSE,"Intranet";"MMS",#N/A,FALSE,"MMS";"EDI",#N/A,FALSE,"EDI";"EFS",#N/A,FALSE,"EFS";"DCF",#N/A,FALSE,"DCF";"Tax",#N/A,FALSE,"Tax";"Debt",#N/A,FALSE,"Debt";"VAS",#N/A,FALSE,"VAS_Rev";"FA",#N/A,FALSE,"Fix_Assets";"Summary",#N/A,FALSE,"SUMMARY"}</definedName>
    <definedName name="wrn.PrintShort." localSheetId="5" hidden="1">{"scenario",#N/A,FALSE,"Scenarios";"IS",#N/A,FALSE,"IS";"BS",#N/A,FALSE,"BS";"CFS",#N/A,FALSE,"CFS";"Intra",#N/A,FALSE,"Intranet";"MMS",#N/A,FALSE,"MMS";"EDI",#N/A,FALSE,"EDI";"EFS",#N/A,FALSE,"EFS";"DCF",#N/A,FALSE,"DCF";"Tax",#N/A,FALSE,"Tax";"Debt",#N/A,FALSE,"Debt";"VAS",#N/A,FALSE,"VAS_Rev";"FA",#N/A,FALSE,"Fix_Assets";"Summary",#N/A,FALSE,"SUMMARY"}</definedName>
    <definedName name="wrn.PrintShort." hidden="1">{"scenario",#N/A,FALSE,"Scenarios";"IS",#N/A,FALSE,"IS";"BS",#N/A,FALSE,"BS";"CFS",#N/A,FALSE,"CFS";"Intra",#N/A,FALSE,"Intranet";"MMS",#N/A,FALSE,"MMS";"EDI",#N/A,FALSE,"EDI";"EFS",#N/A,FALSE,"EFS";"DCF",#N/A,FALSE,"DCF";"Tax",#N/A,FALSE,"Tax";"Debt",#N/A,FALSE,"Debt";"VAS",#N/A,FALSE,"VAS_Rev";"FA",#N/A,FALSE,"Fix_Assets";"Summary",#N/A,FALSE,"SUMMARY"}</definedName>
    <definedName name="wrn.prisformat1." localSheetId="0" hidden="1">{#N/A,#N/A,FALSE,"Prisformat_KOGAS"}</definedName>
    <definedName name="wrn.prisformat1." hidden="1">{#N/A,#N/A,FALSE,"Prisformat_KOGAS"}</definedName>
    <definedName name="wrn.Profit._.and._.Loss.Phase3" localSheetId="25" hidden="1">{"Profit and Loss",#N/A,FALSE,"9697"}</definedName>
    <definedName name="wrn.Profit._.and._.Loss.Phase3" localSheetId="5" hidden="1">{"Profit and Loss",#N/A,FALSE,"9697"}</definedName>
    <definedName name="wrn.Profit._.and._.Loss.Phase3" hidden="1">{"Profit and Loss",#N/A,FALSE,"9697"}</definedName>
    <definedName name="wrn.Project._.Report._.for._.Recrection._.Centre." localSheetId="25" hidden="1">{#N/A,#N/A,FALSE,"Proj.Cost &amp; Means of Fin."}</definedName>
    <definedName name="wrn.Project._.Report._.for._.Recrection._.Centre." localSheetId="5" hidden="1">{#N/A,#N/A,FALSE,"Proj.Cost &amp; Means of Fin."}</definedName>
    <definedName name="wrn.Project._.Report._.for._.Recrection._.Centre." hidden="1">{#N/A,#N/A,FALSE,"Proj.Cost &amp; Means of Fin."}</definedName>
    <definedName name="wrn.Quantity." localSheetId="25" hidden="1">{#N/A,#N/A,FALSE,"MONTHLY "}</definedName>
    <definedName name="wrn.Quantity." localSheetId="5" hidden="1">{#N/A,#N/A,FALSE,"MONTHLY "}</definedName>
    <definedName name="wrn.Quantity." hidden="1">{#N/A,#N/A,FALSE,"MONTHLY "}</definedName>
    <definedName name="wrn.Ratios." localSheetId="25" hidden="1">{"Ratio",#N/A,FALSE,"Ratios";"Funds Flow",#N/A,FALSE,"Ratios"}</definedName>
    <definedName name="wrn.Ratios." localSheetId="5" hidden="1">{"Ratio",#N/A,FALSE,"Ratios";"Funds Flow",#N/A,FALSE,"Ratios"}</definedName>
    <definedName name="wrn.Ratios." hidden="1">{"Ratio",#N/A,FALSE,"Ratios";"Funds Flow",#N/A,FALSE,"Ratios"}</definedName>
    <definedName name="wrn.RCC." localSheetId="25"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CC." localSheetId="0"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CC." localSheetId="5"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CC."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localSheetId="25" hidden="1">{#N/A,#N/A,FALSE,"Balance Sheet";#N/A,#N/A,FALSE,"Profit &amp; Loss ";#N/A,#N/A,FALSE,"Schedule-1";#N/A,#N/A,FALSE,"Schedule-2";#N/A,#N/A,FALSE,"Schedule-3";#N/A,#N/A,FALSE,"Schedule-4 ";#N/A,#N/A,FALSE,"Schedule-5";#N/A,#N/A,FALSE,"Schedule-6,7,8,9";#N/A,#N/A,FALSE,"Schedule-10,11";#N/A,#N/A,FALSE,"Schedule-12,13,14,15";#N/A,#N/A,FALSE,"Scdedule-16"}</definedName>
    <definedName name="wrn.REPORT."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 localSheetId="5"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25" hidden="1">{#N/A,#N/A,FALSE,"COVER.XLS";#N/A,#N/A,FALSE,"RACT1.XLS";#N/A,#N/A,FALSE,"RACT2.XLS";#N/A,#N/A,FALSE,"ECCMP";#N/A,#N/A,FALSE,"WELDER.XLS"}</definedName>
    <definedName name="wrn.report1" localSheetId="0" hidden="1">{#N/A,#N/A,FALSE,"COVER.XLS";#N/A,#N/A,FALSE,"RACT1.XLS";#N/A,#N/A,FALSE,"RACT2.XLS";#N/A,#N/A,FALSE,"ECCMP";#N/A,#N/A,FALSE,"WELDER.XLS"}</definedName>
    <definedName name="wrn.report1" localSheetId="5" hidden="1">{#N/A,#N/A,FALSE,"COVER.XLS";#N/A,#N/A,FALSE,"RACT1.XLS";#N/A,#N/A,FALSE,"RACT2.XLS";#N/A,#N/A,FALSE,"ECCMP";#N/A,#N/A,FALSE,"WELDER.XLS"}</definedName>
    <definedName name="wrn.report1" hidden="1">{#N/A,#N/A,FALSE,"COVER.XLS";#N/A,#N/A,FALSE,"RACT1.XLS";#N/A,#N/A,FALSE,"RACT2.XLS";#N/A,#N/A,FALSE,"ECCMP";#N/A,#N/A,FALSE,"WELDER.XLS"}</definedName>
    <definedName name="wrn.results." localSheetId="25" hidden="1">{#N/A,#N/A,TRUE,"BALSCH";#N/A,#N/A,TRUE,"COMICRO";#N/A,#N/A,TRUE,"CHECKS";#N/A,#N/A,TRUE,"GLASS";#N/A,#N/A,TRUE,"DEPRE";#N/A,#N/A,TRUE,"A&amp;MCUR";#N/A,#N/A,TRUE,"AGEANAlysis";#N/A,#N/A,TRUE,"CHECKS"}</definedName>
    <definedName name="wrn.results." localSheetId="5" hidden="1">{#N/A,#N/A,TRUE,"BALSCH";#N/A,#N/A,TRUE,"COMICRO";#N/A,#N/A,TRUE,"CHECKS";#N/A,#N/A,TRUE,"GLASS";#N/A,#N/A,TRUE,"DEPRE";#N/A,#N/A,TRUE,"A&amp;MCUR";#N/A,#N/A,TRUE,"AGEANAlysis";#N/A,#N/A,TRUE,"CHECKS"}</definedName>
    <definedName name="wrn.results." hidden="1">{#N/A,#N/A,TRUE,"BALSCH";#N/A,#N/A,TRUE,"COMICRO";#N/A,#N/A,TRUE,"CHECKS";#N/A,#N/A,TRUE,"GLASS";#N/A,#N/A,TRUE,"DEPRE";#N/A,#N/A,TRUE,"A&amp;MCUR";#N/A,#N/A,TRUE,"AGEANAlysis";#N/A,#N/A,TRUE,"CHECKS"}</definedName>
    <definedName name="wrn.Revenue._.Inputs." localSheetId="25" hidden="1">{"Revenue Inputs",#N/A,FALSE,"Revenue Inputs"}</definedName>
    <definedName name="wrn.Revenue._.Inputs." localSheetId="5" hidden="1">{"Revenue Inputs",#N/A,FALSE,"Revenue Inputs"}</definedName>
    <definedName name="wrn.Revenue._.Inputs." hidden="1">{"Revenue Inputs",#N/A,FALSE,"Revenue Inputs"}</definedName>
    <definedName name="wrn.Revised._.Stage._.1._.Cost._.Calc." localSheetId="25" hidden="1">{"Stage 1 Cost Calc",#N/A,FALSE,"Stage 1 Allocation"}</definedName>
    <definedName name="wrn.Revised._.Stage._.1._.Cost._.Calc." localSheetId="5" hidden="1">{"Stage 1 Cost Calc",#N/A,FALSE,"Stage 1 Allocation"}</definedName>
    <definedName name="wrn.Revised._.Stage._.1._.Cost._.Calc." hidden="1">{"Stage 1 Cost Calc",#N/A,FALSE,"Stage 1 Allocation"}</definedName>
    <definedName name="wrn.Revised._.Stage._.1._.Cost._.Calc.Phase3" localSheetId="25" hidden="1">{"Stage 1 Cost Calc",#N/A,FALSE,"Stage 1 Allocation"}</definedName>
    <definedName name="wrn.Revised._.Stage._.1._.Cost._.Calc.Phase3" localSheetId="5" hidden="1">{"Stage 1 Cost Calc",#N/A,FALSE,"Stage 1 Allocation"}</definedName>
    <definedName name="wrn.Revised._.Stage._.1._.Cost._.Calc.Phase3" hidden="1">{"Stage 1 Cost Calc",#N/A,FALSE,"Stage 1 Allocation"}</definedName>
    <definedName name="wrn.RPLINS." localSheetId="25" hidden="1">{#N/A,#N/A,FALSE,"str_title";#N/A,#N/A,FALSE,"SUM";#N/A,#N/A,FALSE,"Scope";#N/A,#N/A,FALSE,"PIE-Jn";#N/A,#N/A,FALSE,"PIE-Jn_Hz";#N/A,#N/A,FALSE,"Liq_Plan";#N/A,#N/A,FALSE,"S_Curve";#N/A,#N/A,FALSE,"Liq_Prof";#N/A,#N/A,FALSE,"Man_Pwr";#N/A,#N/A,FALSE,"Man_Prof"}</definedName>
    <definedName name="wrn.RPLINS." localSheetId="0" hidden="1">{#N/A,#N/A,FALSE,"str_title";#N/A,#N/A,FALSE,"SUM";#N/A,#N/A,FALSE,"Scope";#N/A,#N/A,FALSE,"PIE-Jn";#N/A,#N/A,FALSE,"PIE-Jn_Hz";#N/A,#N/A,FALSE,"Liq_Plan";#N/A,#N/A,FALSE,"S_Curve";#N/A,#N/A,FALSE,"Liq_Prof";#N/A,#N/A,FALSE,"Man_Pwr";#N/A,#N/A,FALSE,"Man_Prof"}</definedName>
    <definedName name="wrn.RPLINS." localSheetId="5"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SAA94TAX." localSheetId="2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simple." localSheetId="25"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5"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LARY." hidden="1">{"SALARY",#N/A,FALSE,"SALARY95"}</definedName>
    <definedName name="wrn.Sales._.Info._.Centre.Phase3" localSheetId="25" hidden="1">{"Short Sales and Info",#N/A,FALSE,"Sales &amp; Info Centre"}</definedName>
    <definedName name="wrn.Sales._.Info._.Centre.Phase3" localSheetId="5" hidden="1">{"Short Sales and Info",#N/A,FALSE,"Sales &amp; Info Centre"}</definedName>
    <definedName name="wrn.Sales._.Info._.Centre.Phase3" hidden="1">{"Short Sales and Info",#N/A,FALSE,"Sales &amp; Info Centre"}</definedName>
    <definedName name="wrn.Sales._.n._.Info._.v._.Budget.Phase3" localSheetId="25" hidden="1">{"Summary Sheet",#N/A,FALSE,"SalesInfo vs Budget"}</definedName>
    <definedName name="wrn.Sales._.n._.Info._.v._.Budget.Phase3" localSheetId="5" hidden="1">{"Summary Sheet",#N/A,FALSE,"SalesInfo vs Budget"}</definedName>
    <definedName name="wrn.Sales._.n._.Info._.v._.Budget.Phase3" hidden="1">{"Summary Sheet",#N/A,FALSE,"SalesInfo vs Budget"}</definedName>
    <definedName name="wrn.Schedules." localSheetId="0" hidden="1">{"S 1 2",#N/A,FALSE,"Accounts2002 New";"S 3 4",#N/A,FALSE,"Accounts2002 New";"S 6 7 8",#N/A,FALSE,"Accounts2002 New";"S 9 10 11 12 13",#N/A,FALSE,"Accounts2002 New";"S 14 15 16 17",#N/A,FALSE,"Accounts2002 New";"S 18 19",#N/A,FALSE,"Accounts2002 New"}</definedName>
    <definedName name="wrn.Schedules." hidden="1">{"S 1 2",#N/A,FALSE,"Accounts2002 New";"S 3 4",#N/A,FALSE,"Accounts2002 New";"S 6 7 8",#N/A,FALSE,"Accounts2002 New";"S 9 10 11 12 13",#N/A,FALSE,"Accounts2002 New";"S 14 15 16 17",#N/A,FALSE,"Accounts2002 New";"S 18 19",#N/A,FALSE,"Accounts2002 New"}</definedName>
    <definedName name="wrn.Scope._.of._.Supply._.Mechanical." localSheetId="25" hidden="1">{#N/A,#N/A,FALSE,"Mechanical"}</definedName>
    <definedName name="wrn.Scope._.of._.Supply._.Mechanical." localSheetId="0" hidden="1">{#N/A,#N/A,FALSE,"Mechanical"}</definedName>
    <definedName name="wrn.Scope._.of._.Supply._.Mechanical." localSheetId="5" hidden="1">{#N/A,#N/A,FALSE,"Mechanical"}</definedName>
    <definedName name="wrn.Scope._.of._.Supply._.Mechanical." hidden="1">{#N/A,#N/A,FALSE,"Mechanical"}</definedName>
    <definedName name="wrn.sd." localSheetId="25" hidden="1">{"a1",#N/A,FALSE,"Interest On Security Deposi (2)";"a2",#N/A,FALSE,"Interest On Security Deposi (2)"}</definedName>
    <definedName name="wrn.sd." localSheetId="5" hidden="1">{"a1",#N/A,FALSE,"Interest On Security Deposi (2)";"a2",#N/A,FALSE,"Interest On Security Deposi (2)"}</definedName>
    <definedName name="wrn.sd." hidden="1">{"a1",#N/A,FALSE,"Interest On Security Deposi (2)";"a2",#N/A,FALSE,"Interest On Security Deposi (2)"}</definedName>
    <definedName name="wrn.Sensitivity._.Graphs." localSheetId="25" hidden="1">{"Sensitivity Graphs",#N/A,FALSE,"Graphs"}</definedName>
    <definedName name="wrn.Sensitivity._.Graphs." localSheetId="5" hidden="1">{"Sensitivity Graphs",#N/A,FALSE,"Graphs"}</definedName>
    <definedName name="wrn.Sensitivity._.Graphs." hidden="1">{"Sensitivity Graphs",#N/A,FALSE,"Graphs"}</definedName>
    <definedName name="wrn.singapore." localSheetId="25" hidden="1">{"one (KEY)",#N/A,FALSE,"P&amp;L"}</definedName>
    <definedName name="wrn.singapore." localSheetId="5" hidden="1">{"one (KEY)",#N/A,FALSE,"P&amp;L"}</definedName>
    <definedName name="wrn.singapore." hidden="1">{"one (KEY)",#N/A,FALSE,"P&amp;L"}</definedName>
    <definedName name="wrn.SLIPS." hidden="1">{"SLIPS",#N/A,FALSE,"Sheet1"}</definedName>
    <definedName name="wrn.Staff._.cost1998." localSheetId="25" hidden="1">{#N/A,#N/A,TRUE,"Staffnos &amp; cost"}</definedName>
    <definedName name="wrn.Staff._.cost1998." localSheetId="5" hidden="1">{#N/A,#N/A,TRUE,"Staffnos &amp; cost"}</definedName>
    <definedName name="wrn.Staff._.cost1998." hidden="1">{#N/A,#N/A,TRUE,"Staffnos &amp; cost"}</definedName>
    <definedName name="wrn.Staffcost." localSheetId="25" hidden="1">{#N/A,#N/A,FALSE,"Staffnos &amp; cost"}</definedName>
    <definedName name="wrn.Staffcost." localSheetId="5" hidden="1">{#N/A,#N/A,FALSE,"Staffnos &amp; cost"}</definedName>
    <definedName name="wrn.Staffcost." hidden="1">{#N/A,#N/A,FALSE,"Staffnos &amp; cost"}</definedName>
    <definedName name="wrn.Stage._.1._.Short.Phase3" localSheetId="25" hidden="1">{"Short Stage 1",#N/A,FALSE,"Stage 1"}</definedName>
    <definedName name="wrn.Stage._.1._.Short.Phase3" localSheetId="5" hidden="1">{"Short Stage 1",#N/A,FALSE,"Stage 1"}</definedName>
    <definedName name="wrn.Stage._.1._.Short.Phase3" hidden="1">{"Short Stage 1",#N/A,FALSE,"Stage 1"}</definedName>
    <definedName name="wrn.Stage._.2._.Short.Phase3" localSheetId="25" hidden="1">{"Short Stage 2",#N/A,FALSE,"Stage 2"}</definedName>
    <definedName name="wrn.Stage._.2._.Short.Phase3" localSheetId="5" hidden="1">{"Short Stage 2",#N/A,FALSE,"Stage 2"}</definedName>
    <definedName name="wrn.Stage._.2._.Short.Phase3" hidden="1">{"Short Stage 2",#N/A,FALSE,"Stage 2"}</definedName>
    <definedName name="wrn.Stage._.3.Phase3" localSheetId="25" hidden="1">{"Short Stage 3",#N/A,FALSE,"Stage 3"}</definedName>
    <definedName name="wrn.Stage._.3.Phase3" localSheetId="5" hidden="1">{"Short Stage 3",#N/A,FALSE,"Stage 3"}</definedName>
    <definedName name="wrn.Stage._.3.Phase3" hidden="1">{"Short Stage 3",#N/A,FALSE,"Stage 3"}</definedName>
    <definedName name="wrn.Stage._.4.Phase3" localSheetId="25" hidden="1">{"Short Stage 4",#N/A,FALSE,"Stage 4"}</definedName>
    <definedName name="wrn.Stage._.4.Phase3" localSheetId="5" hidden="1">{"Short Stage 4",#N/A,FALSE,"Stage 4"}</definedName>
    <definedName name="wrn.Stage._.4.Phase3" hidden="1">{"Short Stage 4",#N/A,FALSE,"Stage 4"}</definedName>
    <definedName name="wrn.Stage._.5.Phase3" localSheetId="25" hidden="1">{"Short Stage 5",#N/A,FALSE,"Stage 5"}</definedName>
    <definedName name="wrn.Stage._.5.Phase3" localSheetId="5" hidden="1">{"Short Stage 5",#N/A,FALSE,"Stage 5"}</definedName>
    <definedName name="wrn.Stage._.5.Phase3" hidden="1">{"Short Stage 5",#N/A,FALSE,"Stage 5"}</definedName>
    <definedName name="wrn.STAND_ALONE_BOTH." localSheetId="25" hidden="1">{"FCB_ALL",#N/A,FALSE,"FCB";"GREY_ALL",#N/A,FALSE,"GREY"}</definedName>
    <definedName name="wrn.STAND_ALONE_BOTH." localSheetId="5" hidden="1">{"FCB_ALL",#N/A,FALSE,"FCB";"GREY_ALL",#N/A,FALSE,"GREY"}</definedName>
    <definedName name="wrn.STAND_ALONE_BOTH." hidden="1">{"FCB_ALL",#N/A,FALSE,"FCB";"GREY_ALL",#N/A,FALSE,"GREY"}</definedName>
    <definedName name="wrn.summ1" localSheetId="25" hidden="1">{#N/A,#N/A,FALSE,"COVER1.XLS ";#N/A,#N/A,FALSE,"RACT1.XLS";#N/A,#N/A,FALSE,"RACT2.XLS";#N/A,#N/A,FALSE,"ECCMP";#N/A,#N/A,FALSE,"WELDER.XLS"}</definedName>
    <definedName name="wrn.summ1" localSheetId="0" hidden="1">{#N/A,#N/A,FALSE,"COVER1.XLS ";#N/A,#N/A,FALSE,"RACT1.XLS";#N/A,#N/A,FALSE,"RACT2.XLS";#N/A,#N/A,FALSE,"ECCMP";#N/A,#N/A,FALSE,"WELDER.XLS"}</definedName>
    <definedName name="wrn.summ1" localSheetId="5" hidden="1">{#N/A,#N/A,FALSE,"COVER1.XLS ";#N/A,#N/A,FALSE,"RACT1.XLS";#N/A,#N/A,FALSE,"RACT2.XLS";#N/A,#N/A,FALSE,"ECCMP";#N/A,#N/A,FALSE,"WELDER.XLS"}</definedName>
    <definedName name="wrn.summ1" hidden="1">{#N/A,#N/A,FALSE,"COVER1.XLS ";#N/A,#N/A,FALSE,"RACT1.XLS";#N/A,#N/A,FALSE,"RACT2.XLS";#N/A,#N/A,FALSE,"ECCMP";#N/A,#N/A,FALSE,"WELDER.XLS"}</definedName>
    <definedName name="wrn.summary." localSheetId="25" hidden="1">{#N/A,#N/A,FALSE,"COVER1.XLS ";#N/A,#N/A,FALSE,"RACT1.XLS";#N/A,#N/A,FALSE,"RACT2.XLS";#N/A,#N/A,FALSE,"ECCMP";#N/A,#N/A,FALSE,"WELDER.XLS"}</definedName>
    <definedName name="wrn.summary." localSheetId="0" hidden="1">{#N/A,#N/A,FALSE,"COVER1.XLS ";#N/A,#N/A,FALSE,"RACT1.XLS";#N/A,#N/A,FALSE,"RACT2.XLS";#N/A,#N/A,FALSE,"ECCMP";#N/A,#N/A,FALSE,"WELDER.XLS"}</definedName>
    <definedName name="wrn.summary." localSheetId="5" hidden="1">{#N/A,#N/A,FALSE,"COVER1.XLS ";#N/A,#N/A,FALSE,"RACT1.XLS";#N/A,#N/A,FALSE,"RACT2.XLS";#N/A,#N/A,FALSE,"ECCMP";#N/A,#N/A,FALSE,"WELDER.XLS"}</definedName>
    <definedName name="wrn.summary." hidden="1">{#N/A,#N/A,FALSE,"COVER1.XLS ";#N/A,#N/A,FALSE,"RACT1.XLS";#N/A,#N/A,FALSE,"RACT2.XLS";#N/A,#N/A,FALSE,"ECCMP";#N/A,#N/A,FALSE,"WELDER.XLS"}</definedName>
    <definedName name="wrn.summary1" hidden="1">{#N/A,#N/A,FALSE,"COVER1.XLS ";#N/A,#N/A,FALSE,"RACT1.XLS";#N/A,#N/A,FALSE,"RACT2.XLS";#N/A,#N/A,FALSE,"ECCMP";#N/A,#N/A,FALSE,"WELDER.XLS"}</definedName>
    <definedName name="wrn.Tax._.Report." localSheetId="0" hidden="1">{"KAVITA - Personal View",#N/A,FALSE,"Sheet2"}</definedName>
    <definedName name="wrn.Tax._.Report." hidden="1">{"KAVITA - Personal View",#N/A,FALSE,"Sheet2"}</definedName>
    <definedName name="wrn.TDS._.CERTIFICATE." localSheetId="25" hidden="1">{#N/A,#N/A,TRUE,"TDSCERTIFICATE"}</definedName>
    <definedName name="wrn.TDS._.CERTIFICATE." localSheetId="5" hidden="1">{#N/A,#N/A,TRUE,"TDSCERTIFICATE"}</definedName>
    <definedName name="wrn.TDS._.CERTIFICATE." hidden="1">{#N/A,#N/A,TRUE,"TDSCERTIFICATE"}</definedName>
    <definedName name="wrn.testrpt." localSheetId="25" hidden="1">{"Edition",#N/A,FALSE,"Data"}</definedName>
    <definedName name="wrn.testrpt." localSheetId="0" hidden="1">{"Edition",#N/A,FALSE,"Data"}</definedName>
    <definedName name="wrn.testrpt." localSheetId="5" hidden="1">{"Edition",#N/A,FALSE,"Data"}</definedName>
    <definedName name="wrn.testrpt." hidden="1">{"Edition",#N/A,FALSE,"Data"}</definedName>
    <definedName name="wrn.Tier._.I." localSheetId="25" hidden="1">{#N/A,#N/A,FALSE,"Part ABC"}</definedName>
    <definedName name="wrn.Tier._.I." localSheetId="5" hidden="1">{#N/A,#N/A,FALSE,"Part ABC"}</definedName>
    <definedName name="wrn.Tier._.I." hidden="1">{#N/A,#N/A,FALSE,"Part ABC"}</definedName>
    <definedName name="wrn.TOWNSHIP." localSheetId="25" hidden="1">{#N/A,#N/A,FALSE,"TOWNSHIP"}</definedName>
    <definedName name="wrn.TOWNSHIP." localSheetId="5" hidden="1">{#N/A,#N/A,FALSE,"TOWNSHIP"}</definedName>
    <definedName name="wrn.TOWNSHIP." hidden="1">{#N/A,#N/A,FALSE,"TOWNSHIP"}</definedName>
    <definedName name="wrn.UPL._.Cash._.Flow." localSheetId="25" hidden="1">{"UPL Monthly Cash Flow",#N/A,FALSE,"Cash Flow"}</definedName>
    <definedName name="wrn.UPL._.Cash._.Flow." localSheetId="5" hidden="1">{"UPL Monthly Cash Flow",#N/A,FALSE,"Cash Flow"}</definedName>
    <definedName name="wrn.UPL._.Cash._.Flow." hidden="1">{"UPL Monthly Cash Flow",#N/A,FALSE,"Cash Flow"}</definedName>
    <definedName name="wrn.US._.TRIAL." hidden="1">{#N/A,#N/A,FALSE,"BSFY98";#N/A,#N/A,FALSE,"P&amp;LFY98"}</definedName>
    <definedName name="wrn.vd." localSheetId="25" hidden="1">{#N/A,#N/A,TRUE,"BT M200 da 10x20"}</definedName>
    <definedName name="wrn.vd." localSheetId="5" hidden="1">{#N/A,#N/A,TRUE,"BT M200 da 10x20"}</definedName>
    <definedName name="wrn.vd." hidden="1">{#N/A,#N/A,TRUE,"BT M200 da 10x20"}</definedName>
    <definedName name="wrn.WEEKLY." hidden="1">{#N/A,#N/A,FALSE,"SUMMARY REPORT"}</definedName>
    <definedName name="wrn.working1." localSheetId="0" hidden="1">{#N/A,#N/A,FALSE,"A"}</definedName>
    <definedName name="wrn.working1." hidden="1">{#N/A,#N/A,FALSE,"A"}</definedName>
    <definedName name="wrn.XX." localSheetId="25" hidden="1">{"SCH",#N/A,FALSE,"SCHEDULE";"ASSET",#N/A,FALSE,"ASSET"}</definedName>
    <definedName name="wrn.XX." localSheetId="5" hidden="1">{"SCH",#N/A,FALSE,"SCHEDULE";"ASSET",#N/A,FALSE,"ASSET"}</definedName>
    <definedName name="wrn.XX." hidden="1">{"SCH",#N/A,FALSE,"SCHEDULE";"ASSET",#N/A,FALSE,"ASSET"}</definedName>
    <definedName name="wrn.간단한세무조정계산서."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보고서." localSheetId="25" hidden="1">{#N/A,#N/A,FALSE,"Sheet1";#N/A,#N/A,FALSE,"기평9607"}</definedName>
    <definedName name="wrn.보고서." localSheetId="5" hidden="1">{#N/A,#N/A,FALSE,"Sheet1";#N/A,#N/A,FALSE,"기평9607"}</definedName>
    <definedName name="wrn.보고서." hidden="1">{#N/A,#N/A,FALSE,"Sheet1";#N/A,#N/A,FALSE,"기평9607"}</definedName>
    <definedName name="wrn.세무"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조흥94세무." localSheetId="2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축약94." localSheetId="2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회의0104.XLS." localSheetId="25" hidden="1">{#N/A,#N/A,TRUE,"매출진척-1";#N/A,#N/A,TRUE,"매출진척-2";#N/A,#N/A,TRUE,"제품실적";#N/A,#N/A,TRUE,"RAC";#N/A,#N/A,TRUE,"PAC ";#N/A,#N/A,TRUE,"재고현황";#N/A,#N/A,TRUE,"공지사항"}</definedName>
    <definedName name="wrn.회의0104.XLS." localSheetId="5" hidden="1">{#N/A,#N/A,TRUE,"매출진척-1";#N/A,#N/A,TRUE,"매출진척-2";#N/A,#N/A,TRUE,"제품실적";#N/A,#N/A,TRUE,"RAC";#N/A,#N/A,TRUE,"PAC ";#N/A,#N/A,TRUE,"재고현황";#N/A,#N/A,TRUE,"공지사항"}</definedName>
    <definedName name="wrn.회의0104.XLS." hidden="1">{#N/A,#N/A,TRUE,"매출진척-1";#N/A,#N/A,TRUE,"매출진척-2";#N/A,#N/A,TRUE,"제품실적";#N/A,#N/A,TRUE,"RAC";#N/A,#N/A,TRUE,"PAC ";#N/A,#N/A,TRUE,"재고현황";#N/A,#N/A,TRUE,"공지사항"}</definedName>
    <definedName name="WRN0" hidden="1">{#N/A,#N/A,FALSE,"COVER1.XLS ";#N/A,#N/A,FALSE,"RACT1.XLS";#N/A,#N/A,FALSE,"RACT2.XLS";#N/A,#N/A,FALSE,"ECCMP";#N/A,#N/A,FALSE,"WELDER.XLS"}</definedName>
    <definedName name="wrn1.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ulla" localSheetId="25" hidden="1">{#N/A,#N/A,TRUE,"Front";#N/A,#N/A,TRUE,"Simple Letter";#N/A,#N/A,TRUE,"Inside";#N/A,#N/A,TRUE,"Contents";#N/A,#N/A,TRUE,"Basis";#N/A,#N/A,TRUE,"Inclusions";#N/A,#N/A,TRUE,"Exclusions";#N/A,#N/A,TRUE,"Areas";#N/A,#N/A,TRUE,"Summary";#N/A,#N/A,TRUE,"Detail"}</definedName>
    <definedName name="wrnfulla" localSheetId="5" hidden="1">{#N/A,#N/A,TRUE,"Front";#N/A,#N/A,TRUE,"Simple Letter";#N/A,#N/A,TRUE,"Inside";#N/A,#N/A,TRUE,"Contents";#N/A,#N/A,TRUE,"Basis";#N/A,#N/A,TRUE,"Inclusions";#N/A,#N/A,TRUE,"Exclusions";#N/A,#N/A,TRUE,"Areas";#N/A,#N/A,TRUE,"Summary";#N/A,#N/A,TRUE,"Detail"}</definedName>
    <definedName name="wrnfulla" hidden="1">{#N/A,#N/A,TRUE,"Front";#N/A,#N/A,TRUE,"Simple Letter";#N/A,#N/A,TRUE,"Inside";#N/A,#N/A,TRUE,"Contents";#N/A,#N/A,TRUE,"Basis";#N/A,#N/A,TRUE,"Inclusions";#N/A,#N/A,TRUE,"Exclusions";#N/A,#N/A,TRUE,"Areas";#N/A,#N/A,TRUE,"Summary";#N/A,#N/A,TRUE,"Detail"}</definedName>
    <definedName name="wrnratio" localSheetId="25" hidden="1">{"Ratio",#N/A,FALSE,"Ratios";"Funds Flow",#N/A,FALSE,"Ratios"}</definedName>
    <definedName name="wrnratio" localSheetId="5" hidden="1">{"Ratio",#N/A,FALSE,"Ratios";"Funds Flow",#N/A,FALSE,"Ratios"}</definedName>
    <definedName name="wrnratio" hidden="1">{"Ratio",#N/A,FALSE,"Ratios";"Funds Flow",#N/A,FALSE,"Ratios"}</definedName>
    <definedName name="wrns.pg10." localSheetId="0" hidden="1">{#N/A,#N/A,FALSE,"1"}</definedName>
    <definedName name="wrns.pg10." hidden="1">{#N/A,#N/A,FALSE,"1"}</definedName>
    <definedName name="WRTGHold">#REF!</definedName>
    <definedName name="WRTGOGI">#REF!</definedName>
    <definedName name="WRTM">#REF!</definedName>
    <definedName name="WRTMHold">#REF!</definedName>
    <definedName name="WRTMOGI">#REF!</definedName>
    <definedName name="ws" hidden="1">#REF!</definedName>
    <definedName name="wsgz" localSheetId="25" hidden="1">{#N/A,#N/A,FALSE,"COVER1.XLS ";#N/A,#N/A,FALSE,"RACT1.XLS";#N/A,#N/A,FALSE,"RACT2.XLS";#N/A,#N/A,FALSE,"ECCMP";#N/A,#N/A,FALSE,"WELDER.XLS"}</definedName>
    <definedName name="wsgz" localSheetId="0" hidden="1">{#N/A,#N/A,FALSE,"COVER1.XLS ";#N/A,#N/A,FALSE,"RACT1.XLS";#N/A,#N/A,FALSE,"RACT2.XLS";#N/A,#N/A,FALSE,"ECCMP";#N/A,#N/A,FALSE,"WELDER.XLS"}</definedName>
    <definedName name="wsgz" localSheetId="5" hidden="1">{#N/A,#N/A,FALSE,"COVER1.XLS ";#N/A,#N/A,FALSE,"RACT1.XLS";#N/A,#N/A,FALSE,"RACT2.XLS";#N/A,#N/A,FALSE,"ECCMP";#N/A,#N/A,FALSE,"WELDER.XLS"}</definedName>
    <definedName name="wsgz" hidden="1">{#N/A,#N/A,FALSE,"COVER1.XLS ";#N/A,#N/A,FALSE,"RACT1.XLS";#N/A,#N/A,FALSE,"RACT2.XLS";#N/A,#N/A,FALSE,"ECCMP";#N/A,#N/A,FALSE,"WELDER.XLS"}</definedName>
    <definedName name="wsx"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sx"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sx"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td_avg_shares">#REF!</definedName>
    <definedName name="WTWERT" localSheetId="0" hidden="1">{"VIEW1",#N/A,FALSE,"P&amp;L Account 2001-2002";"VIEW2",#N/A,FALSE,"P&amp;L Account 2001-2002";"VIEW3",#N/A,FALSE,"P&amp;L Account 2001-2002";"VIEW4",#N/A,FALSE,"P&amp;L Account 2001-2002"}</definedName>
    <definedName name="WTWERT" hidden="1">{"VIEW1",#N/A,FALSE,"P&amp;L Account 2001-2002";"VIEW2",#N/A,FALSE,"P&amp;L Account 2001-2002";"VIEW3",#N/A,FALSE,"P&amp;L Account 2001-2002";"VIEW4",#N/A,FALSE,"P&amp;L Account 2001-2002"}</definedName>
    <definedName name="wvu.A." localSheetId="2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localSheetId="5"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cq." localSheetId="25" hidden="1">{TRUE,TRUE,-0.8,-17,618,402.6,FALSE,FALSE,TRUE,TRUE,0,1,33,1,33,1,8,4,TRUE,TRUE,3,TRUE,1,TRUE,100,"Swvu.acq.","ACwvu.acq.",1,FALSE,FALSE,0.55,0.61,0.51,0.72,2,"&amp;C&amp;18&amp;B&amp;I&amp;UKENT ELECTRONICS&amp;10&amp;B&amp;I&amp;U
&amp;14&amp;BAcquisition History&amp;10
FY Ends March
","",TRUE,FALSE,FALSE,FALSE,1,#N/A,1,1,#DIV/0!,"=R1:R9","Rwvu.acq.","Cwvu.acq.",FALSE,FALSE}</definedName>
    <definedName name="wvu.acq." localSheetId="5" hidden="1">{TRUE,TRUE,-0.8,-17,618,402.6,FALSE,FALSE,TRUE,TRUE,0,1,33,1,33,1,8,4,TRUE,TRUE,3,TRUE,1,TRUE,100,"Swvu.acq.","ACwvu.acq.",1,FALSE,FALSE,0.55,0.61,0.51,0.72,2,"&amp;C&amp;18&amp;B&amp;I&amp;UKENT ELECTRONICS&amp;10&amp;B&amp;I&amp;U
&amp;14&amp;BAcquisition History&amp;10
FY Ends March
","",TRUE,FALSE,FALSE,FALSE,1,#N/A,1,1,#DIV/0!,"=R1:R9","Rwvu.acq.","Cwvu.acq.",FALSE,FALSE}</definedName>
    <definedName name="wvu.acq." hidden="1">{TRUE,TRUE,-0.8,-17,618,402.6,FALSE,FALSE,TRUE,TRUE,0,1,33,1,33,1,8,4,TRUE,TRUE,3,TRUE,1,TRUE,100,"Swvu.acq.","ACwvu.acq.",1,FALSE,FALSE,0.55,0.61,0.51,0.72,2,"&amp;C&amp;18&amp;B&amp;I&amp;UKENT ELECTRONICS&amp;10&amp;B&amp;I&amp;U
&amp;14&amp;BAcquisition History&amp;10
FY Ends March
","",TRUE,FALSE,FALSE,FALSE,1,#N/A,1,1,#DIV/0!,"=R1:R9","Rwvu.acq.","Cwvu.acq.",FALSE,FALSE}</definedName>
    <definedName name="wvu.aplcagr." localSheetId="25" hidden="1">{TRUE,TRUE,-0.8,-17,618,402.6,FALSE,FALSE,TRUE,TRUE,0,1,#N/A,1,#N/A,20.0634920634921,28.65,1,FALSE,FALSE,3,TRUE,1,FALSE,100,"Swvu.aplcagr.","ACwvu.aplcagr.",1,FALSE,FALSE,0.24,0.19,0.56,0.76,2,"&amp;C&amp;""MS Sans Serif""&amp;18&amp;B&amp;I&amp;UKENT ELECTRONICS&amp;""Courier""&amp;10&amp;B&amp;I&amp;U
&amp;""MS Sans Serif""&amp;BAnnual Profit and Loss
FY Ends March
($000)","",TRUE,TRUE,FALSE,FALSE,1,#N/A,1,1,"=R1C1:R45C22","=C1:C2,R1:R5","Rwvu.aplcagr.",#N/A,FALSE,FALSE}</definedName>
    <definedName name="wvu.aplcagr." localSheetId="5" hidden="1">{TRUE,TRUE,-0.8,-17,618,402.6,FALSE,FALSE,TRUE,TRUE,0,1,#N/A,1,#N/A,20.0634920634921,28.65,1,FALSE,FALSE,3,TRUE,1,FALSE,100,"Swvu.aplcagr.","ACwvu.aplcagr.",1,FALSE,FALSE,0.24,0.19,0.56,0.76,2,"&amp;C&amp;""MS Sans Serif""&amp;18&amp;B&amp;I&amp;UKENT ELECTRONICS&amp;""Courier""&amp;10&amp;B&amp;I&amp;U
&amp;""MS Sans Serif""&amp;BAnnual Profit and Loss
FY Ends March
($000)","",TRUE,TRUE,FALSE,FALSE,1,#N/A,1,1,"=R1C1:R45C22","=C1:C2,R1:R5","Rwvu.aplcagr.",#N/A,FALSE,FALSE}</definedName>
    <definedName name="wvu.aplcagr." hidden="1">{TRUE,TRUE,-0.8,-17,618,402.6,FALSE,FALSE,TRUE,TRUE,0,1,#N/A,1,#N/A,20.0634920634921,28.65,1,FALSE,FALSE,3,TRUE,1,FALSE,100,"Swvu.aplcagr.","ACwvu.aplcagr.",1,FALSE,FALSE,0.24,0.19,0.56,0.76,2,"&amp;C&amp;""MS Sans Serif""&amp;18&amp;B&amp;I&amp;UKENT ELECTRONICS&amp;""Courier""&amp;10&amp;B&amp;I&amp;U
&amp;""MS Sans Serif""&amp;BAnnual Profit and Loss
FY Ends March
($000)","",TRUE,TRUE,FALSE,FALSE,1,#N/A,1,1,"=R1C1:R45C22","=C1:C2,R1:R5","Rwvu.aplcagr.",#N/A,FALSE,FALSE}</definedName>
    <definedName name="wvu.Cost._.Allocation." localSheetId="25" hidden="1">{TRUE,TRUE,-1.25,-15.5,604.5,343.5,FALSE,TRUE,TRUE,TRUE,0,7,#N/A,1,#N/A,11.551724137931,30.5384615384615,1,FALSE,FALSE,3,TRUE,1,FALSE,75,"Swvu.Cost._.Allocation.","ACwvu.Cost._.Allocation.",#N/A,FALSE,FALSE,0.748031496062992,0.748031496062992,0.984251968503937,0.984251968503937,2,"","",TRUE,FALSE,FALSE,FALSE,1,#N/A,1,1,"=R1C1:R16C11",FALSE,#N/A,#N/A,FALSE,FALSE,FALSE,9,65532,65532,FALSE,FALSE,TRUE,TRUE,TRUE}</definedName>
    <definedName name="wvu.Cost._.Allocation." localSheetId="5" hidden="1">{TRUE,TRUE,-1.25,-15.5,604.5,343.5,FALSE,TRUE,TRUE,TRUE,0,7,#N/A,1,#N/A,11.551724137931,30.5384615384615,1,FALSE,FALSE,3,TRUE,1,FALSE,75,"Swvu.Cost._.Allocation.","ACwvu.Cost._.Allocation.",#N/A,FALSE,FALSE,0.748031496062992,0.748031496062992,0.984251968503937,0.984251968503937,2,"","",TRUE,FALSE,FALSE,FALSE,1,#N/A,1,1,"=R1C1:R16C11",FALSE,#N/A,#N/A,FALSE,FALSE,FALSE,9,65532,65532,FALSE,FALSE,TRUE,TRUE,TRUE}</definedName>
    <definedName name="wvu.Cost._.Allocation." hidden="1">{TRUE,TRUE,-1.25,-15.5,604.5,343.5,FALSE,TRUE,TRUE,TRUE,0,7,#N/A,1,#N/A,11.551724137931,30.5384615384615,1,FALSE,FALSE,3,TRUE,1,FALSE,75,"Swvu.Cost._.Allocation.","ACwvu.Cost._.Allocation.",#N/A,FALSE,FALSE,0.748031496062992,0.748031496062992,0.984251968503937,0.984251968503937,2,"","",TRUE,FALSE,FALSE,FALSE,1,#N/A,1,1,"=R1C1:R16C11",FALSE,#N/A,#N/A,FALSE,FALSE,FALSE,9,65532,65532,FALSE,FALSE,TRUE,TRUE,TRUE}</definedName>
    <definedName name="wvu.div." localSheetId="25" hidden="1">{TRUE,TRUE,-0.8,-17,618,402.6,FALSE,FALSE,TRUE,TRUE,0,1,34,1,9,1,8,4,TRUE,TRUE,3,TRUE,1,TRUE,100,"Swvu.div.","ACwvu.div.",1,FALSE,FALSE,0.55,0.61,0.51,0.72,2,"&amp;C&amp;18&amp;B&amp;I&amp;UKENT ELECTRONICS&amp;10&amp;B&amp;I&amp;U
&amp;14&amp;BSales By Division As A Percentage of Total Sales&amp;10
FY Ends March
","&amp;L* Other includes batteries, capacitors, misc., and Datacomm
Sales to one customer represented 11.1% and 15.6% of net sales in 1992 and 1991, respectively.  No customer constituted 10% of net sales in 1993.
",TRUE,FALSE,FALSE,FALSE,1,#N/A,1,1,#DIV/0!,"=R1:R9","Rwvu.div.","Cwvu.div.",FALSE,FALSE}</definedName>
    <definedName name="wvu.div." localSheetId="5" hidden="1">{TRUE,TRUE,-0.8,-17,618,402.6,FALSE,FALSE,TRUE,TRUE,0,1,34,1,9,1,8,4,TRUE,TRUE,3,TRUE,1,TRUE,100,"Swvu.div.","ACwvu.div.",1,FALSE,FALSE,0.55,0.61,0.51,0.72,2,"&amp;C&amp;18&amp;B&amp;I&amp;UKENT ELECTRONICS&amp;10&amp;B&amp;I&amp;U
&amp;14&amp;BSales By Division As A Percentage of Total Sales&amp;10
FY Ends March
","&amp;L* Other includes batteries, capacitors, misc., and Datacomm
Sales to one customer represented 11.1% and 15.6% of net sales in 1992 and 1991, respectively.  No customer constituted 10% of net sales in 1993.
",TRUE,FALSE,FALSE,FALSE,1,#N/A,1,1,#DIV/0!,"=R1:R9","Rwvu.div.","Cwvu.div.",FALSE,FALSE}</definedName>
    <definedName name="wvu.div." hidden="1">{TRUE,TRUE,-0.8,-17,618,402.6,FALSE,FALSE,TRUE,TRUE,0,1,34,1,9,1,8,4,TRUE,TRUE,3,TRUE,1,TRUE,100,"Swvu.div.","ACwvu.div.",1,FALSE,FALSE,0.55,0.61,0.51,0.72,2,"&amp;C&amp;18&amp;B&amp;I&amp;UKENT ELECTRONICS&amp;10&amp;B&amp;I&amp;U
&amp;14&amp;BSales By Division As A Percentage of Total Sales&amp;10
FY Ends March
","&amp;L* Other includes batteries, capacitors, misc., and Datacomm
Sales to one customer represented 11.1% and 15.6% of net sales in 1992 and 1991, respectively.  No customer constituted 10% of net sales in 1993.
",TRUE,FALSE,FALSE,FALSE,1,#N/A,1,1,#DIV/0!,"=R1:R9","Rwvu.div.","Cwvu.div.",FALSE,FALSE}</definedName>
    <definedName name="wvu.Full._.Cash._.Flow." localSheetId="25" hidden="1">{TRUE,TRUE,-1.25,-15.5,604.5,343.5,FALSE,TRUE,TRUE,TRUE,0,76,#N/A,23,#N/A,13.3448275862069,32.4166666666667,1,FALSE,FALSE,3,TRUE,1,FALSE,75,"Swvu.Full._.Cash._.Flow.","ACwvu.Full._.Cash._.Flow.",#N/A,FALSE,FALSE,0.748031496062992,0.748031496062992,1.10236220472441,0.984251968503937,2,"&amp;C&amp;""Arial,Bold""&amp;12KENSINGTON BANKS
&amp;11CASH FLOW for EXPENSES (BUDGET)&amp;12
&amp;10SUMMARY
as at JULY 1994","",FALSE,FALSE,FALSE,FALSE,1,75,#N/A,#N/A,"=R8C5:R38C82","=C1:C4,R4:R7",#N/A,#N/A,FALSE,FALSE,TRUE,9,65532,65532,FALSE,FALSE,TRUE,TRUE,TRUE}</definedName>
    <definedName name="wvu.Full._.Cash._.Flow." localSheetId="5" hidden="1">{TRUE,TRUE,-1.25,-15.5,604.5,343.5,FALSE,TRUE,TRUE,TRUE,0,76,#N/A,23,#N/A,13.3448275862069,32.4166666666667,1,FALSE,FALSE,3,TRUE,1,FALSE,75,"Swvu.Full._.Cash._.Flow.","ACwvu.Full._.Cash._.Flow.",#N/A,FALSE,FALSE,0.748031496062992,0.748031496062992,1.10236220472441,0.984251968503937,2,"&amp;C&amp;""Arial,Bold""&amp;12KENSINGTON BANKS
&amp;11CASH FLOW for EXPENSES (BUDGET)&amp;12
&amp;10SUMMARY
as at JULY 1994","",FALSE,FALSE,FALSE,FALSE,1,75,#N/A,#N/A,"=R8C5:R38C82","=C1:C4,R4:R7",#N/A,#N/A,FALSE,FALSE,TRUE,9,65532,65532,FALSE,FALSE,TRUE,TRUE,TRUE}</definedName>
    <definedName name="wvu.Full._.Cash._.Flow." hidden="1">{TRUE,TRUE,-1.25,-15.5,604.5,343.5,FALSE,TRUE,TRUE,TRUE,0,76,#N/A,23,#N/A,13.3448275862069,32.4166666666667,1,FALSE,FALSE,3,TRUE,1,FALSE,75,"Swvu.Full._.Cash._.Flow.","ACwvu.Full._.Cash._.Flow.",#N/A,FALSE,FALSE,0.748031496062992,0.748031496062992,1.10236220472441,0.984251968503937,2,"&amp;C&amp;""Arial,Bold""&amp;12KENSINGTON BANKS
&amp;11CASH FLOW for EXPENSES (BUDGET)&amp;12
&amp;10SUMMARY
as at JULY 1994","",FALSE,FALSE,FALSE,FALSE,1,75,#N/A,#N/A,"=R8C5:R38C82","=C1:C4,R4:R7",#N/A,#N/A,FALSE,FALSE,TRUE,9,65532,65532,FALSE,FALSE,TRUE,TRUE,TRUE}</definedName>
    <definedName name="wvu.inputs._.raw._.data." localSheetId="2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KNTAPL." localSheetId="25" hidden="1">{TRUE,TRUE,-0.8,-17,618,402.6,FALSE,FALSE,TRUE,TRUE,0,1,#N/A,1,#N/A,20.0634920634921,28.65,1,FALSE,FALSE,3,TRUE,1,FALSE,100,"Swvu.KNTAPL.","ACwvu.KNTAPL.",1,FALSE,FALSE,0.24,0.19,0.56,0.76,2,"&amp;C&amp;""MS Sans Serif""&amp;18&amp;B&amp;I&amp;UKENT ELECTRONICS&amp;""Courier""&amp;10&amp;B&amp;I&amp;U
&amp;""MS Sans Serif""&amp;BAnnual Profit and Loss
FY Ends March
($000)","",TRUE,TRUE,FALSE,FALSE,1,#N/A,1,1,"=R1C1:R45C21","=C1:C2,R1:R5","Rwvu.KNTAPL.",#N/A,FALSE,FALSE}</definedName>
    <definedName name="wvu.KNTAPL." localSheetId="5" hidden="1">{TRUE,TRUE,-0.8,-17,618,402.6,FALSE,FALSE,TRUE,TRUE,0,1,#N/A,1,#N/A,20.0634920634921,28.65,1,FALSE,FALSE,3,TRUE,1,FALSE,100,"Swvu.KNTAPL.","ACwvu.KNTAPL.",1,FALSE,FALSE,0.24,0.19,0.56,0.76,2,"&amp;C&amp;""MS Sans Serif""&amp;18&amp;B&amp;I&amp;UKENT ELECTRONICS&amp;""Courier""&amp;10&amp;B&amp;I&amp;U
&amp;""MS Sans Serif""&amp;BAnnual Profit and Loss
FY Ends March
($000)","",TRUE,TRUE,FALSE,FALSE,1,#N/A,1,1,"=R1C1:R45C21","=C1:C2,R1:R5","Rwvu.KNTAPL.",#N/A,FALSE,FALSE}</definedName>
    <definedName name="wvu.KNTAPL." hidden="1">{TRUE,TRUE,-0.8,-17,618,402.6,FALSE,FALSE,TRUE,TRUE,0,1,#N/A,1,#N/A,20.0634920634921,28.65,1,FALSE,FALSE,3,TRUE,1,FALSE,100,"Swvu.KNTAPL.","ACwvu.KNTAPL.",1,FALSE,FALSE,0.24,0.19,0.56,0.76,2,"&amp;C&amp;""MS Sans Serif""&amp;18&amp;B&amp;I&amp;UKENT ELECTRONICS&amp;""Courier""&amp;10&amp;B&amp;I&amp;U
&amp;""MS Sans Serif""&amp;BAnnual Profit and Loss
FY Ends March
($000)","",TRUE,TRUE,FALSE,FALSE,1,#N/A,1,1,"=R1C1:R45C21","=C1:C2,R1:R5","Rwvu.KNTAPL.",#N/A,FALSE,FALSE}</definedName>
    <definedName name="wvu.KNTQPL." localSheetId="25" hidden="1">{TRUE,TRUE,-0.8,-17,618,402.6,FALSE,FALSE,TRUE,TRUE,0,1,3,1,60,1,5,4,TRUE,TRUE,3,TRUE,1,TRUE,100,"Swvu.KNTQPL.","ACwvu.KNTQPL.",1,FALSE,FALSE,0.55,0.61,0.51,0.72,2,"&amp;C&amp;18&amp;B&amp;I&amp;UKENT ELECTRONICS&amp;10&amp;B&amp;I&amp;U
&amp;BQuarterly Profit and Loss
FY Ends March
($000)","&amp;CFigures may not add due to rounding",TRUE,FALSE,FALSE,FALSE,1,77,#N/A,#N/A,"=R1C1:R99C23","=R1:R9","Rwvu.KNTQPL.","Cwvu.KNTQPL.",FALSE,FALSE}</definedName>
    <definedName name="wvu.KNTQPL." localSheetId="5" hidden="1">{TRUE,TRUE,-0.8,-17,618,402.6,FALSE,FALSE,TRUE,TRUE,0,1,3,1,60,1,5,4,TRUE,TRUE,3,TRUE,1,TRUE,100,"Swvu.KNTQPL.","ACwvu.KNTQPL.",1,FALSE,FALSE,0.55,0.61,0.51,0.72,2,"&amp;C&amp;18&amp;B&amp;I&amp;UKENT ELECTRONICS&amp;10&amp;B&amp;I&amp;U
&amp;BQuarterly Profit and Loss
FY Ends March
($000)","&amp;CFigures may not add due to rounding",TRUE,FALSE,FALSE,FALSE,1,77,#N/A,#N/A,"=R1C1:R99C23","=R1:R9","Rwvu.KNTQPL.","Cwvu.KNTQPL.",FALSE,FALSE}</definedName>
    <definedName name="wvu.KNTQPL." hidden="1">{TRUE,TRUE,-0.8,-17,618,402.6,FALSE,FALSE,TRUE,TRUE,0,1,3,1,60,1,5,4,TRUE,TRUE,3,TRUE,1,TRUE,100,"Swvu.KNTQPL.","ACwvu.KNTQPL.",1,FALSE,FALSE,0.55,0.61,0.51,0.72,2,"&amp;C&amp;18&amp;B&amp;I&amp;UKENT ELECTRONICS&amp;10&amp;B&amp;I&amp;U
&amp;BQuarterly Profit and Loss
FY Ends March
($000)","&amp;CFigures may not add due to rounding",TRUE,FALSE,FALSE,FALSE,1,77,#N/A,#N/A,"=R1C1:R99C23","=R1:R9","Rwvu.KNTQPL.","Cwvu.KNTQPL.",FALSE,FALSE}</definedName>
    <definedName name="wvu.Marketing." localSheetId="25" hidden="1">{TRUE,TRUE,-1.25,-15.5,604.5,341.25,FALSE,TRUE,TRUE,TRUE,0,1,73,1,7,2,6,4,TRUE,TRUE,3,TRUE,1,TRUE,75,"Swvu.Marketing.","ACwvu.Marketing.",#N/A,FALSE,FALSE,0.748031496062992,0.748031496062992,1.10236220472441,0.984251968503937,2,"&amp;C&amp;""Arial,Bold""&amp;12KENSINGTON BANKS
&amp;11CASH FLOW for EXPENSES (FORECAST)&amp;12
&amp;10SUMMARY
as at NOVEMBER 1995","",FALSE,FALSE,FALSE,FALSE,1,75,#N/A,#N/A,"=R8C1:R19C82","=C1:C4,R4:R7",#N/A,#N/A,FALSE,FALSE,TRUE,9,65532,300,FALSE,FALSE,TRUE,TRUE,TRUE}</definedName>
    <definedName name="wvu.Marketing." localSheetId="5" hidden="1">{TRUE,TRUE,-1.25,-15.5,604.5,341.25,FALSE,TRUE,TRUE,TRUE,0,1,73,1,7,2,6,4,TRUE,TRUE,3,TRUE,1,TRUE,75,"Swvu.Marketing.","ACwvu.Marketing.",#N/A,FALSE,FALSE,0.748031496062992,0.748031496062992,1.10236220472441,0.984251968503937,2,"&amp;C&amp;""Arial,Bold""&amp;12KENSINGTON BANKS
&amp;11CASH FLOW for EXPENSES (FORECAST)&amp;12
&amp;10SUMMARY
as at NOVEMBER 1995","",FALSE,FALSE,FALSE,FALSE,1,75,#N/A,#N/A,"=R8C1:R19C82","=C1:C4,R4:R7",#N/A,#N/A,FALSE,FALSE,TRUE,9,65532,300,FALSE,FALSE,TRUE,TRUE,TRUE}</definedName>
    <definedName name="wvu.Marketing." hidden="1">{TRUE,TRUE,-1.25,-15.5,604.5,341.25,FALSE,TRUE,TRUE,TRUE,0,1,73,1,7,2,6,4,TRUE,TRUE,3,TRUE,1,TRUE,75,"Swvu.Marketing.","ACwvu.Marketing.",#N/A,FALSE,FALSE,0.748031496062992,0.748031496062992,1.10236220472441,0.984251968503937,2,"&amp;C&amp;""Arial,Bold""&amp;12KENSINGTON BANKS
&amp;11CASH FLOW for EXPENSES (FORECAST)&amp;12
&amp;10SUMMARY
as at NOVEMBER 1995","",FALSE,FALSE,FALSE,FALSE,1,75,#N/A,#N/A,"=R8C1:R19C82","=C1:C4,R4:R7",#N/A,#N/A,FALSE,FALSE,TRUE,9,65532,300,FALSE,FALSE,TRUE,TRUE,TRUE}</definedName>
    <definedName name="wvu.Marketing._.95.96." localSheetId="25" hidden="1">{TRUE,TRUE,-1.25,-15.5,604.5,341.25,FALSE,TRUE,TRUE,TRUE,0,1,20,1,7,2,6,4,TRUE,TRUE,3,TRUE,1,TRUE,75,"Swvu.Marketing._.95.96.","ACwvu.Marketing._.95.96.",#N/A,FALSE,FALSE,0.748031496062992,0.748031496062992,1.10236220472441,0.984251968503937,2,"&amp;C&amp;""Arial,Bold""&amp;12KENSINGTON BANKS
&amp;11CASH FLOW for EXPENSES (BUDGET)&amp;12
&amp;10SUMMARY
as at NOVEMBER 1995","",FALSE,FALSE,FALSE,FALSE,1,75,#N/A,#N/A,"=R8C17:R19C28","=C1:C4,R4:R7",#N/A,#N/A,FALSE,FALSE,TRUE,9,65532,300,FALSE,FALSE,TRUE,TRUE,TRUE}</definedName>
    <definedName name="wvu.Marketing._.95.96." localSheetId="5" hidden="1">{TRUE,TRUE,-1.25,-15.5,604.5,341.25,FALSE,TRUE,TRUE,TRUE,0,1,20,1,7,2,6,4,TRUE,TRUE,3,TRUE,1,TRUE,75,"Swvu.Marketing._.95.96.","ACwvu.Marketing._.95.96.",#N/A,FALSE,FALSE,0.748031496062992,0.748031496062992,1.10236220472441,0.984251968503937,2,"&amp;C&amp;""Arial,Bold""&amp;12KENSINGTON BANKS
&amp;11CASH FLOW for EXPENSES (BUDGET)&amp;12
&amp;10SUMMARY
as at NOVEMBER 1995","",FALSE,FALSE,FALSE,FALSE,1,75,#N/A,#N/A,"=R8C17:R19C28","=C1:C4,R4:R7",#N/A,#N/A,FALSE,FALSE,TRUE,9,65532,300,FALSE,FALSE,TRUE,TRUE,TRUE}</definedName>
    <definedName name="wvu.Marketing._.95.96." hidden="1">{TRUE,TRUE,-1.25,-15.5,604.5,341.25,FALSE,TRUE,TRUE,TRUE,0,1,20,1,7,2,6,4,TRUE,TRUE,3,TRUE,1,TRUE,75,"Swvu.Marketing._.95.96.","ACwvu.Marketing._.95.96.",#N/A,FALSE,FALSE,0.748031496062992,0.748031496062992,1.10236220472441,0.984251968503937,2,"&amp;C&amp;""Arial,Bold""&amp;12KENSINGTON BANKS
&amp;11CASH FLOW for EXPENSES (BUDGET)&amp;12
&amp;10SUMMARY
as at NOVEMBER 1995","",FALSE,FALSE,FALSE,FALSE,1,75,#N/A,#N/A,"=R8C17:R19C28","=C1:C4,R4:R7",#N/A,#N/A,FALSE,FALSE,TRUE,9,65532,300,FALSE,FALSE,TRUE,TRUE,TRUE}</definedName>
    <definedName name="wvu.otr."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1"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1"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2"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2"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_.and._.Loss." localSheetId="25" hidden="1">{TRUE,TRUE,-1.25,-15.5,604.5,343.5,FALSE,TRUE,TRUE,TRUE,0,1,#N/A,1,#N/A,12.3392857142857,30.7692307692308,1,FALSE,FALSE,3,TRUE,1,FALSE,75,"Swvu.Profit._.and._.Loss.","ACwvu.Profit._.and._.Loss.",#N/A,FALSE,FALSE,0.748031496062992,0.748031496062992,1.10236220472441,0.984251968503937,2,"&amp;C&amp;""Arial,Bold""&amp;12KENSINGTON BANKS
&amp;11PROFIT &amp; LOSS for EXPENSES (BUDGET)&amp;12
&amp;10SUMMARY
as at JULY 1994","",FALSE,FALSE,FALSE,FALSE,1,75,#N/A,#N/A,"=R8C5:R38C82","=C1:C4,R4:R7",#N/A,#N/A,FALSE,FALSE,TRUE,9,65532,65532,FALSE,FALSE,TRUE,TRUE,TRUE}</definedName>
    <definedName name="wvu.Profit._.and._.Loss." localSheetId="5" hidden="1">{TRUE,TRUE,-1.25,-15.5,604.5,343.5,FALSE,TRUE,TRUE,TRUE,0,1,#N/A,1,#N/A,12.3392857142857,30.7692307692308,1,FALSE,FALSE,3,TRUE,1,FALSE,75,"Swvu.Profit._.and._.Loss.","ACwvu.Profit._.and._.Loss.",#N/A,FALSE,FALSE,0.748031496062992,0.748031496062992,1.10236220472441,0.984251968503937,2,"&amp;C&amp;""Arial,Bold""&amp;12KENSINGTON BANKS
&amp;11PROFIT &amp; LOSS for EXPENSES (BUDGET)&amp;12
&amp;10SUMMARY
as at JULY 1994","",FALSE,FALSE,FALSE,FALSE,1,75,#N/A,#N/A,"=R8C5:R38C82","=C1:C4,R4:R7",#N/A,#N/A,FALSE,FALSE,TRUE,9,65532,65532,FALSE,FALSE,TRUE,TRUE,TRUE}</definedName>
    <definedName name="wvu.Profit._.and._.Loss." hidden="1">{TRUE,TRUE,-1.25,-15.5,604.5,343.5,FALSE,TRUE,TRUE,TRUE,0,1,#N/A,1,#N/A,12.3392857142857,30.7692307692308,1,FALSE,FALSE,3,TRUE,1,FALSE,75,"Swvu.Profit._.and._.Loss.","ACwvu.Profit._.and._.Loss.",#N/A,FALSE,FALSE,0.748031496062992,0.748031496062992,1.10236220472441,0.984251968503937,2,"&amp;C&amp;""Arial,Bold""&amp;12KENSINGTON BANKS
&amp;11PROFIT &amp; LOSS for EXPENSES (BUDGET)&amp;12
&amp;10SUMMARY
as at JULY 1994","",FALSE,FALSE,FALSE,FALSE,1,75,#N/A,#N/A,"=R8C5:R38C82","=C1:C4,R4:R7",#N/A,#N/A,FALSE,FALSE,TRUE,9,65532,65532,FALSE,FALSE,TRUE,TRUE,TRUE}</definedName>
    <definedName name="wvu.Summary._.Sheet." localSheetId="25" hidden="1">{TRUE,TRUE,-1.25,-15.5,604.5,343.5,FALSE,TRUE,TRUE,TRUE,0,1,#N/A,1,#N/A,14.8571428571429,30.7692307692308,1,FALSE,FALSE,3,TRUE,1,FALSE,75,"Swvu.Summary._.Sheet.","ACwvu.Summary._.Sheet.",#N/A,FALSE,FALSE,0.748031496062992,0.748031496062992,0.984251968503937,0.984251968503937,2,"&amp;C&amp;""Arial,Bold""&amp;12KENSINGTON BANKS
&amp;11PROFIT &amp; LOSS
&amp;10SUMMARY (Actual vs Budget)","",TRUE,FALSE,FALSE,FALSE,1,#N/A,1,1,"=R3C1:R47C21",FALSE,#N/A,#N/A,FALSE,FALSE,FALSE,9,65532,65532,FALSE,FALSE,TRUE,TRUE,TRUE}</definedName>
    <definedName name="wvu.Summary._.Sheet." localSheetId="5" hidden="1">{TRUE,TRUE,-1.25,-15.5,604.5,343.5,FALSE,TRUE,TRUE,TRUE,0,1,#N/A,1,#N/A,14.8571428571429,30.7692307692308,1,FALSE,FALSE,3,TRUE,1,FALSE,75,"Swvu.Summary._.Sheet.","ACwvu.Summary._.Sheet.",#N/A,FALSE,FALSE,0.748031496062992,0.748031496062992,0.984251968503937,0.984251968503937,2,"&amp;C&amp;""Arial,Bold""&amp;12KENSINGTON BANKS
&amp;11PROFIT &amp; LOSS
&amp;10SUMMARY (Actual vs Budget)","",TRUE,FALSE,FALSE,FALSE,1,#N/A,1,1,"=R3C1:R47C21",FALSE,#N/A,#N/A,FALSE,FALSE,FALSE,9,65532,65532,FALSE,FALSE,TRUE,TRUE,TRUE}</definedName>
    <definedName name="wvu.Summary._.Sheet." hidden="1">{TRUE,TRUE,-1.25,-15.5,604.5,343.5,FALSE,TRUE,TRUE,TRUE,0,1,#N/A,1,#N/A,14.8571428571429,30.7692307692308,1,FALSE,FALSE,3,TRUE,1,FALSE,75,"Swvu.Summary._.Sheet.","ACwvu.Summary._.Sheet.",#N/A,FALSE,FALSE,0.748031496062992,0.748031496062992,0.984251968503937,0.984251968503937,2,"&amp;C&amp;""Arial,Bold""&amp;12KENSINGTON BANKS
&amp;11PROFIT &amp; LOSS
&amp;10SUMMARY (Actual vs Budget)","",TRUE,FALSE,FALSE,FALSE,1,#N/A,1,1,"=R3C1:R47C21",FALSE,#N/A,#N/A,FALSE,FALSE,FALSE,9,65532,65532,FALSE,FALSE,TRUE,TRUE,TRUE}</definedName>
    <definedName name="wvu.summary1." localSheetId="2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#REF!</definedName>
    <definedName name="wwc" localSheetId="0" hidden="1">{"VIEW1",#N/A,FALSE,"P&amp;L Account 2001-2002";"VIEW2",#N/A,FALSE,"P&amp;L Account 2001-2002";"VIEW3",#N/A,FALSE,"P&amp;L Account 2001-2002";"VIEW4",#N/A,FALSE,"P&amp;L Account 2001-2002"}</definedName>
    <definedName name="wwc" hidden="1">{"VIEW1",#N/A,FALSE,"P&amp;L Account 2001-2002";"VIEW2",#N/A,FALSE,"P&amp;L Account 2001-2002";"VIEW3",#N/A,FALSE,"P&amp;L Account 2001-2002";"VIEW4",#N/A,FALSE,"P&amp;L Account 2001-2002"}</definedName>
    <definedName name="www" localSheetId="2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ww" localSheetId="0">#REF!</definedName>
    <definedName name="www"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ww"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www" localSheetId="0">#REF!</definedName>
    <definedName name="wwww" hidden="1">#REF!</definedName>
    <definedName name="X" localSheetId="0" hidden="1">#REF!</definedName>
    <definedName name="X" hidden="1">#REF!</definedName>
    <definedName name="X_">#REF!</definedName>
    <definedName name="X1_" localSheetId="11">#REF!</definedName>
    <definedName name="X1_" localSheetId="13">#REF!</definedName>
    <definedName name="X1_" localSheetId="14">#REF!</definedName>
    <definedName name="X1_" localSheetId="40">#REF!</definedName>
    <definedName name="X1_" localSheetId="41">#REF!</definedName>
    <definedName name="X1_" localSheetId="60">#REF!</definedName>
    <definedName name="X1_" localSheetId="61">#REF!</definedName>
    <definedName name="X1_" localSheetId="62">#REF!</definedName>
    <definedName name="X1_" localSheetId="63">#REF!</definedName>
    <definedName name="X1_" localSheetId="64">#REF!</definedName>
    <definedName name="X1_" localSheetId="16">#REF!</definedName>
    <definedName name="X1_" localSheetId="17">#REF!</definedName>
    <definedName name="X1_" localSheetId="65">#REF!</definedName>
    <definedName name="X1_" localSheetId="26">#REF!</definedName>
    <definedName name="X1_" localSheetId="32">#REF!</definedName>
    <definedName name="X1_" localSheetId="33">#REF!</definedName>
    <definedName name="X1_" localSheetId="34">#REF!</definedName>
    <definedName name="X1_" localSheetId="35">#REF!</definedName>
    <definedName name="X1_">#REF!</definedName>
    <definedName name="X11__?___QUIT_" localSheetId="11">#REF!</definedName>
    <definedName name="X11__?___QUIT_" localSheetId="13">#REF!</definedName>
    <definedName name="X11__?___QUIT_" localSheetId="16">#REF!</definedName>
    <definedName name="X11__?___QUIT_" localSheetId="26">#REF!</definedName>
    <definedName name="X11__?___QUIT_" localSheetId="32">#REF!</definedName>
    <definedName name="X11__?___QUIT_" localSheetId="33">#REF!</definedName>
    <definedName name="X11__?___QUIT_" localSheetId="34">#REF!</definedName>
    <definedName name="X11__?___QUIT_" localSheetId="35">#REF!</definedName>
    <definedName name="X11__?___QUIT_">#REF!</definedName>
    <definedName name="xcc" localSheetId="25" hidden="1">{"a1",#N/A,FALSE,"Interest On Security Deposi (2)";"a2",#N/A,FALSE,"Interest On Security Deposi (2)"}</definedName>
    <definedName name="xcc" localSheetId="5" hidden="1">{"a1",#N/A,FALSE,"Interest On Security Deposi (2)";"a2",#N/A,FALSE,"Interest On Security Deposi (2)"}</definedName>
    <definedName name="xcc" hidden="1">{"a1",#N/A,FALSE,"Interest On Security Deposi (2)";"a2",#N/A,FALSE,"Interest On Security Deposi (2)"}</definedName>
    <definedName name="xcxcxcc">#REF!</definedName>
    <definedName name="xcxvxv" localSheetId="0">#REF!</definedName>
    <definedName name="xcxvxv">#REF!</definedName>
    <definedName name="xczczczc">#REF!</definedName>
    <definedName name="xczxzxz">#REF!,#REF!</definedName>
    <definedName name="xddad" hidden="1">{#N/A,#N/A,FALSE,"SUMMARY REPORT"}</definedName>
    <definedName name="xdqCQ"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xdqCQ"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xdqCQ"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XDS" localSheetId="0" hidden="1">{"VIEW1",#N/A,FALSE,"P&amp;L Account 2001-2002";"VIEW2",#N/A,FALSE,"P&amp;L Account 2001-2002";"VIEW3",#N/A,FALSE,"P&amp;L Account 2001-2002";"VIEW4",#N/A,FALSE,"P&amp;L Account 2001-2002"}</definedName>
    <definedName name="XDS" hidden="1">{"VIEW1",#N/A,FALSE,"P&amp;L Account 2001-2002";"VIEW2",#N/A,FALSE,"P&amp;L Account 2001-2002";"VIEW3",#N/A,FALSE,"P&amp;L Account 2001-2002";"VIEW4",#N/A,FALSE,"P&amp;L Account 2001-2002"}</definedName>
    <definedName name="xfx">#REF!</definedName>
    <definedName name="xfzdsfzsf">#REF!</definedName>
    <definedName name="xitem">#REF!</definedName>
    <definedName name="xls">#REF!</definedName>
    <definedName name="xoe">#REF!</definedName>
    <definedName name="xpqa" hidden="1">{#N/A,#N/A,FALSE,"SUMMARY REPORT"}</definedName>
    <definedName name="xpr">#REF!</definedName>
    <definedName name="XRef" hidden="1">#REF!</definedName>
    <definedName name="XREF_11" hidden="1">#REF!</definedName>
    <definedName name="XREF_13" hidden="1">#REF!</definedName>
    <definedName name="xref_co" hidden="1">#REF!</definedName>
    <definedName name="XREF_COLUMN_1" localSheetId="0" hidden="1">#REF!</definedName>
    <definedName name="XREF_COLUMN_1" hidden="1">#REF!</definedName>
    <definedName name="XREF_COLUMN_10" hidden="1">#REF!</definedName>
    <definedName name="XREF_COLUMN_100" localSheetId="0" hidden="1">#REF!</definedName>
    <definedName name="XREF_COLUMN_100" hidden="1">#REF!</definedName>
    <definedName name="XREF_COLUMN_101" localSheetId="0" hidden="1">#REF!</definedName>
    <definedName name="XREF_COLUMN_101" hidden="1">#REF!</definedName>
    <definedName name="XREF_COLUMN_102" localSheetId="0" hidden="1">#REF!</definedName>
    <definedName name="XREF_COLUMN_102" hidden="1">#REF!</definedName>
    <definedName name="XREF_COLUMN_103" localSheetId="0" hidden="1">#REF!</definedName>
    <definedName name="XREF_COLUMN_103" hidden="1">#REF!</definedName>
    <definedName name="XREF_COLUMN_104" localSheetId="0" hidden="1">#REF!</definedName>
    <definedName name="XREF_COLUMN_104" hidden="1">#REF!</definedName>
    <definedName name="XREF_COLUMN_105" localSheetId="0" hidden="1">#REF!</definedName>
    <definedName name="XREF_COLUMN_105" hidden="1">#REF!</definedName>
    <definedName name="XREF_COLUMN_106" localSheetId="0" hidden="1">#REF!</definedName>
    <definedName name="XREF_COLUMN_106" hidden="1">#REF!</definedName>
    <definedName name="XREF_COLUMN_107" localSheetId="0" hidden="1">#REF!</definedName>
    <definedName name="XREF_COLUMN_107" hidden="1">#REF!</definedName>
    <definedName name="XREF_COLUMN_108" localSheetId="0" hidden="1">#REF!</definedName>
    <definedName name="XREF_COLUMN_108" hidden="1">#REF!</definedName>
    <definedName name="XREF_COLUMN_109" localSheetId="0" hidden="1">#REF!</definedName>
    <definedName name="XREF_COLUMN_109" hidden="1">#REF!</definedName>
    <definedName name="XREF_COLUMN_11" hidden="1">#REF!</definedName>
    <definedName name="XREF_COLUMN_110" localSheetId="0" hidden="1">#REF!</definedName>
    <definedName name="XREF_COLUMN_110" hidden="1">#REF!</definedName>
    <definedName name="XREF_COLUMN_111" localSheetId="0" hidden="1">#REF!</definedName>
    <definedName name="XREF_COLUMN_111" hidden="1">#REF!</definedName>
    <definedName name="XREF_COLUMN_112" localSheetId="0" hidden="1">#REF!</definedName>
    <definedName name="XREF_COLUMN_112" hidden="1">#REF!</definedName>
    <definedName name="XREF_COLUMN_113" localSheetId="0" hidden="1">#REF!</definedName>
    <definedName name="XREF_COLUMN_113" hidden="1">#REF!</definedName>
    <definedName name="XREF_COLUMN_114" localSheetId="0" hidden="1">#REF!</definedName>
    <definedName name="XREF_COLUMN_114" hidden="1">#REF!</definedName>
    <definedName name="XREF_COLUMN_115" localSheetId="0" hidden="1">#REF!</definedName>
    <definedName name="XREF_COLUMN_115" hidden="1">#REF!</definedName>
    <definedName name="XREF_COLUMN_116" localSheetId="0" hidden="1">#REF!</definedName>
    <definedName name="XREF_COLUMN_116" hidden="1">#REF!</definedName>
    <definedName name="XREF_COLUMN_117" localSheetId="0" hidden="1">#REF!</definedName>
    <definedName name="XREF_COLUMN_117" hidden="1">#REF!</definedName>
    <definedName name="XREF_COLUMN_118" localSheetId="0" hidden="1">#REF!</definedName>
    <definedName name="XREF_COLUMN_118" hidden="1">#REF!</definedName>
    <definedName name="XREF_COLUMN_119" localSheetId="0" hidden="1">#REF!</definedName>
    <definedName name="XREF_COLUMN_119" hidden="1">#REF!</definedName>
    <definedName name="XREF_COLUMN_12" localSheetId="0" hidden="1">#REF!</definedName>
    <definedName name="XREF_COLUMN_12" hidden="1">#REF!</definedName>
    <definedName name="XREF_COLUMN_121" localSheetId="0" hidden="1">#REF!</definedName>
    <definedName name="XREF_COLUMN_121" hidden="1">#REF!</definedName>
    <definedName name="XREF_COLUMN_122" localSheetId="0" hidden="1">#REF!</definedName>
    <definedName name="XREF_COLUMN_122" hidden="1">#REF!</definedName>
    <definedName name="XREF_COLUMN_123" localSheetId="0" hidden="1">#REF!</definedName>
    <definedName name="XREF_COLUMN_123" hidden="1">#REF!</definedName>
    <definedName name="XREF_COLUMN_124" localSheetId="0" hidden="1">#REF!</definedName>
    <definedName name="XREF_COLUMN_124" hidden="1">#REF!</definedName>
    <definedName name="XREF_COLUMN_125" localSheetId="0" hidden="1">#REF!</definedName>
    <definedName name="XREF_COLUMN_125" hidden="1">#REF!</definedName>
    <definedName name="XREF_COLUMN_126" localSheetId="0" hidden="1">#REF!</definedName>
    <definedName name="XREF_COLUMN_126" hidden="1">#REF!</definedName>
    <definedName name="XREF_COLUMN_127" localSheetId="0" hidden="1">#REF!</definedName>
    <definedName name="XREF_COLUMN_127" hidden="1">#REF!</definedName>
    <definedName name="XREF_COLUMN_128" localSheetId="0" hidden="1">#REF!</definedName>
    <definedName name="XREF_COLUMN_128" hidden="1">#REF!</definedName>
    <definedName name="XREF_COLUMN_129" localSheetId="0" hidden="1">#REF!</definedName>
    <definedName name="XREF_COLUMN_129" hidden="1">#REF!</definedName>
    <definedName name="XREF_COLUMN_13" hidden="1">#REF!</definedName>
    <definedName name="XREF_COLUMN_130" localSheetId="0" hidden="1">#REF!</definedName>
    <definedName name="XREF_COLUMN_130" hidden="1">#REF!</definedName>
    <definedName name="XREF_COLUMN_131" localSheetId="0" hidden="1">#REF!</definedName>
    <definedName name="XREF_COLUMN_131" hidden="1">#REF!</definedName>
    <definedName name="XREF_COLUMN_132" localSheetId="0" hidden="1">#REF!</definedName>
    <definedName name="XREF_COLUMN_132"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localSheetId="0"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#REF!</definedName>
    <definedName name="XREF_COLUMN_38" hidden="1">#REF!</definedName>
    <definedName name="XREF_COLUMN_4" hidden="1">#REF!</definedName>
    <definedName name="XREF_COLUMN_40" hidden="1">#REF!</definedName>
    <definedName name="XREF_COLUMN_41" localSheetId="0" hidden="1">#REF!</definedName>
    <definedName name="XREF_COLUMN_41" hidden="1">#REF!</definedName>
    <definedName name="XREF_COLUMN_5" localSheetId="0" hidden="1">#REF!</definedName>
    <definedName name="XREF_COLUMN_5" hidden="1">#REF!</definedName>
    <definedName name="XREF_COLUMN_51" hidden="1">#REF!</definedName>
    <definedName name="XREF_COLUMN_54" hidden="1">#REF!</definedName>
    <definedName name="XREF_COLUMN_6" hidden="1">#REF!</definedName>
    <definedName name="XREF_COLUMN_61" hidden="1">#REF!</definedName>
    <definedName name="XREF_COLUMN_64" hidden="1">#REF!</definedName>
    <definedName name="XREF_COLUMN_65" hidden="1">#REF!</definedName>
    <definedName name="XREF_COLUMN_66" localSheetId="0" hidden="1">#REF!</definedName>
    <definedName name="XREF_COLUMN_66" hidden="1">#REF!</definedName>
    <definedName name="XREF_COLUMN_67" localSheetId="0" hidden="1">#REF!</definedName>
    <definedName name="XREF_COLUMN_67" hidden="1">#REF!</definedName>
    <definedName name="XREF_COLUMN_68" localSheetId="0" hidden="1">#REF!</definedName>
    <definedName name="XREF_COLUMN_68" hidden="1">#REF!</definedName>
    <definedName name="XREF_COLUMN_69" localSheetId="0" hidden="1">#REF!</definedName>
    <definedName name="XREF_COLUMN_69" hidden="1">#REF!</definedName>
    <definedName name="XREF_COLUMN_7" hidden="1">#REF!</definedName>
    <definedName name="XREF_COLUMN_70" hidden="1">#REF!</definedName>
    <definedName name="XREF_COLUMN_71" localSheetId="0" hidden="1">#REF!</definedName>
    <definedName name="XREF_COLUMN_71" hidden="1">#REF!</definedName>
    <definedName name="XREF_COLUMN_72" localSheetId="0" hidden="1">#REF!</definedName>
    <definedName name="XREF_COLUMN_72" hidden="1">#REF!</definedName>
    <definedName name="XREF_COLUMN_73" localSheetId="0" hidden="1">#REF!</definedName>
    <definedName name="XREF_COLUMN_73" hidden="1">#REF!</definedName>
    <definedName name="XREF_COLUMN_74" localSheetId="0" hidden="1">#REF!</definedName>
    <definedName name="XREF_COLUMN_74" hidden="1">#REF!</definedName>
    <definedName name="XREF_COLUMN_75" localSheetId="0" hidden="1">#REF!</definedName>
    <definedName name="XREF_COLUMN_75" hidden="1">#REF!</definedName>
    <definedName name="XREF_COLUMN_77" localSheetId="0" hidden="1">#REF!</definedName>
    <definedName name="XREF_COLUMN_77" hidden="1">#REF!</definedName>
    <definedName name="XREF_COLUMN_78" localSheetId="0" hidden="1">#REF!</definedName>
    <definedName name="XREF_COLUMN_78" hidden="1">#REF!</definedName>
    <definedName name="XREF_COLUMN_79" localSheetId="0" hidden="1">#REF!</definedName>
    <definedName name="XREF_COLUMN_79" hidden="1">#REF!</definedName>
    <definedName name="XREF_COLUMN_8" hidden="1">#REF!</definedName>
    <definedName name="XREF_COLUMN_80" localSheetId="0" hidden="1">#REF!</definedName>
    <definedName name="XREF_COLUMN_80" hidden="1">#REF!</definedName>
    <definedName name="XREF_COLUMN_81" localSheetId="0" hidden="1">#REF!</definedName>
    <definedName name="XREF_COLUMN_81" hidden="1">#REF!</definedName>
    <definedName name="XREF_COLUMN_82" localSheetId="0" hidden="1">#REF!</definedName>
    <definedName name="XREF_COLUMN_82" hidden="1">#REF!</definedName>
    <definedName name="XREF_COLUMN_83" localSheetId="0" hidden="1">#REF!</definedName>
    <definedName name="XREF_COLUMN_83" hidden="1">#REF!</definedName>
    <definedName name="XREF_COLUMN_84" localSheetId="0" hidden="1">#REF!</definedName>
    <definedName name="XREF_COLUMN_84" hidden="1">#REF!</definedName>
    <definedName name="XREF_COLUMN_85" hidden="1">#REF!</definedName>
    <definedName name="XREF_COLUMN_86" localSheetId="0" hidden="1">#REF!</definedName>
    <definedName name="XREF_COLUMN_86" hidden="1">#REF!</definedName>
    <definedName name="XREF_COLUMN_87" localSheetId="0" hidden="1">#REF!</definedName>
    <definedName name="XREF_COLUMN_87" hidden="1">#REF!</definedName>
    <definedName name="XREF_COLUMN_88" localSheetId="0" hidden="1">#REF!</definedName>
    <definedName name="XREF_COLUMN_88" hidden="1">#REF!</definedName>
    <definedName name="XREF_COLUMN_89" localSheetId="0" hidden="1">#REF!</definedName>
    <definedName name="XREF_COLUMN_89" hidden="1">#REF!</definedName>
    <definedName name="XREF_COLUMN_9" hidden="1">#REF!</definedName>
    <definedName name="XREF_COLUMN_90" localSheetId="0" hidden="1">#REF!</definedName>
    <definedName name="XREF_COLUMN_90" hidden="1">#REF!</definedName>
    <definedName name="XREF_COLUMN_91" localSheetId="0" hidden="1">#REF!</definedName>
    <definedName name="XREF_COLUMN_91" hidden="1">#REF!</definedName>
    <definedName name="XREF_COLUMN_92" localSheetId="0" hidden="1">#REF!</definedName>
    <definedName name="XREF_COLUMN_92" hidden="1">#REF!</definedName>
    <definedName name="XREF_COLUMN_93" localSheetId="0" hidden="1">#REF!</definedName>
    <definedName name="XREF_COLUMN_93" hidden="1">#REF!</definedName>
    <definedName name="XREF_COLUMN_94" localSheetId="0" hidden="1">#REF!</definedName>
    <definedName name="XREF_COLUMN_94" hidden="1">#REF!</definedName>
    <definedName name="XREF_COLUMN_95" localSheetId="0" hidden="1">#REF!</definedName>
    <definedName name="XREF_COLUMN_95" hidden="1">#REF!</definedName>
    <definedName name="XREF_COLUMN_96" localSheetId="0" hidden="1">#REF!</definedName>
    <definedName name="XREF_COLUMN_96" hidden="1">#REF!</definedName>
    <definedName name="XREF_COLUMN_97" localSheetId="0" hidden="1">#REF!</definedName>
    <definedName name="XREF_COLUMN_97" hidden="1">#REF!</definedName>
    <definedName name="XREF_COLUMN_98" localSheetId="0" hidden="1">#REF!</definedName>
    <definedName name="XREF_COLUMN_98" hidden="1">#REF!</definedName>
    <definedName name="XREF_COLUMN_99" localSheetId="0" hidden="1">#REF!</definedName>
    <definedName name="XREF_COLUMN_99" hidden="1">#REF!</definedName>
    <definedName name="XREF_COLUMN_N" hidden="1">#REF!</definedName>
    <definedName name="XREF11" hidden="1">#REF!</definedName>
    <definedName name="XREF12" hidden="1">#REF!</definedName>
    <definedName name="XREF15" hidden="1">#REF!</definedName>
    <definedName name="XREF17" hidden="1">#REF!</definedName>
    <definedName name="XREF21" hidden="1">#REF!</definedName>
    <definedName name="XRefActiveRow" hidden="1">#REF!</definedName>
    <definedName name="XRefColumnsCount" localSheetId="0" hidden="1">12</definedName>
    <definedName name="XRefColumnsCount" hidden="1">14</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localSheetId="0"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localSheetId="0"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 hidden="1">#REF!</definedName>
    <definedName name="XRefCopy133Row" localSheetId="0" hidden="1">#REF!</definedName>
    <definedName name="XRefCopy133Row"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Row" hidden="1">#REF!</definedName>
    <definedName name="XRefCopy14Row" hidden="1">#REF!</definedName>
    <definedName name="XRefCopy15" hidden="1">#REF!</definedName>
    <definedName name="XRefCopy150" localSheetId="0"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localSheetId="0" hidden="1">#REF!</definedName>
    <definedName name="XRefCopy160" hidden="1">#REF!</definedName>
    <definedName name="XRefCopy160Row" hidden="1">#REF!</definedName>
    <definedName name="XRefCopy161" localSheetId="0" hidden="1">#REF!</definedName>
    <definedName name="XRefCopy161" hidden="1">#REF!</definedName>
    <definedName name="XRefCopy161Row" hidden="1">#REF!</definedName>
    <definedName name="XRefCopy162" localSheetId="0"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localSheetId="0" hidden="1">#REF!</definedName>
    <definedName name="XRefCopy166" hidden="1">#REF!</definedName>
    <definedName name="XRefCopy166Row" hidden="1">#REF!</definedName>
    <definedName name="XRefCopy167" localSheetId="0"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localSheetId="0" hidden="1">#REF!</definedName>
    <definedName name="XRefCopy177" hidden="1">#REF!</definedName>
    <definedName name="XRefCopy177Row" hidden="1">#REF!</definedName>
    <definedName name="XRefCopy178" localSheetId="0" hidden="1">#REF!</definedName>
    <definedName name="XRefCopy178" hidden="1">#REF!</definedName>
    <definedName name="XRefCopy178Row" hidden="1">#REF!</definedName>
    <definedName name="XRefCopy179" localSheetId="0"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localSheetId="0"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5" hidden="1">#REF!</definedName>
    <definedName name="XRefCopy205Row" hidden="1">#REF!</definedName>
    <definedName name="XRefCopy207" hidden="1">#REF!</definedName>
    <definedName name="XRefCopy207Row" hidden="1">#REF!</definedName>
    <definedName name="XRefCopy208" hidden="1">#REF!</definedName>
    <definedName name="XRefCopy209"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3Row"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8" hidden="1">#REF!</definedName>
    <definedName name="XRefCopy228Row" hidden="1">#REF!</definedName>
    <definedName name="XRefCopy229Row" hidden="1">#REF!</definedName>
    <definedName name="XRefCopy22Row" localSheetId="0" hidden="1">#REF!</definedName>
    <definedName name="XRefCopy22Row" hidden="1">#REF!</definedName>
    <definedName name="XRefCopy23" localSheetId="0" hidden="1">#REF!</definedName>
    <definedName name="XRefCopy23" hidden="1">#REF!</definedName>
    <definedName name="XRefCopy230" hidden="1">#REF!</definedName>
    <definedName name="XRefCopy230Row" hidden="1">#REF!</definedName>
    <definedName name="XRefCopy23Row" localSheetId="0" hidden="1">#REF!</definedName>
    <definedName name="XRefCopy23Row" hidden="1">#REF!</definedName>
    <definedName name="XRefCopy24" hidden="1">#REF!</definedName>
    <definedName name="XRefCopy24Row" hidden="1">#REF!</definedName>
    <definedName name="XRefCopy25" localSheetId="0"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localSheetId="0" hidden="1">#REF!</definedName>
    <definedName name="XRefCopy28" hidden="1">#REF!</definedName>
    <definedName name="XRefCopy28Row" hidden="1">#REF!</definedName>
    <definedName name="XRefCopy29" localSheetId="0" hidden="1">#REF!</definedName>
    <definedName name="XRefCopy29" hidden="1">#REF!</definedName>
    <definedName name="XRefCopy29Row" localSheetId="0" hidden="1">#REF!</definedName>
    <definedName name="XRefCopy29Row" hidden="1">#REF!</definedName>
    <definedName name="XRefCopy2Row" hidden="1">#REF!</definedName>
    <definedName name="XRefCopy3" hidden="1">#REF!</definedName>
    <definedName name="XRefCopy30" localSheetId="0" hidden="1">#REF!</definedName>
    <definedName name="XRefCopy30" hidden="1">#REF!</definedName>
    <definedName name="XRefCopy30Row" hidden="1">#REF!</definedName>
    <definedName name="XRefCopy31" localSheetId="0" hidden="1">#REF!</definedName>
    <definedName name="XRefCopy31" hidden="1">#REF!</definedName>
    <definedName name="XRefCopy31Row" localSheetId="0"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localSheetId="0"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localSheetId="0"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localSheetId="0" hidden="1">#REF!</definedName>
    <definedName name="XRefCopy41Row" hidden="1">#REF!</definedName>
    <definedName name="XRefCopy42" hidden="1">#REF!</definedName>
    <definedName name="XRefCopy42Row" localSheetId="0" hidden="1">#REF!</definedName>
    <definedName name="XRefCopy42Row" hidden="1">#REF!</definedName>
    <definedName name="XRefCopy43" localSheetId="0" hidden="1">#REF!</definedName>
    <definedName name="XRefCopy43" hidden="1">#REF!</definedName>
    <definedName name="XRefCopy43Row" hidden="1">#REF!</definedName>
    <definedName name="XRefCopy44" localSheetId="0"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localSheetId="0"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localSheetId="0" hidden="1">#REF!</definedName>
    <definedName name="XRefCopy50" hidden="1">#REF!</definedName>
    <definedName name="XRefCopy50Row" hidden="1">#REF!</definedName>
    <definedName name="XRefCopy51" localSheetId="0" hidden="1">#REF!</definedName>
    <definedName name="XRefCopy51" hidden="1">#REF!</definedName>
    <definedName name="XRefCopy51Row" hidden="1">#REF!</definedName>
    <definedName name="XRefCopy52" localSheetId="0" hidden="1">#REF!</definedName>
    <definedName name="XRefCopy52" hidden="1">#REF!</definedName>
    <definedName name="XRefCopy52Row" hidden="1">#REF!</definedName>
    <definedName name="XRefCopy53" localSheetId="0" hidden="1">#REF!</definedName>
    <definedName name="XRefCopy53" hidden="1">#REF!</definedName>
    <definedName name="XRefCopy53Row" hidden="1">#REF!</definedName>
    <definedName name="XRefCopy54" hidden="1">#REF!</definedName>
    <definedName name="XRefCopy54Row" hidden="1">#REF!</definedName>
    <definedName name="XRefCopy55" localSheetId="0" hidden="1">#REF!</definedName>
    <definedName name="XRefCopy55" hidden="1">#REF!</definedName>
    <definedName name="XRefCopy55Row" hidden="1">#REF!</definedName>
    <definedName name="XRefCopy56" localSheetId="0" hidden="1">#REF!</definedName>
    <definedName name="XRefCopy56" hidden="1">#REF!</definedName>
    <definedName name="XRefCopy56Row" hidden="1">#REF!</definedName>
    <definedName name="XRefCopy57" hidden="1">#REF!</definedName>
    <definedName name="XRefCopy57Row" hidden="1">#REF!</definedName>
    <definedName name="XRefCopy58" localSheetId="0" hidden="1">#REF!</definedName>
    <definedName name="XRefCopy58" hidden="1">#REF!</definedName>
    <definedName name="XRefCopy58Row" hidden="1">#REF!</definedName>
    <definedName name="XRefCopy59" localSheetId="0"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localSheetId="0"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localSheetId="0" hidden="1">#REF!</definedName>
    <definedName name="XRefCopy78" hidden="1">#REF!</definedName>
    <definedName name="XRefCopy78Row" hidden="1">#REF!</definedName>
    <definedName name="XRefCopy79" localSheetId="0"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localSheetId="0" hidden="1">#REF!</definedName>
    <definedName name="XRefCopy85Row" hidden="1">#REF!</definedName>
    <definedName name="XRefCopy86" hidden="1">#REF!</definedName>
    <definedName name="XRefCopy86Row" localSheetId="0"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localSheetId="0" hidden="1">10</definedName>
    <definedName name="XRefCopyRangeCount" hidden="1">21</definedName>
    <definedName name="XRefPaste1" hidden="1">#REF!</definedName>
    <definedName name="XRefPaste10" hidden="1">#REF!</definedName>
    <definedName name="XRefPaste100" localSheetId="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localSheetId="0"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localSheetId="0"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localSheetId="0" hidden="1">#REF!</definedName>
    <definedName name="XRefPaste114"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 localSheetId="0" hidden="1">#REF!</definedName>
    <definedName name="XRefPaste126"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 localSheetId="0" hidden="1">#REF!</definedName>
    <definedName name="XRefPaste131"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6Row" localSheetId="0" hidden="1">#REF!</definedName>
    <definedName name="XRefPaste136Row" hidden="1">#REF!</definedName>
    <definedName name="XRefPaste137Row" hidden="1">#REF!</definedName>
    <definedName name="XRefPaste138Row" hidden="1">#REF!</definedName>
    <definedName name="XRefPaste139Row" hidden="1">#REF!</definedName>
    <definedName name="XRefPaste13Row" hidden="1">#REF!</definedName>
    <definedName name="XRefPaste14" hidden="1">#REF!</definedName>
    <definedName name="XRefPaste140Row" hidden="1">#REF!</definedName>
    <definedName name="XRefPaste141Row" hidden="1">#REF!</definedName>
    <definedName name="XRefPaste142" localSheetId="0" hidden="1">#REF!</definedName>
    <definedName name="XRefPaste142" hidden="1">#REF!</definedName>
    <definedName name="XRefPaste143" localSheetId="0" hidden="1">#REF!</definedName>
    <definedName name="XRefPaste143" hidden="1">#REF!</definedName>
    <definedName name="XRefPaste144" localSheetId="0" hidden="1">#REF!</definedName>
    <definedName name="XRefPaste14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3Row" hidden="1">#REF!</definedName>
    <definedName name="XRefPaste174Row" hidden="1">#REF!</definedName>
    <definedName name="XRefPaste175Row" hidden="1">#REF!</definedName>
    <definedName name="XRefPaste176" hidden="1">#REF!</definedName>
    <definedName name="XRefPaste176Row" hidden="1">#REF!</definedName>
    <definedName name="XRefPaste177Row" hidden="1">#REF!</definedName>
    <definedName name="XRefPaste178" localSheetId="0" hidden="1">#REF!</definedName>
    <definedName name="XRefPaste178" hidden="1">#REF!</definedName>
    <definedName name="XRefPaste178Row" hidden="1">#REF!</definedName>
    <definedName name="XRefPaste179Row" hidden="1">#REF!</definedName>
    <definedName name="XRefPaste17Row" hidden="1">#REF!</definedName>
    <definedName name="XRefPaste18" localSheetId="0" hidden="1">#REF!</definedName>
    <definedName name="XRefPaste18" hidden="1">#REF!</definedName>
    <definedName name="XRefPaste180Row" hidden="1">#REF!</definedName>
    <definedName name="XRefPaste182Row" hidden="1">#REF!</definedName>
    <definedName name="XRefPaste183Row" hidden="1">#REF!</definedName>
    <definedName name="XRefPaste184Row" hidden="1">#REF!</definedName>
    <definedName name="XRefPaste185Row" hidden="1">#REF!</definedName>
    <definedName name="XRefPaste186" localSheetId="0" hidden="1">#REF!</definedName>
    <definedName name="XRefPaste186" hidden="1">#REF!</definedName>
    <definedName name="XRefPaste186Row" hidden="1">#REF!</definedName>
    <definedName name="XRefPaste187" localSheetId="0" hidden="1">#REF!</definedName>
    <definedName name="XRefPaste187" hidden="1">#REF!</definedName>
    <definedName name="XRefPaste187Row" hidden="1">#REF!</definedName>
    <definedName name="XRefPaste188" localSheetId="0" hidden="1">#REF!</definedName>
    <definedName name="XRefPaste188" hidden="1">#REF!</definedName>
    <definedName name="XRefPaste188Row" hidden="1">#REF!</definedName>
    <definedName name="XRefPaste189" localSheetId="0" hidden="1">#REF!</definedName>
    <definedName name="XRefPaste189" hidden="1">#REF!</definedName>
    <definedName name="XRefPaste189Row" hidden="1">#REF!</definedName>
    <definedName name="XRefPaste18Row" localSheetId="0" hidden="1">#REF!</definedName>
    <definedName name="XRefPaste18Row" hidden="1">#REF!</definedName>
    <definedName name="XRefPaste19" hidden="1">#REF!</definedName>
    <definedName name="XRefPaste190" localSheetId="0" hidden="1">#REF!</definedName>
    <definedName name="XRefPaste190" hidden="1">#REF!</definedName>
    <definedName name="XRefPaste190Row" hidden="1">#REF!</definedName>
    <definedName name="XRefPaste191" localSheetId="0" hidden="1">#REF!</definedName>
    <definedName name="XRefPaste191" hidden="1">#REF!</definedName>
    <definedName name="XRefPaste191Row" hidden="1">#REF!</definedName>
    <definedName name="XRefPaste192" localSheetId="0" hidden="1">#REF!</definedName>
    <definedName name="XRefPaste192" hidden="1">#REF!</definedName>
    <definedName name="XRefPaste192Row" hidden="1">#REF!</definedName>
    <definedName name="XRefPaste193" hidden="1">#REF!</definedName>
    <definedName name="XRefPaste193Row" hidden="1">#REF!</definedName>
    <definedName name="XRefPaste194Row" hidden="1">#REF!</definedName>
    <definedName name="XRefPaste195Row" hidden="1">#REF!</definedName>
    <definedName name="XRefPaste196Row" hidden="1">#REF!</definedName>
    <definedName name="XRefPaste197Row" hidden="1">#REF!</definedName>
    <definedName name="XRefPaste198Row" hidden="1">#REF!</definedName>
    <definedName name="XRefPaste199Row" hidden="1">#REF!</definedName>
    <definedName name="XRefPaste19Row" hidden="1">#REF!</definedName>
    <definedName name="XRefPaste1Row" hidden="1">#REF!</definedName>
    <definedName name="XRefPaste2" hidden="1">#REF!</definedName>
    <definedName name="XRefPaste20" hidden="1">#REF!</definedName>
    <definedName name="XRefPaste200Row" hidden="1">#REF!</definedName>
    <definedName name="XRefPaste201Row" hidden="1">#REF!</definedName>
    <definedName name="XRefPaste202Row" hidden="1">#REF!</definedName>
    <definedName name="XRefPaste203Row" hidden="1">#REF!</definedName>
    <definedName name="XRefPaste204Row" hidden="1">#REF!</definedName>
    <definedName name="XRefPaste205Row" hidden="1">#REF!</definedName>
    <definedName name="XRefPaste206Row" hidden="1">#REF!</definedName>
    <definedName name="XRefPaste207" localSheetId="0" hidden="1">#REF!</definedName>
    <definedName name="XRefPaste207" hidden="1">#REF!</definedName>
    <definedName name="XRefPaste207Row" hidden="1">#REF!</definedName>
    <definedName name="XRefPaste208Row" hidden="1">#REF!</definedName>
    <definedName name="XRefPaste209Row" hidden="1">#REF!</definedName>
    <definedName name="XRefPaste20Row" hidden="1">#REF!</definedName>
    <definedName name="XRefPaste21" hidden="1">#REF!</definedName>
    <definedName name="XRefPaste210Row" hidden="1">#REF!</definedName>
    <definedName name="XRefPaste211" localSheetId="0" hidden="1">#REF!</definedName>
    <definedName name="XRefPaste211" hidden="1">#REF!</definedName>
    <definedName name="XRefPaste211Row" hidden="1">#REF!</definedName>
    <definedName name="XRefPaste212Row" hidden="1">#REF!</definedName>
    <definedName name="XRefPaste213Row" hidden="1">#REF!</definedName>
    <definedName name="XRefPaste214Row" hidden="1">#REF!</definedName>
    <definedName name="XRefPaste215Row" hidden="1">#REF!</definedName>
    <definedName name="XRefPaste216Row" hidden="1">#REF!</definedName>
    <definedName name="XRefPaste217Row" hidden="1">#REF!</definedName>
    <definedName name="XRefPaste218Row" hidden="1">#REF!</definedName>
    <definedName name="XRefPaste219Row" hidden="1">#REF!</definedName>
    <definedName name="XRefPaste21Row" hidden="1">#REF!</definedName>
    <definedName name="XRefPaste22" hidden="1">#REF!</definedName>
    <definedName name="XRefPaste220Row" hidden="1">#REF!</definedName>
    <definedName name="XRefPaste221Row" hidden="1">#REF!</definedName>
    <definedName name="XRefPaste222Row" hidden="1">#REF!</definedName>
    <definedName name="XRefPaste223Row" hidden="1">#REF!</definedName>
    <definedName name="XRefPaste224Row" hidden="1">#REF!</definedName>
    <definedName name="XRefPaste225Row" hidden="1">#REF!</definedName>
    <definedName name="XRefPaste226Row" hidden="1">#REF!</definedName>
    <definedName name="XRefPaste227" localSheetId="0" hidden="1">#REF!</definedName>
    <definedName name="XRefPaste227" hidden="1">#REF!</definedName>
    <definedName name="XRefPaste227Row" hidden="1">#REF!</definedName>
    <definedName name="XRefPaste228Row" hidden="1">#REF!</definedName>
    <definedName name="XRefPaste22Row" localSheetId="0" hidden="1">#REF!</definedName>
    <definedName name="XRefPaste22Row" hidden="1">#REF!</definedName>
    <definedName name="XRefPaste23" hidden="1">#REF!</definedName>
    <definedName name="XRefPaste230Row" hidden="1">#REF!</definedName>
    <definedName name="XRefPaste233Row" hidden="1">#REF!</definedName>
    <definedName name="XRefPaste234Row" hidden="1">#REF!</definedName>
    <definedName name="XRefPaste235Row" hidden="1">#REF!</definedName>
    <definedName name="XRefPaste236Row" hidden="1">#REF!</definedName>
    <definedName name="XRefPaste237Row" hidden="1">#REF!</definedName>
    <definedName name="XRefPaste238Row" hidden="1">#REF!</definedName>
    <definedName name="XRefPaste239Row" hidden="1">#REF!</definedName>
    <definedName name="XRefPaste23Row" localSheetId="0" hidden="1">#REF!</definedName>
    <definedName name="XRefPaste23Row" hidden="1">#REF!</definedName>
    <definedName name="XRefPaste24" hidden="1">#REF!</definedName>
    <definedName name="XRefPaste240Row" hidden="1">#REF!</definedName>
    <definedName name="XRefPaste241Row" hidden="1">#REF!</definedName>
    <definedName name="XRefPaste242Row" hidden="1">#REF!</definedName>
    <definedName name="XRefPaste243Row" hidden="1">#REF!</definedName>
    <definedName name="XRefPaste244Row" hidden="1">#REF!</definedName>
    <definedName name="XRefPaste245Row" hidden="1">#REF!</definedName>
    <definedName name="XRefPaste246Row" hidden="1">#REF!</definedName>
    <definedName name="XRefPaste247Row" hidden="1">#REF!</definedName>
    <definedName name="XRefPaste248Row" hidden="1">#REF!</definedName>
    <definedName name="XRefPaste24Row" hidden="1">#REF!</definedName>
    <definedName name="XRefPaste25" hidden="1">#REF!</definedName>
    <definedName name="XRefPaste25Row" localSheetId="0"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localSheetId="0"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localSheetId="0" hidden="1">#REF!</definedName>
    <definedName name="XRefPaste31" hidden="1">#REF!</definedName>
    <definedName name="XRefPaste31Row" localSheetId="0" hidden="1">#REF!</definedName>
    <definedName name="XRefPaste31Row" hidden="1">#REF!</definedName>
    <definedName name="XRefPaste32" hidden="1">#REF!</definedName>
    <definedName name="XRefPaste32Row" localSheetId="0"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localSheetId="0"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localSheetId="0"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0"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localSheetId="0" hidden="1">#REF!</definedName>
    <definedName name="XRefPaste43" hidden="1">#REF!</definedName>
    <definedName name="XRefPaste43Row" hidden="1">#REF!</definedName>
    <definedName name="XRefPaste44" localSheetId="0" hidden="1">#REF!</definedName>
    <definedName name="XRefPaste44" hidden="1">#REF!</definedName>
    <definedName name="XRefPaste44Row" hidden="1">#REF!</definedName>
    <definedName name="XRefPaste45" localSheetId="0" hidden="1">#REF!</definedName>
    <definedName name="XRefPaste45" hidden="1">#REF!</definedName>
    <definedName name="XRefPaste45Row" hidden="1">#REF!</definedName>
    <definedName name="XRefPaste46" localSheetId="0" hidden="1">#REF!</definedName>
    <definedName name="XRefPaste46" hidden="1">#REF!</definedName>
    <definedName name="XRefPaste46Row" hidden="1">#REF!</definedName>
    <definedName name="XRefPaste47" localSheetId="0"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localSheetId="0"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localSheetId="0" hidden="1">#REF!</definedName>
    <definedName name="XRefPaste54" hidden="1">#N/A</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localSheetId="0"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localSheetId="0" hidden="1">#REF!</definedName>
    <definedName name="XRefPaste75" hidden="1">#REF!</definedName>
    <definedName name="XRefPaste75Row" hidden="1">#REF!</definedName>
    <definedName name="XRefPaste76" localSheetId="0" hidden="1">#REF!</definedName>
    <definedName name="XRefPaste76" hidden="1">#REF!</definedName>
    <definedName name="XRefPaste76Row" hidden="1">#REF!</definedName>
    <definedName name="XRefPaste77" localSheetId="0" hidden="1">#REF!</definedName>
    <definedName name="XRefPaste77" hidden="1">#REF!</definedName>
    <definedName name="XRefPaste77Row" hidden="1">#REF!</definedName>
    <definedName name="XRefPaste78" localSheetId="0"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localSheetId="0" hidden="1">#REF!</definedName>
    <definedName name="XRefPaste98" hidden="1">#REF!</definedName>
    <definedName name="XRefPaste98Row" hidden="1">#REF!</definedName>
    <definedName name="XRefPaste99" localSheetId="0" hidden="1">#REF!</definedName>
    <definedName name="XRefPaste99" hidden="1">#REF!</definedName>
    <definedName name="XRefPaste99Row" hidden="1">#REF!</definedName>
    <definedName name="XRefPaste9Row" hidden="1">#REF!</definedName>
    <definedName name="XRefPasteRangeCount" localSheetId="0" hidden="1">10</definedName>
    <definedName name="XRefPasteRangeCount" hidden="1">17</definedName>
    <definedName name="xsw"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xsw"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xsw"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xsxa" localSheetId="25" hidden="1">{"'Sheet1'!$A$4386:$N$4591"}</definedName>
    <definedName name="xsxa" localSheetId="0" hidden="1">{"'Sheet1'!$A$4386:$N$4591"}</definedName>
    <definedName name="xsxa" localSheetId="5" hidden="1">{"'Sheet1'!$A$4386:$N$4591"}</definedName>
    <definedName name="xsxa" hidden="1">{"'Sheet1'!$A$4386:$N$4591"}</definedName>
    <definedName name="xta???92.?TBr13c7r41c30TBr1">#REF!</definedName>
    <definedName name="xta92??.?TBr23c13r23c36TBr13">#REF!</definedName>
    <definedName name="xta92경전.서TBr23c13r23c36TBr13">#REF!</definedName>
    <definedName name="xta경영계92.서TBr13c7r41c30TBr1">#REF!</definedName>
    <definedName name="xud">#REF!</definedName>
    <definedName name="xunits">#REF!</definedName>
    <definedName name="xx" hidden="1">#REF!</definedName>
    <definedName name="xxnn" localSheetId="25" hidden="1">{#N/A,#N/A,FALSE,"Balance Sheets";#N/A,#N/A,FALSE,"96 Conservative";#N/A,#N/A,FALSE,"96 Possible"}</definedName>
    <definedName name="xxnn" localSheetId="0" hidden="1">{#N/A,#N/A,FALSE,"Balance Sheets";#N/A,#N/A,FALSE,"96 Conservative";#N/A,#N/A,FALSE,"96 Possible"}</definedName>
    <definedName name="xxnn" localSheetId="5" hidden="1">{#N/A,#N/A,FALSE,"Balance Sheets";#N/A,#N/A,FALSE,"96 Conservative";#N/A,#N/A,FALSE,"96 Possible"}</definedName>
    <definedName name="xxnn" hidden="1">{#N/A,#N/A,FALSE,"Balance Sheets";#N/A,#N/A,FALSE,"96 Conservative";#N/A,#N/A,FALSE,"96 Possible"}</definedName>
    <definedName name="xxx" localSheetId="0" hidden="1">#REF!</definedName>
    <definedName name="xxx" hidden="1">#REF!</definedName>
    <definedName name="xxxx" localSheetId="0" hidden="1">#REF!</definedName>
    <definedName name="xxxx" localSheetId="11" hidden="1">#REF!</definedName>
    <definedName name="xxxx" localSheetId="13" hidden="1">#REF!</definedName>
    <definedName name="xxxx" localSheetId="16" hidden="1">#REF!</definedName>
    <definedName name="xxxx" localSheetId="26" hidden="1">#REF!</definedName>
    <definedName name="xxxx" localSheetId="32" hidden="1">#REF!</definedName>
    <definedName name="xxxx" localSheetId="33" hidden="1">#REF!</definedName>
    <definedName name="xxxx" localSheetId="34" hidden="1">#REF!</definedName>
    <definedName name="xxxx" localSheetId="35" hidden="1">#REF!</definedName>
    <definedName name="xxxx" hidden="1">#REF!</definedName>
    <definedName name="xy" localSheetId="25" hidden="1">{"'Sheet1'!$L$16"}</definedName>
    <definedName name="xy" localSheetId="0">#REF!</definedName>
    <definedName name="xy" localSheetId="5" hidden="1">{"'Sheet1'!$L$16"}</definedName>
    <definedName name="xy" hidden="1">{"'Sheet1'!$L$16"}</definedName>
    <definedName name="xyz" localSheetId="25" hidden="1">{#N/A,#N/A,FALSE,"Balance Sheets";#N/A,#N/A,FALSE,"96 Conservative";#N/A,#N/A,FALSE,"96 Possible"}</definedName>
    <definedName name="xyz" localSheetId="5" hidden="1">{#N/A,#N/A,FALSE,"Balance Sheets";#N/A,#N/A,FALSE,"96 Conservative";#N/A,#N/A,FALSE,"96 Possible"}</definedName>
    <definedName name="xyz" hidden="1">{#N/A,#N/A,FALSE,"Balance Sheets";#N/A,#N/A,FALSE,"96 Conservative";#N/A,#N/A,FALSE,"96 Possible"}</definedName>
    <definedName name="xz" localSheetId="25" hidden="1">{#N/A,#N/A,TRUE,"Front";#N/A,#N/A,TRUE,"Simple Letter";#N/A,#N/A,TRUE,"Inside";#N/A,#N/A,TRUE,"Contents";#N/A,#N/A,TRUE,"Basis";#N/A,#N/A,TRUE,"Inclusions";#N/A,#N/A,TRUE,"Exclusions";#N/A,#N/A,TRUE,"Areas";#N/A,#N/A,TRUE,"Summary";#N/A,#N/A,TRUE,"Detail"}</definedName>
    <definedName name="xz" localSheetId="0" hidden="1">{#N/A,#N/A,TRUE,"Front";#N/A,#N/A,TRUE,"Simple Letter";#N/A,#N/A,TRUE,"Inside";#N/A,#N/A,TRUE,"Contents";#N/A,#N/A,TRUE,"Basis";#N/A,#N/A,TRUE,"Inclusions";#N/A,#N/A,TRUE,"Exclusions";#N/A,#N/A,TRUE,"Areas";#N/A,#N/A,TRUE,"Summary";#N/A,#N/A,TRUE,"Detail"}</definedName>
    <definedName name="xz" localSheetId="5" hidden="1">{#N/A,#N/A,TRUE,"Front";#N/A,#N/A,TRUE,"Simple Letter";#N/A,#N/A,TRUE,"Inside";#N/A,#N/A,TRUE,"Contents";#N/A,#N/A,TRUE,"Basis";#N/A,#N/A,TRUE,"Inclusions";#N/A,#N/A,TRUE,"Exclusions";#N/A,#N/A,TRUE,"Areas";#N/A,#N/A,TRUE,"Summary";#N/A,#N/A,TRUE,"Detail"}</definedName>
    <definedName name="xz" hidden="1">{#N/A,#N/A,TRUE,"Front";#N/A,#N/A,TRUE,"Simple Letter";#N/A,#N/A,TRUE,"Inside";#N/A,#N/A,TRUE,"Contents";#N/A,#N/A,TRUE,"Basis";#N/A,#N/A,TRUE,"Inclusions";#N/A,#N/A,TRUE,"Exclusions";#N/A,#N/A,TRUE,"Areas";#N/A,#N/A,TRUE,"Summary";#N/A,#N/A,TRUE,"Detail"}</definedName>
    <definedName name="xzxzxcxc">#REF!</definedName>
    <definedName name="XZZZ" hidden="1">#REF!</definedName>
    <definedName name="Y" localSheetId="0" hidden="1">#REF!</definedName>
    <definedName name="Y" hidden="1">#REF!</definedName>
    <definedName name="y_strainer">#REF!</definedName>
    <definedName name="Y122_" localSheetId="0">#REF!</definedName>
    <definedName name="Y122_">#REF!</definedName>
    <definedName name="ye" localSheetId="0">#REF!</definedName>
    <definedName name="ye">#REF!</definedName>
    <definedName name="YEAR" localSheetId="11">#REF!</definedName>
    <definedName name="YEAR" localSheetId="13">#REF!</definedName>
    <definedName name="YEAR" localSheetId="14">#REF!</definedName>
    <definedName name="YEAR" localSheetId="40">#REF!</definedName>
    <definedName name="YEAR" localSheetId="41">#REF!</definedName>
    <definedName name="YEAR" localSheetId="60">#REF!</definedName>
    <definedName name="YEAR" localSheetId="61">#REF!</definedName>
    <definedName name="YEAR" localSheetId="62">#REF!</definedName>
    <definedName name="YEAR" localSheetId="63">#REF!</definedName>
    <definedName name="YEAR" localSheetId="64">#REF!</definedName>
    <definedName name="YEAR" localSheetId="16">#REF!</definedName>
    <definedName name="YEAR" localSheetId="17">#REF!</definedName>
    <definedName name="YEAR" localSheetId="65">#REF!</definedName>
    <definedName name="YEAR" localSheetId="26">#REF!</definedName>
    <definedName name="YEAR" localSheetId="29">#REF!</definedName>
    <definedName name="YEAR" localSheetId="31">#REF!</definedName>
    <definedName name="YEAR" localSheetId="32">#REF!</definedName>
    <definedName name="YEAR" localSheetId="33">#REF!</definedName>
    <definedName name="YEAR" localSheetId="34">#REF!</definedName>
    <definedName name="YEAR" localSheetId="35">#REF!</definedName>
    <definedName name="YEAR">#REF!</definedName>
    <definedName name="year_end">#REF!</definedName>
    <definedName name="Year_End_Core_other_asset_turns">#REF!</definedName>
    <definedName name="Year_ended_31_Dec">#REF!</definedName>
    <definedName name="year_in_future">#REF!</definedName>
    <definedName name="Year0304" localSheetId="0">#REF!</definedName>
    <definedName name="Year0304">#REF!</definedName>
    <definedName name="Year0405" localSheetId="0">#REF!</definedName>
    <definedName name="Year0405">#REF!</definedName>
    <definedName name="Year0506" localSheetId="0">#REF!</definedName>
    <definedName name="Year0506">#REF!</definedName>
    <definedName name="Year0607" localSheetId="0">#REF!</definedName>
    <definedName name="Year0607">#REF!</definedName>
    <definedName name="Year0708" localSheetId="0">#REF!</definedName>
    <definedName name="Year0708">#REF!</definedName>
    <definedName name="Year0809" localSheetId="0">#REF!</definedName>
    <definedName name="Year0809">#REF!</definedName>
    <definedName name="Year0910" localSheetId="0">#REF!</definedName>
    <definedName name="Year0910">#REF!</definedName>
    <definedName name="Year1" localSheetId="11">#REF!</definedName>
    <definedName name="Year1" localSheetId="13">#REF!</definedName>
    <definedName name="Year1" localSheetId="14">#REF!</definedName>
    <definedName name="Year1" localSheetId="40">#REF!</definedName>
    <definedName name="Year1" localSheetId="41">#REF!</definedName>
    <definedName name="Year1" localSheetId="60">#REF!</definedName>
    <definedName name="Year1" localSheetId="61">#REF!</definedName>
    <definedName name="Year1" localSheetId="62">#REF!</definedName>
    <definedName name="Year1" localSheetId="63">#REF!</definedName>
    <definedName name="Year1" localSheetId="64">#REF!</definedName>
    <definedName name="Year1" localSheetId="16">#REF!</definedName>
    <definedName name="Year1" localSheetId="17">#REF!</definedName>
    <definedName name="Year1" localSheetId="65">#REF!</definedName>
    <definedName name="Year1" localSheetId="26">#REF!</definedName>
    <definedName name="Year1" localSheetId="32">#REF!</definedName>
    <definedName name="Year1" localSheetId="33">#REF!</definedName>
    <definedName name="Year1" localSheetId="34">#REF!</definedName>
    <definedName name="Year1" localSheetId="35">#REF!</definedName>
    <definedName name="Year1">#REF!</definedName>
    <definedName name="Year1011" localSheetId="0">#REF!</definedName>
    <definedName name="Year1011">#REF!</definedName>
    <definedName name="Year1112" localSheetId="0">#REF!</definedName>
    <definedName name="Year1112">#REF!</definedName>
    <definedName name="Year1213" localSheetId="0">#REF!</definedName>
    <definedName name="Year1213">#REF!</definedName>
    <definedName name="Year1314" localSheetId="0">#REF!</definedName>
    <definedName name="Year1314">#REF!</definedName>
    <definedName name="Year1415" localSheetId="0">#REF!</definedName>
    <definedName name="Year1415">#REF!</definedName>
    <definedName name="Year1516" localSheetId="0">#REF!</definedName>
    <definedName name="Year1516">#REF!</definedName>
    <definedName name="Year1617" localSheetId="0">#REF!</definedName>
    <definedName name="Year1617">#REF!</definedName>
    <definedName name="year2">#REF!</definedName>
    <definedName name="year2011">#REF!</definedName>
    <definedName name="Years_in_full_stream">#REF!</definedName>
    <definedName name="Years_into_future">#REF!</definedName>
    <definedName name="YearStart10" localSheetId="0">#REF!</definedName>
    <definedName name="YearStart10">#REF!</definedName>
    <definedName name="YearStart2" localSheetId="0">#REF!</definedName>
    <definedName name="YearStart2">#REF!</definedName>
    <definedName name="YearStart3" localSheetId="0">#REF!</definedName>
    <definedName name="YearStart3">#REF!</definedName>
    <definedName name="YearStart4" localSheetId="0">#REF!</definedName>
    <definedName name="YearStart4">#REF!</definedName>
    <definedName name="YearStart5" localSheetId="0">#REF!</definedName>
    <definedName name="YearStart5">#REF!</definedName>
    <definedName name="YearStart6" localSheetId="0">#REF!</definedName>
    <definedName name="YearStart6">#REF!</definedName>
    <definedName name="YearStart7" localSheetId="0">#REF!</definedName>
    <definedName name="YearStart7">#REF!</definedName>
    <definedName name="YES" localSheetId="25" hidden="1">{#N/A,#N/A,TRUE,"Front";#N/A,#N/A,TRUE,"Simple Letter";#N/A,#N/A,TRUE,"Inside";#N/A,#N/A,TRUE,"Contents";#N/A,#N/A,TRUE,"Basis";#N/A,#N/A,TRUE,"Inclusions";#N/A,#N/A,TRUE,"Exclusions";#N/A,#N/A,TRUE,"Areas";#N/A,#N/A,TRUE,"Summary";#N/A,#N/A,TRUE,"Detail"}</definedName>
    <definedName name="Yes" localSheetId="0">#REF!</definedName>
    <definedName name="YES" localSheetId="5" hidden="1">{#N/A,#N/A,TRUE,"Front";#N/A,#N/A,TRUE,"Simple Letter";#N/A,#N/A,TRUE,"Inside";#N/A,#N/A,TRUE,"Contents";#N/A,#N/A,TRUE,"Basis";#N/A,#N/A,TRUE,"Inclusions";#N/A,#N/A,TRUE,"Exclusions";#N/A,#N/A,TRUE,"Areas";#N/A,#N/A,TRUE,"Summary";#N/A,#N/A,TRUE,"Detail"}</definedName>
    <definedName name="YES" hidden="1">{#N/A,#N/A,TRUE,"Front";#N/A,#N/A,TRUE,"Simple Letter";#N/A,#N/A,TRUE,"Inside";#N/A,#N/A,TRUE,"Contents";#N/A,#N/A,TRUE,"Basis";#N/A,#N/A,TRUE,"Inclusions";#N/A,#N/A,TRUE,"Exclusions";#N/A,#N/A,TRUE,"Areas";#N/A,#N/A,TRUE,"Summary";#N/A,#N/A,TRUE,"Detail"}</definedName>
    <definedName name="YesNo">#REF!</definedName>
    <definedName name="yeya" localSheetId="25" hidden="1">{#N/A,#N/A,FALSE,"PGW"}</definedName>
    <definedName name="yeya" localSheetId="5" hidden="1">{#N/A,#N/A,FALSE,"PGW"}</definedName>
    <definedName name="yeya" hidden="1">{#N/A,#N/A,FALSE,"PGW"}</definedName>
    <definedName name="YFJHGJHHGKJ" localSheetId="0" hidden="1">{"VIEW1",#N/A,FALSE,"P&amp;L Account 2001-2002";"VIEW2",#N/A,FALSE,"P&amp;L Account 2001-2002";"VIEW3",#N/A,FALSE,"P&amp;L Account 2001-2002";"VIEW4",#N/A,FALSE,"P&amp;L Account 2001-2002"}</definedName>
    <definedName name="YFJHGJHHGKJ" hidden="1">{"VIEW1",#N/A,FALSE,"P&amp;L Account 2001-2002";"VIEW2",#N/A,FALSE,"P&amp;L Account 2001-2002";"VIEW3",#N/A,FALSE,"P&amp;L Account 2001-2002";"VIEW4",#N/A,FALSE,"P&amp;L Account 2001-2002"}</definedName>
    <definedName name="ygshjshua">#REF!</definedName>
    <definedName name="yhuj" localSheetId="25" hidden="1">{#N/A,#N/A,FALSE,"Aging Summary";#N/A,#N/A,FALSE,"Ratio Analysis";#N/A,#N/A,FALSE,"Test 120 Day Accts";#N/A,#N/A,FALSE,"Tickmarks"}</definedName>
    <definedName name="yhuj" localSheetId="5" hidden="1">{#N/A,#N/A,FALSE,"Aging Summary";#N/A,#N/A,FALSE,"Ratio Analysis";#N/A,#N/A,FALSE,"Test 120 Day Accts";#N/A,#N/A,FALSE,"Tickmarks"}</definedName>
    <definedName name="yhuj" hidden="1">{#N/A,#N/A,FALSE,"Aging Summary";#N/A,#N/A,FALSE,"Ratio Analysis";#N/A,#N/A,FALSE,"Test 120 Day Accts";#N/A,#N/A,FALSE,"Tickmarks"}</definedName>
    <definedName name="yi" localSheetId="25" hidden="1">{"'Sheet1'!$L$16"}</definedName>
    <definedName name="yi" localSheetId="0" hidden="1">{"'Sheet1'!$L$16"}</definedName>
    <definedName name="yi" localSheetId="5" hidden="1">{"'Sheet1'!$L$16"}</definedName>
    <definedName name="yi" hidden="1">{"'Sheet1'!$L$16"}</definedName>
    <definedName name="YN">#REF!</definedName>
    <definedName name="yo">#REF!</definedName>
    <definedName name="YT" localSheetId="0" hidden="1">{"VIEW1",#N/A,FALSE,"P&amp;L Account 2001-2002";"VIEW2",#N/A,FALSE,"P&amp;L Account 2001-2002";"VIEW3",#N/A,FALSE,"P&amp;L Account 2001-2002";"VIEW4",#N/A,FALSE,"P&amp;L Account 2001-2002"}</definedName>
    <definedName name="YT" hidden="1">{"VIEW1",#N/A,FALSE,"P&amp;L Account 2001-2002";"VIEW2",#N/A,FALSE,"P&amp;L Account 2001-2002";"VIEW3",#N/A,FALSE,"P&amp;L Account 2001-2002";"VIEW4",#N/A,FALSE,"P&amp;L Account 2001-2002"}</definedName>
    <definedName name="YTD97">#REF!</definedName>
    <definedName name="YTPI">#REF!</definedName>
    <definedName name="YU" localSheetId="25" hidden="1">{#N/A,#N/A,TRUE,"Front";#N/A,#N/A,TRUE,"Simple Letter";#N/A,#N/A,TRUE,"Inside";#N/A,#N/A,TRUE,"Contents";#N/A,#N/A,TRUE,"Basis";#N/A,#N/A,TRUE,"Inclusions";#N/A,#N/A,TRUE,"Exclusions";#N/A,#N/A,TRUE,"Areas";#N/A,#N/A,TRUE,"Summary";#N/A,#N/A,TRUE,"Detail"}</definedName>
    <definedName name="YU" localSheetId="0" hidden="1">{#N/A,#N/A,TRUE,"Front";#N/A,#N/A,TRUE,"Simple Letter";#N/A,#N/A,TRUE,"Inside";#N/A,#N/A,TRUE,"Contents";#N/A,#N/A,TRUE,"Basis";#N/A,#N/A,TRUE,"Inclusions";#N/A,#N/A,TRUE,"Exclusions";#N/A,#N/A,TRUE,"Areas";#N/A,#N/A,TRUE,"Summary";#N/A,#N/A,TRUE,"Detail"}</definedName>
    <definedName name="YU" localSheetId="5" hidden="1">{#N/A,#N/A,TRUE,"Front";#N/A,#N/A,TRUE,"Simple Letter";#N/A,#N/A,TRUE,"Inside";#N/A,#N/A,TRUE,"Contents";#N/A,#N/A,TRUE,"Basis";#N/A,#N/A,TRUE,"Inclusions";#N/A,#N/A,TRUE,"Exclusions";#N/A,#N/A,TRUE,"Areas";#N/A,#N/A,TRUE,"Summary";#N/A,#N/A,TRUE,"Detail"}</definedName>
    <definedName name="YU" hidden="1">{#N/A,#N/A,TRUE,"Front";#N/A,#N/A,TRUE,"Simple Letter";#N/A,#N/A,TRUE,"Inside";#N/A,#N/A,TRUE,"Contents";#N/A,#N/A,TRUE,"Basis";#N/A,#N/A,TRUE,"Inclusions";#N/A,#N/A,TRUE,"Exclusions";#N/A,#N/A,TRUE,"Areas";#N/A,#N/A,TRUE,"Summary";#N/A,#N/A,TRUE,"Detail"}</definedName>
    <definedName name="yuiuy">#REF!</definedName>
    <definedName name="YV" localSheetId="0">#REF!</definedName>
    <definedName name="YV">#REF!</definedName>
    <definedName name="yy">#REF!</definedName>
    <definedName name="yyy" localSheetId="0" hidden="1">#REF!</definedName>
    <definedName name="yyy" hidden="1">#REF!</definedName>
    <definedName name="yyyy" hidden="1">#REF!</definedName>
    <definedName name="Z" localSheetId="0">#REF!</definedName>
    <definedName name="Z" hidden="1">#REF!</definedName>
    <definedName name="z\">#REF!</definedName>
    <definedName name="Z_01A4648C_C5CB_4A2A_8BE4_9224AA12CE1B_.wvu.PrintArea" hidden="1">#REF!</definedName>
    <definedName name="Z_240F6A6C_A9C0_41D3_A95C_9C9FCBE9326E_.wvu.FilterData" hidden="1">#REF!</definedName>
    <definedName name="Z_240F6A6C_A9C0_41D3_A95C_9C9FCBE9326E_.wvu.Rows" hidden="1">#REF!</definedName>
    <definedName name="Z_29D0F0EC_9D78_11D8_966D_0010DCD29A52_.wvu.FilterData" hidden="1">#REF!</definedName>
    <definedName name="Z_29D0F0EC_9D78_11D8_966D_0010DCD29A52_.wvu.Rows" hidden="1">#REF!,#REF!,#REF!,#REF!</definedName>
    <definedName name="Z_417EBF95_39F5_4317_832C_D686061EF0C9_.wvu.PrintArea" hidden="1">#REF!</definedName>
    <definedName name="Z_5EC7122A_2F1A_11D9_A08B_000129091764_.wvu.Cols" hidden="1">#REF!</definedName>
    <definedName name="Z_5EC7122A_2F1A_11D9_A08B_000129091764_.wvu.Rows" hidden="1">#REF!,#REF!</definedName>
    <definedName name="Z_746852D3_BFD6_47E8_9DA9_56CF052FA174_.wvu.Rows" hidden="1">#REF!</definedName>
    <definedName name="Z_8B146222_DE02_4DF1_B7B7_8FFB9E26167C_.wvu.PrintTitles" hidden="1">#REF!,#REF!</definedName>
    <definedName name="Z_A1337B6F_112B_4FFC_BDC7_7741C3E0D01A_.wvu.PrintArea" hidden="1">#REF!</definedName>
    <definedName name="Z_A9BCE249_7D52_4579_813A_F128E7E39160_.wvu.Cols" hidden="1">#REF!</definedName>
    <definedName name="Z_A9BCE249_7D52_4579_813A_F128E7E39160_.wvu.PrintArea" hidden="1">#REF!</definedName>
    <definedName name="Z_A9BCE249_7D52_4579_813A_F128E7E39160_.wvu.PrintTitles" hidden="1">#REF!,#REF!</definedName>
    <definedName name="Z_AF9E1B20_9461_11D4_88E3_008048920C61_.wvu.Cols" hidden="1">#REF!,#REF!,#REF!,#REF!,#REF!,#REF!,#REF!</definedName>
    <definedName name="Z_AF9E1B20_9461_11D4_88E3_008048920C61_.wvu.PrintArea" hidden="1">#REF!</definedName>
    <definedName name="Z_B22073EF_290D_4E3D_9EDF_8A40C24046EE_.wvu.PrintArea" hidden="1">#REF!</definedName>
    <definedName name="Z_B270846E_5208_11D2_9A6E_0020AFC2981D_.wvu.PrintArea" hidden="1">#REF!</definedName>
    <definedName name="Z_B270846F_5208_11D2_9A6E_0020AFC2981D_.wvu.PrintArea" hidden="1">#REF!</definedName>
    <definedName name="Z_B2708470_5208_11D2_9A6E_0020AFC2981D_.wvu.PrintArea" hidden="1">#REF!</definedName>
    <definedName name="Z_B2708483_5208_11D2_9A6E_0020AFC2981D_.wvu.PrintArea" hidden="1">#REF!</definedName>
    <definedName name="Z_B2708483_5208_11D2_9A6E_0020AFC2981D_.wvu.PrintTitles" hidden="1">#REF!,#REF!</definedName>
    <definedName name="Z_B2708484_5208_11D2_9A6E_0020AFC2981D_.wvu.PrintArea" hidden="1">#REF!</definedName>
    <definedName name="Z_B2708484_5208_11D2_9A6E_0020AFC2981D_.wvu.PrintTitles" hidden="1">#REF!,#REF!</definedName>
    <definedName name="Z_B2708485_5208_11D2_9A6E_0020AFC2981D_.wvu.PrintArea" hidden="1">#REF!</definedName>
    <definedName name="Z_B2708485_5208_11D2_9A6E_0020AFC2981D_.wvu.PrintTitles" hidden="1">#REF!,#REF!</definedName>
    <definedName name="Z_B2708486_5208_11D2_9A6E_0020AFC2981D_.wvu.PrintArea" hidden="1">#REF!</definedName>
    <definedName name="Z_B2708486_5208_11D2_9A6E_0020AFC2981D_.wvu.PrintTitles" hidden="1">#REF!,#REF!</definedName>
    <definedName name="Z_B42642A0_9DD9_11D8_B59F_0050BA8C98A5_.wvu.FilterData" hidden="1">#REF!</definedName>
    <definedName name="Z_B42642A0_9DD9_11D8_B59F_0050BA8C98A5_.wvu.Rows" hidden="1">#REF!,#REF!,#REF!,#REF!</definedName>
    <definedName name="Z_CCD7182B_F4E9_478B_99A8_ED7C75DDB697_.wvu.Rows" hidden="1">#REF!,#REF!,#REF!</definedName>
    <definedName name="Z_D76C0740_B992_11D1_B744_006008CA297A_.wvu.FilterData" hidden="1">#REF!</definedName>
    <definedName name="Z_D76C0740_B992_11D1_B744_006008CA297A_.wvu.PrintArea"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_FBD1CF78_3FBD_4E7B_B848_DD571187498D_.wvu.FilterData" hidden="1">#REF!</definedName>
    <definedName name="Z_L_I_T_E_N">#N/A</definedName>
    <definedName name="zaman" hidden="1">{"'Sheet1'!$A$5:$E$42"}</definedName>
    <definedName name="zaq" localSheetId="2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zaq"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zaq"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zbhh">#REF!</definedName>
    <definedName name="zc" localSheetId="25" hidden="1">{#N/A,#N/A,TRUE,"Front";#N/A,#N/A,TRUE,"Simple Letter";#N/A,#N/A,TRUE,"Inside";#N/A,#N/A,TRUE,"Contents";#N/A,#N/A,TRUE,"Basis";#N/A,#N/A,TRUE,"Inclusions";#N/A,#N/A,TRUE,"Exclusions";#N/A,#N/A,TRUE,"Areas";#N/A,#N/A,TRUE,"Summary";#N/A,#N/A,TRUE,"Detail"}</definedName>
    <definedName name="zc" localSheetId="0" hidden="1">{#N/A,#N/A,TRUE,"Front";#N/A,#N/A,TRUE,"Simple Letter";#N/A,#N/A,TRUE,"Inside";#N/A,#N/A,TRUE,"Contents";#N/A,#N/A,TRUE,"Basis";#N/A,#N/A,TRUE,"Inclusions";#N/A,#N/A,TRUE,"Exclusions";#N/A,#N/A,TRUE,"Areas";#N/A,#N/A,TRUE,"Summary";#N/A,#N/A,TRUE,"Detail"}</definedName>
    <definedName name="zc" localSheetId="5" hidden="1">{#N/A,#N/A,TRUE,"Front";#N/A,#N/A,TRUE,"Simple Letter";#N/A,#N/A,TRUE,"Inside";#N/A,#N/A,TRUE,"Contents";#N/A,#N/A,TRUE,"Basis";#N/A,#N/A,TRUE,"Inclusions";#N/A,#N/A,TRUE,"Exclusions";#N/A,#N/A,TRUE,"Areas";#N/A,#N/A,TRUE,"Summary";#N/A,#N/A,TRUE,"Detail"}</definedName>
    <definedName name="zc" hidden="1">{#N/A,#N/A,TRUE,"Front";#N/A,#N/A,TRUE,"Simple Letter";#N/A,#N/A,TRUE,"Inside";#N/A,#N/A,TRUE,"Contents";#N/A,#N/A,TRUE,"Basis";#N/A,#N/A,TRUE,"Inclusions";#N/A,#N/A,TRUE,"Exclusions";#N/A,#N/A,TRUE,"Areas";#N/A,#N/A,TRUE,"Summary";#N/A,#N/A,TRUE,"Detail"}</definedName>
    <definedName name="zep" localSheetId="2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ep"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ep"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ep"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fdf" hidden="1">{#N/A,#N/A,FALSE,"SUMMARY REPORT"}</definedName>
    <definedName name="zfdhtgh" localSheetId="25" hidden="1">{"multiple",#N/A,FALSE,"client";"margins",#N/A,FALSE,"client";"data",#N/A,FALSE,"client"}</definedName>
    <definedName name="zfdhtgh" localSheetId="5" hidden="1">{"multiple",#N/A,FALSE,"client";"margins",#N/A,FALSE,"client";"data",#N/A,FALSE,"client"}</definedName>
    <definedName name="zfdhtgh" hidden="1">{"multiple",#N/A,FALSE,"client";"margins",#N/A,FALSE,"client";"data",#N/A,FALSE,"client"}</definedName>
    <definedName name="Zip1" localSheetId="25" hidden="1">{#N/A,#N/A,TRUE,"Front";#N/A,#N/A,TRUE,"Simple Letter";#N/A,#N/A,TRUE,"Inside";#N/A,#N/A,TRUE,"Contents";#N/A,#N/A,TRUE,"Basis";#N/A,#N/A,TRUE,"Inclusions";#N/A,#N/A,TRUE,"Exclusions";#N/A,#N/A,TRUE,"Areas";#N/A,#N/A,TRUE,"Summary";#N/A,#N/A,TRUE,"Detail"}</definedName>
    <definedName name="Zip1" localSheetId="5" hidden="1">{#N/A,#N/A,TRUE,"Front";#N/A,#N/A,TRUE,"Simple Letter";#N/A,#N/A,TRUE,"Inside";#N/A,#N/A,TRUE,"Contents";#N/A,#N/A,TRUE,"Basis";#N/A,#N/A,TRUE,"Inclusions";#N/A,#N/A,TRUE,"Exclusions";#N/A,#N/A,TRUE,"Areas";#N/A,#N/A,TRUE,"Summary";#N/A,#N/A,TRUE,"Detail"}</definedName>
    <definedName name="Zip1" hidden="1">{#N/A,#N/A,TRUE,"Front";#N/A,#N/A,TRUE,"Simple Letter";#N/A,#N/A,TRUE,"Inside";#N/A,#N/A,TRUE,"Contents";#N/A,#N/A,TRUE,"Basis";#N/A,#N/A,TRUE,"Inclusions";#N/A,#N/A,TRUE,"Exclusions";#N/A,#N/A,TRUE,"Areas";#N/A,#N/A,TRUE,"Summary";#N/A,#N/A,TRUE,"Detail"}</definedName>
    <definedName name="zone">#REF!</definedName>
    <definedName name="zpt">#REF!</definedName>
    <definedName name="zx" localSheetId="25"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ZX" localSheetId="0">#REF!</definedName>
    <definedName name="zx" localSheetId="5"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zx"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zz" localSheetId="0">#REF!</definedName>
    <definedName name="zz" hidden="1">{"VIEW1",#N/A,FALSE,"P&amp;L Account 2001-2002";"VIEW2",#N/A,FALSE,"P&amp;L Account 2001-2002";"VIEW3",#N/A,FALSE,"P&amp;L Account 2001-2002";"VIEW4",#N/A,FALSE,"P&amp;L Account 2001-2002"}</definedName>
    <definedName name="zzxxx">#REF!,#REF!</definedName>
    <definedName name="zzzz">#REF!</definedName>
    <definedName name="zzzzzzz" hidden="1">#REF!</definedName>
    <definedName name="ㄱ" localSheetId="25" hidden="1">{#N/A,#N/A,FALSE,"Aging Summary";#N/A,#N/A,FALSE,"Ratio Analysis";#N/A,#N/A,FALSE,"Test 120 Day Accts";#N/A,#N/A,FALSE,"Tickmarks"}</definedName>
    <definedName name="ㄱ" localSheetId="5" hidden="1">{#N/A,#N/A,FALSE,"Aging Summary";#N/A,#N/A,FALSE,"Ratio Analysis";#N/A,#N/A,FALSE,"Test 120 Day Accts";#N/A,#N/A,FALSE,"Tickmarks"}</definedName>
    <definedName name="ㄱ" hidden="1">{#N/A,#N/A,FALSE,"Aging Summary";#N/A,#N/A,FALSE,"Ratio Analysis";#N/A,#N/A,FALSE,"Test 120 Day Accts";#N/A,#N/A,FALSE,"Tickmarks"}</definedName>
    <definedName name="ㄱㄱㄱ">#REF!</definedName>
    <definedName name="가미"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가미"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가미"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각"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각"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각"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간경1">#REF!</definedName>
    <definedName name="간경2">#REF!</definedName>
    <definedName name="간경3">#REF!</definedName>
    <definedName name="간경4">#REF!</definedName>
    <definedName name="간노1">#REF!</definedName>
    <definedName name="간노2">#REF!</definedName>
    <definedName name="간재">#REF!</definedName>
    <definedName name="감"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감"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감"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감가">#REF!</definedName>
    <definedName name="감가overall" localSheetId="25" hidden="1">{#N/A,#N/A,FALSE,"Aging Summary";#N/A,#N/A,FALSE,"Ratio Analysis";#N/A,#N/A,FALSE,"Test 120 Day Accts";#N/A,#N/A,FALSE,"Tickmarks"}</definedName>
    <definedName name="감가overall" localSheetId="5" hidden="1">{#N/A,#N/A,FALSE,"Aging Summary";#N/A,#N/A,FALSE,"Ratio Analysis";#N/A,#N/A,FALSE,"Test 120 Day Accts";#N/A,#N/A,FALSE,"Tickmarks"}</definedName>
    <definedName name="감가overall" hidden="1">{#N/A,#N/A,FALSE,"Aging Summary";#N/A,#N/A,FALSE,"Ratio Analysis";#N/A,#N/A,FALSE,"Test 120 Day Accts";#N/A,#N/A,FALSE,"Tickmarks"}</definedName>
    <definedName name="감가상각비2" localSheetId="25" hidden="1">{#N/A,#N/A,FALSE,"Aging Summary";#N/A,#N/A,FALSE,"Ratio Analysis";#N/A,#N/A,FALSE,"Test 120 Day Accts";#N/A,#N/A,FALSE,"Tickmarks"}</definedName>
    <definedName name="감가상각비2" localSheetId="5" hidden="1">{#N/A,#N/A,FALSE,"Aging Summary";#N/A,#N/A,FALSE,"Ratio Analysis";#N/A,#N/A,FALSE,"Test 120 Day Accts";#N/A,#N/A,FALSE,"Tickmarks"}</definedName>
    <definedName name="감가상각비2" hidden="1">{#N/A,#N/A,FALSE,"Aging Summary";#N/A,#N/A,FALSE,"Ratio Analysis";#N/A,#N/A,FALSE,"Test 120 Day Accts";#N/A,#N/A,FALSE,"Tickmarks"}</definedName>
    <definedName name="강용" localSheetId="25" hidden="1">{"'Sheet1'!$A$1:$H$36"}</definedName>
    <definedName name="강용" localSheetId="5" hidden="1">{"'Sheet1'!$A$1:$H$36"}</definedName>
    <definedName name="강용" hidden="1">{"'Sheet1'!$A$1:$H$36"}</definedName>
    <definedName name="건">#N/A</definedName>
    <definedName name="견적데이타" localSheetId="0">#REF!</definedName>
    <definedName name="견적데이타">#REF!</definedName>
    <definedName name="계전2" hidden="1">#REF!</definedName>
    <definedName name="공">#REF!</definedName>
    <definedName name="공사명">#REF!</definedName>
    <definedName name="공장">#REF!</definedName>
    <definedName name="구매부품TOT" localSheetId="25" hidden="1">{#N/A,#N/A,FALSE,"Aging Summary";#N/A,#N/A,FALSE,"Ratio Analysis";#N/A,#N/A,FALSE,"Test 120 Day Accts";#N/A,#N/A,FALSE,"Tickmarks"}</definedName>
    <definedName name="구매부품TOT" localSheetId="5" hidden="1">{#N/A,#N/A,FALSE,"Aging Summary";#N/A,#N/A,FALSE,"Ratio Analysis";#N/A,#N/A,FALSE,"Test 120 Day Accts";#N/A,#N/A,FALSE,"Tickmarks"}</definedName>
    <definedName name="구매부품TOT" hidden="1">{#N/A,#N/A,FALSE,"Aging Summary";#N/A,#N/A,FALSE,"Ratio Analysis";#N/A,#N/A,FALSE,"Test 120 Day Accts";#N/A,#N/A,FALSE,"Tickmarks"}</definedName>
    <definedName name="구축본부" localSheetId="25" hidden="1">{#N/A,#N/A,FALSE,"3가";#N/A,#N/A,FALSE,"3나";#N/A,#N/A,FALSE,"3다"}</definedName>
    <definedName name="구축본부" localSheetId="5" hidden="1">{#N/A,#N/A,FALSE,"3가";#N/A,#N/A,FALSE,"3나";#N/A,#N/A,FALSE,"3다"}</definedName>
    <definedName name="구축본부" hidden="1">{#N/A,#N/A,FALSE,"3가";#N/A,#N/A,FALSE,"3나";#N/A,#N/A,FALSE,"3다"}</definedName>
    <definedName name="국제거래"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국제거래"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국제거래"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규남이"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규남이"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규남이"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기계" hidden="1">#REF!</definedName>
    <definedName name="기계설치공">#REF!</definedName>
    <definedName name="기계설치공__플랜트">#REF!</definedName>
    <definedName name="기타_선택">#REF!</definedName>
    <definedName name="기타_선택1">#REF!</definedName>
    <definedName name="김" localSheetId="25" hidden="1">{#N/A,#N/A,FALSE,"Aging Summary";#N/A,#N/A,FALSE,"Ratio Analysis";#N/A,#N/A,FALSE,"Test 120 Day Accts";#N/A,#N/A,FALSE,"Tickmarks"}</definedName>
    <definedName name="김" localSheetId="5" hidden="1">{#N/A,#N/A,FALSE,"Aging Summary";#N/A,#N/A,FALSE,"Ratio Analysis";#N/A,#N/A,FALSE,"Test 120 Day Accts";#N/A,#N/A,FALSE,"Tickmarks"}</definedName>
    <definedName name="김" hidden="1">{#N/A,#N/A,FALSE,"Aging Summary";#N/A,#N/A,FALSE,"Ratio Analysis";#N/A,#N/A,FALSE,"Test 120 Day Accts";#N/A,#N/A,FALSE,"Tickmarks"}</definedName>
    <definedName name="ㄳㄱ" localSheetId="25" hidden="1">{#N/A,#N/A,FALSE,"Aging Summary";#N/A,#N/A,FALSE,"Ratio Analysis";#N/A,#N/A,FALSE,"Test 120 Day Accts";#N/A,#N/A,FALSE,"Tickmarks"}</definedName>
    <definedName name="ㄳㄱ" localSheetId="5" hidden="1">{#N/A,#N/A,FALSE,"Aging Summary";#N/A,#N/A,FALSE,"Ratio Analysis";#N/A,#N/A,FALSE,"Test 120 Day Accts";#N/A,#N/A,FALSE,"Tickmarks"}</definedName>
    <definedName name="ㄳㄱ" hidden="1">{#N/A,#N/A,FALSE,"Aging Summary";#N/A,#N/A,FALSE,"Ratio Analysis";#N/A,#N/A,FALSE,"Test 120 Day Accts";#N/A,#N/A,FALSE,"Tickmarks"}</definedName>
    <definedName name="ㄴ" localSheetId="25" hidden="1">{#N/A,#N/A,FALSE,"Aging Summary";#N/A,#N/A,FALSE,"Ratio Analysis";#N/A,#N/A,FALSE,"Test 120 Day Accts";#N/A,#N/A,FALSE,"Tickmarks"}</definedName>
    <definedName name="ㄴ" localSheetId="5" hidden="1">{#N/A,#N/A,FALSE,"Aging Summary";#N/A,#N/A,FALSE,"Ratio Analysis";#N/A,#N/A,FALSE,"Test 120 Day Accts";#N/A,#N/A,FALSE,"Tickmarks"}</definedName>
    <definedName name="ㄴ" hidden="1">{#N/A,#N/A,FALSE,"Aging Summary";#N/A,#N/A,FALSE,"Ratio Analysis";#N/A,#N/A,FALSE,"Test 120 Day Accts";#N/A,#N/A,FALSE,"Tickmarks"}</definedName>
    <definedName name="ㄴㄹㅇ" localSheetId="25" hidden="1">{#N/A,#N/A,FALSE,"Aging Summary";#N/A,#N/A,FALSE,"Ratio Analysis";#N/A,#N/A,FALSE,"Test 120 Day Accts";#N/A,#N/A,FALSE,"Tickmarks"}</definedName>
    <definedName name="ㄴㄹㅇ" localSheetId="5" hidden="1">{#N/A,#N/A,FALSE,"Aging Summary";#N/A,#N/A,FALSE,"Ratio Analysis";#N/A,#N/A,FALSE,"Test 120 Day Accts";#N/A,#N/A,FALSE,"Tickmarks"}</definedName>
    <definedName name="ㄴㄹㅇ" hidden="1">{#N/A,#N/A,FALSE,"Aging Summary";#N/A,#N/A,FALSE,"Ratio Analysis";#N/A,#N/A,FALSE,"Test 120 Day Accts";#N/A,#N/A,FALSE,"Tickmarks"}</definedName>
    <definedName name="ㄴㅇ"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ㄴㅇ"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ㄴㅇ"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ㄴㅇㄹ" localSheetId="25" hidden="1">{#N/A,#N/A,FALSE,"3가";#N/A,#N/A,FALSE,"3나";#N/A,#N/A,FALSE,"3다"}</definedName>
    <definedName name="ㄴㅇㄹ" localSheetId="0">#REF!</definedName>
    <definedName name="ㄴㅇㄹ" localSheetId="5" hidden="1">{#N/A,#N/A,FALSE,"3가";#N/A,#N/A,FALSE,"3나";#N/A,#N/A,FALSE,"3다"}</definedName>
    <definedName name="ㄴㅇㄹ" hidden="1">{#N/A,#N/A,FALSE,"3가";#N/A,#N/A,FALSE,"3나";#N/A,#N/A,FALSE,"3다"}</definedName>
    <definedName name="ㄴㅇㄹㅇㄹ" localSheetId="0" hidden="1">#REF!</definedName>
    <definedName name="ㄴㅇㄹㅇㄹ" hidden="1">#REF!</definedName>
    <definedName name="나" localSheetId="25" hidden="1">{#N/A,#N/A,FALSE,"Aging Summary";#N/A,#N/A,FALSE,"Ratio Analysis";#N/A,#N/A,FALSE,"Test 120 Day Accts";#N/A,#N/A,FALSE,"Tickmarks"}</definedName>
    <definedName name="나" localSheetId="5" hidden="1">{#N/A,#N/A,FALSE,"Aging Summary";#N/A,#N/A,FALSE,"Ratio Analysis";#N/A,#N/A,FALSE,"Test 120 Day Accts";#N/A,#N/A,FALSE,"Tickmarks"}</definedName>
    <definedName name="나" hidden="1">{#N/A,#N/A,FALSE,"Aging Summary";#N/A,#N/A,FALSE,"Ratio Analysis";#N/A,#N/A,FALSE,"Test 120 Day Accts";#N/A,#N/A,FALSE,"Tickmarks"}</definedName>
    <definedName name="납기일">#REF!</definedName>
    <definedName name="내역서">#REF!</definedName>
    <definedName name="ㄷ" localSheetId="25" hidden="1">{#N/A,#N/A,FALSE,"Aging Summary";#N/A,#N/A,FALSE,"Ratio Analysis";#N/A,#N/A,FALSE,"Test 120 Day Accts";#N/A,#N/A,FALSE,"Tickmarks"}</definedName>
    <definedName name="ㄷ" localSheetId="0">OFFSET(#REF!,1,#REF!-1,10,1)</definedName>
    <definedName name="ㄷ" localSheetId="5" hidden="1">{#N/A,#N/A,FALSE,"Aging Summary";#N/A,#N/A,FALSE,"Ratio Analysis";#N/A,#N/A,FALSE,"Test 120 Day Accts";#N/A,#N/A,FALSE,"Tickmarks"}</definedName>
    <definedName name="ㄷ" hidden="1">{#N/A,#N/A,FALSE,"Aging Summary";#N/A,#N/A,FALSE,"Ratio Analysis";#N/A,#N/A,FALSE,"Test 120 Day Accts";#N/A,#N/A,FALSE,"Tickmarks"}</definedName>
    <definedName name="ㄷㄷ" localSheetId="25"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ㄷㄷ" localSheetId="5"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ㄷㄷ"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ㄷㅎㄹㄴㄹㅇㅎㅇㅁㄴㅁㅎ" localSheetId="25" hidden="1">{#N/A,#N/A,FALSE,"Aging Summary";#N/A,#N/A,FALSE,"Ratio Analysis";#N/A,#N/A,FALSE,"Test 120 Day Accts";#N/A,#N/A,FALSE,"Tickmarks"}</definedName>
    <definedName name="ㄷㅎㄹㄴㄹㅇㅎㅇㅁㄴㅁㅎ" localSheetId="5" hidden="1">{#N/A,#N/A,FALSE,"Aging Summary";#N/A,#N/A,FALSE,"Ratio Analysis";#N/A,#N/A,FALSE,"Test 120 Day Accts";#N/A,#N/A,FALSE,"Tickmarks"}</definedName>
    <definedName name="ㄷㅎㄹㄴㄹㅇㅎㅇㅁㄴㅁㅎ" hidden="1">{#N/A,#N/A,FALSE,"Aging Summary";#N/A,#N/A,FALSE,"Ratio Analysis";#N/A,#N/A,FALSE,"Test 120 Day Accts";#N/A,#N/A,FALSE,"Tickmarks"}</definedName>
    <definedName name="단가" localSheetId="0">#REF!</definedName>
    <definedName name="단가">#REF!</definedName>
    <definedName name="당등">#REF!</definedName>
    <definedName name="대" localSheetId="25" hidden="1">{"Edition",#N/A,FALSE,"Data"}</definedName>
    <definedName name="대" localSheetId="0" hidden="1">{"Edition",#N/A,FALSE,"Data"}</definedName>
    <definedName name="대" localSheetId="5" hidden="1">{"Edition",#N/A,FALSE,"Data"}</definedName>
    <definedName name="대" hidden="1">{"Edition",#N/A,FALSE,"Data"}</definedName>
    <definedName name="대비표_COMP">#REF!</definedName>
    <definedName name="대비표_선택">#REF!</definedName>
    <definedName name="돌아버려" localSheetId="25" hidden="1">{"'Sheet1'!$A$1:$H$36"}</definedName>
    <definedName name="돌아버려" localSheetId="5" hidden="1">{"'Sheet1'!$A$1:$H$36"}</definedName>
    <definedName name="돌아버려" hidden="1">{"'Sheet1'!$A$1:$H$36"}</definedName>
    <definedName name="또왜이래" localSheetId="25" hidden="1">{"'Sheet1'!$A$1:$H$36"}</definedName>
    <definedName name="또왜이래" localSheetId="5" hidden="1">{"'Sheet1'!$A$1:$H$36"}</definedName>
    <definedName name="또왜이래" hidden="1">{"'Sheet1'!$A$1:$H$36"}</definedName>
    <definedName name="ㄹ" localSheetId="25" hidden="1">{#N/A,#N/A,FALSE,"Aging Summary";#N/A,#N/A,FALSE,"Ratio Analysis";#N/A,#N/A,FALSE,"Test 120 Day Accts";#N/A,#N/A,FALSE,"Tickmarks"}</definedName>
    <definedName name="ㄹ" localSheetId="5" hidden="1">{#N/A,#N/A,FALSE,"Aging Summary";#N/A,#N/A,FALSE,"Ratio Analysis";#N/A,#N/A,FALSE,"Test 120 Day Accts";#N/A,#N/A,FALSE,"Tickmarks"}</definedName>
    <definedName name="ㄹ" hidden="1">{#N/A,#N/A,FALSE,"Aging Summary";#N/A,#N/A,FALSE,"Ratio Analysis";#N/A,#N/A,FALSE,"Test 120 Day Accts";#N/A,#N/A,FALSE,"Tickmarks"}</definedName>
    <definedName name="ㄹㄹ" localSheetId="2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ㄹㄹ"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ㄹㄹ"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ㄹㅇ">#REF!</definedName>
    <definedName name="ㄹㅇㄴ" localSheetId="25" hidden="1">{"'Sheet1'!$L$16"}</definedName>
    <definedName name="ㄹㅇㄴ" localSheetId="0" hidden="1">{"'Sheet1'!$L$16"}</definedName>
    <definedName name="ㄹㅇㄴ" localSheetId="5" hidden="1">{"'Sheet1'!$L$16"}</definedName>
    <definedName name="ㄹㅇㄴ" hidden="1">{"'Sheet1'!$L$16"}</definedName>
    <definedName name="ㄻㄴㄻㅇㄹㅇㅁㄹ" localSheetId="25" hidden="1">{#N/A,#N/A,FALSE,"Aging Summary";#N/A,#N/A,FALSE,"Ratio Analysis";#N/A,#N/A,FALSE,"Test 120 Day Accts";#N/A,#N/A,FALSE,"Tickmarks"}</definedName>
    <definedName name="ㄻㄴㄻㅇㄹㅇㅁㄹ" localSheetId="5" hidden="1">{#N/A,#N/A,FALSE,"Aging Summary";#N/A,#N/A,FALSE,"Ratio Analysis";#N/A,#N/A,FALSE,"Test 120 Day Accts";#N/A,#N/A,FALSE,"Tickmarks"}</definedName>
    <definedName name="ㄻㄴㄻㅇㄹㅇㅁㄹ" hidden="1">{#N/A,#N/A,FALSE,"Aging Summary";#N/A,#N/A,FALSE,"Ratio Analysis";#N/A,#N/A,FALSE,"Test 120 Day Accts";#N/A,#N/A,FALSE,"Tickmarks"}</definedName>
    <definedName name="ㅁ" localSheetId="25" hidden="1">{#N/A,#N/A,FALSE,"Aging Summary";#N/A,#N/A,FALSE,"Ratio Analysis";#N/A,#N/A,FALSE,"Test 120 Day Accts";#N/A,#N/A,FALSE,"Tickmarks"}</definedName>
    <definedName name="ㅁ" localSheetId="5" hidden="1">{#N/A,#N/A,FALSE,"Aging Summary";#N/A,#N/A,FALSE,"Ratio Analysis";#N/A,#N/A,FALSE,"Test 120 Day Accts";#N/A,#N/A,FALSE,"Tickmarks"}</definedName>
    <definedName name="ㅁ" hidden="1">{#N/A,#N/A,FALSE,"Aging Summary";#N/A,#N/A,FALSE,"Ratio Analysis";#N/A,#N/A,FALSE,"Test 120 Day Accts";#N/A,#N/A,FALSE,"Tickmarks"}</definedName>
    <definedName name="ㅁ01">#REF!</definedName>
    <definedName name="ㅁ1">#REF!</definedName>
    <definedName name="ㅁㄴ" localSheetId="25" hidden="1">{#N/A,#N/A,TRUE,"매출진척-1";#N/A,#N/A,TRUE,"매출진척-2";#N/A,#N/A,TRUE,"제품실적";#N/A,#N/A,TRUE,"RAC";#N/A,#N/A,TRUE,"PAC ";#N/A,#N/A,TRUE,"재고현황";#N/A,#N/A,TRUE,"공지사항"}</definedName>
    <definedName name="ㅁㄴ" localSheetId="5" hidden="1">{#N/A,#N/A,TRUE,"매출진척-1";#N/A,#N/A,TRUE,"매출진척-2";#N/A,#N/A,TRUE,"제품실적";#N/A,#N/A,TRUE,"RAC";#N/A,#N/A,TRUE,"PAC ";#N/A,#N/A,TRUE,"재고현황";#N/A,#N/A,TRUE,"공지사항"}</definedName>
    <definedName name="ㅁㄴ" hidden="1">{#N/A,#N/A,TRUE,"매출진척-1";#N/A,#N/A,TRUE,"매출진척-2";#N/A,#N/A,TRUE,"제품실적";#N/A,#N/A,TRUE,"RAC";#N/A,#N/A,TRUE,"PAC ";#N/A,#N/A,TRUE,"재고현황";#N/A,#N/A,TRUE,"공지사항"}</definedName>
    <definedName name="ㅁㅁ" localSheetId="2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ㅁㅁ"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ㅁㅁ"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ㅁㅁㅁ">#REF!</definedName>
    <definedName name="ㅁㅁㅁㅁ" localSheetId="25" hidden="1">{"Edition",#N/A,FALSE,"Data"}</definedName>
    <definedName name="ㅁㅁㅁㅁ" localSheetId="0" hidden="1">{"Edition",#N/A,FALSE,"Data"}</definedName>
    <definedName name="ㅁㅁㅁㅁ" localSheetId="5" hidden="1">{"Edition",#N/A,FALSE,"Data"}</definedName>
    <definedName name="ㅁㅁㅁㅁ" hidden="1">{"Edition",#N/A,FALSE,"Data"}</definedName>
    <definedName name="ㅁㅁㅁㅁㅁ" localSheetId="25" hidden="1">{#N/A,#N/A,FALSE,"Aging Summary";#N/A,#N/A,FALSE,"Ratio Analysis";#N/A,#N/A,FALSE,"Test 120 Day Accts";#N/A,#N/A,FALSE,"Tickmarks"}</definedName>
    <definedName name="ㅁㅁㅁㅁㅁ" localSheetId="5" hidden="1">{#N/A,#N/A,FALSE,"Aging Summary";#N/A,#N/A,FALSE,"Ratio Analysis";#N/A,#N/A,FALSE,"Test 120 Day Accts";#N/A,#N/A,FALSE,"Tickmarks"}</definedName>
    <definedName name="ㅁㅁㅁㅁㅁ" hidden="1">{#N/A,#N/A,FALSE,"Aging Summary";#N/A,#N/A,FALSE,"Ratio Analysis";#N/A,#N/A,FALSE,"Test 120 Day Accts";#N/A,#N/A,FALSE,"Tickmarks"}</definedName>
    <definedName name="ㅁㅇㄹ" localSheetId="25" hidden="1">{#N/A,#N/A,FALSE,"Aging Summary";#N/A,#N/A,FALSE,"Ratio Analysis";#N/A,#N/A,FALSE,"Test 120 Day Accts";#N/A,#N/A,FALSE,"Tickmarks"}</definedName>
    <definedName name="ㅁㅇㄹ" localSheetId="5" hidden="1">{#N/A,#N/A,FALSE,"Aging Summary";#N/A,#N/A,FALSE,"Ratio Analysis";#N/A,#N/A,FALSE,"Test 120 Day Accts";#N/A,#N/A,FALSE,"Tickmarks"}</definedName>
    <definedName name="ㅁㅇㄹ" hidden="1">{#N/A,#N/A,FALSE,"Aging Summary";#N/A,#N/A,FALSE,"Ratio Analysis";#N/A,#N/A,FALSE,"Test 120 Day Accts";#N/A,#N/A,FALSE,"Tickmarks"}</definedName>
    <definedName name="마미ㅣㅏㅓ"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마미ㅣㅏㅓ"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마미ㅣㅏㅓ"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매출원가" localSheetId="25" hidden="1">{#N/A,#N/A,FALSE,"Aging Summary";#N/A,#N/A,FALSE,"Ratio Analysis";#N/A,#N/A,FALSE,"Test 120 Day Accts";#N/A,#N/A,FALSE,"Tickmarks"}</definedName>
    <definedName name="매출원가" localSheetId="5" hidden="1">{#N/A,#N/A,FALSE,"Aging Summary";#N/A,#N/A,FALSE,"Ratio Analysis";#N/A,#N/A,FALSE,"Test 120 Day Accts";#N/A,#N/A,FALSE,"Tickmarks"}</definedName>
    <definedName name="매출원가" hidden="1">{#N/A,#N/A,FALSE,"Aging Summary";#N/A,#N/A,FALSE,"Ratio Analysis";#N/A,#N/A,FALSE,"Test 120 Day Accts";#N/A,#N/A,FALSE,"Tickmarks"}</definedName>
    <definedName name="명세" localSheetId="25" hidden="1">{#N/A,#N/A,FALSE,"Aging Summary";#N/A,#N/A,FALSE,"Ratio Analysis";#N/A,#N/A,FALSE,"Test 120 Day Accts";#N/A,#N/A,FALSE,"Tickmarks"}</definedName>
    <definedName name="명세" localSheetId="5" hidden="1">{#N/A,#N/A,FALSE,"Aging Summary";#N/A,#N/A,FALSE,"Ratio Analysis";#N/A,#N/A,FALSE,"Test 120 Day Accts";#N/A,#N/A,FALSE,"Tickmarks"}</definedName>
    <definedName name="명세" hidden="1">{#N/A,#N/A,FALSE,"Aging Summary";#N/A,#N/A,FALSE,"Ratio Analysis";#N/A,#N/A,FALSE,"Test 120 Day Accts";#N/A,#N/A,FALSE,"Tickmarks"}</definedName>
    <definedName name="목공">#REF!</definedName>
    <definedName name="목도공">#REF!</definedName>
    <definedName name="몰라" localSheetId="25" hidden="1">{"Edition",#N/A,FALSE,"Data"}</definedName>
    <definedName name="몰라" localSheetId="0" hidden="1">{"Edition",#N/A,FALSE,"Data"}</definedName>
    <definedName name="몰라" localSheetId="5" hidden="1">{"Edition",#N/A,FALSE,"Data"}</definedName>
    <definedName name="몰라" hidden="1">{"Edition",#N/A,FALSE,"Data"}</definedName>
    <definedName name="묑"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묑"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묑"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뭐라소" localSheetId="0">#REF!</definedName>
    <definedName name="뭐라소">#REF!</definedName>
    <definedName name="미수금" localSheetId="25" hidden="1">{#N/A,#N/A,FALSE,"Aging Summary";#N/A,#N/A,FALSE,"Ratio Analysis";#N/A,#N/A,FALSE,"Test 120 Day Accts";#N/A,#N/A,FALSE,"Tickmarks"}</definedName>
    <definedName name="미수금" localSheetId="5" hidden="1">{#N/A,#N/A,FALSE,"Aging Summary";#N/A,#N/A,FALSE,"Ratio Analysis";#N/A,#N/A,FALSE,"Test 120 Day Accts";#N/A,#N/A,FALSE,"Tickmarks"}</definedName>
    <definedName name="미수금" hidden="1">{#N/A,#N/A,FALSE,"Aging Summary";#N/A,#N/A,FALSE,"Ratio Analysis";#N/A,#N/A,FALSE,"Test 120 Day Accts";#N/A,#N/A,FALSE,"Tickmarks"}</definedName>
    <definedName name="미치겠네" localSheetId="25" hidden="1">{"'Sheet1'!$A$1:$H$36"}</definedName>
    <definedName name="미치겠네" localSheetId="5" hidden="1">{"'Sheet1'!$A$1:$H$36"}</definedName>
    <definedName name="미치겠네" hidden="1">{"'Sheet1'!$A$1:$H$36"}</definedName>
    <definedName name="ㅂ" localSheetId="25" hidden="1">{#N/A,#N/A,FALSE,"Aging Summary";#N/A,#N/A,FALSE,"Ratio Analysis";#N/A,#N/A,FALSE,"Test 120 Day Accts";#N/A,#N/A,FALSE,"Tickmarks"}</definedName>
    <definedName name="ㅂ" localSheetId="5" hidden="1">{#N/A,#N/A,FALSE,"Aging Summary";#N/A,#N/A,FALSE,"Ratio Analysis";#N/A,#N/A,FALSE,"Test 120 Day Accts";#N/A,#N/A,FALSE,"Tickmarks"}</definedName>
    <definedName name="ㅂ" hidden="1">{#N/A,#N/A,FALSE,"Aging Summary";#N/A,#N/A,FALSE,"Ratio Analysis";#N/A,#N/A,FALSE,"Test 120 Day Accts";#N/A,#N/A,FALSE,"Tickmarks"}</definedName>
    <definedName name="ㅂㄷㄱ" localSheetId="25" hidden="1">{#N/A,#N/A,FALSE,"Aging Summary";#N/A,#N/A,FALSE,"Ratio Analysis";#N/A,#N/A,FALSE,"Test 120 Day Accts";#N/A,#N/A,FALSE,"Tickmarks"}</definedName>
    <definedName name="ㅂㄷㄱ" localSheetId="5" hidden="1">{#N/A,#N/A,FALSE,"Aging Summary";#N/A,#N/A,FALSE,"Ratio Analysis";#N/A,#N/A,FALSE,"Test 120 Day Accts";#N/A,#N/A,FALSE,"Tickmarks"}</definedName>
    <definedName name="ㅂㄷㄱ" hidden="1">{#N/A,#N/A,FALSE,"Aging Summary";#N/A,#N/A,FALSE,"Ratio Analysis";#N/A,#N/A,FALSE,"Test 120 Day Accts";#N/A,#N/A,FALSE,"Tickmarks"}</definedName>
    <definedName name="ㅂㄷㄷㄱ" localSheetId="25" hidden="1">{#N/A,#N/A,FALSE,"Aging Summary";#N/A,#N/A,FALSE,"Ratio Analysis";#N/A,#N/A,FALSE,"Test 120 Day Accts";#N/A,#N/A,FALSE,"Tickmarks"}</definedName>
    <definedName name="ㅂㄷㄷㄱ" localSheetId="5" hidden="1">{#N/A,#N/A,FALSE,"Aging Summary";#N/A,#N/A,FALSE,"Ratio Analysis";#N/A,#N/A,FALSE,"Test 120 Day Accts";#N/A,#N/A,FALSE,"Tickmarks"}</definedName>
    <definedName name="ㅂㄷㄷㄱ" hidden="1">{#N/A,#N/A,FALSE,"Aging Summary";#N/A,#N/A,FALSE,"Ratio Analysis";#N/A,#N/A,FALSE,"Test 120 Day Accts";#N/A,#N/A,FALSE,"Tickmarks"}</definedName>
    <definedName name="ㅂㅂ" localSheetId="25" hidden="1">{#N/A,#N/A,FALSE,"Aging Summary";#N/A,#N/A,FALSE,"Ratio Analysis";#N/A,#N/A,FALSE,"Test 120 Day Accts";#N/A,#N/A,FALSE,"Tickmarks"}</definedName>
    <definedName name="ㅂㅂ" localSheetId="5" hidden="1">{#N/A,#N/A,FALSE,"Aging Summary";#N/A,#N/A,FALSE,"Ratio Analysis";#N/A,#N/A,FALSE,"Test 120 Day Accts";#N/A,#N/A,FALSE,"Tickmarks"}</definedName>
    <definedName name="ㅂㅂ" hidden="1">{#N/A,#N/A,FALSE,"Aging Summary";#N/A,#N/A,FALSE,"Ratio Analysis";#N/A,#N/A,FALSE,"Test 120 Day Accts";#N/A,#N/A,FALSE,"Tickmarks"}</definedName>
    <definedName name="ㅂㅂㅂ" localSheetId="25" hidden="1">{#N/A,#N/A,FALSE,"Aging Summary";#N/A,#N/A,FALSE,"Ratio Analysis";#N/A,#N/A,FALSE,"Test 120 Day Accts";#N/A,#N/A,FALSE,"Tickmarks"}</definedName>
    <definedName name="ㅂㅂㅂ" localSheetId="5" hidden="1">{#N/A,#N/A,FALSE,"Aging Summary";#N/A,#N/A,FALSE,"Ratio Analysis";#N/A,#N/A,FALSE,"Test 120 Day Accts";#N/A,#N/A,FALSE,"Tickmarks"}</definedName>
    <definedName name="ㅂㅂㅂ" hidden="1">{#N/A,#N/A,FALSE,"Aging Summary";#N/A,#N/A,FALSE,"Ratio Analysis";#N/A,#N/A,FALSE,"Test 120 Day Accts";#N/A,#N/A,FALSE,"Tickmarks"}</definedName>
    <definedName name="ㅂㅂㅂㅂㅂ">#REF!</definedName>
    <definedName name="ㅂㅈㄱㄷㅈ" localSheetId="25" hidden="1">{#N/A,#N/A,FALSE,"Aging Summary";#N/A,#N/A,FALSE,"Ratio Analysis";#N/A,#N/A,FALSE,"Test 120 Day Accts";#N/A,#N/A,FALSE,"Tickmarks"}</definedName>
    <definedName name="ㅂㅈㄱㄷㅈ" localSheetId="5" hidden="1">{#N/A,#N/A,FALSE,"Aging Summary";#N/A,#N/A,FALSE,"Ratio Analysis";#N/A,#N/A,FALSE,"Test 120 Day Accts";#N/A,#N/A,FALSE,"Tickmarks"}</definedName>
    <definedName name="ㅂㅈㄱㄷㅈ" hidden="1">{#N/A,#N/A,FALSE,"Aging Summary";#N/A,#N/A,FALSE,"Ratio Analysis";#N/A,#N/A,FALSE,"Test 120 Day Accts";#N/A,#N/A,FALSE,"Tickmarks"}</definedName>
    <definedName name="ㅂㅈㄷ" localSheetId="25" hidden="1">{#N/A,#N/A,FALSE,"Aging Summary";#N/A,#N/A,FALSE,"Ratio Analysis";#N/A,#N/A,FALSE,"Test 120 Day Accts";#N/A,#N/A,FALSE,"Tickmarks"}</definedName>
    <definedName name="ㅂㅈㄷ" localSheetId="5" hidden="1">{#N/A,#N/A,FALSE,"Aging Summary";#N/A,#N/A,FALSE,"Ratio Analysis";#N/A,#N/A,FALSE,"Test 120 Day Accts";#N/A,#N/A,FALSE,"Tickmarks"}</definedName>
    <definedName name="ㅂㅈㄷ" hidden="1">{#N/A,#N/A,FALSE,"Aging Summary";#N/A,#N/A,FALSE,"Ratio Analysis";#N/A,#N/A,FALSE,"Test 120 Day Accts";#N/A,#N/A,FALSE,"Tickmarks"}</definedName>
    <definedName name="바보" localSheetId="25" hidden="1">{#N/A,#N/A,FALSE,"Aging Summary";#N/A,#N/A,FALSE,"Ratio Analysis";#N/A,#N/A,FALSE,"Test 120 Day Accts";#N/A,#N/A,FALSE,"Tickmarks"}</definedName>
    <definedName name="바보" localSheetId="5" hidden="1">{#N/A,#N/A,FALSE,"Aging Summary";#N/A,#N/A,FALSE,"Ratio Analysis";#N/A,#N/A,FALSE,"Test 120 Day Accts";#N/A,#N/A,FALSE,"Tickmarks"}</definedName>
    <definedName name="바보" hidden="1">{#N/A,#N/A,FALSE,"Aging Summary";#N/A,#N/A,FALSE,"Ratio Analysis";#N/A,#N/A,FALSE,"Test 120 Day Accts";#N/A,#N/A,FALSE,"Tickmarks"}</definedName>
    <definedName name="배관공">#REF!</definedName>
    <definedName name="범위액"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2" localSheetId="2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변경내역" localSheetId="25" hidden="1">{#N/A,#N/A,FALSE,"3가";#N/A,#N/A,FALSE,"3나";#N/A,#N/A,FALSE,"3다"}</definedName>
    <definedName name="변경내역" localSheetId="5" hidden="1">{#N/A,#N/A,FALSE,"3가";#N/A,#N/A,FALSE,"3나";#N/A,#N/A,FALSE,"3다"}</definedName>
    <definedName name="변경내역" hidden="1">{#N/A,#N/A,FALSE,"3가";#N/A,#N/A,FALSE,"3나";#N/A,#N/A,FALSE,"3다"}</definedName>
    <definedName name="변파유닛" localSheetId="25" hidden="1">{#N/A,#N/A,FALSE,"3가";#N/A,#N/A,FALSE,"3나";#N/A,#N/A,FALSE,"3다"}</definedName>
    <definedName name="변파유닛" localSheetId="5" hidden="1">{#N/A,#N/A,FALSE,"3가";#N/A,#N/A,FALSE,"3나";#N/A,#N/A,FALSE,"3다"}</definedName>
    <definedName name="변파유닛" hidden="1">{#N/A,#N/A,FALSE,"3가";#N/A,#N/A,FALSE,"3나";#N/A,#N/A,FALSE,"3다"}</definedName>
    <definedName name="별지8"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별지8"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별지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보" localSheetId="25" hidden="1">{#N/A,#N/A,FALSE,"3가";#N/A,#N/A,FALSE,"3나";#N/A,#N/A,FALSE,"3다"}</definedName>
    <definedName name="보" localSheetId="5" hidden="1">{#N/A,#N/A,FALSE,"3가";#N/A,#N/A,FALSE,"3나";#N/A,#N/A,FALSE,"3다"}</definedName>
    <definedName name="보" hidden="1">{#N/A,#N/A,FALSE,"3가";#N/A,#N/A,FALSE,"3나";#N/A,#N/A,FALSE,"3다"}</definedName>
    <definedName name="보봅" localSheetId="25" hidden="1">{#N/A,#N/A,FALSE,"Aging Summary";#N/A,#N/A,FALSE,"Ratio Analysis";#N/A,#N/A,FALSE,"Test 120 Day Accts";#N/A,#N/A,FALSE,"Tickmarks"}</definedName>
    <definedName name="보봅" localSheetId="5" hidden="1">{#N/A,#N/A,FALSE,"Aging Summary";#N/A,#N/A,FALSE,"Ratio Analysis";#N/A,#N/A,FALSE,"Test 120 Day Accts";#N/A,#N/A,FALSE,"Tickmarks"}</definedName>
    <definedName name="보봅" hidden="1">{#N/A,#N/A,FALSE,"Aging Summary";#N/A,#N/A,FALSE,"Ratio Analysis";#N/A,#N/A,FALSE,"Test 120 Day Accts";#N/A,#N/A,FALSE,"Tickmarks"}</definedName>
    <definedName name="보통_인부">#REF!</definedName>
    <definedName name="보험료" localSheetId="25" hidden="1">{#N/A,#N/A,FALSE,"Aging Summary";#N/A,#N/A,FALSE,"Ratio Analysis";#N/A,#N/A,FALSE,"Test 120 Day Accts";#N/A,#N/A,FALSE,"Tickmarks"}</definedName>
    <definedName name="보험료" localSheetId="5" hidden="1">{#N/A,#N/A,FALSE,"Aging Summary";#N/A,#N/A,FALSE,"Ratio Analysis";#N/A,#N/A,FALSE,"Test 120 Day Accts";#N/A,#N/A,FALSE,"Tickmarks"}</definedName>
    <definedName name="보험료" hidden="1">{#N/A,#N/A,FALSE,"Aging Summary";#N/A,#N/A,FALSE,"Ratio Analysis";#N/A,#N/A,FALSE,"Test 120 Day Accts";#N/A,#N/A,FALSE,"Tickmarks"}</definedName>
    <definedName name="부분합">#REF!</definedName>
    <definedName name="부분합범위">#REF!</definedName>
    <definedName name="비목2">#REF!</definedName>
    <definedName name="비목3">#REF!</definedName>
    <definedName name="비목4">#REF!</definedName>
    <definedName name="ㅅㄷ" localSheetId="25" hidden="1">{"'Sheet1'!$L$16"}</definedName>
    <definedName name="ㅅㄷ" localSheetId="0" hidden="1">{"'Sheet1'!$L$16"}</definedName>
    <definedName name="ㅅㄷ" localSheetId="5" hidden="1">{"'Sheet1'!$L$16"}</definedName>
    <definedName name="ㅅㄷ" hidden="1">{"'Sheet1'!$L$16"}</definedName>
    <definedName name="사랑" localSheetId="25" hidden="1">{"'Sheet1'!$A$1:$H$36"}</definedName>
    <definedName name="사랑" localSheetId="5" hidden="1">{"'Sheet1'!$A$1:$H$36"}</definedName>
    <definedName name="사랑" hidden="1">{"'Sheet1'!$A$1:$H$36"}</definedName>
    <definedName name="사외">#REF!</definedName>
    <definedName name="사용료"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새" localSheetId="25" hidden="1">{#N/A,#N/A,FALSE,"Aging Summary";#N/A,#N/A,FALSE,"Ratio Analysis";#N/A,#N/A,FALSE,"Test 120 Day Accts";#N/A,#N/A,FALSE,"Tickmarks"}</definedName>
    <definedName name="새" localSheetId="5" hidden="1">{#N/A,#N/A,FALSE,"Aging Summary";#N/A,#N/A,FALSE,"Ratio Analysis";#N/A,#N/A,FALSE,"Test 120 Day Accts";#N/A,#N/A,FALSE,"Tickmarks"}</definedName>
    <definedName name="새" hidden="1">{#N/A,#N/A,FALSE,"Aging Summary";#N/A,#N/A,FALSE,"Ratio Analysis";#N/A,#N/A,FALSE,"Test 120 Day Accts";#N/A,#N/A,FALSE,"Tickmarks"}</definedName>
    <definedName name="선급"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선급"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선급"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선급비용"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선급비용"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선급비용"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선급이자" localSheetId="25" hidden="1">{"'Sheet1'!$A$1:$H$36"}</definedName>
    <definedName name="선급이자" localSheetId="5" hidden="1">{"'Sheet1'!$A$1:$H$36"}</definedName>
    <definedName name="선급이자" hidden="1">{"'Sheet1'!$A$1:$H$36"}</definedName>
    <definedName name="선투입추정">#REF!</definedName>
    <definedName name="소득구분3"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조서"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소득구분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소득구분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소모비">#REF!</definedName>
    <definedName name="소분류" localSheetId="0">OFFSET(#REF!,1,#REF!-1,10,1)</definedName>
    <definedName name="소분류">OFFSET(#REF!,1,#REF!-1,10,1)</definedName>
    <definedName name="소분류동적A">"OFFSET('규격'!$C$1,1,'규격'!$A$15-1,COUNTA(OFFSET('규격'!$E$3,1,'규격'!$H$3-1,10,1),1))"</definedName>
    <definedName name="손"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손"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손"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수주일">#REF!</definedName>
    <definedName name="신설통계" localSheetId="25" hidden="1">{#N/A,#N/A,FALSE,"3가";#N/A,#N/A,FALSE,"3나";#N/A,#N/A,FALSE,"3다"}</definedName>
    <definedName name="신설통계" localSheetId="5" hidden="1">{#N/A,#N/A,FALSE,"3가";#N/A,#N/A,FALSE,"3나";#N/A,#N/A,FALSE,"3다"}</definedName>
    <definedName name="신설통계" hidden="1">{#N/A,#N/A,FALSE,"3가";#N/A,#N/A,FALSE,"3나";#N/A,#N/A,FALSE,"3다"}</definedName>
    <definedName name="ㅇ" localSheetId="25" hidden="1">{#N/A,#N/A,FALSE,"Aging Summary";#N/A,#N/A,FALSE,"Ratio Analysis";#N/A,#N/A,FALSE,"Test 120 Day Accts";#N/A,#N/A,FALSE,"Tickmarks"}</definedName>
    <definedName name="ㅇ" localSheetId="5" hidden="1">{#N/A,#N/A,FALSE,"Aging Summary";#N/A,#N/A,FALSE,"Ratio Analysis";#N/A,#N/A,FALSE,"Test 120 Day Accts";#N/A,#N/A,FALSE,"Tickmarks"}</definedName>
    <definedName name="ㅇ" hidden="1">{#N/A,#N/A,FALSE,"Aging Summary";#N/A,#N/A,FALSE,"Ratio Analysis";#N/A,#N/A,FALSE,"Test 120 Day Accts";#N/A,#N/A,FALSE,"Tickmarks"}</definedName>
    <definedName name="ㅇㄴㄹㅇㄹㄴㅇㄹ">#REF!</definedName>
    <definedName name="ㅇㄷㄴ" localSheetId="25" hidden="1">{#N/A,#N/A,FALSE,"Aging Summary";#N/A,#N/A,FALSE,"Ratio Analysis";#N/A,#N/A,FALSE,"Test 120 Day Accts";#N/A,#N/A,FALSE,"Tickmarks"}</definedName>
    <definedName name="ㅇㄷㄴ" localSheetId="5" hidden="1">{#N/A,#N/A,FALSE,"Aging Summary";#N/A,#N/A,FALSE,"Ratio Analysis";#N/A,#N/A,FALSE,"Test 120 Day Accts";#N/A,#N/A,FALSE,"Tickmarks"}</definedName>
    <definedName name="ㅇㄷㄴ" hidden="1">{#N/A,#N/A,FALSE,"Aging Summary";#N/A,#N/A,FALSE,"Ratio Analysis";#N/A,#N/A,FALSE,"Test 120 Day Accts";#N/A,#N/A,FALSE,"Tickmarks"}</definedName>
    <definedName name="ㅇㄹㄴㅇㄹ" localSheetId="0">#REF!</definedName>
    <definedName name="ㅇㄹㄴㅇㄹ">#REF!</definedName>
    <definedName name="ㅇㄹㅀㅎ" localSheetId="25" hidden="1">{#N/A,#N/A,FALSE,"Aging Summary";#N/A,#N/A,FALSE,"Ratio Analysis";#N/A,#N/A,FALSE,"Test 120 Day Accts";#N/A,#N/A,FALSE,"Tickmarks"}</definedName>
    <definedName name="ㅇㄹㅀㅎ" localSheetId="5" hidden="1">{#N/A,#N/A,FALSE,"Aging Summary";#N/A,#N/A,FALSE,"Ratio Analysis";#N/A,#N/A,FALSE,"Test 120 Day Accts";#N/A,#N/A,FALSE,"Tickmarks"}</definedName>
    <definedName name="ㅇㄹㅀㅎ" hidden="1">{#N/A,#N/A,FALSE,"Aging Summary";#N/A,#N/A,FALSE,"Ratio Analysis";#N/A,#N/A,FALSE,"Test 120 Day Accts";#N/A,#N/A,FALSE,"Tickmarks"}</definedName>
    <definedName name="ㅇㄹㅇ" localSheetId="25" hidden="1">{#N/A,#N/A,FALSE,"3가";#N/A,#N/A,FALSE,"3나";#N/A,#N/A,FALSE,"3다"}</definedName>
    <definedName name="ㅇㄹㅇ" localSheetId="5" hidden="1">{#N/A,#N/A,FALSE,"3가";#N/A,#N/A,FALSE,"3나";#N/A,#N/A,FALSE,"3다"}</definedName>
    <definedName name="ㅇㄹㅇ" hidden="1">{#N/A,#N/A,FALSE,"3가";#N/A,#N/A,FALSE,"3나";#N/A,#N/A,FALSE,"3다"}</definedName>
    <definedName name="ㅇㄹㅇㄴ" localSheetId="25" hidden="1">{#N/A,#N/A,FALSE,"3가";#N/A,#N/A,FALSE,"3나";#N/A,#N/A,FALSE,"3다"}</definedName>
    <definedName name="ㅇㄹㅇㄴ" localSheetId="5" hidden="1">{#N/A,#N/A,FALSE,"3가";#N/A,#N/A,FALSE,"3나";#N/A,#N/A,FALSE,"3다"}</definedName>
    <definedName name="ㅇㄹㅇㄴ" hidden="1">{#N/A,#N/A,FALSE,"3가";#N/A,#N/A,FALSE,"3나";#N/A,#N/A,FALSE,"3다"}</definedName>
    <definedName name="ㅇㄻㅇㄹ" localSheetId="25" hidden="1">{#N/A,#N/A,FALSE,"Aging Summary";#N/A,#N/A,FALSE,"Ratio Analysis";#N/A,#N/A,FALSE,"Test 120 Day Accts";#N/A,#N/A,FALSE,"Tickmarks"}</definedName>
    <definedName name="ㅇㄻㅇㄹ" localSheetId="5" hidden="1">{#N/A,#N/A,FALSE,"Aging Summary";#N/A,#N/A,FALSE,"Ratio Analysis";#N/A,#N/A,FALSE,"Test 120 Day Accts";#N/A,#N/A,FALSE,"Tickmarks"}</definedName>
    <definedName name="ㅇㄻㅇㄹ" hidden="1">{#N/A,#N/A,FALSE,"Aging Summary";#N/A,#N/A,FALSE,"Ratio Analysis";#N/A,#N/A,FALSE,"Test 120 Day Accts";#N/A,#N/A,FALSE,"Tickmarks"}</definedName>
    <definedName name="ㅇㅀㅇㅁㄹ" localSheetId="25" hidden="1">{#N/A,#N/A,FALSE,"3가";#N/A,#N/A,FALSE,"3나";#N/A,#N/A,FALSE,"3다"}</definedName>
    <definedName name="ㅇㅀㅇㅁㄹ" localSheetId="5" hidden="1">{#N/A,#N/A,FALSE,"3가";#N/A,#N/A,FALSE,"3나";#N/A,#N/A,FALSE,"3다"}</definedName>
    <definedName name="ㅇㅀㅇㅁㄹ" hidden="1">{#N/A,#N/A,FALSE,"3가";#N/A,#N/A,FALSE,"3나";#N/A,#N/A,FALSE,"3다"}</definedName>
    <definedName name="ㅇㅁㄻ" localSheetId="25" hidden="1">{#N/A,#N/A,FALSE,"Aging Summary";#N/A,#N/A,FALSE,"Ratio Analysis";#N/A,#N/A,FALSE,"Test 120 Day Accts";#N/A,#N/A,FALSE,"Tickmarks"}</definedName>
    <definedName name="ㅇㅁㄻ" localSheetId="5" hidden="1">{#N/A,#N/A,FALSE,"Aging Summary";#N/A,#N/A,FALSE,"Ratio Analysis";#N/A,#N/A,FALSE,"Test 120 Day Accts";#N/A,#N/A,FALSE,"Tickmarks"}</definedName>
    <definedName name="ㅇㅁㄻ" hidden="1">{#N/A,#N/A,FALSE,"Aging Summary";#N/A,#N/A,FALSE,"Ratio Analysis";#N/A,#N/A,FALSE,"Test 120 Day Accts";#N/A,#N/A,FALSE,"Tickmarks"}</definedName>
    <definedName name="ㅇㅁㄻㅇㄴㄹㅇㅁ" localSheetId="25" hidden="1">{#N/A,#N/A,FALSE,"Aging Summary";#N/A,#N/A,FALSE,"Ratio Analysis";#N/A,#N/A,FALSE,"Test 120 Day Accts";#N/A,#N/A,FALSE,"Tickmarks"}</definedName>
    <definedName name="ㅇㅁㄻㅇㄴㄹㅇㅁ" localSheetId="5" hidden="1">{#N/A,#N/A,FALSE,"Aging Summary";#N/A,#N/A,FALSE,"Ratio Analysis";#N/A,#N/A,FALSE,"Test 120 Day Accts";#N/A,#N/A,FALSE,"Tickmarks"}</definedName>
    <definedName name="ㅇㅁㄻㅇㄴㄹㅇㅁ" hidden="1">{#N/A,#N/A,FALSE,"Aging Summary";#N/A,#N/A,FALSE,"Ratio Analysis";#N/A,#N/A,FALSE,"Test 120 Day Accts";#N/A,#N/A,FALSE,"Tickmarks"}</definedName>
    <definedName name="ㅇㅁㄻㅇㄹ" localSheetId="25" hidden="1">{#N/A,#N/A,FALSE,"Aging Summary";#N/A,#N/A,FALSE,"Ratio Analysis";#N/A,#N/A,FALSE,"Test 120 Day Accts";#N/A,#N/A,FALSE,"Tickmarks"}</definedName>
    <definedName name="ㅇㅁㄻㅇㄹ" localSheetId="5" hidden="1">{#N/A,#N/A,FALSE,"Aging Summary";#N/A,#N/A,FALSE,"Ratio Analysis";#N/A,#N/A,FALSE,"Test 120 Day Accts";#N/A,#N/A,FALSE,"Tickmarks"}</definedName>
    <definedName name="ㅇㅁㄻㅇㄹ" hidden="1">{#N/A,#N/A,FALSE,"Aging Summary";#N/A,#N/A,FALSE,"Ratio Analysis";#N/A,#N/A,FALSE,"Test 120 Day Accts";#N/A,#N/A,FALSE,"Tickmarks"}</definedName>
    <definedName name="ㅇㅇ" localSheetId="25" hidden="1">{#N/A,#N/A,FALSE,"일반적사항";#N/A,#N/A,FALSE,"주요재무자료";#N/A,#N/A,FALSE,"표지";#N/A,#N/A,FALSE,"총괄표";#N/A,#N/A,FALSE,"1호 과표세액";#N/A,#N/A,FALSE,"2호 서식";#N/A,#N/A,FALSE,"3(3)호(갑) 원천납부";#N/A,#N/A,FALSE,"6호 소득금액";#N/A,#N/A,FALSE,"6호 첨부(익)";#N/A,#N/A,FALSE,"6호 첨부(익)";#N/A,#N/A,FALSE,"6호 첨부(손)";#N/A,#N/A,FALSE,"6-1호 수입금액";#N/A,#N/A,FALSE,"6-3호 퇴충";#N/A,#N/A,FALSE,"6-4호 접대(갑)";#N/A,#N/A,FALSE,"6-4호 접대(을)";#N/A,#N/A,FALSE,"감가총괄";#N/A,#N/A,FALSE,"6-6(3)호 감가(정액)";#N/A,#N/A,FALSE,"전기부인액추인";#N/A,#N/A,FALSE,"6-6호(부표) 자본적지출";#N/A,#N/A,FALSE,"6-10호 재고자산";#N/A,#N/A,FALSE,"6-11호 세금과공과";#N/A,#N/A,FALSE,"6-12호 선급비용";#N/A,#N/A,FALSE,"9호 자본금(갑)";#N/A,#N/A,FALSE,"9호 자본금(을)";#N/A,#N/A,FALSE,"10(4)호 조정수입";#N/A,#N/A,FALSE,"59호 해외특수"}</definedName>
    <definedName name="ㅇㅇ" localSheetId="5" hidden="1">{#N/A,#N/A,FALSE,"일반적사항";#N/A,#N/A,FALSE,"주요재무자료";#N/A,#N/A,FALSE,"표지";#N/A,#N/A,FALSE,"총괄표";#N/A,#N/A,FALSE,"1호 과표세액";#N/A,#N/A,FALSE,"2호 서식";#N/A,#N/A,FALSE,"3(3)호(갑) 원천납부";#N/A,#N/A,FALSE,"6호 소득금액";#N/A,#N/A,FALSE,"6호 첨부(익)";#N/A,#N/A,FALSE,"6호 첨부(익)";#N/A,#N/A,FALSE,"6호 첨부(손)";#N/A,#N/A,FALSE,"6-1호 수입금액";#N/A,#N/A,FALSE,"6-3호 퇴충";#N/A,#N/A,FALSE,"6-4호 접대(갑)";#N/A,#N/A,FALSE,"6-4호 접대(을)";#N/A,#N/A,FALSE,"감가총괄";#N/A,#N/A,FALSE,"6-6(3)호 감가(정액)";#N/A,#N/A,FALSE,"전기부인액추인";#N/A,#N/A,FALSE,"6-6호(부표) 자본적지출";#N/A,#N/A,FALSE,"6-10호 재고자산";#N/A,#N/A,FALSE,"6-11호 세금과공과";#N/A,#N/A,FALSE,"6-12호 선급비용";#N/A,#N/A,FALSE,"9호 자본금(갑)";#N/A,#N/A,FALSE,"9호 자본금(을)";#N/A,#N/A,FALSE,"10(4)호 조정수입";#N/A,#N/A,FALSE,"59호 해외특수"}</definedName>
    <definedName name="ㅇㅇ" hidden="1">{#N/A,#N/A,FALSE,"일반적사항";#N/A,#N/A,FALSE,"주요재무자료";#N/A,#N/A,FALSE,"표지";#N/A,#N/A,FALSE,"총괄표";#N/A,#N/A,FALSE,"1호 과표세액";#N/A,#N/A,FALSE,"2호 서식";#N/A,#N/A,FALSE,"3(3)호(갑) 원천납부";#N/A,#N/A,FALSE,"6호 소득금액";#N/A,#N/A,FALSE,"6호 첨부(익)";#N/A,#N/A,FALSE,"6호 첨부(익)";#N/A,#N/A,FALSE,"6호 첨부(손)";#N/A,#N/A,FALSE,"6-1호 수입금액";#N/A,#N/A,FALSE,"6-3호 퇴충";#N/A,#N/A,FALSE,"6-4호 접대(갑)";#N/A,#N/A,FALSE,"6-4호 접대(을)";#N/A,#N/A,FALSE,"감가총괄";#N/A,#N/A,FALSE,"6-6(3)호 감가(정액)";#N/A,#N/A,FALSE,"전기부인액추인";#N/A,#N/A,FALSE,"6-6호(부표) 자본적지출";#N/A,#N/A,FALSE,"6-10호 재고자산";#N/A,#N/A,FALSE,"6-11호 세금과공과";#N/A,#N/A,FALSE,"6-12호 선급비용";#N/A,#N/A,FALSE,"9호 자본금(갑)";#N/A,#N/A,FALSE,"9호 자본금(을)";#N/A,#N/A,FALSE,"10(4)호 조정수입";#N/A,#N/A,FALSE,"59호 해외특수"}</definedName>
    <definedName name="ㅇㅈ"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ㅇㅈ"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ㅇㅈ"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ㅇ誴" localSheetId="2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ㅇ誴" localSheetId="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ㅇ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안" localSheetId="25" hidden="1">{#N/A,#N/A,FALSE,"3가";#N/A,#N/A,FALSE,"3나";#N/A,#N/A,FALSE,"3다"}</definedName>
    <definedName name="안" localSheetId="5" hidden="1">{#N/A,#N/A,FALSE,"3가";#N/A,#N/A,FALSE,"3나";#N/A,#N/A,FALSE,"3다"}</definedName>
    <definedName name="안" hidden="1">{#N/A,#N/A,FALSE,"3가";#N/A,#N/A,FALSE,"3나";#N/A,#N/A,FALSE,"3다"}</definedName>
    <definedName name="앙" localSheetId="25" hidden="1">{#N/A,#N/A,FALSE,"BS";#N/A,#N/A,FALSE,"PL";#N/A,#N/A,FALSE,"처분";#N/A,#N/A,FALSE,"현금";#N/A,#N/A,FALSE,"매출";#N/A,#N/A,FALSE,"원가";#N/A,#N/A,FALSE,"경영"}</definedName>
    <definedName name="앙" localSheetId="5" hidden="1">{#N/A,#N/A,FALSE,"BS";#N/A,#N/A,FALSE,"PL";#N/A,#N/A,FALSE,"처분";#N/A,#N/A,FALSE,"현금";#N/A,#N/A,FALSE,"매출";#N/A,#N/A,FALSE,"원가";#N/A,#N/A,FALSE,"경영"}</definedName>
    <definedName name="앙" hidden="1">{#N/A,#N/A,FALSE,"BS";#N/A,#N/A,FALSE,"PL";#N/A,#N/A,FALSE,"처분";#N/A,#N/A,FALSE,"현금";#N/A,#N/A,FALSE,"매출";#N/A,#N/A,FALSE,"원가";#N/A,#N/A,FALSE,"경영"}</definedName>
    <definedName name="양"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양"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양"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양식1">#REF!</definedName>
    <definedName name="양식2">#REF!</definedName>
    <definedName name="양식3">#REF!</definedName>
    <definedName name="어떡해" localSheetId="25" hidden="1">{"'Sheet1'!$A$1:$H$36"}</definedName>
    <definedName name="어떡해" localSheetId="5" hidden="1">{"'Sheet1'!$A$1:$H$36"}</definedName>
    <definedName name="어떡해" hidden="1">{"'Sheet1'!$A$1:$H$36"}</definedName>
    <definedName name="엘피드럼">#REF!</definedName>
    <definedName name="연구" localSheetId="25" hidden="1">{#N/A,#N/A,FALSE,"3가";#N/A,#N/A,FALSE,"3나";#N/A,#N/A,FALSE,"3다"}</definedName>
    <definedName name="연구" localSheetId="5" hidden="1">{#N/A,#N/A,FALSE,"3가";#N/A,#N/A,FALSE,"3나";#N/A,#N/A,FALSE,"3다"}</definedName>
    <definedName name="연구" hidden="1">{#N/A,#N/A,FALSE,"3가";#N/A,#N/A,FALSE,"3나";#N/A,#N/A,FALSE,"3다"}</definedName>
    <definedName name="영업권" localSheetId="25" hidden="1">{#N/A,#N/A,FALSE,"BS";#N/A,#N/A,FALSE,"PL";#N/A,#N/A,FALSE,"처분";#N/A,#N/A,FALSE,"현금";#N/A,#N/A,FALSE,"매출";#N/A,#N/A,FALSE,"원가";#N/A,#N/A,FALSE,"경영"}</definedName>
    <definedName name="영업권" localSheetId="5" hidden="1">{#N/A,#N/A,FALSE,"BS";#N/A,#N/A,FALSE,"PL";#N/A,#N/A,FALSE,"처분";#N/A,#N/A,FALSE,"현금";#N/A,#N/A,FALSE,"매출";#N/A,#N/A,FALSE,"원가";#N/A,#N/A,FALSE,"경영"}</definedName>
    <definedName name="영업권" hidden="1">{#N/A,#N/A,FALSE,"BS";#N/A,#N/A,FALSE,"PL";#N/A,#N/A,FALSE,"처분";#N/A,#N/A,FALSE,"현금";#N/A,#N/A,FALSE,"매출";#N/A,#N/A,FALSE,"원가";#N/A,#N/A,FALSE,"경영"}</definedName>
    <definedName name="영업외비용" localSheetId="25" hidden="1">{#N/A,#N/A,FALSE,"Aging Summary";#N/A,#N/A,FALSE,"Ratio Analysis";#N/A,#N/A,FALSE,"Test 120 Day Accts";#N/A,#N/A,FALSE,"Tickmarks"}</definedName>
    <definedName name="영업외비용" localSheetId="5" hidden="1">{#N/A,#N/A,FALSE,"Aging Summary";#N/A,#N/A,FALSE,"Ratio Analysis";#N/A,#N/A,FALSE,"Test 120 Day Accts";#N/A,#N/A,FALSE,"Tickmarks"}</definedName>
    <definedName name="영업외비용" hidden="1">{#N/A,#N/A,FALSE,"Aging Summary";#N/A,#N/A,FALSE,"Ratio Analysis";#N/A,#N/A,FALSE,"Test 120 Day Accts";#N/A,#N/A,FALSE,"Tickmarks"}</definedName>
    <definedName name="영흥" localSheetId="25" hidden="1">{"Edition",#N/A,FALSE,"Data"}</definedName>
    <definedName name="영흥" localSheetId="0" hidden="1">{"Edition",#N/A,FALSE,"Data"}</definedName>
    <definedName name="영흥" localSheetId="5" hidden="1">{"Edition",#N/A,FALSE,"Data"}</definedName>
    <definedName name="영흥" hidden="1">{"Edition",#N/A,FALSE,"Data"}</definedName>
    <definedName name="영흥2" localSheetId="25" hidden="1">{"Edition",#N/A,FALSE,"Data"}</definedName>
    <definedName name="영흥2" localSheetId="0" hidden="1">{"Edition",#N/A,FALSE,"Data"}</definedName>
    <definedName name="영흥2" localSheetId="5" hidden="1">{"Edition",#N/A,FALSE,"Data"}</definedName>
    <definedName name="영흥2" hidden="1">{"Edition",#N/A,FALSE,"Data"}</definedName>
    <definedName name="왜이러냐" localSheetId="25" hidden="1">{"'Sheet1'!$A$1:$H$36"}</definedName>
    <definedName name="왜이러냐" localSheetId="5" hidden="1">{"'Sheet1'!$A$1:$H$36"}</definedName>
    <definedName name="왜이러냐" hidden="1">{"'Sheet1'!$A$1:$H$36"}</definedName>
    <definedName name="외화"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환산" localSheetId="25" hidden="1">{#N/A,#N/A,FALSE,"Aging Summary";#N/A,#N/A,FALSE,"Ratio Analysis";#N/A,#N/A,FALSE,"Test 120 Day Accts";#N/A,#N/A,FALSE,"Tickmarks"}</definedName>
    <definedName name="외화환산" localSheetId="5" hidden="1">{#N/A,#N/A,FALSE,"Aging Summary";#N/A,#N/A,FALSE,"Ratio Analysis";#N/A,#N/A,FALSE,"Test 120 Day Accts";#N/A,#N/A,FALSE,"Tickmarks"}</definedName>
    <definedName name="외화환산" hidden="1">{#N/A,#N/A,FALSE,"Aging Summary";#N/A,#N/A,FALSE,"Ratio Analysis";#N/A,#N/A,FALSE,"Test 120 Day Accts";#N/A,#N/A,FALSE,"Tickmarks"}</definedName>
    <definedName name="외환산"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외환산"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외환산"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외환산조서"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외환산조서"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외환산조서"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외환차손ADJ"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외환차손ADJ"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외환차손ADJ"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원가집계">#REF!</definedName>
    <definedName name="원천납부8" localSheetId="2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초적계획" localSheetId="0">#REF!</definedName>
    <definedName name="원초적계획">#REF!</definedName>
    <definedName name="월_판매">#REF!</definedName>
    <definedName name="위치" localSheetId="25" hidden="1">{"Edition",#N/A,FALSE,"Data"}</definedName>
    <definedName name="위치" localSheetId="0" hidden="1">{"Edition",#N/A,FALSE,"Data"}</definedName>
    <definedName name="위치" localSheetId="5" hidden="1">{"Edition",#N/A,FALSE,"Data"}</definedName>
    <definedName name="위치" hidden="1">{"Edition",#N/A,FALSE,"Data"}</definedName>
    <definedName name="유가증권평가test" localSheetId="25" hidden="1">{#N/A,#N/A,FALSE,"Aging Summary";#N/A,#N/A,FALSE,"Ratio Analysis";#N/A,#N/A,FALSE,"Test 120 Day Accts";#N/A,#N/A,FALSE,"Tickmarks"}</definedName>
    <definedName name="유가증권평가test" localSheetId="5" hidden="1">{#N/A,#N/A,FALSE,"Aging Summary";#N/A,#N/A,FALSE,"Ratio Analysis";#N/A,#N/A,FALSE,"Test 120 Day Accts";#N/A,#N/A,FALSE,"Tickmarks"}</definedName>
    <definedName name="유가증권평가test" hidden="1">{#N/A,#N/A,FALSE,"Aging Summary";#N/A,#N/A,FALSE,"Ratio Analysis";#N/A,#N/A,FALSE,"Test 120 Day Accts";#N/A,#N/A,FALSE,"Tickmarks"}</definedName>
    <definedName name="유니트" localSheetId="25" hidden="1">{#N/A,#N/A,FALSE,"3가";#N/A,#N/A,FALSE,"3나";#N/A,#N/A,FALSE,"3다"}</definedName>
    <definedName name="유니트" localSheetId="5" hidden="1">{#N/A,#N/A,FALSE,"3가";#N/A,#N/A,FALSE,"3나";#N/A,#N/A,FALSE,"3다"}</definedName>
    <definedName name="유니트" hidden="1">{#N/A,#N/A,FALSE,"3가";#N/A,#N/A,FALSE,"3나";#N/A,#N/A,FALSE,"3다"}</definedName>
    <definedName name="유형자산" localSheetId="25" hidden="1">{#N/A,#N/A,FALSE,"Aging Summary";#N/A,#N/A,FALSE,"Ratio Analysis";#N/A,#N/A,FALSE,"Test 120 Day Accts";#N/A,#N/A,FALSE,"Tickmarks"}</definedName>
    <definedName name="유형자산" localSheetId="5" hidden="1">{#N/A,#N/A,FALSE,"Aging Summary";#N/A,#N/A,FALSE,"Ratio Analysis";#N/A,#N/A,FALSE,"Test 120 Day Accts";#N/A,#N/A,FALSE,"Tickmarks"}</definedName>
    <definedName name="유형자산" hidden="1">{#N/A,#N/A,FALSE,"Aging Summary";#N/A,#N/A,FALSE,"Ratio Analysis";#N/A,#N/A,FALSE,"Test 120 Day Accts";#N/A,#N/A,FALSE,"Tickmarks"}</definedName>
    <definedName name="유형자산tot" localSheetId="25" hidden="1">{#N/A,#N/A,FALSE,"Aging Summary";#N/A,#N/A,FALSE,"Ratio Analysis";#N/A,#N/A,FALSE,"Test 120 Day Accts";#N/A,#N/A,FALSE,"Tickmarks"}</definedName>
    <definedName name="유형자산tot" localSheetId="5" hidden="1">{#N/A,#N/A,FALSE,"Aging Summary";#N/A,#N/A,FALSE,"Ratio Analysis";#N/A,#N/A,FALSE,"Test 120 Day Accts";#N/A,#N/A,FALSE,"Tickmarks"}</definedName>
    <definedName name="유형자산tot" hidden="1">{#N/A,#N/A,FALSE,"Aging Summary";#N/A,#N/A,FALSE,"Ratio Analysis";#N/A,#N/A,FALSE,"Test 120 Day Accts";#N/A,#N/A,FALSE,"Tickmarks"}</definedName>
    <definedName name="은성호" localSheetId="0">BlankMacro1</definedName>
    <definedName name="은성호" localSheetId="46">BlankMacro1</definedName>
    <definedName name="은성호" localSheetId="45">BlankMacro1</definedName>
    <definedName name="은성호" localSheetId="49">BlankMacro1</definedName>
    <definedName name="은성호" localSheetId="50">BlankMacro1</definedName>
    <definedName name="은성호" localSheetId="51">BlankMacro1</definedName>
    <definedName name="은성호" localSheetId="52">BlankMacro1</definedName>
    <definedName name="은성호" localSheetId="56">BlankMacro1</definedName>
    <definedName name="은성호" localSheetId="57">BlankMacro1</definedName>
    <definedName name="은성호" localSheetId="58">BlankMacro1</definedName>
    <definedName name="은성호" localSheetId="59">BlankMacro1</definedName>
    <definedName name="은성호">BlankMacro1</definedName>
    <definedName name="이익"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이익"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이익"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이지숙" localSheetId="0">BlankMacro1</definedName>
    <definedName name="이지숙" localSheetId="46">BlankMacro1</definedName>
    <definedName name="이지숙" localSheetId="45">BlankMacro1</definedName>
    <definedName name="이지숙" localSheetId="49">BlankMacro1</definedName>
    <definedName name="이지숙" localSheetId="50">BlankMacro1</definedName>
    <definedName name="이지숙" localSheetId="51">BlankMacro1</definedName>
    <definedName name="이지숙" localSheetId="52">BlankMacro1</definedName>
    <definedName name="이지숙" localSheetId="56">BlankMacro1</definedName>
    <definedName name="이지숙" localSheetId="57">BlankMacro1</definedName>
    <definedName name="이지숙" localSheetId="58">BlankMacro1</definedName>
    <definedName name="이지숙" localSheetId="59">BlankMacro1</definedName>
    <definedName name="이지숙">BlankMacro1</definedName>
    <definedName name="인정" localSheetId="2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인정"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인정"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임율표" localSheetId="0">#REF!</definedName>
    <definedName name="임율표">#REF!</definedName>
    <definedName name="ㅈ" localSheetId="25" hidden="1">{#N/A,#N/A,FALSE,"Aging Summary";#N/A,#N/A,FALSE,"Ratio Analysis";#N/A,#N/A,FALSE,"Test 120 Day Accts";#N/A,#N/A,FALSE,"Tickmarks"}</definedName>
    <definedName name="ㅈ" localSheetId="0">#REF!</definedName>
    <definedName name="ㅈ" localSheetId="5" hidden="1">{#N/A,#N/A,FALSE,"Aging Summary";#N/A,#N/A,FALSE,"Ratio Analysis";#N/A,#N/A,FALSE,"Test 120 Day Accts";#N/A,#N/A,FALSE,"Tickmarks"}</definedName>
    <definedName name="ㅈ" hidden="1">{#N/A,#N/A,FALSE,"Aging Summary";#N/A,#N/A,FALSE,"Ratio Analysis";#N/A,#N/A,FALSE,"Test 120 Day Accts";#N/A,#N/A,FALSE,"Tickmarks"}</definedName>
    <definedName name="ㅈㄷㄱㄱ" localSheetId="25" hidden="1">{#N/A,#N/A,FALSE,"Aging Summary";#N/A,#N/A,FALSE,"Ratio Analysis";#N/A,#N/A,FALSE,"Test 120 Day Accts";#N/A,#N/A,FALSE,"Tickmarks"}</definedName>
    <definedName name="ㅈㄷㄱㄱ" localSheetId="5" hidden="1">{#N/A,#N/A,FALSE,"Aging Summary";#N/A,#N/A,FALSE,"Ratio Analysis";#N/A,#N/A,FALSE,"Test 120 Day Accts";#N/A,#N/A,FALSE,"Tickmarks"}</definedName>
    <definedName name="ㅈㄷㄱㄱ" hidden="1">{#N/A,#N/A,FALSE,"Aging Summary";#N/A,#N/A,FALSE,"Ratio Analysis";#N/A,#N/A,FALSE,"Test 120 Day Accts";#N/A,#N/A,FALSE,"Tickmarks"}</definedName>
    <definedName name="ㅈㅈㅈ" localSheetId="25" hidden="1">{#N/A,#N/A,FALSE,"일반적사항";#N/A,#N/A,FALSE,"주요재무자료";#N/A,#N/A,FALSE,"표지";#N/A,#N/A,FALSE,"총괄표";#N/A,#N/A,FALSE,"1호 과표세액";#N/A,#N/A,FALSE,"2호 서식";#N/A,#N/A,FALSE,"3(3)호(갑) 원천납부";#N/A,#N/A,FALSE,"6호 소득금액";#N/A,#N/A,FALSE,"6호 첨부(익)";#N/A,#N/A,FALSE,"6호 첨부(손)";#N/A,#N/A,FALSE,"6-1호 수입금액";#N/A,#N/A,FALSE,"6-3호 퇴충";#N/A,#N/A,FALSE,"6-4호 접대(갑)";#N/A,#N/A,FALSE,"6-4호 접대(을)";#N/A,#N/A,FALSE,"6-5 갑 외화";#N/A,#N/A,FALSE,"6-5을 외화";#N/A,#N/A,FALSE,"감가총괄";#N/A,#N/A,FALSE,"전기부인액추인";#N/A,#N/A,FALSE,"6-6호(부표) 자본적지출";#N/A,#N/A,FALSE,"6-11호 세금과공과";#N/A,#N/A,FALSE,"6-12호 선급비용";#N/A,#N/A,FALSE,"9호 자본금(갑)";#N/A,#N/A,FALSE,"9호 자본금(을)";#N/A,#N/A,FALSE,"10(3)호 주요계정";#N/A,#N/A,FALSE,"10(4)호 조정수입";#N/A,#N/A,FALSE,"12호 중소검토";#N/A,#N/A,FALSE,"14(1) 주주이동(갑)";#N/A,#N/A,FALSE,"59호 해외특수";#N/A,#N/A,FALSE,"해외명세";#N/A,#N/A,FALSE,"요약 BS";#N/A,#N/A,FALSE,"요약RE";#N/A,#N/A,FALSE,"요약 PL"}</definedName>
    <definedName name="ㅈㅈㅈ" localSheetId="5" hidden="1">{#N/A,#N/A,FALSE,"일반적사항";#N/A,#N/A,FALSE,"주요재무자료";#N/A,#N/A,FALSE,"표지";#N/A,#N/A,FALSE,"총괄표";#N/A,#N/A,FALSE,"1호 과표세액";#N/A,#N/A,FALSE,"2호 서식";#N/A,#N/A,FALSE,"3(3)호(갑) 원천납부";#N/A,#N/A,FALSE,"6호 소득금액";#N/A,#N/A,FALSE,"6호 첨부(익)";#N/A,#N/A,FALSE,"6호 첨부(손)";#N/A,#N/A,FALSE,"6-1호 수입금액";#N/A,#N/A,FALSE,"6-3호 퇴충";#N/A,#N/A,FALSE,"6-4호 접대(갑)";#N/A,#N/A,FALSE,"6-4호 접대(을)";#N/A,#N/A,FALSE,"6-5 갑 외화";#N/A,#N/A,FALSE,"6-5을 외화";#N/A,#N/A,FALSE,"감가총괄";#N/A,#N/A,FALSE,"전기부인액추인";#N/A,#N/A,FALSE,"6-6호(부표) 자본적지출";#N/A,#N/A,FALSE,"6-11호 세금과공과";#N/A,#N/A,FALSE,"6-12호 선급비용";#N/A,#N/A,FALSE,"9호 자본금(갑)";#N/A,#N/A,FALSE,"9호 자본금(을)";#N/A,#N/A,FALSE,"10(3)호 주요계정";#N/A,#N/A,FALSE,"10(4)호 조정수입";#N/A,#N/A,FALSE,"12호 중소검토";#N/A,#N/A,FALSE,"14(1) 주주이동(갑)";#N/A,#N/A,FALSE,"59호 해외특수";#N/A,#N/A,FALSE,"해외명세";#N/A,#N/A,FALSE,"요약 BS";#N/A,#N/A,FALSE,"요약RE";#N/A,#N/A,FALSE,"요약 PL"}</definedName>
    <definedName name="ㅈㅈㅈ" hidden="1">{#N/A,#N/A,FALSE,"일반적사항";#N/A,#N/A,FALSE,"주요재무자료";#N/A,#N/A,FALSE,"표지";#N/A,#N/A,FALSE,"총괄표";#N/A,#N/A,FALSE,"1호 과표세액";#N/A,#N/A,FALSE,"2호 서식";#N/A,#N/A,FALSE,"3(3)호(갑) 원천납부";#N/A,#N/A,FALSE,"6호 소득금액";#N/A,#N/A,FALSE,"6호 첨부(익)";#N/A,#N/A,FALSE,"6호 첨부(손)";#N/A,#N/A,FALSE,"6-1호 수입금액";#N/A,#N/A,FALSE,"6-3호 퇴충";#N/A,#N/A,FALSE,"6-4호 접대(갑)";#N/A,#N/A,FALSE,"6-4호 접대(을)";#N/A,#N/A,FALSE,"6-5 갑 외화";#N/A,#N/A,FALSE,"6-5을 외화";#N/A,#N/A,FALSE,"감가총괄";#N/A,#N/A,FALSE,"전기부인액추인";#N/A,#N/A,FALSE,"6-6호(부표) 자본적지출";#N/A,#N/A,FALSE,"6-11호 세금과공과";#N/A,#N/A,FALSE,"6-12호 선급비용";#N/A,#N/A,FALSE,"9호 자본금(갑)";#N/A,#N/A,FALSE,"9호 자본금(을)";#N/A,#N/A,FALSE,"10(3)호 주요계정";#N/A,#N/A,FALSE,"10(4)호 조정수입";#N/A,#N/A,FALSE,"12호 중소검토";#N/A,#N/A,FALSE,"14(1) 주주이동(갑)";#N/A,#N/A,FALSE,"59호 해외특수";#N/A,#N/A,FALSE,"해외명세";#N/A,#N/A,FALSE,"요약 BS";#N/A,#N/A,FALSE,"요약RE";#N/A,#N/A,FALSE,"요약 PL"}</definedName>
    <definedName name="ㅈㅈㅈㅈ" localSheetId="25" hidden="1">{"'Sheet1'!$A$1:$H$36"}</definedName>
    <definedName name="ㅈㅈㅈㅈ" localSheetId="5" hidden="1">{"'Sheet1'!$A$1:$H$36"}</definedName>
    <definedName name="ㅈㅈㅈㅈ" hidden="1">{"'Sheet1'!$A$1:$H$36"}</definedName>
    <definedName name="자" localSheetId="25" hidden="1">{#N/A,#N/A,FALSE,"3가";#N/A,#N/A,FALSE,"3나";#N/A,#N/A,FALSE,"3다"}</definedName>
    <definedName name="자" localSheetId="5" hidden="1">{#N/A,#N/A,FALSE,"3가";#N/A,#N/A,FALSE,"3나";#N/A,#N/A,FALSE,"3다"}</definedName>
    <definedName name="자" hidden="1">{#N/A,#N/A,FALSE,"3가";#N/A,#N/A,FALSE,"3나";#N/A,#N/A,FALSE,"3다"}</definedName>
    <definedName name="자금집행실적" localSheetId="25" hidden="1">{"'Sheet1'!$A$1:$H$36"}</definedName>
    <definedName name="자금집행실적" localSheetId="5" hidden="1">{"'Sheet1'!$A$1:$H$36"}</definedName>
    <definedName name="자금집행실적" hidden="1">{"'Sheet1'!$A$1:$H$36"}</definedName>
    <definedName name="자본" localSheetId="25" hidden="1">{#N/A,#N/A,FALSE,"Aging Summary";#N/A,#N/A,FALSE,"Ratio Analysis";#N/A,#N/A,FALSE,"Test 120 Day Accts";#N/A,#N/A,FALSE,"Tickmarks"}</definedName>
    <definedName name="자본" localSheetId="5" hidden="1">{#N/A,#N/A,FALSE,"Aging Summary";#N/A,#N/A,FALSE,"Ratio Analysis";#N/A,#N/A,FALSE,"Test 120 Day Accts";#N/A,#N/A,FALSE,"Tickmarks"}</definedName>
    <definedName name="자본" hidden="1">{#N/A,#N/A,FALSE,"Aging Summary";#N/A,#N/A,FALSE,"Ratio Analysis";#N/A,#N/A,FALSE,"Test 120 Day Accts";#N/A,#N/A,FALSE,"Tickmarks"}</definedName>
    <definedName name="자본금" localSheetId="25" hidden="1">{#N/A,#N/A,FALSE,"Aging Summary";#N/A,#N/A,FALSE,"Ratio Analysis";#N/A,#N/A,FALSE,"Test 120 Day Accts";#N/A,#N/A,FALSE,"Tickmarks"}</definedName>
    <definedName name="자본금" localSheetId="5" hidden="1">{#N/A,#N/A,FALSE,"Aging Summary";#N/A,#N/A,FALSE,"Ratio Analysis";#N/A,#N/A,FALSE,"Test 120 Day Accts";#N/A,#N/A,FALSE,"Tickmarks"}</definedName>
    <definedName name="자본금" hidden="1">{#N/A,#N/A,FALSE,"Aging Summary";#N/A,#N/A,FALSE,"Ratio Analysis";#N/A,#N/A,FALSE,"Test 120 Day Accts";#N/A,#N/A,FALSE,"Tickmarks"}</definedName>
    <definedName name="자본방" localSheetId="25" hidden="1">{#N/A,#N/A,FALSE,"Aging Summary";#N/A,#N/A,FALSE,"Ratio Analysis";#N/A,#N/A,FALSE,"Test 120 Day Accts";#N/A,#N/A,FALSE,"Tickmarks"}</definedName>
    <definedName name="자본방" localSheetId="5" hidden="1">{#N/A,#N/A,FALSE,"Aging Summary";#N/A,#N/A,FALSE,"Ratio Analysis";#N/A,#N/A,FALSE,"Test 120 Day Accts";#N/A,#N/A,FALSE,"Tickmarks"}</definedName>
    <definedName name="자본방" hidden="1">{#N/A,#N/A,FALSE,"Aging Summary";#N/A,#N/A,FALSE,"Ratio Analysis";#N/A,#N/A,FALSE,"Test 120 Day Accts";#N/A,#N/A,FALSE,"Tickmarks"}</definedName>
    <definedName name="작업"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작업"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작업"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잡이익분석"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잡이익분석"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잡이익분석"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장수인" localSheetId="0">#REF!</definedName>
    <definedName name="장수인">#REF!</definedName>
    <definedName name="재고자산"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재고자산"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재고자산"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전">#REF!</definedName>
    <definedName name="전산장비" localSheetId="25" hidden="1">{"'Sheet1'!$A$1:$H$36"}</definedName>
    <definedName name="전산장비" localSheetId="5" hidden="1">{"'Sheet1'!$A$1:$H$36"}</definedName>
    <definedName name="전산장비" hidden="1">{"'Sheet1'!$A$1:$H$36"}</definedName>
    <definedName name="전장">#REF!</definedName>
    <definedName name="접대비"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접대비"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접대비"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정상가격"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정상가격"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정상가격2"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제1안" localSheetId="25" hidden="1">{#N/A,#N/A,TRUE,"매출진척-1";#N/A,#N/A,TRUE,"매출진척-2";#N/A,#N/A,TRUE,"제품실적";#N/A,#N/A,TRUE,"RAC";#N/A,#N/A,TRUE,"PAC ";#N/A,#N/A,TRUE,"재고현황";#N/A,#N/A,TRUE,"공지사항"}</definedName>
    <definedName name="제1안" localSheetId="5" hidden="1">{#N/A,#N/A,TRUE,"매출진척-1";#N/A,#N/A,TRUE,"매출진척-2";#N/A,#N/A,TRUE,"제품실적";#N/A,#N/A,TRUE,"RAC";#N/A,#N/A,TRUE,"PAC ";#N/A,#N/A,TRUE,"재고현황";#N/A,#N/A,TRUE,"공지사항"}</definedName>
    <definedName name="제1안" hidden="1">{#N/A,#N/A,TRUE,"매출진척-1";#N/A,#N/A,TRUE,"매출진척-2";#N/A,#N/A,TRUE,"제품실적";#N/A,#N/A,TRUE,"RAC";#N/A,#N/A,TRUE,"PAC ";#N/A,#N/A,TRUE,"재고현황";#N/A,#N/A,TRUE,"공지사항"}</definedName>
    <definedName name="제원">#REF!</definedName>
    <definedName name="제조원가">#REF!</definedName>
    <definedName name="제주추가종합수정안" localSheetId="25" hidden="1">{#N/A,#N/A,FALSE,"3가";#N/A,#N/A,FALSE,"3나";#N/A,#N/A,FALSE,"3다"}</definedName>
    <definedName name="제주추가종합수정안" localSheetId="5" hidden="1">{#N/A,#N/A,FALSE,"3가";#N/A,#N/A,FALSE,"3나";#N/A,#N/A,FALSE,"3다"}</definedName>
    <definedName name="제주추가종합수정안" hidden="1">{#N/A,#N/A,FALSE,"3가";#N/A,#N/A,FALSE,"3나";#N/A,#N/A,FALSE,"3다"}</definedName>
    <definedName name="주주" localSheetId="25" hidden="1">{#N/A,#N/A,FALSE,"Aging Summary";#N/A,#N/A,FALSE,"Ratio Analysis";#N/A,#N/A,FALSE,"Test 120 Day Accts";#N/A,#N/A,FALSE,"Tickmarks"}</definedName>
    <definedName name="주주" localSheetId="5" hidden="1">{#N/A,#N/A,FALSE,"Aging Summary";#N/A,#N/A,FALSE,"Ratio Analysis";#N/A,#N/A,FALSE,"Test 120 Day Accts";#N/A,#N/A,FALSE,"Tickmarks"}</definedName>
    <definedName name="주주" hidden="1">{#N/A,#N/A,FALSE,"Aging Summary";#N/A,#N/A,FALSE,"Ratio Analysis";#N/A,#N/A,FALSE,"Test 120 Day Accts";#N/A,#N/A,FALSE,"Tickmarks"}</definedName>
    <definedName name="주택사업본부">#REF!</definedName>
    <definedName name="준" localSheetId="25" hidden="1">{#N/A,#N/A,FALSE,"Aging Summary";#N/A,#N/A,FALSE,"Ratio Analysis";#N/A,#N/A,FALSE,"Test 120 Day Accts";#N/A,#N/A,FALSE,"Tickmarks"}</definedName>
    <definedName name="준" localSheetId="5" hidden="1">{#N/A,#N/A,FALSE,"Aging Summary";#N/A,#N/A,FALSE,"Ratio Analysis";#N/A,#N/A,FALSE,"Test 120 Day Accts";#N/A,#N/A,FALSE,"Tickmarks"}</definedName>
    <definedName name="준" hidden="1">{#N/A,#N/A,FALSE,"Aging Summary";#N/A,#N/A,FALSE,"Ratio Analysis";#N/A,#N/A,FALSE,"Test 120 Day Accts";#N/A,#N/A,FALSE,"Tickmarks"}</definedName>
    <definedName name="중간예납"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중간예납"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중간예납"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중간예납신고납계산서" localSheetId="2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중간예납신고납계산서" localSheetId="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중간예납신고납계산서"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중간예납신고납부계산서" localSheetId="2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중간예납신고납부계산서"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중간예납신고납부계산서"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중기예산" localSheetId="25" hidden="1">{#N/A,#N/A,FALSE,"3가";#N/A,#N/A,FALSE,"3나";#N/A,#N/A,FALSE,"3다"}</definedName>
    <definedName name="중기예산" localSheetId="5" hidden="1">{#N/A,#N/A,FALSE,"3가";#N/A,#N/A,FALSE,"3나";#N/A,#N/A,FALSE,"3다"}</definedName>
    <definedName name="중기예산" hidden="1">{#N/A,#N/A,FALSE,"3가";#N/A,#N/A,FALSE,"3나";#N/A,#N/A,FALSE,"3다"}</definedName>
    <definedName name="중장비건축" localSheetId="0">BlankMacro1</definedName>
    <definedName name="중장비건축" localSheetId="46">BlankMacro1</definedName>
    <definedName name="중장비건축" localSheetId="45">BlankMacro1</definedName>
    <definedName name="중장비건축" localSheetId="49">BlankMacro1</definedName>
    <definedName name="중장비건축" localSheetId="50">BlankMacro1</definedName>
    <definedName name="중장비건축" localSheetId="51">BlankMacro1</definedName>
    <definedName name="중장비건축" localSheetId="52">BlankMacro1</definedName>
    <definedName name="중장비건축" localSheetId="56">BlankMacro1</definedName>
    <definedName name="중장비건축" localSheetId="57">BlankMacro1</definedName>
    <definedName name="중장비건축" localSheetId="58">BlankMacro1</definedName>
    <definedName name="중장비건축" localSheetId="59">BlankMacro1</definedName>
    <definedName name="중장비건축">BlankMacro1</definedName>
    <definedName name="증계">#N/A</definedName>
    <definedName name="증대">#N/A</definedName>
    <definedName name="증대2">#N/A</definedName>
    <definedName name="지1">#REF!</definedName>
    <definedName name="지21">#REF!</definedName>
    <definedName name="지22">#REF!</definedName>
    <definedName name="지23">#REF!</definedName>
    <definedName name="지24">#REF!</definedName>
    <definedName name="지25">#REF!</definedName>
    <definedName name="지숙1" localSheetId="0">BlankMacro1</definedName>
    <definedName name="지숙1" localSheetId="46">BlankMacro1</definedName>
    <definedName name="지숙1" localSheetId="45">BlankMacro1</definedName>
    <definedName name="지숙1" localSheetId="49">BlankMacro1</definedName>
    <definedName name="지숙1" localSheetId="50">BlankMacro1</definedName>
    <definedName name="지숙1" localSheetId="51">BlankMacro1</definedName>
    <definedName name="지숙1" localSheetId="52">BlankMacro1</definedName>
    <definedName name="지숙1" localSheetId="56">BlankMacro1</definedName>
    <definedName name="지숙1" localSheetId="57">BlankMacro1</definedName>
    <definedName name="지숙1" localSheetId="58">BlankMacro1</definedName>
    <definedName name="지숙1" localSheetId="59">BlankMacro1</definedName>
    <definedName name="지숙1">BlankMacro1</definedName>
    <definedName name="지지물">#REF!</definedName>
    <definedName name="지지물집계">#REF!</definedName>
    <definedName name="직노">#REF!</definedName>
    <definedName name="직접_선택">#REF!</definedName>
    <definedName name="직접재료비">#REF!</definedName>
    <definedName name="진" localSheetId="25" hidden="1">{#N/A,#N/A,FALSE,"3가";#N/A,#N/A,FALSE,"3나";#N/A,#N/A,FALSE,"3다"}</definedName>
    <definedName name="진" localSheetId="5" hidden="1">{#N/A,#N/A,FALSE,"3가";#N/A,#N/A,FALSE,"3나";#N/A,#N/A,FALSE,"3다"}</definedName>
    <definedName name="진" hidden="1">{#N/A,#N/A,FALSE,"3가";#N/A,#N/A,FALSE,"3나";#N/A,#N/A,FALSE,"3다"}</definedName>
    <definedName name="집행실적200211" localSheetId="25" hidden="1">{"'Sheet1'!$A$1:$H$36"}</definedName>
    <definedName name="집행실적200211" localSheetId="5" hidden="1">{"'Sheet1'!$A$1:$H$36"}</definedName>
    <definedName name="집행실적200211" hidden="1">{"'Sheet1'!$A$1:$H$36"}</definedName>
    <definedName name="짚게">#REF!</definedName>
    <definedName name="ㅊㅌㅍㅊㅍㅊㅌㅍㅊㅌㅍㅊㅌㅍㅊㅌㅍㅊㅌㅍ" localSheetId="0" hidden="1">#REF!</definedName>
    <definedName name="ㅊㅌㅍㅊㅍㅊㅌㅍㅊㅌㅍㅊㅌㅍㅊㅌㅍㅊㅌㅍ" hidden="1">#REF!</definedName>
    <definedName name="ㅊㅌㅍㅊㅍㅌㅋㅊㅍㅌㅊㅍ" localSheetId="0" hidden="1">#REF!</definedName>
    <definedName name="ㅊㅌㅍㅊㅍㅌㅋㅊㅍㅌㅊㅍ" hidden="1">#REF!</definedName>
    <definedName name="ㅊㅌㅍㅋㅊㅍㅌㅊㅍㅌㅊㅍ" localSheetId="0" hidden="1">#REF!</definedName>
    <definedName name="ㅊㅌㅍㅋㅊㅍㅌㅊㅍㅌㅊㅍ" hidden="1">#REF!</definedName>
    <definedName name="ㅊㅌㅍㅌㅊㅍㅊㅌㅍㅌㅊㅍㅌㅊㅍ" localSheetId="0" hidden="1">#REF!</definedName>
    <definedName name="ㅊㅌㅍㅌㅊㅍㅊㅌㅍㅌㅊㅍㅌㅊㅍ" hidden="1">#REF!</definedName>
    <definedName name="차량" localSheetId="0">BlankMacro1</definedName>
    <definedName name="차량" localSheetId="46">BlankMacro1</definedName>
    <definedName name="차량" localSheetId="45">BlankMacro1</definedName>
    <definedName name="차량" localSheetId="49">BlankMacro1</definedName>
    <definedName name="차량" localSheetId="50">BlankMacro1</definedName>
    <definedName name="차량" localSheetId="51">BlankMacro1</definedName>
    <definedName name="차량" localSheetId="52">BlankMacro1</definedName>
    <definedName name="차량" localSheetId="56">BlankMacro1</definedName>
    <definedName name="차량" localSheetId="57">BlankMacro1</definedName>
    <definedName name="차량" localSheetId="58">BlankMacro1</definedName>
    <definedName name="차량" localSheetId="59">BlankMacro1</definedName>
    <definedName name="차량">BlankMacro1</definedName>
    <definedName name="차량1" localSheetId="0">BlankMacro1</definedName>
    <definedName name="차량1" localSheetId="46">BlankMacro1</definedName>
    <definedName name="차량1" localSheetId="45">BlankMacro1</definedName>
    <definedName name="차량1" localSheetId="49">BlankMacro1</definedName>
    <definedName name="차량1" localSheetId="50">BlankMacro1</definedName>
    <definedName name="차량1" localSheetId="51">BlankMacro1</definedName>
    <definedName name="차량1" localSheetId="52">BlankMacro1</definedName>
    <definedName name="차량1" localSheetId="56">BlankMacro1</definedName>
    <definedName name="차량1" localSheetId="57">BlankMacro1</definedName>
    <definedName name="차량1" localSheetId="58">BlankMacro1</definedName>
    <definedName name="차량1" localSheetId="59">BlankMacro1</definedName>
    <definedName name="차량1">BlankMacro1</definedName>
    <definedName name="철구사업본부">#REF!</definedName>
    <definedName name="총괄" localSheetId="25" hidden="1">{#N/A,#N/A,TRUE,"1호 과표세액";#N/A,#N/A,TRUE,"6호 첨부(익)";#N/A,#N/A,TRUE,"6-3호 퇴충";#N/A,#N/A,TRUE,"PL";#N/A,#N/A,TRUE,"BS";#N/A,#N/A,TRUE,"RE";#N/A,#N/A,TRUE,"표지"}</definedName>
    <definedName name="총괄" localSheetId="5" hidden="1">{#N/A,#N/A,TRUE,"1호 과표세액";#N/A,#N/A,TRUE,"6호 첨부(익)";#N/A,#N/A,TRUE,"6-3호 퇴충";#N/A,#N/A,TRUE,"PL";#N/A,#N/A,TRUE,"BS";#N/A,#N/A,TRUE,"RE";#N/A,#N/A,TRUE,"표지"}</definedName>
    <definedName name="총괄" hidden="1">{#N/A,#N/A,TRUE,"1호 과표세액";#N/A,#N/A,TRUE,"6호 첨부(익)";#N/A,#N/A,TRUE,"6-3호 퇴충";#N/A,#N/A,TRUE,"PL";#N/A,#N/A,TRUE,"BS";#N/A,#N/A,TRUE,"RE";#N/A,#N/A,TRUE,"표지"}</definedName>
    <definedName name="총괄11" localSheetId="25" hidden="1">{#N/A,#N/A,FALSE,"3가";#N/A,#N/A,FALSE,"3나";#N/A,#N/A,FALSE,"3다"}</definedName>
    <definedName name="총괄11" localSheetId="5" hidden="1">{#N/A,#N/A,FALSE,"3가";#N/A,#N/A,FALSE,"3나";#N/A,#N/A,FALSE,"3다"}</definedName>
    <definedName name="총괄11" hidden="1">{#N/A,#N/A,FALSE,"3가";#N/A,#N/A,FALSE,"3나";#N/A,#N/A,FALSE,"3다"}</definedName>
    <definedName name="최상철" localSheetId="0">BlankMacro1</definedName>
    <definedName name="최상철" localSheetId="46">BlankMacro1</definedName>
    <definedName name="최상철" localSheetId="45">BlankMacro1</definedName>
    <definedName name="최상철" localSheetId="49">BlankMacro1</definedName>
    <definedName name="최상철" localSheetId="50">BlankMacro1</definedName>
    <definedName name="최상철" localSheetId="51">BlankMacro1</definedName>
    <definedName name="최상철" localSheetId="52">BlankMacro1</definedName>
    <definedName name="최상철" localSheetId="56">BlankMacro1</definedName>
    <definedName name="최상철" localSheetId="57">BlankMacro1</definedName>
    <definedName name="최상철" localSheetId="58">BlankMacro1</definedName>
    <definedName name="최상철" localSheetId="59">BlankMacro1</definedName>
    <definedName name="최상철">BlankMacro1</definedName>
    <definedName name="추" localSheetId="25" hidden="1">{"'Sheet1'!$L$16"}</definedName>
    <definedName name="추" localSheetId="0" hidden="1">{"'Sheet1'!$L$16"}</definedName>
    <definedName name="추" localSheetId="5" hidden="1">{"'Sheet1'!$L$16"}</definedName>
    <definedName name="추" hidden="1">{"'Sheet1'!$L$16"}</definedName>
    <definedName name="추가분" localSheetId="25" hidden="1">{"'장비'!$A$3:$M$12"}</definedName>
    <definedName name="추가분" localSheetId="0" hidden="1">{"'장비'!$A$3:$M$12"}</definedName>
    <definedName name="추가분" localSheetId="5" hidden="1">{"'장비'!$A$3:$M$12"}</definedName>
    <definedName name="추가분" hidden="1">{"'장비'!$A$3:$M$12"}</definedName>
    <definedName name="ㅋ" localSheetId="0" hidden="1">#REF!</definedName>
    <definedName name="ㅋ" hidden="1">#REF!</definedName>
    <definedName name="ㅋㅋㅋ" localSheetId="2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ㅋㅋㅋ"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ㅋㅋㅋ"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ㅋㅋㅋㅋ" localSheetId="0" hidden="1">#REF!</definedName>
    <definedName name="ㅋㅋㅋㅋ" hidden="1">#REF!</definedName>
    <definedName name="ㅋㅋㅋㅋㅋㅋ" localSheetId="0" hidden="1">#REF!</definedName>
    <definedName name="ㅋㅋㅋㅋㅋㅋ" hidden="1">#REF!</definedName>
    <definedName name="ㅋㅋㅋㅋㅋㅋㅋㅋㅋ" localSheetId="0" hidden="1">#REF!</definedName>
    <definedName name="ㅋㅋㅋㅋㅋㅋㅋㅋㅋ" hidden="1">#REF!</definedName>
    <definedName name="콘도비용" localSheetId="2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콘도비용"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콘도비용"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클_레_임">#N/A</definedName>
    <definedName name="ㅌㄹㅇㄴㄻㅇㄹ" localSheetId="25" hidden="1">{#N/A,#N/A,FALSE,"Aging Summary";#N/A,#N/A,FALSE,"Ratio Analysis";#N/A,#N/A,FALSE,"Test 120 Day Accts";#N/A,#N/A,FALSE,"Tickmarks"}</definedName>
    <definedName name="ㅌㄹㅇㄴㄻㅇㄹ" localSheetId="5" hidden="1">{#N/A,#N/A,FALSE,"Aging Summary";#N/A,#N/A,FALSE,"Ratio Analysis";#N/A,#N/A,FALSE,"Test 120 Day Accts";#N/A,#N/A,FALSE,"Tickmarks"}</definedName>
    <definedName name="ㅌㄹㅇㄴㄻㅇㄹ" hidden="1">{#N/A,#N/A,FALSE,"Aging Summary";#N/A,#N/A,FALSE,"Ratio Analysis";#N/A,#N/A,FALSE,"Test 120 Day Accts";#N/A,#N/A,FALSE,"Tickmarks"}</definedName>
    <definedName name="ㅌㅊㅍㅌㅊㅍㅌㅋㅊㅍㅌ" localSheetId="0" hidden="1">#REF!</definedName>
    <definedName name="ㅌㅊㅍㅌㅊㅍㅌㅋㅊㅍㅌ" hidden="1">#REF!</definedName>
    <definedName name="타부서_선택">#REF!</definedName>
    <definedName name="타부서_선택1">#REF!</definedName>
    <definedName name="타타타" localSheetId="25" hidden="1">{"'Sheet1'!$A$1:$H$36"}</definedName>
    <definedName name="타타타" localSheetId="5" hidden="1">{"'Sheet1'!$A$1:$H$36"}</definedName>
    <definedName name="타타타" hidden="1">{"'Sheet1'!$A$1:$H$36"}</definedName>
    <definedName name="텐" localSheetId="0">BlankMacro1</definedName>
    <definedName name="텐" localSheetId="46">BlankMacro1</definedName>
    <definedName name="텐" localSheetId="45">BlankMacro1</definedName>
    <definedName name="텐" localSheetId="49">BlankMacro1</definedName>
    <definedName name="텐" localSheetId="50">BlankMacro1</definedName>
    <definedName name="텐" localSheetId="51">BlankMacro1</definedName>
    <definedName name="텐" localSheetId="52">BlankMacro1</definedName>
    <definedName name="텐" localSheetId="56">BlankMacro1</definedName>
    <definedName name="텐" localSheetId="57">BlankMacro1</definedName>
    <definedName name="텐" localSheetId="58">BlankMacro1</definedName>
    <definedName name="텐" localSheetId="59">BlankMacro1</definedName>
    <definedName name="텐">BlankMacro1</definedName>
    <definedName name="템1" localSheetId="0">BlankMacro1</definedName>
    <definedName name="템1" localSheetId="46">BlankMacro1</definedName>
    <definedName name="템1" localSheetId="45">BlankMacro1</definedName>
    <definedName name="템1" localSheetId="49">BlankMacro1</definedName>
    <definedName name="템1" localSheetId="50">BlankMacro1</definedName>
    <definedName name="템1" localSheetId="51">BlankMacro1</definedName>
    <definedName name="템1" localSheetId="52">BlankMacro1</definedName>
    <definedName name="템1" localSheetId="56">BlankMacro1</definedName>
    <definedName name="템1" localSheetId="57">BlankMacro1</definedName>
    <definedName name="템1" localSheetId="58">BlankMacro1</definedName>
    <definedName name="템1" localSheetId="59">BlankMacro1</definedName>
    <definedName name="템1">BlankMacro1</definedName>
    <definedName name="템플리트모듈1" localSheetId="0">BlankMacro1</definedName>
    <definedName name="템플리트모듈1" localSheetId="46">BlankMacro1</definedName>
    <definedName name="템플리트모듈1" localSheetId="45">BlankMacro1</definedName>
    <definedName name="템플리트모듈1" localSheetId="49">BlankMacro1</definedName>
    <definedName name="템플리트모듈1" localSheetId="50">BlankMacro1</definedName>
    <definedName name="템플리트모듈1" localSheetId="51">BlankMacro1</definedName>
    <definedName name="템플리트모듈1" localSheetId="52">BlankMacro1</definedName>
    <definedName name="템플리트모듈1" localSheetId="56">BlankMacro1</definedName>
    <definedName name="템플리트모듈1" localSheetId="57">BlankMacro1</definedName>
    <definedName name="템플리트모듈1" localSheetId="58">BlankMacro1</definedName>
    <definedName name="템플리트모듈1" localSheetId="59">BlankMacro1</definedName>
    <definedName name="템플리트모듈1">BlankMacro1</definedName>
    <definedName name="템플리트모듈2" localSheetId="0">BlankMacro1</definedName>
    <definedName name="템플리트모듈2" localSheetId="46">BlankMacro1</definedName>
    <definedName name="템플리트모듈2" localSheetId="45">BlankMacro1</definedName>
    <definedName name="템플리트모듈2" localSheetId="49">BlankMacro1</definedName>
    <definedName name="템플리트모듈2" localSheetId="50">BlankMacro1</definedName>
    <definedName name="템플리트모듈2" localSheetId="51">BlankMacro1</definedName>
    <definedName name="템플리트모듈2" localSheetId="52">BlankMacro1</definedName>
    <definedName name="템플리트모듈2" localSheetId="56">BlankMacro1</definedName>
    <definedName name="템플리트모듈2" localSheetId="57">BlankMacro1</definedName>
    <definedName name="템플리트모듈2" localSheetId="58">BlankMacro1</definedName>
    <definedName name="템플리트모듈2" localSheetId="59">BlankMacro1</definedName>
    <definedName name="템플리트모듈2">BlankMacro1</definedName>
    <definedName name="템플리트모듈3" localSheetId="0">BlankMacro1</definedName>
    <definedName name="템플리트모듈3" localSheetId="46">BlankMacro1</definedName>
    <definedName name="템플리트모듈3" localSheetId="45">BlankMacro1</definedName>
    <definedName name="템플리트모듈3" localSheetId="49">BlankMacro1</definedName>
    <definedName name="템플리트모듈3" localSheetId="50">BlankMacro1</definedName>
    <definedName name="템플리트모듈3" localSheetId="51">BlankMacro1</definedName>
    <definedName name="템플리트모듈3" localSheetId="52">BlankMacro1</definedName>
    <definedName name="템플리트모듈3" localSheetId="56">BlankMacro1</definedName>
    <definedName name="템플리트모듈3" localSheetId="57">BlankMacro1</definedName>
    <definedName name="템플리트모듈3" localSheetId="58">BlankMacro1</definedName>
    <definedName name="템플리트모듈3" localSheetId="59">BlankMacro1</definedName>
    <definedName name="템플리트모듈3">BlankMacro1</definedName>
    <definedName name="템플리트모듈4" localSheetId="0">BlankMacro1</definedName>
    <definedName name="템플리트모듈4" localSheetId="46">BlankMacro1</definedName>
    <definedName name="템플리트모듈4" localSheetId="45">BlankMacro1</definedName>
    <definedName name="템플리트모듈4" localSheetId="49">BlankMacro1</definedName>
    <definedName name="템플리트모듈4" localSheetId="50">BlankMacro1</definedName>
    <definedName name="템플리트모듈4" localSheetId="51">BlankMacro1</definedName>
    <definedName name="템플리트모듈4" localSheetId="52">BlankMacro1</definedName>
    <definedName name="템플리트모듈4" localSheetId="56">BlankMacro1</definedName>
    <definedName name="템플리트모듈4" localSheetId="57">BlankMacro1</definedName>
    <definedName name="템플리트모듈4" localSheetId="58">BlankMacro1</definedName>
    <definedName name="템플리트모듈4" localSheetId="59">BlankMacro1</definedName>
    <definedName name="템플리트모듈4">BlankMacro1</definedName>
    <definedName name="템플리트모듈5" localSheetId="0">BlankMacro1</definedName>
    <definedName name="템플리트모듈5" localSheetId="46">BlankMacro1</definedName>
    <definedName name="템플리트모듈5" localSheetId="45">BlankMacro1</definedName>
    <definedName name="템플리트모듈5" localSheetId="49">BlankMacro1</definedName>
    <definedName name="템플리트모듈5" localSheetId="50">BlankMacro1</definedName>
    <definedName name="템플리트모듈5" localSheetId="51">BlankMacro1</definedName>
    <definedName name="템플리트모듈5" localSheetId="52">BlankMacro1</definedName>
    <definedName name="템플리트모듈5" localSheetId="56">BlankMacro1</definedName>
    <definedName name="템플리트모듈5" localSheetId="57">BlankMacro1</definedName>
    <definedName name="템플리트모듈5" localSheetId="58">BlankMacro1</definedName>
    <definedName name="템플리트모듈5" localSheetId="59">BlankMacro1</definedName>
    <definedName name="템플리트모듈5">BlankMacro1</definedName>
    <definedName name="템플리트모듈6" localSheetId="0">BlankMacro1</definedName>
    <definedName name="템플리트모듈6" localSheetId="46">BlankMacro1</definedName>
    <definedName name="템플리트모듈6" localSheetId="45">BlankMacro1</definedName>
    <definedName name="템플리트모듈6" localSheetId="49">BlankMacro1</definedName>
    <definedName name="템플리트모듈6" localSheetId="50">BlankMacro1</definedName>
    <definedName name="템플리트모듈6" localSheetId="51">BlankMacro1</definedName>
    <definedName name="템플리트모듈6" localSheetId="52">BlankMacro1</definedName>
    <definedName name="템플리트모듈6" localSheetId="56">BlankMacro1</definedName>
    <definedName name="템플리트모듈6" localSheetId="57">BlankMacro1</definedName>
    <definedName name="템플리트모듈6" localSheetId="58">BlankMacro1</definedName>
    <definedName name="템플리트모듈6" localSheetId="59">BlankMacro1</definedName>
    <definedName name="템플리트모듈6">BlankMacro1</definedName>
    <definedName name="토">#N/A</definedName>
    <definedName name="토목변경" localSheetId="25" hidden="1">{"'장비'!$A$3:$M$12"}</definedName>
    <definedName name="토목변경" localSheetId="0" hidden="1">{"'장비'!$A$3:$M$12"}</definedName>
    <definedName name="토목변경" localSheetId="5" hidden="1">{"'장비'!$A$3:$M$12"}</definedName>
    <definedName name="토목변경" hidden="1">{"'장비'!$A$3:$M$12"}</definedName>
    <definedName name="토목실행예산" localSheetId="25" hidden="1">{"'장비'!$A$3:$M$12"}</definedName>
    <definedName name="토목실행예산" localSheetId="0" hidden="1">{"'장비'!$A$3:$M$12"}</definedName>
    <definedName name="토목실행예산" localSheetId="5" hidden="1">{"'장비'!$A$3:$M$12"}</definedName>
    <definedName name="토목실행예산" hidden="1">{"'장비'!$A$3:$M$12"}</definedName>
    <definedName name="토목조정분" localSheetId="25" hidden="1">{"'장비'!$A$3:$M$12"}</definedName>
    <definedName name="토목조정분" localSheetId="0" hidden="1">{"'장비'!$A$3:$M$12"}</definedName>
    <definedName name="토목조정분" localSheetId="5" hidden="1">{"'장비'!$A$3:$M$12"}</definedName>
    <definedName name="토목조정분" hidden="1">{"'장비'!$A$3:$M$12"}</definedName>
    <definedName name="토탈">#REF!</definedName>
    <definedName name="통합본관" hidden="1">#REF!</definedName>
    <definedName name="퇴"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직보험료" localSheetId="2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퇴직보험료"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퇴직보험료"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퇴충명세" localSheetId="2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특별_인부">#REF!</definedName>
    <definedName name="ㅍ" localSheetId="25" hidden="1">{#N/A,#N/A,FALSE,"Aging Summary";#N/A,#N/A,FALSE,"Ratio Analysis";#N/A,#N/A,FALSE,"Test 120 Day Accts";#N/A,#N/A,FALSE,"Tickmarks"}</definedName>
    <definedName name="ㅍ" localSheetId="5" hidden="1">{#N/A,#N/A,FALSE,"Aging Summary";#N/A,#N/A,FALSE,"Ratio Analysis";#N/A,#N/A,FALSE,"Test 120 Day Accts";#N/A,#N/A,FALSE,"Tickmarks"}</definedName>
    <definedName name="ㅍ" hidden="1">{#N/A,#N/A,FALSE,"Aging Summary";#N/A,#N/A,FALSE,"Ratio Analysis";#N/A,#N/A,FALSE,"Test 120 Day Accts";#N/A,#N/A,FALSE,"Tickmarks"}</definedName>
    <definedName name="판관비tot" localSheetId="25" hidden="1">{#N/A,#N/A,FALSE,"Aging Summary";#N/A,#N/A,FALSE,"Ratio Analysis";#N/A,#N/A,FALSE,"Test 120 Day Accts";#N/A,#N/A,FALSE,"Tickmarks"}</definedName>
    <definedName name="판관비tot" localSheetId="5" hidden="1">{#N/A,#N/A,FALSE,"Aging Summary";#N/A,#N/A,FALSE,"Ratio Analysis";#N/A,#N/A,FALSE,"Test 120 Day Accts";#N/A,#N/A,FALSE,"Tickmarks"}</definedName>
    <definedName name="판관비tot" hidden="1">{#N/A,#N/A,FALSE,"Aging Summary";#N/A,#N/A,FALSE,"Ratio Analysis";#N/A,#N/A,FALSE,"Test 120 Day Accts";#N/A,#N/A,FALSE,"Tickmarks"}</definedName>
    <definedName name="판촉지원적립금" localSheetId="25" hidden="1">{#N/A,#N/A,TRUE,"매출진척-1";#N/A,#N/A,TRUE,"매출진척-2";#N/A,#N/A,TRUE,"제품실적";#N/A,#N/A,TRUE,"RAC";#N/A,#N/A,TRUE,"PAC ";#N/A,#N/A,TRUE,"재고현황";#N/A,#N/A,TRUE,"공지사항"}</definedName>
    <definedName name="판촉지원적립금" localSheetId="5" hidden="1">{#N/A,#N/A,TRUE,"매출진척-1";#N/A,#N/A,TRUE,"매출진척-2";#N/A,#N/A,TRUE,"제품실적";#N/A,#N/A,TRUE,"RAC";#N/A,#N/A,TRUE,"PAC ";#N/A,#N/A,TRUE,"재고현황";#N/A,#N/A,TRUE,"공지사항"}</definedName>
    <definedName name="판촉지원적립금" hidden="1">{#N/A,#N/A,TRUE,"매출진척-1";#N/A,#N/A,TRUE,"매출진척-2";#N/A,#N/A,TRUE,"제품실적";#N/A,#N/A,TRUE,"RAC";#N/A,#N/A,TRUE,"PAC ";#N/A,#N/A,TRUE,"재고현황";#N/A,#N/A,TRUE,"공지사항"}</definedName>
    <definedName name="폐기" hidden="1">#REF!</definedName>
    <definedName name="표">#N/A</definedName>
    <definedName name="표지">#REF!</definedName>
    <definedName name="품셈단가표">#REF!</definedName>
    <definedName name="플">#N/A</definedName>
    <definedName name="ㅎ" localSheetId="25" hidden="1">{#N/A,#N/A,FALSE,"Aging Summary";#N/A,#N/A,FALSE,"Ratio Analysis";#N/A,#N/A,FALSE,"Test 120 Day Accts";#N/A,#N/A,FALSE,"Tickmarks"}</definedName>
    <definedName name="ㅎ" localSheetId="5" hidden="1">{#N/A,#N/A,FALSE,"Aging Summary";#N/A,#N/A,FALSE,"Ratio Analysis";#N/A,#N/A,FALSE,"Test 120 Day Accts";#N/A,#N/A,FALSE,"Tickmarks"}</definedName>
    <definedName name="ㅎ" hidden="1">{#N/A,#N/A,FALSE,"Aging Summary";#N/A,#N/A,FALSE,"Ratio Analysis";#N/A,#N/A,FALSE,"Test 120 Day Accts";#N/A,#N/A,FALSE,"Tickmarks"}</definedName>
    <definedName name="ㅎㅎㄹ" localSheetId="25" hidden="1">{"Edition",#N/A,FALSE,"Data"}</definedName>
    <definedName name="ㅎㅎㄹ" localSheetId="0" hidden="1">{"Edition",#N/A,FALSE,"Data"}</definedName>
    <definedName name="ㅎㅎㄹ" localSheetId="5" hidden="1">{"Edition",#N/A,FALSE,"Data"}</definedName>
    <definedName name="ㅎㅎㄹ" hidden="1">{"Edition",#N/A,FALSE,"Data"}</definedName>
    <definedName name="ㅎㅎㅎ" localSheetId="25" hidden="1">{#N/A,#N/A,FALSE,"3가";#N/A,#N/A,FALSE,"3나";#N/A,#N/A,FALSE,"3다"}</definedName>
    <definedName name="ㅎㅎㅎ" localSheetId="5" hidden="1">{#N/A,#N/A,FALSE,"3가";#N/A,#N/A,FALSE,"3나";#N/A,#N/A,FALSE,"3다"}</definedName>
    <definedName name="ㅎㅎㅎ" hidden="1">{#N/A,#N/A,FALSE,"3가";#N/A,#N/A,FALSE,"3나";#N/A,#N/A,FALSE,"3다"}</definedName>
    <definedName name="하" localSheetId="25" hidden="1">{"'Sheet1'!$A$1:$H$36"}</definedName>
    <definedName name="하" localSheetId="5" hidden="1">{"'Sheet1'!$A$1:$H$36"}</definedName>
    <definedName name="하" hidden="1">{"'Sheet1'!$A$1:$H$36"}</definedName>
    <definedName name="한" localSheetId="25" hidden="1">{#N/A,#N/A,FALSE,"3가";#N/A,#N/A,FALSE,"3나";#N/A,#N/A,FALSE,"3다"}</definedName>
    <definedName name="한" localSheetId="5" hidden="1">{#N/A,#N/A,FALSE,"3가";#N/A,#N/A,FALSE,"3나";#N/A,#N/A,FALSE,"3다"}</definedName>
    <definedName name="한" hidden="1">{#N/A,#N/A,FALSE,"3가";#N/A,#N/A,FALSE,"3나";#N/A,#N/A,FALSE,"3다"}</definedName>
    <definedName name="할" localSheetId="25" hidden="1">{"'Sheet1'!$L$16"}</definedName>
    <definedName name="할" localSheetId="0" hidden="1">{"'Sheet1'!$L$16"}</definedName>
    <definedName name="할" localSheetId="5" hidden="1">{"'Sheet1'!$L$16"}</definedName>
    <definedName name="할" hidden="1">{"'Sheet1'!$L$16"}</definedName>
    <definedName name="항" localSheetId="25" hidden="1">{"'Sheet1'!$L$16"}</definedName>
    <definedName name="항" localSheetId="0" hidden="1">{"'Sheet1'!$L$16"}</definedName>
    <definedName name="항" localSheetId="5" hidden="1">{"'Sheet1'!$L$16"}</definedName>
    <definedName name="항" hidden="1">{"'Sheet1'!$L$16"}</definedName>
    <definedName name="해외특수" localSheetId="25"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5"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현재" localSheetId="25" hidden="1">{"'Sheet1'!$A$1:$H$36"}</definedName>
    <definedName name="현재" localSheetId="5" hidden="1">{"'Sheet1'!$A$1:$H$36"}</definedName>
    <definedName name="현재" hidden="1">{"'Sheet1'!$A$1:$H$36"}</definedName>
    <definedName name="환율">#REF!</definedName>
    <definedName name="환차손" localSheetId="25" hidden="1">{#N/A,#N/A,FALSE,"Aging Summary";#N/A,#N/A,FALSE,"Ratio Analysis";#N/A,#N/A,FALSE,"Test 120 Day Accts";#N/A,#N/A,FALSE,"Tickmarks"}</definedName>
    <definedName name="환차손" localSheetId="5" hidden="1">{#N/A,#N/A,FALSE,"Aging Summary";#N/A,#N/A,FALSE,"Ratio Analysis";#N/A,#N/A,FALSE,"Test 120 Day Accts";#N/A,#N/A,FALSE,"Tickmarks"}</definedName>
    <definedName name="환차손" hidden="1">{#N/A,#N/A,FALSE,"Aging Summary";#N/A,#N/A,FALSE,"Ratio Analysis";#N/A,#N/A,FALSE,"Test 120 Day Accts";#N/A,#N/A,FALSE,"Tickmarks"}</definedName>
    <definedName name="환차손익수정" localSheetId="25" hidden="1">{#N/A,#N/A,FALSE,"Aging Summary";#N/A,#N/A,FALSE,"Ratio Analysis";#N/A,#N/A,FALSE,"Test 120 Day Accts";#N/A,#N/A,FALSE,"Tickmarks"}</definedName>
    <definedName name="환차손익수정" localSheetId="5" hidden="1">{#N/A,#N/A,FALSE,"Aging Summary";#N/A,#N/A,FALSE,"Ratio Analysis";#N/A,#N/A,FALSE,"Test 120 Day Accts";#N/A,#N/A,FALSE,"Tickmarks"}</definedName>
    <definedName name="환차손익수정" hidden="1">{#N/A,#N/A,FALSE,"Aging Summary";#N/A,#N/A,FALSE,"Ratio Analysis";#N/A,#N/A,FALSE,"Test 120 Day Accts";#N/A,#N/A,FALSE,"Tickmarks"}</definedName>
    <definedName name="후_담당간사에게_제출한다." localSheetId="0">#REF!</definedName>
    <definedName name="후_담당간사에게_제출한다.">#REF!</definedName>
    <definedName name="ㅏ1" hidden="1">#REF!</definedName>
    <definedName name="ㅏㅏㅏ">#REF!</definedName>
    <definedName name="ㅐㅐ">#REF!</definedName>
    <definedName name="ㅐㅗㅅ">#REF!</definedName>
    <definedName name="ㅑ" localSheetId="25" hidden="1">{#N/A,#N/A,FALSE,"Aging Summary";#N/A,#N/A,FALSE,"Ratio Analysis";#N/A,#N/A,FALSE,"Test 120 Day Accts";#N/A,#N/A,FALSE,"Tickmarks"}</definedName>
    <definedName name="ㅑ" localSheetId="5" hidden="1">{#N/A,#N/A,FALSE,"Aging Summary";#N/A,#N/A,FALSE,"Ratio Analysis";#N/A,#N/A,FALSE,"Test 120 Day Accts";#N/A,#N/A,FALSE,"Tickmarks"}</definedName>
    <definedName name="ㅑ" hidden="1">{#N/A,#N/A,FALSE,"Aging Summary";#N/A,#N/A,FALSE,"Ratio Analysis";#N/A,#N/A,FALSE,"Test 120 Day Accts";#N/A,#N/A,FALSE,"Tickmarks"}</definedName>
    <definedName name="ㅑㅅ" localSheetId="25" hidden="1">{"'Sheet1'!$L$16"}</definedName>
    <definedName name="ㅑㅅ" localSheetId="0" hidden="1">{"'Sheet1'!$L$16"}</definedName>
    <definedName name="ㅑㅅ" localSheetId="5" hidden="1">{"'Sheet1'!$L$16"}</definedName>
    <definedName name="ㅑㅅ" hidden="1">{"'Sheet1'!$L$16"}</definedName>
    <definedName name="ㅓㅏㅣㅑ" localSheetId="25" hidden="1">{#N/A,#N/A,FALSE,"Aging Summary";#N/A,#N/A,FALSE,"Ratio Analysis";#N/A,#N/A,FALSE,"Test 120 Day Accts";#N/A,#N/A,FALSE,"Tickmarks"}</definedName>
    <definedName name="ㅓㅏㅣㅑ" localSheetId="5" hidden="1">{#N/A,#N/A,FALSE,"Aging Summary";#N/A,#N/A,FALSE,"Ratio Analysis";#N/A,#N/A,FALSE,"Test 120 Day Accts";#N/A,#N/A,FALSE,"Tickmarks"}</definedName>
    <definedName name="ㅓㅏㅣㅑ" hidden="1">{#N/A,#N/A,FALSE,"Aging Summary";#N/A,#N/A,FALSE,"Ratio Analysis";#N/A,#N/A,FALSE,"Test 120 Day Accts";#N/A,#N/A,FALSE,"Tickmarks"}</definedName>
    <definedName name="ㅘ" localSheetId="25" hidden="1">{"'Sheet1'!$L$16"}</definedName>
    <definedName name="ㅘ" localSheetId="0" hidden="1">{"'Sheet1'!$L$16"}</definedName>
    <definedName name="ㅘ" localSheetId="5" hidden="1">{"'Sheet1'!$L$16"}</definedName>
    <definedName name="ㅘ" hidden="1">{"'Sheet1'!$L$16"}</definedName>
    <definedName name="ㅠ" localSheetId="25" hidden="1">{#N/A,#N/A,FALSE,"Aging Summary";#N/A,#N/A,FALSE,"Ratio Analysis";#N/A,#N/A,FALSE,"Test 120 Day Accts";#N/A,#N/A,FALSE,"Tickmarks"}</definedName>
    <definedName name="ㅠ" localSheetId="5" hidden="1">{#N/A,#N/A,FALSE,"Aging Summary";#N/A,#N/A,FALSE,"Ratio Analysis";#N/A,#N/A,FALSE,"Test 120 Day Accts";#N/A,#N/A,FALSE,"Tickmarks"}</definedName>
    <definedName name="ㅠ" hidden="1">{#N/A,#N/A,FALSE,"Aging Summary";#N/A,#N/A,FALSE,"Ratio Analysis";#N/A,#N/A,FALSE,"Test 120 Day Accts";#N/A,#N/A,FALSE,"Tickmarks"}</definedName>
    <definedName name="ㅡ" localSheetId="25" hidden="1">{#N/A,#N/A,FALSE,"Aging Summary";#N/A,#N/A,FALSE,"Ratio Analysis";#N/A,#N/A,FALSE,"Test 120 Day Accts";#N/A,#N/A,FALSE,"Tickmarks"}</definedName>
    <definedName name="ㅡ" localSheetId="5" hidden="1">{#N/A,#N/A,FALSE,"Aging Summary";#N/A,#N/A,FALSE,"Ratio Analysis";#N/A,#N/A,FALSE,"Test 120 Day Accts";#N/A,#N/A,FALSE,"Tickmarks"}</definedName>
    <definedName name="ㅡ" hidden="1">{#N/A,#N/A,FALSE,"Aging Summary";#N/A,#N/A,FALSE,"Ratio Analysis";#N/A,#N/A,FALSE,"Test 120 Day Accts";#N/A,#N/A,FALSE,"Tickmarks"}</definedName>
    <definedName name="ㅣ" localSheetId="25" hidden="1">{#N/A,#N/A,FALSE,"Aging Summary";#N/A,#N/A,FALSE,"Ratio Analysis";#N/A,#N/A,FALSE,"Test 120 Day Accts";#N/A,#N/A,FALSE,"Tickmarks"}</definedName>
    <definedName name="ㅣ" localSheetId="5" hidden="1">{#N/A,#N/A,FALSE,"Aging Summary";#N/A,#N/A,FALSE,"Ratio Analysis";#N/A,#N/A,FALSE,"Test 120 Day Accts";#N/A,#N/A,FALSE,"Tickmarks"}</definedName>
    <definedName name="ㅣ" hidden="1">{#N/A,#N/A,FALSE,"Aging Summary";#N/A,#N/A,FALSE,"Ratio Analysis";#N/A,#N/A,FALSE,"Test 120 Day Accts";#N/A,#N/A,FALSE,"Tickmarks"}</definedName>
    <definedName name="合____計">#N/A</definedName>
    <definedName name="完工工事_計">#N/A</definedName>
    <definedName name="新規工事_計">#N/A</definedName>
    <definedName name="現代綜合商事經由分">#REF!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86" i="129" l="1"/>
  <c r="AC86" i="129"/>
  <c r="AC129" i="129"/>
  <c r="AB128" i="129"/>
  <c r="AA86" i="129"/>
  <c r="AA127" i="129"/>
  <c r="AC222" i="129"/>
  <c r="AA220" i="129"/>
  <c r="Y86" i="129"/>
  <c r="Y257" i="129"/>
  <c r="Y224" i="129"/>
  <c r="Y158" i="129"/>
  <c r="X86" i="129"/>
  <c r="X223" i="129"/>
  <c r="X157" i="129"/>
  <c r="X124" i="129"/>
  <c r="X91" i="129"/>
  <c r="W86" i="129"/>
  <c r="W123" i="129"/>
  <c r="AE123" i="129" s="1"/>
  <c r="W222" i="129"/>
  <c r="W255" i="129"/>
  <c r="V86" i="129"/>
  <c r="V221" i="129"/>
  <c r="V155" i="129"/>
  <c r="V122" i="129"/>
  <c r="V89" i="129"/>
  <c r="U86" i="129"/>
  <c r="U220" i="129"/>
  <c r="U88" i="129"/>
  <c r="T86" i="129"/>
  <c r="T87" i="129"/>
  <c r="T120" i="129"/>
  <c r="AE293" i="129"/>
  <c r="AG293" i="129" s="1"/>
  <c r="AE289" i="129"/>
  <c r="AG289" i="129" s="1"/>
  <c r="AB257" i="129"/>
  <c r="AB263" i="129" s="1"/>
  <c r="AA257" i="129"/>
  <c r="Z255" i="129"/>
  <c r="AE255" i="129" s="1"/>
  <c r="V251" i="129"/>
  <c r="AG262" i="129"/>
  <c r="AG261" i="129"/>
  <c r="AG260" i="129"/>
  <c r="AG259" i="129"/>
  <c r="AG258" i="129"/>
  <c r="AG256" i="129"/>
  <c r="AG254" i="129"/>
  <c r="AG253" i="129"/>
  <c r="AG252" i="129"/>
  <c r="S251" i="129"/>
  <c r="AD262" i="129"/>
  <c r="AE262" i="129" s="1"/>
  <c r="AD261" i="129"/>
  <c r="AC261" i="129"/>
  <c r="AE261" i="129" s="1"/>
  <c r="AD260" i="129"/>
  <c r="AC260" i="129"/>
  <c r="AB260" i="129"/>
  <c r="AE260" i="129" s="1"/>
  <c r="AD259" i="129"/>
  <c r="AC259" i="129"/>
  <c r="AB259" i="129"/>
  <c r="AA259" i="129"/>
  <c r="AE259" i="129" s="1"/>
  <c r="AD258" i="129"/>
  <c r="AC258" i="129"/>
  <c r="AE258" i="129" s="1"/>
  <c r="AB258" i="129"/>
  <c r="AA258" i="129"/>
  <c r="Z258" i="129"/>
  <c r="Z257" i="129"/>
  <c r="AD256" i="129"/>
  <c r="AC256" i="129"/>
  <c r="AB256" i="129"/>
  <c r="AA256" i="129"/>
  <c r="Z256" i="129"/>
  <c r="Y256" i="129"/>
  <c r="X256" i="129"/>
  <c r="AE256" i="129" s="1"/>
  <c r="Y255" i="129"/>
  <c r="X255" i="129"/>
  <c r="AD254" i="129"/>
  <c r="AC254" i="129"/>
  <c r="AC285" i="129" s="1"/>
  <c r="AB254" i="129"/>
  <c r="AA254" i="129"/>
  <c r="AE254" i="129" s="1"/>
  <c r="Z254" i="129"/>
  <c r="Y254" i="129"/>
  <c r="X254" i="129"/>
  <c r="W254" i="129"/>
  <c r="V254" i="129"/>
  <c r="AD253" i="129"/>
  <c r="AC253" i="129"/>
  <c r="AB253" i="129"/>
  <c r="AA253" i="129"/>
  <c r="Z253" i="129"/>
  <c r="AE253" i="129" s="1"/>
  <c r="Y253" i="129"/>
  <c r="X253" i="129"/>
  <c r="W253" i="129"/>
  <c r="V253" i="129"/>
  <c r="U253" i="129"/>
  <c r="AD252" i="129"/>
  <c r="AC252" i="129"/>
  <c r="AB252" i="129"/>
  <c r="AA252" i="129"/>
  <c r="AA263" i="129" s="1"/>
  <c r="Z252" i="129"/>
  <c r="Y252" i="129"/>
  <c r="X252" i="129"/>
  <c r="W252" i="129"/>
  <c r="V252" i="129"/>
  <c r="U252" i="129"/>
  <c r="T252" i="129"/>
  <c r="AD263" i="129"/>
  <c r="AC282" i="129"/>
  <c r="W263" i="129"/>
  <c r="V263" i="129"/>
  <c r="U251" i="129"/>
  <c r="U263" i="129" s="1"/>
  <c r="T251" i="129"/>
  <c r="T263" i="129" s="1"/>
  <c r="AE251" i="129"/>
  <c r="AD223" i="129"/>
  <c r="AD224" i="129"/>
  <c r="AC224" i="129"/>
  <c r="AC223" i="129"/>
  <c r="AB221" i="129"/>
  <c r="Y218" i="129"/>
  <c r="S218" i="129"/>
  <c r="AE229" i="129"/>
  <c r="AG229" i="129" s="1"/>
  <c r="AE228" i="129"/>
  <c r="AG228" i="129" s="1"/>
  <c r="AB227" i="129"/>
  <c r="AE227" i="129" s="1"/>
  <c r="AG227" i="129" s="1"/>
  <c r="AB226" i="129"/>
  <c r="AA226" i="129"/>
  <c r="AE226" i="129" s="1"/>
  <c r="AE225" i="129"/>
  <c r="AB225" i="129"/>
  <c r="AA225" i="129"/>
  <c r="Z225" i="129"/>
  <c r="AB224" i="129"/>
  <c r="AA224" i="129"/>
  <c r="Z224" i="129"/>
  <c r="AE224" i="129"/>
  <c r="AF224" i="129" s="1"/>
  <c r="AB223" i="129"/>
  <c r="AA223" i="129"/>
  <c r="Z223" i="129"/>
  <c r="Y223" i="129"/>
  <c r="AE223" i="129"/>
  <c r="AB222" i="129"/>
  <c r="AA222" i="129"/>
  <c r="Z222" i="129"/>
  <c r="Y222" i="129"/>
  <c r="X222" i="129"/>
  <c r="AA221" i="129"/>
  <c r="AE221" i="129" s="1"/>
  <c r="Z221" i="129"/>
  <c r="Y221" i="129"/>
  <c r="X221" i="129"/>
  <c r="W221" i="129"/>
  <c r="Z220" i="129"/>
  <c r="Y220" i="129"/>
  <c r="X220" i="129"/>
  <c r="W220" i="129"/>
  <c r="V220" i="129"/>
  <c r="AB219" i="129"/>
  <c r="AA219" i="129"/>
  <c r="AA230" i="129" s="1"/>
  <c r="Z219" i="129"/>
  <c r="AE219" i="129" s="1"/>
  <c r="AG219" i="129" s="1"/>
  <c r="Y219" i="129"/>
  <c r="X219" i="129"/>
  <c r="W219" i="129"/>
  <c r="W230" i="129" s="1"/>
  <c r="V219" i="129"/>
  <c r="U219" i="129"/>
  <c r="T219" i="129"/>
  <c r="AB230" i="129"/>
  <c r="X218" i="129"/>
  <c r="W218" i="129"/>
  <c r="V218" i="129"/>
  <c r="V230" i="129" s="1"/>
  <c r="U218" i="129"/>
  <c r="U230" i="129" s="1"/>
  <c r="T218" i="129"/>
  <c r="T230" i="129" s="1"/>
  <c r="S230" i="129"/>
  <c r="AD185" i="129"/>
  <c r="AC185" i="129"/>
  <c r="AB185" i="129"/>
  <c r="AA185" i="129"/>
  <c r="Z185" i="129"/>
  <c r="Y185" i="129"/>
  <c r="X185" i="129"/>
  <c r="W185" i="129"/>
  <c r="V185" i="129"/>
  <c r="U185" i="129"/>
  <c r="T185" i="129"/>
  <c r="S185" i="129"/>
  <c r="AD196" i="129"/>
  <c r="AE196" i="129" s="1"/>
  <c r="AG196" i="129" s="1"/>
  <c r="AD195" i="129"/>
  <c r="AC195" i="129"/>
  <c r="AE195" i="129" s="1"/>
  <c r="AG195" i="129" s="1"/>
  <c r="AD194" i="129"/>
  <c r="AC194" i="129"/>
  <c r="AB194" i="129"/>
  <c r="AE194" i="129" s="1"/>
  <c r="AG194" i="129" s="1"/>
  <c r="AD193" i="129"/>
  <c r="AC193" i="129"/>
  <c r="AB193" i="129"/>
  <c r="AA193" i="129"/>
  <c r="AE193" i="129" s="1"/>
  <c r="AD192" i="129"/>
  <c r="AC192" i="129"/>
  <c r="AE192" i="129" s="1"/>
  <c r="AB192" i="129"/>
  <c r="AA192" i="129"/>
  <c r="Z192" i="129"/>
  <c r="AD191" i="129"/>
  <c r="AC191" i="129"/>
  <c r="AB191" i="129"/>
  <c r="AA191" i="129"/>
  <c r="Z191" i="129"/>
  <c r="Y191" i="129"/>
  <c r="AE191" i="129" s="1"/>
  <c r="AD190" i="129"/>
  <c r="AC190" i="129"/>
  <c r="AB190" i="129"/>
  <c r="AA190" i="129"/>
  <c r="Z190" i="129"/>
  <c r="Y190" i="129"/>
  <c r="X190" i="129"/>
  <c r="AE190" i="129" s="1"/>
  <c r="AD189" i="129"/>
  <c r="AC189" i="129"/>
  <c r="AB189" i="129"/>
  <c r="AE189" i="129" s="1"/>
  <c r="AA189" i="129"/>
  <c r="Z189" i="129"/>
  <c r="Y189" i="129"/>
  <c r="X189" i="129"/>
  <c r="W189" i="129"/>
  <c r="AD188" i="129"/>
  <c r="AC188" i="129"/>
  <c r="AB188" i="129"/>
  <c r="AA188" i="129"/>
  <c r="AE188" i="129" s="1"/>
  <c r="Z188" i="129"/>
  <c r="Y188" i="129"/>
  <c r="X188" i="129"/>
  <c r="W188" i="129"/>
  <c r="V188" i="129"/>
  <c r="V285" i="129" s="1"/>
  <c r="AD187" i="129"/>
  <c r="AC187" i="129"/>
  <c r="AB187" i="129"/>
  <c r="AA187" i="129"/>
  <c r="Z187" i="129"/>
  <c r="Y187" i="129"/>
  <c r="X187" i="129"/>
  <c r="W187" i="129"/>
  <c r="V187" i="129"/>
  <c r="U187" i="129"/>
  <c r="U284" i="129" s="1"/>
  <c r="AD186" i="129"/>
  <c r="AC186" i="129"/>
  <c r="AB186" i="129"/>
  <c r="AA186" i="129"/>
  <c r="AA197" i="129" s="1"/>
  <c r="Z186" i="129"/>
  <c r="AE186" i="129" s="1"/>
  <c r="AG186" i="129" s="1"/>
  <c r="Y186" i="129"/>
  <c r="X186" i="129"/>
  <c r="W186" i="129"/>
  <c r="V186" i="129"/>
  <c r="U186" i="129"/>
  <c r="T186" i="129"/>
  <c r="T283" i="129" s="1"/>
  <c r="AE283" i="129" s="1"/>
  <c r="AB197" i="129"/>
  <c r="W197" i="129"/>
  <c r="V197" i="129"/>
  <c r="U197" i="129"/>
  <c r="T197" i="129"/>
  <c r="S197" i="129"/>
  <c r="S152" i="129"/>
  <c r="AD163" i="129"/>
  <c r="AE163" i="129" s="1"/>
  <c r="AD162" i="129"/>
  <c r="AC162" i="129"/>
  <c r="AE162" i="129" s="1"/>
  <c r="AE161" i="129"/>
  <c r="AG161" i="129" s="1"/>
  <c r="AD161" i="129"/>
  <c r="AC161" i="129"/>
  <c r="AB161" i="129"/>
  <c r="AD160" i="129"/>
  <c r="AC160" i="129"/>
  <c r="AB160" i="129"/>
  <c r="AB290" i="129" s="1"/>
  <c r="AA160" i="129"/>
  <c r="AE160" i="129" s="1"/>
  <c r="AD159" i="129"/>
  <c r="AC159" i="129"/>
  <c r="AB159" i="129"/>
  <c r="AA159" i="129"/>
  <c r="Z159" i="129"/>
  <c r="AE159" i="129" s="1"/>
  <c r="AD158" i="129"/>
  <c r="AC158" i="129"/>
  <c r="AB158" i="129"/>
  <c r="AA158" i="129"/>
  <c r="Z158" i="129"/>
  <c r="AE158" i="129" s="1"/>
  <c r="AD157" i="129"/>
  <c r="AC157" i="129"/>
  <c r="AB157" i="129"/>
  <c r="AA157" i="129"/>
  <c r="AA164" i="129" s="1"/>
  <c r="Z157" i="129"/>
  <c r="Z164" i="129" s="1"/>
  <c r="Y157" i="129"/>
  <c r="Y164" i="129" s="1"/>
  <c r="AE156" i="129"/>
  <c r="AD156" i="129"/>
  <c r="AC156" i="129"/>
  <c r="AB156" i="129"/>
  <c r="AA156" i="129"/>
  <c r="Z156" i="129"/>
  <c r="Y156" i="129"/>
  <c r="X156" i="129"/>
  <c r="W156" i="129"/>
  <c r="AD155" i="129"/>
  <c r="AE155" i="129" s="1"/>
  <c r="AC155" i="129"/>
  <c r="AB155" i="129"/>
  <c r="AA155" i="129"/>
  <c r="Z155" i="129"/>
  <c r="Z285" i="129" s="1"/>
  <c r="Y155" i="129"/>
  <c r="X155" i="129"/>
  <c r="X285" i="129" s="1"/>
  <c r="W155" i="129"/>
  <c r="AD154" i="129"/>
  <c r="AC154" i="129"/>
  <c r="AC164" i="129" s="1"/>
  <c r="AB154" i="129"/>
  <c r="AA154" i="129"/>
  <c r="Z154" i="129"/>
  <c r="Y154" i="129"/>
  <c r="X154" i="129"/>
  <c r="W154" i="129"/>
  <c r="W284" i="129" s="1"/>
  <c r="V154" i="129"/>
  <c r="V284" i="129" s="1"/>
  <c r="U154" i="129"/>
  <c r="AD153" i="129"/>
  <c r="AD283" i="129" s="1"/>
  <c r="AC153" i="129"/>
  <c r="AB153" i="129"/>
  <c r="AA153" i="129"/>
  <c r="Z153" i="129"/>
  <c r="Y153" i="129"/>
  <c r="X153" i="129"/>
  <c r="W153" i="129"/>
  <c r="V153" i="129"/>
  <c r="U153" i="129"/>
  <c r="T153" i="129"/>
  <c r="AD152" i="129"/>
  <c r="AC152" i="129"/>
  <c r="AB152" i="129"/>
  <c r="AB164" i="129" s="1"/>
  <c r="AA152" i="129"/>
  <c r="Z152" i="129"/>
  <c r="Y152" i="129"/>
  <c r="X152" i="129"/>
  <c r="W152" i="129"/>
  <c r="V152" i="129"/>
  <c r="U152" i="129"/>
  <c r="T152" i="129"/>
  <c r="T164" i="129" s="1"/>
  <c r="AE152" i="129"/>
  <c r="AG130" i="129"/>
  <c r="AF130" i="129"/>
  <c r="AG129" i="129"/>
  <c r="AF129" i="129"/>
  <c r="AG128" i="129"/>
  <c r="AF128" i="129"/>
  <c r="AG126" i="129"/>
  <c r="AF126" i="129"/>
  <c r="S119" i="129"/>
  <c r="AD130" i="129"/>
  <c r="AE130" i="129" s="1"/>
  <c r="AD129" i="129"/>
  <c r="AE129" i="129"/>
  <c r="AD128" i="129"/>
  <c r="AC128" i="129"/>
  <c r="AE128" i="129"/>
  <c r="AD127" i="129"/>
  <c r="AC127" i="129"/>
  <c r="AB127" i="129"/>
  <c r="AD126" i="129"/>
  <c r="AC126" i="129"/>
  <c r="AB126" i="129"/>
  <c r="AA126" i="129"/>
  <c r="Z126" i="129"/>
  <c r="AE126" i="129" s="1"/>
  <c r="AD125" i="129"/>
  <c r="AC125" i="129"/>
  <c r="AB125" i="129"/>
  <c r="AA125" i="129"/>
  <c r="Z125" i="129"/>
  <c r="Y125" i="129"/>
  <c r="AD124" i="129"/>
  <c r="AD287" i="129" s="1"/>
  <c r="AC124" i="129"/>
  <c r="AC287" i="129" s="1"/>
  <c r="AB124" i="129"/>
  <c r="AB287" i="129" s="1"/>
  <c r="AA124" i="129"/>
  <c r="Z124" i="129"/>
  <c r="Y124" i="129"/>
  <c r="AD123" i="129"/>
  <c r="AC123" i="129"/>
  <c r="AB123" i="129"/>
  <c r="AA123" i="129"/>
  <c r="AA286" i="129" s="1"/>
  <c r="Z123" i="129"/>
  <c r="Y123" i="129"/>
  <c r="X123" i="129"/>
  <c r="AD122" i="129"/>
  <c r="AC122" i="129"/>
  <c r="AB122" i="129"/>
  <c r="AA122" i="129"/>
  <c r="Z122" i="129"/>
  <c r="Y122" i="129"/>
  <c r="X122" i="129"/>
  <c r="W122" i="129"/>
  <c r="AE122" i="129"/>
  <c r="AD121" i="129"/>
  <c r="AC121" i="129"/>
  <c r="AB121" i="129"/>
  <c r="AA121" i="129"/>
  <c r="Z121" i="129"/>
  <c r="Y121" i="129"/>
  <c r="X121" i="129"/>
  <c r="W121" i="129"/>
  <c r="V121" i="129"/>
  <c r="U121" i="129"/>
  <c r="AE121" i="129" s="1"/>
  <c r="AD120" i="129"/>
  <c r="AC120" i="129"/>
  <c r="AB120" i="129"/>
  <c r="AA120" i="129"/>
  <c r="Z120" i="129"/>
  <c r="Y120" i="129"/>
  <c r="Y283" i="129" s="1"/>
  <c r="X120" i="129"/>
  <c r="W120" i="129"/>
  <c r="V120" i="129"/>
  <c r="U120" i="129"/>
  <c r="AE120" i="129"/>
  <c r="AD119" i="129"/>
  <c r="AD131" i="129" s="1"/>
  <c r="AC119" i="129"/>
  <c r="AC131" i="129" s="1"/>
  <c r="AB119" i="129"/>
  <c r="AB131" i="129" s="1"/>
  <c r="AA119" i="129"/>
  <c r="AA131" i="129" s="1"/>
  <c r="Z119" i="129"/>
  <c r="Z282" i="129" s="1"/>
  <c r="Y119" i="129"/>
  <c r="Y131" i="129" s="1"/>
  <c r="X119" i="129"/>
  <c r="W119" i="129"/>
  <c r="V119" i="129"/>
  <c r="U119" i="129"/>
  <c r="T119" i="129"/>
  <c r="T131" i="129" s="1"/>
  <c r="S131" i="129"/>
  <c r="Y263" i="129"/>
  <c r="X263" i="129"/>
  <c r="Y230" i="129"/>
  <c r="X230" i="129"/>
  <c r="Y197" i="129"/>
  <c r="X197" i="129"/>
  <c r="W164" i="129"/>
  <c r="V164" i="129"/>
  <c r="U164" i="129"/>
  <c r="S164" i="129"/>
  <c r="V131" i="129"/>
  <c r="U131" i="129"/>
  <c r="AB289" i="129"/>
  <c r="AA289" i="129"/>
  <c r="Y285" i="129"/>
  <c r="Y284" i="129"/>
  <c r="X284" i="129"/>
  <c r="AA282" i="129"/>
  <c r="S282" i="129"/>
  <c r="AD97" i="129"/>
  <c r="AC96" i="129"/>
  <c r="AB95" i="129"/>
  <c r="AA94" i="129"/>
  <c r="Z93" i="129"/>
  <c r="Y92" i="129"/>
  <c r="W90" i="129"/>
  <c r="AG34" i="129"/>
  <c r="AE34" i="129"/>
  <c r="AF34" i="129" s="1"/>
  <c r="AG65" i="129"/>
  <c r="AE65" i="129"/>
  <c r="AF65" i="129" s="1"/>
  <c r="AD98" i="129"/>
  <c r="AC98" i="129"/>
  <c r="AB98" i="129"/>
  <c r="AA98" i="129"/>
  <c r="Z98" i="129"/>
  <c r="Y98" i="129"/>
  <c r="X98" i="129"/>
  <c r="W98" i="129"/>
  <c r="V98" i="129"/>
  <c r="U98" i="129"/>
  <c r="T98" i="129"/>
  <c r="S98" i="129"/>
  <c r="AD96" i="129"/>
  <c r="AD95" i="129"/>
  <c r="AC95" i="129"/>
  <c r="AD94" i="129"/>
  <c r="AC94" i="129"/>
  <c r="AB94" i="129"/>
  <c r="AE97" i="129"/>
  <c r="AE96" i="129"/>
  <c r="AE95" i="129"/>
  <c r="AE94" i="129"/>
  <c r="AE93" i="129"/>
  <c r="AE92" i="129"/>
  <c r="AE91" i="129"/>
  <c r="AF91" i="129" s="1"/>
  <c r="AE90" i="129"/>
  <c r="AE89" i="129"/>
  <c r="AE88" i="129"/>
  <c r="AF88" i="129" s="1"/>
  <c r="AE87" i="129"/>
  <c r="AD93" i="129"/>
  <c r="AC93" i="129"/>
  <c r="AB93" i="129"/>
  <c r="AA93" i="129"/>
  <c r="AD92" i="129"/>
  <c r="AC92" i="129"/>
  <c r="AB92" i="129"/>
  <c r="AA92" i="129"/>
  <c r="Z92" i="129"/>
  <c r="AD91" i="129"/>
  <c r="AC91" i="129"/>
  <c r="AB91" i="129"/>
  <c r="AA91" i="129"/>
  <c r="Z91" i="129"/>
  <c r="Y91" i="129"/>
  <c r="AD90" i="129"/>
  <c r="AC90" i="129"/>
  <c r="AB90" i="129"/>
  <c r="AA90" i="129"/>
  <c r="Z90" i="129"/>
  <c r="Y90" i="129"/>
  <c r="X90" i="129"/>
  <c r="AD89" i="129"/>
  <c r="AC89" i="129"/>
  <c r="AB89" i="129"/>
  <c r="AA89" i="129"/>
  <c r="Z89" i="129"/>
  <c r="Y89" i="129"/>
  <c r="X89" i="129"/>
  <c r="W89" i="129"/>
  <c r="AD88" i="129"/>
  <c r="AC88" i="129"/>
  <c r="AB88" i="129"/>
  <c r="AA88" i="129"/>
  <c r="Z88" i="129"/>
  <c r="Y88" i="129"/>
  <c r="X88" i="129"/>
  <c r="W88" i="129"/>
  <c r="V88" i="129"/>
  <c r="AD87" i="129"/>
  <c r="AC87" i="129"/>
  <c r="AB87" i="129"/>
  <c r="AA87" i="129"/>
  <c r="Z87" i="129"/>
  <c r="Y87" i="129"/>
  <c r="X87" i="129"/>
  <c r="W87" i="129"/>
  <c r="V87" i="129"/>
  <c r="U87" i="129"/>
  <c r="AB86" i="129"/>
  <c r="Z86" i="129"/>
  <c r="AE86" i="129"/>
  <c r="S86" i="129"/>
  <c r="AD65" i="129"/>
  <c r="AC65" i="129"/>
  <c r="AB65" i="129"/>
  <c r="AA65" i="129"/>
  <c r="Z65" i="129"/>
  <c r="Y65" i="129"/>
  <c r="X65" i="129"/>
  <c r="W65" i="129"/>
  <c r="V65" i="129"/>
  <c r="U65" i="129"/>
  <c r="T65" i="129"/>
  <c r="S65" i="129"/>
  <c r="AE53" i="129"/>
  <c r="AG53" i="129" s="1"/>
  <c r="AD53" i="129"/>
  <c r="AC53" i="129"/>
  <c r="AB53" i="129"/>
  <c r="AA53" i="129"/>
  <c r="Z53" i="129"/>
  <c r="Y53" i="129"/>
  <c r="X53" i="129"/>
  <c r="W53" i="129"/>
  <c r="V53" i="129"/>
  <c r="U53" i="129"/>
  <c r="T53" i="129"/>
  <c r="S53" i="129"/>
  <c r="AG22" i="129"/>
  <c r="AF22" i="129"/>
  <c r="AE22" i="129"/>
  <c r="AD34" i="129"/>
  <c r="AC34" i="129"/>
  <c r="AB34" i="129"/>
  <c r="AA34" i="129"/>
  <c r="Z34" i="129"/>
  <c r="Y34" i="129"/>
  <c r="X34" i="129"/>
  <c r="W34" i="129"/>
  <c r="V34" i="129"/>
  <c r="U34" i="129"/>
  <c r="T34" i="129"/>
  <c r="S34" i="129"/>
  <c r="AD22" i="129"/>
  <c r="AC22" i="129"/>
  <c r="AB22" i="129"/>
  <c r="AA22" i="129"/>
  <c r="Z22" i="129"/>
  <c r="Y22" i="129"/>
  <c r="X22" i="129"/>
  <c r="W22" i="129"/>
  <c r="V22" i="129"/>
  <c r="U22" i="129"/>
  <c r="T22" i="129"/>
  <c r="S22" i="129"/>
  <c r="E257" i="129"/>
  <c r="E255" i="129"/>
  <c r="E251" i="129"/>
  <c r="E224" i="129"/>
  <c r="E223" i="129"/>
  <c r="E222" i="129"/>
  <c r="E221" i="129"/>
  <c r="E220" i="129"/>
  <c r="E218" i="129"/>
  <c r="E185" i="129"/>
  <c r="E160" i="129"/>
  <c r="E159" i="129"/>
  <c r="E158" i="129"/>
  <c r="E157" i="129"/>
  <c r="E155" i="129"/>
  <c r="E152" i="129"/>
  <c r="E130" i="129"/>
  <c r="E129" i="129"/>
  <c r="E128" i="129"/>
  <c r="E127" i="129"/>
  <c r="E126" i="129"/>
  <c r="E124" i="129"/>
  <c r="E123" i="129"/>
  <c r="E122" i="129"/>
  <c r="E120" i="129"/>
  <c r="E119" i="129"/>
  <c r="E91" i="129"/>
  <c r="E89" i="129"/>
  <c r="E88" i="129"/>
  <c r="E87" i="129"/>
  <c r="E86" i="129"/>
  <c r="E22" i="129"/>
  <c r="E53" i="129"/>
  <c r="C130" i="129"/>
  <c r="C131" i="129" s="1"/>
  <c r="C129" i="129"/>
  <c r="C128" i="129"/>
  <c r="C291" i="129" s="1"/>
  <c r="C160" i="129"/>
  <c r="C127" i="129"/>
  <c r="C159" i="129"/>
  <c r="C126" i="129"/>
  <c r="C257" i="129"/>
  <c r="C263" i="129" s="1"/>
  <c r="C224" i="129"/>
  <c r="C158" i="129"/>
  <c r="C223" i="129"/>
  <c r="C157" i="129"/>
  <c r="C124" i="129"/>
  <c r="C91" i="129"/>
  <c r="C255" i="129"/>
  <c r="C222" i="129"/>
  <c r="C123" i="129"/>
  <c r="C221" i="129"/>
  <c r="C155" i="129"/>
  <c r="C122" i="129"/>
  <c r="C89" i="129"/>
  <c r="C220" i="129"/>
  <c r="C88" i="129"/>
  <c r="C120" i="129"/>
  <c r="C87" i="129"/>
  <c r="C34" i="129"/>
  <c r="C65" i="129"/>
  <c r="C98" i="129"/>
  <c r="C164" i="129"/>
  <c r="C197" i="129"/>
  <c r="C230" i="129"/>
  <c r="C292" i="129"/>
  <c r="C290" i="129"/>
  <c r="C289" i="129"/>
  <c r="C288" i="129"/>
  <c r="C287" i="129"/>
  <c r="C286" i="129"/>
  <c r="C285" i="129"/>
  <c r="C284" i="129"/>
  <c r="C283" i="129"/>
  <c r="C282" i="129"/>
  <c r="C251" i="129"/>
  <c r="C218" i="129"/>
  <c r="C185" i="129"/>
  <c r="C152" i="129"/>
  <c r="C119" i="129"/>
  <c r="C86" i="129"/>
  <c r="C53" i="129"/>
  <c r="C22" i="129"/>
  <c r="G335" i="112"/>
  <c r="D335" i="112"/>
  <c r="J335" i="112"/>
  <c r="I333" i="112"/>
  <c r="I332" i="112"/>
  <c r="I331" i="112"/>
  <c r="I330" i="112"/>
  <c r="I329" i="112"/>
  <c r="I328" i="112"/>
  <c r="I327" i="112"/>
  <c r="I326" i="112"/>
  <c r="I325" i="112"/>
  <c r="I324" i="112"/>
  <c r="I322" i="112"/>
  <c r="I321" i="112"/>
  <c r="I320" i="112"/>
  <c r="I319" i="112"/>
  <c r="I318" i="112"/>
  <c r="I317" i="112"/>
  <c r="I316" i="112"/>
  <c r="I315" i="112"/>
  <c r="I314" i="112"/>
  <c r="I313" i="112"/>
  <c r="I312" i="112"/>
  <c r="I311" i="112"/>
  <c r="I310" i="112"/>
  <c r="I309" i="112"/>
  <c r="I308" i="112"/>
  <c r="I307" i="112"/>
  <c r="I306" i="112"/>
  <c r="I305" i="112"/>
  <c r="I304" i="112"/>
  <c r="I303" i="112"/>
  <c r="I302" i="112"/>
  <c r="I301" i="112"/>
  <c r="I299" i="112"/>
  <c r="I298" i="112"/>
  <c r="I297" i="112"/>
  <c r="I296" i="112"/>
  <c r="I295" i="112"/>
  <c r="I294" i="112"/>
  <c r="I292" i="112"/>
  <c r="I291" i="112"/>
  <c r="I290" i="112"/>
  <c r="I289" i="112"/>
  <c r="I288" i="112"/>
  <c r="I286" i="112"/>
  <c r="I285" i="112"/>
  <c r="H333" i="112"/>
  <c r="H332" i="112"/>
  <c r="H331" i="112"/>
  <c r="H330" i="112"/>
  <c r="H329" i="112"/>
  <c r="H328" i="112"/>
  <c r="H327" i="112"/>
  <c r="H326" i="112"/>
  <c r="H325" i="112"/>
  <c r="H324" i="112"/>
  <c r="H323" i="112"/>
  <c r="H322" i="112"/>
  <c r="H321" i="112"/>
  <c r="H320" i="112"/>
  <c r="H319" i="112"/>
  <c r="H318" i="112"/>
  <c r="H317" i="112"/>
  <c r="H316" i="112"/>
  <c r="H315" i="112"/>
  <c r="H314" i="112"/>
  <c r="H313" i="112"/>
  <c r="H312" i="112"/>
  <c r="H311" i="112"/>
  <c r="H310" i="112"/>
  <c r="H309" i="112"/>
  <c r="H308" i="112"/>
  <c r="H307" i="112"/>
  <c r="H306" i="112"/>
  <c r="H305" i="112"/>
  <c r="H304" i="112"/>
  <c r="H303" i="112"/>
  <c r="H302" i="112"/>
  <c r="H301" i="112"/>
  <c r="H300" i="112"/>
  <c r="H299" i="112"/>
  <c r="H298" i="112"/>
  <c r="H297" i="112"/>
  <c r="H296" i="112"/>
  <c r="H295" i="112"/>
  <c r="H294" i="112"/>
  <c r="H293" i="112"/>
  <c r="H292" i="112"/>
  <c r="H291" i="112"/>
  <c r="H290" i="112"/>
  <c r="H289" i="112"/>
  <c r="H288" i="112"/>
  <c r="H287" i="112"/>
  <c r="H286" i="112"/>
  <c r="H285" i="112"/>
  <c r="D276" i="112"/>
  <c r="J276" i="112"/>
  <c r="J219" i="112"/>
  <c r="G219" i="112"/>
  <c r="D219" i="112"/>
  <c r="D131" i="112"/>
  <c r="G131" i="112"/>
  <c r="J131" i="112"/>
  <c r="I272" i="112"/>
  <c r="H272" i="112"/>
  <c r="I271" i="112"/>
  <c r="H271" i="112"/>
  <c r="I270" i="112"/>
  <c r="H270" i="112"/>
  <c r="I269" i="112"/>
  <c r="H269" i="112"/>
  <c r="I268" i="112"/>
  <c r="H268" i="112"/>
  <c r="I267" i="112"/>
  <c r="H267" i="112"/>
  <c r="I266" i="112"/>
  <c r="H266" i="112"/>
  <c r="I265" i="112"/>
  <c r="H265" i="112"/>
  <c r="I264" i="112"/>
  <c r="H264" i="112"/>
  <c r="I263" i="112"/>
  <c r="I262" i="112"/>
  <c r="I261" i="112"/>
  <c r="H261" i="112"/>
  <c r="I260" i="112"/>
  <c r="I259" i="112"/>
  <c r="I258" i="112"/>
  <c r="I257" i="112"/>
  <c r="H257" i="112"/>
  <c r="I256" i="112"/>
  <c r="I255" i="112"/>
  <c r="H255" i="112"/>
  <c r="I254" i="112"/>
  <c r="H254" i="112"/>
  <c r="I253" i="112"/>
  <c r="H253" i="112"/>
  <c r="I252" i="112"/>
  <c r="H252" i="112"/>
  <c r="G263" i="112"/>
  <c r="H263" i="112" s="1"/>
  <c r="G262" i="112"/>
  <c r="H262" i="112" s="1"/>
  <c r="G260" i="112"/>
  <c r="H260" i="112" s="1"/>
  <c r="G259" i="112"/>
  <c r="H259" i="112" s="1"/>
  <c r="G258" i="112"/>
  <c r="H258" i="112" s="1"/>
  <c r="G256" i="112"/>
  <c r="H256" i="112" s="1"/>
  <c r="I216" i="112"/>
  <c r="I215" i="112"/>
  <c r="I214" i="112"/>
  <c r="I213" i="112"/>
  <c r="I212" i="112"/>
  <c r="I211" i="112"/>
  <c r="I210" i="112"/>
  <c r="I209" i="112"/>
  <c r="I208" i="112"/>
  <c r="I207" i="112"/>
  <c r="I206" i="112"/>
  <c r="I205" i="112"/>
  <c r="I204" i="112"/>
  <c r="I203" i="112"/>
  <c r="H216" i="112"/>
  <c r="H215" i="112"/>
  <c r="H214" i="112"/>
  <c r="H213" i="112"/>
  <c r="H212" i="112"/>
  <c r="H211" i="112"/>
  <c r="H210" i="112"/>
  <c r="H209" i="112"/>
  <c r="H208" i="112"/>
  <c r="H207" i="112"/>
  <c r="H206" i="112"/>
  <c r="H205" i="112"/>
  <c r="H204" i="112"/>
  <c r="H203" i="112"/>
  <c r="AE222" i="129" l="1"/>
  <c r="AF222" i="129" s="1"/>
  <c r="AE257" i="129"/>
  <c r="AE263" i="129" s="1"/>
  <c r="AF263" i="129" s="1"/>
  <c r="X131" i="129"/>
  <c r="Z263" i="129"/>
  <c r="Z286" i="129"/>
  <c r="AB285" i="129"/>
  <c r="AE285" i="129"/>
  <c r="AG285" i="129" s="1"/>
  <c r="AE220" i="129"/>
  <c r="AG220" i="129" s="1"/>
  <c r="AF87" i="129"/>
  <c r="AG283" i="129"/>
  <c r="AF285" i="129"/>
  <c r="AF289" i="129"/>
  <c r="AF293" i="129"/>
  <c r="AF283" i="129"/>
  <c r="AG255" i="129"/>
  <c r="AF255" i="129"/>
  <c r="AG251" i="129"/>
  <c r="AF251" i="129"/>
  <c r="AC263" i="129"/>
  <c r="AE252" i="129"/>
  <c r="S263" i="129"/>
  <c r="AD282" i="129"/>
  <c r="AD284" i="129"/>
  <c r="W286" i="129"/>
  <c r="AG225" i="129"/>
  <c r="AG226" i="129"/>
  <c r="AG223" i="129"/>
  <c r="AF223" i="129"/>
  <c r="AG221" i="129"/>
  <c r="AF221" i="129"/>
  <c r="Z284" i="129"/>
  <c r="AA284" i="129"/>
  <c r="AE284" i="129" s="1"/>
  <c r="AB284" i="129"/>
  <c r="AE218" i="129"/>
  <c r="AC230" i="129"/>
  <c r="AD230" i="129"/>
  <c r="X286" i="129"/>
  <c r="AC283" i="129"/>
  <c r="Y286" i="129"/>
  <c r="W285" i="129"/>
  <c r="AC286" i="129"/>
  <c r="Y288" i="129"/>
  <c r="AE288" i="129" s="1"/>
  <c r="AB286" i="129"/>
  <c r="AD290" i="129"/>
  <c r="AD286" i="129"/>
  <c r="Z230" i="129"/>
  <c r="AD289" i="129"/>
  <c r="AG193" i="129"/>
  <c r="AG192" i="129"/>
  <c r="AG188" i="129"/>
  <c r="AG190" i="129"/>
  <c r="AB282" i="129"/>
  <c r="AC291" i="129"/>
  <c r="AE185" i="129"/>
  <c r="AC289" i="129"/>
  <c r="AD197" i="129"/>
  <c r="AD294" i="129" s="1"/>
  <c r="AA288" i="129"/>
  <c r="AE187" i="129"/>
  <c r="AG187" i="129" s="1"/>
  <c r="Z283" i="129"/>
  <c r="AA283" i="129"/>
  <c r="U282" i="129"/>
  <c r="AA285" i="129"/>
  <c r="AC197" i="129"/>
  <c r="AB283" i="129"/>
  <c r="V282" i="129"/>
  <c r="X287" i="129"/>
  <c r="AE287" i="129" s="1"/>
  <c r="AG287" i="129" s="1"/>
  <c r="AD288" i="129"/>
  <c r="Z197" i="129"/>
  <c r="AD291" i="129"/>
  <c r="AC290" i="129"/>
  <c r="S294" i="129"/>
  <c r="AG152" i="129"/>
  <c r="AF152" i="129"/>
  <c r="AG160" i="129"/>
  <c r="AF160" i="129"/>
  <c r="AG159" i="129"/>
  <c r="AF159" i="129"/>
  <c r="AG155" i="129"/>
  <c r="AF155" i="129"/>
  <c r="AG162" i="129"/>
  <c r="AG163" i="129"/>
  <c r="T282" i="129"/>
  <c r="AE153" i="129"/>
  <c r="Z288" i="129"/>
  <c r="AC284" i="129"/>
  <c r="AA290" i="129"/>
  <c r="AE290" i="129" s="1"/>
  <c r="AG290" i="129" s="1"/>
  <c r="AB288" i="129"/>
  <c r="AD293" i="129"/>
  <c r="T294" i="129"/>
  <c r="U283" i="129"/>
  <c r="AC288" i="129"/>
  <c r="AD285" i="129"/>
  <c r="AE154" i="129"/>
  <c r="AG154" i="129" s="1"/>
  <c r="U294" i="129"/>
  <c r="V283" i="129"/>
  <c r="AE157" i="129"/>
  <c r="AD164" i="129"/>
  <c r="W282" i="129"/>
  <c r="X283" i="129"/>
  <c r="Z287" i="129"/>
  <c r="AD292" i="129"/>
  <c r="X164" i="129"/>
  <c r="X294" i="129" s="1"/>
  <c r="W283" i="129"/>
  <c r="Y287" i="129"/>
  <c r="AA287" i="129"/>
  <c r="AG122" i="129"/>
  <c r="AF122" i="129"/>
  <c r="AF120" i="129"/>
  <c r="AG120" i="129"/>
  <c r="AG121" i="129"/>
  <c r="W131" i="129"/>
  <c r="W294" i="129" s="1"/>
  <c r="AE127" i="129"/>
  <c r="AE125" i="129"/>
  <c r="Z289" i="129"/>
  <c r="AE124" i="129"/>
  <c r="AB291" i="129"/>
  <c r="AE291" i="129" s="1"/>
  <c r="AG291" i="129" s="1"/>
  <c r="AC292" i="129"/>
  <c r="AE292" i="129" s="1"/>
  <c r="X282" i="129"/>
  <c r="AB294" i="129"/>
  <c r="Z131" i="129"/>
  <c r="AE119" i="129"/>
  <c r="Y282" i="129"/>
  <c r="AA294" i="129"/>
  <c r="Y294" i="129"/>
  <c r="V294" i="129"/>
  <c r="AE98" i="129"/>
  <c r="AF98" i="129" s="1"/>
  <c r="AG89" i="129"/>
  <c r="AG87" i="129"/>
  <c r="AG88" i="129"/>
  <c r="AG91" i="129"/>
  <c r="AF89" i="129"/>
  <c r="AG86" i="129"/>
  <c r="AF86" i="129"/>
  <c r="AF53" i="129"/>
  <c r="C293" i="129"/>
  <c r="C294" i="129" s="1"/>
  <c r="H219" i="112"/>
  <c r="H335" i="112"/>
  <c r="G276" i="112"/>
  <c r="H276" i="112" s="1"/>
  <c r="F46" i="136"/>
  <c r="K28" i="140"/>
  <c r="K27" i="140"/>
  <c r="K26" i="140"/>
  <c r="I17" i="136" s="1"/>
  <c r="K25" i="140"/>
  <c r="I16" i="136" s="1"/>
  <c r="K24" i="140"/>
  <c r="J23" i="140"/>
  <c r="G23" i="140"/>
  <c r="J22" i="140"/>
  <c r="G22" i="140"/>
  <c r="J21" i="140"/>
  <c r="G21" i="140"/>
  <c r="J20" i="140"/>
  <c r="G20" i="140"/>
  <c r="J19" i="140"/>
  <c r="G19" i="140"/>
  <c r="J18" i="140"/>
  <c r="G18" i="140"/>
  <c r="J17" i="140"/>
  <c r="G17" i="140"/>
  <c r="J16" i="140"/>
  <c r="G16" i="140"/>
  <c r="J15" i="140"/>
  <c r="G15" i="140"/>
  <c r="J14" i="140"/>
  <c r="G14" i="140"/>
  <c r="J13" i="140"/>
  <c r="G13" i="140"/>
  <c r="J12" i="140"/>
  <c r="G12" i="140"/>
  <c r="J11" i="140"/>
  <c r="G11" i="140"/>
  <c r="J10" i="140"/>
  <c r="G10" i="140"/>
  <c r="J9" i="140"/>
  <c r="G9" i="140"/>
  <c r="J8" i="140"/>
  <c r="G8" i="140"/>
  <c r="J7" i="140"/>
  <c r="G7" i="140"/>
  <c r="J6" i="140"/>
  <c r="G6" i="140"/>
  <c r="D11" i="136" s="1"/>
  <c r="J5" i="140"/>
  <c r="G5" i="140"/>
  <c r="G11" i="136"/>
  <c r="G8" i="136"/>
  <c r="I19" i="136"/>
  <c r="F19" i="136"/>
  <c r="E19" i="136"/>
  <c r="I18" i="136"/>
  <c r="F18" i="136"/>
  <c r="E18" i="136"/>
  <c r="F17" i="136"/>
  <c r="E17" i="136"/>
  <c r="F16" i="136"/>
  <c r="E16" i="136"/>
  <c r="I15" i="136"/>
  <c r="F15" i="136"/>
  <c r="E15" i="136"/>
  <c r="I14" i="136"/>
  <c r="G14" i="136"/>
  <c r="F14" i="136"/>
  <c r="E14" i="136"/>
  <c r="D14" i="136"/>
  <c r="I13" i="136"/>
  <c r="G13" i="136"/>
  <c r="F13" i="136"/>
  <c r="E13" i="136"/>
  <c r="D13" i="136"/>
  <c r="I12" i="136"/>
  <c r="G12" i="136"/>
  <c r="F12" i="136"/>
  <c r="E12" i="136"/>
  <c r="D12" i="136"/>
  <c r="H12" i="136" s="1"/>
  <c r="K12" i="136" s="1"/>
  <c r="I11" i="136"/>
  <c r="F11" i="136"/>
  <c r="E11" i="136"/>
  <c r="I10" i="136"/>
  <c r="G10" i="136"/>
  <c r="F10" i="136"/>
  <c r="E10" i="136"/>
  <c r="D10" i="136"/>
  <c r="I9" i="136"/>
  <c r="G9" i="136"/>
  <c r="F9" i="136"/>
  <c r="E9" i="136"/>
  <c r="D9" i="136"/>
  <c r="H9" i="136" s="1"/>
  <c r="I8" i="136"/>
  <c r="F8" i="136"/>
  <c r="E8" i="136"/>
  <c r="D8" i="136"/>
  <c r="I7" i="136"/>
  <c r="G7" i="136"/>
  <c r="F7" i="136"/>
  <c r="E7" i="136"/>
  <c r="D7" i="136"/>
  <c r="I6" i="136"/>
  <c r="G6" i="136"/>
  <c r="F6" i="136"/>
  <c r="E6" i="136"/>
  <c r="D6" i="136"/>
  <c r="I5" i="136"/>
  <c r="G5" i="136"/>
  <c r="H5" i="136" s="1"/>
  <c r="F5" i="136"/>
  <c r="E5" i="136"/>
  <c r="D5" i="136"/>
  <c r="L22" i="136"/>
  <c r="J22" i="136"/>
  <c r="C22" i="136"/>
  <c r="H14" i="136"/>
  <c r="K14" i="136" s="1"/>
  <c r="H6" i="136"/>
  <c r="K6" i="136" s="1"/>
  <c r="I34" i="136"/>
  <c r="H33" i="136"/>
  <c r="H32" i="136"/>
  <c r="J32" i="136" s="1"/>
  <c r="G32" i="136"/>
  <c r="I33" i="136"/>
  <c r="G31" i="136"/>
  <c r="G34" i="136" s="1"/>
  <c r="F31" i="136"/>
  <c r="F34" i="136" s="1"/>
  <c r="M19" i="140"/>
  <c r="M28" i="140"/>
  <c r="M27" i="140"/>
  <c r="M26" i="140"/>
  <c r="M25" i="140"/>
  <c r="M24" i="140"/>
  <c r="E27" i="136"/>
  <c r="H27" i="136"/>
  <c r="G27" i="136"/>
  <c r="Q12" i="138"/>
  <c r="Q10" i="138"/>
  <c r="Q9" i="138"/>
  <c r="Q6" i="138"/>
  <c r="Q5" i="138"/>
  <c r="Q13" i="138"/>
  <c r="Q7" i="138"/>
  <c r="O13" i="138"/>
  <c r="O12" i="138"/>
  <c r="O10" i="138"/>
  <c r="O9" i="138"/>
  <c r="O7" i="138"/>
  <c r="O6" i="138"/>
  <c r="O5" i="138"/>
  <c r="N8" i="138"/>
  <c r="N13" i="138"/>
  <c r="AF292" i="129" l="1"/>
  <c r="AG292" i="129"/>
  <c r="AF291" i="129"/>
  <c r="AF127" i="129"/>
  <c r="AG127" i="129"/>
  <c r="AF290" i="129"/>
  <c r="AF220" i="129"/>
  <c r="AE286" i="129"/>
  <c r="AF257" i="129"/>
  <c r="AG257" i="129"/>
  <c r="AF288" i="129"/>
  <c r="AG288" i="129"/>
  <c r="AF287" i="129"/>
  <c r="AE282" i="129"/>
  <c r="AG282" i="129" s="1"/>
  <c r="AG284" i="129"/>
  <c r="AF284" i="129"/>
  <c r="AG263" i="129"/>
  <c r="AC294" i="129"/>
  <c r="AG218" i="129"/>
  <c r="AG230" i="129" s="1"/>
  <c r="AF218" i="129"/>
  <c r="AE230" i="129"/>
  <c r="AF230" i="129" s="1"/>
  <c r="Z294" i="129"/>
  <c r="AE197" i="129"/>
  <c r="AF197" i="129" s="1"/>
  <c r="AG185" i="129"/>
  <c r="AG197" i="129" s="1"/>
  <c r="AF185" i="129"/>
  <c r="AG157" i="129"/>
  <c r="AF157" i="129"/>
  <c r="AG153" i="129"/>
  <c r="AG164" i="129" s="1"/>
  <c r="AE164" i="129"/>
  <c r="AF164" i="129" s="1"/>
  <c r="AG119" i="129"/>
  <c r="AE131" i="129"/>
  <c r="AF131" i="129" s="1"/>
  <c r="AF119" i="129"/>
  <c r="AG124" i="129"/>
  <c r="AF124" i="129"/>
  <c r="AG98" i="129"/>
  <c r="P17" i="138"/>
  <c r="H11" i="136"/>
  <c r="H8" i="136"/>
  <c r="K8" i="136" s="1"/>
  <c r="I22" i="136"/>
  <c r="E22" i="136"/>
  <c r="H10" i="136"/>
  <c r="K10" i="136" s="1"/>
  <c r="H31" i="136"/>
  <c r="H34" i="136" s="1"/>
  <c r="H35" i="136" s="1"/>
  <c r="F22" i="136"/>
  <c r="G46" i="136"/>
  <c r="H13" i="136"/>
  <c r="K13" i="136" s="1"/>
  <c r="K9" i="136"/>
  <c r="K11" i="136"/>
  <c r="H7" i="136"/>
  <c r="K7" i="136" s="1"/>
  <c r="K5" i="136"/>
  <c r="O8" i="138"/>
  <c r="AF282" i="129" l="1"/>
  <c r="AE294" i="129"/>
  <c r="AF294" i="129" s="1"/>
  <c r="AG286" i="129"/>
  <c r="AF286" i="129"/>
  <c r="AG131" i="129"/>
  <c r="AG294" i="129"/>
  <c r="E47" i="136"/>
  <c r="D47" i="136"/>
  <c r="G47" i="136"/>
  <c r="G35" i="136"/>
  <c r="F35" i="136"/>
  <c r="F47" i="136"/>
  <c r="Q8" i="138"/>
  <c r="E34" i="136" l="1"/>
  <c r="J33" i="136"/>
  <c r="J31" i="136"/>
  <c r="J34" i="136" s="1"/>
  <c r="E35" i="136" l="1"/>
  <c r="M23" i="140"/>
  <c r="M22" i="140"/>
  <c r="M21" i="140"/>
  <c r="M20" i="140"/>
  <c r="M18" i="140"/>
  <c r="M17" i="140"/>
  <c r="M16" i="140"/>
  <c r="M15" i="140"/>
  <c r="M14" i="140"/>
  <c r="M13" i="140"/>
  <c r="M12" i="140"/>
  <c r="M11" i="140"/>
  <c r="M10" i="140"/>
  <c r="M9" i="140"/>
  <c r="M8" i="140"/>
  <c r="M7" i="140"/>
  <c r="M6" i="140"/>
  <c r="N11" i="138" s="1"/>
  <c r="N17" i="138" s="1"/>
  <c r="J27" i="139"/>
  <c r="I27" i="139"/>
  <c r="H27" i="139"/>
  <c r="G27" i="139"/>
  <c r="F27" i="139"/>
  <c r="K27" i="139"/>
  <c r="J19" i="139"/>
  <c r="J18" i="139"/>
  <c r="J17" i="139"/>
  <c r="J16" i="139"/>
  <c r="J15" i="139"/>
  <c r="J14" i="139"/>
  <c r="J13" i="139"/>
  <c r="J12" i="139"/>
  <c r="J11" i="139"/>
  <c r="J10" i="139"/>
  <c r="J9" i="139"/>
  <c r="J8" i="139"/>
  <c r="J7" i="139"/>
  <c r="J6" i="139"/>
  <c r="J5" i="139"/>
  <c r="J30" i="139"/>
  <c r="K14" i="138"/>
  <c r="I14" i="138"/>
  <c r="H14" i="138"/>
  <c r="G14" i="138"/>
  <c r="K13" i="138"/>
  <c r="J13" i="138"/>
  <c r="I13" i="138"/>
  <c r="H13" i="138"/>
  <c r="G13" i="138"/>
  <c r="K12" i="138"/>
  <c r="J12" i="138"/>
  <c r="M12" i="138" s="1"/>
  <c r="I12" i="138"/>
  <c r="H12" i="138"/>
  <c r="G12" i="138"/>
  <c r="J11" i="138"/>
  <c r="I11" i="138"/>
  <c r="H11" i="138"/>
  <c r="G11" i="138"/>
  <c r="K10" i="138"/>
  <c r="J10" i="138"/>
  <c r="I10" i="138"/>
  <c r="H10" i="138"/>
  <c r="M10" i="138" s="1"/>
  <c r="G10" i="138"/>
  <c r="K9" i="138"/>
  <c r="J9" i="138"/>
  <c r="I9" i="138"/>
  <c r="H9" i="138"/>
  <c r="G9" i="138"/>
  <c r="K8" i="138"/>
  <c r="J8" i="138"/>
  <c r="I8" i="138"/>
  <c r="H8" i="138"/>
  <c r="G8" i="138"/>
  <c r="M8" i="138" s="1"/>
  <c r="K7" i="138"/>
  <c r="M7" i="138" s="1"/>
  <c r="J7" i="138"/>
  <c r="I7" i="138"/>
  <c r="H7" i="138"/>
  <c r="G7" i="138"/>
  <c r="K6" i="138"/>
  <c r="J6" i="138"/>
  <c r="I6" i="138"/>
  <c r="H6" i="138"/>
  <c r="G6" i="138"/>
  <c r="M6" i="138" s="1"/>
  <c r="K5" i="138"/>
  <c r="J5" i="138"/>
  <c r="I5" i="138"/>
  <c r="M5" i="138" s="1"/>
  <c r="H5" i="138"/>
  <c r="G5" i="138"/>
  <c r="M9" i="138"/>
  <c r="M11" i="138"/>
  <c r="M13" i="138"/>
  <c r="M14" i="138"/>
  <c r="O14" i="138" s="1"/>
  <c r="O11" i="138" l="1"/>
  <c r="Q11" i="138" s="1"/>
  <c r="M30" i="140"/>
  <c r="Q14" i="138"/>
  <c r="O17" i="138"/>
  <c r="Q17" i="138" s="1"/>
  <c r="H36" i="136"/>
  <c r="G36" i="136" l="1"/>
  <c r="F36" i="136"/>
  <c r="E36" i="136"/>
  <c r="J36" i="136"/>
  <c r="AO123" i="58" l="1"/>
  <c r="AN123" i="58"/>
  <c r="AM123" i="58"/>
  <c r="AL123" i="58"/>
  <c r="AK123" i="58"/>
  <c r="AJ123" i="58"/>
  <c r="AI123" i="58"/>
  <c r="AH123" i="58"/>
  <c r="AA123" i="58"/>
  <c r="Z123" i="58"/>
  <c r="Y123" i="58"/>
  <c r="X123" i="58"/>
  <c r="W123" i="58"/>
  <c r="V123" i="58"/>
  <c r="U123" i="58"/>
  <c r="T123" i="58"/>
  <c r="H216" i="82" l="1"/>
  <c r="I216" i="82"/>
  <c r="N513" i="123"/>
  <c r="N500" i="123"/>
  <c r="N487" i="123"/>
  <c r="N474" i="123"/>
  <c r="N461" i="123"/>
  <c r="N161" i="123"/>
  <c r="N81" i="82" l="1"/>
  <c r="I45" i="98" l="1"/>
  <c r="U59" i="113" l="1"/>
  <c r="U64" i="113"/>
  <c r="O36" i="113"/>
  <c r="L36" i="113"/>
  <c r="O13" i="113"/>
  <c r="F152" i="113" l="1"/>
  <c r="C163" i="113"/>
  <c r="Y165" i="113"/>
  <c r="V165" i="113"/>
  <c r="V166" i="113" s="1"/>
  <c r="P165" i="113"/>
  <c r="M165" i="113"/>
  <c r="J165" i="113"/>
  <c r="J166" i="113" s="1"/>
  <c r="H165" i="113"/>
  <c r="H166" i="113" s="1"/>
  <c r="D165" i="113"/>
  <c r="Y164" i="113"/>
  <c r="Q164" i="113"/>
  <c r="N164" i="113"/>
  <c r="Y163" i="113"/>
  <c r="Q163" i="113"/>
  <c r="AD163" i="113" s="1"/>
  <c r="AF163" i="113" s="1"/>
  <c r="J45" i="98" s="1"/>
  <c r="N163" i="113"/>
  <c r="E163" i="113"/>
  <c r="Y162" i="113"/>
  <c r="Q162" i="113"/>
  <c r="N162" i="113"/>
  <c r="Q161" i="113"/>
  <c r="N161" i="113"/>
  <c r="Y160" i="113"/>
  <c r="Q160" i="113"/>
  <c r="N160" i="113"/>
  <c r="Y159" i="113"/>
  <c r="Q159" i="113"/>
  <c r="N159" i="113"/>
  <c r="V156" i="113"/>
  <c r="P156" i="113"/>
  <c r="O156" i="113"/>
  <c r="M156" i="113"/>
  <c r="L156" i="113"/>
  <c r="J156" i="113"/>
  <c r="H156" i="113"/>
  <c r="D156" i="113"/>
  <c r="I155" i="113"/>
  <c r="E155" i="113"/>
  <c r="Y154" i="113"/>
  <c r="Q154" i="113"/>
  <c r="N154" i="113"/>
  <c r="Y153" i="113"/>
  <c r="Y156" i="113" s="1"/>
  <c r="Q153" i="113"/>
  <c r="N153" i="113"/>
  <c r="AD164" i="113" l="1"/>
  <c r="AF164" i="113" s="1"/>
  <c r="J46" i="98" s="1"/>
  <c r="AD160" i="113"/>
  <c r="AF160" i="113" s="1"/>
  <c r="J42" i="98" s="1"/>
  <c r="AD161" i="113"/>
  <c r="AF161" i="113" s="1"/>
  <c r="J43" i="98" s="1"/>
  <c r="N156" i="113"/>
  <c r="AD154" i="113"/>
  <c r="AF154" i="113" s="1"/>
  <c r="J37" i="98" s="1"/>
  <c r="N165" i="113"/>
  <c r="N166" i="113" s="1"/>
  <c r="AD162" i="113"/>
  <c r="AF162" i="113" s="1"/>
  <c r="J44" i="98" s="1"/>
  <c r="Q156" i="113"/>
  <c r="AD153" i="113"/>
  <c r="AF153" i="113" s="1"/>
  <c r="J36" i="98" s="1"/>
  <c r="AD159" i="113"/>
  <c r="AF159" i="113" s="1"/>
  <c r="J41" i="98" s="1"/>
  <c r="Q165" i="113"/>
  <c r="Y166" i="113"/>
  <c r="L165" i="113"/>
  <c r="L166" i="113" s="1"/>
  <c r="O165" i="113"/>
  <c r="O166" i="113" s="1"/>
  <c r="AD165" i="113" l="1"/>
  <c r="AF165" i="113" s="1"/>
  <c r="AD156" i="113"/>
  <c r="AF156" i="113" s="1"/>
  <c r="Q166" i="113"/>
  <c r="AD166" i="113" s="1"/>
  <c r="AF166" i="113" s="1"/>
  <c r="J48" i="98" s="1"/>
  <c r="F128" i="113" l="1"/>
  <c r="C139" i="113"/>
  <c r="Y141" i="113"/>
  <c r="V141" i="113"/>
  <c r="P141" i="113"/>
  <c r="M141" i="113"/>
  <c r="J141" i="113"/>
  <c r="J142" i="113" s="1"/>
  <c r="H141" i="113"/>
  <c r="D141" i="113"/>
  <c r="Y140" i="113"/>
  <c r="Q140" i="113"/>
  <c r="N140" i="113"/>
  <c r="AD139" i="113"/>
  <c r="AF139" i="113" s="1"/>
  <c r="Y139" i="113"/>
  <c r="Q139" i="113"/>
  <c r="N139" i="113"/>
  <c r="E139" i="113"/>
  <c r="Y138" i="113"/>
  <c r="Q138" i="113"/>
  <c r="L141" i="113"/>
  <c r="Q137" i="113"/>
  <c r="N137" i="113"/>
  <c r="Y136" i="113"/>
  <c r="Q136" i="113"/>
  <c r="N136" i="113"/>
  <c r="Y135" i="113"/>
  <c r="Q135" i="113"/>
  <c r="N135" i="113"/>
  <c r="V132" i="113"/>
  <c r="V142" i="113" s="1"/>
  <c r="P132" i="113"/>
  <c r="O132" i="113"/>
  <c r="M132" i="113"/>
  <c r="J132" i="113"/>
  <c r="H132" i="113"/>
  <c r="H142" i="113" s="1"/>
  <c r="D132" i="113"/>
  <c r="I131" i="113"/>
  <c r="E131" i="113"/>
  <c r="Y130" i="113"/>
  <c r="Q130" i="113"/>
  <c r="L132" i="113"/>
  <c r="Y129" i="113"/>
  <c r="Y132" i="113" s="1"/>
  <c r="Q129" i="113"/>
  <c r="N129" i="113"/>
  <c r="AD136" i="113" l="1"/>
  <c r="AF136" i="113" s="1"/>
  <c r="I42" i="98" s="1"/>
  <c r="AD140" i="113"/>
  <c r="AF140" i="113" s="1"/>
  <c r="I46" i="98" s="1"/>
  <c r="AD137" i="113"/>
  <c r="AF137" i="113" s="1"/>
  <c r="I43" i="98" s="1"/>
  <c r="AD129" i="113"/>
  <c r="AF129" i="113" s="1"/>
  <c r="I36" i="98" s="1"/>
  <c r="Q132" i="113"/>
  <c r="AD135" i="113"/>
  <c r="AF135" i="113" s="1"/>
  <c r="I41" i="98" s="1"/>
  <c r="Q141" i="113"/>
  <c r="L142" i="113"/>
  <c r="Y142" i="113"/>
  <c r="N130" i="113"/>
  <c r="N132" i="113" s="1"/>
  <c r="N138" i="113"/>
  <c r="AD138" i="113" s="1"/>
  <c r="AF138" i="113" s="1"/>
  <c r="I44" i="98" s="1"/>
  <c r="O141" i="113"/>
  <c r="O142" i="113" s="1"/>
  <c r="AD130" i="113" l="1"/>
  <c r="AF130" i="113" s="1"/>
  <c r="I37" i="98" s="1"/>
  <c r="N141" i="113"/>
  <c r="N142" i="113" s="1"/>
  <c r="Q142" i="113"/>
  <c r="AD132" i="113"/>
  <c r="AF132" i="113" s="1"/>
  <c r="AD141" i="113"/>
  <c r="AF141" i="113" s="1"/>
  <c r="AD142" i="113" l="1"/>
  <c r="AF142" i="113" s="1"/>
  <c r="I48" i="98" s="1"/>
  <c r="F104" i="113" l="1"/>
  <c r="AC80" i="113"/>
  <c r="AA80" i="113"/>
  <c r="F80" i="113"/>
  <c r="C115" i="113" l="1"/>
  <c r="E115" i="113"/>
  <c r="V117" i="113"/>
  <c r="P117" i="113"/>
  <c r="M117" i="113"/>
  <c r="J117" i="113"/>
  <c r="J118" i="113" s="1"/>
  <c r="H117" i="113"/>
  <c r="D117" i="113"/>
  <c r="Y116" i="113"/>
  <c r="Q116" i="113"/>
  <c r="N116" i="113"/>
  <c r="Y115" i="113"/>
  <c r="Q115" i="113"/>
  <c r="Y114" i="113"/>
  <c r="Q114" i="113"/>
  <c r="Q113" i="113"/>
  <c r="N113" i="113"/>
  <c r="Y112" i="113"/>
  <c r="Y117" i="113" s="1"/>
  <c r="Y118" i="113" s="1"/>
  <c r="Q112" i="113"/>
  <c r="N112" i="113"/>
  <c r="Y111" i="113"/>
  <c r="O117" i="113"/>
  <c r="V108" i="113"/>
  <c r="V118" i="113" s="1"/>
  <c r="P108" i="113"/>
  <c r="M108" i="113"/>
  <c r="J108" i="113"/>
  <c r="H108" i="113"/>
  <c r="H118" i="113" s="1"/>
  <c r="D108" i="113"/>
  <c r="I107" i="113"/>
  <c r="E107" i="113"/>
  <c r="Y106" i="113"/>
  <c r="Q106" i="113"/>
  <c r="N106" i="113"/>
  <c r="Y105" i="113"/>
  <c r="Y108" i="113" s="1"/>
  <c r="O108" i="113"/>
  <c r="L108" i="113"/>
  <c r="Y92" i="113"/>
  <c r="X92" i="113"/>
  <c r="Q92" i="113"/>
  <c r="N92" i="113"/>
  <c r="K92" i="113"/>
  <c r="AD92" i="113" l="1"/>
  <c r="AF92" i="113" s="1"/>
  <c r="G46" i="98" s="1"/>
  <c r="Z92" i="113"/>
  <c r="U116" i="113"/>
  <c r="AD112" i="113"/>
  <c r="AF112" i="113" s="1"/>
  <c r="H42" i="98" s="1"/>
  <c r="O118" i="113"/>
  <c r="AD106" i="113"/>
  <c r="AF106" i="113" s="1"/>
  <c r="H37" i="98" s="1"/>
  <c r="AD116" i="113"/>
  <c r="AF116" i="113" s="1"/>
  <c r="H46" i="98" s="1"/>
  <c r="AD113" i="113"/>
  <c r="AF113" i="113" s="1"/>
  <c r="H43" i="98" s="1"/>
  <c r="N114" i="113"/>
  <c r="AD114" i="113" s="1"/>
  <c r="AF114" i="113" s="1"/>
  <c r="H44" i="98" s="1"/>
  <c r="Q111" i="113"/>
  <c r="N115" i="113"/>
  <c r="AD115" i="113" s="1"/>
  <c r="AF115" i="113" s="1"/>
  <c r="H45" i="98" s="1"/>
  <c r="N111" i="113"/>
  <c r="N105" i="113"/>
  <c r="N108" i="113" s="1"/>
  <c r="Q105" i="113"/>
  <c r="L117" i="113"/>
  <c r="L118" i="113" s="1"/>
  <c r="W92" i="113"/>
  <c r="N117" i="113" l="1"/>
  <c r="N118" i="113"/>
  <c r="Q108" i="113"/>
  <c r="AD105" i="113"/>
  <c r="AF105" i="113" s="1"/>
  <c r="H36" i="98" s="1"/>
  <c r="AD111" i="113"/>
  <c r="AF111" i="113" s="1"/>
  <c r="H41" i="98" s="1"/>
  <c r="Q117" i="113"/>
  <c r="AD117" i="113" s="1"/>
  <c r="AF117" i="113" s="1"/>
  <c r="AD108" i="113" l="1"/>
  <c r="AF108" i="113" s="1"/>
  <c r="Q118" i="113"/>
  <c r="AD118" i="113" s="1"/>
  <c r="AF118" i="113" s="1"/>
  <c r="H48" i="98" s="1"/>
  <c r="X58" i="113" l="1"/>
  <c r="AG166" i="113" l="1"/>
  <c r="AG142" i="113"/>
  <c r="AG118" i="113"/>
  <c r="AG94" i="113"/>
  <c r="AG70" i="113"/>
  <c r="J193" i="112" l="1"/>
  <c r="G193" i="112"/>
  <c r="D193" i="112"/>
  <c r="E167" i="112"/>
  <c r="D167" i="112"/>
  <c r="E166" i="112"/>
  <c r="D166" i="112"/>
  <c r="G166" i="112" s="1"/>
  <c r="H166" i="112" s="1"/>
  <c r="E165" i="112"/>
  <c r="D165" i="112"/>
  <c r="E164" i="112"/>
  <c r="D164" i="112"/>
  <c r="G164" i="112" s="1"/>
  <c r="H164" i="112" s="1"/>
  <c r="E163" i="112"/>
  <c r="D163" i="112"/>
  <c r="G163" i="112" s="1"/>
  <c r="E162" i="112"/>
  <c r="D162" i="112"/>
  <c r="G162" i="112" s="1"/>
  <c r="J162" i="112" s="1"/>
  <c r="E161" i="112"/>
  <c r="D161" i="112"/>
  <c r="G161" i="112" s="1"/>
  <c r="J161" i="112" s="1"/>
  <c r="E160" i="112"/>
  <c r="D160" i="112"/>
  <c r="G160" i="112" s="1"/>
  <c r="H160" i="112" s="1"/>
  <c r="E159" i="112"/>
  <c r="D159" i="112"/>
  <c r="G159" i="112" s="1"/>
  <c r="E158" i="112"/>
  <c r="D158" i="112"/>
  <c r="E157" i="112"/>
  <c r="D157" i="112"/>
  <c r="G157" i="112" s="1"/>
  <c r="J157" i="112" s="1"/>
  <c r="E156" i="112"/>
  <c r="D156" i="112"/>
  <c r="G156" i="112" s="1"/>
  <c r="G153" i="112"/>
  <c r="J153" i="112" s="1"/>
  <c r="G152" i="112"/>
  <c r="J152" i="112" s="1"/>
  <c r="G151" i="112"/>
  <c r="J151" i="112" s="1"/>
  <c r="G150" i="112"/>
  <c r="J150" i="112" s="1"/>
  <c r="G149" i="112"/>
  <c r="H149" i="112" s="1"/>
  <c r="G148" i="112"/>
  <c r="J148" i="112" s="1"/>
  <c r="G147" i="112"/>
  <c r="J147" i="112" s="1"/>
  <c r="G146" i="112"/>
  <c r="J146" i="112" s="1"/>
  <c r="G145" i="112"/>
  <c r="H145" i="112" s="1"/>
  <c r="G144" i="112"/>
  <c r="J144" i="112" s="1"/>
  <c r="G143" i="112"/>
  <c r="J143" i="112" s="1"/>
  <c r="G142" i="112"/>
  <c r="J142" i="112" s="1"/>
  <c r="G141" i="112"/>
  <c r="J123" i="68"/>
  <c r="F246" i="82"/>
  <c r="F245" i="82"/>
  <c r="K223" i="82"/>
  <c r="J223" i="82"/>
  <c r="J164" i="112" l="1"/>
  <c r="J156" i="112"/>
  <c r="H156" i="112"/>
  <c r="J163" i="112"/>
  <c r="H163" i="112"/>
  <c r="J159" i="112"/>
  <c r="H159" i="112"/>
  <c r="J166" i="112"/>
  <c r="H144" i="112"/>
  <c r="H152" i="112"/>
  <c r="H162" i="112"/>
  <c r="H141" i="112"/>
  <c r="H153" i="112"/>
  <c r="G158" i="112"/>
  <c r="H158" i="112" s="1"/>
  <c r="J160" i="112"/>
  <c r="D169" i="112"/>
  <c r="H157" i="112"/>
  <c r="J141" i="112"/>
  <c r="J149" i="112"/>
  <c r="G165" i="112"/>
  <c r="H165" i="112" s="1"/>
  <c r="H142" i="112"/>
  <c r="H146" i="112"/>
  <c r="H150" i="112"/>
  <c r="G167" i="112"/>
  <c r="H167" i="112" s="1"/>
  <c r="J145" i="112"/>
  <c r="H161" i="112"/>
  <c r="H148" i="112"/>
  <c r="H143" i="112"/>
  <c r="H147" i="112"/>
  <c r="H151" i="112"/>
  <c r="J104" i="67"/>
  <c r="J167" i="112" l="1"/>
  <c r="J158" i="112"/>
  <c r="G169" i="112"/>
  <c r="J165" i="112"/>
  <c r="J169" i="112" s="1"/>
  <c r="AC49" i="124" l="1"/>
  <c r="BC49" i="124"/>
  <c r="T47" i="131" s="1"/>
  <c r="BB49" i="124"/>
  <c r="O47" i="131" s="1"/>
  <c r="BA49" i="124"/>
  <c r="J47" i="131" s="1"/>
  <c r="AB49" i="124" l="1"/>
  <c r="AA49" i="124"/>
  <c r="G216" i="82"/>
  <c r="F216" i="82"/>
  <c r="E216" i="82"/>
  <c r="D216" i="82"/>
  <c r="H165" i="151"/>
  <c r="H170" i="151" s="1"/>
  <c r="G165" i="151"/>
  <c r="F170" i="151"/>
  <c r="E170" i="151"/>
  <c r="E2" i="176"/>
  <c r="F2" i="176" s="1"/>
  <c r="I165" i="151" l="1"/>
  <c r="I170" i="151" s="1"/>
  <c r="G170" i="151"/>
  <c r="E424" i="78" l="1"/>
  <c r="E423" i="78"/>
  <c r="E422" i="78"/>
  <c r="E417" i="78"/>
  <c r="E415" i="78"/>
  <c r="E411" i="78"/>
  <c r="J424" i="78"/>
  <c r="J423" i="78"/>
  <c r="J422" i="78"/>
  <c r="H420" i="78"/>
  <c r="H426" i="78" s="1"/>
  <c r="H431" i="78" s="1"/>
  <c r="G420" i="78"/>
  <c r="G426" i="78" s="1"/>
  <c r="G431" i="78" s="1"/>
  <c r="F420" i="78"/>
  <c r="F426" i="78" s="1"/>
  <c r="F431" i="78" s="1"/>
  <c r="I418" i="78"/>
  <c r="I420" i="78" s="1"/>
  <c r="I426" i="78" s="1"/>
  <c r="I431" i="78" s="1"/>
  <c r="H418" i="78"/>
  <c r="G418" i="78"/>
  <c r="F418" i="78"/>
  <c r="J417" i="78"/>
  <c r="J415" i="78"/>
  <c r="J411" i="78"/>
  <c r="B406" i="78"/>
  <c r="B407" i="78" s="1"/>
  <c r="B408" i="78" s="1"/>
  <c r="B409" i="78" s="1"/>
  <c r="B410" i="78" s="1"/>
  <c r="B411" i="78" s="1"/>
  <c r="B412" i="78" s="1"/>
  <c r="B413" i="78" s="1"/>
  <c r="B414" i="78" s="1"/>
  <c r="B415" i="78" s="1"/>
  <c r="B416" i="78" s="1"/>
  <c r="B417" i="78" s="1"/>
  <c r="B418" i="78" s="1"/>
  <c r="B419" i="78" s="1"/>
  <c r="B420" i="78" s="1"/>
  <c r="B421" i="78" s="1"/>
  <c r="B422" i="78" s="1"/>
  <c r="B423" i="78" s="1"/>
  <c r="B424" i="78" s="1"/>
  <c r="B429" i="78" s="1"/>
  <c r="E390" i="78"/>
  <c r="E385" i="78"/>
  <c r="E383" i="78"/>
  <c r="J385" i="78"/>
  <c r="J383" i="78"/>
  <c r="B379" i="78"/>
  <c r="B380" i="78" s="1"/>
  <c r="B381" i="78" s="1"/>
  <c r="B382" i="78" s="1"/>
  <c r="B383" i="78" s="1"/>
  <c r="B384" i="78" s="1"/>
  <c r="B385" i="78" s="1"/>
  <c r="B386" i="78" s="1"/>
  <c r="B387" i="78" s="1"/>
  <c r="B388" i="78" s="1"/>
  <c r="B389" i="78" s="1"/>
  <c r="B390" i="78" s="1"/>
  <c r="I357" i="78"/>
  <c r="H357" i="78"/>
  <c r="G357" i="78"/>
  <c r="F357" i="78"/>
  <c r="F359" i="78" s="1"/>
  <c r="F365" i="78" s="1"/>
  <c r="F370" i="78" s="1"/>
  <c r="B356" i="78"/>
  <c r="B357" i="78" s="1"/>
  <c r="B358" i="78" s="1"/>
  <c r="B359" i="78" s="1"/>
  <c r="B360" i="78" s="1"/>
  <c r="B361" i="78" s="1"/>
  <c r="B362" i="78" s="1"/>
  <c r="B363" i="78" s="1"/>
  <c r="E363" i="78"/>
  <c r="E362" i="78"/>
  <c r="E361" i="78"/>
  <c r="J363" i="78"/>
  <c r="J362" i="78"/>
  <c r="J361" i="78"/>
  <c r="E355" i="78"/>
  <c r="E353" i="78"/>
  <c r="E349" i="78"/>
  <c r="J349" i="78" s="1"/>
  <c r="I359" i="78"/>
  <c r="I365" i="78" s="1"/>
  <c r="I370" i="78" s="1"/>
  <c r="H359" i="78"/>
  <c r="H365" i="78" s="1"/>
  <c r="H370" i="78" s="1"/>
  <c r="G359" i="78"/>
  <c r="G365" i="78" s="1"/>
  <c r="G370" i="78" s="1"/>
  <c r="J355" i="78"/>
  <c r="J353" i="78"/>
  <c r="B344" i="78"/>
  <c r="B345" i="78" s="1"/>
  <c r="B346" i="78" s="1"/>
  <c r="B347" i="78" s="1"/>
  <c r="B348" i="78" s="1"/>
  <c r="B349" i="78" s="1"/>
  <c r="B350" i="78" s="1"/>
  <c r="B351" i="78" s="1"/>
  <c r="B352" i="78" s="1"/>
  <c r="B353" i="78" s="1"/>
  <c r="B354" i="78" s="1"/>
  <c r="B355" i="78" s="1"/>
  <c r="E328" i="78"/>
  <c r="E323" i="78"/>
  <c r="J323" i="78" s="1"/>
  <c r="E321" i="78"/>
  <c r="J321" i="78" s="1"/>
  <c r="B317" i="78"/>
  <c r="B318" i="78" s="1"/>
  <c r="B319" i="78" s="1"/>
  <c r="B320" i="78" s="1"/>
  <c r="B321" i="78" s="1"/>
  <c r="B322" i="78" s="1"/>
  <c r="B323" i="78" s="1"/>
  <c r="B324" i="78" s="1"/>
  <c r="B325" i="78" s="1"/>
  <c r="B326" i="78" s="1"/>
  <c r="B327" i="78" s="1"/>
  <c r="B328" i="78" s="1"/>
  <c r="E301" i="78"/>
  <c r="J301" i="78" s="1"/>
  <c r="E300" i="78"/>
  <c r="J300" i="78" s="1"/>
  <c r="E299" i="78"/>
  <c r="J299" i="78" s="1"/>
  <c r="E288" i="78"/>
  <c r="J288" i="78" s="1"/>
  <c r="E292" i="78"/>
  <c r="J292" i="78" s="1"/>
  <c r="E294" i="78"/>
  <c r="J294" i="78" s="1"/>
  <c r="I295" i="78"/>
  <c r="I297" i="78" s="1"/>
  <c r="I303" i="78" s="1"/>
  <c r="I308" i="78" s="1"/>
  <c r="H295" i="78"/>
  <c r="H297" i="78" s="1"/>
  <c r="H303" i="78" s="1"/>
  <c r="H308" i="78" s="1"/>
  <c r="G295" i="78"/>
  <c r="G297" i="78" s="1"/>
  <c r="G303" i="78" s="1"/>
  <c r="G308" i="78" s="1"/>
  <c r="F295" i="78"/>
  <c r="F297" i="78" s="1"/>
  <c r="F303" i="78" s="1"/>
  <c r="F308" i="78" s="1"/>
  <c r="B283" i="78"/>
  <c r="B284" i="78" s="1"/>
  <c r="B285" i="78" s="1"/>
  <c r="B286" i="78" s="1"/>
  <c r="B287" i="78" s="1"/>
  <c r="B288" i="78" s="1"/>
  <c r="B289" i="78" s="1"/>
  <c r="B290" i="78" s="1"/>
  <c r="B291" i="78" s="1"/>
  <c r="B292" i="78" s="1"/>
  <c r="B293" i="78" s="1"/>
  <c r="B294" i="78" s="1"/>
  <c r="B295" i="78" s="1"/>
  <c r="B296" i="78" s="1"/>
  <c r="B297" i="78" s="1"/>
  <c r="B298" i="78" s="1"/>
  <c r="B299" i="78" s="1"/>
  <c r="B300" i="78" s="1"/>
  <c r="B301" i="78" s="1"/>
  <c r="B306" i="78" s="1"/>
  <c r="E268" i="78"/>
  <c r="E261" i="78"/>
  <c r="J261" i="78" s="1"/>
  <c r="E263" i="78"/>
  <c r="J263" i="78" s="1"/>
  <c r="B257" i="78"/>
  <c r="B258" i="78" s="1"/>
  <c r="B259" i="78" s="1"/>
  <c r="B260" i="78" s="1"/>
  <c r="B261" i="78" s="1"/>
  <c r="B262" i="78" s="1"/>
  <c r="B263" i="78" s="1"/>
  <c r="B264" i="78" s="1"/>
  <c r="B265" i="78" s="1"/>
  <c r="B266" i="78" s="1"/>
  <c r="B267" i="78" s="1"/>
  <c r="B268" i="78" s="1"/>
  <c r="E242" i="78"/>
  <c r="J242" i="78" s="1"/>
  <c r="E241" i="78"/>
  <c r="J241" i="78" s="1"/>
  <c r="E240" i="78"/>
  <c r="J240" i="78" s="1"/>
  <c r="E229" i="78"/>
  <c r="E233" i="78"/>
  <c r="J233" i="78" s="1"/>
  <c r="E235" i="78"/>
  <c r="J235" i="78" s="1"/>
  <c r="I236" i="78"/>
  <c r="I238" i="78" s="1"/>
  <c r="I244" i="78" s="1"/>
  <c r="I249" i="78" s="1"/>
  <c r="H236" i="78"/>
  <c r="H238" i="78" s="1"/>
  <c r="H244" i="78" s="1"/>
  <c r="H249" i="78" s="1"/>
  <c r="G236" i="78"/>
  <c r="G238" i="78" s="1"/>
  <c r="G244" i="78" s="1"/>
  <c r="G249" i="78" s="1"/>
  <c r="F236" i="78"/>
  <c r="F238" i="78" s="1"/>
  <c r="F244" i="78" s="1"/>
  <c r="F249" i="78" s="1"/>
  <c r="J229" i="78"/>
  <c r="B224" i="78"/>
  <c r="B225" i="78" s="1"/>
  <c r="B226" i="78" s="1"/>
  <c r="B227" i="78" s="1"/>
  <c r="B228" i="78" s="1"/>
  <c r="B229" i="78" s="1"/>
  <c r="B230" i="78" s="1"/>
  <c r="B231" i="78" s="1"/>
  <c r="B232" i="78" s="1"/>
  <c r="B233" i="78" s="1"/>
  <c r="B234" i="78" s="1"/>
  <c r="B235" i="78" s="1"/>
  <c r="B236" i="78" s="1"/>
  <c r="B237" i="78" s="1"/>
  <c r="B238" i="78" s="1"/>
  <c r="B239" i="78" s="1"/>
  <c r="B240" i="78" s="1"/>
  <c r="B241" i="78" s="1"/>
  <c r="B242" i="78" s="1"/>
  <c r="B247" i="78" s="1"/>
  <c r="E207" i="78"/>
  <c r="E202" i="78"/>
  <c r="J202" i="78" s="1"/>
  <c r="E200" i="78"/>
  <c r="J200" i="78" s="1"/>
  <c r="B196" i="78"/>
  <c r="B197" i="78" s="1"/>
  <c r="B198" i="78" s="1"/>
  <c r="B199" i="78" s="1"/>
  <c r="B200" i="78" s="1"/>
  <c r="B201" i="78" s="1"/>
  <c r="B202" i="78" s="1"/>
  <c r="B203" i="78" s="1"/>
  <c r="B204" i="78" s="1"/>
  <c r="B205" i="78" s="1"/>
  <c r="B206" i="78" s="1"/>
  <c r="B207" i="78" s="1"/>
  <c r="E182" i="78"/>
  <c r="J182" i="78" s="1"/>
  <c r="E181" i="78"/>
  <c r="J181" i="78" s="1"/>
  <c r="E180" i="78"/>
  <c r="J180" i="78" s="1"/>
  <c r="E169" i="78"/>
  <c r="J169" i="78" s="1"/>
  <c r="E171" i="78"/>
  <c r="J171" i="78" s="1"/>
  <c r="E172" i="78"/>
  <c r="J172" i="78" s="1"/>
  <c r="E173" i="78"/>
  <c r="J173" i="78" s="1"/>
  <c r="E174" i="78"/>
  <c r="J174" i="78" s="1"/>
  <c r="E175" i="78"/>
  <c r="J175" i="78" s="1"/>
  <c r="E163" i="78"/>
  <c r="I176" i="78"/>
  <c r="I178" i="78" s="1"/>
  <c r="I184" i="78" s="1"/>
  <c r="I189" i="78" s="1"/>
  <c r="H176" i="78"/>
  <c r="H178" i="78" s="1"/>
  <c r="H184" i="78" s="1"/>
  <c r="H189" i="78" s="1"/>
  <c r="G176" i="78"/>
  <c r="G178" i="78" s="1"/>
  <c r="G184" i="78" s="1"/>
  <c r="G189" i="78" s="1"/>
  <c r="F176" i="78"/>
  <c r="F178" i="78" s="1"/>
  <c r="F184" i="78" s="1"/>
  <c r="F189" i="78" s="1"/>
  <c r="B164" i="78"/>
  <c r="B165" i="78" s="1"/>
  <c r="B166" i="78" s="1"/>
  <c r="B167" i="78" s="1"/>
  <c r="B168" i="78" s="1"/>
  <c r="B169" i="78" s="1"/>
  <c r="B170" i="78" s="1"/>
  <c r="B171" i="78" s="1"/>
  <c r="B172" i="78" s="1"/>
  <c r="B173" i="78" s="1"/>
  <c r="B174" i="78" s="1"/>
  <c r="B175" i="78" s="1"/>
  <c r="B176" i="78" s="1"/>
  <c r="B177" i="78" s="1"/>
  <c r="B178" i="78" s="1"/>
  <c r="B179" i="78" s="1"/>
  <c r="B180" i="78" s="1"/>
  <c r="B181" i="78" s="1"/>
  <c r="B182" i="78" s="1"/>
  <c r="B187" i="78" s="1"/>
  <c r="E147" i="78"/>
  <c r="E142" i="78"/>
  <c r="J142" i="78" s="1"/>
  <c r="E140" i="78"/>
  <c r="J140" i="78" s="1"/>
  <c r="B136" i="78"/>
  <c r="B137" i="78" s="1"/>
  <c r="B138" i="78" s="1"/>
  <c r="B139" i="78" s="1"/>
  <c r="B140" i="78" s="1"/>
  <c r="B141" i="78" s="1"/>
  <c r="B142" i="78" s="1"/>
  <c r="B143" i="78" s="1"/>
  <c r="B144" i="78" s="1"/>
  <c r="B145" i="78" s="1"/>
  <c r="B146" i="78" s="1"/>
  <c r="B147" i="78" s="1"/>
  <c r="E119" i="78"/>
  <c r="J119" i="78" s="1"/>
  <c r="E118" i="78"/>
  <c r="J118" i="78" s="1"/>
  <c r="E117" i="78"/>
  <c r="J117" i="78" s="1"/>
  <c r="E112" i="78"/>
  <c r="J112" i="78" s="1"/>
  <c r="E111" i="78"/>
  <c r="E110" i="78"/>
  <c r="J110" i="78" s="1"/>
  <c r="E109" i="78"/>
  <c r="J109" i="78" s="1"/>
  <c r="E108" i="78"/>
  <c r="J108" i="78" s="1"/>
  <c r="E106" i="78"/>
  <c r="J106" i="78" s="1"/>
  <c r="E100" i="78"/>
  <c r="I113" i="78"/>
  <c r="I115" i="78" s="1"/>
  <c r="I121" i="78" s="1"/>
  <c r="I126" i="78" s="1"/>
  <c r="H113" i="78"/>
  <c r="H115" i="78" s="1"/>
  <c r="H121" i="78" s="1"/>
  <c r="H126" i="78" s="1"/>
  <c r="G113" i="78"/>
  <c r="G115" i="78" s="1"/>
  <c r="G121" i="78" s="1"/>
  <c r="G126" i="78" s="1"/>
  <c r="F113" i="78"/>
  <c r="F115" i="78" s="1"/>
  <c r="F121" i="78" s="1"/>
  <c r="F126" i="78" s="1"/>
  <c r="J111" i="78"/>
  <c r="B101" i="78"/>
  <c r="B102" i="78" s="1"/>
  <c r="B103" i="78" s="1"/>
  <c r="B104" i="78" s="1"/>
  <c r="B105" i="78" s="1"/>
  <c r="B106" i="78" s="1"/>
  <c r="B107" i="78" s="1"/>
  <c r="B108" i="78" s="1"/>
  <c r="B109" i="78" s="1"/>
  <c r="B110" i="78" s="1"/>
  <c r="B111" i="78" s="1"/>
  <c r="B112" i="78" s="1"/>
  <c r="B113" i="78" s="1"/>
  <c r="B114" i="78" s="1"/>
  <c r="B115" i="78" s="1"/>
  <c r="B116" i="78" s="1"/>
  <c r="B117" i="78" s="1"/>
  <c r="B118" i="78" s="1"/>
  <c r="B119" i="78" s="1"/>
  <c r="B124" i="78" s="1"/>
  <c r="E79" i="78"/>
  <c r="J79" i="78" s="1"/>
  <c r="E77" i="78"/>
  <c r="J77" i="78" s="1"/>
  <c r="B73" i="78"/>
  <c r="B74" i="78" s="1"/>
  <c r="B75" i="78" s="1"/>
  <c r="B76" i="78" s="1"/>
  <c r="B77" i="78" s="1"/>
  <c r="B78" i="78" s="1"/>
  <c r="B79" i="78" s="1"/>
  <c r="B80" i="78" s="1"/>
  <c r="B81" i="78" s="1"/>
  <c r="B82" i="78" s="1"/>
  <c r="B83" i="78" s="1"/>
  <c r="B84" i="78" s="1"/>
  <c r="E56" i="78"/>
  <c r="J56" i="78" s="1"/>
  <c r="E55" i="78"/>
  <c r="J55" i="78" s="1"/>
  <c r="E54" i="78"/>
  <c r="E49" i="78"/>
  <c r="J49" i="78" s="1"/>
  <c r="E48" i="78"/>
  <c r="J48" i="78" s="1"/>
  <c r="E47" i="78"/>
  <c r="J47" i="78" s="1"/>
  <c r="J54" i="78"/>
  <c r="I50" i="78"/>
  <c r="I52" i="78" s="1"/>
  <c r="I58" i="78" s="1"/>
  <c r="I63" i="78" s="1"/>
  <c r="H50" i="78"/>
  <c r="H52" i="78" s="1"/>
  <c r="H58" i="78" s="1"/>
  <c r="H63" i="78" s="1"/>
  <c r="G50" i="78"/>
  <c r="G52" i="78" s="1"/>
  <c r="G58" i="78" s="1"/>
  <c r="G63" i="78" s="1"/>
  <c r="F50" i="78"/>
  <c r="F52" i="78" s="1"/>
  <c r="F58" i="78" s="1"/>
  <c r="F63" i="78" s="1"/>
  <c r="E43" i="78"/>
  <c r="J43" i="78" s="1"/>
  <c r="E44" i="78"/>
  <c r="J44" i="78" s="1"/>
  <c r="E45" i="78"/>
  <c r="J45" i="78" s="1"/>
  <c r="E46" i="78"/>
  <c r="J46" i="78" s="1"/>
  <c r="E37" i="78"/>
  <c r="E17" i="78"/>
  <c r="J17" i="78" s="1"/>
  <c r="E16" i="78"/>
  <c r="J16" i="78" s="1"/>
  <c r="E15" i="78"/>
  <c r="J15" i="78" s="1"/>
  <c r="E2" i="78"/>
  <c r="B368" i="78" l="1"/>
  <c r="J163" i="78"/>
  <c r="J100" i="78"/>
  <c r="J37" i="78"/>
  <c r="V93" i="113" l="1"/>
  <c r="V94" i="113" s="1"/>
  <c r="P93" i="113"/>
  <c r="O93" i="113"/>
  <c r="O94" i="113" s="1"/>
  <c r="M93" i="113"/>
  <c r="L93" i="113"/>
  <c r="J93" i="113"/>
  <c r="H93" i="113"/>
  <c r="D93" i="113"/>
  <c r="Y91" i="113"/>
  <c r="Q91" i="113"/>
  <c r="N91" i="113"/>
  <c r="Y90" i="113"/>
  <c r="Q90" i="113"/>
  <c r="N90" i="113"/>
  <c r="Q89" i="113"/>
  <c r="N89" i="113"/>
  <c r="Y88" i="113"/>
  <c r="Q88" i="113"/>
  <c r="N88" i="113"/>
  <c r="Y87" i="113"/>
  <c r="Q87" i="113"/>
  <c r="N87" i="113"/>
  <c r="V84" i="113"/>
  <c r="P84" i="113"/>
  <c r="O84" i="113"/>
  <c r="M84" i="113"/>
  <c r="L84" i="113"/>
  <c r="J84" i="113"/>
  <c r="H84" i="113"/>
  <c r="D84" i="113"/>
  <c r="I83" i="113"/>
  <c r="E83" i="113"/>
  <c r="Y82" i="113"/>
  <c r="Q82" i="113"/>
  <c r="N82" i="113"/>
  <c r="Y81" i="113"/>
  <c r="Q81" i="113"/>
  <c r="N81" i="113"/>
  <c r="E43" i="98"/>
  <c r="D43" i="98"/>
  <c r="AD88" i="113" l="1"/>
  <c r="AF88" i="113" s="1"/>
  <c r="G42" i="98" s="1"/>
  <c r="N93" i="113"/>
  <c r="Q93" i="113"/>
  <c r="L94" i="113"/>
  <c r="Y93" i="113"/>
  <c r="AD87" i="113"/>
  <c r="AF87" i="113" s="1"/>
  <c r="G41" i="98" s="1"/>
  <c r="AD82" i="113"/>
  <c r="AF82" i="113" s="1"/>
  <c r="G37" i="98" s="1"/>
  <c r="N84" i="113"/>
  <c r="N94" i="113" s="1"/>
  <c r="AD89" i="113"/>
  <c r="AF89" i="113" s="1"/>
  <c r="G43" i="98" s="1"/>
  <c r="Y84" i="113"/>
  <c r="Y94" i="113" s="1"/>
  <c r="AD91" i="113"/>
  <c r="AF91" i="113" s="1"/>
  <c r="G45" i="98" s="1"/>
  <c r="H94" i="113"/>
  <c r="J94" i="113"/>
  <c r="AD81" i="113"/>
  <c r="AF81" i="113" s="1"/>
  <c r="G36" i="98" s="1"/>
  <c r="Q84" i="113"/>
  <c r="AD90" i="113"/>
  <c r="AF90" i="113" s="1"/>
  <c r="G44" i="98" s="1"/>
  <c r="AD93" i="113" l="1"/>
  <c r="AF93" i="113" s="1"/>
  <c r="AD84" i="113"/>
  <c r="AF84" i="113" s="1"/>
  <c r="Q94" i="113"/>
  <c r="AD94" i="113" s="1"/>
  <c r="AF94" i="113" s="1"/>
  <c r="G48" i="98" s="1"/>
  <c r="Q66" i="113" l="1"/>
  <c r="Q58" i="113"/>
  <c r="Q59" i="113"/>
  <c r="O61" i="113"/>
  <c r="P61" i="113"/>
  <c r="Q64" i="113"/>
  <c r="Q65" i="113"/>
  <c r="Q67" i="113"/>
  <c r="Q68" i="113"/>
  <c r="O69" i="113"/>
  <c r="N67" i="113"/>
  <c r="N66" i="113"/>
  <c r="N65" i="113"/>
  <c r="H61" i="113"/>
  <c r="H69" i="113"/>
  <c r="G60" i="113"/>
  <c r="I60" i="113" s="1"/>
  <c r="V69" i="113"/>
  <c r="L69" i="113"/>
  <c r="J69" i="113"/>
  <c r="Y68" i="113"/>
  <c r="N68" i="113"/>
  <c r="Y67" i="113"/>
  <c r="U66" i="113"/>
  <c r="W66" i="113" s="1"/>
  <c r="Y65" i="113"/>
  <c r="Y64" i="113"/>
  <c r="N64" i="113"/>
  <c r="V61" i="113"/>
  <c r="M61" i="113"/>
  <c r="L61" i="113"/>
  <c r="J61" i="113"/>
  <c r="D61" i="113"/>
  <c r="C60" i="113"/>
  <c r="E60" i="113" s="1"/>
  <c r="Y59" i="113"/>
  <c r="N59" i="113"/>
  <c r="Y58" i="113"/>
  <c r="N58" i="113"/>
  <c r="O46" i="113"/>
  <c r="Q45" i="113"/>
  <c r="Q44" i="113"/>
  <c r="Q42" i="113"/>
  <c r="Q41" i="113"/>
  <c r="P38" i="113"/>
  <c r="O38" i="113"/>
  <c r="Q36" i="113"/>
  <c r="U43" i="113"/>
  <c r="L46" i="113"/>
  <c r="N45" i="113"/>
  <c r="N44" i="113"/>
  <c r="N42" i="113"/>
  <c r="N41" i="113"/>
  <c r="M38" i="113"/>
  <c r="L38" i="113"/>
  <c r="L47" i="113" s="1"/>
  <c r="N36" i="113"/>
  <c r="V46" i="113"/>
  <c r="J46" i="113"/>
  <c r="H46" i="113"/>
  <c r="V38" i="113"/>
  <c r="J38" i="113"/>
  <c r="H38" i="113"/>
  <c r="G45" i="113"/>
  <c r="I45" i="113" s="1"/>
  <c r="K45" i="113" s="1"/>
  <c r="G44" i="113"/>
  <c r="I44" i="113" s="1"/>
  <c r="K44" i="113" s="1"/>
  <c r="G42" i="113"/>
  <c r="I42" i="113" s="1"/>
  <c r="K42" i="113" s="1"/>
  <c r="G41" i="113"/>
  <c r="G46" i="113" s="1"/>
  <c r="G37" i="113"/>
  <c r="I37" i="113" s="1"/>
  <c r="G36" i="113"/>
  <c r="I36" i="113" s="1"/>
  <c r="K36" i="113" s="1"/>
  <c r="G35" i="113"/>
  <c r="D38" i="113"/>
  <c r="C35" i="113"/>
  <c r="E35" i="113"/>
  <c r="Y45" i="113"/>
  <c r="Y44" i="113"/>
  <c r="Y42" i="113"/>
  <c r="Y41" i="113"/>
  <c r="Y36" i="113"/>
  <c r="Y35" i="113"/>
  <c r="Q35" i="113"/>
  <c r="N35" i="113"/>
  <c r="W22" i="113"/>
  <c r="W21" i="113"/>
  <c r="W19" i="113"/>
  <c r="W18" i="113"/>
  <c r="W13" i="113"/>
  <c r="W12" i="113"/>
  <c r="G21" i="113"/>
  <c r="I21" i="113" s="1"/>
  <c r="K21" i="113" s="1"/>
  <c r="G19" i="113"/>
  <c r="I19" i="113" s="1"/>
  <c r="K19" i="113" s="1"/>
  <c r="G18" i="113"/>
  <c r="G13" i="113"/>
  <c r="I13" i="113" s="1"/>
  <c r="K13" i="113" s="1"/>
  <c r="G12" i="113"/>
  <c r="C19" i="113"/>
  <c r="E19" i="113" s="1"/>
  <c r="O23" i="113"/>
  <c r="L23" i="113"/>
  <c r="Y22" i="113"/>
  <c r="X22" i="113"/>
  <c r="Q22" i="113"/>
  <c r="N22" i="113"/>
  <c r="I22" i="113"/>
  <c r="K22" i="113" s="1"/>
  <c r="E22" i="113"/>
  <c r="Y21" i="113"/>
  <c r="X21" i="113"/>
  <c r="Q21" i="113"/>
  <c r="N21" i="113"/>
  <c r="Y19" i="113"/>
  <c r="X19" i="113"/>
  <c r="U42" i="113" s="1"/>
  <c r="Q19" i="113"/>
  <c r="N19" i="113"/>
  <c r="Y18" i="113"/>
  <c r="X18" i="113"/>
  <c r="U41" i="113" s="1"/>
  <c r="Q18" i="113"/>
  <c r="N18" i="113"/>
  <c r="O15" i="113"/>
  <c r="L15" i="113"/>
  <c r="Y13" i="113"/>
  <c r="X13" i="113"/>
  <c r="U36" i="113" s="1"/>
  <c r="W36" i="113" s="1"/>
  <c r="Q13" i="113"/>
  <c r="N13" i="113"/>
  <c r="Y12" i="113"/>
  <c r="X12" i="113"/>
  <c r="Q12" i="113"/>
  <c r="N12" i="113"/>
  <c r="O70" i="113" l="1"/>
  <c r="G15" i="113"/>
  <c r="Q61" i="113"/>
  <c r="W15" i="113"/>
  <c r="Z21" i="113"/>
  <c r="N46" i="113"/>
  <c r="AD45" i="113"/>
  <c r="AF45" i="113" s="1"/>
  <c r="E45" i="98" s="1"/>
  <c r="O47" i="113"/>
  <c r="H70" i="113"/>
  <c r="N38" i="113"/>
  <c r="N47" i="113" s="1"/>
  <c r="AD66" i="113"/>
  <c r="AF66" i="113" s="1"/>
  <c r="F43" i="98" s="1"/>
  <c r="Y61" i="113"/>
  <c r="Y70" i="113" s="1"/>
  <c r="X66" i="113"/>
  <c r="U89" i="113" s="1"/>
  <c r="Z12" i="113"/>
  <c r="Z22" i="113"/>
  <c r="Q69" i="113"/>
  <c r="N69" i="113"/>
  <c r="H47" i="113"/>
  <c r="U35" i="113"/>
  <c r="Y69" i="113"/>
  <c r="J70" i="113"/>
  <c r="G38" i="113"/>
  <c r="G47" i="113" s="1"/>
  <c r="AD68" i="113"/>
  <c r="AF68" i="113" s="1"/>
  <c r="F45" i="98" s="1"/>
  <c r="AD64" i="113"/>
  <c r="AF64" i="113" s="1"/>
  <c r="F41" i="98" s="1"/>
  <c r="AD67" i="113"/>
  <c r="AF67" i="113" s="1"/>
  <c r="F44" i="98" s="1"/>
  <c r="N61" i="113"/>
  <c r="AD59" i="113"/>
  <c r="AF59" i="113" s="1"/>
  <c r="F36" i="98" s="1"/>
  <c r="X41" i="113"/>
  <c r="X64" i="113" s="1"/>
  <c r="U87" i="113" s="1"/>
  <c r="X42" i="113"/>
  <c r="U65" i="113" s="1"/>
  <c r="W42" i="113"/>
  <c r="Q38" i="113"/>
  <c r="J47" i="113"/>
  <c r="AD41" i="113"/>
  <c r="AF41" i="113" s="1"/>
  <c r="E41" i="98" s="1"/>
  <c r="X36" i="113"/>
  <c r="AD42" i="113"/>
  <c r="AF42" i="113" s="1"/>
  <c r="E42" i="98" s="1"/>
  <c r="V70" i="113"/>
  <c r="AD65" i="113"/>
  <c r="AF65" i="113" s="1"/>
  <c r="F42" i="98" s="1"/>
  <c r="Y38" i="113"/>
  <c r="U44" i="113"/>
  <c r="L70" i="113"/>
  <c r="Y46" i="113"/>
  <c r="W23" i="113"/>
  <c r="W24" i="113" s="1"/>
  <c r="V47" i="113"/>
  <c r="U45" i="113"/>
  <c r="AD58" i="113"/>
  <c r="AF58" i="113" s="1"/>
  <c r="Q46" i="113"/>
  <c r="AD46" i="113" s="1"/>
  <c r="AF46" i="113" s="1"/>
  <c r="W41" i="113"/>
  <c r="AD36" i="113"/>
  <c r="AF36" i="113" s="1"/>
  <c r="E37" i="98" s="1"/>
  <c r="L24" i="113"/>
  <c r="O24" i="113"/>
  <c r="N15" i="113"/>
  <c r="AD44" i="113"/>
  <c r="AF44" i="113" s="1"/>
  <c r="E44" i="98" s="1"/>
  <c r="AD35" i="113"/>
  <c r="AF35" i="113" s="1"/>
  <c r="E36" i="98" s="1"/>
  <c r="Y15" i="113"/>
  <c r="I41" i="113"/>
  <c r="I46" i="113" s="1"/>
  <c r="I35" i="113"/>
  <c r="I38" i="113" s="1"/>
  <c r="AD12" i="113"/>
  <c r="AF12" i="113" s="1"/>
  <c r="D36" i="98" s="1"/>
  <c r="AD22" i="113"/>
  <c r="AF22" i="113" s="1"/>
  <c r="D45" i="98" s="1"/>
  <c r="AD18" i="113"/>
  <c r="AF18" i="113" s="1"/>
  <c r="D41" i="98" s="1"/>
  <c r="G23" i="113"/>
  <c r="G24" i="113" s="1"/>
  <c r="Z18" i="113"/>
  <c r="AD19" i="113"/>
  <c r="AF19" i="113" s="1"/>
  <c r="D42" i="98" s="1"/>
  <c r="Y23" i="113"/>
  <c r="Y24" i="113" s="1"/>
  <c r="I18" i="113"/>
  <c r="I23" i="113" s="1"/>
  <c r="AD13" i="113"/>
  <c r="AF13" i="113" s="1"/>
  <c r="D37" i="98" s="1"/>
  <c r="N23" i="113"/>
  <c r="Z13" i="113"/>
  <c r="Z15" i="113" s="1"/>
  <c r="Q23" i="113"/>
  <c r="AD21" i="113"/>
  <c r="AF21" i="113" s="1"/>
  <c r="D44" i="98" s="1"/>
  <c r="Z19" i="113"/>
  <c r="I12" i="113"/>
  <c r="X23" i="113"/>
  <c r="Q15" i="113"/>
  <c r="X15" i="113"/>
  <c r="N70" i="113" l="1"/>
  <c r="Z42" i="113"/>
  <c r="AD69" i="113"/>
  <c r="AF69" i="113" s="1"/>
  <c r="Z64" i="113"/>
  <c r="Q70" i="113"/>
  <c r="AD70" i="113" s="1"/>
  <c r="AF70" i="113" s="1"/>
  <c r="F48" i="98" s="1"/>
  <c r="Y47" i="113"/>
  <c r="W87" i="113"/>
  <c r="X87" i="113"/>
  <c r="U111" i="113" s="1"/>
  <c r="Z66" i="113"/>
  <c r="AD23" i="113"/>
  <c r="AF23" i="113" s="1"/>
  <c r="Z41" i="113"/>
  <c r="W64" i="113"/>
  <c r="W65" i="113"/>
  <c r="X65" i="113"/>
  <c r="U88" i="113" s="1"/>
  <c r="X35" i="113"/>
  <c r="X38" i="113" s="1"/>
  <c r="U38" i="113"/>
  <c r="W35" i="113"/>
  <c r="W38" i="113" s="1"/>
  <c r="X44" i="113"/>
  <c r="W44" i="113"/>
  <c r="I47" i="113"/>
  <c r="X45" i="113"/>
  <c r="W45" i="113"/>
  <c r="U46" i="113"/>
  <c r="Z36" i="113"/>
  <c r="Q47" i="113"/>
  <c r="AD47" i="113" s="1"/>
  <c r="AF47" i="113" s="1"/>
  <c r="E48" i="98" s="1"/>
  <c r="AD61" i="113"/>
  <c r="AF61" i="113" s="1"/>
  <c r="Z58" i="113"/>
  <c r="N24" i="113"/>
  <c r="AD38" i="113"/>
  <c r="AF38" i="113" s="1"/>
  <c r="K35" i="113"/>
  <c r="K38" i="113" s="1"/>
  <c r="K41" i="113"/>
  <c r="K46" i="113" s="1"/>
  <c r="K47" i="113" s="1"/>
  <c r="Z23" i="113"/>
  <c r="Z24" i="113" s="1"/>
  <c r="K18" i="113"/>
  <c r="K23" i="113" s="1"/>
  <c r="K12" i="113"/>
  <c r="K15" i="113" s="1"/>
  <c r="I15" i="113"/>
  <c r="I24" i="113" s="1"/>
  <c r="X24" i="113"/>
  <c r="Q24" i="113"/>
  <c r="AD24" i="113" s="1"/>
  <c r="AF24" i="113" s="1"/>
  <c r="D48" i="98" s="1"/>
  <c r="AD15" i="113"/>
  <c r="AF15" i="113" s="1"/>
  <c r="U81" i="113" l="1"/>
  <c r="X81" i="113" s="1"/>
  <c r="U105" i="113" s="1"/>
  <c r="X59" i="113"/>
  <c r="U82" i="113" s="1"/>
  <c r="U84" i="113" s="1"/>
  <c r="Z81" i="113"/>
  <c r="Z87" i="113"/>
  <c r="U58" i="113"/>
  <c r="W58" i="113" s="1"/>
  <c r="Z35" i="113"/>
  <c r="Z38" i="113"/>
  <c r="X89" i="113"/>
  <c r="U113" i="113" s="1"/>
  <c r="W89" i="113"/>
  <c r="W81" i="113"/>
  <c r="W88" i="113"/>
  <c r="X88" i="113"/>
  <c r="U112" i="113" s="1"/>
  <c r="U47" i="113"/>
  <c r="W46" i="113"/>
  <c r="W47" i="113" s="1"/>
  <c r="Z65" i="113"/>
  <c r="U68" i="113"/>
  <c r="Z45" i="113"/>
  <c r="Z44" i="113"/>
  <c r="Z46" i="113" s="1"/>
  <c r="U67" i="113"/>
  <c r="X46" i="113"/>
  <c r="X47" i="113" s="1"/>
  <c r="U61" i="113"/>
  <c r="W59" i="113"/>
  <c r="W61" i="113" s="1"/>
  <c r="K24" i="113"/>
  <c r="X105" i="113" l="1"/>
  <c r="W105" i="113"/>
  <c r="X82" i="113"/>
  <c r="W82" i="113"/>
  <c r="W84" i="113" s="1"/>
  <c r="Z88" i="113"/>
  <c r="Z89" i="113"/>
  <c r="Z47" i="113"/>
  <c r="X67" i="113"/>
  <c r="U90" i="113" s="1"/>
  <c r="W67" i="113"/>
  <c r="X68" i="113"/>
  <c r="U91" i="113" s="1"/>
  <c r="W68" i="113"/>
  <c r="W69" i="113" s="1"/>
  <c r="W70" i="113" s="1"/>
  <c r="Z59" i="113"/>
  <c r="Z61" i="113" s="1"/>
  <c r="X61" i="113"/>
  <c r="U69" i="113"/>
  <c r="U70" i="113" s="1"/>
  <c r="U129" i="113" l="1"/>
  <c r="Z105" i="113"/>
  <c r="U106" i="113"/>
  <c r="Z82" i="113"/>
  <c r="Z84" i="113" s="1"/>
  <c r="X84" i="113"/>
  <c r="W112" i="113"/>
  <c r="X112" i="113"/>
  <c r="U136" i="113" s="1"/>
  <c r="W111" i="113"/>
  <c r="X111" i="113"/>
  <c r="U135" i="113" s="1"/>
  <c r="Z68" i="113"/>
  <c r="U93" i="113"/>
  <c r="U94" i="113" s="1"/>
  <c r="X91" i="113"/>
  <c r="U115" i="113" s="1"/>
  <c r="W91" i="113"/>
  <c r="W90" i="113"/>
  <c r="X90" i="113"/>
  <c r="U114" i="113" s="1"/>
  <c r="Z67" i="113"/>
  <c r="X69" i="113"/>
  <c r="X70" i="113" s="1"/>
  <c r="X129" i="113" l="1"/>
  <c r="W129" i="113"/>
  <c r="W115" i="113"/>
  <c r="X115" i="113"/>
  <c r="X106" i="113"/>
  <c r="W106" i="113"/>
  <c r="W108" i="113" s="1"/>
  <c r="U108" i="113"/>
  <c r="W113" i="113"/>
  <c r="X113" i="113"/>
  <c r="U137" i="113" s="1"/>
  <c r="Z91" i="113"/>
  <c r="Z111" i="113"/>
  <c r="Z112" i="113"/>
  <c r="Z69" i="113"/>
  <c r="Z70" i="113" s="1"/>
  <c r="X93" i="113"/>
  <c r="W93" i="113"/>
  <c r="W94" i="113" s="1"/>
  <c r="Z90" i="113"/>
  <c r="L85" i="178"/>
  <c r="M85" i="178"/>
  <c r="N85" i="178"/>
  <c r="N87" i="178"/>
  <c r="U153" i="113" l="1"/>
  <c r="Z129" i="113"/>
  <c r="Z115" i="113"/>
  <c r="U139" i="113"/>
  <c r="U130" i="113"/>
  <c r="Z106" i="113"/>
  <c r="Z108" i="113" s="1"/>
  <c r="X108" i="113"/>
  <c r="W135" i="113"/>
  <c r="X135" i="113"/>
  <c r="U159" i="113" s="1"/>
  <c r="X94" i="113"/>
  <c r="W114" i="113"/>
  <c r="X114" i="113"/>
  <c r="U138" i="113" s="1"/>
  <c r="Z113" i="113"/>
  <c r="Z93" i="113"/>
  <c r="Z94" i="113" s="1"/>
  <c r="X153" i="113" l="1"/>
  <c r="Z153" i="113" s="1"/>
  <c r="W153" i="113"/>
  <c r="W138" i="113"/>
  <c r="X138" i="113"/>
  <c r="X159" i="113"/>
  <c r="W159" i="113"/>
  <c r="W130" i="113"/>
  <c r="W132" i="113" s="1"/>
  <c r="U132" i="113"/>
  <c r="X130" i="113"/>
  <c r="Z114" i="113"/>
  <c r="W116" i="113"/>
  <c r="W117" i="113" s="1"/>
  <c r="W118" i="113" s="1"/>
  <c r="X116" i="113"/>
  <c r="U140" i="113" s="1"/>
  <c r="U117" i="113"/>
  <c r="U118" i="113" s="1"/>
  <c r="Z135" i="113"/>
  <c r="X136" i="113"/>
  <c r="W136" i="113"/>
  <c r="Z138" i="113" l="1"/>
  <c r="U162" i="113"/>
  <c r="Z136" i="113"/>
  <c r="U160" i="113"/>
  <c r="Z159" i="113"/>
  <c r="Z130" i="113"/>
  <c r="Z132" i="113" s="1"/>
  <c r="U154" i="113"/>
  <c r="X132" i="113"/>
  <c r="X137" i="113"/>
  <c r="W137" i="113"/>
  <c r="Z116" i="113"/>
  <c r="Z117" i="113" s="1"/>
  <c r="Z118" i="113" s="1"/>
  <c r="X117" i="113"/>
  <c r="W162" i="113" l="1"/>
  <c r="X162" i="113"/>
  <c r="Z162" i="113" s="1"/>
  <c r="Z137" i="113"/>
  <c r="U161" i="113"/>
  <c r="W160" i="113"/>
  <c r="X160" i="113"/>
  <c r="W154" i="113"/>
  <c r="W156" i="113" s="1"/>
  <c r="X154" i="113"/>
  <c r="U156" i="113"/>
  <c r="W139" i="113"/>
  <c r="X139" i="113"/>
  <c r="X118" i="113"/>
  <c r="W161" i="113" l="1"/>
  <c r="X161" i="113"/>
  <c r="Z161" i="113" s="1"/>
  <c r="Z139" i="113"/>
  <c r="U163" i="113"/>
  <c r="Z160" i="113"/>
  <c r="Z154" i="113"/>
  <c r="Z156" i="113" s="1"/>
  <c r="X156" i="113"/>
  <c r="X140" i="113"/>
  <c r="U164" i="113" s="1"/>
  <c r="W140" i="113"/>
  <c r="U141" i="113"/>
  <c r="U142" i="113" s="1"/>
  <c r="W141" i="113"/>
  <c r="W142" i="113" s="1"/>
  <c r="X164" i="113" l="1"/>
  <c r="Z164" i="113" s="1"/>
  <c r="W164" i="113"/>
  <c r="W163" i="113"/>
  <c r="W165" i="113" s="1"/>
  <c r="W166" i="113" s="1"/>
  <c r="X163" i="113"/>
  <c r="U165" i="113"/>
  <c r="U166" i="113" s="1"/>
  <c r="Z140" i="113"/>
  <c r="Z141" i="113" s="1"/>
  <c r="Z142" i="113" s="1"/>
  <c r="X141" i="113"/>
  <c r="X142" i="113" s="1"/>
  <c r="Z163" i="113" l="1"/>
  <c r="Z165" i="113" s="1"/>
  <c r="Z166" i="113" s="1"/>
  <c r="X165" i="113"/>
  <c r="X166" i="113" s="1"/>
  <c r="T33" i="131" l="1"/>
  <c r="AC56" i="124"/>
  <c r="AB56" i="124"/>
  <c r="AA56" i="124"/>
  <c r="Y56" i="124"/>
  <c r="AZ49" i="124"/>
  <c r="AY49" i="124"/>
  <c r="Y49" i="124" s="1"/>
  <c r="G613" i="123"/>
  <c r="F613" i="123"/>
  <c r="E47" i="131" l="1"/>
  <c r="Z49" i="124"/>
  <c r="Z56" i="124" s="1"/>
  <c r="O34" i="179"/>
  <c r="B34" i="179"/>
  <c r="B33" i="179"/>
  <c r="O32" i="179"/>
  <c r="B32" i="179"/>
  <c r="O31" i="179"/>
  <c r="B31" i="179"/>
  <c r="O26" i="179"/>
  <c r="O24" i="179"/>
  <c r="O23" i="179"/>
  <c r="O18" i="179"/>
  <c r="O16" i="179"/>
  <c r="O15" i="179"/>
  <c r="O10" i="179"/>
  <c r="O8" i="179"/>
  <c r="O7" i="179"/>
  <c r="U7" i="179"/>
  <c r="V7" i="179" s="1"/>
  <c r="W7" i="179" s="1"/>
  <c r="B26" i="179" l="1"/>
  <c r="B25" i="179"/>
  <c r="B24" i="179"/>
  <c r="B23" i="179"/>
  <c r="U36" i="166" l="1"/>
  <c r="U31" i="166"/>
  <c r="U26" i="166"/>
  <c r="U24" i="166"/>
  <c r="U23" i="166"/>
  <c r="U22" i="166"/>
  <c r="U20" i="166"/>
  <c r="U19" i="166"/>
  <c r="U18" i="166"/>
  <c r="U17" i="166"/>
  <c r="H117" i="172"/>
  <c r="H115" i="172"/>
  <c r="H110" i="172"/>
  <c r="H105" i="172"/>
  <c r="H99" i="172"/>
  <c r="H96" i="172"/>
  <c r="H95" i="172"/>
  <c r="H94" i="172"/>
  <c r="V138" i="172"/>
  <c r="U56" i="178"/>
  <c r="T56" i="178"/>
  <c r="S56" i="178"/>
  <c r="R56" i="178"/>
  <c r="L54" i="151" l="1"/>
  <c r="E252" i="82" l="1"/>
  <c r="E254" i="82" s="1"/>
  <c r="D257" i="82"/>
  <c r="E257" i="82"/>
  <c r="B262" i="82"/>
  <c r="D264" i="82"/>
  <c r="E264" i="82"/>
  <c r="L123" i="58"/>
  <c r="K123" i="58"/>
  <c r="H123" i="58"/>
  <c r="G123" i="58"/>
  <c r="F123" i="58"/>
  <c r="E123" i="58"/>
  <c r="J60" i="151" l="1"/>
  <c r="D252" i="82" l="1"/>
  <c r="D254" i="82" s="1"/>
  <c r="H223" i="82"/>
  <c r="Y61" i="73" l="1"/>
  <c r="T95" i="149" l="1"/>
  <c r="T94" i="149"/>
  <c r="T93" i="149"/>
  <c r="T91" i="149"/>
  <c r="T90" i="149"/>
  <c r="T89" i="149"/>
  <c r="T88" i="149"/>
  <c r="O95" i="149"/>
  <c r="O94" i="149"/>
  <c r="O93" i="149"/>
  <c r="O91" i="149"/>
  <c r="O90" i="149"/>
  <c r="O89" i="149"/>
  <c r="O88" i="149"/>
  <c r="J95" i="149"/>
  <c r="J94" i="149"/>
  <c r="J93" i="149"/>
  <c r="J91" i="149"/>
  <c r="J90" i="149"/>
  <c r="J89" i="149"/>
  <c r="J88" i="149"/>
  <c r="E95" i="149"/>
  <c r="E94" i="149"/>
  <c r="E93" i="149"/>
  <c r="E91" i="149"/>
  <c r="E90" i="149"/>
  <c r="E89" i="149"/>
  <c r="E88" i="149"/>
  <c r="T81" i="149"/>
  <c r="T80" i="149"/>
  <c r="T79" i="149"/>
  <c r="T77" i="149"/>
  <c r="T76" i="149"/>
  <c r="T75" i="149"/>
  <c r="T74" i="149"/>
  <c r="M201" i="125"/>
  <c r="L201" i="125"/>
  <c r="H201" i="125"/>
  <c r="G201" i="125"/>
  <c r="F201" i="125"/>
  <c r="N199" i="125"/>
  <c r="K199" i="125"/>
  <c r="J199" i="125"/>
  <c r="K198" i="125"/>
  <c r="N198" i="125" s="1"/>
  <c r="J198" i="125"/>
  <c r="N197" i="125"/>
  <c r="K197" i="125"/>
  <c r="J197" i="125"/>
  <c r="K196" i="125"/>
  <c r="N196" i="125" s="1"/>
  <c r="J196" i="125"/>
  <c r="N195" i="125"/>
  <c r="K195" i="125"/>
  <c r="J195" i="125"/>
  <c r="I188" i="125"/>
  <c r="J188" i="125" s="1"/>
  <c r="J201" i="125" s="1"/>
  <c r="F188" i="125"/>
  <c r="G318" i="123" l="1"/>
  <c r="F318" i="123"/>
  <c r="N201" i="125"/>
  <c r="K201" i="125"/>
  <c r="I183" i="151" l="1"/>
  <c r="H183" i="151"/>
  <c r="G183" i="151"/>
  <c r="F183" i="151"/>
  <c r="E183" i="151"/>
  <c r="U15" i="166" l="1"/>
  <c r="U14" i="166"/>
  <c r="E56" i="58" l="1"/>
  <c r="D246" i="54" l="1"/>
  <c r="F246" i="54" s="1"/>
  <c r="F242" i="54"/>
  <c r="F241" i="54"/>
  <c r="F243" i="54" s="1"/>
  <c r="F238" i="54"/>
  <c r="F237" i="54"/>
  <c r="F239" i="54" s="1"/>
  <c r="F235" i="54"/>
  <c r="F234" i="54"/>
  <c r="D245" i="54"/>
  <c r="F245" i="54" s="1"/>
  <c r="F247" i="54" l="1"/>
  <c r="G247" i="54" l="1"/>
  <c r="G243" i="54"/>
  <c r="G53" i="151" s="1"/>
  <c r="H268" i="123" s="1"/>
  <c r="G239" i="54"/>
  <c r="F53" i="151" s="1"/>
  <c r="H256" i="123" s="1"/>
  <c r="F236" i="54"/>
  <c r="G236" i="54" s="1"/>
  <c r="E53" i="151" s="1"/>
  <c r="H244" i="123" s="1"/>
  <c r="H53" i="151" l="1"/>
  <c r="H280" i="123" s="1"/>
  <c r="I53" i="151"/>
  <c r="H292" i="123" s="1"/>
  <c r="G144" i="67"/>
  <c r="H144" i="67"/>
  <c r="I144" i="67"/>
  <c r="J144" i="67"/>
  <c r="J143" i="67"/>
  <c r="I143" i="67"/>
  <c r="H143" i="67"/>
  <c r="G143" i="67"/>
  <c r="J142" i="67"/>
  <c r="I142" i="67"/>
  <c r="H142" i="67"/>
  <c r="G142" i="67"/>
  <c r="J140" i="67"/>
  <c r="J118" i="67" s="1"/>
  <c r="I140" i="67"/>
  <c r="H140" i="67"/>
  <c r="G140" i="67"/>
  <c r="J137" i="67"/>
  <c r="I137" i="67"/>
  <c r="H137" i="67"/>
  <c r="G137" i="67"/>
  <c r="J136" i="67"/>
  <c r="I136" i="67"/>
  <c r="H136" i="67"/>
  <c r="G136" i="67"/>
  <c r="J135" i="67"/>
  <c r="I135" i="67"/>
  <c r="H135" i="67"/>
  <c r="G135" i="67"/>
  <c r="J134" i="67"/>
  <c r="J117" i="67" s="1"/>
  <c r="I134" i="67"/>
  <c r="I117" i="67" s="1"/>
  <c r="H134" i="67"/>
  <c r="H117" i="67" s="1"/>
  <c r="G134" i="67"/>
  <c r="G117" i="67" s="1"/>
  <c r="J131" i="67"/>
  <c r="I131" i="67"/>
  <c r="H131" i="67"/>
  <c r="G131" i="67"/>
  <c r="J129" i="67"/>
  <c r="I129" i="67"/>
  <c r="H129" i="67"/>
  <c r="G129" i="67"/>
  <c r="J128" i="67"/>
  <c r="J116" i="67" s="1"/>
  <c r="I128" i="67"/>
  <c r="I116" i="67" s="1"/>
  <c r="H128" i="67"/>
  <c r="G128" i="67"/>
  <c r="J125" i="67"/>
  <c r="I125" i="67"/>
  <c r="I115" i="67" s="1"/>
  <c r="H125" i="67"/>
  <c r="H115" i="67" s="1"/>
  <c r="G125" i="67"/>
  <c r="G115" i="67" s="1"/>
  <c r="I118" i="67"/>
  <c r="H118" i="67"/>
  <c r="G118" i="67"/>
  <c r="H116" i="67"/>
  <c r="G116" i="67"/>
  <c r="J115" i="67"/>
  <c r="D128" i="67"/>
  <c r="D116" i="67" s="1"/>
  <c r="E128" i="67"/>
  <c r="F128" i="67"/>
  <c r="F118" i="67"/>
  <c r="E118" i="67"/>
  <c r="F117" i="67"/>
  <c r="E117" i="67"/>
  <c r="F116" i="67"/>
  <c r="E116" i="67"/>
  <c r="F115" i="67"/>
  <c r="E115" i="67"/>
  <c r="D118" i="67"/>
  <c r="D117" i="67"/>
  <c r="D115" i="67"/>
  <c r="C248" i="82" l="1"/>
  <c r="I235" i="82" l="1"/>
  <c r="H235" i="82"/>
  <c r="G235" i="82"/>
  <c r="F235" i="82"/>
  <c r="E235" i="82"/>
  <c r="D235" i="82"/>
  <c r="I233" i="82"/>
  <c r="E260" i="82" s="1"/>
  <c r="H233" i="82"/>
  <c r="D260" i="82" s="1"/>
  <c r="G233" i="82"/>
  <c r="F233" i="82"/>
  <c r="E233" i="82"/>
  <c r="D233" i="82"/>
  <c r="I116" i="151" l="1"/>
  <c r="I115" i="151"/>
  <c r="I114" i="151"/>
  <c r="I113" i="151"/>
  <c r="I112" i="151"/>
  <c r="I111" i="151"/>
  <c r="I110" i="151"/>
  <c r="I109" i="151"/>
  <c r="D6" i="159" l="1"/>
  <c r="E5" i="159" s="1"/>
  <c r="G5" i="159" s="1"/>
  <c r="D7" i="159"/>
  <c r="E6" i="159" s="1"/>
  <c r="G6" i="159" s="1"/>
  <c r="E10" i="159"/>
  <c r="D8" i="159" l="1"/>
  <c r="K60" i="151"/>
  <c r="I60" i="151"/>
  <c r="H60" i="151"/>
  <c r="G60" i="151"/>
  <c r="E7" i="159" l="1"/>
  <c r="G7" i="159" s="1"/>
  <c r="D9" i="159"/>
  <c r="D52" i="166"/>
  <c r="E55" i="166"/>
  <c r="E54" i="166"/>
  <c r="E53" i="166"/>
  <c r="J186" i="82"/>
  <c r="P312" i="117"/>
  <c r="O312" i="117"/>
  <c r="N312" i="117"/>
  <c r="M312" i="117"/>
  <c r="L312" i="117"/>
  <c r="K312" i="117"/>
  <c r="J312" i="117"/>
  <c r="I312" i="117"/>
  <c r="Q312" i="117" s="1"/>
  <c r="H312" i="117"/>
  <c r="G312" i="117"/>
  <c r="F312" i="117"/>
  <c r="E312" i="117"/>
  <c r="L285" i="117"/>
  <c r="K285" i="117"/>
  <c r="J285" i="117"/>
  <c r="I285" i="117"/>
  <c r="H285" i="117"/>
  <c r="G285" i="117"/>
  <c r="P200" i="117"/>
  <c r="P229" i="117" s="1"/>
  <c r="P258" i="117" s="1"/>
  <c r="P285" i="117" s="1"/>
  <c r="O200" i="117"/>
  <c r="O229" i="117" s="1"/>
  <c r="O258" i="117" s="1"/>
  <c r="O285" i="117" s="1"/>
  <c r="N200" i="117"/>
  <c r="N229" i="117" s="1"/>
  <c r="N258" i="117" s="1"/>
  <c r="N285" i="117" s="1"/>
  <c r="M200" i="117"/>
  <c r="M229" i="117" s="1"/>
  <c r="M258" i="117" s="1"/>
  <c r="M285" i="117" s="1"/>
  <c r="L200" i="117"/>
  <c r="L229" i="117" s="1"/>
  <c r="L258" i="117" s="1"/>
  <c r="K200" i="117"/>
  <c r="K229" i="117" s="1"/>
  <c r="K258" i="117" s="1"/>
  <c r="J200" i="117"/>
  <c r="J229" i="117" s="1"/>
  <c r="J258" i="117" s="1"/>
  <c r="I200" i="117"/>
  <c r="I229" i="117" s="1"/>
  <c r="I258" i="117" s="1"/>
  <c r="H200" i="117"/>
  <c r="H229" i="117" s="1"/>
  <c r="H258" i="117" s="1"/>
  <c r="G200" i="117"/>
  <c r="G229" i="117" s="1"/>
  <c r="G258" i="117" s="1"/>
  <c r="F200" i="117"/>
  <c r="F229" i="117" s="1"/>
  <c r="F258" i="117" s="1"/>
  <c r="F285" i="117" s="1"/>
  <c r="E200" i="117"/>
  <c r="Q171" i="117"/>
  <c r="J113" i="82" s="1"/>
  <c r="Q145" i="117"/>
  <c r="J96" i="82" s="1"/>
  <c r="Q118" i="117"/>
  <c r="H46" i="122" s="1"/>
  <c r="E8" i="159" l="1"/>
  <c r="G8" i="159" s="1"/>
  <c r="D10" i="159"/>
  <c r="Q200" i="117"/>
  <c r="J131" i="82" s="1"/>
  <c r="E229" i="117"/>
  <c r="I46" i="122"/>
  <c r="J46" i="122"/>
  <c r="J80" i="82"/>
  <c r="Q92" i="117"/>
  <c r="G46" i="122" s="1"/>
  <c r="E9" i="159" l="1"/>
  <c r="G9" i="159" s="1"/>
  <c r="G10" i="159"/>
  <c r="K46" i="122"/>
  <c r="Q229" i="117"/>
  <c r="J149" i="82" s="1"/>
  <c r="E258" i="117"/>
  <c r="J65" i="82"/>
  <c r="Q66" i="117"/>
  <c r="J45" i="122"/>
  <c r="I45" i="122"/>
  <c r="H45" i="122"/>
  <c r="G45" i="122"/>
  <c r="E45" i="122"/>
  <c r="D45" i="122"/>
  <c r="Q258" i="117" l="1"/>
  <c r="J161" i="82" s="1"/>
  <c r="E285" i="117"/>
  <c r="Q285" i="117" s="1"/>
  <c r="J174" i="82" s="1"/>
  <c r="J45" i="82"/>
  <c r="F46" i="122"/>
  <c r="F45" i="122" s="1"/>
  <c r="Z5" i="166" l="1"/>
  <c r="M82" i="151" l="1"/>
  <c r="N82" i="151" s="1"/>
  <c r="O82" i="151" s="1"/>
  <c r="P82" i="151" s="1"/>
  <c r="Q77" i="82" l="1"/>
  <c r="AD6" i="166" l="1"/>
  <c r="AC6" i="166"/>
  <c r="Z7" i="166"/>
  <c r="Q36" i="166"/>
  <c r="P36" i="166"/>
  <c r="O36" i="166"/>
  <c r="N36" i="166"/>
  <c r="Q31" i="166"/>
  <c r="P31" i="166"/>
  <c r="O31" i="166"/>
  <c r="N31" i="166"/>
  <c r="Q26" i="166"/>
  <c r="P26" i="166"/>
  <c r="O26" i="166"/>
  <c r="N26" i="166"/>
  <c r="Q24" i="166"/>
  <c r="P24" i="166"/>
  <c r="O24" i="166"/>
  <c r="N24" i="166"/>
  <c r="Q23" i="166"/>
  <c r="P23" i="166"/>
  <c r="O23" i="166"/>
  <c r="N23" i="166"/>
  <c r="Q22" i="166"/>
  <c r="P22" i="166"/>
  <c r="O22" i="166"/>
  <c r="N22" i="166"/>
  <c r="Q20" i="166"/>
  <c r="P20" i="166"/>
  <c r="O20" i="166"/>
  <c r="N20" i="166"/>
  <c r="Q19" i="166"/>
  <c r="P19" i="166"/>
  <c r="O19" i="166"/>
  <c r="N19" i="166"/>
  <c r="Q18" i="166"/>
  <c r="P18" i="166"/>
  <c r="O18" i="166"/>
  <c r="N18" i="166"/>
  <c r="Q17" i="166"/>
  <c r="P17" i="166"/>
  <c r="O17" i="166"/>
  <c r="N17" i="166"/>
  <c r="Q15" i="166"/>
  <c r="P15" i="166"/>
  <c r="O15" i="166"/>
  <c r="N15" i="166"/>
  <c r="Q14" i="166"/>
  <c r="P14" i="166"/>
  <c r="O14" i="166"/>
  <c r="N14" i="166"/>
  <c r="F83" i="173" l="1"/>
  <c r="F100" i="173"/>
  <c r="F93" i="173"/>
  <c r="F96" i="173"/>
  <c r="F110" i="173"/>
  <c r="F105" i="173"/>
  <c r="F117" i="173"/>
  <c r="F95" i="173"/>
  <c r="F94" i="173"/>
  <c r="F115" i="173"/>
  <c r="F78" i="173"/>
  <c r="F99" i="173"/>
  <c r="F99" i="175"/>
  <c r="F100" i="175"/>
  <c r="F93" i="175"/>
  <c r="F78" i="175"/>
  <c r="F115" i="175"/>
  <c r="F83" i="175"/>
  <c r="F110" i="175"/>
  <c r="F96" i="175"/>
  <c r="F94" i="175"/>
  <c r="F95" i="175"/>
  <c r="F117" i="175"/>
  <c r="F105" i="175"/>
  <c r="F100" i="174"/>
  <c r="F110" i="174"/>
  <c r="F95" i="174"/>
  <c r="F117" i="174"/>
  <c r="F83" i="174"/>
  <c r="F93" i="174"/>
  <c r="F105" i="174"/>
  <c r="F96" i="174"/>
  <c r="F78" i="174"/>
  <c r="F94" i="174"/>
  <c r="F99" i="174"/>
  <c r="F115" i="174"/>
  <c r="F105" i="172"/>
  <c r="F117" i="172"/>
  <c r="F83" i="172"/>
  <c r="F110" i="172"/>
  <c r="F93" i="172"/>
  <c r="F99" i="172"/>
  <c r="F95" i="172"/>
  <c r="F96" i="172"/>
  <c r="F94" i="172"/>
  <c r="F100" i="172"/>
  <c r="F78" i="172"/>
  <c r="F115" i="172"/>
  <c r="K18" i="175"/>
  <c r="K18" i="174"/>
  <c r="K18" i="173"/>
  <c r="G7" i="166"/>
  <c r="H7" i="166"/>
  <c r="I7" i="166"/>
  <c r="G8" i="166"/>
  <c r="H8" i="166"/>
  <c r="I8" i="166"/>
  <c r="G10" i="166"/>
  <c r="H10" i="166"/>
  <c r="I10" i="166"/>
  <c r="W36" i="166"/>
  <c r="W31" i="166"/>
  <c r="W26" i="166"/>
  <c r="W24" i="166"/>
  <c r="W23" i="166"/>
  <c r="W22" i="166"/>
  <c r="W20" i="166"/>
  <c r="W19" i="166"/>
  <c r="W18" i="166"/>
  <c r="W17" i="166"/>
  <c r="W15" i="166"/>
  <c r="W14" i="166"/>
  <c r="V36" i="166"/>
  <c r="V31" i="166"/>
  <c r="V26" i="166"/>
  <c r="V24" i="166"/>
  <c r="V23" i="166"/>
  <c r="V22" i="166"/>
  <c r="V20" i="166"/>
  <c r="V19" i="166"/>
  <c r="V18" i="166"/>
  <c r="V17" i="166"/>
  <c r="V15" i="166"/>
  <c r="V14" i="166"/>
  <c r="AB6" i="166"/>
  <c r="T36" i="166"/>
  <c r="T26" i="166"/>
  <c r="T31" i="166"/>
  <c r="T24" i="166"/>
  <c r="T23" i="166"/>
  <c r="T22" i="166"/>
  <c r="T20" i="166"/>
  <c r="T19" i="166"/>
  <c r="T18" i="166"/>
  <c r="T17" i="166"/>
  <c r="T15" i="166"/>
  <c r="T14" i="166"/>
  <c r="J36" i="166"/>
  <c r="J31" i="166"/>
  <c r="J26" i="166"/>
  <c r="J24" i="166"/>
  <c r="J23" i="166"/>
  <c r="J22" i="166"/>
  <c r="J16" i="166"/>
  <c r="J15" i="166"/>
  <c r="J14" i="166"/>
  <c r="I36" i="166"/>
  <c r="I31" i="166"/>
  <c r="I26" i="166"/>
  <c r="I24" i="166"/>
  <c r="I23" i="166"/>
  <c r="I22" i="166"/>
  <c r="I16" i="166"/>
  <c r="I15" i="166"/>
  <c r="I14" i="166"/>
  <c r="H36" i="166"/>
  <c r="H31" i="166"/>
  <c r="H26" i="166"/>
  <c r="H24" i="166"/>
  <c r="H23" i="166"/>
  <c r="H22" i="166"/>
  <c r="H16" i="166"/>
  <c r="H15" i="166"/>
  <c r="H14" i="166"/>
  <c r="G36" i="166"/>
  <c r="G31" i="166"/>
  <c r="G26" i="166"/>
  <c r="G24" i="166"/>
  <c r="G23" i="166"/>
  <c r="G22" i="166"/>
  <c r="G16" i="166"/>
  <c r="G15" i="166"/>
  <c r="G14" i="166"/>
  <c r="D85" i="178"/>
  <c r="U87" i="178"/>
  <c r="AA6" i="166" l="1"/>
  <c r="G87" i="178"/>
  <c r="N101" i="178"/>
  <c r="N109" i="178"/>
  <c r="N79" i="178"/>
  <c r="U105" i="178"/>
  <c r="S105" i="178"/>
  <c r="R105" i="178"/>
  <c r="U95" i="178"/>
  <c r="G113" i="178"/>
  <c r="E113" i="178"/>
  <c r="D113" i="178"/>
  <c r="D114" i="178" s="1"/>
  <c r="E112" i="178" s="1"/>
  <c r="G105" i="178"/>
  <c r="E105" i="178"/>
  <c r="D105" i="178"/>
  <c r="D106" i="178" s="1"/>
  <c r="E104" i="178" s="1"/>
  <c r="F101" i="178"/>
  <c r="F113" i="178" s="1"/>
  <c r="W13" i="178"/>
  <c r="W9" i="178"/>
  <c r="U11" i="178"/>
  <c r="U41" i="178" s="1"/>
  <c r="U85" i="178" s="1"/>
  <c r="T11" i="178"/>
  <c r="T41" i="178" s="1"/>
  <c r="T85" i="178" s="1"/>
  <c r="S11" i="178"/>
  <c r="S41" i="178" s="1"/>
  <c r="S85" i="178" s="1"/>
  <c r="N11" i="178"/>
  <c r="N41" i="178" s="1"/>
  <c r="M11" i="178"/>
  <c r="M41" i="178" s="1"/>
  <c r="F85" i="178" s="1"/>
  <c r="L11" i="178"/>
  <c r="L41" i="178" s="1"/>
  <c r="G11" i="178"/>
  <c r="G41" i="178" s="1"/>
  <c r="F11" i="178"/>
  <c r="F41" i="178" s="1"/>
  <c r="E11" i="178"/>
  <c r="E41" i="178" s="1"/>
  <c r="U7" i="178"/>
  <c r="T7" i="178"/>
  <c r="T35" i="178" s="1"/>
  <c r="T77" i="178" s="1"/>
  <c r="S7" i="178"/>
  <c r="S35" i="178" s="1"/>
  <c r="S77" i="178" s="1"/>
  <c r="R7" i="178"/>
  <c r="G7" i="178"/>
  <c r="F7" i="178"/>
  <c r="E7" i="178"/>
  <c r="N7" i="178"/>
  <c r="M7" i="178"/>
  <c r="M35" i="178" s="1"/>
  <c r="L7" i="178"/>
  <c r="L35" i="178" s="1"/>
  <c r="R35" i="178" l="1"/>
  <c r="R77" i="178" s="1"/>
  <c r="D77" i="178" s="1"/>
  <c r="R104" i="178"/>
  <c r="R106" i="178"/>
  <c r="G85" i="178"/>
  <c r="S93" i="178"/>
  <c r="E77" i="178"/>
  <c r="T93" i="178"/>
  <c r="F77" i="178"/>
  <c r="N95" i="178"/>
  <c r="W11" i="179" s="1"/>
  <c r="G79" i="178"/>
  <c r="G95" i="178" s="1"/>
  <c r="E85" i="178"/>
  <c r="E114" i="178"/>
  <c r="F112" i="178" s="1"/>
  <c r="F114" i="178" s="1"/>
  <c r="G112" i="178" s="1"/>
  <c r="G114" i="178" s="1"/>
  <c r="N15" i="178"/>
  <c r="T105" i="178"/>
  <c r="S104" i="178"/>
  <c r="U15" i="178"/>
  <c r="E15" i="178"/>
  <c r="U35" i="178"/>
  <c r="U77" i="178" s="1"/>
  <c r="G15" i="178"/>
  <c r="M47" i="178"/>
  <c r="M93" i="178"/>
  <c r="L47" i="178"/>
  <c r="L15" i="178"/>
  <c r="N35" i="178"/>
  <c r="S15" i="178"/>
  <c r="M15" i="178"/>
  <c r="F35" i="178"/>
  <c r="S47" i="178"/>
  <c r="T47" i="178"/>
  <c r="T15" i="178"/>
  <c r="E35" i="178"/>
  <c r="F15" i="178"/>
  <c r="G35" i="178"/>
  <c r="E106" i="178"/>
  <c r="F104" i="178" s="1"/>
  <c r="F105" i="178"/>
  <c r="U93" i="178" l="1"/>
  <c r="G77" i="178"/>
  <c r="S106" i="178"/>
  <c r="T104" i="178" s="1"/>
  <c r="L93" i="178"/>
  <c r="U47" i="178"/>
  <c r="E47" i="178"/>
  <c r="N93" i="178"/>
  <c r="N47" i="178"/>
  <c r="G47" i="178"/>
  <c r="F47" i="178"/>
  <c r="F106" i="178"/>
  <c r="G104" i="178" s="1"/>
  <c r="T106" i="178" l="1"/>
  <c r="U104" i="178" s="1"/>
  <c r="W77" i="178"/>
  <c r="F93" i="178"/>
  <c r="G93" i="178"/>
  <c r="E93" i="178"/>
  <c r="G106" i="178"/>
  <c r="U106" i="178" l="1"/>
  <c r="AP121" i="58" l="1"/>
  <c r="AP120" i="58"/>
  <c r="AP119" i="58"/>
  <c r="AP118" i="58"/>
  <c r="AP117" i="58"/>
  <c r="AP116" i="58"/>
  <c r="AP115" i="58"/>
  <c r="AP114" i="58"/>
  <c r="E110" i="171" l="1"/>
  <c r="E110" i="170"/>
  <c r="E110" i="169"/>
  <c r="E110" i="168"/>
  <c r="N163" i="72" l="1"/>
  <c r="L163" i="72"/>
  <c r="K163" i="72"/>
  <c r="L135" i="72" l="1"/>
  <c r="K135" i="72"/>
  <c r="L133" i="72"/>
  <c r="K133" i="72"/>
  <c r="M125" i="72"/>
  <c r="M119" i="72"/>
  <c r="M116" i="72"/>
  <c r="M115" i="72"/>
  <c r="J117" i="164"/>
  <c r="J133" i="164" l="1"/>
  <c r="J135" i="164" s="1"/>
  <c r="F111" i="68" l="1"/>
  <c r="D111" i="68"/>
  <c r="E111" i="68"/>
  <c r="J111" i="68"/>
  <c r="I111" i="68"/>
  <c r="H111" i="68"/>
  <c r="G111" i="68"/>
  <c r="D188" i="151" l="1"/>
  <c r="E188" i="151" s="1"/>
  <c r="D187" i="151"/>
  <c r="E187" i="151" s="1"/>
  <c r="D186" i="151"/>
  <c r="D176" i="151"/>
  <c r="D175" i="151"/>
  <c r="D174" i="151"/>
  <c r="D173" i="151"/>
  <c r="D189" i="151" l="1"/>
  <c r="E186" i="151"/>
  <c r="C62" i="73"/>
  <c r="F187" i="151"/>
  <c r="D177" i="151"/>
  <c r="B173" i="151" s="1"/>
  <c r="E173" i="151" s="1"/>
  <c r="F188" i="151"/>
  <c r="C63" i="73"/>
  <c r="B175" i="151"/>
  <c r="E175" i="151" s="1"/>
  <c r="B174" i="151" l="1"/>
  <c r="E174" i="151" s="1"/>
  <c r="C55" i="73"/>
  <c r="F173" i="151"/>
  <c r="F174" i="151"/>
  <c r="C56" i="73"/>
  <c r="G187" i="151"/>
  <c r="C100" i="168"/>
  <c r="B176" i="151"/>
  <c r="E176" i="151" s="1"/>
  <c r="C61" i="73"/>
  <c r="F186" i="151"/>
  <c r="E189" i="151"/>
  <c r="E190" i="151" s="1"/>
  <c r="F175" i="151"/>
  <c r="C57" i="73"/>
  <c r="G188" i="151"/>
  <c r="C105" i="168"/>
  <c r="E70" i="65"/>
  <c r="E69" i="65"/>
  <c r="E53" i="65"/>
  <c r="E52" i="65"/>
  <c r="F176" i="151" l="1"/>
  <c r="C58" i="73"/>
  <c r="H187" i="151"/>
  <c r="C100" i="169"/>
  <c r="H188" i="151"/>
  <c r="C105" i="169"/>
  <c r="G175" i="151"/>
  <c r="C95" i="168"/>
  <c r="F189" i="151"/>
  <c r="F190" i="151" s="1"/>
  <c r="G186" i="151"/>
  <c r="G189" i="151" s="1"/>
  <c r="C99" i="168"/>
  <c r="G174" i="151"/>
  <c r="C94" i="168"/>
  <c r="C93" i="168"/>
  <c r="G173" i="151"/>
  <c r="F177" i="151"/>
  <c r="E177" i="151"/>
  <c r="AD153" i="176"/>
  <c r="AC153" i="176"/>
  <c r="AD152" i="176"/>
  <c r="AC152" i="176"/>
  <c r="AD147" i="176"/>
  <c r="AC147" i="176"/>
  <c r="AD145" i="176"/>
  <c r="AC145" i="176"/>
  <c r="AD143" i="176"/>
  <c r="AC143" i="176"/>
  <c r="AD142" i="176"/>
  <c r="AC142" i="176"/>
  <c r="AD141" i="176"/>
  <c r="AC141" i="176"/>
  <c r="AD140" i="176"/>
  <c r="AC140" i="176"/>
  <c r="AD139" i="176"/>
  <c r="AC139" i="176"/>
  <c r="AD138" i="176"/>
  <c r="AC138" i="176"/>
  <c r="AD137" i="176"/>
  <c r="AC137" i="176"/>
  <c r="Z153" i="176"/>
  <c r="Y153" i="176"/>
  <c r="Z151" i="176"/>
  <c r="Y151" i="176"/>
  <c r="Z144" i="176"/>
  <c r="Y144" i="176"/>
  <c r="F152" i="176"/>
  <c r="E152" i="176"/>
  <c r="F147" i="176"/>
  <c r="E147" i="176"/>
  <c r="D147" i="176" s="1"/>
  <c r="F146" i="176"/>
  <c r="E146" i="176"/>
  <c r="F145" i="176"/>
  <c r="E145" i="176"/>
  <c r="F144" i="176"/>
  <c r="E144" i="176"/>
  <c r="F143" i="176"/>
  <c r="E143" i="176"/>
  <c r="D143" i="176" s="1"/>
  <c r="F142" i="176"/>
  <c r="E142" i="176"/>
  <c r="D142" i="176" s="1"/>
  <c r="F141" i="176"/>
  <c r="E141" i="176"/>
  <c r="D141" i="176" s="1"/>
  <c r="F140" i="176"/>
  <c r="E140" i="176"/>
  <c r="F139" i="176"/>
  <c r="E139" i="176"/>
  <c r="F138" i="176"/>
  <c r="E138" i="176"/>
  <c r="F137" i="176"/>
  <c r="E137" i="176"/>
  <c r="J154" i="176"/>
  <c r="I154" i="176"/>
  <c r="K153" i="176"/>
  <c r="W152" i="176"/>
  <c r="K152" i="176"/>
  <c r="S151" i="176"/>
  <c r="K151" i="176"/>
  <c r="K149" i="176"/>
  <c r="W147" i="176"/>
  <c r="W146" i="176"/>
  <c r="S146" i="176"/>
  <c r="O146" i="176"/>
  <c r="K146" i="176"/>
  <c r="D146" i="176"/>
  <c r="W145" i="176"/>
  <c r="K145" i="176"/>
  <c r="D145" i="176"/>
  <c r="S144" i="176"/>
  <c r="D144" i="176"/>
  <c r="W143" i="176"/>
  <c r="K143" i="176"/>
  <c r="W142" i="176"/>
  <c r="K142" i="176"/>
  <c r="W141" i="176"/>
  <c r="K141" i="176"/>
  <c r="W140" i="176"/>
  <c r="K140" i="176"/>
  <c r="D140" i="176"/>
  <c r="W139" i="176"/>
  <c r="K139" i="176"/>
  <c r="D139" i="176"/>
  <c r="W138" i="176"/>
  <c r="K138" i="176"/>
  <c r="D138" i="176"/>
  <c r="W137" i="176"/>
  <c r="K137" i="176"/>
  <c r="H122" i="176"/>
  <c r="I132" i="176"/>
  <c r="K131" i="176"/>
  <c r="W130" i="176"/>
  <c r="K130" i="176"/>
  <c r="S129" i="176"/>
  <c r="K127" i="176"/>
  <c r="W125" i="176"/>
  <c r="W124" i="176"/>
  <c r="S124" i="176"/>
  <c r="O124" i="176"/>
  <c r="K124" i="176"/>
  <c r="W123" i="176"/>
  <c r="K123" i="176"/>
  <c r="S122" i="176"/>
  <c r="W121" i="176"/>
  <c r="K121" i="176"/>
  <c r="W120" i="176"/>
  <c r="K120" i="176"/>
  <c r="W119" i="176"/>
  <c r="K119" i="176"/>
  <c r="W118" i="176"/>
  <c r="K118" i="176"/>
  <c r="W117" i="176"/>
  <c r="K117" i="176"/>
  <c r="W116" i="176"/>
  <c r="K116" i="176"/>
  <c r="W115" i="176"/>
  <c r="K115" i="176"/>
  <c r="H100" i="176"/>
  <c r="K109" i="176"/>
  <c r="W108" i="176"/>
  <c r="K108" i="176"/>
  <c r="S107" i="176"/>
  <c r="K105" i="176"/>
  <c r="W103" i="176"/>
  <c r="K103" i="176"/>
  <c r="W102" i="176"/>
  <c r="S102" i="176"/>
  <c r="O102" i="176"/>
  <c r="K102" i="176"/>
  <c r="W101" i="176"/>
  <c r="S100" i="176"/>
  <c r="W99" i="176"/>
  <c r="W98" i="176"/>
  <c r="K98" i="176"/>
  <c r="W97" i="176"/>
  <c r="W96" i="176"/>
  <c r="K96" i="176"/>
  <c r="W95" i="176"/>
  <c r="K95" i="176"/>
  <c r="W94" i="176"/>
  <c r="K94" i="176"/>
  <c r="W93" i="176"/>
  <c r="K93" i="176"/>
  <c r="J81" i="176"/>
  <c r="K80" i="176"/>
  <c r="J79" i="176"/>
  <c r="I79" i="176"/>
  <c r="H79" i="176"/>
  <c r="K76" i="176"/>
  <c r="H75" i="176"/>
  <c r="J73" i="176"/>
  <c r="K87" i="176"/>
  <c r="W86" i="176"/>
  <c r="K86" i="176"/>
  <c r="S85" i="176"/>
  <c r="K85" i="176"/>
  <c r="K83" i="176"/>
  <c r="W81" i="176"/>
  <c r="W80" i="176"/>
  <c r="S80" i="176"/>
  <c r="O80" i="176"/>
  <c r="W79" i="176"/>
  <c r="S78" i="176"/>
  <c r="W77" i="176"/>
  <c r="W76" i="176"/>
  <c r="W75" i="176"/>
  <c r="W74" i="176"/>
  <c r="W73" i="176"/>
  <c r="W72" i="176"/>
  <c r="W71" i="176"/>
  <c r="K71" i="176"/>
  <c r="AD53" i="176"/>
  <c r="AD75" i="176" s="1"/>
  <c r="AD97" i="176" s="1"/>
  <c r="AD119" i="176" s="1"/>
  <c r="AD50" i="176"/>
  <c r="AD72" i="176" s="1"/>
  <c r="AD94" i="176" s="1"/>
  <c r="AD116" i="176" s="1"/>
  <c r="J56" i="176"/>
  <c r="J59" i="176"/>
  <c r="K59" i="176" s="1"/>
  <c r="K58" i="176"/>
  <c r="J57" i="176"/>
  <c r="I57" i="176"/>
  <c r="I66" i="176" s="1"/>
  <c r="J54" i="176"/>
  <c r="J53" i="176"/>
  <c r="K53" i="176"/>
  <c r="J52" i="176"/>
  <c r="K52" i="176" s="1"/>
  <c r="J51" i="176"/>
  <c r="K51" i="176" s="1"/>
  <c r="J50" i="176"/>
  <c r="K65" i="176"/>
  <c r="W64" i="176"/>
  <c r="K64" i="176"/>
  <c r="S63" i="176"/>
  <c r="K63" i="176"/>
  <c r="K62" i="176"/>
  <c r="K61" i="176"/>
  <c r="W59" i="176"/>
  <c r="W58" i="176"/>
  <c r="S58" i="176"/>
  <c r="O58" i="176"/>
  <c r="W57" i="176"/>
  <c r="S56" i="176"/>
  <c r="W55" i="176"/>
  <c r="W54" i="176"/>
  <c r="W53" i="176"/>
  <c r="W52" i="176"/>
  <c r="W51" i="176"/>
  <c r="W50" i="176"/>
  <c r="W49" i="176"/>
  <c r="K49" i="176"/>
  <c r="AC28" i="176"/>
  <c r="AC50" i="176" s="1"/>
  <c r="AD28" i="176"/>
  <c r="AC29" i="176"/>
  <c r="AD29" i="176"/>
  <c r="AD51" i="176" s="1"/>
  <c r="AD73" i="176" s="1"/>
  <c r="AD95" i="176" s="1"/>
  <c r="AD117" i="176" s="1"/>
  <c r="AC30" i="176"/>
  <c r="AC52" i="176" s="1"/>
  <c r="AD30" i="176"/>
  <c r="AD52" i="176" s="1"/>
  <c r="AD74" i="176" s="1"/>
  <c r="AD96" i="176" s="1"/>
  <c r="AD118" i="176" s="1"/>
  <c r="AC31" i="176"/>
  <c r="AD31" i="176"/>
  <c r="AC32" i="176"/>
  <c r="AC54" i="176" s="1"/>
  <c r="AD32" i="176"/>
  <c r="AD54" i="176" s="1"/>
  <c r="AD76" i="176" s="1"/>
  <c r="AD98" i="176" s="1"/>
  <c r="AD120" i="176" s="1"/>
  <c r="AC33" i="176"/>
  <c r="AD33" i="176"/>
  <c r="AD55" i="176" s="1"/>
  <c r="AD77" i="176" s="1"/>
  <c r="AD99" i="176" s="1"/>
  <c r="AD121" i="176" s="1"/>
  <c r="AC35" i="176"/>
  <c r="AC57" i="176" s="1"/>
  <c r="AC79" i="176" s="1"/>
  <c r="AD35" i="176"/>
  <c r="AD57" i="176" s="1"/>
  <c r="AD79" i="176" s="1"/>
  <c r="AD101" i="176" s="1"/>
  <c r="AD123" i="176" s="1"/>
  <c r="AC37" i="176"/>
  <c r="AD37" i="176"/>
  <c r="AD59" i="176" s="1"/>
  <c r="AD81" i="176" s="1"/>
  <c r="AD103" i="176" s="1"/>
  <c r="AD125" i="176" s="1"/>
  <c r="AC42" i="176"/>
  <c r="AC64" i="176" s="1"/>
  <c r="AC86" i="176" s="1"/>
  <c r="AC108" i="176" s="1"/>
  <c r="AC130" i="176" s="1"/>
  <c r="AD42" i="176"/>
  <c r="AD64" i="176" s="1"/>
  <c r="AD86" i="176" s="1"/>
  <c r="AD108" i="176" s="1"/>
  <c r="AD130" i="176" s="1"/>
  <c r="AC43" i="176"/>
  <c r="AC65" i="176" s="1"/>
  <c r="AC87" i="176" s="1"/>
  <c r="AC109" i="176" s="1"/>
  <c r="AD43" i="176"/>
  <c r="AD65" i="176" s="1"/>
  <c r="AD87" i="176" s="1"/>
  <c r="AD109" i="176" s="1"/>
  <c r="AD131" i="176" s="1"/>
  <c r="AD27" i="176"/>
  <c r="AD49" i="176" s="1"/>
  <c r="AD71" i="176" s="1"/>
  <c r="AD93" i="176" s="1"/>
  <c r="AD115" i="176" s="1"/>
  <c r="AC27" i="176"/>
  <c r="AC49" i="176" s="1"/>
  <c r="Z43" i="176"/>
  <c r="Z65" i="176" s="1"/>
  <c r="Z87" i="176" s="1"/>
  <c r="Z109" i="176" s="1"/>
  <c r="Z131" i="176" s="1"/>
  <c r="Y43" i="176"/>
  <c r="Y65" i="176" s="1"/>
  <c r="Y87" i="176" s="1"/>
  <c r="Y109" i="176" s="1"/>
  <c r="Z41" i="176"/>
  <c r="Z63" i="176" s="1"/>
  <c r="Z85" i="176" s="1"/>
  <c r="Z107" i="176" s="1"/>
  <c r="Z129" i="176" s="1"/>
  <c r="Y41" i="176"/>
  <c r="Z34" i="176"/>
  <c r="Z56" i="176" s="1"/>
  <c r="Z78" i="176" s="1"/>
  <c r="Z100" i="176" s="1"/>
  <c r="Z122" i="176" s="1"/>
  <c r="Y34" i="176"/>
  <c r="Y56" i="176" s="1"/>
  <c r="Y78" i="176" s="1"/>
  <c r="Y100" i="176" s="1"/>
  <c r="Y122" i="176" s="1"/>
  <c r="AA122" i="176" s="1"/>
  <c r="W42" i="176"/>
  <c r="S41" i="176"/>
  <c r="W37" i="176"/>
  <c r="W36" i="176"/>
  <c r="S36" i="176"/>
  <c r="O36" i="176"/>
  <c r="W35" i="176"/>
  <c r="S34" i="176"/>
  <c r="W33" i="176"/>
  <c r="W32" i="176"/>
  <c r="W31" i="176"/>
  <c r="W30" i="176"/>
  <c r="W29" i="176"/>
  <c r="W28" i="176"/>
  <c r="W27" i="176"/>
  <c r="J37" i="176"/>
  <c r="I37" i="176"/>
  <c r="K43" i="176"/>
  <c r="K42" i="176"/>
  <c r="K41" i="176"/>
  <c r="K40" i="176"/>
  <c r="K39" i="176"/>
  <c r="K38" i="176"/>
  <c r="K36" i="176"/>
  <c r="K31" i="176"/>
  <c r="K30" i="176"/>
  <c r="K29" i="176"/>
  <c r="K27" i="176"/>
  <c r="J35" i="176"/>
  <c r="I35" i="176"/>
  <c r="H35" i="176"/>
  <c r="K35" i="176" s="1"/>
  <c r="J34" i="176"/>
  <c r="I34" i="176"/>
  <c r="H34" i="176"/>
  <c r="J33" i="176"/>
  <c r="I33" i="176"/>
  <c r="J32" i="176"/>
  <c r="I32" i="176"/>
  <c r="J28" i="176"/>
  <c r="I28" i="176"/>
  <c r="I2" i="176"/>
  <c r="W21" i="176"/>
  <c r="W16" i="176"/>
  <c r="W14" i="176"/>
  <c r="W12" i="176"/>
  <c r="W11" i="176"/>
  <c r="W10" i="176"/>
  <c r="W9" i="176"/>
  <c r="W8" i="176"/>
  <c r="W7" i="176"/>
  <c r="W6" i="176"/>
  <c r="S20" i="176"/>
  <c r="S13" i="176"/>
  <c r="I16" i="176"/>
  <c r="J16" i="176"/>
  <c r="H16" i="176"/>
  <c r="I15" i="176"/>
  <c r="J15" i="176"/>
  <c r="I14" i="176"/>
  <c r="J14" i="176"/>
  <c r="H14" i="176"/>
  <c r="I13" i="176"/>
  <c r="J13" i="176"/>
  <c r="H13" i="176"/>
  <c r="I12" i="176"/>
  <c r="J12" i="176"/>
  <c r="H12" i="176"/>
  <c r="I11" i="176"/>
  <c r="J11" i="176"/>
  <c r="H11" i="176"/>
  <c r="I10" i="176"/>
  <c r="J10" i="176"/>
  <c r="H10" i="176"/>
  <c r="I9" i="176"/>
  <c r="J9" i="176"/>
  <c r="H9" i="176"/>
  <c r="I8" i="176"/>
  <c r="J8" i="176"/>
  <c r="H8" i="176"/>
  <c r="I7" i="176"/>
  <c r="J7" i="176"/>
  <c r="H7" i="176"/>
  <c r="I6" i="176"/>
  <c r="J6" i="176"/>
  <c r="H6" i="176"/>
  <c r="G190" i="151" l="1"/>
  <c r="I188" i="151"/>
  <c r="C105" i="171" s="1"/>
  <c r="C105" i="170"/>
  <c r="C93" i="169"/>
  <c r="H173" i="151"/>
  <c r="H175" i="151"/>
  <c r="C95" i="169"/>
  <c r="I187" i="151"/>
  <c r="C100" i="171" s="1"/>
  <c r="C100" i="170"/>
  <c r="H186" i="151"/>
  <c r="C99" i="169"/>
  <c r="H174" i="151"/>
  <c r="C94" i="169"/>
  <c r="G176" i="151"/>
  <c r="G177" i="151" s="1"/>
  <c r="C96" i="168"/>
  <c r="K147" i="176"/>
  <c r="AE130" i="176"/>
  <c r="H154" i="176"/>
  <c r="K154" i="176" s="1"/>
  <c r="D152" i="176"/>
  <c r="D137" i="176"/>
  <c r="K144" i="176"/>
  <c r="K148" i="176"/>
  <c r="AA41" i="176"/>
  <c r="K150" i="176"/>
  <c r="K79" i="176"/>
  <c r="AE109" i="176"/>
  <c r="AC131" i="176"/>
  <c r="J132" i="176"/>
  <c r="AA109" i="176"/>
  <c r="Y131" i="176"/>
  <c r="K129" i="176"/>
  <c r="AC59" i="176"/>
  <c r="AC81" i="176" s="1"/>
  <c r="AC103" i="176" s="1"/>
  <c r="AE37" i="176"/>
  <c r="K122" i="176"/>
  <c r="K75" i="176"/>
  <c r="AE64" i="176"/>
  <c r="AE108" i="176"/>
  <c r="K34" i="176"/>
  <c r="AA100" i="176"/>
  <c r="AE52" i="176"/>
  <c r="I110" i="176"/>
  <c r="K99" i="176"/>
  <c r="AE79" i="176"/>
  <c r="AC101" i="176"/>
  <c r="AE29" i="176"/>
  <c r="AC51" i="176"/>
  <c r="K97" i="176"/>
  <c r="J66" i="176"/>
  <c r="AE31" i="176"/>
  <c r="AC53" i="176"/>
  <c r="AE53" i="176" s="1"/>
  <c r="K101" i="176"/>
  <c r="AE50" i="176"/>
  <c r="AE49" i="176"/>
  <c r="AC71" i="176"/>
  <c r="AC93" i="176" s="1"/>
  <c r="AC115" i="176" s="1"/>
  <c r="AE54" i="176"/>
  <c r="AC76" i="176"/>
  <c r="AE87" i="176"/>
  <c r="AA87" i="176"/>
  <c r="K32" i="176"/>
  <c r="AE33" i="176"/>
  <c r="K74" i="176"/>
  <c r="K72" i="176"/>
  <c r="K81" i="176"/>
  <c r="K33" i="176"/>
  <c r="AC55" i="176"/>
  <c r="AC77" i="176" s="1"/>
  <c r="AE86" i="176"/>
  <c r="AC74" i="176"/>
  <c r="AA78" i="176"/>
  <c r="AC72" i="176"/>
  <c r="K57" i="176"/>
  <c r="K73" i="176"/>
  <c r="K56" i="176"/>
  <c r="AE57" i="176"/>
  <c r="AE35" i="176"/>
  <c r="Y63" i="176"/>
  <c r="Y85" i="176" s="1"/>
  <c r="AA43" i="176"/>
  <c r="K50" i="176"/>
  <c r="AE43" i="176"/>
  <c r="K55" i="176"/>
  <c r="K54" i="176"/>
  <c r="K28" i="176"/>
  <c r="AE42" i="176"/>
  <c r="AE32" i="176"/>
  <c r="AE30" i="176"/>
  <c r="H44" i="176"/>
  <c r="I44" i="176"/>
  <c r="J44" i="176"/>
  <c r="AA34" i="176"/>
  <c r="AE28" i="176"/>
  <c r="K37" i="176"/>
  <c r="K16" i="176"/>
  <c r="AE27" i="176"/>
  <c r="K7" i="176"/>
  <c r="K11" i="176"/>
  <c r="J23" i="176"/>
  <c r="I23" i="176"/>
  <c r="K8" i="176"/>
  <c r="K9" i="176"/>
  <c r="K12" i="176"/>
  <c r="K13" i="176"/>
  <c r="K6" i="176"/>
  <c r="K10" i="176"/>
  <c r="K14" i="176"/>
  <c r="I175" i="151" l="1"/>
  <c r="C95" i="171" s="1"/>
  <c r="C95" i="170"/>
  <c r="H189" i="151"/>
  <c r="H190" i="151" s="1"/>
  <c r="I186" i="151"/>
  <c r="C99" i="170"/>
  <c r="H176" i="151"/>
  <c r="H177" i="151" s="1"/>
  <c r="C96" i="169"/>
  <c r="I174" i="151"/>
  <c r="C94" i="171" s="1"/>
  <c r="C94" i="170"/>
  <c r="C93" i="170"/>
  <c r="I173" i="151"/>
  <c r="AA131" i="176"/>
  <c r="AC75" i="176"/>
  <c r="AE75" i="176" s="1"/>
  <c r="AE81" i="176"/>
  <c r="AE131" i="176"/>
  <c r="AE152" i="176"/>
  <c r="AE101" i="176"/>
  <c r="AC123" i="176"/>
  <c r="AE115" i="176"/>
  <c r="AE103" i="176"/>
  <c r="AC125" i="176"/>
  <c r="AE76" i="176"/>
  <c r="AC98" i="176"/>
  <c r="AE74" i="176"/>
  <c r="AC96" i="176"/>
  <c r="AE77" i="176"/>
  <c r="AC99" i="176"/>
  <c r="AE93" i="176"/>
  <c r="AE51" i="176"/>
  <c r="AC73" i="176"/>
  <c r="AA85" i="176"/>
  <c r="Y107" i="176"/>
  <c r="K106" i="176"/>
  <c r="AE72" i="176"/>
  <c r="AC94" i="176"/>
  <c r="AE71" i="176"/>
  <c r="AE55" i="176"/>
  <c r="AA56" i="176"/>
  <c r="AA63" i="176"/>
  <c r="AE59" i="176"/>
  <c r="K44" i="176"/>
  <c r="C93" i="171" l="1"/>
  <c r="I176" i="151"/>
  <c r="C96" i="171" s="1"/>
  <c r="C96" i="170"/>
  <c r="C99" i="171"/>
  <c r="I189" i="151"/>
  <c r="I190" i="151" s="1"/>
  <c r="AC97" i="176"/>
  <c r="AE125" i="176"/>
  <c r="AE123" i="176"/>
  <c r="AE99" i="176"/>
  <c r="AC121" i="176"/>
  <c r="AE96" i="176"/>
  <c r="AC118" i="176"/>
  <c r="AE94" i="176"/>
  <c r="AC116" i="176"/>
  <c r="AA107" i="176"/>
  <c r="Y129" i="176"/>
  <c r="AE97" i="176"/>
  <c r="AC119" i="176"/>
  <c r="AE98" i="176"/>
  <c r="AC120" i="176"/>
  <c r="AE73" i="176"/>
  <c r="AC95" i="176"/>
  <c r="AC117" i="176" s="1"/>
  <c r="AE65" i="176"/>
  <c r="I177" i="151" l="1"/>
  <c r="AE118" i="176"/>
  <c r="AE139" i="176"/>
  <c r="AE117" i="176"/>
  <c r="AE138" i="176"/>
  <c r="AE120" i="176"/>
  <c r="AE141" i="176"/>
  <c r="AE119" i="176"/>
  <c r="AE140" i="176"/>
  <c r="AE121" i="176"/>
  <c r="AE142" i="176"/>
  <c r="AE137" i="176"/>
  <c r="AA129" i="176"/>
  <c r="AE116" i="176"/>
  <c r="AE95" i="176"/>
  <c r="AE145" i="176" l="1"/>
  <c r="AA65" i="176"/>
  <c r="AE143" i="176" l="1"/>
  <c r="AA144" i="176" l="1"/>
  <c r="AA151" i="176" l="1"/>
  <c r="C51" i="170" l="1"/>
  <c r="C51" i="174" s="1"/>
  <c r="C51" i="173"/>
  <c r="C51" i="172"/>
  <c r="K150" i="67"/>
  <c r="L150" i="67" s="1"/>
  <c r="M150" i="67" s="1"/>
  <c r="N150" i="67" s="1"/>
  <c r="C51" i="171" l="1"/>
  <c r="C51" i="175" s="1"/>
  <c r="O150" i="67"/>
  <c r="J153" i="67" l="1"/>
  <c r="I153" i="67"/>
  <c r="H153" i="67"/>
  <c r="G153" i="67"/>
  <c r="F153" i="67"/>
  <c r="F165" i="67" s="1"/>
  <c r="H165" i="67" l="1"/>
  <c r="H164" i="67"/>
  <c r="I164" i="67"/>
  <c r="I165" i="67"/>
  <c r="J165" i="67"/>
  <c r="J164" i="67"/>
  <c r="G164" i="67"/>
  <c r="G165" i="67"/>
  <c r="F164" i="67"/>
  <c r="E153" i="67"/>
  <c r="E165" i="67" s="1"/>
  <c r="E164" i="67" l="1"/>
  <c r="J148" i="67"/>
  <c r="I148" i="67"/>
  <c r="H148" i="67"/>
  <c r="G148" i="67"/>
  <c r="F148" i="67"/>
  <c r="E148" i="67"/>
  <c r="E159" i="67" l="1"/>
  <c r="E160" i="67"/>
  <c r="H159" i="67"/>
  <c r="H134" i="151" s="1"/>
  <c r="H135" i="151" s="1"/>
  <c r="H160" i="67"/>
  <c r="S134" i="151" s="1"/>
  <c r="S135" i="151" s="1"/>
  <c r="I159" i="67"/>
  <c r="I160" i="67"/>
  <c r="J159" i="67"/>
  <c r="J134" i="151" s="1"/>
  <c r="J135" i="151" s="1"/>
  <c r="J160" i="67"/>
  <c r="U134" i="151" s="1"/>
  <c r="U135" i="151" s="1"/>
  <c r="G159" i="67"/>
  <c r="G160" i="67"/>
  <c r="F159" i="67"/>
  <c r="F160" i="67"/>
  <c r="T59" i="58"/>
  <c r="T58" i="58"/>
  <c r="T57" i="58"/>
  <c r="P134" i="151" l="1"/>
  <c r="P135" i="151" s="1"/>
  <c r="E134" i="151"/>
  <c r="E135" i="151" s="1"/>
  <c r="T134" i="151"/>
  <c r="T135" i="151" s="1"/>
  <c r="I134" i="151"/>
  <c r="I135" i="151" s="1"/>
  <c r="R134" i="151"/>
  <c r="R135" i="151" s="1"/>
  <c r="G134" i="151"/>
  <c r="G135" i="151" s="1"/>
  <c r="Q134" i="151"/>
  <c r="Q135" i="151" s="1"/>
  <c r="F134" i="151"/>
  <c r="F135" i="151" s="1"/>
  <c r="F173" i="117"/>
  <c r="E173" i="117"/>
  <c r="P147" i="117"/>
  <c r="O147" i="117"/>
  <c r="N147" i="117"/>
  <c r="M147" i="117"/>
  <c r="L147" i="117"/>
  <c r="K147" i="117"/>
  <c r="J147" i="117"/>
  <c r="I147" i="117"/>
  <c r="H147" i="117"/>
  <c r="G147" i="117"/>
  <c r="F147" i="117"/>
  <c r="E147" i="117"/>
  <c r="P120" i="117"/>
  <c r="O120" i="117"/>
  <c r="N120" i="117"/>
  <c r="M120" i="117"/>
  <c r="L120" i="117"/>
  <c r="K120" i="117"/>
  <c r="J120" i="117"/>
  <c r="I120" i="117"/>
  <c r="H120" i="117"/>
  <c r="G120" i="117"/>
  <c r="F120" i="117"/>
  <c r="P94" i="117"/>
  <c r="O94" i="117"/>
  <c r="M94" i="117"/>
  <c r="J94" i="117"/>
  <c r="I94" i="117"/>
  <c r="H94" i="117"/>
  <c r="G94" i="117"/>
  <c r="F94" i="117"/>
  <c r="E94" i="117"/>
  <c r="P68" i="117"/>
  <c r="O68" i="117"/>
  <c r="N68" i="117"/>
  <c r="M68" i="117"/>
  <c r="L68" i="117"/>
  <c r="AX124" i="58"/>
  <c r="AW124" i="58"/>
  <c r="AV124" i="58"/>
  <c r="AU124" i="58"/>
  <c r="AX112" i="58"/>
  <c r="AW112" i="58"/>
  <c r="AV112" i="58"/>
  <c r="AU112" i="58"/>
  <c r="AW111" i="58"/>
  <c r="AV111" i="58"/>
  <c r="AU111" i="58"/>
  <c r="AX111" i="58" s="1"/>
  <c r="AW110" i="58"/>
  <c r="AV110" i="58"/>
  <c r="AU110" i="58"/>
  <c r="AX110" i="58" s="1"/>
  <c r="AW104" i="58"/>
  <c r="AV104" i="58"/>
  <c r="AU104" i="58"/>
  <c r="AX104" i="58" s="1"/>
  <c r="AU98" i="58"/>
  <c r="AW81" i="58"/>
  <c r="AV81" i="58"/>
  <c r="AU81" i="58"/>
  <c r="AX81" i="58" s="1"/>
  <c r="AW69" i="58"/>
  <c r="AV69" i="58"/>
  <c r="AU69" i="58"/>
  <c r="AX69" i="58" s="1"/>
  <c r="AX68" i="58"/>
  <c r="AW68" i="58"/>
  <c r="AV68" i="58"/>
  <c r="AU68" i="58"/>
  <c r="AW67" i="58"/>
  <c r="AV67" i="58"/>
  <c r="AU67" i="58"/>
  <c r="AX67" i="58" s="1"/>
  <c r="AW62" i="58"/>
  <c r="AW61" i="58"/>
  <c r="AV61" i="58"/>
  <c r="AU61" i="58"/>
  <c r="AX61" i="58" s="1"/>
  <c r="AU55" i="58"/>
  <c r="AW37" i="58"/>
  <c r="AV37" i="58"/>
  <c r="AU37" i="58"/>
  <c r="AX37" i="58" s="1"/>
  <c r="AW36" i="58"/>
  <c r="AV36" i="58"/>
  <c r="AU36" i="58"/>
  <c r="AW25" i="58"/>
  <c r="AV25" i="58"/>
  <c r="AU25" i="58"/>
  <c r="AX25" i="58" s="1"/>
  <c r="AW19" i="58"/>
  <c r="AV19" i="58"/>
  <c r="AU19" i="58"/>
  <c r="AX19" i="58" s="1"/>
  <c r="AV17" i="58"/>
  <c r="AU17" i="58"/>
  <c r="L224" i="72"/>
  <c r="K224" i="72"/>
  <c r="L193" i="72"/>
  <c r="K193" i="72"/>
  <c r="M227" i="72"/>
  <c r="L227" i="72"/>
  <c r="K227" i="72"/>
  <c r="J227" i="72"/>
  <c r="I227" i="72"/>
  <c r="H227" i="72"/>
  <c r="G227" i="72"/>
  <c r="F227" i="72"/>
  <c r="E227" i="72"/>
  <c r="D227" i="72"/>
  <c r="C227" i="72"/>
  <c r="T81" i="58"/>
  <c r="T80" i="58"/>
  <c r="T79" i="58"/>
  <c r="T78" i="58"/>
  <c r="T77" i="58"/>
  <c r="T76" i="58"/>
  <c r="T75" i="58"/>
  <c r="T74" i="58"/>
  <c r="T73" i="58"/>
  <c r="T72" i="58"/>
  <c r="T71" i="58"/>
  <c r="T69" i="58"/>
  <c r="T68" i="58"/>
  <c r="T67" i="58"/>
  <c r="T61" i="58"/>
  <c r="T60" i="58"/>
  <c r="T56" i="58"/>
  <c r="T55" i="58"/>
  <c r="T37" i="58"/>
  <c r="T36" i="58"/>
  <c r="T35" i="58"/>
  <c r="T34" i="58"/>
  <c r="T33" i="58"/>
  <c r="T32" i="58"/>
  <c r="T31" i="58"/>
  <c r="T30" i="58"/>
  <c r="T29" i="58"/>
  <c r="T28" i="58"/>
  <c r="T27" i="58"/>
  <c r="T25" i="58"/>
  <c r="T19" i="58"/>
  <c r="T18" i="58"/>
  <c r="T17" i="58"/>
  <c r="AX36" i="58" l="1"/>
  <c r="AS112" i="58"/>
  <c r="AR112" i="58"/>
  <c r="AQ112" i="58"/>
  <c r="AP112" i="58"/>
  <c r="AO112" i="58"/>
  <c r="AN112" i="58"/>
  <c r="AM112" i="58"/>
  <c r="AL112" i="58"/>
  <c r="AK112" i="58"/>
  <c r="AJ112" i="58"/>
  <c r="AI112" i="58"/>
  <c r="AS111" i="58"/>
  <c r="AR111" i="58"/>
  <c r="AQ111" i="58"/>
  <c r="AP111" i="58"/>
  <c r="AO111" i="58"/>
  <c r="AN111" i="58"/>
  <c r="AM111" i="58"/>
  <c r="AL111" i="58"/>
  <c r="AK111" i="58"/>
  <c r="AJ111" i="58"/>
  <c r="AI111" i="58"/>
  <c r="AS110" i="58"/>
  <c r="AR110" i="58"/>
  <c r="AQ110" i="58"/>
  <c r="AP110" i="58"/>
  <c r="AO110" i="58"/>
  <c r="AN110" i="58"/>
  <c r="AM110" i="58"/>
  <c r="AL110" i="58"/>
  <c r="AK110" i="58"/>
  <c r="AJ110" i="58"/>
  <c r="AI110" i="58"/>
  <c r="AS104" i="58"/>
  <c r="AR104" i="58"/>
  <c r="AQ104" i="58"/>
  <c r="AP104" i="58"/>
  <c r="AO104" i="58"/>
  <c r="AN104" i="58"/>
  <c r="AM104" i="58"/>
  <c r="AL104" i="58"/>
  <c r="AK104" i="58"/>
  <c r="AJ104" i="58"/>
  <c r="AI104" i="58"/>
  <c r="AE112" i="58"/>
  <c r="AD112" i="58"/>
  <c r="AC112" i="58"/>
  <c r="AB112" i="58"/>
  <c r="AA112" i="58"/>
  <c r="Z112" i="58"/>
  <c r="Y112" i="58"/>
  <c r="X112" i="58"/>
  <c r="W112" i="58"/>
  <c r="V112" i="58"/>
  <c r="U112" i="58"/>
  <c r="T112" i="58"/>
  <c r="AE111" i="58"/>
  <c r="AD111" i="58"/>
  <c r="AC111" i="58"/>
  <c r="AB111" i="58"/>
  <c r="AA111" i="58"/>
  <c r="Z111" i="58"/>
  <c r="Y111" i="58"/>
  <c r="X111" i="58"/>
  <c r="W111" i="58"/>
  <c r="V111" i="58"/>
  <c r="U111" i="58"/>
  <c r="T111" i="58"/>
  <c r="AE110" i="58"/>
  <c r="AD110" i="58"/>
  <c r="AC110" i="58"/>
  <c r="AB110" i="58"/>
  <c r="AA110" i="58"/>
  <c r="Z110" i="58"/>
  <c r="Y110" i="58"/>
  <c r="X110" i="58"/>
  <c r="W110" i="58"/>
  <c r="V110" i="58"/>
  <c r="U110" i="58"/>
  <c r="T110" i="58"/>
  <c r="AE104" i="58"/>
  <c r="AD104" i="58"/>
  <c r="AC104" i="58"/>
  <c r="AB104" i="58"/>
  <c r="AA104" i="58"/>
  <c r="Z104" i="58"/>
  <c r="Y104" i="58"/>
  <c r="X104" i="58"/>
  <c r="W104" i="58"/>
  <c r="V104" i="58"/>
  <c r="U104" i="58"/>
  <c r="T104" i="58"/>
  <c r="T103" i="58"/>
  <c r="T102" i="58"/>
  <c r="T101" i="58"/>
  <c r="T100" i="58"/>
  <c r="T99" i="58"/>
  <c r="T98" i="58"/>
  <c r="P112" i="58"/>
  <c r="O112" i="58"/>
  <c r="N112" i="58"/>
  <c r="M112" i="58"/>
  <c r="L112" i="58"/>
  <c r="K112" i="58"/>
  <c r="J112" i="58"/>
  <c r="I112" i="58"/>
  <c r="H112" i="58"/>
  <c r="G112" i="58"/>
  <c r="F112" i="58"/>
  <c r="P111" i="58"/>
  <c r="O111" i="58"/>
  <c r="N111" i="58"/>
  <c r="M111" i="58"/>
  <c r="L111" i="58"/>
  <c r="K111" i="58"/>
  <c r="J111" i="58"/>
  <c r="I111" i="58"/>
  <c r="H111" i="58"/>
  <c r="G111" i="58"/>
  <c r="F111" i="58"/>
  <c r="E112" i="58"/>
  <c r="E111" i="58"/>
  <c r="P110" i="58"/>
  <c r="O110" i="58"/>
  <c r="N110" i="58"/>
  <c r="M110" i="58"/>
  <c r="L110" i="58"/>
  <c r="K110" i="58"/>
  <c r="J110" i="58"/>
  <c r="I110" i="58"/>
  <c r="H110" i="58"/>
  <c r="G110" i="58"/>
  <c r="F110" i="58"/>
  <c r="E110" i="58"/>
  <c r="P105" i="58"/>
  <c r="O105" i="58"/>
  <c r="N105" i="58"/>
  <c r="M105" i="58"/>
  <c r="L105" i="58"/>
  <c r="P104" i="58"/>
  <c r="O104" i="58"/>
  <c r="N104" i="58"/>
  <c r="M104" i="58"/>
  <c r="L104" i="58"/>
  <c r="K104" i="58"/>
  <c r="J104" i="58"/>
  <c r="I104" i="58"/>
  <c r="H104" i="58"/>
  <c r="G104" i="58"/>
  <c r="F104" i="58"/>
  <c r="E104" i="58"/>
  <c r="E103" i="58"/>
  <c r="K102" i="58"/>
  <c r="J102" i="58"/>
  <c r="I102" i="58"/>
  <c r="H102" i="58"/>
  <c r="G102" i="58"/>
  <c r="F102" i="58"/>
  <c r="E102" i="58"/>
  <c r="B93" i="58"/>
  <c r="B94" i="58" s="1"/>
  <c r="B95" i="58" s="1"/>
  <c r="B96" i="58" s="1"/>
  <c r="B97" i="58" s="1"/>
  <c r="B98" i="58" s="1"/>
  <c r="B99" i="58" s="1"/>
  <c r="B100" i="58" s="1"/>
  <c r="B101" i="58" s="1"/>
  <c r="B102" i="58" s="1"/>
  <c r="B103" i="58" s="1"/>
  <c r="B104" i="58" s="1"/>
  <c r="B105" i="58" s="1"/>
  <c r="B106" i="58" s="1"/>
  <c r="B107" i="58" s="1"/>
  <c r="B108" i="58" s="1"/>
  <c r="B109" i="58" s="1"/>
  <c r="B110" i="58" s="1"/>
  <c r="B111" i="58" s="1"/>
  <c r="B112" i="58" s="1"/>
  <c r="B113" i="58" s="1"/>
  <c r="V152" i="175"/>
  <c r="T151" i="175"/>
  <c r="S151" i="175"/>
  <c r="N151" i="175"/>
  <c r="K151" i="175"/>
  <c r="T150" i="175"/>
  <c r="S150" i="175"/>
  <c r="R150" i="175"/>
  <c r="Q150" i="175"/>
  <c r="P150" i="175"/>
  <c r="O150" i="175"/>
  <c r="N150" i="175"/>
  <c r="M150" i="175"/>
  <c r="K150" i="175"/>
  <c r="T149" i="175"/>
  <c r="S149" i="175"/>
  <c r="Q149" i="175"/>
  <c r="O149" i="175"/>
  <c r="K149" i="175"/>
  <c r="T148" i="175"/>
  <c r="S148" i="175"/>
  <c r="N148" i="175"/>
  <c r="K148" i="175"/>
  <c r="T147" i="175"/>
  <c r="S147" i="175"/>
  <c r="N147" i="175"/>
  <c r="K147" i="175"/>
  <c r="T146" i="175"/>
  <c r="S146" i="175"/>
  <c r="N146" i="175"/>
  <c r="K146" i="175"/>
  <c r="T145" i="175"/>
  <c r="S145" i="175"/>
  <c r="Q145" i="175"/>
  <c r="O145" i="175"/>
  <c r="K145" i="175"/>
  <c r="T143" i="175"/>
  <c r="S143" i="175"/>
  <c r="R143" i="175"/>
  <c r="Q143" i="175"/>
  <c r="P143" i="175"/>
  <c r="O143" i="175"/>
  <c r="N143" i="175"/>
  <c r="M143" i="175"/>
  <c r="K143" i="175"/>
  <c r="T142" i="175"/>
  <c r="S142" i="175"/>
  <c r="O142" i="175"/>
  <c r="K142" i="175"/>
  <c r="T141" i="175"/>
  <c r="S141" i="175"/>
  <c r="O141" i="175"/>
  <c r="K141" i="175"/>
  <c r="T140" i="175"/>
  <c r="S140" i="175"/>
  <c r="O140" i="175"/>
  <c r="K140" i="175"/>
  <c r="T139" i="175"/>
  <c r="S139" i="175"/>
  <c r="O139" i="175"/>
  <c r="K139" i="175"/>
  <c r="V136" i="175"/>
  <c r="V154" i="175" s="1"/>
  <c r="C135" i="175"/>
  <c r="C134" i="175"/>
  <c r="T133" i="175"/>
  <c r="S133" i="175"/>
  <c r="N133" i="175"/>
  <c r="K133" i="175"/>
  <c r="T132" i="175"/>
  <c r="S132" i="175"/>
  <c r="N132" i="175"/>
  <c r="S122" i="175"/>
  <c r="K122" i="175"/>
  <c r="K124" i="175" s="1"/>
  <c r="AB117" i="175"/>
  <c r="U116" i="175"/>
  <c r="W116" i="175" s="1"/>
  <c r="X116" i="175" s="1"/>
  <c r="AB115" i="175"/>
  <c r="AB110" i="175"/>
  <c r="AB105" i="175"/>
  <c r="AB100" i="175"/>
  <c r="AB99" i="175"/>
  <c r="AB96" i="175"/>
  <c r="AB95" i="175"/>
  <c r="AB94" i="175"/>
  <c r="AB93" i="175"/>
  <c r="V92" i="175"/>
  <c r="V122" i="175" s="1"/>
  <c r="T92" i="175"/>
  <c r="T122" i="175" s="1"/>
  <c r="S92" i="175"/>
  <c r="O92" i="175"/>
  <c r="V90" i="175"/>
  <c r="T90" i="175"/>
  <c r="S90" i="175"/>
  <c r="N90" i="175"/>
  <c r="K90" i="175"/>
  <c r="AB83" i="175"/>
  <c r="AB78" i="175"/>
  <c r="L78" i="175"/>
  <c r="H65" i="175"/>
  <c r="G65" i="175"/>
  <c r="F65" i="175"/>
  <c r="E65" i="175"/>
  <c r="V63" i="175"/>
  <c r="T63" i="175"/>
  <c r="S63" i="175"/>
  <c r="Q63" i="175"/>
  <c r="O63" i="175"/>
  <c r="K63" i="175"/>
  <c r="G62" i="175"/>
  <c r="G60" i="175"/>
  <c r="G59" i="175"/>
  <c r="U58" i="175"/>
  <c r="W58" i="175" s="1"/>
  <c r="L58" i="175"/>
  <c r="C58" i="175"/>
  <c r="G56" i="175"/>
  <c r="G54" i="175"/>
  <c r="G53" i="175"/>
  <c r="U52" i="175"/>
  <c r="W52" i="175" s="1"/>
  <c r="L52" i="175"/>
  <c r="L150" i="175" s="1"/>
  <c r="C52" i="175"/>
  <c r="C150" i="175" s="1"/>
  <c r="AB51" i="175"/>
  <c r="Q10" i="166"/>
  <c r="J10" i="166"/>
  <c r="G50" i="175"/>
  <c r="G48" i="175"/>
  <c r="G47" i="175"/>
  <c r="U46" i="175"/>
  <c r="W46" i="175" s="1"/>
  <c r="L46" i="175"/>
  <c r="C46" i="175"/>
  <c r="G45" i="175"/>
  <c r="G43" i="175"/>
  <c r="G42" i="175"/>
  <c r="U41" i="175"/>
  <c r="W41" i="175" s="1"/>
  <c r="L41" i="175"/>
  <c r="C41" i="175"/>
  <c r="G40" i="175"/>
  <c r="G38" i="175"/>
  <c r="G37" i="175"/>
  <c r="U36" i="175"/>
  <c r="W36" i="175" s="1"/>
  <c r="L36" i="175"/>
  <c r="C36" i="175"/>
  <c r="U35" i="175"/>
  <c r="W35" i="175" s="1"/>
  <c r="L35" i="175"/>
  <c r="C35" i="175"/>
  <c r="U34" i="175"/>
  <c r="L34" i="175"/>
  <c r="U32" i="175"/>
  <c r="W32" i="175" s="1"/>
  <c r="L32" i="175"/>
  <c r="L143" i="175" s="1"/>
  <c r="C32" i="175"/>
  <c r="U31" i="175"/>
  <c r="W31" i="175" s="1"/>
  <c r="L31" i="175"/>
  <c r="C31" i="175"/>
  <c r="W30" i="175"/>
  <c r="U30" i="175"/>
  <c r="L30" i="175"/>
  <c r="C30" i="175"/>
  <c r="U29" i="175"/>
  <c r="W29" i="175" s="1"/>
  <c r="L29" i="175"/>
  <c r="C29" i="175"/>
  <c r="U28" i="175"/>
  <c r="W28" i="175" s="1"/>
  <c r="L28" i="175"/>
  <c r="C28" i="175"/>
  <c r="V25" i="175"/>
  <c r="T25" i="175"/>
  <c r="S25" i="175"/>
  <c r="N25" i="175"/>
  <c r="J25" i="175"/>
  <c r="J65" i="175" s="1"/>
  <c r="I25" i="175"/>
  <c r="I65" i="175" s="1"/>
  <c r="D25" i="175"/>
  <c r="D65" i="175" s="1"/>
  <c r="AB18" i="175"/>
  <c r="Q8" i="166"/>
  <c r="J8" i="166"/>
  <c r="AB13" i="175"/>
  <c r="L13" i="175"/>
  <c r="K13" i="175"/>
  <c r="K25" i="175" s="1"/>
  <c r="J7" i="166"/>
  <c r="B2" i="175"/>
  <c r="V152" i="174"/>
  <c r="T151" i="174"/>
  <c r="S151" i="174"/>
  <c r="N151" i="174"/>
  <c r="K151" i="174"/>
  <c r="T150" i="174"/>
  <c r="S150" i="174"/>
  <c r="R150" i="174"/>
  <c r="Q150" i="174"/>
  <c r="P150" i="174"/>
  <c r="O150" i="174"/>
  <c r="N150" i="174"/>
  <c r="M150" i="174"/>
  <c r="K150" i="174"/>
  <c r="T149" i="174"/>
  <c r="S149" i="174"/>
  <c r="Q149" i="174"/>
  <c r="O149" i="174"/>
  <c r="K149" i="174"/>
  <c r="T148" i="174"/>
  <c r="S148" i="174"/>
  <c r="N148" i="174"/>
  <c r="K148" i="174"/>
  <c r="T147" i="174"/>
  <c r="S147" i="174"/>
  <c r="N147" i="174"/>
  <c r="K147" i="174"/>
  <c r="T146" i="174"/>
  <c r="S146" i="174"/>
  <c r="N146" i="174"/>
  <c r="K146" i="174"/>
  <c r="T145" i="174"/>
  <c r="S145" i="174"/>
  <c r="Q145" i="174"/>
  <c r="O145" i="174"/>
  <c r="K145" i="174"/>
  <c r="T143" i="174"/>
  <c r="S143" i="174"/>
  <c r="R143" i="174"/>
  <c r="Q143" i="174"/>
  <c r="P143" i="174"/>
  <c r="O143" i="174"/>
  <c r="N143" i="174"/>
  <c r="M143" i="174"/>
  <c r="K143" i="174"/>
  <c r="T142" i="174"/>
  <c r="S142" i="174"/>
  <c r="O142" i="174"/>
  <c r="K142" i="174"/>
  <c r="T141" i="174"/>
  <c r="S141" i="174"/>
  <c r="O141" i="174"/>
  <c r="K141" i="174"/>
  <c r="T140" i="174"/>
  <c r="S140" i="174"/>
  <c r="O140" i="174"/>
  <c r="K140" i="174"/>
  <c r="T139" i="174"/>
  <c r="S139" i="174"/>
  <c r="O139" i="174"/>
  <c r="K139" i="174"/>
  <c r="V136" i="174"/>
  <c r="C135" i="174"/>
  <c r="C134" i="174"/>
  <c r="T133" i="174"/>
  <c r="S133" i="174"/>
  <c r="N133" i="174"/>
  <c r="K133" i="174"/>
  <c r="T132" i="174"/>
  <c r="S132" i="174"/>
  <c r="N132" i="174"/>
  <c r="K122" i="174"/>
  <c r="AB117" i="174"/>
  <c r="U116" i="174"/>
  <c r="W116" i="174" s="1"/>
  <c r="X116" i="174" s="1"/>
  <c r="AB115" i="174"/>
  <c r="AB110" i="174"/>
  <c r="AB105" i="174"/>
  <c r="AB100" i="174"/>
  <c r="AB99" i="174"/>
  <c r="AB96" i="174"/>
  <c r="AB95" i="174"/>
  <c r="AB94" i="174"/>
  <c r="AB93" i="174"/>
  <c r="V92" i="174"/>
  <c r="V122" i="174" s="1"/>
  <c r="V124" i="174" s="1"/>
  <c r="T92" i="174"/>
  <c r="T122" i="174" s="1"/>
  <c r="T124" i="174" s="1"/>
  <c r="S92" i="174"/>
  <c r="S122" i="174" s="1"/>
  <c r="S124" i="174" s="1"/>
  <c r="O92" i="174"/>
  <c r="V90" i="174"/>
  <c r="T90" i="174"/>
  <c r="S90" i="174"/>
  <c r="N90" i="174"/>
  <c r="K90" i="174"/>
  <c r="AB83" i="174"/>
  <c r="A83" i="174"/>
  <c r="AB78" i="174"/>
  <c r="L78" i="174"/>
  <c r="H65" i="174"/>
  <c r="G65" i="174"/>
  <c r="F65" i="174"/>
  <c r="E65" i="174"/>
  <c r="V63" i="174"/>
  <c r="T63" i="174"/>
  <c r="T65" i="174" s="1"/>
  <c r="S63" i="174"/>
  <c r="Q63" i="174"/>
  <c r="O63" i="174"/>
  <c r="K63" i="174"/>
  <c r="U58" i="174"/>
  <c r="W58" i="174" s="1"/>
  <c r="L58" i="174"/>
  <c r="C58" i="174"/>
  <c r="U52" i="174"/>
  <c r="W52" i="174" s="1"/>
  <c r="L52" i="174"/>
  <c r="L150" i="174" s="1"/>
  <c r="C52" i="174"/>
  <c r="C150" i="174" s="1"/>
  <c r="AB51" i="174"/>
  <c r="P10" i="166"/>
  <c r="N51" i="174"/>
  <c r="U46" i="174"/>
  <c r="W46" i="174" s="1"/>
  <c r="L46" i="174"/>
  <c r="C46" i="174"/>
  <c r="U41" i="174"/>
  <c r="W41" i="174" s="1"/>
  <c r="L41" i="174"/>
  <c r="C41" i="174"/>
  <c r="U36" i="174"/>
  <c r="W36" i="174" s="1"/>
  <c r="L36" i="174"/>
  <c r="C36" i="174"/>
  <c r="U35" i="174"/>
  <c r="W35" i="174" s="1"/>
  <c r="L35" i="174"/>
  <c r="C35" i="174"/>
  <c r="U34" i="174"/>
  <c r="W34" i="174" s="1"/>
  <c r="L34" i="174"/>
  <c r="U32" i="174"/>
  <c r="W32" i="174" s="1"/>
  <c r="L32" i="174"/>
  <c r="L143" i="174" s="1"/>
  <c r="C32" i="174"/>
  <c r="U31" i="174"/>
  <c r="W31" i="174" s="1"/>
  <c r="L31" i="174"/>
  <c r="C31" i="174"/>
  <c r="U30" i="174"/>
  <c r="W30" i="174" s="1"/>
  <c r="L30" i="174"/>
  <c r="C30" i="174"/>
  <c r="U29" i="174"/>
  <c r="W29" i="174" s="1"/>
  <c r="L29" i="174"/>
  <c r="C29" i="174"/>
  <c r="U28" i="174"/>
  <c r="W28" i="174" s="1"/>
  <c r="L28" i="174"/>
  <c r="C28" i="174"/>
  <c r="V25" i="174"/>
  <c r="T25" i="174"/>
  <c r="S25" i="174"/>
  <c r="N25" i="174"/>
  <c r="J25" i="174"/>
  <c r="J65" i="174" s="1"/>
  <c r="I25" i="174"/>
  <c r="I65" i="174" s="1"/>
  <c r="D25" i="174"/>
  <c r="D65" i="174" s="1"/>
  <c r="AB18" i="174"/>
  <c r="AB13" i="174"/>
  <c r="L13" i="174"/>
  <c r="L132" i="174" s="1"/>
  <c r="K13" i="174"/>
  <c r="B2" i="174"/>
  <c r="V152" i="173"/>
  <c r="T151" i="173"/>
  <c r="S151" i="173"/>
  <c r="N151" i="173"/>
  <c r="K151" i="173"/>
  <c r="T150" i="173"/>
  <c r="S150" i="173"/>
  <c r="R150" i="173"/>
  <c r="Q150" i="173"/>
  <c r="P150" i="173"/>
  <c r="O150" i="173"/>
  <c r="N150" i="173"/>
  <c r="M150" i="173"/>
  <c r="K150" i="173"/>
  <c r="T149" i="173"/>
  <c r="S149" i="173"/>
  <c r="Q149" i="173"/>
  <c r="O149" i="173"/>
  <c r="K149" i="173"/>
  <c r="T148" i="173"/>
  <c r="S148" i="173"/>
  <c r="N148" i="173"/>
  <c r="K148" i="173"/>
  <c r="T147" i="173"/>
  <c r="S147" i="173"/>
  <c r="N147" i="173"/>
  <c r="K147" i="173"/>
  <c r="T146" i="173"/>
  <c r="S146" i="173"/>
  <c r="N146" i="173"/>
  <c r="K146" i="173"/>
  <c r="T145" i="173"/>
  <c r="S145" i="173"/>
  <c r="Q145" i="173"/>
  <c r="O145" i="173"/>
  <c r="K145" i="173"/>
  <c r="T143" i="173"/>
  <c r="S143" i="173"/>
  <c r="R143" i="173"/>
  <c r="Q143" i="173"/>
  <c r="P143" i="173"/>
  <c r="O143" i="173"/>
  <c r="N143" i="173"/>
  <c r="M143" i="173"/>
  <c r="L143" i="173"/>
  <c r="K143" i="173"/>
  <c r="T142" i="173"/>
  <c r="S142" i="173"/>
  <c r="O142" i="173"/>
  <c r="K142" i="173"/>
  <c r="T141" i="173"/>
  <c r="S141" i="173"/>
  <c r="O141" i="173"/>
  <c r="K141" i="173"/>
  <c r="T140" i="173"/>
  <c r="S140" i="173"/>
  <c r="O140" i="173"/>
  <c r="K140" i="173"/>
  <c r="T139" i="173"/>
  <c r="S139" i="173"/>
  <c r="O139" i="173"/>
  <c r="K139" i="173"/>
  <c r="V136" i="173"/>
  <c r="C135" i="173"/>
  <c r="C134" i="173"/>
  <c r="T133" i="173"/>
  <c r="S133" i="173"/>
  <c r="N133" i="173"/>
  <c r="K133" i="173"/>
  <c r="T132" i="173"/>
  <c r="S132" i="173"/>
  <c r="S136" i="173" s="1"/>
  <c r="N132" i="173"/>
  <c r="N136" i="173" s="1"/>
  <c r="K122" i="173"/>
  <c r="AB117" i="173"/>
  <c r="U116" i="173"/>
  <c r="W116" i="173" s="1"/>
  <c r="X116" i="173" s="1"/>
  <c r="AB115" i="173"/>
  <c r="AB110" i="173"/>
  <c r="AB105" i="173"/>
  <c r="AB100" i="173"/>
  <c r="AB99" i="173"/>
  <c r="AB96" i="173"/>
  <c r="AB95" i="173"/>
  <c r="AB94" i="173"/>
  <c r="AB93" i="173"/>
  <c r="V92" i="173"/>
  <c r="V122" i="173" s="1"/>
  <c r="V124" i="173" s="1"/>
  <c r="T92" i="173"/>
  <c r="T122" i="173" s="1"/>
  <c r="S92" i="173"/>
  <c r="S122" i="173" s="1"/>
  <c r="O92" i="173"/>
  <c r="V90" i="173"/>
  <c r="T90" i="173"/>
  <c r="S90" i="173"/>
  <c r="N90" i="173"/>
  <c r="K90" i="173"/>
  <c r="AB83" i="173"/>
  <c r="AB78" i="173"/>
  <c r="L78" i="173"/>
  <c r="H65" i="173"/>
  <c r="G65" i="173"/>
  <c r="F65" i="173"/>
  <c r="E65" i="173"/>
  <c r="V63" i="173"/>
  <c r="T63" i="173"/>
  <c r="S63" i="173"/>
  <c r="S65" i="173" s="1"/>
  <c r="Q63" i="173"/>
  <c r="O63" i="173"/>
  <c r="K63" i="173"/>
  <c r="U58" i="173"/>
  <c r="W58" i="173" s="1"/>
  <c r="L58" i="173"/>
  <c r="C58" i="173"/>
  <c r="U52" i="173"/>
  <c r="W52" i="173" s="1"/>
  <c r="L52" i="173"/>
  <c r="L150" i="173" s="1"/>
  <c r="C52" i="173"/>
  <c r="C150" i="173" s="1"/>
  <c r="AB51" i="173"/>
  <c r="O10" i="166"/>
  <c r="U46" i="173"/>
  <c r="W46" i="173" s="1"/>
  <c r="L46" i="173"/>
  <c r="C46" i="173"/>
  <c r="U41" i="173"/>
  <c r="W41" i="173" s="1"/>
  <c r="L41" i="173"/>
  <c r="C41" i="173"/>
  <c r="U36" i="173"/>
  <c r="W36" i="173" s="1"/>
  <c r="L36" i="173"/>
  <c r="C36" i="173"/>
  <c r="U35" i="173"/>
  <c r="W35" i="173" s="1"/>
  <c r="L35" i="173"/>
  <c r="C35" i="173"/>
  <c r="U34" i="173"/>
  <c r="W34" i="173" s="1"/>
  <c r="L34" i="173"/>
  <c r="U32" i="173"/>
  <c r="W32" i="173" s="1"/>
  <c r="L32" i="173"/>
  <c r="C32" i="173"/>
  <c r="U31" i="173"/>
  <c r="W31" i="173" s="1"/>
  <c r="L31" i="173"/>
  <c r="C31" i="173"/>
  <c r="U30" i="173"/>
  <c r="W30" i="173" s="1"/>
  <c r="L30" i="173"/>
  <c r="C30" i="173"/>
  <c r="U29" i="173"/>
  <c r="W29" i="173" s="1"/>
  <c r="L29" i="173"/>
  <c r="C29" i="173"/>
  <c r="U28" i="173"/>
  <c r="W28" i="173" s="1"/>
  <c r="L28" i="173"/>
  <c r="C28" i="173"/>
  <c r="V25" i="173"/>
  <c r="T25" i="173"/>
  <c r="S25" i="173"/>
  <c r="N25" i="173"/>
  <c r="J25" i="173"/>
  <c r="J65" i="173" s="1"/>
  <c r="I25" i="173"/>
  <c r="I65" i="173" s="1"/>
  <c r="D25" i="173"/>
  <c r="D65" i="173" s="1"/>
  <c r="AB18" i="173"/>
  <c r="AB13" i="173"/>
  <c r="L13" i="173"/>
  <c r="K13" i="173"/>
  <c r="K132" i="173" s="1"/>
  <c r="B2" i="173"/>
  <c r="V152" i="172"/>
  <c r="T151" i="172"/>
  <c r="S151" i="172"/>
  <c r="N151" i="172"/>
  <c r="K151" i="172"/>
  <c r="T150" i="172"/>
  <c r="S150" i="172"/>
  <c r="R150" i="172"/>
  <c r="Q150" i="172"/>
  <c r="P150" i="172"/>
  <c r="O150" i="172"/>
  <c r="N150" i="172"/>
  <c r="M150" i="172"/>
  <c r="K150" i="172"/>
  <c r="T149" i="172"/>
  <c r="S149" i="172"/>
  <c r="Q149" i="172"/>
  <c r="O149" i="172"/>
  <c r="K149" i="172"/>
  <c r="T148" i="172"/>
  <c r="S148" i="172"/>
  <c r="N148" i="172"/>
  <c r="K148" i="172"/>
  <c r="T147" i="172"/>
  <c r="S147" i="172"/>
  <c r="N147" i="172"/>
  <c r="K147" i="172"/>
  <c r="T146" i="172"/>
  <c r="S146" i="172"/>
  <c r="N146" i="172"/>
  <c r="K146" i="172"/>
  <c r="T145" i="172"/>
  <c r="S145" i="172"/>
  <c r="Q145" i="172"/>
  <c r="O145" i="172"/>
  <c r="K145" i="172"/>
  <c r="T143" i="172"/>
  <c r="S143" i="172"/>
  <c r="R143" i="172"/>
  <c r="Q143" i="172"/>
  <c r="P143" i="172"/>
  <c r="O143" i="172"/>
  <c r="N143" i="172"/>
  <c r="M143" i="172"/>
  <c r="K143" i="172"/>
  <c r="T142" i="172"/>
  <c r="S142" i="172"/>
  <c r="O142" i="172"/>
  <c r="K142" i="172"/>
  <c r="T141" i="172"/>
  <c r="S141" i="172"/>
  <c r="O141" i="172"/>
  <c r="K141" i="172"/>
  <c r="T140" i="172"/>
  <c r="S140" i="172"/>
  <c r="O140" i="172"/>
  <c r="K140" i="172"/>
  <c r="T139" i="172"/>
  <c r="S139" i="172"/>
  <c r="O139" i="172"/>
  <c r="K139" i="172"/>
  <c r="V136" i="172"/>
  <c r="N136" i="172"/>
  <c r="C135" i="172"/>
  <c r="C134" i="172"/>
  <c r="T133" i="172"/>
  <c r="S133" i="172"/>
  <c r="N133" i="172"/>
  <c r="K133" i="172"/>
  <c r="T132" i="172"/>
  <c r="T136" i="172" s="1"/>
  <c r="S132" i="172"/>
  <c r="S136" i="172" s="1"/>
  <c r="N132" i="172"/>
  <c r="T122" i="172"/>
  <c r="K122" i="172"/>
  <c r="AB117" i="172"/>
  <c r="A117" i="172"/>
  <c r="A117" i="175" s="1"/>
  <c r="O117" i="175" s="1"/>
  <c r="O151" i="175" s="1"/>
  <c r="U116" i="172"/>
  <c r="W116" i="172" s="1"/>
  <c r="X116" i="172" s="1"/>
  <c r="AB115" i="172"/>
  <c r="AB110" i="172"/>
  <c r="A110" i="172"/>
  <c r="AB105" i="172"/>
  <c r="A105" i="172"/>
  <c r="A105" i="175" s="1"/>
  <c r="O105" i="175" s="1"/>
  <c r="O147" i="175" s="1"/>
  <c r="AB100" i="172"/>
  <c r="A100" i="172"/>
  <c r="A100" i="174" s="1"/>
  <c r="O100" i="174" s="1"/>
  <c r="O146" i="174" s="1"/>
  <c r="AB99" i="172"/>
  <c r="AB96" i="172"/>
  <c r="AB95" i="172"/>
  <c r="AB94" i="172"/>
  <c r="AB93" i="172"/>
  <c r="V92" i="172"/>
  <c r="V122" i="172" s="1"/>
  <c r="V124" i="172" s="1"/>
  <c r="T92" i="172"/>
  <c r="S92" i="172"/>
  <c r="S122" i="172" s="1"/>
  <c r="O92" i="172"/>
  <c r="V90" i="172"/>
  <c r="T90" i="172"/>
  <c r="S90" i="172"/>
  <c r="N90" i="172"/>
  <c r="K90" i="172"/>
  <c r="K124" i="172" s="1"/>
  <c r="AB83" i="172"/>
  <c r="A83" i="172"/>
  <c r="O83" i="172" s="1"/>
  <c r="AB78" i="172"/>
  <c r="L78" i="172"/>
  <c r="A78" i="172"/>
  <c r="A78" i="174" s="1"/>
  <c r="H65" i="172"/>
  <c r="G65" i="172"/>
  <c r="F65" i="172"/>
  <c r="E65" i="172"/>
  <c r="V63" i="172"/>
  <c r="V65" i="172" s="1"/>
  <c r="T63" i="172"/>
  <c r="S63" i="172"/>
  <c r="Q63" i="172"/>
  <c r="O63" i="172"/>
  <c r="K63" i="172"/>
  <c r="G62" i="172"/>
  <c r="G60" i="172"/>
  <c r="G59" i="172"/>
  <c r="U58" i="172"/>
  <c r="W58" i="172" s="1"/>
  <c r="L58" i="172"/>
  <c r="C58" i="172"/>
  <c r="G56" i="172"/>
  <c r="G54" i="172"/>
  <c r="G53" i="172"/>
  <c r="U52" i="172"/>
  <c r="W52" i="172" s="1"/>
  <c r="L52" i="172"/>
  <c r="L150" i="172" s="1"/>
  <c r="C52" i="172"/>
  <c r="C150" i="172" s="1"/>
  <c r="AB51" i="172"/>
  <c r="N10" i="166"/>
  <c r="G50" i="172"/>
  <c r="G48" i="172"/>
  <c r="G47" i="172"/>
  <c r="U46" i="172"/>
  <c r="W46" i="172" s="1"/>
  <c r="L46" i="172"/>
  <c r="C46" i="172"/>
  <c r="G45" i="172"/>
  <c r="G43" i="172"/>
  <c r="G42" i="172"/>
  <c r="U41" i="172"/>
  <c r="W41" i="172" s="1"/>
  <c r="L41" i="172"/>
  <c r="C41" i="172"/>
  <c r="G40" i="172"/>
  <c r="G38" i="172"/>
  <c r="G37" i="172"/>
  <c r="U36" i="172"/>
  <c r="W36" i="172" s="1"/>
  <c r="L36" i="172"/>
  <c r="C36" i="172"/>
  <c r="U35" i="172"/>
  <c r="W35" i="172" s="1"/>
  <c r="L35" i="172"/>
  <c r="C35" i="172"/>
  <c r="U34" i="172"/>
  <c r="L34" i="172"/>
  <c r="U32" i="172"/>
  <c r="W32" i="172" s="1"/>
  <c r="L32" i="172"/>
  <c r="L143" i="172" s="1"/>
  <c r="C32" i="172"/>
  <c r="U31" i="172"/>
  <c r="W31" i="172" s="1"/>
  <c r="L31" i="172"/>
  <c r="C31" i="172"/>
  <c r="U30" i="172"/>
  <c r="W30" i="172" s="1"/>
  <c r="L30" i="172"/>
  <c r="C30" i="172"/>
  <c r="U29" i="172"/>
  <c r="W29" i="172" s="1"/>
  <c r="L29" i="172"/>
  <c r="C29" i="172"/>
  <c r="U28" i="172"/>
  <c r="W28" i="172" s="1"/>
  <c r="L28" i="172"/>
  <c r="C28" i="172"/>
  <c r="V25" i="172"/>
  <c r="T25" i="172"/>
  <c r="S25" i="172"/>
  <c r="N25" i="172"/>
  <c r="K25" i="172"/>
  <c r="J25" i="172"/>
  <c r="J65" i="172" s="1"/>
  <c r="I25" i="172"/>
  <c r="I65" i="172" s="1"/>
  <c r="D25" i="172"/>
  <c r="D65" i="172" s="1"/>
  <c r="AB18" i="172"/>
  <c r="A18" i="172"/>
  <c r="AB13" i="172"/>
  <c r="L13" i="172"/>
  <c r="M13" i="172" s="1"/>
  <c r="K13" i="172"/>
  <c r="K132" i="172" s="1"/>
  <c r="A13" i="172"/>
  <c r="A13" i="173" s="1"/>
  <c r="B2" i="172"/>
  <c r="Q185" i="82"/>
  <c r="R185" i="82" s="1"/>
  <c r="M187" i="82"/>
  <c r="L192" i="82"/>
  <c r="N82" i="107"/>
  <c r="M82" i="107"/>
  <c r="L82" i="107"/>
  <c r="K82" i="107"/>
  <c r="J82" i="107"/>
  <c r="I82" i="107"/>
  <c r="H82" i="107"/>
  <c r="G82" i="107"/>
  <c r="F82" i="107"/>
  <c r="E82" i="107"/>
  <c r="M175" i="82"/>
  <c r="M173" i="82"/>
  <c r="L179" i="82"/>
  <c r="S65" i="174" l="1"/>
  <c r="K124" i="174"/>
  <c r="C27" i="174"/>
  <c r="S136" i="174"/>
  <c r="V65" i="174"/>
  <c r="V154" i="174"/>
  <c r="S124" i="173"/>
  <c r="T152" i="173"/>
  <c r="V65" i="173"/>
  <c r="V155" i="173" s="1"/>
  <c r="C27" i="173"/>
  <c r="L132" i="173"/>
  <c r="V154" i="173"/>
  <c r="K25" i="173"/>
  <c r="K65" i="173" s="1"/>
  <c r="T124" i="173"/>
  <c r="U150" i="173"/>
  <c r="W150" i="173" s="1"/>
  <c r="X150" i="173" s="1"/>
  <c r="M78" i="173"/>
  <c r="M82" i="173" s="1"/>
  <c r="Q82" i="173" s="1"/>
  <c r="T65" i="173"/>
  <c r="C34" i="173"/>
  <c r="C63" i="173" s="1"/>
  <c r="K124" i="173"/>
  <c r="T136" i="173"/>
  <c r="T154" i="173" s="1"/>
  <c r="K136" i="173"/>
  <c r="K136" i="172"/>
  <c r="U150" i="172"/>
  <c r="W150" i="172" s="1"/>
  <c r="K65" i="172"/>
  <c r="A117" i="174"/>
  <c r="O117" i="174" s="1"/>
  <c r="O151" i="174" s="1"/>
  <c r="A105" i="174"/>
  <c r="O105" i="174" s="1"/>
  <c r="T65" i="172"/>
  <c r="T124" i="172"/>
  <c r="V154" i="172"/>
  <c r="A117" i="173"/>
  <c r="O117" i="173" s="1"/>
  <c r="O151" i="173" s="1"/>
  <c r="O105" i="172"/>
  <c r="O147" i="172" s="1"/>
  <c r="A78" i="173"/>
  <c r="O78" i="173" s="1"/>
  <c r="A100" i="173"/>
  <c r="O100" i="173" s="1"/>
  <c r="O146" i="173" s="1"/>
  <c r="A78" i="175"/>
  <c r="O78" i="175" s="1"/>
  <c r="X150" i="172"/>
  <c r="O117" i="172"/>
  <c r="O151" i="172" s="1"/>
  <c r="A100" i="175"/>
  <c r="O78" i="172"/>
  <c r="O100" i="172"/>
  <c r="M78" i="175"/>
  <c r="M80" i="175" s="1"/>
  <c r="T124" i="175"/>
  <c r="V124" i="175"/>
  <c r="S124" i="175"/>
  <c r="T152" i="175"/>
  <c r="T154" i="175" s="1"/>
  <c r="T155" i="175" s="1"/>
  <c r="K65" i="175"/>
  <c r="K132" i="175"/>
  <c r="K136" i="175" s="1"/>
  <c r="S136" i="175"/>
  <c r="T65" i="175"/>
  <c r="O7" i="166"/>
  <c r="M13" i="173"/>
  <c r="M16" i="173" s="1"/>
  <c r="Q7" i="166"/>
  <c r="O13" i="173"/>
  <c r="P8" i="166"/>
  <c r="O8" i="166"/>
  <c r="P7" i="166"/>
  <c r="N8" i="166"/>
  <c r="N51" i="172"/>
  <c r="N63" i="172" s="1"/>
  <c r="N65" i="172" s="1"/>
  <c r="N7" i="166"/>
  <c r="R78" i="175"/>
  <c r="O13" i="172"/>
  <c r="O132" i="172" s="1"/>
  <c r="P78" i="175"/>
  <c r="M78" i="174"/>
  <c r="P78" i="174" s="1"/>
  <c r="M79" i="175"/>
  <c r="Q79" i="175" s="1"/>
  <c r="Q80" i="175"/>
  <c r="O90" i="172"/>
  <c r="B114" i="58"/>
  <c r="B115" i="58" s="1"/>
  <c r="B116" i="58" s="1"/>
  <c r="B117" i="58" s="1"/>
  <c r="B118" i="58" s="1"/>
  <c r="B119" i="58" s="1"/>
  <c r="B120" i="58" s="1"/>
  <c r="B121" i="58" s="1"/>
  <c r="B122" i="58" s="1"/>
  <c r="B123" i="58" s="1"/>
  <c r="B124" i="58" s="1"/>
  <c r="B125" i="58" s="1"/>
  <c r="B126" i="58" s="1"/>
  <c r="B127" i="58" s="1"/>
  <c r="R78" i="173"/>
  <c r="M17" i="172"/>
  <c r="Q17" i="172" s="1"/>
  <c r="M16" i="172"/>
  <c r="P13" i="172"/>
  <c r="M14" i="172"/>
  <c r="M15" i="172"/>
  <c r="A110" i="174"/>
  <c r="O110" i="174" s="1"/>
  <c r="A110" i="173"/>
  <c r="O110" i="173" s="1"/>
  <c r="A110" i="175"/>
  <c r="O110" i="175" s="1"/>
  <c r="C34" i="172"/>
  <c r="O110" i="172"/>
  <c r="T152" i="172"/>
  <c r="T154" i="172" s="1"/>
  <c r="T155" i="172" s="1"/>
  <c r="C27" i="172"/>
  <c r="O146" i="172"/>
  <c r="U150" i="174"/>
  <c r="W150" i="174" s="1"/>
  <c r="X150" i="174" s="1"/>
  <c r="V155" i="172"/>
  <c r="C27" i="175"/>
  <c r="N63" i="174"/>
  <c r="N65" i="174" s="1"/>
  <c r="A18" i="174"/>
  <c r="O18" i="174" s="1"/>
  <c r="A18" i="175"/>
  <c r="O18" i="175" s="1"/>
  <c r="O18" i="172"/>
  <c r="A18" i="173"/>
  <c r="O18" i="173" s="1"/>
  <c r="A13" i="174"/>
  <c r="O13" i="174" s="1"/>
  <c r="A13" i="175"/>
  <c r="O13" i="175" s="1"/>
  <c r="W34" i="172"/>
  <c r="S124" i="172"/>
  <c r="K152" i="175"/>
  <c r="U150" i="175"/>
  <c r="W150" i="175" s="1"/>
  <c r="X150" i="175" s="1"/>
  <c r="C34" i="174"/>
  <c r="C63" i="174" s="1"/>
  <c r="T152" i="174"/>
  <c r="S65" i="175"/>
  <c r="M78" i="172"/>
  <c r="S152" i="173"/>
  <c r="S154" i="173" s="1"/>
  <c r="S155" i="173" s="1"/>
  <c r="K152" i="174"/>
  <c r="N136" i="175"/>
  <c r="O83" i="174"/>
  <c r="S152" i="175"/>
  <c r="K152" i="173"/>
  <c r="K154" i="173" s="1"/>
  <c r="O100" i="175"/>
  <c r="A83" i="175"/>
  <c r="O83" i="175" s="1"/>
  <c r="A83" i="173"/>
  <c r="O83" i="173" s="1"/>
  <c r="S152" i="172"/>
  <c r="S154" i="172" s="1"/>
  <c r="L132" i="172"/>
  <c r="C34" i="175"/>
  <c r="N51" i="175"/>
  <c r="N51" i="173"/>
  <c r="K132" i="174"/>
  <c r="K136" i="174" s="1"/>
  <c r="K25" i="174"/>
  <c r="K65" i="174" s="1"/>
  <c r="L132" i="175"/>
  <c r="K152" i="172"/>
  <c r="K154" i="172" s="1"/>
  <c r="M13" i="175"/>
  <c r="G119" i="175"/>
  <c r="G121" i="175"/>
  <c r="G118" i="175"/>
  <c r="T136" i="175"/>
  <c r="S65" i="172"/>
  <c r="A105" i="173"/>
  <c r="O105" i="173" s="1"/>
  <c r="M13" i="174"/>
  <c r="M82" i="175"/>
  <c r="Q82" i="175" s="1"/>
  <c r="M81" i="175"/>
  <c r="O78" i="174"/>
  <c r="N136" i="174"/>
  <c r="S152" i="174"/>
  <c r="S154" i="174" s="1"/>
  <c r="S155" i="174" s="1"/>
  <c r="W34" i="175"/>
  <c r="V65" i="175"/>
  <c r="V155" i="175" s="1"/>
  <c r="T136" i="174"/>
  <c r="O62" i="107"/>
  <c r="N62" i="107"/>
  <c r="M62" i="107"/>
  <c r="L62" i="107"/>
  <c r="K62" i="107"/>
  <c r="J62" i="107"/>
  <c r="I62" i="107"/>
  <c r="H62" i="107"/>
  <c r="G62" i="107"/>
  <c r="F62" i="107"/>
  <c r="E62" i="107"/>
  <c r="M162" i="82"/>
  <c r="M160" i="82"/>
  <c r="L167" i="82"/>
  <c r="R153" i="82"/>
  <c r="R151" i="82"/>
  <c r="Q142" i="82"/>
  <c r="N150" i="82"/>
  <c r="R150" i="82" s="1"/>
  <c r="N148" i="82"/>
  <c r="Q148" i="82" s="1"/>
  <c r="R148" i="82" s="1"/>
  <c r="M147" i="82"/>
  <c r="M146" i="82"/>
  <c r="M145" i="82"/>
  <c r="M143" i="82"/>
  <c r="L154" i="82"/>
  <c r="P48" i="107"/>
  <c r="I47" i="107"/>
  <c r="H47" i="107"/>
  <c r="G47" i="107"/>
  <c r="F47" i="107"/>
  <c r="E47" i="107"/>
  <c r="K46" i="107"/>
  <c r="J46" i="107"/>
  <c r="I46" i="107"/>
  <c r="H46" i="107"/>
  <c r="G46" i="107"/>
  <c r="F46" i="107"/>
  <c r="E46" i="107"/>
  <c r="H45" i="107"/>
  <c r="G45" i="107"/>
  <c r="F45" i="107"/>
  <c r="E45" i="107"/>
  <c r="P47" i="107"/>
  <c r="J47" i="107"/>
  <c r="P46" i="107"/>
  <c r="G44" i="107"/>
  <c r="F44" i="107"/>
  <c r="E44" i="107"/>
  <c r="O42" i="107"/>
  <c r="N42" i="107"/>
  <c r="M42" i="107"/>
  <c r="L42" i="107"/>
  <c r="K42" i="107"/>
  <c r="J42" i="107"/>
  <c r="I42" i="107"/>
  <c r="H42" i="107"/>
  <c r="G42" i="107"/>
  <c r="F42" i="107"/>
  <c r="E42" i="107"/>
  <c r="P247" i="117"/>
  <c r="O247" i="117"/>
  <c r="N247" i="117"/>
  <c r="M247" i="117"/>
  <c r="L247" i="117"/>
  <c r="K247" i="117"/>
  <c r="J247" i="117"/>
  <c r="P246" i="117"/>
  <c r="O246" i="117"/>
  <c r="N246" i="117"/>
  <c r="M246" i="117"/>
  <c r="L246" i="117"/>
  <c r="D525" i="117"/>
  <c r="D544" i="117" s="1"/>
  <c r="D532" i="117"/>
  <c r="D531" i="117"/>
  <c r="D530" i="117"/>
  <c r="Q527" i="117"/>
  <c r="Q526" i="117"/>
  <c r="Q524" i="117"/>
  <c r="Q523" i="117"/>
  <c r="R514" i="117"/>
  <c r="R513" i="117"/>
  <c r="D514" i="117"/>
  <c r="D513" i="117"/>
  <c r="D512" i="117"/>
  <c r="R512" i="117"/>
  <c r="D507" i="117"/>
  <c r="Q509" i="117"/>
  <c r="Q508" i="117"/>
  <c r="Q506" i="117"/>
  <c r="Q505" i="117"/>
  <c r="O355" i="117"/>
  <c r="N355" i="117"/>
  <c r="M355" i="117"/>
  <c r="L355" i="117"/>
  <c r="K355" i="117"/>
  <c r="O354" i="117"/>
  <c r="N354" i="117"/>
  <c r="M354" i="117"/>
  <c r="L354" i="117"/>
  <c r="K354" i="117"/>
  <c r="P46" i="151"/>
  <c r="O46" i="151"/>
  <c r="N46" i="151"/>
  <c r="M46" i="151"/>
  <c r="L46" i="151"/>
  <c r="P27" i="107"/>
  <c r="O27" i="107"/>
  <c r="N27" i="107"/>
  <c r="M27" i="107"/>
  <c r="L27" i="107"/>
  <c r="K27" i="107"/>
  <c r="J27" i="107"/>
  <c r="P26" i="107"/>
  <c r="O26" i="107"/>
  <c r="N26" i="107"/>
  <c r="M26" i="107"/>
  <c r="L26" i="107"/>
  <c r="O25" i="107"/>
  <c r="N25" i="107"/>
  <c r="M25" i="107"/>
  <c r="L25" i="107"/>
  <c r="K25" i="107"/>
  <c r="J25" i="107"/>
  <c r="I25" i="107"/>
  <c r="G24" i="107"/>
  <c r="F24" i="107"/>
  <c r="E24" i="107"/>
  <c r="K23" i="107"/>
  <c r="J23" i="107"/>
  <c r="I23" i="107"/>
  <c r="H23" i="107"/>
  <c r="G23" i="107"/>
  <c r="F23" i="107"/>
  <c r="E23" i="107"/>
  <c r="O22" i="107"/>
  <c r="N22" i="107"/>
  <c r="M22" i="107"/>
  <c r="L22" i="107"/>
  <c r="K22" i="107"/>
  <c r="J22" i="107"/>
  <c r="I22" i="107"/>
  <c r="H22" i="107"/>
  <c r="G22" i="107"/>
  <c r="F22" i="107"/>
  <c r="E22" i="107"/>
  <c r="M79" i="174" l="1"/>
  <c r="Q79" i="174" s="1"/>
  <c r="R78" i="174"/>
  <c r="V155" i="174"/>
  <c r="M132" i="173"/>
  <c r="M81" i="173"/>
  <c r="M80" i="173"/>
  <c r="Q80" i="173" s="1"/>
  <c r="P78" i="173"/>
  <c r="M15" i="173"/>
  <c r="Q15" i="173" s="1"/>
  <c r="M79" i="173"/>
  <c r="Q79" i="173" s="1"/>
  <c r="M14" i="173"/>
  <c r="M17" i="173"/>
  <c r="Q17" i="173" s="1"/>
  <c r="T155" i="173"/>
  <c r="P13" i="173"/>
  <c r="Q14" i="172"/>
  <c r="O132" i="173"/>
  <c r="O98" i="172"/>
  <c r="C63" i="172"/>
  <c r="S154" i="175"/>
  <c r="K154" i="175"/>
  <c r="O25" i="173"/>
  <c r="O65" i="173" s="1"/>
  <c r="M82" i="174"/>
  <c r="Q82" i="174" s="1"/>
  <c r="M81" i="174"/>
  <c r="M80" i="174"/>
  <c r="Q80" i="174" s="1"/>
  <c r="Q14" i="173"/>
  <c r="O122" i="174"/>
  <c r="I514" i="117"/>
  <c r="I247" i="117" s="1"/>
  <c r="AI145" i="58"/>
  <c r="Q15" i="172"/>
  <c r="O133" i="175"/>
  <c r="O90" i="174"/>
  <c r="O133" i="172"/>
  <c r="M16" i="174"/>
  <c r="P13" i="174"/>
  <c r="M14" i="174"/>
  <c r="Q14" i="174" s="1"/>
  <c r="M132" i="174"/>
  <c r="M17" i="174"/>
  <c r="Q17" i="174" s="1"/>
  <c r="M15" i="174"/>
  <c r="Q15" i="174" s="1"/>
  <c r="O148" i="173"/>
  <c r="N63" i="175"/>
  <c r="N65" i="175" s="1"/>
  <c r="O147" i="173"/>
  <c r="O98" i="173"/>
  <c r="O122" i="173"/>
  <c r="M81" i="172"/>
  <c r="R78" i="172"/>
  <c r="M80" i="172"/>
  <c r="Q80" i="172" s="1"/>
  <c r="M82" i="172"/>
  <c r="Q82" i="172" s="1"/>
  <c r="P78" i="172"/>
  <c r="M79" i="172"/>
  <c r="Q79" i="172" s="1"/>
  <c r="O25" i="172"/>
  <c r="O65" i="172" s="1"/>
  <c r="O148" i="175"/>
  <c r="O147" i="174"/>
  <c r="O98" i="174"/>
  <c r="K154" i="174"/>
  <c r="S155" i="175"/>
  <c r="O90" i="173"/>
  <c r="C63" i="175"/>
  <c r="O148" i="174"/>
  <c r="N63" i="173"/>
  <c r="N65" i="173" s="1"/>
  <c r="O133" i="174"/>
  <c r="O148" i="172"/>
  <c r="O152" i="172" s="1"/>
  <c r="O122" i="172"/>
  <c r="O124" i="172" s="1"/>
  <c r="S155" i="172"/>
  <c r="O98" i="175"/>
  <c r="O146" i="175"/>
  <c r="O122" i="175"/>
  <c r="O133" i="173"/>
  <c r="O132" i="175"/>
  <c r="O25" i="175"/>
  <c r="O65" i="175" s="1"/>
  <c r="O132" i="174"/>
  <c r="O25" i="174"/>
  <c r="O65" i="174" s="1"/>
  <c r="M14" i="175"/>
  <c r="Q14" i="175" s="1"/>
  <c r="M16" i="175"/>
  <c r="M17" i="175"/>
  <c r="Q17" i="175" s="1"/>
  <c r="M15" i="175"/>
  <c r="Q15" i="175" s="1"/>
  <c r="M132" i="175"/>
  <c r="P13" i="175"/>
  <c r="T154" i="174"/>
  <c r="T155" i="174" s="1"/>
  <c r="O90" i="175"/>
  <c r="M132" i="172"/>
  <c r="P49" i="107"/>
  <c r="P53" i="107" s="1"/>
  <c r="P55" i="107" s="1"/>
  <c r="P57" i="107" s="1"/>
  <c r="J513" i="117"/>
  <c r="J246" i="117" s="1"/>
  <c r="Q532" i="117"/>
  <c r="Q531" i="117"/>
  <c r="Q530" i="117"/>
  <c r="F513" i="117"/>
  <c r="G513" i="117"/>
  <c r="H513" i="117"/>
  <c r="I513" i="117"/>
  <c r="I246" i="117" s="1"/>
  <c r="E514" i="117"/>
  <c r="E247" i="117" s="1"/>
  <c r="F512" i="117"/>
  <c r="H512" i="117"/>
  <c r="F514" i="117"/>
  <c r="F247" i="117" s="1"/>
  <c r="G514" i="117"/>
  <c r="G247" i="117" s="1"/>
  <c r="K513" i="117"/>
  <c r="K246" i="117" s="1"/>
  <c r="G512" i="117"/>
  <c r="E512" i="117"/>
  <c r="E513" i="117"/>
  <c r="H514" i="117"/>
  <c r="H247" i="117" s="1"/>
  <c r="P132" i="173" l="1"/>
  <c r="O136" i="173"/>
  <c r="O124" i="174"/>
  <c r="AI135" i="58"/>
  <c r="AI155" i="58"/>
  <c r="E246" i="117"/>
  <c r="G246" i="117"/>
  <c r="H246" i="117"/>
  <c r="F246" i="117"/>
  <c r="Q247" i="117"/>
  <c r="J146" i="82" s="1"/>
  <c r="O136" i="174"/>
  <c r="P132" i="175"/>
  <c r="O136" i="175"/>
  <c r="P132" i="172"/>
  <c r="O136" i="172"/>
  <c r="O154" i="172" s="1"/>
  <c r="O155" i="172" s="1"/>
  <c r="O152" i="174"/>
  <c r="O124" i="173"/>
  <c r="O152" i="173"/>
  <c r="O154" i="173" s="1"/>
  <c r="P132" i="174"/>
  <c r="O124" i="175"/>
  <c r="O152" i="175"/>
  <c r="Q512" i="117"/>
  <c r="Q514" i="117"/>
  <c r="Q513" i="117"/>
  <c r="O155" i="173" l="1"/>
  <c r="L26" i="122"/>
  <c r="N146" i="82"/>
  <c r="Q146" i="82" s="1"/>
  <c r="O154" i="175"/>
  <c r="O155" i="175" s="1"/>
  <c r="O154" i="174"/>
  <c r="O155" i="174" s="1"/>
  <c r="H206" i="82"/>
  <c r="M129" i="82"/>
  <c r="M128" i="82"/>
  <c r="M127" i="82"/>
  <c r="M126" i="82"/>
  <c r="M125" i="82"/>
  <c r="M124" i="82"/>
  <c r="R146" i="82" l="1"/>
  <c r="I218" i="117"/>
  <c r="H218" i="117"/>
  <c r="G218" i="117"/>
  <c r="F218" i="117"/>
  <c r="H217" i="117"/>
  <c r="G217" i="117"/>
  <c r="F217" i="117"/>
  <c r="E218" i="117"/>
  <c r="E217" i="117"/>
  <c r="D218" i="117"/>
  <c r="D247" i="117" s="1"/>
  <c r="D217" i="117"/>
  <c r="D246" i="117" s="1"/>
  <c r="R496" i="117"/>
  <c r="R495" i="117"/>
  <c r="P496" i="117" s="1"/>
  <c r="P218" i="117" s="1"/>
  <c r="R494" i="117"/>
  <c r="L495" i="117" s="1"/>
  <c r="N495" i="117" l="1"/>
  <c r="M495" i="117"/>
  <c r="P495" i="117"/>
  <c r="J496" i="117"/>
  <c r="J218" i="117" s="1"/>
  <c r="O495" i="117"/>
  <c r="K496" i="117"/>
  <c r="K218" i="117" s="1"/>
  <c r="L496" i="117"/>
  <c r="L218" i="117" s="1"/>
  <c r="M496" i="117"/>
  <c r="N496" i="117"/>
  <c r="N218" i="117" s="1"/>
  <c r="O496" i="117"/>
  <c r="O218" i="117" s="1"/>
  <c r="L78" i="171"/>
  <c r="L58" i="171"/>
  <c r="L52" i="171"/>
  <c r="L46" i="171"/>
  <c r="L41" i="171"/>
  <c r="L36" i="171"/>
  <c r="L35" i="171"/>
  <c r="L34" i="171"/>
  <c r="L32" i="171"/>
  <c r="L143" i="171" s="1"/>
  <c r="L31" i="171"/>
  <c r="L30" i="171"/>
  <c r="L29" i="171"/>
  <c r="L28" i="171"/>
  <c r="L13" i="171"/>
  <c r="K13" i="171"/>
  <c r="V152" i="171"/>
  <c r="V154" i="171" s="1"/>
  <c r="T151" i="171"/>
  <c r="S151" i="171"/>
  <c r="N151" i="171"/>
  <c r="K151" i="171"/>
  <c r="T150" i="171"/>
  <c r="S150" i="171"/>
  <c r="R150" i="171"/>
  <c r="Q150" i="171"/>
  <c r="P150" i="171"/>
  <c r="O150" i="171"/>
  <c r="N150" i="171"/>
  <c r="M150" i="171"/>
  <c r="K150" i="171"/>
  <c r="T149" i="171"/>
  <c r="S149" i="171"/>
  <c r="Q149" i="171"/>
  <c r="O149" i="171"/>
  <c r="K149" i="171"/>
  <c r="T148" i="171"/>
  <c r="S148" i="171"/>
  <c r="N148" i="171"/>
  <c r="K148" i="171"/>
  <c r="T147" i="171"/>
  <c r="S147" i="171"/>
  <c r="N147" i="171"/>
  <c r="K147" i="171"/>
  <c r="T146" i="171"/>
  <c r="S146" i="171"/>
  <c r="N146" i="171"/>
  <c r="K146" i="171"/>
  <c r="T145" i="171"/>
  <c r="S145" i="171"/>
  <c r="Q145" i="171"/>
  <c r="O145" i="171"/>
  <c r="K145" i="171"/>
  <c r="T143" i="171"/>
  <c r="S143" i="171"/>
  <c r="R143" i="171"/>
  <c r="Q143" i="171"/>
  <c r="P143" i="171"/>
  <c r="O143" i="171"/>
  <c r="N143" i="171"/>
  <c r="M143" i="171"/>
  <c r="K143" i="171"/>
  <c r="T142" i="171"/>
  <c r="S142" i="171"/>
  <c r="O142" i="171"/>
  <c r="K142" i="171"/>
  <c r="T141" i="171"/>
  <c r="S141" i="171"/>
  <c r="O141" i="171"/>
  <c r="K141" i="171"/>
  <c r="T140" i="171"/>
  <c r="S140" i="171"/>
  <c r="O140" i="171"/>
  <c r="K140" i="171"/>
  <c r="T139" i="171"/>
  <c r="S139" i="171"/>
  <c r="O139" i="171"/>
  <c r="K139" i="171"/>
  <c r="V136" i="171"/>
  <c r="N136" i="171"/>
  <c r="C135" i="171"/>
  <c r="C134" i="171"/>
  <c r="T133" i="171"/>
  <c r="S133" i="171"/>
  <c r="S136" i="171" s="1"/>
  <c r="N133" i="171"/>
  <c r="K133" i="171"/>
  <c r="T132" i="171"/>
  <c r="S132" i="171"/>
  <c r="N132" i="171"/>
  <c r="K132" i="171"/>
  <c r="K124" i="171"/>
  <c r="V122" i="171"/>
  <c r="V124" i="171" s="1"/>
  <c r="K122" i="171"/>
  <c r="Z117" i="171"/>
  <c r="H117" i="171"/>
  <c r="F117" i="171"/>
  <c r="G119" i="171" s="1"/>
  <c r="E117" i="171"/>
  <c r="O117" i="171" s="1"/>
  <c r="A117" i="171"/>
  <c r="U116" i="171"/>
  <c r="W116" i="171" s="1"/>
  <c r="X116" i="171" s="1"/>
  <c r="Z115" i="171"/>
  <c r="H115" i="171"/>
  <c r="F115" i="171"/>
  <c r="D115" i="171"/>
  <c r="Z110" i="171"/>
  <c r="H110" i="171"/>
  <c r="F110" i="171"/>
  <c r="G114" i="171" s="1"/>
  <c r="O110" i="171"/>
  <c r="O148" i="171" s="1"/>
  <c r="A110" i="171"/>
  <c r="Z105" i="171"/>
  <c r="H105" i="171"/>
  <c r="F105" i="171"/>
  <c r="G106" i="171" s="1"/>
  <c r="E105" i="171"/>
  <c r="A105" i="171"/>
  <c r="Z100" i="171"/>
  <c r="H100" i="171"/>
  <c r="F100" i="171"/>
  <c r="G102" i="171" s="1"/>
  <c r="E100" i="171"/>
  <c r="A100" i="171"/>
  <c r="Z99" i="171"/>
  <c r="H99" i="171"/>
  <c r="F99" i="171"/>
  <c r="D99" i="171"/>
  <c r="Z96" i="171"/>
  <c r="H96" i="171"/>
  <c r="G96" i="171"/>
  <c r="F96" i="171"/>
  <c r="Z95" i="171"/>
  <c r="H95" i="171"/>
  <c r="G95" i="171"/>
  <c r="F95" i="171"/>
  <c r="Z94" i="171"/>
  <c r="H94" i="171"/>
  <c r="G94" i="171"/>
  <c r="F94" i="171"/>
  <c r="Z93" i="171"/>
  <c r="H93" i="171"/>
  <c r="G93" i="171"/>
  <c r="F93" i="171"/>
  <c r="V92" i="171"/>
  <c r="T92" i="171"/>
  <c r="T122" i="171" s="1"/>
  <c r="T124" i="171" s="1"/>
  <c r="S92" i="171"/>
  <c r="S122" i="171" s="1"/>
  <c r="O92" i="171"/>
  <c r="D92" i="171"/>
  <c r="V90" i="171"/>
  <c r="T90" i="171"/>
  <c r="S90" i="171"/>
  <c r="N90" i="171"/>
  <c r="K90" i="171"/>
  <c r="Z83" i="171"/>
  <c r="H83" i="171"/>
  <c r="F83" i="171"/>
  <c r="E83" i="171"/>
  <c r="Z78" i="171"/>
  <c r="H78" i="171"/>
  <c r="F78" i="171"/>
  <c r="G82" i="171" s="1"/>
  <c r="E78" i="171"/>
  <c r="O78" i="171" s="1"/>
  <c r="A78" i="171"/>
  <c r="V65" i="171"/>
  <c r="H65" i="171"/>
  <c r="G65" i="171"/>
  <c r="F65" i="171"/>
  <c r="E65" i="171"/>
  <c r="D65" i="171"/>
  <c r="V63" i="171"/>
  <c r="T63" i="171"/>
  <c r="S63" i="171"/>
  <c r="Q63" i="171"/>
  <c r="O63" i="171"/>
  <c r="K63" i="171"/>
  <c r="G62" i="171"/>
  <c r="G60" i="171"/>
  <c r="G59" i="171"/>
  <c r="U58" i="171"/>
  <c r="W58" i="171" s="1"/>
  <c r="C58" i="171"/>
  <c r="G56" i="171"/>
  <c r="G54" i="171"/>
  <c r="G53" i="171"/>
  <c r="U52" i="171"/>
  <c r="W52" i="171" s="1"/>
  <c r="L150" i="171"/>
  <c r="C52" i="171"/>
  <c r="C150" i="171" s="1"/>
  <c r="Z51" i="171"/>
  <c r="H51" i="171"/>
  <c r="F51" i="171"/>
  <c r="D51" i="171"/>
  <c r="N51" i="171" s="1"/>
  <c r="N63" i="171" s="1"/>
  <c r="N65" i="171" s="1"/>
  <c r="G50" i="171"/>
  <c r="G48" i="171"/>
  <c r="G47" i="171"/>
  <c r="U46" i="171"/>
  <c r="W46" i="171" s="1"/>
  <c r="C46" i="171"/>
  <c r="G45" i="171"/>
  <c r="G43" i="171"/>
  <c r="G42" i="171"/>
  <c r="U41" i="171"/>
  <c r="W41" i="171" s="1"/>
  <c r="C41" i="171"/>
  <c r="G40" i="171"/>
  <c r="G38" i="171"/>
  <c r="G37" i="171"/>
  <c r="U36" i="171"/>
  <c r="W36" i="171" s="1"/>
  <c r="C36" i="171"/>
  <c r="U35" i="171"/>
  <c r="W35" i="171" s="1"/>
  <c r="C35" i="171"/>
  <c r="U34" i="171"/>
  <c r="W34" i="171" s="1"/>
  <c r="C34" i="171"/>
  <c r="U32" i="171"/>
  <c r="W32" i="171" s="1"/>
  <c r="C32" i="171"/>
  <c r="U31" i="171"/>
  <c r="W31" i="171" s="1"/>
  <c r="C31" i="171"/>
  <c r="U30" i="171"/>
  <c r="W30" i="171" s="1"/>
  <c r="C30" i="171"/>
  <c r="C27" i="171" s="1"/>
  <c r="U29" i="171"/>
  <c r="W29" i="171" s="1"/>
  <c r="C29" i="171"/>
  <c r="U28" i="171"/>
  <c r="W28" i="171" s="1"/>
  <c r="C28" i="171"/>
  <c r="V25" i="171"/>
  <c r="T25" i="171"/>
  <c r="S25" i="171"/>
  <c r="S65" i="171" s="1"/>
  <c r="N25" i="171"/>
  <c r="K25" i="171"/>
  <c r="J25" i="171"/>
  <c r="J65" i="171" s="1"/>
  <c r="I25" i="171"/>
  <c r="I65" i="171" s="1"/>
  <c r="D25" i="171"/>
  <c r="Z18" i="171"/>
  <c r="H18" i="171"/>
  <c r="F18" i="171"/>
  <c r="G22" i="171" s="1"/>
  <c r="E18" i="171"/>
  <c r="Z13" i="171"/>
  <c r="M13" i="171"/>
  <c r="M16" i="171" s="1"/>
  <c r="H13" i="171"/>
  <c r="F13" i="171"/>
  <c r="G14" i="171" s="1"/>
  <c r="E13" i="171"/>
  <c r="O13" i="171" s="1"/>
  <c r="A13" i="171"/>
  <c r="B2" i="171"/>
  <c r="K13" i="170"/>
  <c r="K132" i="170" s="1"/>
  <c r="L78" i="170"/>
  <c r="L58" i="170"/>
  <c r="L52" i="170"/>
  <c r="L46" i="170"/>
  <c r="L41" i="170"/>
  <c r="L36" i="170"/>
  <c r="L35" i="170"/>
  <c r="L34" i="170"/>
  <c r="L32" i="170"/>
  <c r="L143" i="170" s="1"/>
  <c r="L31" i="170"/>
  <c r="L30" i="170"/>
  <c r="L29" i="170"/>
  <c r="L28" i="170"/>
  <c r="L13" i="170"/>
  <c r="K13" i="169"/>
  <c r="V152" i="170"/>
  <c r="V154" i="170" s="1"/>
  <c r="T151" i="170"/>
  <c r="S151" i="170"/>
  <c r="N151" i="170"/>
  <c r="K151" i="170"/>
  <c r="T150" i="170"/>
  <c r="S150" i="170"/>
  <c r="R150" i="170"/>
  <c r="Q150" i="170"/>
  <c r="P150" i="170"/>
  <c r="O150" i="170"/>
  <c r="N150" i="170"/>
  <c r="M150" i="170"/>
  <c r="L150" i="170"/>
  <c r="K150" i="170"/>
  <c r="C150" i="170"/>
  <c r="T149" i="170"/>
  <c r="S149" i="170"/>
  <c r="Q149" i="170"/>
  <c r="O149" i="170"/>
  <c r="K149" i="170"/>
  <c r="T148" i="170"/>
  <c r="S148" i="170"/>
  <c r="N148" i="170"/>
  <c r="K148" i="170"/>
  <c r="T147" i="170"/>
  <c r="S147" i="170"/>
  <c r="N147" i="170"/>
  <c r="K147" i="170"/>
  <c r="T146" i="170"/>
  <c r="S146" i="170"/>
  <c r="N146" i="170"/>
  <c r="K146" i="170"/>
  <c r="T145" i="170"/>
  <c r="S145" i="170"/>
  <c r="Q145" i="170"/>
  <c r="O145" i="170"/>
  <c r="K145" i="170"/>
  <c r="T143" i="170"/>
  <c r="S143" i="170"/>
  <c r="R143" i="170"/>
  <c r="Q143" i="170"/>
  <c r="P143" i="170"/>
  <c r="O143" i="170"/>
  <c r="N143" i="170"/>
  <c r="M143" i="170"/>
  <c r="K143" i="170"/>
  <c r="T142" i="170"/>
  <c r="S142" i="170"/>
  <c r="O142" i="170"/>
  <c r="K142" i="170"/>
  <c r="T141" i="170"/>
  <c r="S141" i="170"/>
  <c r="O141" i="170"/>
  <c r="K141" i="170"/>
  <c r="T140" i="170"/>
  <c r="S140" i="170"/>
  <c r="O140" i="170"/>
  <c r="K140" i="170"/>
  <c r="T139" i="170"/>
  <c r="S139" i="170"/>
  <c r="O139" i="170"/>
  <c r="K139" i="170"/>
  <c r="V136" i="170"/>
  <c r="N136" i="170"/>
  <c r="C135" i="170"/>
  <c r="C134" i="170"/>
  <c r="T133" i="170"/>
  <c r="T136" i="170" s="1"/>
  <c r="S133" i="170"/>
  <c r="S136" i="170" s="1"/>
  <c r="N133" i="170"/>
  <c r="K133" i="170"/>
  <c r="T132" i="170"/>
  <c r="S132" i="170"/>
  <c r="N132" i="170"/>
  <c r="K122" i="170"/>
  <c r="Z117" i="170"/>
  <c r="H117" i="170"/>
  <c r="F117" i="170"/>
  <c r="G119" i="170" s="1"/>
  <c r="E117" i="170"/>
  <c r="A117" i="170"/>
  <c r="W116" i="170"/>
  <c r="X116" i="170" s="1"/>
  <c r="U116" i="170"/>
  <c r="Z115" i="170"/>
  <c r="H115" i="170"/>
  <c r="F115" i="170"/>
  <c r="D115" i="170"/>
  <c r="Z110" i="170"/>
  <c r="H110" i="170"/>
  <c r="F110" i="170"/>
  <c r="O110" i="170"/>
  <c r="A110" i="170"/>
  <c r="Z105" i="170"/>
  <c r="H105" i="170"/>
  <c r="F105" i="170"/>
  <c r="G106" i="170" s="1"/>
  <c r="E105" i="170"/>
  <c r="O105" i="170" s="1"/>
  <c r="O147" i="170" s="1"/>
  <c r="A105" i="170"/>
  <c r="Z100" i="170"/>
  <c r="H100" i="170"/>
  <c r="F100" i="170"/>
  <c r="E100" i="170"/>
  <c r="A100" i="170"/>
  <c r="Z99" i="170"/>
  <c r="H99" i="170"/>
  <c r="F99" i="170"/>
  <c r="D99" i="170"/>
  <c r="Z96" i="170"/>
  <c r="H96" i="170"/>
  <c r="G96" i="170"/>
  <c r="F96" i="170"/>
  <c r="Z95" i="170"/>
  <c r="H95" i="170"/>
  <c r="G95" i="170"/>
  <c r="F95" i="170"/>
  <c r="Z94" i="170"/>
  <c r="H94" i="170"/>
  <c r="G94" i="170"/>
  <c r="F94" i="170"/>
  <c r="Z93" i="170"/>
  <c r="H93" i="170"/>
  <c r="G93" i="170"/>
  <c r="F93" i="170"/>
  <c r="V92" i="170"/>
  <c r="V122" i="170" s="1"/>
  <c r="V124" i="170" s="1"/>
  <c r="T92" i="170"/>
  <c r="T122" i="170" s="1"/>
  <c r="T124" i="170" s="1"/>
  <c r="S92" i="170"/>
  <c r="S122" i="170" s="1"/>
  <c r="S124" i="170" s="1"/>
  <c r="O92" i="170"/>
  <c r="D92" i="170"/>
  <c r="V90" i="170"/>
  <c r="T90" i="170"/>
  <c r="S90" i="170"/>
  <c r="N90" i="170"/>
  <c r="K90" i="170"/>
  <c r="K124" i="170" s="1"/>
  <c r="Z83" i="170"/>
  <c r="H83" i="170"/>
  <c r="F83" i="170"/>
  <c r="E83" i="170"/>
  <c r="Z78" i="170"/>
  <c r="L132" i="170"/>
  <c r="H78" i="170"/>
  <c r="F78" i="170"/>
  <c r="G82" i="170" s="1"/>
  <c r="E78" i="170"/>
  <c r="O78" i="170" s="1"/>
  <c r="A78" i="170"/>
  <c r="V65" i="170"/>
  <c r="H65" i="170"/>
  <c r="G65" i="170"/>
  <c r="F65" i="170"/>
  <c r="E65" i="170"/>
  <c r="V63" i="170"/>
  <c r="T63" i="170"/>
  <c r="T65" i="170" s="1"/>
  <c r="S63" i="170"/>
  <c r="S65" i="170" s="1"/>
  <c r="Q63" i="170"/>
  <c r="O63" i="170"/>
  <c r="K63" i="170"/>
  <c r="G62" i="170"/>
  <c r="G60" i="170"/>
  <c r="G59" i="170"/>
  <c r="U58" i="170"/>
  <c r="W58" i="170" s="1"/>
  <c r="C58" i="170"/>
  <c r="G56" i="170"/>
  <c r="G54" i="170"/>
  <c r="G53" i="170"/>
  <c r="U52" i="170"/>
  <c r="W52" i="170" s="1"/>
  <c r="C52" i="170"/>
  <c r="Z51" i="170"/>
  <c r="H51" i="170"/>
  <c r="F51" i="170"/>
  <c r="D51" i="170"/>
  <c r="N51" i="170" s="1"/>
  <c r="G50" i="170"/>
  <c r="G48" i="170"/>
  <c r="G47" i="170"/>
  <c r="U46" i="170"/>
  <c r="W46" i="170" s="1"/>
  <c r="C46" i="170"/>
  <c r="G45" i="170"/>
  <c r="G43" i="170"/>
  <c r="G42" i="170"/>
  <c r="U41" i="170"/>
  <c r="W41" i="170" s="1"/>
  <c r="C41" i="170"/>
  <c r="G40" i="170"/>
  <c r="G38" i="170"/>
  <c r="G37" i="170"/>
  <c r="U36" i="170"/>
  <c r="W36" i="170" s="1"/>
  <c r="C36" i="170"/>
  <c r="U35" i="170"/>
  <c r="W35" i="170" s="1"/>
  <c r="C35" i="170"/>
  <c r="W34" i="170"/>
  <c r="U34" i="170"/>
  <c r="U32" i="170"/>
  <c r="W32" i="170" s="1"/>
  <c r="C32" i="170"/>
  <c r="U31" i="170"/>
  <c r="W31" i="170" s="1"/>
  <c r="C31" i="170"/>
  <c r="U30" i="170"/>
  <c r="W30" i="170" s="1"/>
  <c r="C30" i="170"/>
  <c r="U29" i="170"/>
  <c r="W29" i="170" s="1"/>
  <c r="C29" i="170"/>
  <c r="U28" i="170"/>
  <c r="W28" i="170" s="1"/>
  <c r="C28" i="170"/>
  <c r="C27" i="170"/>
  <c r="V25" i="170"/>
  <c r="T25" i="170"/>
  <c r="S25" i="170"/>
  <c r="N25" i="170"/>
  <c r="K25" i="170"/>
  <c r="K65" i="170" s="1"/>
  <c r="N149" i="67" s="1"/>
  <c r="J25" i="170"/>
  <c r="J65" i="170" s="1"/>
  <c r="I25" i="170"/>
  <c r="I65" i="170" s="1"/>
  <c r="D25" i="170"/>
  <c r="D65" i="170" s="1"/>
  <c r="Z18" i="170"/>
  <c r="H18" i="170"/>
  <c r="F18" i="170"/>
  <c r="G22" i="170" s="1"/>
  <c r="E18" i="170"/>
  <c r="A18" i="170"/>
  <c r="Z13" i="170"/>
  <c r="H13" i="170"/>
  <c r="F13" i="170"/>
  <c r="G14" i="170" s="1"/>
  <c r="E13" i="170"/>
  <c r="O13" i="170" s="1"/>
  <c r="A13" i="170"/>
  <c r="B2" i="170"/>
  <c r="A117" i="169"/>
  <c r="A110" i="169"/>
  <c r="A105" i="169"/>
  <c r="A100" i="169"/>
  <c r="A83" i="168"/>
  <c r="A83" i="169" s="1"/>
  <c r="A78" i="169"/>
  <c r="A13" i="169"/>
  <c r="A117" i="168"/>
  <c r="A110" i="168"/>
  <c r="A105" i="168"/>
  <c r="A100" i="168"/>
  <c r="A78" i="168"/>
  <c r="A18" i="168"/>
  <c r="A18" i="169" s="1"/>
  <c r="A13" i="168"/>
  <c r="L78" i="169"/>
  <c r="L58" i="169"/>
  <c r="L52" i="169"/>
  <c r="L46" i="169"/>
  <c r="L41" i="169"/>
  <c r="L36" i="169"/>
  <c r="L35" i="169"/>
  <c r="L34" i="169"/>
  <c r="L32" i="169"/>
  <c r="L31" i="169"/>
  <c r="L30" i="169"/>
  <c r="L29" i="169"/>
  <c r="L28" i="169"/>
  <c r="L13" i="169"/>
  <c r="V152" i="169"/>
  <c r="T151" i="169"/>
  <c r="S151" i="169"/>
  <c r="N151" i="169"/>
  <c r="K151" i="169"/>
  <c r="T150" i="169"/>
  <c r="S150" i="169"/>
  <c r="R150" i="169"/>
  <c r="Q150" i="169"/>
  <c r="P150" i="169"/>
  <c r="O150" i="169"/>
  <c r="N150" i="169"/>
  <c r="M150" i="169"/>
  <c r="L150" i="169"/>
  <c r="K150" i="169"/>
  <c r="C150" i="169"/>
  <c r="T149" i="169"/>
  <c r="S149" i="169"/>
  <c r="Q149" i="169"/>
  <c r="O149" i="169"/>
  <c r="K149" i="169"/>
  <c r="T148" i="169"/>
  <c r="S148" i="169"/>
  <c r="N148" i="169"/>
  <c r="K148" i="169"/>
  <c r="T147" i="169"/>
  <c r="S147" i="169"/>
  <c r="N147" i="169"/>
  <c r="K147" i="169"/>
  <c r="T146" i="169"/>
  <c r="S146" i="169"/>
  <c r="N146" i="169"/>
  <c r="K146" i="169"/>
  <c r="T145" i="169"/>
  <c r="S145" i="169"/>
  <c r="Q145" i="169"/>
  <c r="O145" i="169"/>
  <c r="K145" i="169"/>
  <c r="T143" i="169"/>
  <c r="S143" i="169"/>
  <c r="R143" i="169"/>
  <c r="Q143" i="169"/>
  <c r="P143" i="169"/>
  <c r="O143" i="169"/>
  <c r="N143" i="169"/>
  <c r="M143" i="169"/>
  <c r="K143" i="169"/>
  <c r="T142" i="169"/>
  <c r="S142" i="169"/>
  <c r="O142" i="169"/>
  <c r="K142" i="169"/>
  <c r="T141" i="169"/>
  <c r="S141" i="169"/>
  <c r="O141" i="169"/>
  <c r="K141" i="169"/>
  <c r="T140" i="169"/>
  <c r="S140" i="169"/>
  <c r="O140" i="169"/>
  <c r="K140" i="169"/>
  <c r="T139" i="169"/>
  <c r="S139" i="169"/>
  <c r="O139" i="169"/>
  <c r="K139" i="169"/>
  <c r="V136" i="169"/>
  <c r="N136" i="169"/>
  <c r="C135" i="169"/>
  <c r="C134" i="169"/>
  <c r="T133" i="169"/>
  <c r="S133" i="169"/>
  <c r="N133" i="169"/>
  <c r="K133" i="169"/>
  <c r="T132" i="169"/>
  <c r="S132" i="169"/>
  <c r="N132" i="169"/>
  <c r="K132" i="169"/>
  <c r="K122" i="169"/>
  <c r="Z117" i="169"/>
  <c r="H117" i="169"/>
  <c r="F117" i="169"/>
  <c r="G119" i="169" s="1"/>
  <c r="E117" i="169"/>
  <c r="O117" i="169" s="1"/>
  <c r="O151" i="169" s="1"/>
  <c r="U116" i="169"/>
  <c r="W116" i="169" s="1"/>
  <c r="X116" i="169" s="1"/>
  <c r="Z115" i="169"/>
  <c r="H115" i="169"/>
  <c r="F115" i="169"/>
  <c r="D115" i="169"/>
  <c r="Z110" i="169"/>
  <c r="H110" i="169"/>
  <c r="F110" i="169"/>
  <c r="O110" i="169"/>
  <c r="Z105" i="169"/>
  <c r="H105" i="169"/>
  <c r="F105" i="169"/>
  <c r="G107" i="169" s="1"/>
  <c r="E105" i="169"/>
  <c r="O105" i="169" s="1"/>
  <c r="Z100" i="169"/>
  <c r="H100" i="169"/>
  <c r="F100" i="169"/>
  <c r="G101" i="169" s="1"/>
  <c r="E100" i="169"/>
  <c r="O100" i="169" s="1"/>
  <c r="Z99" i="169"/>
  <c r="H99" i="169"/>
  <c r="F99" i="169"/>
  <c r="D99" i="169"/>
  <c r="Z96" i="169"/>
  <c r="H96" i="169"/>
  <c r="G96" i="169"/>
  <c r="F96" i="169"/>
  <c r="Z95" i="169"/>
  <c r="H95" i="169"/>
  <c r="G95" i="169"/>
  <c r="F95" i="169"/>
  <c r="Z94" i="169"/>
  <c r="H94" i="169"/>
  <c r="G94" i="169"/>
  <c r="F94" i="169"/>
  <c r="Z93" i="169"/>
  <c r="H93" i="169"/>
  <c r="G93" i="169"/>
  <c r="F93" i="169"/>
  <c r="V92" i="169"/>
  <c r="V122" i="169" s="1"/>
  <c r="T92" i="169"/>
  <c r="T122" i="169" s="1"/>
  <c r="S92" i="169"/>
  <c r="S122" i="169" s="1"/>
  <c r="O92" i="169"/>
  <c r="D92" i="169"/>
  <c r="V90" i="169"/>
  <c r="T90" i="169"/>
  <c r="S90" i="169"/>
  <c r="N90" i="169"/>
  <c r="K90" i="169"/>
  <c r="K124" i="169" s="1"/>
  <c r="Z83" i="169"/>
  <c r="H83" i="169"/>
  <c r="F83" i="169"/>
  <c r="G85" i="169" s="1"/>
  <c r="E83" i="169"/>
  <c r="Z78" i="169"/>
  <c r="H78" i="169"/>
  <c r="F78" i="169"/>
  <c r="G79" i="169" s="1"/>
  <c r="E78" i="169"/>
  <c r="O78" i="169" s="1"/>
  <c r="H65" i="169"/>
  <c r="G65" i="169"/>
  <c r="F65" i="169"/>
  <c r="E65" i="169"/>
  <c r="V63" i="169"/>
  <c r="T63" i="169"/>
  <c r="S63" i="169"/>
  <c r="Q63" i="169"/>
  <c r="O63" i="169"/>
  <c r="K63" i="169"/>
  <c r="G62" i="169"/>
  <c r="G60" i="169"/>
  <c r="G59" i="169"/>
  <c r="U58" i="169"/>
  <c r="W58" i="169" s="1"/>
  <c r="C58" i="169"/>
  <c r="G56" i="169"/>
  <c r="G54" i="169"/>
  <c r="G53" i="169"/>
  <c r="U52" i="169"/>
  <c r="W52" i="169" s="1"/>
  <c r="C52" i="169"/>
  <c r="Z51" i="169"/>
  <c r="H51" i="169"/>
  <c r="F51" i="169"/>
  <c r="D51" i="169"/>
  <c r="N51" i="169" s="1"/>
  <c r="C51" i="169"/>
  <c r="G50" i="169"/>
  <c r="G48" i="169"/>
  <c r="G47" i="169"/>
  <c r="U46" i="169"/>
  <c r="W46" i="169" s="1"/>
  <c r="C46" i="169"/>
  <c r="G45" i="169"/>
  <c r="G43" i="169"/>
  <c r="G42" i="169"/>
  <c r="U41" i="169"/>
  <c r="W41" i="169" s="1"/>
  <c r="C41" i="169"/>
  <c r="G40" i="169"/>
  <c r="G38" i="169"/>
  <c r="G37" i="169"/>
  <c r="U36" i="169"/>
  <c r="W36" i="169" s="1"/>
  <c r="C36" i="169"/>
  <c r="U35" i="169"/>
  <c r="W35" i="169" s="1"/>
  <c r="C35" i="169"/>
  <c r="U34" i="169"/>
  <c r="W34" i="169" s="1"/>
  <c r="U32" i="169"/>
  <c r="W32" i="169" s="1"/>
  <c r="L143" i="169"/>
  <c r="C32" i="169"/>
  <c r="U31" i="169"/>
  <c r="W31" i="169" s="1"/>
  <c r="C31" i="169"/>
  <c r="U30" i="169"/>
  <c r="W30" i="169" s="1"/>
  <c r="C30" i="169"/>
  <c r="U29" i="169"/>
  <c r="W29" i="169" s="1"/>
  <c r="C29" i="169"/>
  <c r="U28" i="169"/>
  <c r="W28" i="169" s="1"/>
  <c r="C28" i="169"/>
  <c r="C27" i="169"/>
  <c r="V25" i="169"/>
  <c r="T25" i="169"/>
  <c r="S25" i="169"/>
  <c r="N25" i="169"/>
  <c r="J25" i="169"/>
  <c r="J65" i="169" s="1"/>
  <c r="I25" i="169"/>
  <c r="I65" i="169" s="1"/>
  <c r="D25" i="169"/>
  <c r="D65" i="169" s="1"/>
  <c r="Z18" i="169"/>
  <c r="H18" i="169"/>
  <c r="F18" i="169"/>
  <c r="G20" i="169" s="1"/>
  <c r="E18" i="169"/>
  <c r="Z13" i="169"/>
  <c r="K25" i="169"/>
  <c r="H13" i="169"/>
  <c r="F13" i="169"/>
  <c r="G14" i="169" s="1"/>
  <c r="E13" i="169"/>
  <c r="O13" i="169" s="1"/>
  <c r="B2" i="169"/>
  <c r="V122" i="168"/>
  <c r="T122" i="168"/>
  <c r="S122" i="168"/>
  <c r="V92" i="168"/>
  <c r="T92" i="168"/>
  <c r="S92" i="168"/>
  <c r="O92" i="168"/>
  <c r="K122" i="168"/>
  <c r="O110" i="168"/>
  <c r="Z94" i="168"/>
  <c r="Z95" i="168"/>
  <c r="Z96" i="168"/>
  <c r="V90" i="168"/>
  <c r="T90" i="168"/>
  <c r="S90" i="168"/>
  <c r="N90" i="168"/>
  <c r="F117" i="168"/>
  <c r="G121" i="168" s="1"/>
  <c r="F115" i="168"/>
  <c r="F110" i="168"/>
  <c r="F105" i="168"/>
  <c r="G107" i="168" s="1"/>
  <c r="F100" i="168"/>
  <c r="F99" i="168"/>
  <c r="E117" i="168"/>
  <c r="O117" i="168" s="1"/>
  <c r="D115" i="168"/>
  <c r="E105" i="168"/>
  <c r="O105" i="168" s="1"/>
  <c r="E100" i="168"/>
  <c r="O100" i="168" s="1"/>
  <c r="D99" i="168"/>
  <c r="H117" i="168"/>
  <c r="H115" i="168"/>
  <c r="H110" i="168"/>
  <c r="H105" i="168"/>
  <c r="H100" i="168"/>
  <c r="H99" i="168"/>
  <c r="H96" i="168"/>
  <c r="H95" i="168"/>
  <c r="H94" i="168"/>
  <c r="H93" i="168"/>
  <c r="H83" i="168"/>
  <c r="H78" i="168"/>
  <c r="G96" i="168"/>
  <c r="G95" i="168"/>
  <c r="G94" i="168"/>
  <c r="G93" i="168"/>
  <c r="F96" i="168"/>
  <c r="F95" i="168"/>
  <c r="F94" i="168"/>
  <c r="F93" i="168"/>
  <c r="F83" i="168"/>
  <c r="G85" i="168" s="1"/>
  <c r="F78" i="168"/>
  <c r="G82" i="168" s="1"/>
  <c r="D92" i="168"/>
  <c r="E83" i="168"/>
  <c r="E78" i="168"/>
  <c r="O78" i="168" s="1"/>
  <c r="G119" i="168"/>
  <c r="G118" i="168"/>
  <c r="G114" i="168"/>
  <c r="N67" i="73"/>
  <c r="N64" i="73"/>
  <c r="N63" i="73"/>
  <c r="N62" i="73"/>
  <c r="N49" i="73"/>
  <c r="N14" i="73"/>
  <c r="H51" i="168"/>
  <c r="F51" i="168"/>
  <c r="D51" i="168"/>
  <c r="N51" i="168" s="1"/>
  <c r="V63" i="168"/>
  <c r="T63" i="168"/>
  <c r="S63" i="168"/>
  <c r="Q63" i="168"/>
  <c r="O63" i="168"/>
  <c r="K63" i="168"/>
  <c r="V25" i="168"/>
  <c r="T25" i="168"/>
  <c r="S25" i="168"/>
  <c r="N25" i="168"/>
  <c r="G62" i="168"/>
  <c r="G60" i="168"/>
  <c r="G59" i="168"/>
  <c r="G56" i="168"/>
  <c r="G54" i="168"/>
  <c r="G53" i="168"/>
  <c r="G50" i="168"/>
  <c r="G48" i="168"/>
  <c r="G47" i="168"/>
  <c r="G45" i="168"/>
  <c r="G43" i="168"/>
  <c r="G42" i="168"/>
  <c r="G40" i="168"/>
  <c r="G38" i="168"/>
  <c r="G37" i="168"/>
  <c r="C41" i="168"/>
  <c r="L41" i="168"/>
  <c r="U41" i="168"/>
  <c r="W41" i="168" s="1"/>
  <c r="C46" i="168"/>
  <c r="L46" i="168"/>
  <c r="U46" i="168"/>
  <c r="W46" i="168" s="1"/>
  <c r="C51" i="168"/>
  <c r="Z51" i="168"/>
  <c r="H18" i="168"/>
  <c r="H13" i="168"/>
  <c r="F18" i="168"/>
  <c r="F13" i="168"/>
  <c r="G14" i="168" s="1"/>
  <c r="E18" i="168"/>
  <c r="O18" i="168" s="1"/>
  <c r="E13" i="168"/>
  <c r="M150" i="168"/>
  <c r="M143" i="168"/>
  <c r="L78" i="168"/>
  <c r="Z117" i="168"/>
  <c r="Z115" i="168"/>
  <c r="Z110" i="168"/>
  <c r="Z105" i="168"/>
  <c r="Z100" i="168"/>
  <c r="Z99" i="168"/>
  <c r="Z93" i="168"/>
  <c r="AC16" i="73"/>
  <c r="Z83" i="168"/>
  <c r="Z78" i="168"/>
  <c r="Z18" i="168"/>
  <c r="Z13" i="168"/>
  <c r="Y67" i="73"/>
  <c r="Y64" i="73"/>
  <c r="Y63" i="73"/>
  <c r="Y62" i="73"/>
  <c r="Y49" i="73"/>
  <c r="Y48" i="73"/>
  <c r="Q48" i="73" s="1"/>
  <c r="Y14" i="73"/>
  <c r="Y13" i="73"/>
  <c r="AB16" i="73" s="1"/>
  <c r="A83" i="171" l="1"/>
  <c r="A83" i="170"/>
  <c r="O83" i="168"/>
  <c r="O18" i="170"/>
  <c r="A18" i="171"/>
  <c r="O18" i="169"/>
  <c r="O18" i="171"/>
  <c r="U150" i="171"/>
  <c r="W150" i="171" s="1"/>
  <c r="X150" i="171" s="1"/>
  <c r="C63" i="171"/>
  <c r="S152" i="171"/>
  <c r="S154" i="171" s="1"/>
  <c r="K65" i="171"/>
  <c r="O149" i="67" s="1"/>
  <c r="K152" i="171"/>
  <c r="K154" i="171" s="1"/>
  <c r="U150" i="170"/>
  <c r="W150" i="170" s="1"/>
  <c r="S152" i="170"/>
  <c r="K65" i="169"/>
  <c r="M149" i="67" s="1"/>
  <c r="S136" i="169"/>
  <c r="S65" i="169"/>
  <c r="S152" i="169"/>
  <c r="S154" i="169" s="1"/>
  <c r="T65" i="169"/>
  <c r="S124" i="169"/>
  <c r="S155" i="169" s="1"/>
  <c r="V154" i="169"/>
  <c r="V65" i="169"/>
  <c r="V155" i="169" s="1"/>
  <c r="T124" i="169"/>
  <c r="T136" i="169"/>
  <c r="V124" i="169"/>
  <c r="U150" i="169"/>
  <c r="W150" i="169" s="1"/>
  <c r="X150" i="169" s="1"/>
  <c r="O148" i="67"/>
  <c r="O160" i="67" s="1"/>
  <c r="Z134" i="151" s="1"/>
  <c r="Z135" i="151" s="1"/>
  <c r="K136" i="171"/>
  <c r="N148" i="67"/>
  <c r="N160" i="67" s="1"/>
  <c r="Y134" i="151" s="1"/>
  <c r="Y135" i="151" s="1"/>
  <c r="M148" i="67"/>
  <c r="M160" i="67" s="1"/>
  <c r="X134" i="151" s="1"/>
  <c r="X135" i="151" s="1"/>
  <c r="K136" i="169"/>
  <c r="G79" i="168"/>
  <c r="G87" i="168"/>
  <c r="G80" i="170"/>
  <c r="G79" i="170"/>
  <c r="G80" i="168"/>
  <c r="G20" i="171"/>
  <c r="G121" i="170"/>
  <c r="G121" i="169"/>
  <c r="G19" i="171"/>
  <c r="G102" i="169"/>
  <c r="G111" i="171"/>
  <c r="G121" i="171"/>
  <c r="M13" i="170"/>
  <c r="R13" i="170" s="1"/>
  <c r="G112" i="171"/>
  <c r="G87" i="169"/>
  <c r="O13" i="73"/>
  <c r="O117" i="170"/>
  <c r="O151" i="170" s="1"/>
  <c r="Q13" i="73"/>
  <c r="G80" i="171"/>
  <c r="G17" i="170"/>
  <c r="O48" i="73"/>
  <c r="O90" i="168"/>
  <c r="AD16" i="73"/>
  <c r="AE16" i="73" s="1"/>
  <c r="G104" i="168"/>
  <c r="G107" i="170"/>
  <c r="G107" i="171"/>
  <c r="G106" i="168"/>
  <c r="G104" i="169"/>
  <c r="G15" i="171"/>
  <c r="G101" i="168"/>
  <c r="G109" i="171"/>
  <c r="G80" i="169"/>
  <c r="G20" i="170"/>
  <c r="G17" i="171"/>
  <c r="G84" i="171"/>
  <c r="G109" i="168"/>
  <c r="G19" i="169"/>
  <c r="G84" i="170"/>
  <c r="G85" i="171"/>
  <c r="G102" i="168"/>
  <c r="G19" i="170"/>
  <c r="G111" i="168"/>
  <c r="G82" i="169"/>
  <c r="G85" i="170"/>
  <c r="G87" i="171"/>
  <c r="G101" i="171"/>
  <c r="M78" i="171"/>
  <c r="M82" i="171" s="1"/>
  <c r="Q82" i="171" s="1"/>
  <c r="G109" i="170"/>
  <c r="G112" i="168"/>
  <c r="G22" i="169"/>
  <c r="O83" i="169"/>
  <c r="O90" i="169" s="1"/>
  <c r="G15" i="170"/>
  <c r="G104" i="171"/>
  <c r="N63" i="168"/>
  <c r="O105" i="171"/>
  <c r="O147" i="171" s="1"/>
  <c r="Q495" i="117"/>
  <c r="Q496" i="117"/>
  <c r="M218" i="117"/>
  <c r="L132" i="171"/>
  <c r="V155" i="171"/>
  <c r="M14" i="171"/>
  <c r="Q14" i="171" s="1"/>
  <c r="M17" i="171"/>
  <c r="P13" i="171"/>
  <c r="M15" i="171"/>
  <c r="R13" i="171"/>
  <c r="O151" i="171"/>
  <c r="O25" i="171"/>
  <c r="O65" i="171" s="1"/>
  <c r="T136" i="171"/>
  <c r="O100" i="171"/>
  <c r="O132" i="171"/>
  <c r="T65" i="171"/>
  <c r="G79" i="171"/>
  <c r="T152" i="171"/>
  <c r="T154" i="171" s="1"/>
  <c r="O83" i="171"/>
  <c r="S124" i="171"/>
  <c r="S155" i="171" s="1"/>
  <c r="G118" i="171"/>
  <c r="X150" i="170"/>
  <c r="N63" i="170"/>
  <c r="N65" i="170" s="1"/>
  <c r="M14" i="170"/>
  <c r="Q14" i="170" s="1"/>
  <c r="M17" i="170"/>
  <c r="P13" i="170"/>
  <c r="S154" i="170"/>
  <c r="O148" i="170"/>
  <c r="S155" i="170"/>
  <c r="O132" i="170"/>
  <c r="O25" i="170"/>
  <c r="O65" i="170" s="1"/>
  <c r="T152" i="170"/>
  <c r="T154" i="170" s="1"/>
  <c r="T155" i="170" s="1"/>
  <c r="M78" i="170"/>
  <c r="G114" i="170"/>
  <c r="G101" i="170"/>
  <c r="G102" i="170"/>
  <c r="G111" i="170"/>
  <c r="O83" i="170"/>
  <c r="O133" i="170" s="1"/>
  <c r="K136" i="170"/>
  <c r="C34" i="170"/>
  <c r="C63" i="170" s="1"/>
  <c r="G104" i="170"/>
  <c r="K152" i="170"/>
  <c r="V155" i="170"/>
  <c r="G87" i="170"/>
  <c r="O100" i="170"/>
  <c r="G112" i="170"/>
  <c r="G118" i="170"/>
  <c r="O98" i="169"/>
  <c r="O122" i="169"/>
  <c r="O146" i="169"/>
  <c r="O132" i="169"/>
  <c r="O98" i="168"/>
  <c r="O122" i="168"/>
  <c r="M78" i="169"/>
  <c r="M79" i="169" s="1"/>
  <c r="Q79" i="169" s="1"/>
  <c r="L132" i="169"/>
  <c r="C34" i="169"/>
  <c r="C63" i="169" s="1"/>
  <c r="N63" i="169"/>
  <c r="N65" i="169" s="1"/>
  <c r="O148" i="169"/>
  <c r="K152" i="169"/>
  <c r="K154" i="169" s="1"/>
  <c r="G109" i="169"/>
  <c r="G15" i="169"/>
  <c r="T152" i="169"/>
  <c r="T154" i="169" s="1"/>
  <c r="T155" i="169" s="1"/>
  <c r="G114" i="169"/>
  <c r="G112" i="169"/>
  <c r="G17" i="169"/>
  <c r="M13" i="169"/>
  <c r="O25" i="169"/>
  <c r="O65" i="169" s="1"/>
  <c r="G106" i="169"/>
  <c r="G111" i="169"/>
  <c r="O147" i="169"/>
  <c r="G84" i="169"/>
  <c r="G118" i="169"/>
  <c r="G84" i="168"/>
  <c r="G22" i="168"/>
  <c r="G15" i="168"/>
  <c r="G17" i="168"/>
  <c r="G19" i="168"/>
  <c r="G20" i="168"/>
  <c r="M78" i="168"/>
  <c r="M159" i="67" l="1"/>
  <c r="M134" i="151" s="1"/>
  <c r="M135" i="151" s="1"/>
  <c r="T155" i="171"/>
  <c r="O159" i="67"/>
  <c r="O134" i="151" s="1"/>
  <c r="O135" i="151" s="1"/>
  <c r="N159" i="67"/>
  <c r="N134" i="151" s="1"/>
  <c r="N135" i="151" s="1"/>
  <c r="P78" i="169"/>
  <c r="Q15" i="171"/>
  <c r="M132" i="171"/>
  <c r="Q17" i="171"/>
  <c r="M79" i="171"/>
  <c r="Q79" i="171" s="1"/>
  <c r="M16" i="170"/>
  <c r="P78" i="171"/>
  <c r="P132" i="171" s="1"/>
  <c r="M81" i="171"/>
  <c r="M80" i="171"/>
  <c r="Q80" i="171" s="1"/>
  <c r="M15" i="170"/>
  <c r="Q15" i="170" s="1"/>
  <c r="R78" i="171"/>
  <c r="R132" i="171" s="1"/>
  <c r="Q17" i="170"/>
  <c r="M80" i="169"/>
  <c r="Q80" i="169" s="1"/>
  <c r="O90" i="170"/>
  <c r="M82" i="168"/>
  <c r="Q82" i="168" s="1"/>
  <c r="P78" i="168"/>
  <c r="M80" i="168"/>
  <c r="Q80" i="168" s="1"/>
  <c r="R78" i="168"/>
  <c r="M81" i="168"/>
  <c r="M79" i="168"/>
  <c r="Q79" i="168" s="1"/>
  <c r="O124" i="169"/>
  <c r="M81" i="169"/>
  <c r="O133" i="169"/>
  <c r="O136" i="169" s="1"/>
  <c r="O98" i="171"/>
  <c r="O146" i="171"/>
  <c r="O122" i="171"/>
  <c r="O90" i="171"/>
  <c r="O133" i="171"/>
  <c r="O136" i="171" s="1"/>
  <c r="M82" i="170"/>
  <c r="Q82" i="170" s="1"/>
  <c r="M81" i="170"/>
  <c r="R78" i="170"/>
  <c r="M80" i="170"/>
  <c r="Q80" i="170" s="1"/>
  <c r="M79" i="170"/>
  <c r="Q79" i="170" s="1"/>
  <c r="P78" i="170"/>
  <c r="M132" i="170"/>
  <c r="O136" i="170"/>
  <c r="O98" i="170"/>
  <c r="O122" i="170"/>
  <c r="O146" i="170"/>
  <c r="K154" i="170"/>
  <c r="O152" i="169"/>
  <c r="M82" i="169"/>
  <c r="Q82" i="169" s="1"/>
  <c r="R78" i="169"/>
  <c r="M15" i="169"/>
  <c r="Q15" i="169" s="1"/>
  <c r="P13" i="169"/>
  <c r="M14" i="169"/>
  <c r="Q14" i="169" s="1"/>
  <c r="M132" i="169"/>
  <c r="R13" i="169"/>
  <c r="M17" i="169"/>
  <c r="Q17" i="169" s="1"/>
  <c r="M16" i="169"/>
  <c r="L58" i="168"/>
  <c r="L52" i="168"/>
  <c r="L36" i="168"/>
  <c r="L35" i="168"/>
  <c r="L34" i="168"/>
  <c r="L32" i="168"/>
  <c r="L143" i="168" s="1"/>
  <c r="L31" i="168"/>
  <c r="L30" i="168"/>
  <c r="L29" i="168"/>
  <c r="L28" i="168"/>
  <c r="L13" i="168"/>
  <c r="K13" i="168"/>
  <c r="O13" i="168" s="1"/>
  <c r="O25" i="168" s="1"/>
  <c r="V152" i="168"/>
  <c r="T151" i="168"/>
  <c r="S151" i="168"/>
  <c r="N151" i="168"/>
  <c r="K151" i="168"/>
  <c r="T150" i="168"/>
  <c r="S150" i="168"/>
  <c r="R150" i="168"/>
  <c r="Q150" i="168"/>
  <c r="P150" i="168"/>
  <c r="O150" i="168"/>
  <c r="N150" i="168"/>
  <c r="K150" i="168"/>
  <c r="T149" i="168"/>
  <c r="S149" i="168"/>
  <c r="Q149" i="168"/>
  <c r="O149" i="168"/>
  <c r="K149" i="168"/>
  <c r="T148" i="168"/>
  <c r="S148" i="168"/>
  <c r="N148" i="168"/>
  <c r="K148" i="168"/>
  <c r="T147" i="168"/>
  <c r="S147" i="168"/>
  <c r="N147" i="168"/>
  <c r="K147" i="168"/>
  <c r="T146" i="168"/>
  <c r="S146" i="168"/>
  <c r="N146" i="168"/>
  <c r="K146" i="168"/>
  <c r="T145" i="168"/>
  <c r="S145" i="168"/>
  <c r="Q145" i="168"/>
  <c r="O145" i="168"/>
  <c r="K145" i="168"/>
  <c r="T143" i="168"/>
  <c r="S143" i="168"/>
  <c r="R143" i="168"/>
  <c r="Q143" i="168"/>
  <c r="P143" i="168"/>
  <c r="O143" i="168"/>
  <c r="N143" i="168"/>
  <c r="K143" i="168"/>
  <c r="T142" i="168"/>
  <c r="S142" i="168"/>
  <c r="O142" i="168"/>
  <c r="K142" i="168"/>
  <c r="T141" i="168"/>
  <c r="S141" i="168"/>
  <c r="O141" i="168"/>
  <c r="K141" i="168"/>
  <c r="T140" i="168"/>
  <c r="S140" i="168"/>
  <c r="O140" i="168"/>
  <c r="K140" i="168"/>
  <c r="T139" i="168"/>
  <c r="S139" i="168"/>
  <c r="O139" i="168"/>
  <c r="K139" i="168"/>
  <c r="V136" i="168"/>
  <c r="C135" i="168"/>
  <c r="C134" i="168"/>
  <c r="T133" i="168"/>
  <c r="S133" i="168"/>
  <c r="N133" i="168"/>
  <c r="K133" i="168"/>
  <c r="T132" i="168"/>
  <c r="S132" i="168"/>
  <c r="N132" i="168"/>
  <c r="O151" i="168"/>
  <c r="U116" i="168"/>
  <c r="W116" i="168" s="1"/>
  <c r="O148" i="168"/>
  <c r="K90" i="168"/>
  <c r="U58" i="168"/>
  <c r="W58" i="168" s="1"/>
  <c r="C58" i="168"/>
  <c r="U52" i="168"/>
  <c r="W52" i="168" s="1"/>
  <c r="C52" i="168"/>
  <c r="C150" i="168" s="1"/>
  <c r="U36" i="168"/>
  <c r="W36" i="168" s="1"/>
  <c r="C36" i="168"/>
  <c r="U35" i="168"/>
  <c r="W35" i="168" s="1"/>
  <c r="C35" i="168"/>
  <c r="U34" i="168"/>
  <c r="W34" i="168" s="1"/>
  <c r="U32" i="168"/>
  <c r="W32" i="168" s="1"/>
  <c r="C32" i="168"/>
  <c r="U31" i="168"/>
  <c r="W31" i="168" s="1"/>
  <c r="C31" i="168"/>
  <c r="U30" i="168"/>
  <c r="W30" i="168" s="1"/>
  <c r="C30" i="168"/>
  <c r="U29" i="168"/>
  <c r="W29" i="168" s="1"/>
  <c r="C29" i="168"/>
  <c r="U28" i="168"/>
  <c r="W28" i="168" s="1"/>
  <c r="C28" i="168"/>
  <c r="J25" i="168"/>
  <c r="I25" i="168"/>
  <c r="D25" i="168"/>
  <c r="B2" i="168"/>
  <c r="S97" i="73"/>
  <c r="S96" i="73"/>
  <c r="S95" i="73"/>
  <c r="S94" i="73"/>
  <c r="S93" i="73"/>
  <c r="S92" i="73"/>
  <c r="S91" i="73"/>
  <c r="S89" i="73"/>
  <c r="S88" i="73"/>
  <c r="S87" i="73"/>
  <c r="S86" i="73"/>
  <c r="S85" i="73"/>
  <c r="S82" i="73"/>
  <c r="S79" i="73"/>
  <c r="S78" i="73"/>
  <c r="R97" i="73"/>
  <c r="R96" i="73"/>
  <c r="R95" i="73"/>
  <c r="R94" i="73"/>
  <c r="R93" i="73"/>
  <c r="R92" i="73"/>
  <c r="R91" i="73"/>
  <c r="R89" i="73"/>
  <c r="R88" i="73"/>
  <c r="R87" i="73"/>
  <c r="R86" i="73"/>
  <c r="R85" i="73"/>
  <c r="R79" i="73"/>
  <c r="R78" i="73"/>
  <c r="R82" i="73" s="1"/>
  <c r="Q96" i="73"/>
  <c r="Q89" i="73"/>
  <c r="Q78" i="73"/>
  <c r="P96" i="73"/>
  <c r="P95" i="73"/>
  <c r="P91" i="73"/>
  <c r="P89" i="73"/>
  <c r="O96" i="73"/>
  <c r="O89" i="73"/>
  <c r="O78" i="73"/>
  <c r="N97" i="73"/>
  <c r="N96" i="73"/>
  <c r="N95" i="73"/>
  <c r="N94" i="73"/>
  <c r="N93" i="73"/>
  <c r="N92" i="73"/>
  <c r="N91" i="73"/>
  <c r="N89" i="73"/>
  <c r="N88" i="73"/>
  <c r="N87" i="73"/>
  <c r="N86" i="73"/>
  <c r="N85" i="73"/>
  <c r="N79" i="73"/>
  <c r="M97" i="73"/>
  <c r="M96" i="73"/>
  <c r="M94" i="73"/>
  <c r="M93" i="73"/>
  <c r="M92" i="73"/>
  <c r="M89" i="73"/>
  <c r="M79" i="73"/>
  <c r="M82" i="73" s="1"/>
  <c r="M78" i="73"/>
  <c r="L96" i="73"/>
  <c r="L89" i="73"/>
  <c r="L78" i="73"/>
  <c r="K97" i="73"/>
  <c r="K96" i="73"/>
  <c r="K95" i="73"/>
  <c r="K94" i="73"/>
  <c r="K93" i="73"/>
  <c r="K92" i="73"/>
  <c r="K91" i="73"/>
  <c r="K89" i="73"/>
  <c r="K88" i="73"/>
  <c r="K87" i="73"/>
  <c r="K86" i="73"/>
  <c r="K85" i="73"/>
  <c r="K79" i="73"/>
  <c r="K82" i="73" s="1"/>
  <c r="K78" i="73"/>
  <c r="C96" i="73"/>
  <c r="C81" i="73"/>
  <c r="C80" i="73"/>
  <c r="H100" i="73"/>
  <c r="U98" i="73"/>
  <c r="U100" i="73" s="1"/>
  <c r="J98" i="73"/>
  <c r="J100" i="73" s="1"/>
  <c r="I98" i="73"/>
  <c r="I100" i="73" s="1"/>
  <c r="H98" i="73"/>
  <c r="G98" i="73"/>
  <c r="G100" i="73" s="1"/>
  <c r="F98" i="73"/>
  <c r="F100" i="73" s="1"/>
  <c r="E98" i="73"/>
  <c r="D98" i="73"/>
  <c r="U82" i="73"/>
  <c r="J82" i="73"/>
  <c r="I82" i="73"/>
  <c r="H82" i="73"/>
  <c r="G82" i="73"/>
  <c r="F82" i="73"/>
  <c r="E82" i="73"/>
  <c r="E100" i="73" s="1"/>
  <c r="D82" i="73"/>
  <c r="D100" i="73" s="1"/>
  <c r="W66" i="73"/>
  <c r="K35" i="167"/>
  <c r="J35" i="167"/>
  <c r="I35" i="167"/>
  <c r="H35" i="167"/>
  <c r="G35" i="167"/>
  <c r="E52" i="166"/>
  <c r="V28" i="167"/>
  <c r="U28" i="167"/>
  <c r="T28" i="167"/>
  <c r="S28" i="167"/>
  <c r="Q28" i="167"/>
  <c r="P28" i="167"/>
  <c r="F28" i="167"/>
  <c r="E28" i="167"/>
  <c r="K33" i="167"/>
  <c r="J33" i="167"/>
  <c r="I33" i="167"/>
  <c r="H33" i="167"/>
  <c r="G33" i="167"/>
  <c r="R25" i="167"/>
  <c r="K25" i="167"/>
  <c r="J25" i="167"/>
  <c r="I25" i="167"/>
  <c r="H25" i="167"/>
  <c r="G25" i="167"/>
  <c r="P13" i="167"/>
  <c r="P16" i="167" s="1"/>
  <c r="P7" i="167"/>
  <c r="P21" i="167" s="1"/>
  <c r="P6" i="167"/>
  <c r="P10" i="167" s="1"/>
  <c r="P24" i="167" s="1"/>
  <c r="E13" i="167"/>
  <c r="E14" i="167" s="1"/>
  <c r="E6" i="167"/>
  <c r="E9" i="167" s="1"/>
  <c r="E23" i="167" s="1"/>
  <c r="N48" i="73"/>
  <c r="L66" i="73"/>
  <c r="L48" i="73"/>
  <c r="U68" i="73"/>
  <c r="U70" i="73" s="1"/>
  <c r="S68" i="73"/>
  <c r="R68" i="73"/>
  <c r="R70" i="73" s="1"/>
  <c r="N68" i="73"/>
  <c r="K68" i="73"/>
  <c r="J68" i="73"/>
  <c r="J70" i="73" s="1"/>
  <c r="I68" i="73"/>
  <c r="I70" i="73" s="1"/>
  <c r="H68" i="73"/>
  <c r="G68" i="73"/>
  <c r="F68" i="73"/>
  <c r="F70" i="73" s="1"/>
  <c r="E68" i="73"/>
  <c r="D68" i="73"/>
  <c r="T66" i="73"/>
  <c r="V66" i="73" s="1"/>
  <c r="U52" i="73"/>
  <c r="S52" i="73"/>
  <c r="R52" i="73"/>
  <c r="M52" i="73"/>
  <c r="J52" i="73"/>
  <c r="I52" i="73"/>
  <c r="H52" i="73"/>
  <c r="H70" i="73" s="1"/>
  <c r="G52" i="73"/>
  <c r="G70" i="73" s="1"/>
  <c r="F52" i="73"/>
  <c r="E52" i="73"/>
  <c r="E70" i="73" s="1"/>
  <c r="D52" i="73"/>
  <c r="D70" i="73" s="1"/>
  <c r="K52" i="73"/>
  <c r="R98" i="73" l="1"/>
  <c r="R100" i="73" s="1"/>
  <c r="K98" i="73"/>
  <c r="S98" i="73"/>
  <c r="S100" i="73" s="1"/>
  <c r="P31" i="167"/>
  <c r="E29" i="167"/>
  <c r="O124" i="170"/>
  <c r="Q81" i="173"/>
  <c r="Q78" i="173" s="1"/>
  <c r="U78" i="173" s="1"/>
  <c r="W78" i="173" s="1"/>
  <c r="X78" i="173" s="1"/>
  <c r="G39" i="172"/>
  <c r="G55" i="172"/>
  <c r="G120" i="175"/>
  <c r="G61" i="175"/>
  <c r="G61" i="172"/>
  <c r="G49" i="172"/>
  <c r="Q81" i="175"/>
  <c r="Q78" i="175" s="1"/>
  <c r="U78" i="175" s="1"/>
  <c r="W78" i="175" s="1"/>
  <c r="X78" i="175" s="1"/>
  <c r="Q81" i="174"/>
  <c r="Q78" i="174" s="1"/>
  <c r="U78" i="174" s="1"/>
  <c r="W78" i="174" s="1"/>
  <c r="X78" i="174" s="1"/>
  <c r="Q81" i="172"/>
  <c r="Q78" i="172" s="1"/>
  <c r="G39" i="175"/>
  <c r="G55" i="175"/>
  <c r="G44" i="175"/>
  <c r="G44" i="172"/>
  <c r="G49" i="175"/>
  <c r="Q16" i="175"/>
  <c r="Q13" i="175" s="1"/>
  <c r="Q16" i="172"/>
  <c r="Q13" i="172" s="1"/>
  <c r="Q16" i="173"/>
  <c r="Q13" i="173" s="1"/>
  <c r="Q16" i="174"/>
  <c r="Q13" i="174" s="1"/>
  <c r="G49" i="170"/>
  <c r="G39" i="170"/>
  <c r="G61" i="169"/>
  <c r="G44" i="169"/>
  <c r="G86" i="168"/>
  <c r="G61" i="168"/>
  <c r="G44" i="168"/>
  <c r="G81" i="170"/>
  <c r="Q81" i="170" s="1"/>
  <c r="Q78" i="170" s="1"/>
  <c r="G120" i="171"/>
  <c r="G55" i="170"/>
  <c r="G81" i="168"/>
  <c r="Q81" i="168" s="1"/>
  <c r="Q78" i="168" s="1"/>
  <c r="U78" i="168" s="1"/>
  <c r="W78" i="168" s="1"/>
  <c r="X78" i="168" s="1"/>
  <c r="G86" i="169"/>
  <c r="G55" i="171"/>
  <c r="G49" i="171"/>
  <c r="G120" i="168"/>
  <c r="G39" i="171"/>
  <c r="G61" i="171"/>
  <c r="G44" i="171"/>
  <c r="G49" i="168"/>
  <c r="G55" i="168"/>
  <c r="G39" i="168"/>
  <c r="G103" i="169"/>
  <c r="G120" i="169"/>
  <c r="G44" i="170"/>
  <c r="G55" i="169"/>
  <c r="G49" i="169"/>
  <c r="G39" i="169"/>
  <c r="G61" i="170"/>
  <c r="G113" i="171"/>
  <c r="G81" i="171"/>
  <c r="Q81" i="171" s="1"/>
  <c r="Q78" i="171" s="1"/>
  <c r="U78" i="171" s="1"/>
  <c r="G86" i="170"/>
  <c r="G21" i="170"/>
  <c r="G16" i="168"/>
  <c r="G120" i="170"/>
  <c r="G103" i="168"/>
  <c r="G108" i="170"/>
  <c r="G81" i="169"/>
  <c r="Q81" i="169" s="1"/>
  <c r="Q78" i="169" s="1"/>
  <c r="U78" i="169" s="1"/>
  <c r="W78" i="169" s="1"/>
  <c r="G21" i="168"/>
  <c r="G103" i="171"/>
  <c r="G108" i="169"/>
  <c r="G86" i="171"/>
  <c r="G113" i="168"/>
  <c r="G113" i="169"/>
  <c r="G16" i="170"/>
  <c r="Q16" i="170" s="1"/>
  <c r="Q13" i="170" s="1"/>
  <c r="U13" i="170" s="1"/>
  <c r="G103" i="170"/>
  <c r="G108" i="171"/>
  <c r="G16" i="171"/>
  <c r="Q16" i="171" s="1"/>
  <c r="Q13" i="171" s="1"/>
  <c r="U13" i="171" s="1"/>
  <c r="W13" i="171" s="1"/>
  <c r="G113" i="170"/>
  <c r="G16" i="169"/>
  <c r="Q16" i="169" s="1"/>
  <c r="Q13" i="169" s="1"/>
  <c r="G108" i="168"/>
  <c r="G21" i="171"/>
  <c r="G21" i="169"/>
  <c r="N98" i="73"/>
  <c r="O154" i="169"/>
  <c r="O155" i="169" s="1"/>
  <c r="O124" i="171"/>
  <c r="O152" i="171"/>
  <c r="O154" i="171" s="1"/>
  <c r="P132" i="170"/>
  <c r="R132" i="170"/>
  <c r="O152" i="170"/>
  <c r="O154" i="170" s="1"/>
  <c r="O155" i="170" s="1"/>
  <c r="R132" i="169"/>
  <c r="P132" i="169"/>
  <c r="C34" i="168"/>
  <c r="M13" i="168"/>
  <c r="M14" i="168" s="1"/>
  <c r="Q14" i="168" s="1"/>
  <c r="C27" i="168"/>
  <c r="C63" i="168" s="1"/>
  <c r="K132" i="168"/>
  <c r="K136" i="168" s="1"/>
  <c r="L132" i="168"/>
  <c r="T124" i="168"/>
  <c r="S136" i="168"/>
  <c r="V124" i="168"/>
  <c r="S65" i="168"/>
  <c r="I65" i="168"/>
  <c r="T65" i="168"/>
  <c r="K25" i="168"/>
  <c r="K65" i="168" s="1"/>
  <c r="L149" i="67" s="1"/>
  <c r="V65" i="168"/>
  <c r="S124" i="168"/>
  <c r="N65" i="168"/>
  <c r="D65" i="168"/>
  <c r="G65" i="168"/>
  <c r="T136" i="168"/>
  <c r="K152" i="168"/>
  <c r="J65" i="168"/>
  <c r="S152" i="168"/>
  <c r="O146" i="168"/>
  <c r="U150" i="168"/>
  <c r="W150" i="168" s="1"/>
  <c r="K124" i="168"/>
  <c r="N136" i="168"/>
  <c r="H65" i="168"/>
  <c r="F65" i="168"/>
  <c r="V154" i="168"/>
  <c r="E65" i="168"/>
  <c r="X116" i="168"/>
  <c r="O133" i="168"/>
  <c r="O147" i="168"/>
  <c r="T152" i="168"/>
  <c r="L150" i="168"/>
  <c r="T96" i="73"/>
  <c r="V96" i="73" s="1"/>
  <c r="W96" i="73" s="1"/>
  <c r="K100" i="73"/>
  <c r="S70" i="73"/>
  <c r="P8" i="167"/>
  <c r="P22" i="167" s="1"/>
  <c r="P9" i="167"/>
  <c r="P23" i="167" s="1"/>
  <c r="P15" i="167"/>
  <c r="P30" i="167" s="1"/>
  <c r="P17" i="167"/>
  <c r="P32" i="167" s="1"/>
  <c r="P14" i="167"/>
  <c r="E16" i="167"/>
  <c r="E31" i="167" s="1"/>
  <c r="E15" i="167"/>
  <c r="E30" i="167" s="1"/>
  <c r="E17" i="167"/>
  <c r="E32" i="167" s="1"/>
  <c r="E8" i="167"/>
  <c r="E22" i="167" s="1"/>
  <c r="E10" i="167"/>
  <c r="E24" i="167" s="1"/>
  <c r="E7" i="167"/>
  <c r="E21" i="167" s="1"/>
  <c r="K70" i="73"/>
  <c r="N52" i="73"/>
  <c r="N70" i="73" s="1"/>
  <c r="T32" i="73"/>
  <c r="V32" i="73" s="1"/>
  <c r="T31" i="73"/>
  <c r="V31" i="73" s="1"/>
  <c r="T29" i="73"/>
  <c r="V29" i="73" s="1"/>
  <c r="T28" i="73"/>
  <c r="V28" i="73" s="1"/>
  <c r="T27" i="73"/>
  <c r="V27" i="73" s="1"/>
  <c r="T26" i="73"/>
  <c r="V26" i="73" s="1"/>
  <c r="T25" i="73"/>
  <c r="V25" i="73" s="1"/>
  <c r="T24" i="73"/>
  <c r="V24" i="73" s="1"/>
  <c r="T23" i="73"/>
  <c r="V23" i="73" s="1"/>
  <c r="T22" i="73"/>
  <c r="V22" i="73" s="1"/>
  <c r="T21" i="73"/>
  <c r="V21" i="73" s="1"/>
  <c r="T20" i="73"/>
  <c r="V20" i="73" s="1"/>
  <c r="N13" i="73"/>
  <c r="N78" i="73" s="1"/>
  <c r="N82" i="73" s="1"/>
  <c r="Q132" i="170" l="1"/>
  <c r="U132" i="170" s="1"/>
  <c r="L148" i="67"/>
  <c r="L160" i="67" s="1"/>
  <c r="W134" i="151" s="1"/>
  <c r="W135" i="151" s="1"/>
  <c r="N100" i="73"/>
  <c r="Q132" i="173"/>
  <c r="M16" i="168"/>
  <c r="Q16" i="168" s="1"/>
  <c r="Q132" i="172"/>
  <c r="U78" i="172"/>
  <c r="W78" i="172" s="1"/>
  <c r="X78" i="172" s="1"/>
  <c r="M132" i="168"/>
  <c r="Q132" i="175"/>
  <c r="Q132" i="174"/>
  <c r="Q132" i="171"/>
  <c r="U132" i="171" s="1"/>
  <c r="U78" i="170"/>
  <c r="W78" i="170" s="1"/>
  <c r="E25" i="167"/>
  <c r="P25" i="167"/>
  <c r="E33" i="167"/>
  <c r="P29" i="167"/>
  <c r="P33" i="167" s="1"/>
  <c r="O155" i="171"/>
  <c r="X13" i="171"/>
  <c r="D74" i="106" s="1"/>
  <c r="W78" i="171"/>
  <c r="W13" i="170"/>
  <c r="X78" i="169"/>
  <c r="Q132" i="169"/>
  <c r="U13" i="169"/>
  <c r="M15" i="168"/>
  <c r="Q15" i="168" s="1"/>
  <c r="M17" i="168"/>
  <c r="Q17" i="168" s="1"/>
  <c r="R13" i="168"/>
  <c r="R132" i="168" s="1"/>
  <c r="P13" i="168"/>
  <c r="O132" i="168"/>
  <c r="O136" i="168" s="1"/>
  <c r="V155" i="168"/>
  <c r="O65" i="168"/>
  <c r="S154" i="168"/>
  <c r="S155" i="168" s="1"/>
  <c r="O124" i="168"/>
  <c r="T154" i="168"/>
  <c r="T155" i="168" s="1"/>
  <c r="X150" i="168"/>
  <c r="K154" i="168"/>
  <c r="O152" i="168"/>
  <c r="L159" i="67" l="1"/>
  <c r="L134" i="151" s="1"/>
  <c r="L135" i="151" s="1"/>
  <c r="P35" i="167"/>
  <c r="P48" i="73" s="1"/>
  <c r="T48" i="73" s="1"/>
  <c r="E35" i="167"/>
  <c r="P13" i="73" s="1"/>
  <c r="T13" i="73" s="1"/>
  <c r="V13" i="73" s="1"/>
  <c r="X78" i="171"/>
  <c r="W132" i="171"/>
  <c r="X13" i="170"/>
  <c r="D62" i="106" s="1"/>
  <c r="X78" i="170"/>
  <c r="W132" i="170"/>
  <c r="U132" i="169"/>
  <c r="W13" i="169"/>
  <c r="Q13" i="168"/>
  <c r="U13" i="168" s="1"/>
  <c r="W13" i="168" s="1"/>
  <c r="P132" i="168"/>
  <c r="O154" i="168"/>
  <c r="O155" i="168" s="1"/>
  <c r="P78" i="73" l="1"/>
  <c r="T78" i="73" s="1"/>
  <c r="Q132" i="168"/>
  <c r="U132" i="168" s="1"/>
  <c r="W132" i="168" s="1"/>
  <c r="X132" i="168" s="1"/>
  <c r="W132" i="169"/>
  <c r="X132" i="169" s="1"/>
  <c r="V48" i="73"/>
  <c r="X132" i="171"/>
  <c r="X132" i="170"/>
  <c r="X13" i="169"/>
  <c r="D50" i="106" s="1"/>
  <c r="X13" i="168"/>
  <c r="D38" i="106" s="1"/>
  <c r="W48" i="73" l="1"/>
  <c r="V78" i="73"/>
  <c r="K13" i="73"/>
  <c r="W78" i="73" l="1"/>
  <c r="L32" i="73" l="1"/>
  <c r="L31" i="73"/>
  <c r="L29" i="73"/>
  <c r="L28" i="73"/>
  <c r="L27" i="73"/>
  <c r="L26" i="73"/>
  <c r="L25" i="73"/>
  <c r="L24" i="73"/>
  <c r="L23" i="73"/>
  <c r="L22" i="73"/>
  <c r="L21" i="73"/>
  <c r="L20" i="73"/>
  <c r="L13" i="73"/>
  <c r="W13" i="73" s="1"/>
  <c r="U17" i="73" l="1"/>
  <c r="S17" i="73"/>
  <c r="R17" i="73"/>
  <c r="N17" i="73"/>
  <c r="M17" i="73"/>
  <c r="K17" i="73"/>
  <c r="J17" i="73"/>
  <c r="I17" i="73"/>
  <c r="H17" i="73"/>
  <c r="G17" i="73"/>
  <c r="F17" i="73"/>
  <c r="E17" i="73"/>
  <c r="E35" i="73" s="1"/>
  <c r="D17" i="73"/>
  <c r="U33" i="73"/>
  <c r="S33" i="73"/>
  <c r="S35" i="73" s="1"/>
  <c r="S101" i="73" s="1"/>
  <c r="R33" i="73"/>
  <c r="P33" i="73"/>
  <c r="N33" i="73"/>
  <c r="K33" i="73"/>
  <c r="J33" i="73"/>
  <c r="J35" i="73" s="1"/>
  <c r="I33" i="73"/>
  <c r="H33" i="73"/>
  <c r="H35" i="73" s="1"/>
  <c r="G33" i="73"/>
  <c r="F33" i="73"/>
  <c r="E33" i="73"/>
  <c r="D33" i="73"/>
  <c r="C32" i="73"/>
  <c r="C31" i="73"/>
  <c r="C30" i="73"/>
  <c r="M30" i="73" s="1"/>
  <c r="M33" i="73" s="1"/>
  <c r="C29" i="73"/>
  <c r="C28" i="73"/>
  <c r="C27" i="73"/>
  <c r="C26" i="73"/>
  <c r="C25" i="73"/>
  <c r="C24" i="73"/>
  <c r="C23" i="73"/>
  <c r="C22" i="73"/>
  <c r="C21" i="73"/>
  <c r="C20" i="73"/>
  <c r="B2" i="73"/>
  <c r="B2" i="76"/>
  <c r="B2" i="114"/>
  <c r="B2" i="150"/>
  <c r="I41" i="76"/>
  <c r="H41" i="76"/>
  <c r="G41" i="76"/>
  <c r="G42" i="76" s="1"/>
  <c r="F41" i="76"/>
  <c r="E41" i="76"/>
  <c r="E34" i="76"/>
  <c r="I39" i="76"/>
  <c r="H39" i="76"/>
  <c r="G39" i="76"/>
  <c r="F39" i="76"/>
  <c r="E39" i="76"/>
  <c r="I32" i="76"/>
  <c r="H32" i="76"/>
  <c r="G32" i="76"/>
  <c r="F32" i="76"/>
  <c r="E32" i="76"/>
  <c r="I17" i="76"/>
  <c r="H17" i="76"/>
  <c r="G17" i="76"/>
  <c r="F17" i="76"/>
  <c r="E16" i="76"/>
  <c r="E11" i="76"/>
  <c r="B16" i="76"/>
  <c r="B17" i="76" s="1"/>
  <c r="B18" i="76" s="1"/>
  <c r="B19" i="76" s="1"/>
  <c r="F35" i="73" l="1"/>
  <c r="I35" i="73"/>
  <c r="F42" i="76"/>
  <c r="E42" i="76"/>
  <c r="R35" i="73"/>
  <c r="R101" i="73" s="1"/>
  <c r="C33" i="73"/>
  <c r="G35" i="73"/>
  <c r="U35" i="73"/>
  <c r="U101" i="73" s="1"/>
  <c r="H42" i="76"/>
  <c r="I42" i="76"/>
  <c r="E35" i="76"/>
  <c r="K35" i="73"/>
  <c r="K149" i="67" s="1"/>
  <c r="N35" i="73"/>
  <c r="N101" i="73" s="1"/>
  <c r="M35" i="73"/>
  <c r="D35" i="73"/>
  <c r="K148" i="67" l="1"/>
  <c r="K160" i="67" s="1"/>
  <c r="V134" i="151" s="1"/>
  <c r="V135" i="151" s="1"/>
  <c r="E7" i="76"/>
  <c r="E9" i="76" s="1"/>
  <c r="F73" i="150"/>
  <c r="E73" i="150"/>
  <c r="F41" i="150"/>
  <c r="E37" i="150"/>
  <c r="F37" i="150"/>
  <c r="F36" i="150"/>
  <c r="F38" i="150" s="1"/>
  <c r="F30" i="150"/>
  <c r="F60" i="150" s="1"/>
  <c r="F77" i="150"/>
  <c r="F65" i="150"/>
  <c r="F70" i="150" s="1"/>
  <c r="F57" i="150"/>
  <c r="F52" i="150"/>
  <c r="F50" i="150"/>
  <c r="F45" i="150"/>
  <c r="F40" i="150"/>
  <c r="E77" i="150"/>
  <c r="E65" i="150"/>
  <c r="E70" i="150" s="1"/>
  <c r="E60" i="150"/>
  <c r="E57" i="150"/>
  <c r="E52" i="150"/>
  <c r="E50" i="150"/>
  <c r="E45" i="150"/>
  <c r="E40" i="150"/>
  <c r="E38" i="150"/>
  <c r="E36" i="150"/>
  <c r="E30" i="150"/>
  <c r="E18" i="58"/>
  <c r="E99" i="58" s="1"/>
  <c r="D30" i="114"/>
  <c r="D49" i="114" s="1"/>
  <c r="D51" i="114" s="1"/>
  <c r="E46" i="114" s="1"/>
  <c r="D13" i="114"/>
  <c r="D47" i="114"/>
  <c r="D48" i="114"/>
  <c r="D29" i="114"/>
  <c r="D15" i="114"/>
  <c r="D16" i="114" s="1"/>
  <c r="E10" i="114"/>
  <c r="D12" i="114"/>
  <c r="B47" i="114"/>
  <c r="B48" i="114" s="1"/>
  <c r="B49" i="114" s="1"/>
  <c r="B50" i="114" s="1"/>
  <c r="B51" i="114" s="1"/>
  <c r="B52" i="114" s="1"/>
  <c r="D30" i="96"/>
  <c r="E25" i="96" s="1"/>
  <c r="D16" i="96"/>
  <c r="E11" i="96" s="1"/>
  <c r="E16" i="96" s="1"/>
  <c r="F11" i="96" s="1"/>
  <c r="E39" i="96"/>
  <c r="E26" i="96" s="1"/>
  <c r="D39" i="96"/>
  <c r="D12" i="96" s="1"/>
  <c r="D13" i="96" s="1"/>
  <c r="P55" i="58"/>
  <c r="O55" i="58"/>
  <c r="N55" i="58"/>
  <c r="M55" i="58"/>
  <c r="L55" i="58"/>
  <c r="K55" i="58"/>
  <c r="J55" i="58"/>
  <c r="I55" i="58"/>
  <c r="H55" i="58"/>
  <c r="G55" i="58"/>
  <c r="F55" i="58"/>
  <c r="E55" i="58"/>
  <c r="P17" i="58"/>
  <c r="O17" i="58"/>
  <c r="O98" i="58" s="1"/>
  <c r="N17" i="58"/>
  <c r="N98" i="58" s="1"/>
  <c r="M17" i="58"/>
  <c r="M98" i="58" s="1"/>
  <c r="L17" i="58"/>
  <c r="L98" i="58" s="1"/>
  <c r="K17" i="58"/>
  <c r="K98" i="58" s="1"/>
  <c r="J17" i="58"/>
  <c r="J98" i="58" s="1"/>
  <c r="I17" i="58"/>
  <c r="I98" i="58" s="1"/>
  <c r="H17" i="58"/>
  <c r="G17" i="58"/>
  <c r="G98" i="58" s="1"/>
  <c r="F17" i="58"/>
  <c r="F98" i="58" s="1"/>
  <c r="E17" i="58"/>
  <c r="B2" i="96"/>
  <c r="E16" i="75"/>
  <c r="E39" i="75" s="1"/>
  <c r="D16" i="75"/>
  <c r="D39" i="75" s="1"/>
  <c r="O48" i="75"/>
  <c r="N48" i="75"/>
  <c r="M48" i="75"/>
  <c r="L48" i="75"/>
  <c r="K48" i="75"/>
  <c r="O47" i="75"/>
  <c r="N47" i="75"/>
  <c r="M47" i="75"/>
  <c r="L47" i="75"/>
  <c r="K47" i="75"/>
  <c r="J47" i="75"/>
  <c r="I47" i="75"/>
  <c r="H47" i="75"/>
  <c r="G47" i="75"/>
  <c r="E47" i="75"/>
  <c r="D47" i="75"/>
  <c r="O44" i="75"/>
  <c r="N44" i="75"/>
  <c r="M44" i="75"/>
  <c r="L44" i="75"/>
  <c r="K44" i="75"/>
  <c r="J44" i="75"/>
  <c r="I44" i="75"/>
  <c r="H44" i="75"/>
  <c r="G44" i="75"/>
  <c r="F44" i="75"/>
  <c r="E44" i="75"/>
  <c r="D44" i="75"/>
  <c r="O23" i="75"/>
  <c r="O46" i="75" s="1"/>
  <c r="N23" i="75"/>
  <c r="N46" i="75" s="1"/>
  <c r="M23" i="75"/>
  <c r="M46" i="75" s="1"/>
  <c r="L23" i="75"/>
  <c r="L46" i="75" s="1"/>
  <c r="K23" i="75"/>
  <c r="K46" i="75" s="1"/>
  <c r="J23" i="75"/>
  <c r="J46" i="75" s="1"/>
  <c r="E23" i="75"/>
  <c r="E46" i="75" s="1"/>
  <c r="D23" i="75"/>
  <c r="D46" i="75" s="1"/>
  <c r="E22" i="75"/>
  <c r="E45" i="75" s="1"/>
  <c r="D22" i="75"/>
  <c r="D45" i="75" s="1"/>
  <c r="O24" i="75"/>
  <c r="N24" i="75"/>
  <c r="M24" i="75"/>
  <c r="L24" i="75"/>
  <c r="K24" i="75"/>
  <c r="J24" i="75"/>
  <c r="I24" i="75"/>
  <c r="H24" i="75"/>
  <c r="G24" i="75"/>
  <c r="E24" i="75"/>
  <c r="D24" i="75"/>
  <c r="J69" i="75"/>
  <c r="F62" i="75"/>
  <c r="F16" i="75" s="1"/>
  <c r="F39" i="75" s="1"/>
  <c r="F69" i="75"/>
  <c r="F23" i="75" s="1"/>
  <c r="F46" i="75" s="1"/>
  <c r="F70" i="75"/>
  <c r="F68" i="75"/>
  <c r="F22" i="75" s="1"/>
  <c r="F45" i="75" s="1"/>
  <c r="K159" i="67" l="1"/>
  <c r="K134" i="151" s="1"/>
  <c r="K135" i="151" s="1"/>
  <c r="E12" i="96"/>
  <c r="E13" i="96" s="1"/>
  <c r="F24" i="75"/>
  <c r="F47" i="75" s="1"/>
  <c r="D26" i="96"/>
  <c r="D27" i="96" s="1"/>
  <c r="H98" i="58"/>
  <c r="P98" i="58"/>
  <c r="E98" i="58"/>
  <c r="D32" i="114"/>
  <c r="D52" i="114"/>
  <c r="E27" i="96"/>
  <c r="E30" i="96"/>
  <c r="F25" i="96" s="1"/>
  <c r="F16" i="96"/>
  <c r="G11" i="96" s="1"/>
  <c r="F64" i="75"/>
  <c r="F18" i="75" s="1"/>
  <c r="F41" i="75" s="1"/>
  <c r="E64" i="75"/>
  <c r="E18" i="75" s="1"/>
  <c r="E41" i="75" s="1"/>
  <c r="F71" i="75"/>
  <c r="F48" i="75" s="1"/>
  <c r="F59" i="75"/>
  <c r="F13" i="75" s="1"/>
  <c r="F36" i="75" s="1"/>
  <c r="F58" i="75"/>
  <c r="E71" i="75"/>
  <c r="E48" i="75" s="1"/>
  <c r="E59" i="75"/>
  <c r="E13" i="75" s="1"/>
  <c r="E36" i="75" s="1"/>
  <c r="E58" i="75"/>
  <c r="D58" i="75"/>
  <c r="D59" i="75"/>
  <c r="D13" i="75" s="1"/>
  <c r="D36" i="75" s="1"/>
  <c r="D71" i="75"/>
  <c r="D48" i="75" s="1"/>
  <c r="B60" i="75"/>
  <c r="B61" i="75"/>
  <c r="B62" i="75"/>
  <c r="B63" i="75"/>
  <c r="B64" i="75" s="1"/>
  <c r="B65" i="75" s="1"/>
  <c r="B66" i="75" s="1"/>
  <c r="B67" i="75" s="1"/>
  <c r="B68" i="75" s="1"/>
  <c r="B69" i="75" s="1"/>
  <c r="B70" i="75" s="1"/>
  <c r="B71" i="75" s="1"/>
  <c r="D64" i="75"/>
  <c r="D18" i="75" s="1"/>
  <c r="D41" i="75" s="1"/>
  <c r="B2" i="75"/>
  <c r="B57" i="75"/>
  <c r="B58" i="75" s="1"/>
  <c r="B59" i="75" s="1"/>
  <c r="B34" i="75"/>
  <c r="B35" i="75" s="1"/>
  <c r="B36" i="75" s="1"/>
  <c r="B37" i="75" s="1"/>
  <c r="B38" i="75" s="1"/>
  <c r="B39" i="75" s="1"/>
  <c r="B40" i="75" s="1"/>
  <c r="B41" i="75" s="1"/>
  <c r="B42" i="75" s="1"/>
  <c r="B43" i="75" s="1"/>
  <c r="B44" i="75" s="1"/>
  <c r="B45" i="75" s="1"/>
  <c r="B46" i="75" s="1"/>
  <c r="B47" i="75" s="1"/>
  <c r="B48" i="75" s="1"/>
  <c r="B11" i="75"/>
  <c r="B12" i="75" s="1"/>
  <c r="B13" i="75" s="1"/>
  <c r="B14" i="75" s="1"/>
  <c r="B15" i="75" s="1"/>
  <c r="B16" i="75" s="1"/>
  <c r="B17" i="75" s="1"/>
  <c r="B18" i="75" s="1"/>
  <c r="B19" i="75" s="1"/>
  <c r="B20" i="75" s="1"/>
  <c r="I39" i="157" l="1"/>
  <c r="F39" i="157"/>
  <c r="D12" i="75"/>
  <c r="D72" i="75"/>
  <c r="F65" i="157" s="1"/>
  <c r="F72" i="75"/>
  <c r="L65" i="157" s="1"/>
  <c r="M65" i="157" s="1"/>
  <c r="F12" i="75"/>
  <c r="E72" i="75"/>
  <c r="I65" i="157" s="1"/>
  <c r="J65" i="157" s="1"/>
  <c r="E12" i="75"/>
  <c r="E27" i="114"/>
  <c r="D33" i="114"/>
  <c r="F30" i="96"/>
  <c r="G25" i="96" s="1"/>
  <c r="G16" i="96"/>
  <c r="H11" i="96" s="1"/>
  <c r="L39" i="157"/>
  <c r="H121" i="55"/>
  <c r="H122" i="55" s="1"/>
  <c r="G121" i="55"/>
  <c r="G122" i="55" s="1"/>
  <c r="F121" i="55"/>
  <c r="F122" i="55" s="1"/>
  <c r="E121" i="55"/>
  <c r="E122" i="55" s="1"/>
  <c r="D121" i="55"/>
  <c r="D122" i="55" s="1"/>
  <c r="D102" i="55"/>
  <c r="H147" i="55"/>
  <c r="K61" i="151" s="1"/>
  <c r="G147" i="55"/>
  <c r="J61" i="151" s="1"/>
  <c r="F147" i="55"/>
  <c r="I61" i="151" s="1"/>
  <c r="E147" i="55"/>
  <c r="H61" i="151" s="1"/>
  <c r="D147" i="55"/>
  <c r="D149" i="55" s="1"/>
  <c r="E70" i="55" s="1"/>
  <c r="E35" i="75" l="1"/>
  <c r="E49" i="75" s="1"/>
  <c r="F66" i="58" s="1"/>
  <c r="E116" i="78" s="1"/>
  <c r="J116" i="78" s="1"/>
  <c r="E25" i="75"/>
  <c r="F24" i="58" s="1"/>
  <c r="E83" i="78" s="1"/>
  <c r="J83" i="78" s="1"/>
  <c r="D35" i="75"/>
  <c r="D49" i="75" s="1"/>
  <c r="E66" i="58" s="1"/>
  <c r="D25" i="75"/>
  <c r="F35" i="75"/>
  <c r="F49" i="75" s="1"/>
  <c r="F25" i="75"/>
  <c r="D103" i="55"/>
  <c r="G30" i="96"/>
  <c r="H25" i="96" s="1"/>
  <c r="H16" i="96"/>
  <c r="I11" i="96" s="1"/>
  <c r="G61" i="151"/>
  <c r="E148" i="55"/>
  <c r="E149" i="55" s="1"/>
  <c r="F70" i="55" s="1"/>
  <c r="F148" i="55"/>
  <c r="F149" i="55" s="1"/>
  <c r="G70" i="55" s="1"/>
  <c r="G148" i="55"/>
  <c r="G149" i="55" s="1"/>
  <c r="H70" i="55" s="1"/>
  <c r="H148" i="55"/>
  <c r="H149" i="55" s="1"/>
  <c r="I70" i="55" s="1"/>
  <c r="G66" i="58" l="1"/>
  <c r="E179" i="78" s="1"/>
  <c r="J179" i="78" s="1"/>
  <c r="T66" i="58"/>
  <c r="E53" i="78"/>
  <c r="J53" i="78" s="1"/>
  <c r="E73" i="75"/>
  <c r="F109" i="58"/>
  <c r="E24" i="58"/>
  <c r="E21" i="78" s="1"/>
  <c r="J21" i="78" s="1"/>
  <c r="D73" i="75"/>
  <c r="G24" i="58"/>
  <c r="F73" i="75"/>
  <c r="H30" i="96"/>
  <c r="I25" i="96" s="1"/>
  <c r="I16" i="96"/>
  <c r="J11" i="96" s="1"/>
  <c r="I75" i="55"/>
  <c r="H75" i="55"/>
  <c r="G75" i="55"/>
  <c r="F75" i="55"/>
  <c r="E75" i="55"/>
  <c r="G109" i="58" l="1"/>
  <c r="E146" i="78"/>
  <c r="J146" i="78" s="1"/>
  <c r="T24" i="58"/>
  <c r="T109" i="58" s="1"/>
  <c r="E109" i="58"/>
  <c r="E17" i="76"/>
  <c r="E18" i="76" s="1"/>
  <c r="E19" i="76" s="1"/>
  <c r="I30" i="96"/>
  <c r="J25" i="96" s="1"/>
  <c r="J16" i="96"/>
  <c r="K11" i="96" s="1"/>
  <c r="H140" i="55"/>
  <c r="G140" i="55"/>
  <c r="F140" i="55"/>
  <c r="H139" i="55"/>
  <c r="G139" i="55"/>
  <c r="F139" i="55"/>
  <c r="E139" i="55"/>
  <c r="D139" i="55"/>
  <c r="E140" i="55"/>
  <c r="D140" i="55"/>
  <c r="E141" i="55" l="1"/>
  <c r="F35" i="55" s="1"/>
  <c r="F12" i="76" s="1"/>
  <c r="F141" i="55"/>
  <c r="G35" i="55" s="1"/>
  <c r="J30" i="96"/>
  <c r="K25" i="96" s="1"/>
  <c r="K16" i="96"/>
  <c r="L11" i="96" s="1"/>
  <c r="D141" i="55"/>
  <c r="E35" i="55" s="1"/>
  <c r="E12" i="76" s="1"/>
  <c r="E13" i="76" s="1"/>
  <c r="E14" i="76" s="1"/>
  <c r="G141" i="55"/>
  <c r="H35" i="55" s="1"/>
  <c r="H141" i="55"/>
  <c r="I35" i="55" s="1"/>
  <c r="I12" i="76" l="1"/>
  <c r="H12" i="76"/>
  <c r="G12" i="76"/>
  <c r="K30" i="96"/>
  <c r="L25" i="96" s="1"/>
  <c r="L16" i="96"/>
  <c r="M11" i="96" s="1"/>
  <c r="I72" i="55"/>
  <c r="H72" i="55"/>
  <c r="G72" i="55"/>
  <c r="F72" i="55"/>
  <c r="E72" i="55"/>
  <c r="I69" i="55"/>
  <c r="H69" i="55"/>
  <c r="G69" i="55"/>
  <c r="F69" i="55"/>
  <c r="E69" i="55"/>
  <c r="I34" i="55"/>
  <c r="H34" i="55"/>
  <c r="G34" i="55"/>
  <c r="F34" i="55"/>
  <c r="E34" i="55"/>
  <c r="B86" i="55"/>
  <c r="B4" i="55"/>
  <c r="B3" i="61"/>
  <c r="B2" i="54"/>
  <c r="F56" i="55"/>
  <c r="F57" i="55" s="1"/>
  <c r="E56" i="55"/>
  <c r="E57" i="55" s="1"/>
  <c r="D56" i="55"/>
  <c r="D57" i="55" s="1"/>
  <c r="D58" i="55" s="1"/>
  <c r="F20" i="55"/>
  <c r="F21" i="55" s="1"/>
  <c r="E20" i="55"/>
  <c r="E21" i="55" s="1"/>
  <c r="D20" i="55"/>
  <c r="D21" i="55" s="1"/>
  <c r="H59" i="151"/>
  <c r="M58" i="151"/>
  <c r="H58" i="151"/>
  <c r="I97" i="61"/>
  <c r="H97" i="61"/>
  <c r="G97" i="61"/>
  <c r="F97" i="61"/>
  <c r="E97" i="61"/>
  <c r="I77" i="61"/>
  <c r="H77" i="61"/>
  <c r="G77" i="61"/>
  <c r="F77" i="61"/>
  <c r="E77" i="61"/>
  <c r="I59" i="151" l="1"/>
  <c r="H56" i="55" s="1"/>
  <c r="H57" i="55" s="1"/>
  <c r="F16" i="76"/>
  <c r="F18" i="76" s="1"/>
  <c r="N58" i="151"/>
  <c r="F34" i="76"/>
  <c r="F35" i="76" s="1"/>
  <c r="E102" i="55"/>
  <c r="I58" i="151"/>
  <c r="F11" i="76"/>
  <c r="F13" i="76" s="1"/>
  <c r="L30" i="96"/>
  <c r="M25" i="96" s="1"/>
  <c r="M16" i="96"/>
  <c r="N11" i="96" s="1"/>
  <c r="G56" i="55"/>
  <c r="G57" i="55" s="1"/>
  <c r="D22" i="55"/>
  <c r="G20" i="55"/>
  <c r="G21" i="55" s="1"/>
  <c r="G53" i="61"/>
  <c r="F53" i="61"/>
  <c r="F54" i="58" s="1"/>
  <c r="E105" i="78" s="1"/>
  <c r="J105" i="78" s="1"/>
  <c r="E53" i="61"/>
  <c r="E54" i="58" s="1"/>
  <c r="E42" i="78" s="1"/>
  <c r="J42" i="78" s="1"/>
  <c r="I42" i="61"/>
  <c r="H42" i="61"/>
  <c r="E42" i="61"/>
  <c r="E40" i="61"/>
  <c r="G28" i="61"/>
  <c r="F28" i="61"/>
  <c r="E28" i="61"/>
  <c r="J18" i="61"/>
  <c r="I18" i="61"/>
  <c r="H18" i="61"/>
  <c r="G18" i="61"/>
  <c r="F18" i="61"/>
  <c r="J110" i="61"/>
  <c r="J42" i="61" s="1"/>
  <c r="I110" i="61"/>
  <c r="H110" i="61"/>
  <c r="G110" i="61"/>
  <c r="G42" i="61" s="1"/>
  <c r="F110" i="61"/>
  <c r="F42" i="61" s="1"/>
  <c r="E110" i="61"/>
  <c r="E18" i="61" s="1"/>
  <c r="F152" i="157" s="1"/>
  <c r="K54" i="151"/>
  <c r="J54" i="151"/>
  <c r="J22" i="61" s="1"/>
  <c r="I54" i="151"/>
  <c r="I22" i="61" s="1"/>
  <c r="H54" i="151"/>
  <c r="H55" i="151" s="1"/>
  <c r="H140" i="58" s="1"/>
  <c r="G54" i="151"/>
  <c r="G55" i="151" s="1"/>
  <c r="G140" i="58" s="1"/>
  <c r="F54" i="151"/>
  <c r="F55" i="151" s="1"/>
  <c r="F140" i="58" s="1"/>
  <c r="D13" i="159"/>
  <c r="E16" i="61"/>
  <c r="G54" i="58" l="1"/>
  <c r="E168" i="78" s="1"/>
  <c r="J168" i="78" s="1"/>
  <c r="R152" i="157"/>
  <c r="I47" i="61"/>
  <c r="J47" i="61"/>
  <c r="U152" i="157"/>
  <c r="O152" i="157"/>
  <c r="F16" i="58"/>
  <c r="E76" i="78" s="1"/>
  <c r="J76" i="78" s="1"/>
  <c r="I104" i="157"/>
  <c r="E16" i="58"/>
  <c r="F104" i="157"/>
  <c r="I152" i="157"/>
  <c r="G16" i="58"/>
  <c r="L104" i="157"/>
  <c r="L152" i="157"/>
  <c r="T54" i="58"/>
  <c r="G160" i="58"/>
  <c r="G150" i="58"/>
  <c r="V140" i="58"/>
  <c r="H160" i="58"/>
  <c r="H150" i="58"/>
  <c r="W140" i="58"/>
  <c r="F160" i="58"/>
  <c r="F150" i="58"/>
  <c r="U140" i="58"/>
  <c r="E103" i="55"/>
  <c r="J58" i="151"/>
  <c r="G11" i="76"/>
  <c r="G13" i="76" s="1"/>
  <c r="H20" i="55"/>
  <c r="H21" i="55" s="1"/>
  <c r="O58" i="151"/>
  <c r="G34" i="76"/>
  <c r="G35" i="76" s="1"/>
  <c r="F102" i="55"/>
  <c r="J59" i="151"/>
  <c r="G16" i="76"/>
  <c r="G18" i="76" s="1"/>
  <c r="M30" i="96"/>
  <c r="N25" i="96" s="1"/>
  <c r="N16" i="96"/>
  <c r="O11" i="96" s="1"/>
  <c r="G22" i="61"/>
  <c r="H22" i="61"/>
  <c r="F22" i="61"/>
  <c r="F47" i="61" s="1"/>
  <c r="I55" i="151"/>
  <c r="I140" i="58" s="1"/>
  <c r="J55" i="151"/>
  <c r="J140" i="58" s="1"/>
  <c r="K55" i="151"/>
  <c r="K140" i="58" s="1"/>
  <c r="E93" i="61"/>
  <c r="E73" i="61"/>
  <c r="L55" i="151"/>
  <c r="L140" i="58" s="1"/>
  <c r="M54" i="151"/>
  <c r="K22" i="61"/>
  <c r="F134" i="54"/>
  <c r="G97" i="58" l="1"/>
  <c r="E139" i="78"/>
  <c r="J139" i="78" s="1"/>
  <c r="K47" i="61"/>
  <c r="F97" i="58"/>
  <c r="H47" i="61"/>
  <c r="E97" i="58"/>
  <c r="E14" i="78"/>
  <c r="J14" i="78" s="1"/>
  <c r="G47" i="61"/>
  <c r="T16" i="58"/>
  <c r="T97" i="58"/>
  <c r="L150" i="58"/>
  <c r="AA140" i="58"/>
  <c r="L160" i="58"/>
  <c r="U160" i="58"/>
  <c r="AI140" i="58"/>
  <c r="U150" i="58"/>
  <c r="K160" i="58"/>
  <c r="Z140" i="58"/>
  <c r="K150" i="58"/>
  <c r="J150" i="58"/>
  <c r="J160" i="58"/>
  <c r="Y140" i="58"/>
  <c r="AK140" i="58"/>
  <c r="W150" i="58"/>
  <c r="W160" i="58"/>
  <c r="X140" i="58"/>
  <c r="I160" i="58"/>
  <c r="I150" i="58"/>
  <c r="AJ140" i="58"/>
  <c r="V150" i="58"/>
  <c r="V160" i="58"/>
  <c r="F103" i="55"/>
  <c r="K59" i="151"/>
  <c r="H16" i="76"/>
  <c r="H18" i="76" s="1"/>
  <c r="I56" i="55"/>
  <c r="I57" i="55" s="1"/>
  <c r="P58" i="151"/>
  <c r="H34" i="76"/>
  <c r="H35" i="76" s="1"/>
  <c r="G102" i="55"/>
  <c r="K58" i="151"/>
  <c r="H11" i="76"/>
  <c r="H13" i="76" s="1"/>
  <c r="I20" i="55"/>
  <c r="I21" i="55" s="1"/>
  <c r="N30" i="96"/>
  <c r="O25" i="96" s="1"/>
  <c r="O16" i="96"/>
  <c r="F21" i="54"/>
  <c r="G21" i="54"/>
  <c r="H134" i="54"/>
  <c r="H21" i="54"/>
  <c r="J53" i="151"/>
  <c r="H303" i="123" s="1"/>
  <c r="N54" i="151"/>
  <c r="F73" i="61"/>
  <c r="F93" i="61"/>
  <c r="M55" i="151"/>
  <c r="G134" i="54"/>
  <c r="M140" i="58" l="1"/>
  <c r="M150" i="58" s="1"/>
  <c r="R107" i="178"/>
  <c r="D107" i="178"/>
  <c r="D115" i="178" s="1"/>
  <c r="D116" i="178" s="1"/>
  <c r="K107" i="178"/>
  <c r="K115" i="178" s="1"/>
  <c r="AI160" i="58"/>
  <c r="AI150" i="58"/>
  <c r="AJ160" i="58"/>
  <c r="AJ150" i="58"/>
  <c r="Z150" i="58"/>
  <c r="AN140" i="58"/>
  <c r="Z160" i="58"/>
  <c r="AL140" i="58"/>
  <c r="X160" i="58"/>
  <c r="X150" i="58"/>
  <c r="AK150" i="58"/>
  <c r="AK160" i="58"/>
  <c r="AO140" i="58"/>
  <c r="AA150" i="58"/>
  <c r="AA160" i="58"/>
  <c r="Y150" i="58"/>
  <c r="AM140" i="58"/>
  <c r="Y160" i="58"/>
  <c r="G103" i="55"/>
  <c r="J20" i="55"/>
  <c r="J21" i="55" s="1"/>
  <c r="I11" i="76"/>
  <c r="I13" i="76" s="1"/>
  <c r="I34" i="76"/>
  <c r="I35" i="76" s="1"/>
  <c r="H102" i="55"/>
  <c r="J56" i="55"/>
  <c r="J57" i="55" s="1"/>
  <c r="I16" i="76"/>
  <c r="I18" i="76" s="1"/>
  <c r="O30" i="96"/>
  <c r="O54" i="151"/>
  <c r="G93" i="61"/>
  <c r="G73" i="61"/>
  <c r="N55" i="151"/>
  <c r="K53" i="151"/>
  <c r="H311" i="123" s="1"/>
  <c r="I21" i="54"/>
  <c r="I134" i="54"/>
  <c r="D134" i="54"/>
  <c r="D21" i="54"/>
  <c r="E134" i="54"/>
  <c r="E21" i="54"/>
  <c r="M160" i="58" l="1"/>
  <c r="AB140" i="58"/>
  <c r="AP140" i="58" s="1"/>
  <c r="S107" i="178"/>
  <c r="E107" i="178"/>
  <c r="L107" i="178"/>
  <c r="L115" i="178" s="1"/>
  <c r="R115" i="178"/>
  <c r="R108" i="178"/>
  <c r="AM150" i="58"/>
  <c r="AM160" i="58"/>
  <c r="AL150" i="58"/>
  <c r="AL160" i="58"/>
  <c r="AB150" i="58"/>
  <c r="AB160" i="58"/>
  <c r="AN150" i="58"/>
  <c r="AN160" i="58"/>
  <c r="AO150" i="58"/>
  <c r="AO160" i="58"/>
  <c r="H103" i="55"/>
  <c r="P54" i="151"/>
  <c r="H93" i="61"/>
  <c r="H73" i="61"/>
  <c r="O55" i="151"/>
  <c r="L53" i="151"/>
  <c r="H317" i="123" s="1"/>
  <c r="J21" i="54"/>
  <c r="J134" i="54"/>
  <c r="M107" i="178" l="1"/>
  <c r="M115" i="178" s="1"/>
  <c r="F107" i="178"/>
  <c r="T107" i="178"/>
  <c r="E115" i="178"/>
  <c r="E116" i="178" s="1"/>
  <c r="S115" i="178"/>
  <c r="S108" i="178"/>
  <c r="AP150" i="58"/>
  <c r="AP160" i="58"/>
  <c r="I93" i="61"/>
  <c r="I73" i="61"/>
  <c r="P55" i="151"/>
  <c r="M53" i="151"/>
  <c r="K21" i="54"/>
  <c r="K134" i="54"/>
  <c r="F115" i="178" l="1"/>
  <c r="F116" i="178" s="1"/>
  <c r="U107" i="178"/>
  <c r="N107" i="178"/>
  <c r="N115" i="178" s="1"/>
  <c r="G107" i="178"/>
  <c r="E108" i="178" s="1"/>
  <c r="T115" i="178"/>
  <c r="T108" i="178"/>
  <c r="N53" i="151"/>
  <c r="L21" i="54"/>
  <c r="L134" i="54"/>
  <c r="D12" i="159"/>
  <c r="U115" i="178" l="1"/>
  <c r="U108" i="178"/>
  <c r="G115" i="178"/>
  <c r="G116" i="178" s="1"/>
  <c r="F108" i="178"/>
  <c r="D108" i="178"/>
  <c r="O53" i="151"/>
  <c r="M21" i="54"/>
  <c r="M134" i="54"/>
  <c r="E11" i="159"/>
  <c r="G11" i="159" s="1"/>
  <c r="P53" i="151" l="1"/>
  <c r="N21" i="54"/>
  <c r="N134" i="54"/>
  <c r="G12" i="159"/>
  <c r="D14" i="159"/>
  <c r="O134" i="54" l="1"/>
  <c r="O21" i="54"/>
  <c r="E13" i="159"/>
  <c r="G13" i="159" s="1"/>
  <c r="D15" i="159"/>
  <c r="E14" i="159" l="1"/>
  <c r="G14" i="159" s="1"/>
  <c r="D16" i="159"/>
  <c r="D17" i="159" l="1"/>
  <c r="E15" i="159"/>
  <c r="G15" i="159" s="1"/>
  <c r="E16" i="159" l="1"/>
  <c r="G16" i="159" s="1"/>
  <c r="G17" i="159"/>
  <c r="G18" i="159" s="1"/>
  <c r="F18" i="159" s="1"/>
  <c r="E54" i="151" s="1"/>
  <c r="E22" i="61" l="1"/>
  <c r="E47" i="61" s="1"/>
  <c r="E55" i="151"/>
  <c r="E140" i="58" s="1"/>
  <c r="E160" i="58" l="1"/>
  <c r="E150" i="58"/>
  <c r="T140" i="58"/>
  <c r="D95" i="68"/>
  <c r="T160" i="58" l="1"/>
  <c r="T150" i="58"/>
  <c r="J66" i="122"/>
  <c r="I66" i="122"/>
  <c r="H66" i="122"/>
  <c r="G66" i="122"/>
  <c r="E66" i="122"/>
  <c r="J65" i="122"/>
  <c r="I65" i="122"/>
  <c r="H65" i="122"/>
  <c r="G65" i="122"/>
  <c r="F65" i="122"/>
  <c r="E65" i="122"/>
  <c r="D66" i="122"/>
  <c r="D65" i="122"/>
  <c r="J120" i="68" l="1"/>
  <c r="J110" i="68" l="1"/>
  <c r="Y61" i="157" l="1"/>
  <c r="N224" i="164" l="1"/>
  <c r="L224" i="164"/>
  <c r="K224" i="164"/>
  <c r="D223" i="164"/>
  <c r="D222" i="164"/>
  <c r="D221" i="164"/>
  <c r="D220" i="164"/>
  <c r="D219" i="164"/>
  <c r="D218" i="164"/>
  <c r="D217" i="164"/>
  <c r="D216" i="164"/>
  <c r="D215" i="164"/>
  <c r="D214" i="164"/>
  <c r="D213" i="164"/>
  <c r="D212" i="164"/>
  <c r="D211" i="164"/>
  <c r="D207" i="164"/>
  <c r="D206" i="164"/>
  <c r="D205" i="164"/>
  <c r="D204" i="164"/>
  <c r="J224" i="163"/>
  <c r="D223" i="163"/>
  <c r="D222" i="163"/>
  <c r="D221" i="163"/>
  <c r="D220" i="163"/>
  <c r="D219" i="163"/>
  <c r="D218" i="163"/>
  <c r="D217" i="163"/>
  <c r="D216" i="163"/>
  <c r="D215" i="163"/>
  <c r="D214" i="163"/>
  <c r="D213" i="163"/>
  <c r="D212" i="163"/>
  <c r="D211" i="163"/>
  <c r="D205" i="163"/>
  <c r="D204" i="163"/>
  <c r="C13" i="168"/>
  <c r="C13" i="172" l="1"/>
  <c r="C13" i="169"/>
  <c r="C94" i="172"/>
  <c r="C95" i="172"/>
  <c r="C13" i="73"/>
  <c r="C93" i="172"/>
  <c r="C96" i="172"/>
  <c r="C92" i="73"/>
  <c r="C110" i="169"/>
  <c r="C110" i="168"/>
  <c r="C64" i="73"/>
  <c r="C94" i="73" s="1"/>
  <c r="C78" i="169"/>
  <c r="C78" i="168"/>
  <c r="C78" i="172" s="1"/>
  <c r="C48" i="73"/>
  <c r="C83" i="169"/>
  <c r="C49" i="73"/>
  <c r="C83" i="168"/>
  <c r="C83" i="172" s="1"/>
  <c r="C14" i="73"/>
  <c r="C18" i="169"/>
  <c r="C18" i="168"/>
  <c r="C18" i="172" s="1"/>
  <c r="C93" i="73"/>
  <c r="C99" i="172"/>
  <c r="C117" i="169"/>
  <c r="C117" i="168"/>
  <c r="C67" i="73"/>
  <c r="C97" i="73" s="1"/>
  <c r="C115" i="169"/>
  <c r="C65" i="73"/>
  <c r="C115" i="168"/>
  <c r="C115" i="172" s="1"/>
  <c r="I224" i="164"/>
  <c r="F224" i="164"/>
  <c r="D224" i="164"/>
  <c r="E224" i="164"/>
  <c r="J224" i="164"/>
  <c r="H224" i="164"/>
  <c r="G224" i="164"/>
  <c r="C151" i="169" l="1"/>
  <c r="C117" i="170"/>
  <c r="C117" i="173"/>
  <c r="C151" i="173" s="1"/>
  <c r="C79" i="73"/>
  <c r="C83" i="173"/>
  <c r="C83" i="170"/>
  <c r="C146" i="169"/>
  <c r="C100" i="173"/>
  <c r="C146" i="173" s="1"/>
  <c r="N94" i="170"/>
  <c r="N140" i="170" s="1"/>
  <c r="C94" i="173"/>
  <c r="C140" i="173" s="1"/>
  <c r="C96" i="173"/>
  <c r="N96" i="173" s="1"/>
  <c r="N142" i="173" s="1"/>
  <c r="C147" i="168"/>
  <c r="C105" i="172"/>
  <c r="C147" i="172" s="1"/>
  <c r="C115" i="170"/>
  <c r="C149" i="170" s="1"/>
  <c r="C115" i="173"/>
  <c r="C147" i="169"/>
  <c r="C105" i="173"/>
  <c r="C147" i="173" s="1"/>
  <c r="C148" i="168"/>
  <c r="C110" i="172"/>
  <c r="C148" i="172" s="1"/>
  <c r="C90" i="169"/>
  <c r="C78" i="170"/>
  <c r="C78" i="173"/>
  <c r="C90" i="173" s="1"/>
  <c r="C151" i="168"/>
  <c r="C117" i="172"/>
  <c r="C151" i="172" s="1"/>
  <c r="C148" i="169"/>
  <c r="C110" i="170"/>
  <c r="C110" i="173"/>
  <c r="C148" i="173" s="1"/>
  <c r="C146" i="168"/>
  <c r="C100" i="172"/>
  <c r="C146" i="172" s="1"/>
  <c r="N99" i="170"/>
  <c r="C99" i="173"/>
  <c r="C145" i="173" s="1"/>
  <c r="C17" i="73"/>
  <c r="C35" i="73" s="1"/>
  <c r="K154" i="67" s="1"/>
  <c r="C93" i="173"/>
  <c r="C139" i="173" s="1"/>
  <c r="N93" i="170"/>
  <c r="C13" i="170"/>
  <c r="C25" i="170" s="1"/>
  <c r="C65" i="170" s="1"/>
  <c r="N154" i="67" s="1"/>
  <c r="C13" i="173"/>
  <c r="N95" i="170"/>
  <c r="N141" i="170" s="1"/>
  <c r="C95" i="173"/>
  <c r="C141" i="173" s="1"/>
  <c r="C133" i="169"/>
  <c r="C18" i="170"/>
  <c r="C18" i="173"/>
  <c r="C133" i="173" s="1"/>
  <c r="N95" i="172"/>
  <c r="N141" i="172" s="1"/>
  <c r="C141" i="172"/>
  <c r="N99" i="172"/>
  <c r="C145" i="172"/>
  <c r="N93" i="172"/>
  <c r="C139" i="172"/>
  <c r="C78" i="73"/>
  <c r="C82" i="73" s="1"/>
  <c r="C90" i="172"/>
  <c r="C25" i="172"/>
  <c r="C65" i="172" s="1"/>
  <c r="C132" i="172"/>
  <c r="C149" i="172"/>
  <c r="N115" i="172"/>
  <c r="N149" i="172" s="1"/>
  <c r="C142" i="172"/>
  <c r="N96" i="172"/>
  <c r="N142" i="172" s="1"/>
  <c r="N115" i="173"/>
  <c r="N149" i="173" s="1"/>
  <c r="C149" i="173"/>
  <c r="C133" i="172"/>
  <c r="N94" i="172"/>
  <c r="N140" i="172" s="1"/>
  <c r="C140" i="172"/>
  <c r="N95" i="168"/>
  <c r="N141" i="168" s="1"/>
  <c r="C141" i="168"/>
  <c r="N99" i="169"/>
  <c r="C145" i="169"/>
  <c r="N93" i="168"/>
  <c r="C122" i="168"/>
  <c r="C139" i="168"/>
  <c r="N95" i="169"/>
  <c r="N141" i="169" s="1"/>
  <c r="C141" i="169"/>
  <c r="M65" i="73"/>
  <c r="M95" i="73" s="1"/>
  <c r="C95" i="73"/>
  <c r="N115" i="170"/>
  <c r="N149" i="170" s="1"/>
  <c r="N99" i="168"/>
  <c r="C145" i="168"/>
  <c r="N96" i="169"/>
  <c r="N142" i="169" s="1"/>
  <c r="C142" i="169"/>
  <c r="C139" i="170"/>
  <c r="N94" i="168"/>
  <c r="N140" i="168" s="1"/>
  <c r="C140" i="168"/>
  <c r="C52" i="73"/>
  <c r="N93" i="169"/>
  <c r="C139" i="169"/>
  <c r="C122" i="169"/>
  <c r="C86" i="73"/>
  <c r="M56" i="73"/>
  <c r="M86" i="73" s="1"/>
  <c r="N115" i="169"/>
  <c r="N149" i="169" s="1"/>
  <c r="C149" i="169"/>
  <c r="C90" i="168"/>
  <c r="C132" i="168"/>
  <c r="C25" i="168"/>
  <c r="C65" i="168" s="1"/>
  <c r="L154" i="67" s="1"/>
  <c r="N94" i="169"/>
  <c r="N140" i="169" s="1"/>
  <c r="C140" i="169"/>
  <c r="M61" i="73"/>
  <c r="M91" i="73" s="1"/>
  <c r="C91" i="73"/>
  <c r="C85" i="73"/>
  <c r="M55" i="73"/>
  <c r="C68" i="73"/>
  <c r="C133" i="168"/>
  <c r="N96" i="168"/>
  <c r="N142" i="168" s="1"/>
  <c r="C142" i="168"/>
  <c r="N115" i="168"/>
  <c r="N149" i="168" s="1"/>
  <c r="C149" i="168"/>
  <c r="N96" i="170"/>
  <c r="N142" i="170" s="1"/>
  <c r="C142" i="170"/>
  <c r="C87" i="73"/>
  <c r="M57" i="73"/>
  <c r="M87" i="73" s="1"/>
  <c r="C88" i="73"/>
  <c r="M58" i="73"/>
  <c r="M88" i="73" s="1"/>
  <c r="C25" i="169"/>
  <c r="C65" i="169" s="1"/>
  <c r="M154" i="67" s="1"/>
  <c r="C132" i="169"/>
  <c r="L204" i="72"/>
  <c r="K204" i="72"/>
  <c r="J204" i="72"/>
  <c r="I204" i="72"/>
  <c r="H204" i="72"/>
  <c r="G204" i="72"/>
  <c r="F204" i="72"/>
  <c r="E204" i="72"/>
  <c r="D204" i="72"/>
  <c r="G153" i="113" s="1"/>
  <c r="L173" i="72"/>
  <c r="K173" i="72"/>
  <c r="I173" i="72"/>
  <c r="N193" i="164"/>
  <c r="L193" i="164"/>
  <c r="K193" i="164"/>
  <c r="N163" i="164"/>
  <c r="L163" i="164"/>
  <c r="K163" i="164"/>
  <c r="I153" i="113" l="1"/>
  <c r="C136" i="169"/>
  <c r="C141" i="170"/>
  <c r="C25" i="173"/>
  <c r="C65" i="173" s="1"/>
  <c r="C122" i="170"/>
  <c r="C132" i="173"/>
  <c r="C136" i="173" s="1"/>
  <c r="C78" i="174"/>
  <c r="C78" i="171"/>
  <c r="N94" i="173"/>
  <c r="N140" i="173" s="1"/>
  <c r="C145" i="170"/>
  <c r="C100" i="174"/>
  <c r="C146" i="174" s="1"/>
  <c r="C146" i="170"/>
  <c r="C124" i="169"/>
  <c r="M155" i="67" s="1"/>
  <c r="M153" i="67" s="1"/>
  <c r="M164" i="67" s="1"/>
  <c r="C142" i="173"/>
  <c r="C152" i="173" s="1"/>
  <c r="C18" i="174"/>
  <c r="C18" i="171"/>
  <c r="C133" i="170"/>
  <c r="C105" i="174"/>
  <c r="C147" i="174" s="1"/>
  <c r="C147" i="170"/>
  <c r="N99" i="173"/>
  <c r="N145" i="173" s="1"/>
  <c r="C83" i="174"/>
  <c r="C83" i="171"/>
  <c r="C83" i="175" s="1"/>
  <c r="C110" i="171"/>
  <c r="C110" i="174"/>
  <c r="C148" i="174" s="1"/>
  <c r="C148" i="170"/>
  <c r="C124" i="168"/>
  <c r="L155" i="67" s="1"/>
  <c r="L153" i="67" s="1"/>
  <c r="L164" i="67" s="1"/>
  <c r="C122" i="172"/>
  <c r="C124" i="172" s="1"/>
  <c r="C95" i="174"/>
  <c r="C115" i="171"/>
  <c r="C115" i="174"/>
  <c r="C132" i="170"/>
  <c r="C136" i="170" s="1"/>
  <c r="N93" i="173"/>
  <c r="N139" i="173" s="1"/>
  <c r="N95" i="173"/>
  <c r="N141" i="173" s="1"/>
  <c r="C122" i="173"/>
  <c r="C124" i="173" s="1"/>
  <c r="C13" i="174"/>
  <c r="C13" i="171"/>
  <c r="C117" i="174"/>
  <c r="C151" i="174" s="1"/>
  <c r="C117" i="171"/>
  <c r="C151" i="170"/>
  <c r="C90" i="170"/>
  <c r="C94" i="174"/>
  <c r="C99" i="174"/>
  <c r="C140" i="170"/>
  <c r="C93" i="174"/>
  <c r="C96" i="174"/>
  <c r="C152" i="169"/>
  <c r="C154" i="169" s="1"/>
  <c r="N139" i="172"/>
  <c r="N92" i="172"/>
  <c r="N122" i="172" s="1"/>
  <c r="N124" i="172" s="1"/>
  <c r="C136" i="172"/>
  <c r="C98" i="73"/>
  <c r="C100" i="73" s="1"/>
  <c r="C152" i="172"/>
  <c r="N145" i="172"/>
  <c r="N98" i="172"/>
  <c r="I193" i="164"/>
  <c r="N139" i="169"/>
  <c r="N92" i="169"/>
  <c r="N122" i="169" s="1"/>
  <c r="N124" i="169" s="1"/>
  <c r="N145" i="170"/>
  <c r="N98" i="170"/>
  <c r="C152" i="168"/>
  <c r="N92" i="168"/>
  <c r="N122" i="168" s="1"/>
  <c r="N124" i="168" s="1"/>
  <c r="N139" i="168"/>
  <c r="N98" i="168"/>
  <c r="N145" i="168"/>
  <c r="C70" i="73"/>
  <c r="K155" i="67" s="1"/>
  <c r="K153" i="67" s="1"/>
  <c r="K164" i="67" s="1"/>
  <c r="C136" i="168"/>
  <c r="M85" i="73"/>
  <c r="M98" i="73" s="1"/>
  <c r="M100" i="73" s="1"/>
  <c r="M68" i="73"/>
  <c r="M70" i="73" s="1"/>
  <c r="N98" i="169"/>
  <c r="N145" i="169"/>
  <c r="N139" i="170"/>
  <c r="N92" i="170"/>
  <c r="N122" i="170" s="1"/>
  <c r="N124" i="170" s="1"/>
  <c r="J193" i="164"/>
  <c r="F193" i="164"/>
  <c r="G193" i="164"/>
  <c r="E193" i="164"/>
  <c r="H193" i="164"/>
  <c r="J173" i="72"/>
  <c r="H173" i="72"/>
  <c r="E173" i="72"/>
  <c r="G173" i="72"/>
  <c r="F173" i="72"/>
  <c r="K153" i="113" l="1"/>
  <c r="C124" i="170"/>
  <c r="N155" i="67" s="1"/>
  <c r="N153" i="67" s="1"/>
  <c r="N165" i="67" s="1"/>
  <c r="C154" i="173"/>
  <c r="N92" i="173"/>
  <c r="N122" i="173" s="1"/>
  <c r="N124" i="173" s="1"/>
  <c r="C133" i="174"/>
  <c r="C152" i="170"/>
  <c r="C154" i="170" s="1"/>
  <c r="C99" i="175"/>
  <c r="N99" i="171"/>
  <c r="C145" i="171"/>
  <c r="C110" i="175"/>
  <c r="C148" i="175" s="1"/>
  <c r="C148" i="171"/>
  <c r="C149" i="174"/>
  <c r="N115" i="174"/>
  <c r="N149" i="174" s="1"/>
  <c r="C94" i="175"/>
  <c r="C140" i="171"/>
  <c r="N94" i="171"/>
  <c r="N140" i="171" s="1"/>
  <c r="C115" i="175"/>
  <c r="C149" i="171"/>
  <c r="N115" i="171"/>
  <c r="N149" i="171" s="1"/>
  <c r="K165" i="67"/>
  <c r="C117" i="175"/>
  <c r="C151" i="175" s="1"/>
  <c r="C151" i="171"/>
  <c r="C141" i="174"/>
  <c r="N95" i="174"/>
  <c r="N141" i="174" s="1"/>
  <c r="C100" i="175"/>
  <c r="C146" i="175" s="1"/>
  <c r="C146" i="171"/>
  <c r="N96" i="174"/>
  <c r="N142" i="174" s="1"/>
  <c r="C142" i="174"/>
  <c r="C95" i="175"/>
  <c r="N95" i="171"/>
  <c r="N141" i="171" s="1"/>
  <c r="C141" i="171"/>
  <c r="C105" i="175"/>
  <c r="C147" i="175" s="1"/>
  <c r="C147" i="171"/>
  <c r="M165" i="67"/>
  <c r="N98" i="173"/>
  <c r="C96" i="175"/>
  <c r="C142" i="171"/>
  <c r="N96" i="171"/>
  <c r="N142" i="171" s="1"/>
  <c r="C13" i="175"/>
  <c r="C132" i="171"/>
  <c r="C25" i="171"/>
  <c r="C65" i="171" s="1"/>
  <c r="O154" i="67" s="1"/>
  <c r="C93" i="175"/>
  <c r="N93" i="171"/>
  <c r="C122" i="171"/>
  <c r="C139" i="171"/>
  <c r="C25" i="174"/>
  <c r="C65" i="174" s="1"/>
  <c r="C132" i="174"/>
  <c r="C136" i="174" s="1"/>
  <c r="L165" i="67"/>
  <c r="C78" i="175"/>
  <c r="C90" i="175" s="1"/>
  <c r="C90" i="171"/>
  <c r="C145" i="174"/>
  <c r="N99" i="174"/>
  <c r="N94" i="174"/>
  <c r="N140" i="174" s="1"/>
  <c r="C140" i="174"/>
  <c r="C122" i="174"/>
  <c r="C139" i="174"/>
  <c r="N93" i="174"/>
  <c r="C18" i="175"/>
  <c r="C133" i="175" s="1"/>
  <c r="C133" i="171"/>
  <c r="C90" i="174"/>
  <c r="N164" i="67"/>
  <c r="N152" i="173"/>
  <c r="N154" i="173" s="1"/>
  <c r="N152" i="172"/>
  <c r="N154" i="172" s="1"/>
  <c r="N155" i="172" s="1"/>
  <c r="C154" i="172"/>
  <c r="N152" i="170"/>
  <c r="N154" i="170" s="1"/>
  <c r="N155" i="170" s="1"/>
  <c r="C154" i="168"/>
  <c r="N152" i="168"/>
  <c r="N154" i="168" s="1"/>
  <c r="N155" i="168" s="1"/>
  <c r="M101" i="73"/>
  <c r="N152" i="169"/>
  <c r="N154" i="169" s="1"/>
  <c r="N155" i="169" s="1"/>
  <c r="D192" i="164"/>
  <c r="D191" i="164"/>
  <c r="D190" i="164"/>
  <c r="D189" i="164"/>
  <c r="D188" i="164"/>
  <c r="D187" i="164"/>
  <c r="D186" i="164"/>
  <c r="D185" i="164"/>
  <c r="D184" i="164"/>
  <c r="D183" i="164"/>
  <c r="D182" i="164"/>
  <c r="D181" i="164"/>
  <c r="D180" i="164"/>
  <c r="D176" i="164"/>
  <c r="D175" i="164"/>
  <c r="D174" i="164"/>
  <c r="D173" i="164"/>
  <c r="D192" i="163"/>
  <c r="D191" i="163"/>
  <c r="D190" i="163"/>
  <c r="D189" i="163"/>
  <c r="D188" i="163"/>
  <c r="D187" i="163"/>
  <c r="D186" i="163"/>
  <c r="D185" i="163"/>
  <c r="D184" i="163"/>
  <c r="D183" i="163"/>
  <c r="D182" i="163"/>
  <c r="D181" i="163"/>
  <c r="D180" i="163"/>
  <c r="D176" i="163"/>
  <c r="D175" i="163"/>
  <c r="D174" i="163"/>
  <c r="D173" i="163"/>
  <c r="K163" i="163"/>
  <c r="D162" i="164"/>
  <c r="D161" i="164"/>
  <c r="D160" i="164"/>
  <c r="D159" i="164"/>
  <c r="D158" i="164"/>
  <c r="D157" i="164"/>
  <c r="D156" i="164"/>
  <c r="D155" i="164"/>
  <c r="D154" i="164"/>
  <c r="D153" i="164"/>
  <c r="D152" i="164"/>
  <c r="D151" i="164"/>
  <c r="D150" i="164"/>
  <c r="D146" i="164"/>
  <c r="D145" i="164"/>
  <c r="D144" i="164"/>
  <c r="D143" i="164"/>
  <c r="J163" i="163"/>
  <c r="L143" i="72"/>
  <c r="K143" i="72"/>
  <c r="J143" i="72"/>
  <c r="I143" i="72"/>
  <c r="H143" i="72"/>
  <c r="F143" i="72"/>
  <c r="E143" i="72" l="1"/>
  <c r="N155" i="173"/>
  <c r="H163" i="164"/>
  <c r="C136" i="171"/>
  <c r="C132" i="175"/>
  <c r="C136" i="175" s="1"/>
  <c r="C25" i="175"/>
  <c r="C65" i="175" s="1"/>
  <c r="C122" i="175"/>
  <c r="C124" i="175" s="1"/>
  <c r="N93" i="175"/>
  <c r="C139" i="175"/>
  <c r="C140" i="175"/>
  <c r="N94" i="175"/>
  <c r="N140" i="175" s="1"/>
  <c r="N96" i="175"/>
  <c r="N142" i="175" s="1"/>
  <c r="C142" i="175"/>
  <c r="N145" i="174"/>
  <c r="N98" i="174"/>
  <c r="N139" i="174"/>
  <c r="N92" i="174"/>
  <c r="N122" i="174" s="1"/>
  <c r="N124" i="174" s="1"/>
  <c r="C152" i="171"/>
  <c r="N95" i="175"/>
  <c r="N141" i="175" s="1"/>
  <c r="C141" i="175"/>
  <c r="C152" i="174"/>
  <c r="C154" i="174" s="1"/>
  <c r="C124" i="171"/>
  <c r="O155" i="67" s="1"/>
  <c r="N145" i="171"/>
  <c r="L98" i="171"/>
  <c r="N98" i="171"/>
  <c r="N115" i="175"/>
  <c r="N149" i="175" s="1"/>
  <c r="C149" i="175"/>
  <c r="C124" i="174"/>
  <c r="N139" i="171"/>
  <c r="N92" i="171"/>
  <c r="N122" i="171" s="1"/>
  <c r="N124" i="171" s="1"/>
  <c r="N99" i="175"/>
  <c r="C145" i="175"/>
  <c r="D173" i="72"/>
  <c r="G129" i="113" s="1"/>
  <c r="G143" i="72"/>
  <c r="M143" i="72" s="1"/>
  <c r="O143" i="72" s="1"/>
  <c r="I163" i="164"/>
  <c r="J163" i="164"/>
  <c r="F163" i="164"/>
  <c r="G163" i="164"/>
  <c r="E163" i="164"/>
  <c r="I129" i="113" l="1"/>
  <c r="C154" i="171"/>
  <c r="N92" i="175"/>
  <c r="N122" i="175" s="1"/>
  <c r="N124" i="175" s="1"/>
  <c r="N139" i="175"/>
  <c r="C152" i="175"/>
  <c r="C154" i="175" s="1"/>
  <c r="L98" i="175"/>
  <c r="N145" i="175"/>
  <c r="N98" i="175"/>
  <c r="O153" i="67"/>
  <c r="O164" i="67" s="1"/>
  <c r="N152" i="171"/>
  <c r="N154" i="171" s="1"/>
  <c r="N155" i="171" s="1"/>
  <c r="N152" i="174"/>
  <c r="N154" i="174" s="1"/>
  <c r="N155" i="174" s="1"/>
  <c r="D162" i="163"/>
  <c r="D161" i="163"/>
  <c r="D160" i="163"/>
  <c r="D159" i="163"/>
  <c r="D158" i="163"/>
  <c r="D157" i="163"/>
  <c r="D156" i="163"/>
  <c r="D155" i="163"/>
  <c r="D154" i="163"/>
  <c r="D153" i="163"/>
  <c r="D152" i="163"/>
  <c r="D151" i="163"/>
  <c r="D150" i="163"/>
  <c r="D146" i="163"/>
  <c r="D145" i="163"/>
  <c r="D144" i="163"/>
  <c r="D143" i="163"/>
  <c r="D143" i="72" s="1"/>
  <c r="N103" i="164"/>
  <c r="L103" i="164"/>
  <c r="K103" i="164"/>
  <c r="N133" i="164"/>
  <c r="L133" i="164"/>
  <c r="K133" i="164"/>
  <c r="N133" i="163"/>
  <c r="L133" i="163"/>
  <c r="K133" i="163"/>
  <c r="J133" i="163"/>
  <c r="I133" i="163"/>
  <c r="H133" i="163"/>
  <c r="L113" i="72"/>
  <c r="K113" i="72"/>
  <c r="J113" i="72"/>
  <c r="I113" i="72"/>
  <c r="D132" i="164"/>
  <c r="D131" i="164"/>
  <c r="D130" i="164"/>
  <c r="D129" i="164"/>
  <c r="D128" i="164"/>
  <c r="D127" i="164"/>
  <c r="D126" i="164"/>
  <c r="D125" i="164"/>
  <c r="D124" i="164"/>
  <c r="D123" i="164"/>
  <c r="D122" i="164"/>
  <c r="D121" i="164"/>
  <c r="D120" i="164"/>
  <c r="D116" i="164"/>
  <c r="D115" i="164"/>
  <c r="D114" i="164"/>
  <c r="D113" i="164"/>
  <c r="H113" i="72"/>
  <c r="E133" i="163"/>
  <c r="E113" i="72"/>
  <c r="G133" i="163"/>
  <c r="G113" i="72"/>
  <c r="F133" i="163"/>
  <c r="D132" i="163"/>
  <c r="D131" i="163"/>
  <c r="D130" i="163"/>
  <c r="D129" i="163"/>
  <c r="D128" i="163"/>
  <c r="D127" i="163"/>
  <c r="D126" i="163"/>
  <c r="D125" i="163"/>
  <c r="D124" i="163"/>
  <c r="D123" i="163"/>
  <c r="D122" i="163"/>
  <c r="D121" i="163"/>
  <c r="D120" i="163"/>
  <c r="D116" i="163"/>
  <c r="D115" i="163"/>
  <c r="D114" i="163"/>
  <c r="D113" i="163"/>
  <c r="P143" i="72" l="1"/>
  <c r="G105" i="113"/>
  <c r="K129" i="113"/>
  <c r="O165" i="67"/>
  <c r="D133" i="163"/>
  <c r="N152" i="175"/>
  <c r="N154" i="175" s="1"/>
  <c r="N155" i="175" s="1"/>
  <c r="F113" i="72"/>
  <c r="M113" i="72" s="1"/>
  <c r="O113" i="72" s="1"/>
  <c r="P113" i="72" s="1"/>
  <c r="I133" i="164"/>
  <c r="D113" i="72"/>
  <c r="G81" i="113" s="1"/>
  <c r="F133" i="164"/>
  <c r="G133" i="164"/>
  <c r="E133" i="164"/>
  <c r="H133" i="164"/>
  <c r="L71" i="72"/>
  <c r="K71" i="72"/>
  <c r="L83" i="72"/>
  <c r="K83" i="72"/>
  <c r="J83" i="72"/>
  <c r="I83" i="72"/>
  <c r="I105" i="113" l="1"/>
  <c r="I81" i="113"/>
  <c r="J67" i="163"/>
  <c r="J103" i="164"/>
  <c r="H83" i="72"/>
  <c r="E83" i="72"/>
  <c r="G83" i="72"/>
  <c r="F83" i="72"/>
  <c r="D102" i="164"/>
  <c r="D98" i="164"/>
  <c r="D95" i="164"/>
  <c r="D94" i="164"/>
  <c r="D86" i="164"/>
  <c r="D85" i="164"/>
  <c r="J103" i="163"/>
  <c r="D102" i="163"/>
  <c r="D101" i="163"/>
  <c r="D100" i="163"/>
  <c r="D99" i="163"/>
  <c r="D98" i="163"/>
  <c r="D97" i="163"/>
  <c r="D96" i="163"/>
  <c r="D95" i="163"/>
  <c r="D94" i="163"/>
  <c r="D93" i="163"/>
  <c r="D92" i="163"/>
  <c r="D91" i="163"/>
  <c r="D90" i="163"/>
  <c r="D86" i="163"/>
  <c r="D85" i="163"/>
  <c r="D84" i="163"/>
  <c r="D83" i="163"/>
  <c r="K105" i="113" l="1"/>
  <c r="K81" i="113"/>
  <c r="H103" i="164"/>
  <c r="M83" i="72"/>
  <c r="O83" i="72" s="1"/>
  <c r="F103" i="164"/>
  <c r="G103" i="164"/>
  <c r="E103" i="164"/>
  <c r="I103" i="164"/>
  <c r="N226" i="72" l="1"/>
  <c r="N224" i="72"/>
  <c r="L223" i="72"/>
  <c r="K223" i="72"/>
  <c r="J223" i="72"/>
  <c r="I223" i="72"/>
  <c r="H223" i="72"/>
  <c r="G223" i="72"/>
  <c r="F223" i="72"/>
  <c r="E223" i="72"/>
  <c r="D223" i="72"/>
  <c r="G164" i="113" s="1"/>
  <c r="I164" i="113" s="1"/>
  <c r="K164" i="113" s="1"/>
  <c r="C223" i="72"/>
  <c r="L222" i="72"/>
  <c r="K222" i="72"/>
  <c r="J222" i="72"/>
  <c r="I222" i="72"/>
  <c r="H222" i="72"/>
  <c r="G222" i="72"/>
  <c r="F222" i="72"/>
  <c r="E222" i="72"/>
  <c r="M222" i="72" s="1"/>
  <c r="O222" i="72" s="1"/>
  <c r="D222" i="72"/>
  <c r="G163" i="113" s="1"/>
  <c r="I163" i="113" s="1"/>
  <c r="K163" i="113" s="1"/>
  <c r="C222" i="72"/>
  <c r="L221" i="72"/>
  <c r="K221" i="72"/>
  <c r="J221" i="72"/>
  <c r="I221" i="72"/>
  <c r="H221" i="72"/>
  <c r="G221" i="72"/>
  <c r="F221" i="72"/>
  <c r="E221" i="72"/>
  <c r="D221" i="72"/>
  <c r="G162" i="113" s="1"/>
  <c r="I162" i="113" s="1"/>
  <c r="K162" i="113" s="1"/>
  <c r="C221" i="72"/>
  <c r="L220" i="72"/>
  <c r="K220" i="72"/>
  <c r="J220" i="72"/>
  <c r="I220" i="72"/>
  <c r="H220" i="72"/>
  <c r="G220" i="72"/>
  <c r="F220" i="72"/>
  <c r="E220" i="72"/>
  <c r="D220" i="72"/>
  <c r="G161" i="113" s="1"/>
  <c r="I161" i="113" s="1"/>
  <c r="C220" i="72"/>
  <c r="L219" i="72"/>
  <c r="K219" i="72"/>
  <c r="J219" i="72"/>
  <c r="I219" i="72"/>
  <c r="H219" i="72"/>
  <c r="G219" i="72"/>
  <c r="F219" i="72"/>
  <c r="E219" i="72"/>
  <c r="D219" i="72"/>
  <c r="C219" i="72"/>
  <c r="L218" i="72"/>
  <c r="K218" i="72"/>
  <c r="J218" i="72"/>
  <c r="I218" i="72"/>
  <c r="H218" i="72"/>
  <c r="G218" i="72"/>
  <c r="F218" i="72"/>
  <c r="E218" i="72"/>
  <c r="D218" i="72"/>
  <c r="C218" i="72"/>
  <c r="L217" i="72"/>
  <c r="K217" i="72"/>
  <c r="J217" i="72"/>
  <c r="I217" i="72"/>
  <c r="H217" i="72"/>
  <c r="G217" i="72"/>
  <c r="F217" i="72"/>
  <c r="E217" i="72"/>
  <c r="D217" i="72"/>
  <c r="G160" i="113" s="1"/>
  <c r="I160" i="113" s="1"/>
  <c r="K160" i="113" s="1"/>
  <c r="C217" i="72"/>
  <c r="L216" i="72"/>
  <c r="K216" i="72"/>
  <c r="M216" i="72" s="1"/>
  <c r="O216" i="72" s="1"/>
  <c r="J216" i="72"/>
  <c r="I216" i="72"/>
  <c r="H216" i="72"/>
  <c r="G216" i="72"/>
  <c r="F216" i="72"/>
  <c r="E216" i="72"/>
  <c r="D216" i="72"/>
  <c r="C216" i="72"/>
  <c r="L215" i="72"/>
  <c r="K215" i="72"/>
  <c r="J215" i="72"/>
  <c r="I215" i="72"/>
  <c r="H215" i="72"/>
  <c r="G215" i="72"/>
  <c r="F215" i="72"/>
  <c r="E215" i="72"/>
  <c r="D215" i="72"/>
  <c r="C215" i="72"/>
  <c r="L214" i="72"/>
  <c r="K214" i="72"/>
  <c r="J214" i="72"/>
  <c r="M214" i="72" s="1"/>
  <c r="O214" i="72" s="1"/>
  <c r="P214" i="72" s="1"/>
  <c r="I214" i="72"/>
  <c r="H214" i="72"/>
  <c r="G214" i="72"/>
  <c r="F214" i="72"/>
  <c r="E214" i="72"/>
  <c r="D214" i="72"/>
  <c r="C214" i="72"/>
  <c r="L213" i="72"/>
  <c r="K213" i="72"/>
  <c r="J213" i="72"/>
  <c r="I213" i="72"/>
  <c r="H213" i="72"/>
  <c r="G213" i="72"/>
  <c r="F213" i="72"/>
  <c r="E213" i="72"/>
  <c r="D213" i="72"/>
  <c r="C213" i="72"/>
  <c r="L212" i="72"/>
  <c r="K212" i="72"/>
  <c r="J212" i="72"/>
  <c r="I212" i="72"/>
  <c r="H212" i="72"/>
  <c r="G212" i="72"/>
  <c r="F212" i="72"/>
  <c r="E212" i="72"/>
  <c r="D212" i="72"/>
  <c r="C212" i="72"/>
  <c r="L211" i="72"/>
  <c r="K211" i="72"/>
  <c r="J211" i="72"/>
  <c r="I211" i="72"/>
  <c r="H211" i="72"/>
  <c r="G211" i="72"/>
  <c r="F211" i="72"/>
  <c r="E211" i="72"/>
  <c r="D211" i="72"/>
  <c r="G159" i="113" s="1"/>
  <c r="C211" i="72"/>
  <c r="L210" i="72"/>
  <c r="K210" i="72"/>
  <c r="J210" i="72"/>
  <c r="I210" i="72"/>
  <c r="H210" i="72"/>
  <c r="G210" i="72"/>
  <c r="F210" i="72"/>
  <c r="E210" i="72"/>
  <c r="D210" i="72"/>
  <c r="C210" i="72"/>
  <c r="N208" i="72"/>
  <c r="L207" i="72"/>
  <c r="K207" i="72"/>
  <c r="J207" i="72"/>
  <c r="I207" i="72"/>
  <c r="H207" i="72"/>
  <c r="G207" i="72"/>
  <c r="F207" i="72"/>
  <c r="E207" i="72"/>
  <c r="M207" i="72" s="1"/>
  <c r="O207" i="72" s="1"/>
  <c r="D207" i="72"/>
  <c r="C207" i="72"/>
  <c r="L206" i="72"/>
  <c r="K206" i="72"/>
  <c r="J206" i="72"/>
  <c r="I206" i="72"/>
  <c r="H206" i="72"/>
  <c r="G206" i="72"/>
  <c r="F206" i="72"/>
  <c r="M206" i="72" s="1"/>
  <c r="O206" i="72" s="1"/>
  <c r="E206" i="72"/>
  <c r="D206" i="72"/>
  <c r="C206" i="72"/>
  <c r="L205" i="72"/>
  <c r="L208" i="72" s="1"/>
  <c r="K205" i="72"/>
  <c r="K208" i="72" s="1"/>
  <c r="J205" i="72"/>
  <c r="J208" i="72" s="1"/>
  <c r="I205" i="72"/>
  <c r="I208" i="72" s="1"/>
  <c r="H205" i="72"/>
  <c r="H208" i="72" s="1"/>
  <c r="G205" i="72"/>
  <c r="F205" i="72"/>
  <c r="E205" i="72"/>
  <c r="D205" i="72"/>
  <c r="G154" i="113" s="1"/>
  <c r="C205" i="72"/>
  <c r="M204" i="72"/>
  <c r="C204" i="72"/>
  <c r="N193" i="72"/>
  <c r="N195" i="72" s="1"/>
  <c r="L192" i="72"/>
  <c r="K192" i="72"/>
  <c r="J192" i="72"/>
  <c r="I192" i="72"/>
  <c r="H192" i="72"/>
  <c r="G192" i="72"/>
  <c r="F192" i="72"/>
  <c r="E192" i="72"/>
  <c r="D192" i="72"/>
  <c r="G140" i="113" s="1"/>
  <c r="I140" i="113" s="1"/>
  <c r="K140" i="113" s="1"/>
  <c r="C192" i="72"/>
  <c r="L191" i="72"/>
  <c r="K191" i="72"/>
  <c r="J191" i="72"/>
  <c r="I191" i="72"/>
  <c r="M191" i="72" s="1"/>
  <c r="O191" i="72" s="1"/>
  <c r="H191" i="72"/>
  <c r="G191" i="72"/>
  <c r="F191" i="72"/>
  <c r="E191" i="72"/>
  <c r="D191" i="72"/>
  <c r="G139" i="113" s="1"/>
  <c r="I139" i="113" s="1"/>
  <c r="K139" i="113" s="1"/>
  <c r="C191" i="72"/>
  <c r="L190" i="72"/>
  <c r="K190" i="72"/>
  <c r="J190" i="72"/>
  <c r="I190" i="72"/>
  <c r="H190" i="72"/>
  <c r="G190" i="72"/>
  <c r="F190" i="72"/>
  <c r="E190" i="72"/>
  <c r="D190" i="72"/>
  <c r="G138" i="113" s="1"/>
  <c r="I138" i="113" s="1"/>
  <c r="K138" i="113" s="1"/>
  <c r="C190" i="72"/>
  <c r="L189" i="72"/>
  <c r="K189" i="72"/>
  <c r="J189" i="72"/>
  <c r="I189" i="72"/>
  <c r="H189" i="72"/>
  <c r="G189" i="72"/>
  <c r="F189" i="72"/>
  <c r="E189" i="72"/>
  <c r="D189" i="72"/>
  <c r="G137" i="113" s="1"/>
  <c r="I137" i="113" s="1"/>
  <c r="C189" i="72"/>
  <c r="L188" i="72"/>
  <c r="K188" i="72"/>
  <c r="J188" i="72"/>
  <c r="I188" i="72"/>
  <c r="H188" i="72"/>
  <c r="G188" i="72"/>
  <c r="F188" i="72"/>
  <c r="E188" i="72"/>
  <c r="D188" i="72"/>
  <c r="C188" i="72"/>
  <c r="L187" i="72"/>
  <c r="K187" i="72"/>
  <c r="J187" i="72"/>
  <c r="I187" i="72"/>
  <c r="H187" i="72"/>
  <c r="G187" i="72"/>
  <c r="F187" i="72"/>
  <c r="E187" i="72"/>
  <c r="D187" i="72"/>
  <c r="C187" i="72"/>
  <c r="L186" i="72"/>
  <c r="K186" i="72"/>
  <c r="J186" i="72"/>
  <c r="I186" i="72"/>
  <c r="H186" i="72"/>
  <c r="G186" i="72"/>
  <c r="F186" i="72"/>
  <c r="E186" i="72"/>
  <c r="D186" i="72"/>
  <c r="C186" i="72"/>
  <c r="L185" i="72"/>
  <c r="K185" i="72"/>
  <c r="J185" i="72"/>
  <c r="I185" i="72"/>
  <c r="H185" i="72"/>
  <c r="G185" i="72"/>
  <c r="F185" i="72"/>
  <c r="E185" i="72"/>
  <c r="M185" i="72" s="1"/>
  <c r="O185" i="72" s="1"/>
  <c r="D185" i="72"/>
  <c r="C185" i="72"/>
  <c r="L184" i="72"/>
  <c r="K184" i="72"/>
  <c r="J184" i="72"/>
  <c r="I184" i="72"/>
  <c r="H184" i="72"/>
  <c r="G184" i="72"/>
  <c r="F184" i="72"/>
  <c r="E184" i="72"/>
  <c r="D184" i="72"/>
  <c r="C184" i="72"/>
  <c r="L183" i="72"/>
  <c r="K183" i="72"/>
  <c r="J183" i="72"/>
  <c r="I183" i="72"/>
  <c r="H183" i="72"/>
  <c r="G183" i="72"/>
  <c r="F183" i="72"/>
  <c r="E183" i="72"/>
  <c r="D183" i="72"/>
  <c r="C183" i="72"/>
  <c r="L182" i="72"/>
  <c r="K182" i="72"/>
  <c r="J182" i="72"/>
  <c r="I182" i="72"/>
  <c r="H182" i="72"/>
  <c r="G182" i="72"/>
  <c r="F182" i="72"/>
  <c r="E182" i="72"/>
  <c r="D182" i="72"/>
  <c r="C182" i="72"/>
  <c r="L181" i="72"/>
  <c r="K181" i="72"/>
  <c r="J181" i="72"/>
  <c r="I181" i="72"/>
  <c r="H181" i="72"/>
  <c r="G181" i="72"/>
  <c r="F181" i="72"/>
  <c r="E181" i="72"/>
  <c r="D181" i="72"/>
  <c r="C181" i="72"/>
  <c r="L180" i="72"/>
  <c r="K180" i="72"/>
  <c r="J180" i="72"/>
  <c r="J193" i="72" s="1"/>
  <c r="I180" i="72"/>
  <c r="H180" i="72"/>
  <c r="G180" i="72"/>
  <c r="F180" i="72"/>
  <c r="E180" i="72"/>
  <c r="D180" i="72"/>
  <c r="C180" i="72"/>
  <c r="L179" i="72"/>
  <c r="K179" i="72"/>
  <c r="J179" i="72"/>
  <c r="I179" i="72"/>
  <c r="H179" i="72"/>
  <c r="G179" i="72"/>
  <c r="F179" i="72"/>
  <c r="E179" i="72"/>
  <c r="D179" i="72"/>
  <c r="C179" i="72"/>
  <c r="N177" i="72"/>
  <c r="L176" i="72"/>
  <c r="K176" i="72"/>
  <c r="J176" i="72"/>
  <c r="I176" i="72"/>
  <c r="M176" i="72" s="1"/>
  <c r="O176" i="72" s="1"/>
  <c r="H176" i="72"/>
  <c r="G176" i="72"/>
  <c r="F176" i="72"/>
  <c r="E176" i="72"/>
  <c r="D176" i="72"/>
  <c r="C176" i="72"/>
  <c r="L175" i="72"/>
  <c r="K175" i="72"/>
  <c r="J175" i="72"/>
  <c r="J177" i="72" s="1"/>
  <c r="I175" i="72"/>
  <c r="H175" i="72"/>
  <c r="G175" i="72"/>
  <c r="F175" i="72"/>
  <c r="E175" i="72"/>
  <c r="D175" i="72"/>
  <c r="C175" i="72"/>
  <c r="L174" i="72"/>
  <c r="L177" i="72" s="1"/>
  <c r="K174" i="72"/>
  <c r="K177" i="72" s="1"/>
  <c r="J174" i="72"/>
  <c r="I174" i="72"/>
  <c r="H174" i="72"/>
  <c r="H177" i="72" s="1"/>
  <c r="G174" i="72"/>
  <c r="G177" i="72" s="1"/>
  <c r="F174" i="72"/>
  <c r="F177" i="72" s="1"/>
  <c r="E174" i="72"/>
  <c r="E177" i="72" s="1"/>
  <c r="D174" i="72"/>
  <c r="G130" i="113" s="1"/>
  <c r="C174" i="72"/>
  <c r="M173" i="72"/>
  <c r="C173" i="72"/>
  <c r="N165" i="72"/>
  <c r="L162" i="72"/>
  <c r="K162" i="72"/>
  <c r="J162" i="72"/>
  <c r="I162" i="72"/>
  <c r="H162" i="72"/>
  <c r="G162" i="72"/>
  <c r="F162" i="72"/>
  <c r="E162" i="72"/>
  <c r="D162" i="72"/>
  <c r="G116" i="113" s="1"/>
  <c r="I116" i="113" s="1"/>
  <c r="K116" i="113" s="1"/>
  <c r="C162" i="72"/>
  <c r="C116" i="113" s="1"/>
  <c r="E116" i="113" s="1"/>
  <c r="L161" i="72"/>
  <c r="K161" i="72"/>
  <c r="J161" i="72"/>
  <c r="I161" i="72"/>
  <c r="M161" i="72" s="1"/>
  <c r="O161" i="72" s="1"/>
  <c r="H161" i="72"/>
  <c r="G161" i="72"/>
  <c r="F161" i="72"/>
  <c r="E161" i="72"/>
  <c r="D161" i="72"/>
  <c r="G115" i="113" s="1"/>
  <c r="I115" i="113" s="1"/>
  <c r="K115" i="113" s="1"/>
  <c r="C161" i="72"/>
  <c r="L160" i="72"/>
  <c r="K160" i="72"/>
  <c r="J160" i="72"/>
  <c r="I160" i="72"/>
  <c r="H160" i="72"/>
  <c r="G160" i="72"/>
  <c r="F160" i="72"/>
  <c r="E160" i="72"/>
  <c r="D160" i="72"/>
  <c r="G114" i="113" s="1"/>
  <c r="I114" i="113" s="1"/>
  <c r="K114" i="113" s="1"/>
  <c r="C160" i="72"/>
  <c r="C114" i="113" s="1"/>
  <c r="E114" i="113" s="1"/>
  <c r="L159" i="72"/>
  <c r="K159" i="72"/>
  <c r="J159" i="72"/>
  <c r="I159" i="72"/>
  <c r="H159" i="72"/>
  <c r="G159" i="72"/>
  <c r="F159" i="72"/>
  <c r="E159" i="72"/>
  <c r="D159" i="72"/>
  <c r="G113" i="113" s="1"/>
  <c r="I113" i="113" s="1"/>
  <c r="C159" i="72"/>
  <c r="C113" i="113" s="1"/>
  <c r="E113" i="113" s="1"/>
  <c r="L158" i="72"/>
  <c r="K158" i="72"/>
  <c r="J158" i="72"/>
  <c r="I158" i="72"/>
  <c r="H158" i="72"/>
  <c r="G158" i="72"/>
  <c r="F158" i="72"/>
  <c r="E158" i="72"/>
  <c r="D158" i="72"/>
  <c r="C158" i="72"/>
  <c r="L157" i="72"/>
  <c r="K157" i="72"/>
  <c r="J157" i="72"/>
  <c r="I157" i="72"/>
  <c r="H157" i="72"/>
  <c r="G157" i="72"/>
  <c r="F157" i="72"/>
  <c r="E157" i="72"/>
  <c r="D157" i="72"/>
  <c r="C157" i="72"/>
  <c r="L156" i="72"/>
  <c r="K156" i="72"/>
  <c r="J156" i="72"/>
  <c r="I156" i="72"/>
  <c r="H156" i="72"/>
  <c r="G156" i="72"/>
  <c r="F156" i="72"/>
  <c r="E156" i="72"/>
  <c r="D156" i="72"/>
  <c r="G112" i="113" s="1"/>
  <c r="I112" i="113" s="1"/>
  <c r="K112" i="113" s="1"/>
  <c r="C156" i="72"/>
  <c r="L155" i="72"/>
  <c r="K155" i="72"/>
  <c r="J155" i="72"/>
  <c r="I155" i="72"/>
  <c r="H155" i="72"/>
  <c r="G155" i="72"/>
  <c r="F155" i="72"/>
  <c r="E155" i="72"/>
  <c r="M155" i="72" s="1"/>
  <c r="O155" i="72" s="1"/>
  <c r="D155" i="72"/>
  <c r="C155" i="72"/>
  <c r="L154" i="72"/>
  <c r="K154" i="72"/>
  <c r="J154" i="72"/>
  <c r="I154" i="72"/>
  <c r="H154" i="72"/>
  <c r="G154" i="72"/>
  <c r="F154" i="72"/>
  <c r="E154" i="72"/>
  <c r="D154" i="72"/>
  <c r="C154" i="72"/>
  <c r="L153" i="72"/>
  <c r="K153" i="72"/>
  <c r="J153" i="72"/>
  <c r="I153" i="72"/>
  <c r="H153" i="72"/>
  <c r="G153" i="72"/>
  <c r="F153" i="72"/>
  <c r="E153" i="72"/>
  <c r="D153" i="72"/>
  <c r="C153" i="72"/>
  <c r="L152" i="72"/>
  <c r="K152" i="72"/>
  <c r="J152" i="72"/>
  <c r="I152" i="72"/>
  <c r="H152" i="72"/>
  <c r="G152" i="72"/>
  <c r="F152" i="72"/>
  <c r="E152" i="72"/>
  <c r="D152" i="72"/>
  <c r="C152" i="72"/>
  <c r="L151" i="72"/>
  <c r="K151" i="72"/>
  <c r="J151" i="72"/>
  <c r="I151" i="72"/>
  <c r="H151" i="72"/>
  <c r="G151" i="72"/>
  <c r="F151" i="72"/>
  <c r="E151" i="72"/>
  <c r="D151" i="72"/>
  <c r="C151" i="72"/>
  <c r="L150" i="72"/>
  <c r="K150" i="72"/>
  <c r="J150" i="72"/>
  <c r="I150" i="72"/>
  <c r="H150" i="72"/>
  <c r="G150" i="72"/>
  <c r="F150" i="72"/>
  <c r="E150" i="72"/>
  <c r="D150" i="72"/>
  <c r="G111" i="113" s="1"/>
  <c r="C150" i="72"/>
  <c r="L149" i="72"/>
  <c r="K149" i="72"/>
  <c r="J149" i="72"/>
  <c r="I149" i="72"/>
  <c r="H149" i="72"/>
  <c r="G149" i="72"/>
  <c r="F149" i="72"/>
  <c r="E149" i="72"/>
  <c r="D149" i="72"/>
  <c r="C149" i="72"/>
  <c r="N147" i="72"/>
  <c r="L146" i="72"/>
  <c r="K146" i="72"/>
  <c r="J146" i="72"/>
  <c r="I146" i="72"/>
  <c r="H146" i="72"/>
  <c r="G146" i="72"/>
  <c r="F146" i="72"/>
  <c r="E146" i="72"/>
  <c r="D146" i="72"/>
  <c r="C146" i="72"/>
  <c r="L145" i="72"/>
  <c r="K145" i="72"/>
  <c r="J145" i="72"/>
  <c r="I145" i="72"/>
  <c r="H145" i="72"/>
  <c r="G145" i="72"/>
  <c r="F145" i="72"/>
  <c r="E145" i="72"/>
  <c r="D145" i="72"/>
  <c r="C145" i="72"/>
  <c r="L144" i="72"/>
  <c r="L147" i="72" s="1"/>
  <c r="K144" i="72"/>
  <c r="J144" i="72"/>
  <c r="I144" i="72"/>
  <c r="H144" i="72"/>
  <c r="H147" i="72" s="1"/>
  <c r="G144" i="72"/>
  <c r="G147" i="72" s="1"/>
  <c r="F144" i="72"/>
  <c r="F147" i="72" s="1"/>
  <c r="E144" i="72"/>
  <c r="E147" i="72" s="1"/>
  <c r="D144" i="72"/>
  <c r="G106" i="113" s="1"/>
  <c r="C144" i="72"/>
  <c r="C106" i="113" s="1"/>
  <c r="E106" i="113" s="1"/>
  <c r="C143" i="72"/>
  <c r="C105" i="113" s="1"/>
  <c r="N133" i="72"/>
  <c r="L132" i="72"/>
  <c r="K132" i="72"/>
  <c r="J132" i="72"/>
  <c r="I132" i="72"/>
  <c r="H132" i="72"/>
  <c r="G132" i="72"/>
  <c r="F132" i="72"/>
  <c r="E132" i="72"/>
  <c r="D132" i="72"/>
  <c r="G92" i="113" s="1"/>
  <c r="I92" i="113" s="1"/>
  <c r="C132" i="72"/>
  <c r="L131" i="72"/>
  <c r="K131" i="72"/>
  <c r="J131" i="72"/>
  <c r="I131" i="72"/>
  <c r="H131" i="72"/>
  <c r="G131" i="72"/>
  <c r="F131" i="72"/>
  <c r="E131" i="72"/>
  <c r="D131" i="72"/>
  <c r="G91" i="113" s="1"/>
  <c r="I91" i="113" s="1"/>
  <c r="K91" i="113" s="1"/>
  <c r="C131" i="72"/>
  <c r="L130" i="72"/>
  <c r="K130" i="72"/>
  <c r="J130" i="72"/>
  <c r="I130" i="72"/>
  <c r="H130" i="72"/>
  <c r="G130" i="72"/>
  <c r="F130" i="72"/>
  <c r="E130" i="72"/>
  <c r="M130" i="72" s="1"/>
  <c r="D130" i="72"/>
  <c r="G90" i="113" s="1"/>
  <c r="I90" i="113" s="1"/>
  <c r="K90" i="113" s="1"/>
  <c r="C130" i="72"/>
  <c r="L129" i="72"/>
  <c r="K129" i="72"/>
  <c r="J129" i="72"/>
  <c r="I129" i="72"/>
  <c r="H129" i="72"/>
  <c r="G129" i="72"/>
  <c r="F129" i="72"/>
  <c r="E129" i="72"/>
  <c r="M129" i="72" s="1"/>
  <c r="D129" i="72"/>
  <c r="G89" i="113" s="1"/>
  <c r="I89" i="113" s="1"/>
  <c r="C129" i="72"/>
  <c r="L128" i="72"/>
  <c r="K128" i="72"/>
  <c r="J128" i="72"/>
  <c r="I128" i="72"/>
  <c r="M128" i="72" s="1"/>
  <c r="H128" i="72"/>
  <c r="G128" i="72"/>
  <c r="F128" i="72"/>
  <c r="E128" i="72"/>
  <c r="D128" i="72"/>
  <c r="C128" i="72"/>
  <c r="L127" i="72"/>
  <c r="K127" i="72"/>
  <c r="J127" i="72"/>
  <c r="I127" i="72"/>
  <c r="H127" i="72"/>
  <c r="G127" i="72"/>
  <c r="F127" i="72"/>
  <c r="E127" i="72"/>
  <c r="D127" i="72"/>
  <c r="C127" i="72"/>
  <c r="L126" i="72"/>
  <c r="K126" i="72"/>
  <c r="J126" i="72"/>
  <c r="I126" i="72"/>
  <c r="H126" i="72"/>
  <c r="G126" i="72"/>
  <c r="F126" i="72"/>
  <c r="E126" i="72"/>
  <c r="D126" i="72"/>
  <c r="C126" i="72"/>
  <c r="L125" i="72"/>
  <c r="K125" i="72"/>
  <c r="J125" i="72"/>
  <c r="I125" i="72"/>
  <c r="H125" i="72"/>
  <c r="G125" i="72"/>
  <c r="F125" i="72"/>
  <c r="E125" i="72"/>
  <c r="D125" i="72"/>
  <c r="C125" i="72"/>
  <c r="L124" i="72"/>
  <c r="K124" i="72"/>
  <c r="J124" i="72"/>
  <c r="I124" i="72"/>
  <c r="H124" i="72"/>
  <c r="G124" i="72"/>
  <c r="F124" i="72"/>
  <c r="M124" i="72" s="1"/>
  <c r="E124" i="72"/>
  <c r="D124" i="72"/>
  <c r="C124" i="72"/>
  <c r="L123" i="72"/>
  <c r="K123" i="72"/>
  <c r="J123" i="72"/>
  <c r="I123" i="72"/>
  <c r="H123" i="72"/>
  <c r="G123" i="72"/>
  <c r="F123" i="72"/>
  <c r="E123" i="72"/>
  <c r="M123" i="72" s="1"/>
  <c r="D123" i="72"/>
  <c r="C123" i="72"/>
  <c r="L122" i="72"/>
  <c r="K122" i="72"/>
  <c r="J122" i="72"/>
  <c r="I122" i="72"/>
  <c r="H122" i="72"/>
  <c r="G122" i="72"/>
  <c r="F122" i="72"/>
  <c r="E122" i="72"/>
  <c r="D122" i="72"/>
  <c r="C122" i="72"/>
  <c r="L121" i="72"/>
  <c r="K121" i="72"/>
  <c r="J121" i="72"/>
  <c r="I121" i="72"/>
  <c r="H121" i="72"/>
  <c r="G121" i="72"/>
  <c r="F121" i="72"/>
  <c r="E121" i="72"/>
  <c r="D121" i="72"/>
  <c r="C121" i="72"/>
  <c r="L120" i="72"/>
  <c r="K120" i="72"/>
  <c r="J120" i="72"/>
  <c r="I120" i="72"/>
  <c r="H120" i="72"/>
  <c r="G120" i="72"/>
  <c r="F120" i="72"/>
  <c r="E120" i="72"/>
  <c r="D120" i="72"/>
  <c r="C120" i="72"/>
  <c r="L119" i="72"/>
  <c r="K119" i="72"/>
  <c r="J119" i="72"/>
  <c r="I119" i="72"/>
  <c r="H119" i="72"/>
  <c r="G119" i="72"/>
  <c r="F119" i="72"/>
  <c r="E119" i="72"/>
  <c r="D119" i="72"/>
  <c r="C119" i="72"/>
  <c r="N117" i="72"/>
  <c r="L116" i="72"/>
  <c r="K116" i="72"/>
  <c r="J116" i="72"/>
  <c r="I116" i="72"/>
  <c r="O116" i="72" s="1"/>
  <c r="P116" i="72" s="1"/>
  <c r="H116" i="72"/>
  <c r="G116" i="72"/>
  <c r="F116" i="72"/>
  <c r="E116" i="72"/>
  <c r="D116" i="72"/>
  <c r="C116" i="72"/>
  <c r="L115" i="72"/>
  <c r="K115" i="72"/>
  <c r="J115" i="72"/>
  <c r="O115" i="72" s="1"/>
  <c r="I115" i="72"/>
  <c r="H115" i="72"/>
  <c r="G115" i="72"/>
  <c r="F115" i="72"/>
  <c r="E115" i="72"/>
  <c r="D115" i="72"/>
  <c r="C115" i="72"/>
  <c r="L114" i="72"/>
  <c r="L117" i="72" s="1"/>
  <c r="K114" i="72"/>
  <c r="K117" i="72" s="1"/>
  <c r="J114" i="72"/>
  <c r="I114" i="72"/>
  <c r="H114" i="72"/>
  <c r="H117" i="72" s="1"/>
  <c r="G114" i="72"/>
  <c r="G117" i="72" s="1"/>
  <c r="F114" i="72"/>
  <c r="F117" i="72" s="1"/>
  <c r="E114" i="72"/>
  <c r="D114" i="72"/>
  <c r="G82" i="113" s="1"/>
  <c r="C114" i="72"/>
  <c r="C113" i="72"/>
  <c r="N103" i="72"/>
  <c r="L102" i="72"/>
  <c r="K102" i="72"/>
  <c r="J102" i="72"/>
  <c r="I102" i="72"/>
  <c r="H102" i="72"/>
  <c r="G102" i="72"/>
  <c r="F102" i="72"/>
  <c r="E102" i="72"/>
  <c r="M102" i="72" s="1"/>
  <c r="O102" i="72" s="1"/>
  <c r="P102" i="72" s="1"/>
  <c r="D102" i="72"/>
  <c r="C102" i="72"/>
  <c r="L101" i="72"/>
  <c r="K101" i="72"/>
  <c r="J101" i="72"/>
  <c r="I101" i="72"/>
  <c r="H101" i="72"/>
  <c r="G101" i="72"/>
  <c r="F101" i="72"/>
  <c r="E101" i="72"/>
  <c r="C101" i="72"/>
  <c r="L100" i="72"/>
  <c r="K100" i="72"/>
  <c r="J100" i="72"/>
  <c r="I100" i="72"/>
  <c r="H100" i="72"/>
  <c r="G100" i="72"/>
  <c r="F100" i="72"/>
  <c r="E100" i="72"/>
  <c r="C100" i="72"/>
  <c r="L99" i="72"/>
  <c r="K99" i="72"/>
  <c r="J99" i="72"/>
  <c r="I99" i="72"/>
  <c r="H99" i="72"/>
  <c r="G99" i="72"/>
  <c r="F99" i="72"/>
  <c r="E99" i="72"/>
  <c r="C99" i="72"/>
  <c r="L98" i="72"/>
  <c r="M98" i="72" s="1"/>
  <c r="O98" i="72" s="1"/>
  <c r="K98" i="72"/>
  <c r="J98" i="72"/>
  <c r="I98" i="72"/>
  <c r="H98" i="72"/>
  <c r="G98" i="72"/>
  <c r="F98" i="72"/>
  <c r="E98" i="72"/>
  <c r="D98" i="72"/>
  <c r="C98" i="72"/>
  <c r="L97" i="72"/>
  <c r="K97" i="72"/>
  <c r="J97" i="72"/>
  <c r="I97" i="72"/>
  <c r="H97" i="72"/>
  <c r="G97" i="72"/>
  <c r="F97" i="72"/>
  <c r="E97" i="72"/>
  <c r="C97" i="72"/>
  <c r="L96" i="72"/>
  <c r="K96" i="72"/>
  <c r="J96" i="72"/>
  <c r="I96" i="72"/>
  <c r="H96" i="72"/>
  <c r="G96" i="72"/>
  <c r="F96" i="72"/>
  <c r="E96" i="72"/>
  <c r="C96" i="72"/>
  <c r="L95" i="72"/>
  <c r="K95" i="72"/>
  <c r="J95" i="72"/>
  <c r="I95" i="72"/>
  <c r="H95" i="72"/>
  <c r="G95" i="72"/>
  <c r="F95" i="72"/>
  <c r="E95" i="72"/>
  <c r="M95" i="72" s="1"/>
  <c r="O95" i="72" s="1"/>
  <c r="D95" i="72"/>
  <c r="C95" i="72"/>
  <c r="L94" i="72"/>
  <c r="K94" i="72"/>
  <c r="J94" i="72"/>
  <c r="I94" i="72"/>
  <c r="H94" i="72"/>
  <c r="G94" i="72"/>
  <c r="F94" i="72"/>
  <c r="E94" i="72"/>
  <c r="D94" i="72"/>
  <c r="C94" i="72"/>
  <c r="L93" i="72"/>
  <c r="K93" i="72"/>
  <c r="J93" i="72"/>
  <c r="I93" i="72"/>
  <c r="H93" i="72"/>
  <c r="G93" i="72"/>
  <c r="F93" i="72"/>
  <c r="E93" i="72"/>
  <c r="C93" i="72"/>
  <c r="L92" i="72"/>
  <c r="K92" i="72"/>
  <c r="J92" i="72"/>
  <c r="I92" i="72"/>
  <c r="H92" i="72"/>
  <c r="G92" i="72"/>
  <c r="F92" i="72"/>
  <c r="E92" i="72"/>
  <c r="C92" i="72"/>
  <c r="L91" i="72"/>
  <c r="K91" i="72"/>
  <c r="J91" i="72"/>
  <c r="I91" i="72"/>
  <c r="H91" i="72"/>
  <c r="G91" i="72"/>
  <c r="F91" i="72"/>
  <c r="E91" i="72"/>
  <c r="C91" i="72"/>
  <c r="L90" i="72"/>
  <c r="L103" i="72" s="1"/>
  <c r="K90" i="72"/>
  <c r="K103" i="72" s="1"/>
  <c r="J90" i="72"/>
  <c r="I90" i="72"/>
  <c r="H90" i="72"/>
  <c r="G90" i="72"/>
  <c r="F90" i="72"/>
  <c r="E90" i="72"/>
  <c r="C90" i="72"/>
  <c r="L89" i="72"/>
  <c r="K89" i="72"/>
  <c r="J89" i="72"/>
  <c r="I89" i="72"/>
  <c r="H89" i="72"/>
  <c r="G89" i="72"/>
  <c r="F89" i="72"/>
  <c r="E89" i="72"/>
  <c r="D89" i="72"/>
  <c r="C89" i="72"/>
  <c r="N87" i="72"/>
  <c r="N105" i="72" s="1"/>
  <c r="L86" i="72"/>
  <c r="K86" i="72"/>
  <c r="J86" i="72"/>
  <c r="I86" i="72"/>
  <c r="M86" i="72" s="1"/>
  <c r="O86" i="72" s="1"/>
  <c r="H86" i="72"/>
  <c r="G86" i="72"/>
  <c r="F86" i="72"/>
  <c r="E86" i="72"/>
  <c r="E87" i="72" s="1"/>
  <c r="D86" i="72"/>
  <c r="C86" i="72"/>
  <c r="L85" i="72"/>
  <c r="K85" i="72"/>
  <c r="J85" i="72"/>
  <c r="M85" i="72" s="1"/>
  <c r="O85" i="72" s="1"/>
  <c r="I85" i="72"/>
  <c r="H85" i="72"/>
  <c r="G85" i="72"/>
  <c r="F85" i="72"/>
  <c r="E85" i="72"/>
  <c r="D85" i="72"/>
  <c r="C85" i="72"/>
  <c r="L84" i="72"/>
  <c r="L87" i="72" s="1"/>
  <c r="K84" i="72"/>
  <c r="J84" i="72"/>
  <c r="I84" i="72"/>
  <c r="H84" i="72"/>
  <c r="H87" i="72" s="1"/>
  <c r="G84" i="72"/>
  <c r="G87" i="72" s="1"/>
  <c r="F84" i="72"/>
  <c r="E84" i="72"/>
  <c r="C84" i="72"/>
  <c r="C83" i="72"/>
  <c r="G58" i="72"/>
  <c r="L66" i="72"/>
  <c r="K66" i="72"/>
  <c r="J66" i="72"/>
  <c r="I66" i="72"/>
  <c r="H66" i="72"/>
  <c r="G66" i="72"/>
  <c r="F66" i="72"/>
  <c r="E66" i="72"/>
  <c r="L65" i="72"/>
  <c r="K65" i="72"/>
  <c r="J65" i="72"/>
  <c r="L64" i="72"/>
  <c r="K64" i="72"/>
  <c r="J64" i="72"/>
  <c r="I64" i="72"/>
  <c r="H64" i="72"/>
  <c r="L63" i="72"/>
  <c r="K63" i="72"/>
  <c r="J63" i="72"/>
  <c r="I63" i="72"/>
  <c r="H63" i="72"/>
  <c r="G63" i="72"/>
  <c r="F63" i="72"/>
  <c r="E63" i="72"/>
  <c r="L62" i="72"/>
  <c r="K62" i="72"/>
  <c r="J62" i="72"/>
  <c r="I62" i="72"/>
  <c r="H62" i="72"/>
  <c r="G62" i="72"/>
  <c r="F62" i="72"/>
  <c r="E62" i="72"/>
  <c r="L61" i="72"/>
  <c r="K61" i="72"/>
  <c r="J61" i="72"/>
  <c r="I61" i="72"/>
  <c r="H61" i="72"/>
  <c r="G61" i="72"/>
  <c r="F61" i="72"/>
  <c r="E61" i="72"/>
  <c r="L60" i="72"/>
  <c r="K60" i="72"/>
  <c r="J60" i="72"/>
  <c r="I60" i="72"/>
  <c r="H60" i="72"/>
  <c r="L59" i="72"/>
  <c r="K59" i="72"/>
  <c r="J59" i="72"/>
  <c r="I59" i="72"/>
  <c r="H59" i="72"/>
  <c r="G59" i="72"/>
  <c r="F59" i="72"/>
  <c r="E59" i="72"/>
  <c r="L58" i="72"/>
  <c r="K58" i="72"/>
  <c r="I58" i="72"/>
  <c r="H58" i="72"/>
  <c r="L57" i="72"/>
  <c r="K57" i="72"/>
  <c r="I57" i="72"/>
  <c r="H57" i="72"/>
  <c r="L56" i="72"/>
  <c r="K56" i="72"/>
  <c r="I56" i="72"/>
  <c r="H56" i="72"/>
  <c r="L55" i="72"/>
  <c r="L67" i="72" s="1"/>
  <c r="K55" i="72"/>
  <c r="K67" i="72" s="1"/>
  <c r="I55" i="72"/>
  <c r="H55" i="72"/>
  <c r="L54" i="72"/>
  <c r="K54" i="72"/>
  <c r="I54" i="72"/>
  <c r="H54" i="72"/>
  <c r="G54" i="72"/>
  <c r="L53" i="72"/>
  <c r="K53" i="72"/>
  <c r="J53" i="72"/>
  <c r="I53" i="72"/>
  <c r="H53" i="72"/>
  <c r="G53" i="72"/>
  <c r="F53" i="72"/>
  <c r="E53" i="72"/>
  <c r="L50" i="72"/>
  <c r="K50" i="72"/>
  <c r="J50" i="72"/>
  <c r="I50" i="72"/>
  <c r="H50" i="72"/>
  <c r="G50" i="72"/>
  <c r="F50" i="72"/>
  <c r="E50" i="72"/>
  <c r="L49" i="72"/>
  <c r="K49" i="72"/>
  <c r="L48" i="72"/>
  <c r="L51" i="72" s="1"/>
  <c r="K48" i="72"/>
  <c r="K51" i="72" s="1"/>
  <c r="D66" i="72"/>
  <c r="D63" i="72"/>
  <c r="D62" i="72"/>
  <c r="D61" i="72"/>
  <c r="D53" i="72"/>
  <c r="D50" i="72"/>
  <c r="C66" i="72"/>
  <c r="C63" i="72"/>
  <c r="C62" i="72"/>
  <c r="C61" i="72"/>
  <c r="C59" i="72"/>
  <c r="C53" i="72"/>
  <c r="C50" i="72"/>
  <c r="C47" i="72"/>
  <c r="J58" i="72"/>
  <c r="J57" i="72"/>
  <c r="J56" i="72"/>
  <c r="J55" i="72"/>
  <c r="J54" i="72"/>
  <c r="J49" i="72"/>
  <c r="I65" i="72"/>
  <c r="I49" i="72"/>
  <c r="H65" i="72"/>
  <c r="H49" i="72"/>
  <c r="D25" i="154"/>
  <c r="E60" i="72"/>
  <c r="E65" i="72"/>
  <c r="E58" i="72"/>
  <c r="E57" i="72"/>
  <c r="E56" i="72"/>
  <c r="E55" i="72"/>
  <c r="E54" i="72"/>
  <c r="E49" i="72"/>
  <c r="G60" i="72"/>
  <c r="G65" i="72"/>
  <c r="G57" i="72"/>
  <c r="G56" i="72"/>
  <c r="G55" i="72"/>
  <c r="G49" i="72"/>
  <c r="F65" i="72"/>
  <c r="F60" i="72"/>
  <c r="F58" i="72"/>
  <c r="F57" i="72"/>
  <c r="F56" i="72"/>
  <c r="F55" i="72"/>
  <c r="F54" i="72"/>
  <c r="F49" i="72"/>
  <c r="D66" i="164"/>
  <c r="D65" i="164"/>
  <c r="D65" i="72" s="1"/>
  <c r="D64" i="164"/>
  <c r="D63" i="164"/>
  <c r="D62" i="164"/>
  <c r="D61" i="164"/>
  <c r="D60" i="164"/>
  <c r="D60" i="72" s="1"/>
  <c r="D59" i="164"/>
  <c r="D59" i="72" s="1"/>
  <c r="D58" i="164"/>
  <c r="D58" i="72" s="1"/>
  <c r="D57" i="164"/>
  <c r="D57" i="72" s="1"/>
  <c r="D56" i="164"/>
  <c r="D56" i="72" s="1"/>
  <c r="D55" i="164"/>
  <c r="D55" i="72" s="1"/>
  <c r="D54" i="164"/>
  <c r="D54" i="72" s="1"/>
  <c r="D50" i="164"/>
  <c r="D49" i="164"/>
  <c r="D49" i="72" s="1"/>
  <c r="D48" i="164"/>
  <c r="D47" i="164"/>
  <c r="C65" i="72"/>
  <c r="C45" i="113" s="1"/>
  <c r="E45" i="113" s="1"/>
  <c r="C60" i="72"/>
  <c r="C42" i="113" s="1"/>
  <c r="E42" i="113" s="1"/>
  <c r="C58" i="72"/>
  <c r="C57" i="72"/>
  <c r="C56" i="72"/>
  <c r="C55" i="72"/>
  <c r="C54" i="72"/>
  <c r="C49" i="72"/>
  <c r="C37" i="113" s="1"/>
  <c r="E37" i="113" s="1"/>
  <c r="J48" i="72"/>
  <c r="H48" i="72"/>
  <c r="E48" i="72"/>
  <c r="F48" i="72"/>
  <c r="D66" i="163"/>
  <c r="D65" i="163"/>
  <c r="D64" i="163"/>
  <c r="D64" i="72" s="1"/>
  <c r="D63" i="163"/>
  <c r="D62" i="163"/>
  <c r="D61" i="163"/>
  <c r="D60" i="163"/>
  <c r="D59" i="163"/>
  <c r="D58" i="163"/>
  <c r="D57" i="163"/>
  <c r="D56" i="163"/>
  <c r="D55" i="163"/>
  <c r="D54" i="163"/>
  <c r="D50" i="163"/>
  <c r="D49" i="163"/>
  <c r="D48" i="163"/>
  <c r="D48" i="72" s="1"/>
  <c r="D51" i="72" s="1"/>
  <c r="D47" i="163"/>
  <c r="C21" i="113"/>
  <c r="E21" i="113" s="1"/>
  <c r="C13" i="113"/>
  <c r="E13" i="113" s="1"/>
  <c r="C41" i="113" l="1"/>
  <c r="C18" i="113"/>
  <c r="C108" i="113"/>
  <c r="E105" i="113"/>
  <c r="E108" i="113" s="1"/>
  <c r="I106" i="113"/>
  <c r="G108" i="113"/>
  <c r="I111" i="113"/>
  <c r="G117" i="113"/>
  <c r="G118" i="113" s="1"/>
  <c r="AA104" i="113" s="1"/>
  <c r="C111" i="113"/>
  <c r="C112" i="113"/>
  <c r="E112" i="113" s="1"/>
  <c r="C164" i="113"/>
  <c r="E164" i="113" s="1"/>
  <c r="G165" i="113"/>
  <c r="I159" i="113"/>
  <c r="C162" i="113"/>
  <c r="E162" i="113" s="1"/>
  <c r="C161" i="113"/>
  <c r="E161" i="113" s="1"/>
  <c r="C154" i="113"/>
  <c r="E154" i="113" s="1"/>
  <c r="C159" i="113"/>
  <c r="I154" i="113"/>
  <c r="G156" i="113"/>
  <c r="C160" i="113"/>
  <c r="E160" i="113" s="1"/>
  <c r="C153" i="113"/>
  <c r="C137" i="113"/>
  <c r="E137" i="113" s="1"/>
  <c r="C130" i="113"/>
  <c r="E130" i="113" s="1"/>
  <c r="I130" i="113"/>
  <c r="G132" i="113"/>
  <c r="P191" i="72"/>
  <c r="C135" i="113"/>
  <c r="E135" i="113" s="1"/>
  <c r="C136" i="113"/>
  <c r="E136" i="113" s="1"/>
  <c r="C140" i="113"/>
  <c r="E140" i="113" s="1"/>
  <c r="G135" i="113"/>
  <c r="G136" i="113"/>
  <c r="I136" i="113" s="1"/>
  <c r="K136" i="113" s="1"/>
  <c r="C138" i="113"/>
  <c r="C129" i="113"/>
  <c r="M121" i="72"/>
  <c r="O121" i="72" s="1"/>
  <c r="P121" i="72" s="1"/>
  <c r="J133" i="72"/>
  <c r="C58" i="113"/>
  <c r="C59" i="113"/>
  <c r="E59" i="113" s="1"/>
  <c r="C65" i="113"/>
  <c r="E65" i="113" s="1"/>
  <c r="C67" i="113"/>
  <c r="E67" i="113" s="1"/>
  <c r="C68" i="113"/>
  <c r="E68" i="113" s="1"/>
  <c r="C64" i="113"/>
  <c r="C66" i="113"/>
  <c r="M122" i="72"/>
  <c r="O122" i="72" s="1"/>
  <c r="P122" i="72" s="1"/>
  <c r="G87" i="113"/>
  <c r="G88" i="113"/>
  <c r="I88" i="113" s="1"/>
  <c r="K88" i="113" s="1"/>
  <c r="C91" i="113"/>
  <c r="E91" i="113" s="1"/>
  <c r="C81" i="113"/>
  <c r="C82" i="113"/>
  <c r="E82" i="113" s="1"/>
  <c r="C87" i="113"/>
  <c r="C92" i="113"/>
  <c r="E92" i="113" s="1"/>
  <c r="I82" i="113"/>
  <c r="G84" i="113"/>
  <c r="C88" i="113"/>
  <c r="E88" i="113" s="1"/>
  <c r="C90" i="113"/>
  <c r="E90" i="113" s="1"/>
  <c r="C89" i="113"/>
  <c r="E89" i="113" s="1"/>
  <c r="M215" i="72"/>
  <c r="O215" i="72" s="1"/>
  <c r="M127" i="72"/>
  <c r="O127" i="72" s="1"/>
  <c r="P127" i="72" s="1"/>
  <c r="P215" i="72"/>
  <c r="M223" i="72"/>
  <c r="O223" i="72" s="1"/>
  <c r="P223" i="72" s="1"/>
  <c r="E163" i="72"/>
  <c r="E165" i="72" s="1"/>
  <c r="I163" i="72"/>
  <c r="M120" i="72"/>
  <c r="E133" i="72"/>
  <c r="M126" i="72"/>
  <c r="E193" i="72"/>
  <c r="E195" i="72" s="1"/>
  <c r="F163" i="72"/>
  <c r="F165" i="72" s="1"/>
  <c r="F133" i="72"/>
  <c r="F135" i="72" s="1"/>
  <c r="H133" i="72"/>
  <c r="H135" i="72" s="1"/>
  <c r="M132" i="72"/>
  <c r="O132" i="72" s="1"/>
  <c r="P132" i="72" s="1"/>
  <c r="F193" i="72"/>
  <c r="F195" i="72" s="1"/>
  <c r="H193" i="72"/>
  <c r="H195" i="72" s="1"/>
  <c r="H163" i="72"/>
  <c r="H165" i="72" s="1"/>
  <c r="G163" i="72"/>
  <c r="G165" i="72" s="1"/>
  <c r="J163" i="72"/>
  <c r="G133" i="72"/>
  <c r="G135" i="72" s="1"/>
  <c r="I133" i="72"/>
  <c r="I135" i="72" s="1"/>
  <c r="G193" i="72"/>
  <c r="G195" i="72" s="1"/>
  <c r="I193" i="72"/>
  <c r="E117" i="72"/>
  <c r="M114" i="72"/>
  <c r="O114" i="72" s="1"/>
  <c r="P114" i="72" s="1"/>
  <c r="G64" i="72"/>
  <c r="G67" i="72" s="1"/>
  <c r="M131" i="72"/>
  <c r="O131" i="72" s="1"/>
  <c r="P131" i="72" s="1"/>
  <c r="O128" i="72"/>
  <c r="P128" i="72" s="1"/>
  <c r="O125" i="72"/>
  <c r="O124" i="72"/>
  <c r="P124" i="72" s="1"/>
  <c r="P98" i="72"/>
  <c r="O120" i="72"/>
  <c r="O126" i="72"/>
  <c r="P126" i="72" s="1"/>
  <c r="O123" i="72"/>
  <c r="P123" i="72" s="1"/>
  <c r="F64" i="72"/>
  <c r="F67" i="72" s="1"/>
  <c r="G48" i="72"/>
  <c r="G51" i="72" s="1"/>
  <c r="E51" i="72"/>
  <c r="E64" i="72"/>
  <c r="I48" i="72"/>
  <c r="I51" i="72" s="1"/>
  <c r="C208" i="72"/>
  <c r="E44" i="136" s="1"/>
  <c r="P125" i="72"/>
  <c r="M97" i="72"/>
  <c r="O97" i="72" s="1"/>
  <c r="M94" i="72"/>
  <c r="O94" i="72" s="1"/>
  <c r="P94" i="72" s="1"/>
  <c r="I103" i="72"/>
  <c r="I105" i="72" s="1"/>
  <c r="M93" i="72"/>
  <c r="O93" i="72" s="1"/>
  <c r="H51" i="72"/>
  <c r="J51" i="72"/>
  <c r="C64" i="72"/>
  <c r="C44" i="113" s="1"/>
  <c r="E44" i="113" s="1"/>
  <c r="D67" i="72"/>
  <c r="D69" i="72" s="1"/>
  <c r="M182" i="72"/>
  <c r="O182" i="72" s="1"/>
  <c r="P182" i="72" s="1"/>
  <c r="M158" i="72"/>
  <c r="O158" i="72" s="1"/>
  <c r="P158" i="72" s="1"/>
  <c r="M154" i="72"/>
  <c r="O154" i="72" s="1"/>
  <c r="P154" i="72" s="1"/>
  <c r="M153" i="72"/>
  <c r="O153" i="72" s="1"/>
  <c r="P153" i="72" s="1"/>
  <c r="M157" i="72"/>
  <c r="O157" i="72" s="1"/>
  <c r="P157" i="72" s="1"/>
  <c r="J224" i="72"/>
  <c r="J226" i="72" s="1"/>
  <c r="I224" i="72"/>
  <c r="I226" i="72" s="1"/>
  <c r="H224" i="72"/>
  <c r="H226" i="72" s="1"/>
  <c r="M219" i="72"/>
  <c r="O219" i="72" s="1"/>
  <c r="P219" i="72" s="1"/>
  <c r="G224" i="72"/>
  <c r="M220" i="72"/>
  <c r="O220" i="72" s="1"/>
  <c r="P220" i="72" s="1"/>
  <c r="M218" i="72"/>
  <c r="O218" i="72" s="1"/>
  <c r="P218" i="72" s="1"/>
  <c r="M217" i="72"/>
  <c r="O217" i="72" s="1"/>
  <c r="P217" i="72" s="1"/>
  <c r="M213" i="72"/>
  <c r="O213" i="72" s="1"/>
  <c r="P213" i="72" s="1"/>
  <c r="M212" i="72"/>
  <c r="O212" i="72" s="1"/>
  <c r="P212" i="72" s="1"/>
  <c r="M211" i="72"/>
  <c r="D224" i="72"/>
  <c r="P207" i="72"/>
  <c r="D208" i="72"/>
  <c r="P206" i="72"/>
  <c r="M221" i="72"/>
  <c r="O221" i="72" s="1"/>
  <c r="P221" i="72" s="1"/>
  <c r="F224" i="72"/>
  <c r="M205" i="72"/>
  <c r="O205" i="72" s="1"/>
  <c r="P205" i="72" s="1"/>
  <c r="P222" i="72"/>
  <c r="P216" i="72"/>
  <c r="C224" i="72"/>
  <c r="F44" i="136" s="1"/>
  <c r="J195" i="72"/>
  <c r="M187" i="72"/>
  <c r="O187" i="72" s="1"/>
  <c r="P187" i="72" s="1"/>
  <c r="M186" i="72"/>
  <c r="O186" i="72" s="1"/>
  <c r="P186" i="72" s="1"/>
  <c r="M184" i="72"/>
  <c r="O184" i="72" s="1"/>
  <c r="P184" i="72" s="1"/>
  <c r="M189" i="72"/>
  <c r="O189" i="72" s="1"/>
  <c r="P189" i="72" s="1"/>
  <c r="M192" i="72"/>
  <c r="O192" i="72" s="1"/>
  <c r="P192" i="72" s="1"/>
  <c r="M188" i="72"/>
  <c r="O188" i="72" s="1"/>
  <c r="P188" i="72" s="1"/>
  <c r="M183" i="72"/>
  <c r="O183" i="72" s="1"/>
  <c r="P183" i="72" s="1"/>
  <c r="C177" i="72"/>
  <c r="M190" i="72"/>
  <c r="O190" i="72" s="1"/>
  <c r="P190" i="72" s="1"/>
  <c r="C193" i="72"/>
  <c r="P185" i="72"/>
  <c r="D193" i="72"/>
  <c r="D177" i="72"/>
  <c r="P176" i="72"/>
  <c r="M162" i="72"/>
  <c r="O162" i="72" s="1"/>
  <c r="P162" i="72" s="1"/>
  <c r="M152" i="72"/>
  <c r="O152" i="72" s="1"/>
  <c r="P152" i="72" s="1"/>
  <c r="M159" i="72"/>
  <c r="O159" i="72" s="1"/>
  <c r="P159" i="72" s="1"/>
  <c r="M151" i="72"/>
  <c r="O151" i="72" s="1"/>
  <c r="P151" i="72" s="1"/>
  <c r="D147" i="72"/>
  <c r="M160" i="72"/>
  <c r="O160" i="72" s="1"/>
  <c r="P160" i="72" s="1"/>
  <c r="M156" i="72"/>
  <c r="O156" i="72" s="1"/>
  <c r="P156" i="72" s="1"/>
  <c r="C163" i="72"/>
  <c r="C147" i="72"/>
  <c r="P155" i="72"/>
  <c r="P161" i="72"/>
  <c r="N135" i="72"/>
  <c r="O129" i="72"/>
  <c r="P129" i="72" s="1"/>
  <c r="D117" i="72"/>
  <c r="O130" i="72"/>
  <c r="P130" i="72" s="1"/>
  <c r="D133" i="72"/>
  <c r="P115" i="72"/>
  <c r="C133" i="72"/>
  <c r="C117" i="72"/>
  <c r="E67" i="72"/>
  <c r="E69" i="72" s="1"/>
  <c r="J67" i="72"/>
  <c r="F51" i="72"/>
  <c r="J67" i="164"/>
  <c r="H67" i="72"/>
  <c r="I67" i="72"/>
  <c r="M92" i="72"/>
  <c r="O92" i="72" s="1"/>
  <c r="H103" i="72"/>
  <c r="H105" i="72" s="1"/>
  <c r="M99" i="72"/>
  <c r="O99" i="72" s="1"/>
  <c r="M101" i="72"/>
  <c r="O101" i="72" s="1"/>
  <c r="M91" i="72"/>
  <c r="O91" i="72" s="1"/>
  <c r="C87" i="72"/>
  <c r="J103" i="72"/>
  <c r="E103" i="72"/>
  <c r="E105" i="72" s="1"/>
  <c r="G103" i="72"/>
  <c r="G105" i="72" s="1"/>
  <c r="F103" i="72"/>
  <c r="M96" i="72"/>
  <c r="O96" i="72" s="1"/>
  <c r="M100" i="72"/>
  <c r="O100" i="72" s="1"/>
  <c r="F87" i="72"/>
  <c r="M84" i="72"/>
  <c r="O84" i="72" s="1"/>
  <c r="P95" i="72"/>
  <c r="P86" i="72"/>
  <c r="P85" i="72"/>
  <c r="C103" i="72"/>
  <c r="K226" i="72"/>
  <c r="L226" i="72"/>
  <c r="F208" i="72"/>
  <c r="E224" i="72"/>
  <c r="O204" i="72"/>
  <c r="E208" i="72"/>
  <c r="G208" i="72"/>
  <c r="K195" i="72"/>
  <c r="K197" i="72" s="1"/>
  <c r="L195" i="72"/>
  <c r="L197" i="72" s="1"/>
  <c r="O173" i="72"/>
  <c r="M180" i="72"/>
  <c r="I177" i="72"/>
  <c r="M174" i="72"/>
  <c r="O174" i="72" s="1"/>
  <c r="P174" i="72" s="1"/>
  <c r="M175" i="72"/>
  <c r="O175" i="72" s="1"/>
  <c r="P175" i="72" s="1"/>
  <c r="M181" i="72"/>
  <c r="O181" i="72" s="1"/>
  <c r="P181" i="72" s="1"/>
  <c r="M146" i="72"/>
  <c r="O146" i="72" s="1"/>
  <c r="P146" i="72" s="1"/>
  <c r="I147" i="72"/>
  <c r="L165" i="72"/>
  <c r="L167" i="72" s="1"/>
  <c r="M145" i="72"/>
  <c r="O145" i="72" s="1"/>
  <c r="P145" i="72" s="1"/>
  <c r="J147" i="72"/>
  <c r="D163" i="72"/>
  <c r="M150" i="72"/>
  <c r="K147" i="72"/>
  <c r="M144" i="72"/>
  <c r="O144" i="72" s="1"/>
  <c r="P144" i="72" s="1"/>
  <c r="J117" i="72"/>
  <c r="J135" i="72" s="1"/>
  <c r="I117" i="72"/>
  <c r="L105" i="72"/>
  <c r="I87" i="72"/>
  <c r="J87" i="72"/>
  <c r="K87" i="72"/>
  <c r="K105" i="72" s="1"/>
  <c r="M90" i="72"/>
  <c r="L69" i="72"/>
  <c r="K69" i="72"/>
  <c r="C48" i="72"/>
  <c r="C36" i="113" s="1"/>
  <c r="E18" i="113" l="1"/>
  <c r="E23" i="113" s="1"/>
  <c r="C23" i="113"/>
  <c r="C38" i="113"/>
  <c r="E36" i="113"/>
  <c r="E38" i="113" s="1"/>
  <c r="E47" i="113" s="1"/>
  <c r="E41" i="113"/>
  <c r="E46" i="113" s="1"/>
  <c r="C46" i="113"/>
  <c r="G44" i="136"/>
  <c r="F45" i="136"/>
  <c r="K111" i="113"/>
  <c r="K117" i="113" s="1"/>
  <c r="I117" i="113"/>
  <c r="C117" i="113"/>
  <c r="C118" i="113" s="1"/>
  <c r="E111" i="113"/>
  <c r="E117" i="113" s="1"/>
  <c r="E118" i="113" s="1"/>
  <c r="K106" i="113"/>
  <c r="K108" i="113" s="1"/>
  <c r="I108" i="113"/>
  <c r="I165" i="72"/>
  <c r="K159" i="113"/>
  <c r="K165" i="113" s="1"/>
  <c r="I165" i="113"/>
  <c r="G166" i="113"/>
  <c r="AA152" i="113" s="1"/>
  <c r="E153" i="113"/>
  <c r="E156" i="113" s="1"/>
  <c r="C156" i="113"/>
  <c r="E159" i="113"/>
  <c r="E165" i="113" s="1"/>
  <c r="C165" i="113"/>
  <c r="K154" i="113"/>
  <c r="K156" i="113" s="1"/>
  <c r="I156" i="113"/>
  <c r="E129" i="113"/>
  <c r="E132" i="113" s="1"/>
  <c r="C132" i="113"/>
  <c r="K130" i="113"/>
  <c r="K132" i="113" s="1"/>
  <c r="I132" i="113"/>
  <c r="G141" i="113"/>
  <c r="G142" i="113" s="1"/>
  <c r="AA128" i="113" s="1"/>
  <c r="I135" i="113"/>
  <c r="C141" i="113"/>
  <c r="E138" i="113"/>
  <c r="E141" i="113"/>
  <c r="J17" i="61"/>
  <c r="E64" i="113"/>
  <c r="E69" i="113" s="1"/>
  <c r="C69" i="113"/>
  <c r="E58" i="113"/>
  <c r="E61" i="113" s="1"/>
  <c r="E70" i="113" s="1"/>
  <c r="C61" i="113"/>
  <c r="C70" i="113" s="1"/>
  <c r="C93" i="113"/>
  <c r="E87" i="113"/>
  <c r="E93" i="113" s="1"/>
  <c r="E81" i="113"/>
  <c r="E84" i="113" s="1"/>
  <c r="E94" i="113" s="1"/>
  <c r="C84" i="113"/>
  <c r="K82" i="113"/>
  <c r="K84" i="113" s="1"/>
  <c r="I84" i="113"/>
  <c r="G93" i="113"/>
  <c r="G94" i="113" s="1"/>
  <c r="I87" i="113"/>
  <c r="G69" i="72"/>
  <c r="M163" i="72"/>
  <c r="M193" i="72"/>
  <c r="E135" i="72"/>
  <c r="O133" i="72"/>
  <c r="J69" i="72"/>
  <c r="C105" i="72"/>
  <c r="O211" i="72"/>
  <c r="O224" i="72" s="1"/>
  <c r="M224" i="72"/>
  <c r="C226" i="72"/>
  <c r="C195" i="72"/>
  <c r="M133" i="72"/>
  <c r="I69" i="72"/>
  <c r="H69" i="72"/>
  <c r="J39" i="58"/>
  <c r="E333" i="78" s="1"/>
  <c r="J333" i="78" s="1"/>
  <c r="I39" i="58"/>
  <c r="E273" i="78" s="1"/>
  <c r="J273" i="78" s="1"/>
  <c r="I17" i="61"/>
  <c r="D165" i="72"/>
  <c r="H39" i="58"/>
  <c r="E212" i="78" s="1"/>
  <c r="J212" i="78" s="1"/>
  <c r="H17" i="61"/>
  <c r="G39" i="58"/>
  <c r="E152" i="78" s="1"/>
  <c r="J152" i="78" s="1"/>
  <c r="G17" i="61"/>
  <c r="F39" i="58"/>
  <c r="E89" i="78" s="1"/>
  <c r="J89" i="78" s="1"/>
  <c r="F17" i="61"/>
  <c r="D195" i="72"/>
  <c r="D226" i="72"/>
  <c r="G226" i="72"/>
  <c r="F226" i="72"/>
  <c r="M208" i="72"/>
  <c r="E226" i="72"/>
  <c r="I195" i="72"/>
  <c r="J165" i="72"/>
  <c r="C165" i="72"/>
  <c r="M147" i="72"/>
  <c r="K165" i="72"/>
  <c r="K167" i="72" s="1"/>
  <c r="D135" i="72"/>
  <c r="C135" i="72"/>
  <c r="M117" i="72"/>
  <c r="F69" i="72"/>
  <c r="J105" i="72"/>
  <c r="F105" i="72"/>
  <c r="M87" i="72"/>
  <c r="O208" i="72"/>
  <c r="P208" i="72" s="1"/>
  <c r="P204" i="72"/>
  <c r="O177" i="72"/>
  <c r="P177" i="72" s="1"/>
  <c r="P173" i="72"/>
  <c r="O180" i="72"/>
  <c r="O193" i="72" s="1"/>
  <c r="M177" i="72"/>
  <c r="O147" i="72"/>
  <c r="P147" i="72" s="1"/>
  <c r="O150" i="72"/>
  <c r="O163" i="72" s="1"/>
  <c r="P120" i="72"/>
  <c r="O117" i="72"/>
  <c r="P117" i="72" s="1"/>
  <c r="M103" i="72"/>
  <c r="O90" i="72"/>
  <c r="O87" i="72"/>
  <c r="C47" i="113" l="1"/>
  <c r="G45" i="136"/>
  <c r="D45" i="136"/>
  <c r="E45" i="136"/>
  <c r="I118" i="113"/>
  <c r="AC104" i="113" s="1"/>
  <c r="K118" i="113"/>
  <c r="I166" i="113"/>
  <c r="AC152" i="113" s="1"/>
  <c r="K166" i="113"/>
  <c r="C166" i="113"/>
  <c r="E166" i="113"/>
  <c r="K135" i="113"/>
  <c r="K141" i="113" s="1"/>
  <c r="K142" i="113" s="1"/>
  <c r="I141" i="113"/>
  <c r="I142" i="113" s="1"/>
  <c r="AC128" i="113" s="1"/>
  <c r="C142" i="113"/>
  <c r="E142" i="113"/>
  <c r="C94" i="113"/>
  <c r="I93" i="113"/>
  <c r="I94" i="113" s="1"/>
  <c r="K87" i="113"/>
  <c r="K93" i="113" s="1"/>
  <c r="K94" i="113" s="1"/>
  <c r="P211" i="72"/>
  <c r="K39" i="58"/>
  <c r="E395" i="78" s="1"/>
  <c r="J395" i="78" s="1"/>
  <c r="K17" i="61"/>
  <c r="M226" i="72"/>
  <c r="K83" i="58" s="1"/>
  <c r="E429" i="78" s="1"/>
  <c r="J429" i="78" s="1"/>
  <c r="M165" i="72"/>
  <c r="M135" i="72"/>
  <c r="H83" i="58" s="1"/>
  <c r="E247" i="78" s="1"/>
  <c r="J247" i="78" s="1"/>
  <c r="M105" i="72"/>
  <c r="G83" i="58" s="1"/>
  <c r="E187" i="78" s="1"/>
  <c r="J187" i="78" s="1"/>
  <c r="O226" i="72"/>
  <c r="P224" i="72"/>
  <c r="P180" i="72"/>
  <c r="M195" i="72"/>
  <c r="P150" i="72"/>
  <c r="O135" i="72"/>
  <c r="P133" i="72"/>
  <c r="O103" i="72"/>
  <c r="K41" i="61" l="1"/>
  <c r="J83" i="58"/>
  <c r="E368" i="78" s="1"/>
  <c r="J368" i="78" s="1"/>
  <c r="I83" i="58"/>
  <c r="E306" i="78" s="1"/>
  <c r="J306" i="78" s="1"/>
  <c r="H126" i="58"/>
  <c r="P135" i="72"/>
  <c r="H41" i="61"/>
  <c r="O37" i="157"/>
  <c r="P226" i="72"/>
  <c r="X37" i="157"/>
  <c r="X36" i="157" s="1"/>
  <c r="K126" i="58"/>
  <c r="O195" i="72"/>
  <c r="P193" i="72"/>
  <c r="O165" i="72"/>
  <c r="I41" i="61" s="1"/>
  <c r="P163" i="72"/>
  <c r="O105" i="72"/>
  <c r="J41" i="61" l="1"/>
  <c r="G41" i="61"/>
  <c r="J126" i="58"/>
  <c r="I126" i="58"/>
  <c r="P195" i="72"/>
  <c r="U37" i="157"/>
  <c r="U36" i="157" s="1"/>
  <c r="P165" i="72"/>
  <c r="R37" i="157"/>
  <c r="R36" i="157" s="1"/>
  <c r="L37" i="157"/>
  <c r="G126" i="58"/>
  <c r="I226" i="164"/>
  <c r="C224" i="164"/>
  <c r="M223" i="164"/>
  <c r="O223" i="164" s="1"/>
  <c r="P223" i="164" s="1"/>
  <c r="M222" i="164"/>
  <c r="O222" i="164" s="1"/>
  <c r="P222" i="164" s="1"/>
  <c r="M221" i="164"/>
  <c r="O221" i="164" s="1"/>
  <c r="P221" i="164" s="1"/>
  <c r="M220" i="164"/>
  <c r="O220" i="164" s="1"/>
  <c r="P220" i="164" s="1"/>
  <c r="M219" i="164"/>
  <c r="O219" i="164" s="1"/>
  <c r="P219" i="164" s="1"/>
  <c r="M218" i="164"/>
  <c r="O218" i="164" s="1"/>
  <c r="P218" i="164" s="1"/>
  <c r="M217" i="164"/>
  <c r="O217" i="164" s="1"/>
  <c r="P217" i="164" s="1"/>
  <c r="M216" i="164"/>
  <c r="O216" i="164" s="1"/>
  <c r="P216" i="164" s="1"/>
  <c r="M215" i="164"/>
  <c r="O215" i="164" s="1"/>
  <c r="P215" i="164" s="1"/>
  <c r="M214" i="164"/>
  <c r="O214" i="164" s="1"/>
  <c r="P214" i="164" s="1"/>
  <c r="M213" i="164"/>
  <c r="O213" i="164" s="1"/>
  <c r="P213" i="164" s="1"/>
  <c r="M212" i="164"/>
  <c r="O212" i="164" s="1"/>
  <c r="P212" i="164" s="1"/>
  <c r="M211" i="164"/>
  <c r="N208" i="164"/>
  <c r="N226" i="164" s="1"/>
  <c r="L208" i="164"/>
  <c r="K208" i="164"/>
  <c r="K226" i="164" s="1"/>
  <c r="J208" i="164"/>
  <c r="J226" i="164" s="1"/>
  <c r="I208" i="164"/>
  <c r="H208" i="164"/>
  <c r="H226" i="164" s="1"/>
  <c r="G208" i="164"/>
  <c r="G226" i="164" s="1"/>
  <c r="AN39" i="58" s="1"/>
  <c r="F208" i="164"/>
  <c r="E208" i="164"/>
  <c r="E226" i="164" s="1"/>
  <c r="D208" i="164"/>
  <c r="C208" i="164"/>
  <c r="M207" i="164"/>
  <c r="O206" i="164"/>
  <c r="P206" i="164" s="1"/>
  <c r="M206" i="164"/>
  <c r="M205" i="164"/>
  <c r="O205" i="164" s="1"/>
  <c r="P205" i="164" s="1"/>
  <c r="M204" i="164"/>
  <c r="O204" i="164" s="1"/>
  <c r="P204" i="164" s="1"/>
  <c r="N195" i="164"/>
  <c r="L195" i="164"/>
  <c r="D193" i="164"/>
  <c r="C193" i="164"/>
  <c r="M192" i="164"/>
  <c r="O192" i="164" s="1"/>
  <c r="P192" i="164" s="1"/>
  <c r="M191" i="164"/>
  <c r="O191" i="164" s="1"/>
  <c r="P191" i="164" s="1"/>
  <c r="M190" i="164"/>
  <c r="O190" i="164" s="1"/>
  <c r="P190" i="164" s="1"/>
  <c r="M189" i="164"/>
  <c r="O189" i="164" s="1"/>
  <c r="P189" i="164" s="1"/>
  <c r="M188" i="164"/>
  <c r="O188" i="164" s="1"/>
  <c r="P188" i="164" s="1"/>
  <c r="M187" i="164"/>
  <c r="M186" i="164"/>
  <c r="O186" i="164" s="1"/>
  <c r="P186" i="164" s="1"/>
  <c r="O185" i="164"/>
  <c r="P185" i="164" s="1"/>
  <c r="M185" i="164"/>
  <c r="M184" i="164"/>
  <c r="O184" i="164" s="1"/>
  <c r="P184" i="164" s="1"/>
  <c r="M183" i="164"/>
  <c r="O183" i="164" s="1"/>
  <c r="P183" i="164" s="1"/>
  <c r="M182" i="164"/>
  <c r="O182" i="164" s="1"/>
  <c r="P182" i="164" s="1"/>
  <c r="M181" i="164"/>
  <c r="O181" i="164" s="1"/>
  <c r="P181" i="164" s="1"/>
  <c r="M180" i="164"/>
  <c r="N177" i="164"/>
  <c r="L177" i="164"/>
  <c r="K177" i="164"/>
  <c r="K195" i="164" s="1"/>
  <c r="J177" i="164"/>
  <c r="J195" i="164" s="1"/>
  <c r="I177" i="164"/>
  <c r="H177" i="164"/>
  <c r="G177" i="164"/>
  <c r="F177" i="164"/>
  <c r="E177" i="164"/>
  <c r="E195" i="164" s="1"/>
  <c r="D177" i="164"/>
  <c r="C177" i="164"/>
  <c r="M176" i="164"/>
  <c r="O176" i="164" s="1"/>
  <c r="P176" i="164" s="1"/>
  <c r="M175" i="164"/>
  <c r="O175" i="164" s="1"/>
  <c r="P175" i="164" s="1"/>
  <c r="M174" i="164"/>
  <c r="O174" i="164" s="1"/>
  <c r="P174" i="164" s="1"/>
  <c r="M173" i="164"/>
  <c r="O173" i="164" s="1"/>
  <c r="P173" i="164" s="1"/>
  <c r="K165" i="164"/>
  <c r="J165" i="164"/>
  <c r="J167" i="72" s="1"/>
  <c r="I165" i="164"/>
  <c r="I167" i="72" s="1"/>
  <c r="D163" i="164"/>
  <c r="C163" i="164"/>
  <c r="M162" i="164"/>
  <c r="O162" i="164" s="1"/>
  <c r="P162" i="164" s="1"/>
  <c r="M161" i="164"/>
  <c r="O161" i="164" s="1"/>
  <c r="P161" i="164" s="1"/>
  <c r="M160" i="164"/>
  <c r="O160" i="164" s="1"/>
  <c r="P160" i="164" s="1"/>
  <c r="M159" i="164"/>
  <c r="O159" i="164" s="1"/>
  <c r="P159" i="164" s="1"/>
  <c r="M158" i="164"/>
  <c r="O158" i="164" s="1"/>
  <c r="P158" i="164" s="1"/>
  <c r="M157" i="164"/>
  <c r="O157" i="164" s="1"/>
  <c r="P157" i="164" s="1"/>
  <c r="M156" i="164"/>
  <c r="O156" i="164" s="1"/>
  <c r="P156" i="164" s="1"/>
  <c r="O155" i="164"/>
  <c r="P155" i="164" s="1"/>
  <c r="M155" i="164"/>
  <c r="M154" i="164"/>
  <c r="O154" i="164" s="1"/>
  <c r="P154" i="164" s="1"/>
  <c r="M153" i="164"/>
  <c r="O153" i="164" s="1"/>
  <c r="P153" i="164" s="1"/>
  <c r="M152" i="164"/>
  <c r="O152" i="164" s="1"/>
  <c r="P152" i="164" s="1"/>
  <c r="M151" i="164"/>
  <c r="O151" i="164" s="1"/>
  <c r="P151" i="164" s="1"/>
  <c r="M150" i="164"/>
  <c r="N147" i="164"/>
  <c r="L147" i="164"/>
  <c r="L165" i="164" s="1"/>
  <c r="K147" i="164"/>
  <c r="J147" i="164"/>
  <c r="I147" i="164"/>
  <c r="H147" i="164"/>
  <c r="G147" i="164"/>
  <c r="F147" i="164"/>
  <c r="E147" i="164"/>
  <c r="D147" i="164"/>
  <c r="C147" i="164"/>
  <c r="M146" i="164"/>
  <c r="M145" i="164"/>
  <c r="O145" i="164" s="1"/>
  <c r="P145" i="164" s="1"/>
  <c r="M144" i="164"/>
  <c r="O144" i="164" s="1"/>
  <c r="P144" i="164" s="1"/>
  <c r="M143" i="164"/>
  <c r="O143" i="164" s="1"/>
  <c r="P143" i="164" s="1"/>
  <c r="N135" i="164"/>
  <c r="D133" i="164"/>
  <c r="C133" i="164"/>
  <c r="M132" i="164"/>
  <c r="O132" i="164" s="1"/>
  <c r="P132" i="164" s="1"/>
  <c r="M131" i="164"/>
  <c r="O131" i="164" s="1"/>
  <c r="P131" i="164" s="1"/>
  <c r="M130" i="164"/>
  <c r="O130" i="164" s="1"/>
  <c r="P130" i="164" s="1"/>
  <c r="M129" i="164"/>
  <c r="O129" i="164" s="1"/>
  <c r="P129" i="164" s="1"/>
  <c r="M128" i="164"/>
  <c r="O128" i="164" s="1"/>
  <c r="P128" i="164" s="1"/>
  <c r="M127" i="164"/>
  <c r="O127" i="164" s="1"/>
  <c r="P127" i="164" s="1"/>
  <c r="M126" i="164"/>
  <c r="O126" i="164" s="1"/>
  <c r="P126" i="164" s="1"/>
  <c r="M125" i="164"/>
  <c r="O125" i="164" s="1"/>
  <c r="P125" i="164" s="1"/>
  <c r="M124" i="164"/>
  <c r="O124" i="164" s="1"/>
  <c r="P124" i="164" s="1"/>
  <c r="M123" i="164"/>
  <c r="O123" i="164" s="1"/>
  <c r="P123" i="164" s="1"/>
  <c r="M122" i="164"/>
  <c r="O122" i="164" s="1"/>
  <c r="P122" i="164" s="1"/>
  <c r="M121" i="164"/>
  <c r="M120" i="164"/>
  <c r="N117" i="164"/>
  <c r="L117" i="164"/>
  <c r="L135" i="164" s="1"/>
  <c r="K117" i="164"/>
  <c r="K135" i="164" s="1"/>
  <c r="I117" i="164"/>
  <c r="H117" i="164"/>
  <c r="G117" i="164"/>
  <c r="F117" i="164"/>
  <c r="E117" i="164"/>
  <c r="D117" i="164"/>
  <c r="C117" i="164"/>
  <c r="M116" i="164"/>
  <c r="O116" i="164" s="1"/>
  <c r="P116" i="164" s="1"/>
  <c r="M115" i="164"/>
  <c r="M114" i="164"/>
  <c r="O114" i="164" s="1"/>
  <c r="P114" i="164" s="1"/>
  <c r="M113" i="164"/>
  <c r="O113" i="164" s="1"/>
  <c r="L105" i="164"/>
  <c r="L107" i="72" s="1"/>
  <c r="I105" i="164"/>
  <c r="I107" i="72" s="1"/>
  <c r="C103" i="164"/>
  <c r="M102" i="164"/>
  <c r="O102" i="164" s="1"/>
  <c r="P102" i="164" s="1"/>
  <c r="M101" i="164"/>
  <c r="O101" i="164" s="1"/>
  <c r="M100" i="164"/>
  <c r="O100" i="164" s="1"/>
  <c r="M99" i="164"/>
  <c r="O99" i="164" s="1"/>
  <c r="O98" i="164"/>
  <c r="P98" i="164" s="1"/>
  <c r="M98" i="164"/>
  <c r="M97" i="164"/>
  <c r="O97" i="164" s="1"/>
  <c r="M96" i="164"/>
  <c r="O96" i="164" s="1"/>
  <c r="M95" i="164"/>
  <c r="O95" i="164" s="1"/>
  <c r="P95" i="164" s="1"/>
  <c r="M94" i="164"/>
  <c r="M93" i="164"/>
  <c r="O93" i="164" s="1"/>
  <c r="M92" i="164"/>
  <c r="O92" i="164" s="1"/>
  <c r="M91" i="164"/>
  <c r="O91" i="164" s="1"/>
  <c r="M90" i="164"/>
  <c r="N87" i="164"/>
  <c r="N105" i="164" s="1"/>
  <c r="L87" i="164"/>
  <c r="K87" i="164"/>
  <c r="K105" i="164" s="1"/>
  <c r="K107" i="72" s="1"/>
  <c r="J87" i="164"/>
  <c r="J105" i="164" s="1"/>
  <c r="I87" i="164"/>
  <c r="H87" i="164"/>
  <c r="G87" i="164"/>
  <c r="F87" i="164"/>
  <c r="F105" i="164" s="1"/>
  <c r="E87" i="164"/>
  <c r="C87" i="164"/>
  <c r="M86" i="164"/>
  <c r="O86" i="164" s="1"/>
  <c r="P86" i="164" s="1"/>
  <c r="M85" i="164"/>
  <c r="O85" i="164" s="1"/>
  <c r="P85" i="164" s="1"/>
  <c r="M84" i="164"/>
  <c r="O84" i="164" s="1"/>
  <c r="M83" i="164"/>
  <c r="N67" i="164"/>
  <c r="L67" i="164"/>
  <c r="L69" i="164" s="1"/>
  <c r="I67" i="164"/>
  <c r="H67" i="164"/>
  <c r="G67" i="164"/>
  <c r="F67" i="164"/>
  <c r="E67" i="164"/>
  <c r="D67" i="164"/>
  <c r="C67" i="164"/>
  <c r="O66" i="164"/>
  <c r="P66" i="164" s="1"/>
  <c r="M66" i="164"/>
  <c r="M65" i="164"/>
  <c r="O65" i="164" s="1"/>
  <c r="P65" i="164" s="1"/>
  <c r="M64" i="164"/>
  <c r="O64" i="164" s="1"/>
  <c r="P64" i="164" s="1"/>
  <c r="O63" i="164"/>
  <c r="P63" i="164" s="1"/>
  <c r="M63" i="164"/>
  <c r="O62" i="164"/>
  <c r="P62" i="164" s="1"/>
  <c r="M62" i="164"/>
  <c r="M61" i="164"/>
  <c r="O61" i="164" s="1"/>
  <c r="P61" i="164" s="1"/>
  <c r="M60" i="164"/>
  <c r="O60" i="164" s="1"/>
  <c r="P60" i="164" s="1"/>
  <c r="M59" i="164"/>
  <c r="O59" i="164" s="1"/>
  <c r="P59" i="164" s="1"/>
  <c r="M58" i="164"/>
  <c r="O58" i="164" s="1"/>
  <c r="P58" i="164" s="1"/>
  <c r="M57" i="164"/>
  <c r="O57" i="164" s="1"/>
  <c r="P57" i="164" s="1"/>
  <c r="M56" i="164"/>
  <c r="O56" i="164" s="1"/>
  <c r="P56" i="164" s="1"/>
  <c r="M55" i="164"/>
  <c r="O55" i="164" s="1"/>
  <c r="P55" i="164" s="1"/>
  <c r="M54" i="164"/>
  <c r="O54" i="164" s="1"/>
  <c r="P54" i="164" s="1"/>
  <c r="N51" i="164"/>
  <c r="N69" i="164" s="1"/>
  <c r="L51" i="164"/>
  <c r="K51" i="164"/>
  <c r="K69" i="164" s="1"/>
  <c r="J51" i="164"/>
  <c r="J69" i="164" s="1"/>
  <c r="I51" i="164"/>
  <c r="H51" i="164"/>
  <c r="H69" i="164" s="1"/>
  <c r="G51" i="164"/>
  <c r="F51" i="164"/>
  <c r="E51" i="164"/>
  <c r="D51" i="164"/>
  <c r="C51" i="164"/>
  <c r="O50" i="164"/>
  <c r="P50" i="164" s="1"/>
  <c r="M50" i="164"/>
  <c r="M49" i="164"/>
  <c r="O49" i="164" s="1"/>
  <c r="M48" i="164"/>
  <c r="O48" i="164" s="1"/>
  <c r="P48" i="164" s="1"/>
  <c r="M47" i="164"/>
  <c r="O47" i="164" s="1"/>
  <c r="P47" i="164" s="1"/>
  <c r="B2" i="164"/>
  <c r="N224" i="163"/>
  <c r="N226" i="163" s="1"/>
  <c r="L224" i="163"/>
  <c r="I224" i="163"/>
  <c r="I226" i="163" s="1"/>
  <c r="H224" i="163"/>
  <c r="G224" i="163"/>
  <c r="F224" i="163"/>
  <c r="E224" i="163"/>
  <c r="D224" i="163"/>
  <c r="C224" i="163"/>
  <c r="M223" i="163"/>
  <c r="O223" i="163" s="1"/>
  <c r="P223" i="163" s="1"/>
  <c r="M222" i="163"/>
  <c r="O222" i="163" s="1"/>
  <c r="P222" i="163" s="1"/>
  <c r="M221" i="163"/>
  <c r="O221" i="163" s="1"/>
  <c r="P221" i="163" s="1"/>
  <c r="M220" i="163"/>
  <c r="O220" i="163" s="1"/>
  <c r="P220" i="163" s="1"/>
  <c r="M219" i="163"/>
  <c r="O219" i="163" s="1"/>
  <c r="P219" i="163" s="1"/>
  <c r="M218" i="163"/>
  <c r="O218" i="163" s="1"/>
  <c r="P218" i="163" s="1"/>
  <c r="M217" i="163"/>
  <c r="O217" i="163" s="1"/>
  <c r="P217" i="163" s="1"/>
  <c r="M216" i="163"/>
  <c r="O216" i="163" s="1"/>
  <c r="P216" i="163" s="1"/>
  <c r="M215" i="163"/>
  <c r="O215" i="163" s="1"/>
  <c r="P215" i="163" s="1"/>
  <c r="M214" i="163"/>
  <c r="O214" i="163" s="1"/>
  <c r="P214" i="163" s="1"/>
  <c r="M213" i="163"/>
  <c r="O213" i="163" s="1"/>
  <c r="P213" i="163" s="1"/>
  <c r="M212" i="163"/>
  <c r="O212" i="163" s="1"/>
  <c r="P212" i="163" s="1"/>
  <c r="M211" i="163"/>
  <c r="O211" i="163" s="1"/>
  <c r="N208" i="163"/>
  <c r="L208" i="163"/>
  <c r="K208" i="163"/>
  <c r="K226" i="163" s="1"/>
  <c r="J208" i="163"/>
  <c r="J226" i="163" s="1"/>
  <c r="I208" i="163"/>
  <c r="H208" i="163"/>
  <c r="G208" i="163"/>
  <c r="F208" i="163"/>
  <c r="E208" i="163"/>
  <c r="D208" i="163"/>
  <c r="C208" i="163"/>
  <c r="M207" i="163"/>
  <c r="O206" i="163"/>
  <c r="P206" i="163" s="1"/>
  <c r="M206" i="163"/>
  <c r="M205" i="163"/>
  <c r="O205" i="163" s="1"/>
  <c r="P205" i="163" s="1"/>
  <c r="M204" i="163"/>
  <c r="O204" i="163" s="1"/>
  <c r="L195" i="163"/>
  <c r="N193" i="163"/>
  <c r="N195" i="163" s="1"/>
  <c r="L193" i="163"/>
  <c r="I193" i="163"/>
  <c r="I195" i="163" s="1"/>
  <c r="H193" i="163"/>
  <c r="G193" i="163"/>
  <c r="F193" i="163"/>
  <c r="E193" i="163"/>
  <c r="D193" i="163"/>
  <c r="C193" i="163"/>
  <c r="M192" i="163"/>
  <c r="O192" i="163" s="1"/>
  <c r="P192" i="163" s="1"/>
  <c r="O191" i="163"/>
  <c r="P191" i="163" s="1"/>
  <c r="M191" i="163"/>
  <c r="M190" i="163"/>
  <c r="O190" i="163" s="1"/>
  <c r="P190" i="163" s="1"/>
  <c r="M189" i="163"/>
  <c r="O189" i="163" s="1"/>
  <c r="P189" i="163" s="1"/>
  <c r="O188" i="163"/>
  <c r="P188" i="163" s="1"/>
  <c r="M188" i="163"/>
  <c r="O187" i="163"/>
  <c r="P187" i="163" s="1"/>
  <c r="M187" i="163"/>
  <c r="O186" i="163"/>
  <c r="P186" i="163" s="1"/>
  <c r="M186" i="163"/>
  <c r="M185" i="163"/>
  <c r="O185" i="163" s="1"/>
  <c r="P185" i="163" s="1"/>
  <c r="M184" i="163"/>
  <c r="O184" i="163" s="1"/>
  <c r="P184" i="163" s="1"/>
  <c r="O183" i="163"/>
  <c r="P183" i="163" s="1"/>
  <c r="M183" i="163"/>
  <c r="O182" i="163"/>
  <c r="P182" i="163" s="1"/>
  <c r="M182" i="163"/>
  <c r="M181" i="163"/>
  <c r="O181" i="163" s="1"/>
  <c r="P181" i="163" s="1"/>
  <c r="O180" i="163"/>
  <c r="P180" i="163" s="1"/>
  <c r="M180" i="163"/>
  <c r="N177" i="163"/>
  <c r="L177" i="163"/>
  <c r="K177" i="163"/>
  <c r="K195" i="163" s="1"/>
  <c r="J177" i="163"/>
  <c r="J195" i="163" s="1"/>
  <c r="J197" i="72" s="1"/>
  <c r="I177" i="163"/>
  <c r="H177" i="163"/>
  <c r="G177" i="163"/>
  <c r="F177" i="163"/>
  <c r="E177" i="163"/>
  <c r="D177" i="163"/>
  <c r="C177" i="163"/>
  <c r="M176" i="163"/>
  <c r="O176" i="163" s="1"/>
  <c r="P176" i="163" s="1"/>
  <c r="M175" i="163"/>
  <c r="O175" i="163" s="1"/>
  <c r="P175" i="163" s="1"/>
  <c r="M174" i="163"/>
  <c r="M173" i="163"/>
  <c r="O173" i="163" s="1"/>
  <c r="K165" i="163"/>
  <c r="J165" i="163"/>
  <c r="N163" i="163"/>
  <c r="L163" i="163"/>
  <c r="L165" i="163" s="1"/>
  <c r="I163" i="163"/>
  <c r="I165" i="163" s="1"/>
  <c r="H163" i="163"/>
  <c r="G163" i="163"/>
  <c r="F163" i="163"/>
  <c r="E163" i="163"/>
  <c r="D163" i="163"/>
  <c r="C163" i="163"/>
  <c r="O162" i="163"/>
  <c r="P162" i="163" s="1"/>
  <c r="M162" i="163"/>
  <c r="M161" i="163"/>
  <c r="O161" i="163" s="1"/>
  <c r="P161" i="163" s="1"/>
  <c r="M160" i="163"/>
  <c r="O160" i="163" s="1"/>
  <c r="P160" i="163" s="1"/>
  <c r="M159" i="163"/>
  <c r="O159" i="163" s="1"/>
  <c r="P159" i="163" s="1"/>
  <c r="O158" i="163"/>
  <c r="P158" i="163" s="1"/>
  <c r="M158" i="163"/>
  <c r="M157" i="163"/>
  <c r="O157" i="163" s="1"/>
  <c r="P157" i="163" s="1"/>
  <c r="M156" i="163"/>
  <c r="O156" i="163" s="1"/>
  <c r="P156" i="163" s="1"/>
  <c r="M155" i="163"/>
  <c r="O155" i="163" s="1"/>
  <c r="P155" i="163" s="1"/>
  <c r="O154" i="163"/>
  <c r="P154" i="163" s="1"/>
  <c r="M154" i="163"/>
  <c r="M153" i="163"/>
  <c r="O152" i="163"/>
  <c r="P152" i="163" s="1"/>
  <c r="M152" i="163"/>
  <c r="M151" i="163"/>
  <c r="O151" i="163" s="1"/>
  <c r="P151" i="163" s="1"/>
  <c r="O150" i="163"/>
  <c r="P150" i="163" s="1"/>
  <c r="M150" i="163"/>
  <c r="N147" i="163"/>
  <c r="L147" i="163"/>
  <c r="K147" i="163"/>
  <c r="J147" i="163"/>
  <c r="I147" i="163"/>
  <c r="H147" i="163"/>
  <c r="G147" i="163"/>
  <c r="F147" i="163"/>
  <c r="E147" i="163"/>
  <c r="D147" i="163"/>
  <c r="C147" i="163"/>
  <c r="M146" i="163"/>
  <c r="O146" i="163" s="1"/>
  <c r="P146" i="163" s="1"/>
  <c r="O145" i="163"/>
  <c r="P145" i="163" s="1"/>
  <c r="M145" i="163"/>
  <c r="M144" i="163"/>
  <c r="O144" i="163" s="1"/>
  <c r="P144" i="163" s="1"/>
  <c r="M143" i="163"/>
  <c r="O143" i="163" s="1"/>
  <c r="N135" i="163"/>
  <c r="L135" i="163"/>
  <c r="L137" i="72" s="1"/>
  <c r="I135" i="163"/>
  <c r="C133" i="163"/>
  <c r="P132" i="163"/>
  <c r="M132" i="163"/>
  <c r="O132" i="163" s="1"/>
  <c r="M131" i="163"/>
  <c r="O131" i="163" s="1"/>
  <c r="P131" i="163" s="1"/>
  <c r="M130" i="163"/>
  <c r="O130" i="163" s="1"/>
  <c r="P130" i="163" s="1"/>
  <c r="M129" i="163"/>
  <c r="O129" i="163" s="1"/>
  <c r="P129" i="163" s="1"/>
  <c r="M128" i="163"/>
  <c r="O128" i="163" s="1"/>
  <c r="P128" i="163" s="1"/>
  <c r="M127" i="163"/>
  <c r="O127" i="163" s="1"/>
  <c r="P127" i="163" s="1"/>
  <c r="M126" i="163"/>
  <c r="O125" i="163"/>
  <c r="P125" i="163" s="1"/>
  <c r="M125" i="163"/>
  <c r="M124" i="163"/>
  <c r="O124" i="163" s="1"/>
  <c r="P124" i="163" s="1"/>
  <c r="M123" i="163"/>
  <c r="O123" i="163" s="1"/>
  <c r="P123" i="163" s="1"/>
  <c r="M122" i="163"/>
  <c r="O122" i="163" s="1"/>
  <c r="P122" i="163" s="1"/>
  <c r="M121" i="163"/>
  <c r="O121" i="163" s="1"/>
  <c r="P121" i="163" s="1"/>
  <c r="M120" i="163"/>
  <c r="O120" i="163" s="1"/>
  <c r="P120" i="163" s="1"/>
  <c r="N117" i="163"/>
  <c r="L117" i="163"/>
  <c r="K117" i="163"/>
  <c r="K135" i="163" s="1"/>
  <c r="J117" i="163"/>
  <c r="J135" i="163" s="1"/>
  <c r="I117" i="163"/>
  <c r="H117" i="163"/>
  <c r="H135" i="163" s="1"/>
  <c r="G117" i="163"/>
  <c r="F117" i="163"/>
  <c r="E117" i="163"/>
  <c r="E135" i="163" s="1"/>
  <c r="D117" i="163"/>
  <c r="D135" i="163" s="1"/>
  <c r="C117" i="163"/>
  <c r="O116" i="163"/>
  <c r="P116" i="163" s="1"/>
  <c r="M116" i="163"/>
  <c r="O115" i="163"/>
  <c r="P115" i="163" s="1"/>
  <c r="M115" i="163"/>
  <c r="M114" i="163"/>
  <c r="O114" i="163" s="1"/>
  <c r="P114" i="163" s="1"/>
  <c r="M113" i="163"/>
  <c r="O113" i="163" s="1"/>
  <c r="K105" i="163"/>
  <c r="I105" i="163"/>
  <c r="N103" i="163"/>
  <c r="N105" i="163" s="1"/>
  <c r="L103" i="163"/>
  <c r="L105" i="163" s="1"/>
  <c r="I103" i="163"/>
  <c r="H103" i="163"/>
  <c r="G103" i="163"/>
  <c r="F103" i="163"/>
  <c r="E103" i="163"/>
  <c r="D103" i="163"/>
  <c r="C103" i="163"/>
  <c r="M102" i="163"/>
  <c r="O102" i="163" s="1"/>
  <c r="P102" i="163" s="1"/>
  <c r="M101" i="163"/>
  <c r="M100" i="163"/>
  <c r="O100" i="163" s="1"/>
  <c r="P100" i="163" s="1"/>
  <c r="M99" i="163"/>
  <c r="O99" i="163" s="1"/>
  <c r="P99" i="163" s="1"/>
  <c r="M98" i="163"/>
  <c r="O98" i="163" s="1"/>
  <c r="P98" i="163" s="1"/>
  <c r="M97" i="163"/>
  <c r="O97" i="163" s="1"/>
  <c r="P97" i="163" s="1"/>
  <c r="M96" i="163"/>
  <c r="O96" i="163" s="1"/>
  <c r="P96" i="163" s="1"/>
  <c r="M95" i="163"/>
  <c r="O95" i="163" s="1"/>
  <c r="P95" i="163" s="1"/>
  <c r="M94" i="163"/>
  <c r="O94" i="163" s="1"/>
  <c r="P94" i="163" s="1"/>
  <c r="O93" i="163"/>
  <c r="P93" i="163" s="1"/>
  <c r="M93" i="163"/>
  <c r="O92" i="163"/>
  <c r="P92" i="163" s="1"/>
  <c r="M92" i="163"/>
  <c r="M91" i="163"/>
  <c r="O91" i="163" s="1"/>
  <c r="P91" i="163" s="1"/>
  <c r="M90" i="163"/>
  <c r="O90" i="163" s="1"/>
  <c r="N87" i="163"/>
  <c r="L87" i="163"/>
  <c r="K87" i="163"/>
  <c r="J87" i="163"/>
  <c r="J105" i="163" s="1"/>
  <c r="I87" i="163"/>
  <c r="H87" i="163"/>
  <c r="G87" i="163"/>
  <c r="F87" i="163"/>
  <c r="E87" i="163"/>
  <c r="D87" i="163"/>
  <c r="C87" i="163"/>
  <c r="P86" i="163"/>
  <c r="O86" i="163"/>
  <c r="M86" i="163"/>
  <c r="M85" i="163"/>
  <c r="O85" i="163" s="1"/>
  <c r="P85" i="163" s="1"/>
  <c r="M84" i="163"/>
  <c r="O84" i="163" s="1"/>
  <c r="P84" i="163" s="1"/>
  <c r="M83" i="163"/>
  <c r="N67" i="163"/>
  <c r="N69" i="163" s="1"/>
  <c r="L67" i="163"/>
  <c r="L69" i="163" s="1"/>
  <c r="I67" i="163"/>
  <c r="H67" i="163"/>
  <c r="G67" i="163"/>
  <c r="F67" i="163"/>
  <c r="E67" i="163"/>
  <c r="D67" i="163"/>
  <c r="C67" i="163"/>
  <c r="M66" i="163"/>
  <c r="O66" i="163" s="1"/>
  <c r="P66" i="163" s="1"/>
  <c r="M65" i="163"/>
  <c r="O65" i="163" s="1"/>
  <c r="P65" i="163" s="1"/>
  <c r="M64" i="163"/>
  <c r="O64" i="163" s="1"/>
  <c r="P64" i="163" s="1"/>
  <c r="O63" i="163"/>
  <c r="P63" i="163" s="1"/>
  <c r="M63" i="163"/>
  <c r="M62" i="163"/>
  <c r="O62" i="163" s="1"/>
  <c r="P62" i="163" s="1"/>
  <c r="M61" i="163"/>
  <c r="O61" i="163" s="1"/>
  <c r="P61" i="163" s="1"/>
  <c r="M60" i="163"/>
  <c r="O60" i="163" s="1"/>
  <c r="P60" i="163" s="1"/>
  <c r="O59" i="163"/>
  <c r="P59" i="163" s="1"/>
  <c r="M59" i="163"/>
  <c r="M58" i="163"/>
  <c r="O58" i="163" s="1"/>
  <c r="P58" i="163" s="1"/>
  <c r="M57" i="163"/>
  <c r="O57" i="163" s="1"/>
  <c r="P57" i="163" s="1"/>
  <c r="M56" i="163"/>
  <c r="P55" i="163"/>
  <c r="O55" i="163"/>
  <c r="M55" i="163"/>
  <c r="M54" i="163"/>
  <c r="O54" i="163" s="1"/>
  <c r="N51" i="163"/>
  <c r="L51" i="163"/>
  <c r="K51" i="163"/>
  <c r="K69" i="163" s="1"/>
  <c r="J51" i="163"/>
  <c r="J69" i="163" s="1"/>
  <c r="I51" i="163"/>
  <c r="H51" i="163"/>
  <c r="H69" i="163" s="1"/>
  <c r="G51" i="163"/>
  <c r="F51" i="163"/>
  <c r="E51" i="163"/>
  <c r="D51" i="163"/>
  <c r="C51" i="163"/>
  <c r="M50" i="163"/>
  <c r="O50" i="163" s="1"/>
  <c r="P50" i="163" s="1"/>
  <c r="M49" i="163"/>
  <c r="M48" i="163"/>
  <c r="O48" i="163" s="1"/>
  <c r="P48" i="163" s="1"/>
  <c r="M47" i="163"/>
  <c r="O47" i="163" s="1"/>
  <c r="B2" i="163"/>
  <c r="B2" i="72"/>
  <c r="N67" i="72"/>
  <c r="N69" i="72" s="1"/>
  <c r="M66" i="72"/>
  <c r="O66" i="72" s="1"/>
  <c r="P66" i="72" s="1"/>
  <c r="M65" i="72"/>
  <c r="O65" i="72" s="1"/>
  <c r="P65" i="72" s="1"/>
  <c r="M64" i="72"/>
  <c r="O64" i="72" s="1"/>
  <c r="P64" i="72" s="1"/>
  <c r="M63" i="72"/>
  <c r="O63" i="72" s="1"/>
  <c r="P63" i="72" s="1"/>
  <c r="M62" i="72"/>
  <c r="O62" i="72" s="1"/>
  <c r="P62" i="72" s="1"/>
  <c r="M61" i="72"/>
  <c r="O61" i="72" s="1"/>
  <c r="P61" i="72" s="1"/>
  <c r="M60" i="72"/>
  <c r="O60" i="72" s="1"/>
  <c r="P60" i="72" s="1"/>
  <c r="M59" i="72"/>
  <c r="O59" i="72" s="1"/>
  <c r="P59" i="72" s="1"/>
  <c r="M58" i="72"/>
  <c r="O58" i="72" s="1"/>
  <c r="P58" i="72" s="1"/>
  <c r="M57" i="72"/>
  <c r="O57" i="72" s="1"/>
  <c r="P57" i="72" s="1"/>
  <c r="M56" i="72"/>
  <c r="O56" i="72" s="1"/>
  <c r="P56" i="72" s="1"/>
  <c r="M55" i="72"/>
  <c r="O55" i="72" s="1"/>
  <c r="P55" i="72" s="1"/>
  <c r="M54" i="72"/>
  <c r="C67" i="72"/>
  <c r="N51" i="72"/>
  <c r="M50" i="72"/>
  <c r="O50" i="72" s="1"/>
  <c r="P50" i="72" s="1"/>
  <c r="M49" i="72"/>
  <c r="O49" i="72" s="1"/>
  <c r="P49" i="72" s="1"/>
  <c r="M48" i="72"/>
  <c r="O48" i="72" s="1"/>
  <c r="P48" i="72" s="1"/>
  <c r="M47" i="72"/>
  <c r="C51" i="72"/>
  <c r="L33" i="72"/>
  <c r="K33" i="72"/>
  <c r="L15" i="72"/>
  <c r="K15" i="72"/>
  <c r="M30" i="72"/>
  <c r="O30" i="72" s="1"/>
  <c r="P30" i="72" s="1"/>
  <c r="M29" i="72"/>
  <c r="O29" i="72" s="1"/>
  <c r="M27" i="72"/>
  <c r="O27" i="72" s="1"/>
  <c r="P27" i="72" s="1"/>
  <c r="M26" i="72"/>
  <c r="O26" i="72" s="1"/>
  <c r="M25" i="72"/>
  <c r="O25" i="72" s="1"/>
  <c r="M24" i="72"/>
  <c r="O24" i="72" s="1"/>
  <c r="M23" i="72"/>
  <c r="O23" i="72" s="1"/>
  <c r="L31" i="72"/>
  <c r="O62" i="88"/>
  <c r="O61" i="88"/>
  <c r="O59" i="88"/>
  <c r="O58" i="88"/>
  <c r="O57" i="88"/>
  <c r="O56" i="88"/>
  <c r="O55" i="88"/>
  <c r="O54" i="88"/>
  <c r="D30" i="72"/>
  <c r="D27" i="72"/>
  <c r="D26" i="72"/>
  <c r="D25" i="72"/>
  <c r="D23" i="72"/>
  <c r="D14" i="72"/>
  <c r="D13" i="72"/>
  <c r="D12" i="72"/>
  <c r="D11" i="72"/>
  <c r="N31" i="72"/>
  <c r="M87" i="164" l="1"/>
  <c r="C195" i="163"/>
  <c r="E195" i="163"/>
  <c r="E197" i="72" s="1"/>
  <c r="G69" i="164"/>
  <c r="AI39" i="58" s="1"/>
  <c r="F69" i="163"/>
  <c r="D69" i="163"/>
  <c r="F195" i="163"/>
  <c r="C165" i="163"/>
  <c r="C167" i="72" s="1"/>
  <c r="M117" i="163"/>
  <c r="O120" i="164"/>
  <c r="M133" i="164"/>
  <c r="O126" i="163"/>
  <c r="M133" i="163"/>
  <c r="C135" i="164"/>
  <c r="J107" i="72"/>
  <c r="O90" i="164"/>
  <c r="M103" i="164"/>
  <c r="M105" i="164" s="1"/>
  <c r="G105" i="163"/>
  <c r="V39" i="58" s="1"/>
  <c r="H105" i="163"/>
  <c r="J71" i="72"/>
  <c r="E69" i="163"/>
  <c r="G69" i="163"/>
  <c r="H71" i="72"/>
  <c r="D195" i="164"/>
  <c r="E165" i="163"/>
  <c r="O150" i="164"/>
  <c r="O163" i="164" s="1"/>
  <c r="M163" i="164"/>
  <c r="F165" i="163"/>
  <c r="O211" i="164"/>
  <c r="O224" i="164" s="1"/>
  <c r="M224" i="164"/>
  <c r="M208" i="164"/>
  <c r="F226" i="164"/>
  <c r="D226" i="164"/>
  <c r="H226" i="163"/>
  <c r="E226" i="163"/>
  <c r="G226" i="163"/>
  <c r="Z39" i="58" s="1"/>
  <c r="F226" i="163"/>
  <c r="D226" i="163"/>
  <c r="C226" i="163"/>
  <c r="O187" i="164"/>
  <c r="M193" i="164"/>
  <c r="C195" i="164"/>
  <c r="C165" i="164"/>
  <c r="D165" i="164"/>
  <c r="F165" i="164"/>
  <c r="H195" i="163"/>
  <c r="M177" i="163"/>
  <c r="D195" i="163"/>
  <c r="D197" i="72" s="1"/>
  <c r="H165" i="164"/>
  <c r="E165" i="164"/>
  <c r="G165" i="164"/>
  <c r="AL39" i="58" s="1"/>
  <c r="M147" i="164"/>
  <c r="H165" i="163"/>
  <c r="G165" i="163"/>
  <c r="D165" i="163"/>
  <c r="K137" i="72"/>
  <c r="J137" i="72"/>
  <c r="E135" i="164"/>
  <c r="E137" i="72" s="1"/>
  <c r="G135" i="164"/>
  <c r="AK39" i="58" s="1"/>
  <c r="F135" i="164"/>
  <c r="D135" i="164"/>
  <c r="D137" i="72" s="1"/>
  <c r="G135" i="163"/>
  <c r="F135" i="163"/>
  <c r="C135" i="163"/>
  <c r="C69" i="163"/>
  <c r="I69" i="164"/>
  <c r="I69" i="163"/>
  <c r="I71" i="72" s="1"/>
  <c r="H105" i="164"/>
  <c r="G105" i="164"/>
  <c r="C105" i="164"/>
  <c r="M103" i="163"/>
  <c r="M87" i="163"/>
  <c r="F105" i="163"/>
  <c r="F107" i="72" s="1"/>
  <c r="D105" i="163"/>
  <c r="C105" i="163"/>
  <c r="E69" i="164"/>
  <c r="F69" i="164"/>
  <c r="F71" i="72" s="1"/>
  <c r="M51" i="164"/>
  <c r="D69" i="164"/>
  <c r="D71" i="72" s="1"/>
  <c r="M51" i="163"/>
  <c r="M67" i="163"/>
  <c r="M69" i="163"/>
  <c r="U83" i="58" s="1"/>
  <c r="I31" i="72"/>
  <c r="J15" i="72"/>
  <c r="J33" i="72" s="1"/>
  <c r="M21" i="72"/>
  <c r="O21" i="72" s="1"/>
  <c r="P49" i="164"/>
  <c r="O51" i="164"/>
  <c r="P51" i="164" s="1"/>
  <c r="O180" i="164"/>
  <c r="O94" i="164"/>
  <c r="P94" i="164" s="1"/>
  <c r="O147" i="164"/>
  <c r="P147" i="164" s="1"/>
  <c r="P113" i="164"/>
  <c r="O117" i="164"/>
  <c r="P117" i="164" s="1"/>
  <c r="O121" i="164"/>
  <c r="P121" i="164" s="1"/>
  <c r="F195" i="164"/>
  <c r="O83" i="164"/>
  <c r="O208" i="164"/>
  <c r="P208" i="164" s="1"/>
  <c r="O67" i="164"/>
  <c r="H195" i="164"/>
  <c r="I195" i="164"/>
  <c r="I197" i="72" s="1"/>
  <c r="C226" i="164"/>
  <c r="O146" i="164"/>
  <c r="P146" i="164" s="1"/>
  <c r="E105" i="164"/>
  <c r="M117" i="164"/>
  <c r="H135" i="164"/>
  <c r="H137" i="72" s="1"/>
  <c r="N165" i="164"/>
  <c r="L226" i="164"/>
  <c r="O177" i="164"/>
  <c r="P177" i="164" s="1"/>
  <c r="O207" i="164"/>
  <c r="P207" i="164" s="1"/>
  <c r="G195" i="164"/>
  <c r="AM39" i="58" s="1"/>
  <c r="M67" i="164"/>
  <c r="C69" i="164"/>
  <c r="O115" i="164"/>
  <c r="P115" i="164" s="1"/>
  <c r="I135" i="164"/>
  <c r="I137" i="72" s="1"/>
  <c r="M177" i="164"/>
  <c r="G195" i="163"/>
  <c r="O51" i="163"/>
  <c r="P51" i="163" s="1"/>
  <c r="P47" i="163"/>
  <c r="O147" i="163"/>
  <c r="P147" i="163" s="1"/>
  <c r="P143" i="163"/>
  <c r="O101" i="163"/>
  <c r="P101" i="163" s="1"/>
  <c r="O224" i="163"/>
  <c r="P211" i="163"/>
  <c r="O49" i="163"/>
  <c r="P49" i="163" s="1"/>
  <c r="P90" i="163"/>
  <c r="E105" i="163"/>
  <c r="O117" i="163"/>
  <c r="P117" i="163" s="1"/>
  <c r="P113" i="163"/>
  <c r="M163" i="163"/>
  <c r="O153" i="163"/>
  <c r="P153" i="163" s="1"/>
  <c r="M193" i="163"/>
  <c r="O193" i="163"/>
  <c r="L226" i="163"/>
  <c r="O56" i="163"/>
  <c r="P56" i="163" s="1"/>
  <c r="N165" i="163"/>
  <c r="P173" i="163"/>
  <c r="O174" i="163"/>
  <c r="P174" i="163" s="1"/>
  <c r="O207" i="163"/>
  <c r="P207" i="163" s="1"/>
  <c r="M208" i="163"/>
  <c r="P54" i="163"/>
  <c r="P204" i="163"/>
  <c r="O83" i="163"/>
  <c r="M147" i="163"/>
  <c r="M224" i="163"/>
  <c r="O163" i="163"/>
  <c r="C69" i="72"/>
  <c r="O54" i="72"/>
  <c r="M67" i="72"/>
  <c r="O47" i="72"/>
  <c r="M51" i="72"/>
  <c r="M20" i="72"/>
  <c r="O20" i="72" s="1"/>
  <c r="M22" i="72"/>
  <c r="O22" i="72" s="1"/>
  <c r="M12" i="72"/>
  <c r="O12" i="72" s="1"/>
  <c r="P12" i="72" s="1"/>
  <c r="M13" i="72"/>
  <c r="O13" i="72" s="1"/>
  <c r="P13" i="72" s="1"/>
  <c r="H15" i="72"/>
  <c r="M14" i="72"/>
  <c r="O14" i="72" s="1"/>
  <c r="P14" i="72" s="1"/>
  <c r="P25" i="72"/>
  <c r="H31" i="72"/>
  <c r="M18" i="72"/>
  <c r="M19" i="72"/>
  <c r="O19" i="72" s="1"/>
  <c r="M28" i="72"/>
  <c r="O28" i="72" s="1"/>
  <c r="P23" i="72"/>
  <c r="P26" i="72"/>
  <c r="M11" i="72"/>
  <c r="O11" i="72" s="1"/>
  <c r="P11" i="72" s="1"/>
  <c r="G31" i="72"/>
  <c r="I15" i="72"/>
  <c r="E31" i="72"/>
  <c r="F31" i="72"/>
  <c r="C31" i="72"/>
  <c r="N15" i="72"/>
  <c r="N33" i="72" s="1"/>
  <c r="G15" i="72"/>
  <c r="F15" i="72"/>
  <c r="E15" i="72"/>
  <c r="D15" i="72"/>
  <c r="C12" i="113"/>
  <c r="C15" i="113" l="1"/>
  <c r="C24" i="113" s="1"/>
  <c r="E12" i="113"/>
  <c r="E15" i="113" s="1"/>
  <c r="E24" i="113" s="1"/>
  <c r="E107" i="72"/>
  <c r="C197" i="72"/>
  <c r="M135" i="163"/>
  <c r="W83" i="58" s="1"/>
  <c r="F137" i="72"/>
  <c r="H107" i="72"/>
  <c r="H197" i="72"/>
  <c r="AJ83" i="58"/>
  <c r="M226" i="164"/>
  <c r="AN83" i="58" s="1"/>
  <c r="Y39" i="58"/>
  <c r="G197" i="72"/>
  <c r="F197" i="72"/>
  <c r="E167" i="72"/>
  <c r="D167" i="72"/>
  <c r="G167" i="72"/>
  <c r="X39" i="58"/>
  <c r="H167" i="72"/>
  <c r="P150" i="164"/>
  <c r="F167" i="72"/>
  <c r="G137" i="72"/>
  <c r="W39" i="58"/>
  <c r="C137" i="72"/>
  <c r="G107" i="72"/>
  <c r="AJ39" i="58"/>
  <c r="C71" i="72"/>
  <c r="G71" i="72"/>
  <c r="U39" i="58"/>
  <c r="U126" i="58" s="1"/>
  <c r="P126" i="163"/>
  <c r="O133" i="163"/>
  <c r="P133" i="163" s="1"/>
  <c r="P120" i="164"/>
  <c r="O133" i="164"/>
  <c r="O103" i="164"/>
  <c r="C107" i="72"/>
  <c r="E71" i="72"/>
  <c r="I33" i="72"/>
  <c r="P211" i="164"/>
  <c r="M226" i="163"/>
  <c r="Z83" i="58" s="1"/>
  <c r="P187" i="164"/>
  <c r="O193" i="164"/>
  <c r="P193" i="164" s="1"/>
  <c r="M195" i="163"/>
  <c r="M165" i="164"/>
  <c r="AL83" i="58" s="1"/>
  <c r="AL126" i="58" s="1"/>
  <c r="M105" i="163"/>
  <c r="M69" i="164"/>
  <c r="E33" i="72"/>
  <c r="H33" i="72"/>
  <c r="O87" i="164"/>
  <c r="P180" i="164"/>
  <c r="M195" i="164"/>
  <c r="AM83" i="58" s="1"/>
  <c r="M135" i="164"/>
  <c r="O165" i="164"/>
  <c r="P163" i="164"/>
  <c r="O226" i="164"/>
  <c r="P224" i="164"/>
  <c r="O69" i="164"/>
  <c r="P67" i="164"/>
  <c r="M165" i="163"/>
  <c r="O165" i="163"/>
  <c r="P163" i="163"/>
  <c r="P83" i="163"/>
  <c r="O87" i="163"/>
  <c r="P87" i="163" s="1"/>
  <c r="O208" i="163"/>
  <c r="P208" i="163" s="1"/>
  <c r="P193" i="163"/>
  <c r="O177" i="163"/>
  <c r="P177" i="163" s="1"/>
  <c r="P224" i="163"/>
  <c r="O103" i="163"/>
  <c r="O67" i="163"/>
  <c r="M69" i="72"/>
  <c r="F83" i="58" s="1"/>
  <c r="E124" i="78" s="1"/>
  <c r="J124" i="78" s="1"/>
  <c r="P54" i="72"/>
  <c r="O67" i="72"/>
  <c r="O51" i="72"/>
  <c r="P51" i="72" s="1"/>
  <c r="P47" i="72"/>
  <c r="M31" i="72"/>
  <c r="O18" i="72"/>
  <c r="O31" i="72" s="1"/>
  <c r="M15" i="72"/>
  <c r="O15" i="72"/>
  <c r="P15" i="72" s="1"/>
  <c r="G33" i="72"/>
  <c r="F33" i="72"/>
  <c r="C15" i="72"/>
  <c r="C33" i="72" s="1"/>
  <c r="AM126" i="58" l="1"/>
  <c r="AJ126" i="58"/>
  <c r="W126" i="58"/>
  <c r="Z126" i="58"/>
  <c r="AN126" i="58"/>
  <c r="P165" i="164"/>
  <c r="H82" i="122"/>
  <c r="P69" i="164"/>
  <c r="E82" i="122"/>
  <c r="P165" i="163"/>
  <c r="H81" i="122"/>
  <c r="H80" i="122" s="1"/>
  <c r="P226" i="164"/>
  <c r="J82" i="122"/>
  <c r="Y83" i="58"/>
  <c r="M197" i="72"/>
  <c r="X83" i="58"/>
  <c r="X126" i="58" s="1"/>
  <c r="M167" i="72"/>
  <c r="O135" i="163"/>
  <c r="M137" i="72"/>
  <c r="AK83" i="58"/>
  <c r="M107" i="72"/>
  <c r="V83" i="58"/>
  <c r="M71" i="72"/>
  <c r="AI83" i="58"/>
  <c r="O226" i="163"/>
  <c r="E39" i="58"/>
  <c r="E27" i="78" s="1"/>
  <c r="J27" i="78" s="1"/>
  <c r="E17" i="61"/>
  <c r="O33" i="72"/>
  <c r="M33" i="72"/>
  <c r="E83" i="58" s="1"/>
  <c r="E61" i="78" s="1"/>
  <c r="J61" i="78" s="1"/>
  <c r="P133" i="164"/>
  <c r="O135" i="164"/>
  <c r="O105" i="164"/>
  <c r="O195" i="164"/>
  <c r="O105" i="163"/>
  <c r="P103" i="163"/>
  <c r="O195" i="163"/>
  <c r="O69" i="163"/>
  <c r="P67" i="163"/>
  <c r="O69" i="72"/>
  <c r="F41" i="61" s="1"/>
  <c r="P67" i="72"/>
  <c r="Y126" i="58" l="1"/>
  <c r="V126" i="58"/>
  <c r="AK126" i="58"/>
  <c r="P69" i="163"/>
  <c r="E81" i="122"/>
  <c r="E80" i="122"/>
  <c r="E85" i="122" s="1"/>
  <c r="E152" i="151" s="1"/>
  <c r="P195" i="163"/>
  <c r="I81" i="122"/>
  <c r="P195" i="164"/>
  <c r="I82" i="122"/>
  <c r="H85" i="122"/>
  <c r="H152" i="151" s="1"/>
  <c r="H86" i="122"/>
  <c r="S152" i="151" s="1"/>
  <c r="H89" i="122"/>
  <c r="P226" i="163"/>
  <c r="J81" i="122"/>
  <c r="P135" i="164"/>
  <c r="G82" i="122"/>
  <c r="P135" i="163"/>
  <c r="G81" i="122"/>
  <c r="P105" i="163"/>
  <c r="F81" i="122"/>
  <c r="F82" i="122"/>
  <c r="AI126" i="58"/>
  <c r="T83" i="58"/>
  <c r="T39" i="58"/>
  <c r="E126" i="58"/>
  <c r="E41" i="61"/>
  <c r="F37" i="157"/>
  <c r="P69" i="72"/>
  <c r="I37" i="157"/>
  <c r="F126" i="58"/>
  <c r="G110" i="151"/>
  <c r="G111" i="151"/>
  <c r="G112" i="151"/>
  <c r="G113" i="151"/>
  <c r="G114" i="151"/>
  <c r="G115" i="151"/>
  <c r="G116" i="151"/>
  <c r="G109" i="151"/>
  <c r="H605" i="123"/>
  <c r="H600" i="123"/>
  <c r="H588" i="123"/>
  <c r="H576" i="123"/>
  <c r="H564" i="123"/>
  <c r="H552" i="123"/>
  <c r="N280" i="125"/>
  <c r="O280" i="125" s="1"/>
  <c r="Q16" i="124"/>
  <c r="M114" i="125"/>
  <c r="L114" i="125"/>
  <c r="M55" i="125"/>
  <c r="L55" i="125"/>
  <c r="M74" i="125"/>
  <c r="L74" i="125"/>
  <c r="M91" i="125"/>
  <c r="L91" i="125"/>
  <c r="AC27" i="124"/>
  <c r="BC27" i="124" s="1"/>
  <c r="AC26" i="124"/>
  <c r="BC26" i="124" s="1"/>
  <c r="AC25" i="124"/>
  <c r="BC25" i="124" s="1"/>
  <c r="AC24" i="124"/>
  <c r="BC24" i="124" s="1"/>
  <c r="AC23" i="124"/>
  <c r="BC23" i="124" s="1"/>
  <c r="AB27" i="124"/>
  <c r="BB27" i="124" s="1"/>
  <c r="AB26" i="124"/>
  <c r="BB26" i="124" s="1"/>
  <c r="AB25" i="124"/>
  <c r="BB25" i="124" s="1"/>
  <c r="AB24" i="124"/>
  <c r="BB24" i="124" s="1"/>
  <c r="AB23" i="124"/>
  <c r="BB23" i="124" s="1"/>
  <c r="AA27" i="124"/>
  <c r="BA27" i="124" s="1"/>
  <c r="AA26" i="124"/>
  <c r="BA26" i="124" s="1"/>
  <c r="AA25" i="124"/>
  <c r="BA25" i="124" s="1"/>
  <c r="AA24" i="124"/>
  <c r="BA24" i="124" s="1"/>
  <c r="AA23" i="124"/>
  <c r="BA23" i="124" s="1"/>
  <c r="Z27" i="124"/>
  <c r="AZ27" i="124" s="1"/>
  <c r="Z26" i="124"/>
  <c r="AZ26" i="124" s="1"/>
  <c r="E48" i="149" s="1"/>
  <c r="Z25" i="124"/>
  <c r="AZ25" i="124" s="1"/>
  <c r="Z24" i="124"/>
  <c r="AZ24" i="124" s="1"/>
  <c r="Z23" i="124"/>
  <c r="AZ23" i="124" s="1"/>
  <c r="Y27" i="124"/>
  <c r="AY27" i="124" s="1"/>
  <c r="Y26" i="124"/>
  <c r="AY26" i="124" s="1"/>
  <c r="T34" i="149" s="1"/>
  <c r="Y25" i="124"/>
  <c r="AY25" i="124" s="1"/>
  <c r="Y24" i="124"/>
  <c r="AY24" i="124" s="1"/>
  <c r="Y23" i="124"/>
  <c r="AY23" i="124" s="1"/>
  <c r="N448" i="123"/>
  <c r="N374" i="125" s="1"/>
  <c r="AX50" i="124" s="1"/>
  <c r="N447" i="123"/>
  <c r="N373" i="125" s="1"/>
  <c r="AX49" i="124" s="1"/>
  <c r="B366" i="123"/>
  <c r="B365" i="123"/>
  <c r="B364" i="123"/>
  <c r="B363" i="123"/>
  <c r="B362" i="123"/>
  <c r="B361" i="123"/>
  <c r="H318" i="123"/>
  <c r="H314" i="123"/>
  <c r="H307" i="123"/>
  <c r="H298" i="123"/>
  <c r="H286" i="123"/>
  <c r="H274" i="123"/>
  <c r="H262" i="123"/>
  <c r="AY30" i="124" l="1"/>
  <c r="BB30" i="124"/>
  <c r="BC30" i="124"/>
  <c r="AZ30" i="124"/>
  <c r="BA30" i="124"/>
  <c r="J373" i="125"/>
  <c r="X49" i="124" s="1"/>
  <c r="J374" i="125"/>
  <c r="X50" i="124" s="1"/>
  <c r="E86" i="122"/>
  <c r="P152" i="151" s="1"/>
  <c r="E89" i="122"/>
  <c r="G80" i="122"/>
  <c r="G85" i="122" s="1"/>
  <c r="G152" i="151" s="1"/>
  <c r="I80" i="122"/>
  <c r="I85" i="122" s="1"/>
  <c r="I152" i="151" s="1"/>
  <c r="J80" i="122"/>
  <c r="J85" i="122" s="1"/>
  <c r="J152" i="151" s="1"/>
  <c r="F80" i="122"/>
  <c r="T126" i="58"/>
  <c r="F36" i="157"/>
  <c r="F49" i="157"/>
  <c r="F50" i="157" s="1"/>
  <c r="AZ56" i="124"/>
  <c r="L26" i="120" s="1"/>
  <c r="AY56" i="124"/>
  <c r="K26" i="120" s="1"/>
  <c r="BA56" i="124"/>
  <c r="M26" i="120" s="1"/>
  <c r="BC56" i="124"/>
  <c r="O26" i="120" s="1"/>
  <c r="BB56" i="124"/>
  <c r="N26" i="120" s="1"/>
  <c r="R217" i="123"/>
  <c r="Q217" i="123"/>
  <c r="P217" i="123"/>
  <c r="O217" i="123"/>
  <c r="N145" i="123"/>
  <c r="X23" i="124" s="1"/>
  <c r="J177" i="125" s="1"/>
  <c r="O13" i="120"/>
  <c r="O15" i="120" s="1"/>
  <c r="N13" i="120"/>
  <c r="N15" i="120" s="1"/>
  <c r="M13" i="120"/>
  <c r="M15" i="120" s="1"/>
  <c r="L13" i="120"/>
  <c r="L15" i="120" s="1"/>
  <c r="K13" i="120"/>
  <c r="O24" i="120"/>
  <c r="N24" i="120"/>
  <c r="M24" i="120"/>
  <c r="L24" i="120"/>
  <c r="K24" i="120"/>
  <c r="AC30" i="124"/>
  <c r="AB30" i="124"/>
  <c r="AA30" i="124"/>
  <c r="Z30" i="124"/>
  <c r="L11" i="120" s="1"/>
  <c r="Y30" i="124"/>
  <c r="K11" i="120" s="1"/>
  <c r="O11" i="120"/>
  <c r="N11" i="120"/>
  <c r="M11" i="120"/>
  <c r="Q140" i="131"/>
  <c r="V139" i="131"/>
  <c r="U139" i="131"/>
  <c r="T139" i="131"/>
  <c r="Q139" i="131"/>
  <c r="P139" i="131"/>
  <c r="O139" i="131"/>
  <c r="L139" i="131"/>
  <c r="K139" i="131"/>
  <c r="J139" i="131"/>
  <c r="G139" i="131"/>
  <c r="F139" i="131"/>
  <c r="E139" i="131"/>
  <c r="V138" i="131"/>
  <c r="U138" i="131"/>
  <c r="T138" i="131"/>
  <c r="Q138" i="131"/>
  <c r="P138" i="131"/>
  <c r="O138" i="131"/>
  <c r="L138" i="131"/>
  <c r="K138" i="131"/>
  <c r="J138" i="131"/>
  <c r="G138" i="131"/>
  <c r="F138" i="131"/>
  <c r="E138" i="131"/>
  <c r="V137" i="131"/>
  <c r="U137" i="131"/>
  <c r="T137" i="131"/>
  <c r="Q137" i="131"/>
  <c r="P137" i="131"/>
  <c r="O137" i="131"/>
  <c r="L137" i="131"/>
  <c r="K137" i="131"/>
  <c r="J137" i="131"/>
  <c r="G137" i="131"/>
  <c r="F137" i="131"/>
  <c r="E137" i="131"/>
  <c r="V136" i="131"/>
  <c r="U136" i="131"/>
  <c r="T136" i="131"/>
  <c r="Q136" i="131"/>
  <c r="P136" i="131"/>
  <c r="O136" i="131"/>
  <c r="L136" i="131"/>
  <c r="K136" i="131"/>
  <c r="J136" i="131"/>
  <c r="G136" i="131"/>
  <c r="F136" i="131"/>
  <c r="E136" i="131"/>
  <c r="V135" i="131"/>
  <c r="U135" i="131"/>
  <c r="Q135" i="131"/>
  <c r="P135" i="131"/>
  <c r="L135" i="131"/>
  <c r="K135" i="131"/>
  <c r="G135" i="131"/>
  <c r="F135" i="131"/>
  <c r="V134" i="131"/>
  <c r="U134" i="131"/>
  <c r="T134" i="131"/>
  <c r="Q134" i="131"/>
  <c r="P134" i="131"/>
  <c r="O134" i="131"/>
  <c r="L134" i="131"/>
  <c r="K134" i="131"/>
  <c r="J134" i="131"/>
  <c r="G134" i="131"/>
  <c r="F134" i="131"/>
  <c r="E134" i="131"/>
  <c r="V133" i="131"/>
  <c r="U133" i="131"/>
  <c r="T133" i="131"/>
  <c r="Q133" i="131"/>
  <c r="P133" i="131"/>
  <c r="P140" i="131" s="1"/>
  <c r="O133" i="131"/>
  <c r="L133" i="131"/>
  <c r="K133" i="131"/>
  <c r="J133" i="131"/>
  <c r="G133" i="131"/>
  <c r="F133" i="131"/>
  <c r="F140" i="131" s="1"/>
  <c r="E133" i="131"/>
  <c r="V132" i="131"/>
  <c r="V140" i="131" s="1"/>
  <c r="U132" i="131"/>
  <c r="U140" i="131" s="1"/>
  <c r="T132" i="131"/>
  <c r="Q132" i="131"/>
  <c r="P132" i="131"/>
  <c r="O132" i="131"/>
  <c r="L132" i="131"/>
  <c r="L140" i="131" s="1"/>
  <c r="K132" i="131"/>
  <c r="J132" i="131"/>
  <c r="G132" i="131"/>
  <c r="F132" i="131"/>
  <c r="E132" i="131"/>
  <c r="V125" i="131"/>
  <c r="U125" i="131"/>
  <c r="T125" i="131"/>
  <c r="Q125" i="131"/>
  <c r="P125" i="131"/>
  <c r="O125" i="131"/>
  <c r="L125" i="131"/>
  <c r="K125" i="131"/>
  <c r="J125" i="131"/>
  <c r="G125" i="131"/>
  <c r="F125" i="131"/>
  <c r="E125" i="131"/>
  <c r="V124" i="131"/>
  <c r="U124" i="131"/>
  <c r="T124" i="131"/>
  <c r="Q124" i="131"/>
  <c r="P124" i="131"/>
  <c r="O124" i="131"/>
  <c r="L124" i="131"/>
  <c r="K124" i="131"/>
  <c r="J124" i="131"/>
  <c r="G124" i="131"/>
  <c r="F124" i="131"/>
  <c r="E124" i="131"/>
  <c r="V123" i="131"/>
  <c r="U123" i="131"/>
  <c r="T123" i="131"/>
  <c r="Q123" i="131"/>
  <c r="P123" i="131"/>
  <c r="O123" i="131"/>
  <c r="L123" i="131"/>
  <c r="K123" i="131"/>
  <c r="J123" i="131"/>
  <c r="G123" i="131"/>
  <c r="F123" i="131"/>
  <c r="E123" i="131"/>
  <c r="V122" i="131"/>
  <c r="U122" i="131"/>
  <c r="T122" i="131"/>
  <c r="Q122" i="131"/>
  <c r="P122" i="131"/>
  <c r="O122" i="131"/>
  <c r="L122" i="131"/>
  <c r="K122" i="131"/>
  <c r="J122" i="131"/>
  <c r="G122" i="131"/>
  <c r="F122" i="131"/>
  <c r="E122" i="131"/>
  <c r="V121" i="131"/>
  <c r="U121" i="131"/>
  <c r="Q121" i="131"/>
  <c r="P121" i="131"/>
  <c r="O121" i="131"/>
  <c r="L121" i="131"/>
  <c r="K121" i="131"/>
  <c r="J121" i="131"/>
  <c r="G121" i="131"/>
  <c r="F121" i="131"/>
  <c r="E121" i="131"/>
  <c r="V120" i="131"/>
  <c r="U120" i="131"/>
  <c r="T120" i="131"/>
  <c r="Q120" i="131"/>
  <c r="P120" i="131"/>
  <c r="O120" i="131"/>
  <c r="L120" i="131"/>
  <c r="K120" i="131"/>
  <c r="J120" i="131"/>
  <c r="G120" i="131"/>
  <c r="F120" i="131"/>
  <c r="E120" i="131"/>
  <c r="V119" i="131"/>
  <c r="U119" i="131"/>
  <c r="T119" i="131"/>
  <c r="Q119" i="131"/>
  <c r="Q126" i="131" s="1"/>
  <c r="P119" i="131"/>
  <c r="O119" i="131"/>
  <c r="L119" i="131"/>
  <c r="K119" i="131"/>
  <c r="J119" i="131"/>
  <c r="G119" i="131"/>
  <c r="F119" i="131"/>
  <c r="F126" i="131" s="1"/>
  <c r="E119" i="131"/>
  <c r="V118" i="131"/>
  <c r="V126" i="131" s="1"/>
  <c r="U118" i="131"/>
  <c r="U126" i="131" s="1"/>
  <c r="T118" i="131"/>
  <c r="Q118" i="131"/>
  <c r="P118" i="131"/>
  <c r="P126" i="131" s="1"/>
  <c r="O118" i="131"/>
  <c r="L118" i="131"/>
  <c r="L126" i="131" s="1"/>
  <c r="K118" i="131"/>
  <c r="K126" i="131" s="1"/>
  <c r="J118" i="131"/>
  <c r="J126" i="131" s="1"/>
  <c r="G118" i="131"/>
  <c r="G126" i="131" s="1"/>
  <c r="F118" i="131"/>
  <c r="E118" i="131"/>
  <c r="V111" i="131"/>
  <c r="U111" i="131"/>
  <c r="T111" i="131"/>
  <c r="Q111" i="131"/>
  <c r="P111" i="131"/>
  <c r="O111" i="131"/>
  <c r="L111" i="131"/>
  <c r="K111" i="131"/>
  <c r="J111" i="131"/>
  <c r="H111" i="131"/>
  <c r="I111" i="131" s="1"/>
  <c r="G111" i="131"/>
  <c r="F111" i="131"/>
  <c r="E111" i="131"/>
  <c r="D111" i="131"/>
  <c r="V110" i="131"/>
  <c r="U110" i="131"/>
  <c r="T110" i="131"/>
  <c r="Q110" i="131"/>
  <c r="P110" i="131"/>
  <c r="O110" i="131"/>
  <c r="L110" i="131"/>
  <c r="K110" i="131"/>
  <c r="J110" i="131"/>
  <c r="G110" i="131"/>
  <c r="F110" i="131"/>
  <c r="E110" i="131"/>
  <c r="D110" i="131"/>
  <c r="H110" i="131" s="1"/>
  <c r="I110" i="131" s="1"/>
  <c r="M110" i="131" s="1"/>
  <c r="N110" i="131" s="1"/>
  <c r="V109" i="131"/>
  <c r="U109" i="131"/>
  <c r="T109" i="131"/>
  <c r="Q109" i="131"/>
  <c r="P109" i="131"/>
  <c r="O109" i="131"/>
  <c r="L109" i="131"/>
  <c r="K109" i="131"/>
  <c r="J109" i="131"/>
  <c r="G109" i="131"/>
  <c r="F109" i="131"/>
  <c r="E109" i="131"/>
  <c r="D109" i="131"/>
  <c r="H109" i="131" s="1"/>
  <c r="I109" i="131" s="1"/>
  <c r="M109" i="131" s="1"/>
  <c r="N109" i="131" s="1"/>
  <c r="V108" i="131"/>
  <c r="U108" i="131"/>
  <c r="T108" i="131"/>
  <c r="Q108" i="131"/>
  <c r="P108" i="131"/>
  <c r="O108" i="131"/>
  <c r="L108" i="131"/>
  <c r="K108" i="131"/>
  <c r="J108" i="131"/>
  <c r="G108" i="131"/>
  <c r="F108" i="131"/>
  <c r="E108" i="131"/>
  <c r="D108" i="131"/>
  <c r="H108" i="131" s="1"/>
  <c r="I108" i="131" s="1"/>
  <c r="M108" i="131" s="1"/>
  <c r="N108" i="131" s="1"/>
  <c r="R108" i="131" s="1"/>
  <c r="S108" i="131" s="1"/>
  <c r="W108" i="131" s="1"/>
  <c r="V107" i="131"/>
  <c r="U107" i="131"/>
  <c r="T107" i="131"/>
  <c r="Q107" i="131"/>
  <c r="P107" i="131"/>
  <c r="O107" i="131"/>
  <c r="L107" i="131"/>
  <c r="K107" i="131"/>
  <c r="J107" i="131"/>
  <c r="G107" i="131"/>
  <c r="F107" i="131"/>
  <c r="E107" i="131"/>
  <c r="D107" i="131"/>
  <c r="H107" i="131" s="1"/>
  <c r="I107" i="131" s="1"/>
  <c r="M107" i="131" s="1"/>
  <c r="N107" i="131" s="1"/>
  <c r="R107" i="131" s="1"/>
  <c r="S107" i="131" s="1"/>
  <c r="W107" i="131" s="1"/>
  <c r="V106" i="131"/>
  <c r="U106" i="131"/>
  <c r="T106" i="131"/>
  <c r="Q106" i="131"/>
  <c r="P106" i="131"/>
  <c r="O106" i="131"/>
  <c r="L106" i="131"/>
  <c r="K106" i="131"/>
  <c r="J106" i="131"/>
  <c r="G106" i="131"/>
  <c r="F106" i="131"/>
  <c r="E106" i="131"/>
  <c r="D106" i="131"/>
  <c r="V105" i="131"/>
  <c r="U105" i="131"/>
  <c r="T105" i="131"/>
  <c r="Q105" i="131"/>
  <c r="P105" i="131"/>
  <c r="O105" i="131"/>
  <c r="L105" i="131"/>
  <c r="K105" i="131"/>
  <c r="J105" i="131"/>
  <c r="G105" i="131"/>
  <c r="H105" i="131" s="1"/>
  <c r="I105" i="131" s="1"/>
  <c r="M105" i="131" s="1"/>
  <c r="N105" i="131" s="1"/>
  <c r="R105" i="131" s="1"/>
  <c r="S105" i="131" s="1"/>
  <c r="W105" i="131" s="1"/>
  <c r="F105" i="131"/>
  <c r="E105" i="131"/>
  <c r="D105" i="131"/>
  <c r="V104" i="131"/>
  <c r="U104" i="131"/>
  <c r="T104" i="131"/>
  <c r="Q104" i="131"/>
  <c r="P104" i="131"/>
  <c r="O104" i="131"/>
  <c r="L104" i="131"/>
  <c r="K104" i="131"/>
  <c r="K112" i="131" s="1"/>
  <c r="J104" i="131"/>
  <c r="J112" i="131" s="1"/>
  <c r="G104" i="131"/>
  <c r="F104" i="131"/>
  <c r="E104" i="131"/>
  <c r="D104" i="131"/>
  <c r="V139" i="116"/>
  <c r="U139" i="116"/>
  <c r="Q139" i="116"/>
  <c r="P139" i="116"/>
  <c r="L139" i="116"/>
  <c r="K139" i="116"/>
  <c r="G139" i="116"/>
  <c r="F139" i="116"/>
  <c r="V138" i="116"/>
  <c r="U138" i="116"/>
  <c r="Q138" i="116"/>
  <c r="P138" i="116"/>
  <c r="L138" i="116"/>
  <c r="K138" i="116"/>
  <c r="G138" i="116"/>
  <c r="F138" i="116"/>
  <c r="V137" i="116"/>
  <c r="U137" i="116"/>
  <c r="Q137" i="116"/>
  <c r="P137" i="116"/>
  <c r="L137" i="116"/>
  <c r="K137" i="116"/>
  <c r="G137" i="116"/>
  <c r="F137" i="116"/>
  <c r="V136" i="116"/>
  <c r="U136" i="116"/>
  <c r="Q136" i="116"/>
  <c r="P136" i="116"/>
  <c r="L136" i="116"/>
  <c r="K136" i="116"/>
  <c r="G136" i="116"/>
  <c r="F136" i="116"/>
  <c r="V135" i="116"/>
  <c r="U135" i="116"/>
  <c r="Q135" i="116"/>
  <c r="P135" i="116"/>
  <c r="L135" i="116"/>
  <c r="K135" i="116"/>
  <c r="G135" i="116"/>
  <c r="F135" i="116"/>
  <c r="V134" i="116"/>
  <c r="U134" i="116"/>
  <c r="Q134" i="116"/>
  <c r="P134" i="116"/>
  <c r="L134" i="116"/>
  <c r="K134" i="116"/>
  <c r="G134" i="116"/>
  <c r="F134" i="116"/>
  <c r="V133" i="116"/>
  <c r="U133" i="116"/>
  <c r="Q133" i="116"/>
  <c r="P133" i="116"/>
  <c r="L133" i="116"/>
  <c r="K133" i="116"/>
  <c r="G133" i="116"/>
  <c r="F133" i="116"/>
  <c r="V132" i="116"/>
  <c r="U132" i="116"/>
  <c r="Q132" i="116"/>
  <c r="P132" i="116"/>
  <c r="L132" i="116"/>
  <c r="L140" i="116" s="1"/>
  <c r="K132" i="116"/>
  <c r="K140" i="116" s="1"/>
  <c r="G132" i="116"/>
  <c r="F132" i="116"/>
  <c r="V125" i="116"/>
  <c r="U125" i="116"/>
  <c r="Q125" i="116"/>
  <c r="P125" i="116"/>
  <c r="L125" i="116"/>
  <c r="K125" i="116"/>
  <c r="G125" i="116"/>
  <c r="F125" i="116"/>
  <c r="V124" i="116"/>
  <c r="U124" i="116"/>
  <c r="Q124" i="116"/>
  <c r="P124" i="116"/>
  <c r="L124" i="116"/>
  <c r="K124" i="116"/>
  <c r="G124" i="116"/>
  <c r="F124" i="116"/>
  <c r="V123" i="116"/>
  <c r="U123" i="116"/>
  <c r="Q123" i="116"/>
  <c r="P123" i="116"/>
  <c r="L123" i="116"/>
  <c r="K123" i="116"/>
  <c r="G123" i="116"/>
  <c r="F123" i="116"/>
  <c r="V122" i="116"/>
  <c r="U122" i="116"/>
  <c r="Q122" i="116"/>
  <c r="P122" i="116"/>
  <c r="L122" i="116"/>
  <c r="K122" i="116"/>
  <c r="G122" i="116"/>
  <c r="F122" i="116"/>
  <c r="V121" i="116"/>
  <c r="U121" i="116"/>
  <c r="Q121" i="116"/>
  <c r="P121" i="116"/>
  <c r="L121" i="116"/>
  <c r="K121" i="116"/>
  <c r="G121" i="116"/>
  <c r="F121" i="116"/>
  <c r="V120" i="116"/>
  <c r="U120" i="116"/>
  <c r="Q120" i="116"/>
  <c r="P120" i="116"/>
  <c r="L120" i="116"/>
  <c r="K120" i="116"/>
  <c r="G120" i="116"/>
  <c r="F120" i="116"/>
  <c r="V119" i="116"/>
  <c r="U119" i="116"/>
  <c r="Q119" i="116"/>
  <c r="P119" i="116"/>
  <c r="L119" i="116"/>
  <c r="K119" i="116"/>
  <c r="G119" i="116"/>
  <c r="F119" i="116"/>
  <c r="V118" i="116"/>
  <c r="V126" i="116" s="1"/>
  <c r="U118" i="116"/>
  <c r="U126" i="116" s="1"/>
  <c r="Q118" i="116"/>
  <c r="P118" i="116"/>
  <c r="L118" i="116"/>
  <c r="L126" i="116" s="1"/>
  <c r="K118" i="116"/>
  <c r="G118" i="116"/>
  <c r="F118" i="116"/>
  <c r="V111" i="116"/>
  <c r="U111" i="116"/>
  <c r="Q111" i="116"/>
  <c r="P111" i="116"/>
  <c r="L111" i="116"/>
  <c r="K111" i="116"/>
  <c r="G111" i="116"/>
  <c r="F111" i="116"/>
  <c r="D111" i="116"/>
  <c r="V110" i="116"/>
  <c r="U110" i="116"/>
  <c r="Q110" i="116"/>
  <c r="P110" i="116"/>
  <c r="L110" i="116"/>
  <c r="K110" i="116"/>
  <c r="G110" i="116"/>
  <c r="F110" i="116"/>
  <c r="D110" i="116"/>
  <c r="V109" i="116"/>
  <c r="U109" i="116"/>
  <c r="Q109" i="116"/>
  <c r="P109" i="116"/>
  <c r="L109" i="116"/>
  <c r="K109" i="116"/>
  <c r="G109" i="116"/>
  <c r="F109" i="116"/>
  <c r="D109" i="116"/>
  <c r="V108" i="116"/>
  <c r="U108" i="116"/>
  <c r="Q108" i="116"/>
  <c r="P108" i="116"/>
  <c r="L108" i="116"/>
  <c r="K108" i="116"/>
  <c r="G108" i="116"/>
  <c r="F108" i="116"/>
  <c r="D108" i="116"/>
  <c r="V107" i="116"/>
  <c r="U107" i="116"/>
  <c r="Q107" i="116"/>
  <c r="P107" i="116"/>
  <c r="L107" i="116"/>
  <c r="K107" i="116"/>
  <c r="G107" i="116"/>
  <c r="F107" i="116"/>
  <c r="D107" i="116"/>
  <c r="V106" i="116"/>
  <c r="U106" i="116"/>
  <c r="Q106" i="116"/>
  <c r="P106" i="116"/>
  <c r="L106" i="116"/>
  <c r="K106" i="116"/>
  <c r="G106" i="116"/>
  <c r="F106" i="116"/>
  <c r="D106" i="116"/>
  <c r="V105" i="116"/>
  <c r="U105" i="116"/>
  <c r="Q105" i="116"/>
  <c r="P105" i="116"/>
  <c r="L105" i="116"/>
  <c r="K105" i="116"/>
  <c r="G105" i="116"/>
  <c r="F105" i="116"/>
  <c r="D105" i="116"/>
  <c r="V104" i="116"/>
  <c r="U104" i="116"/>
  <c r="Q104" i="116"/>
  <c r="P104" i="116"/>
  <c r="L104" i="116"/>
  <c r="K104" i="116"/>
  <c r="G104" i="116"/>
  <c r="F104" i="116"/>
  <c r="D104" i="116"/>
  <c r="L140" i="149"/>
  <c r="V139" i="149"/>
  <c r="U139" i="149"/>
  <c r="T139" i="149"/>
  <c r="Q139" i="149"/>
  <c r="P139" i="149"/>
  <c r="O139" i="149"/>
  <c r="L139" i="149"/>
  <c r="K139" i="149"/>
  <c r="J139" i="149"/>
  <c r="G139" i="149"/>
  <c r="F139" i="149"/>
  <c r="E139" i="149"/>
  <c r="V138" i="149"/>
  <c r="U138" i="149"/>
  <c r="T138" i="149"/>
  <c r="Q138" i="149"/>
  <c r="P138" i="149"/>
  <c r="O138" i="149"/>
  <c r="L138" i="149"/>
  <c r="K138" i="149"/>
  <c r="J138" i="149"/>
  <c r="G138" i="149"/>
  <c r="F138" i="149"/>
  <c r="E138" i="149"/>
  <c r="V137" i="149"/>
  <c r="U137" i="149"/>
  <c r="T137" i="149"/>
  <c r="Q137" i="149"/>
  <c r="P137" i="149"/>
  <c r="O137" i="149"/>
  <c r="L137" i="149"/>
  <c r="K137" i="149"/>
  <c r="J137" i="149"/>
  <c r="G137" i="149"/>
  <c r="F137" i="149"/>
  <c r="E137" i="149"/>
  <c r="V136" i="149"/>
  <c r="U136" i="149"/>
  <c r="Q136" i="149"/>
  <c r="P136" i="149"/>
  <c r="L136" i="149"/>
  <c r="K136" i="149"/>
  <c r="G136" i="149"/>
  <c r="F136" i="149"/>
  <c r="V135" i="149"/>
  <c r="U135" i="149"/>
  <c r="T135" i="149"/>
  <c r="Q135" i="149"/>
  <c r="P135" i="149"/>
  <c r="O135" i="149"/>
  <c r="L135" i="149"/>
  <c r="K135" i="149"/>
  <c r="J135" i="149"/>
  <c r="G135" i="149"/>
  <c r="F135" i="149"/>
  <c r="E135" i="149"/>
  <c r="V134" i="149"/>
  <c r="U134" i="149"/>
  <c r="T134" i="149"/>
  <c r="Q134" i="149"/>
  <c r="P134" i="149"/>
  <c r="O134" i="149"/>
  <c r="L134" i="149"/>
  <c r="K134" i="149"/>
  <c r="J134" i="149"/>
  <c r="G134" i="149"/>
  <c r="F134" i="149"/>
  <c r="E134" i="149"/>
  <c r="V133" i="149"/>
  <c r="U133" i="149"/>
  <c r="T133" i="149"/>
  <c r="Q133" i="149"/>
  <c r="Q140" i="149" s="1"/>
  <c r="P133" i="149"/>
  <c r="P140" i="149" s="1"/>
  <c r="O133" i="149"/>
  <c r="L133" i="149"/>
  <c r="K133" i="149"/>
  <c r="J133" i="149"/>
  <c r="G133" i="149"/>
  <c r="G140" i="149" s="1"/>
  <c r="F133" i="149"/>
  <c r="F140" i="149" s="1"/>
  <c r="E133" i="149"/>
  <c r="V132" i="149"/>
  <c r="V140" i="149" s="1"/>
  <c r="U132" i="149"/>
  <c r="U140" i="149" s="1"/>
  <c r="T132" i="149"/>
  <c r="Q132" i="149"/>
  <c r="P132" i="149"/>
  <c r="O132" i="149"/>
  <c r="L132" i="149"/>
  <c r="K132" i="149"/>
  <c r="K140" i="149" s="1"/>
  <c r="J132" i="149"/>
  <c r="G132" i="149"/>
  <c r="F132" i="149"/>
  <c r="E132" i="149"/>
  <c r="L126" i="149"/>
  <c r="V125" i="149"/>
  <c r="U125" i="149"/>
  <c r="T125" i="149"/>
  <c r="Q125" i="149"/>
  <c r="P125" i="149"/>
  <c r="O125" i="149"/>
  <c r="L125" i="149"/>
  <c r="K125" i="149"/>
  <c r="J125" i="149"/>
  <c r="G125" i="149"/>
  <c r="H125" i="149" s="1"/>
  <c r="I125" i="149" s="1"/>
  <c r="M125" i="149" s="1"/>
  <c r="N125" i="149" s="1"/>
  <c r="R125" i="149" s="1"/>
  <c r="S125" i="149" s="1"/>
  <c r="F125" i="149"/>
  <c r="E125" i="149"/>
  <c r="V124" i="149"/>
  <c r="U124" i="149"/>
  <c r="T124" i="149"/>
  <c r="Q124" i="149"/>
  <c r="P124" i="149"/>
  <c r="O124" i="149"/>
  <c r="L124" i="149"/>
  <c r="K124" i="149"/>
  <c r="J124" i="149"/>
  <c r="G124" i="149"/>
  <c r="F124" i="149"/>
  <c r="E124" i="149"/>
  <c r="H124" i="149" s="1"/>
  <c r="I124" i="149" s="1"/>
  <c r="M124" i="149" s="1"/>
  <c r="N124" i="149" s="1"/>
  <c r="R124" i="149" s="1"/>
  <c r="S124" i="149" s="1"/>
  <c r="V123" i="149"/>
  <c r="U123" i="149"/>
  <c r="T123" i="149"/>
  <c r="Q123" i="149"/>
  <c r="P123" i="149"/>
  <c r="O123" i="149"/>
  <c r="L123" i="149"/>
  <c r="K123" i="149"/>
  <c r="J123" i="149"/>
  <c r="G123" i="149"/>
  <c r="F123" i="149"/>
  <c r="E123" i="149"/>
  <c r="H123" i="149" s="1"/>
  <c r="I123" i="149" s="1"/>
  <c r="M123" i="149" s="1"/>
  <c r="N123" i="149" s="1"/>
  <c r="R123" i="149" s="1"/>
  <c r="S123" i="149" s="1"/>
  <c r="V122" i="149"/>
  <c r="U122" i="149"/>
  <c r="Q122" i="149"/>
  <c r="P122" i="149"/>
  <c r="O122" i="149"/>
  <c r="L122" i="149"/>
  <c r="K122" i="149"/>
  <c r="J122" i="149"/>
  <c r="G122" i="149"/>
  <c r="F122" i="149"/>
  <c r="E122" i="149"/>
  <c r="H122" i="149" s="1"/>
  <c r="I122" i="149" s="1"/>
  <c r="M122" i="149" s="1"/>
  <c r="N122" i="149" s="1"/>
  <c r="R122" i="149" s="1"/>
  <c r="S122" i="149" s="1"/>
  <c r="V121" i="149"/>
  <c r="U121" i="149"/>
  <c r="T121" i="149"/>
  <c r="Q121" i="149"/>
  <c r="P121" i="149"/>
  <c r="O121" i="149"/>
  <c r="L121" i="149"/>
  <c r="K121" i="149"/>
  <c r="J121" i="149"/>
  <c r="G121" i="149"/>
  <c r="F121" i="149"/>
  <c r="E121" i="149"/>
  <c r="H121" i="149" s="1"/>
  <c r="I121" i="149" s="1"/>
  <c r="M121" i="149" s="1"/>
  <c r="N121" i="149" s="1"/>
  <c r="R121" i="149" s="1"/>
  <c r="S121" i="149" s="1"/>
  <c r="V120" i="149"/>
  <c r="U120" i="149"/>
  <c r="T120" i="149"/>
  <c r="Q120" i="149"/>
  <c r="P120" i="149"/>
  <c r="O120" i="149"/>
  <c r="L120" i="149"/>
  <c r="K120" i="149"/>
  <c r="J120" i="149"/>
  <c r="G120" i="149"/>
  <c r="F120" i="149"/>
  <c r="H120" i="149" s="1"/>
  <c r="I120" i="149" s="1"/>
  <c r="M120" i="149" s="1"/>
  <c r="N120" i="149" s="1"/>
  <c r="R120" i="149" s="1"/>
  <c r="S120" i="149" s="1"/>
  <c r="E120" i="149"/>
  <c r="V119" i="149"/>
  <c r="U119" i="149"/>
  <c r="T119" i="149"/>
  <c r="Q119" i="149"/>
  <c r="Q126" i="149" s="1"/>
  <c r="P119" i="149"/>
  <c r="P126" i="149" s="1"/>
  <c r="O119" i="149"/>
  <c r="O126" i="149" s="1"/>
  <c r="L119" i="149"/>
  <c r="K119" i="149"/>
  <c r="J119" i="149"/>
  <c r="G119" i="149"/>
  <c r="G126" i="149" s="1"/>
  <c r="F119" i="149"/>
  <c r="F126" i="149" s="1"/>
  <c r="E119" i="149"/>
  <c r="E126" i="149" s="1"/>
  <c r="V118" i="149"/>
  <c r="V126" i="149" s="1"/>
  <c r="U118" i="149"/>
  <c r="U126" i="149" s="1"/>
  <c r="T118" i="149"/>
  <c r="Q118" i="149"/>
  <c r="P118" i="149"/>
  <c r="O118" i="149"/>
  <c r="L118" i="149"/>
  <c r="K118" i="149"/>
  <c r="K126" i="149" s="1"/>
  <c r="J118" i="149"/>
  <c r="J126" i="149" s="1"/>
  <c r="H118" i="149"/>
  <c r="G118" i="149"/>
  <c r="F118" i="149"/>
  <c r="E118" i="149"/>
  <c r="V111" i="149"/>
  <c r="U111" i="149"/>
  <c r="T111" i="149"/>
  <c r="Q111" i="149"/>
  <c r="P111" i="149"/>
  <c r="O111" i="149"/>
  <c r="L111" i="149"/>
  <c r="K111" i="149"/>
  <c r="J111" i="149"/>
  <c r="H111" i="149"/>
  <c r="I111" i="149" s="1"/>
  <c r="M111" i="149" s="1"/>
  <c r="N111" i="149" s="1"/>
  <c r="R111" i="149" s="1"/>
  <c r="S111" i="149" s="1"/>
  <c r="W111" i="149" s="1"/>
  <c r="G111" i="149"/>
  <c r="F111" i="149"/>
  <c r="E111" i="149"/>
  <c r="D111" i="149"/>
  <c r="V110" i="149"/>
  <c r="U110" i="149"/>
  <c r="T110" i="149"/>
  <c r="Q110" i="149"/>
  <c r="P110" i="149"/>
  <c r="O110" i="149"/>
  <c r="L110" i="149"/>
  <c r="K110" i="149"/>
  <c r="J110" i="149"/>
  <c r="G110" i="149"/>
  <c r="F110" i="149"/>
  <c r="E110" i="149"/>
  <c r="D110" i="149"/>
  <c r="H110" i="149" s="1"/>
  <c r="I110" i="149" s="1"/>
  <c r="M110" i="149" s="1"/>
  <c r="N110" i="149" s="1"/>
  <c r="R110" i="149" s="1"/>
  <c r="S110" i="149" s="1"/>
  <c r="W110" i="149" s="1"/>
  <c r="V109" i="149"/>
  <c r="U109" i="149"/>
  <c r="T109" i="149"/>
  <c r="Q109" i="149"/>
  <c r="P109" i="149"/>
  <c r="O109" i="149"/>
  <c r="L109" i="149"/>
  <c r="K109" i="149"/>
  <c r="J109" i="149"/>
  <c r="G109" i="149"/>
  <c r="F109" i="149"/>
  <c r="E109" i="149"/>
  <c r="D109" i="149"/>
  <c r="H109" i="149" s="1"/>
  <c r="I109" i="149" s="1"/>
  <c r="M109" i="149" s="1"/>
  <c r="N109" i="149" s="1"/>
  <c r="R109" i="149" s="1"/>
  <c r="S109" i="149" s="1"/>
  <c r="W109" i="149" s="1"/>
  <c r="V108" i="149"/>
  <c r="U108" i="149"/>
  <c r="T108" i="149"/>
  <c r="Q108" i="149"/>
  <c r="P108" i="149"/>
  <c r="O108" i="149"/>
  <c r="L108" i="149"/>
  <c r="K108" i="149"/>
  <c r="J108" i="149"/>
  <c r="H108" i="149"/>
  <c r="I108" i="149" s="1"/>
  <c r="M108" i="149" s="1"/>
  <c r="N108" i="149" s="1"/>
  <c r="R108" i="149" s="1"/>
  <c r="S108" i="149" s="1"/>
  <c r="W108" i="149" s="1"/>
  <c r="G108" i="149"/>
  <c r="F108" i="149"/>
  <c r="E108" i="149"/>
  <c r="D108" i="149"/>
  <c r="V107" i="149"/>
  <c r="U107" i="149"/>
  <c r="T107" i="149"/>
  <c r="Q107" i="149"/>
  <c r="P107" i="149"/>
  <c r="O107" i="149"/>
  <c r="L107" i="149"/>
  <c r="K107" i="149"/>
  <c r="J107" i="149"/>
  <c r="G107" i="149"/>
  <c r="F107" i="149"/>
  <c r="E107" i="149"/>
  <c r="D107" i="149"/>
  <c r="H107" i="149" s="1"/>
  <c r="I107" i="149" s="1"/>
  <c r="M107" i="149" s="1"/>
  <c r="N107" i="149" s="1"/>
  <c r="R107" i="149" s="1"/>
  <c r="S107" i="149" s="1"/>
  <c r="W107" i="149" s="1"/>
  <c r="V106" i="149"/>
  <c r="U106" i="149"/>
  <c r="T106" i="149"/>
  <c r="Q106" i="149"/>
  <c r="P106" i="149"/>
  <c r="O106" i="149"/>
  <c r="O112" i="149" s="1"/>
  <c r="L106" i="149"/>
  <c r="L112" i="149" s="1"/>
  <c r="K106" i="149"/>
  <c r="J106" i="149"/>
  <c r="G106" i="149"/>
  <c r="F106" i="149"/>
  <c r="E106" i="149"/>
  <c r="D106" i="149"/>
  <c r="H106" i="149" s="1"/>
  <c r="I106" i="149" s="1"/>
  <c r="M106" i="149" s="1"/>
  <c r="N106" i="149" s="1"/>
  <c r="R106" i="149" s="1"/>
  <c r="S106" i="149" s="1"/>
  <c r="W106" i="149" s="1"/>
  <c r="V105" i="149"/>
  <c r="U105" i="149"/>
  <c r="T105" i="149"/>
  <c r="Q105" i="149"/>
  <c r="P105" i="149"/>
  <c r="O105" i="149"/>
  <c r="L105" i="149"/>
  <c r="K105" i="149"/>
  <c r="J105" i="149"/>
  <c r="H105" i="149"/>
  <c r="I105" i="149" s="1"/>
  <c r="M105" i="149" s="1"/>
  <c r="N105" i="149" s="1"/>
  <c r="R105" i="149" s="1"/>
  <c r="S105" i="149" s="1"/>
  <c r="W105" i="149" s="1"/>
  <c r="G105" i="149"/>
  <c r="F105" i="149"/>
  <c r="E105" i="149"/>
  <c r="D105" i="149"/>
  <c r="V104" i="149"/>
  <c r="V112" i="149" s="1"/>
  <c r="U104" i="149"/>
  <c r="U112" i="149" s="1"/>
  <c r="T104" i="149"/>
  <c r="T112" i="149" s="1"/>
  <c r="Q104" i="149"/>
  <c r="Q112" i="149" s="1"/>
  <c r="P104" i="149"/>
  <c r="P112" i="149" s="1"/>
  <c r="O104" i="149"/>
  <c r="L104" i="149"/>
  <c r="K104" i="149"/>
  <c r="K112" i="149" s="1"/>
  <c r="J104" i="149"/>
  <c r="J112" i="149" s="1"/>
  <c r="G104" i="149"/>
  <c r="G112" i="149" s="1"/>
  <c r="F104" i="149"/>
  <c r="F112" i="149" s="1"/>
  <c r="E104" i="149"/>
  <c r="E112" i="149" s="1"/>
  <c r="D104" i="149"/>
  <c r="H104" i="149" s="1"/>
  <c r="V139" i="115"/>
  <c r="U139" i="115"/>
  <c r="Q139" i="115"/>
  <c r="P139" i="115"/>
  <c r="L139" i="115"/>
  <c r="K139" i="115"/>
  <c r="G139" i="115"/>
  <c r="F139" i="115"/>
  <c r="V138" i="115"/>
  <c r="U138" i="115"/>
  <c r="Q138" i="115"/>
  <c r="P138" i="115"/>
  <c r="L138" i="115"/>
  <c r="K138" i="115"/>
  <c r="G138" i="115"/>
  <c r="F138" i="115"/>
  <c r="V137" i="115"/>
  <c r="U137" i="115"/>
  <c r="Q137" i="115"/>
  <c r="P137" i="115"/>
  <c r="L137" i="115"/>
  <c r="K137" i="115"/>
  <c r="G137" i="115"/>
  <c r="F137" i="115"/>
  <c r="V136" i="115"/>
  <c r="U136" i="115"/>
  <c r="Q136" i="115"/>
  <c r="P136" i="115"/>
  <c r="L136" i="115"/>
  <c r="K136" i="115"/>
  <c r="G136" i="115"/>
  <c r="F136" i="115"/>
  <c r="V135" i="115"/>
  <c r="U135" i="115"/>
  <c r="Q135" i="115"/>
  <c r="P135" i="115"/>
  <c r="L135" i="115"/>
  <c r="K135" i="115"/>
  <c r="G135" i="115"/>
  <c r="F135" i="115"/>
  <c r="V134" i="115"/>
  <c r="U134" i="115"/>
  <c r="Q134" i="115"/>
  <c r="P134" i="115"/>
  <c r="L134" i="115"/>
  <c r="K134" i="115"/>
  <c r="G134" i="115"/>
  <c r="F134" i="115"/>
  <c r="V133" i="115"/>
  <c r="U133" i="115"/>
  <c r="Q133" i="115"/>
  <c r="P133" i="115"/>
  <c r="L133" i="115"/>
  <c r="K133" i="115"/>
  <c r="G133" i="115"/>
  <c r="F133" i="115"/>
  <c r="V132" i="115"/>
  <c r="U132" i="115"/>
  <c r="Q132" i="115"/>
  <c r="P132" i="115"/>
  <c r="P140" i="115" s="1"/>
  <c r="L132" i="115"/>
  <c r="L140" i="115" s="1"/>
  <c r="K132" i="115"/>
  <c r="G132" i="115"/>
  <c r="F132" i="115"/>
  <c r="L126" i="115"/>
  <c r="V125" i="115"/>
  <c r="U125" i="115"/>
  <c r="Q125" i="115"/>
  <c r="P125" i="115"/>
  <c r="L125" i="115"/>
  <c r="K125" i="115"/>
  <c r="G125" i="115"/>
  <c r="F125" i="115"/>
  <c r="V124" i="115"/>
  <c r="U124" i="115"/>
  <c r="Q124" i="115"/>
  <c r="P124" i="115"/>
  <c r="L124" i="115"/>
  <c r="K124" i="115"/>
  <c r="G124" i="115"/>
  <c r="F124" i="115"/>
  <c r="V123" i="115"/>
  <c r="U123" i="115"/>
  <c r="Q123" i="115"/>
  <c r="P123" i="115"/>
  <c r="L123" i="115"/>
  <c r="K123" i="115"/>
  <c r="G123" i="115"/>
  <c r="F123" i="115"/>
  <c r="V122" i="115"/>
  <c r="U122" i="115"/>
  <c r="Q122" i="115"/>
  <c r="P122" i="115"/>
  <c r="L122" i="115"/>
  <c r="K122" i="115"/>
  <c r="G122" i="115"/>
  <c r="F122" i="115"/>
  <c r="V121" i="115"/>
  <c r="U121" i="115"/>
  <c r="Q121" i="115"/>
  <c r="P121" i="115"/>
  <c r="L121" i="115"/>
  <c r="K121" i="115"/>
  <c r="G121" i="115"/>
  <c r="F121" i="115"/>
  <c r="V120" i="115"/>
  <c r="U120" i="115"/>
  <c r="Q120" i="115"/>
  <c r="P120" i="115"/>
  <c r="L120" i="115"/>
  <c r="K120" i="115"/>
  <c r="G120" i="115"/>
  <c r="F120" i="115"/>
  <c r="V119" i="115"/>
  <c r="U119" i="115"/>
  <c r="Q119" i="115"/>
  <c r="Q126" i="115" s="1"/>
  <c r="P119" i="115"/>
  <c r="P126" i="115" s="1"/>
  <c r="L119" i="115"/>
  <c r="K119" i="115"/>
  <c r="G119" i="115"/>
  <c r="G126" i="115" s="1"/>
  <c r="F119" i="115"/>
  <c r="F126" i="115" s="1"/>
  <c r="V118" i="115"/>
  <c r="U118" i="115"/>
  <c r="Q118" i="115"/>
  <c r="P118" i="115"/>
  <c r="L118" i="115"/>
  <c r="K118" i="115"/>
  <c r="K126" i="115" s="1"/>
  <c r="G118" i="115"/>
  <c r="F118" i="115"/>
  <c r="V111" i="115"/>
  <c r="U111" i="115"/>
  <c r="Q111" i="115"/>
  <c r="P111" i="115"/>
  <c r="L111" i="115"/>
  <c r="K111" i="115"/>
  <c r="G111" i="115"/>
  <c r="F111" i="115"/>
  <c r="D111" i="115"/>
  <c r="V110" i="115"/>
  <c r="U110" i="115"/>
  <c r="Q110" i="115"/>
  <c r="P110" i="115"/>
  <c r="L110" i="115"/>
  <c r="K110" i="115"/>
  <c r="G110" i="115"/>
  <c r="F110" i="115"/>
  <c r="D110" i="115"/>
  <c r="V109" i="115"/>
  <c r="U109" i="115"/>
  <c r="Q109" i="115"/>
  <c r="P109" i="115"/>
  <c r="L109" i="115"/>
  <c r="K109" i="115"/>
  <c r="G109" i="115"/>
  <c r="F109" i="115"/>
  <c r="D109" i="115"/>
  <c r="V108" i="115"/>
  <c r="U108" i="115"/>
  <c r="Q108" i="115"/>
  <c r="P108" i="115"/>
  <c r="L108" i="115"/>
  <c r="K108" i="115"/>
  <c r="G108" i="115"/>
  <c r="F108" i="115"/>
  <c r="D108" i="115"/>
  <c r="V107" i="115"/>
  <c r="U107" i="115"/>
  <c r="Q107" i="115"/>
  <c r="P107" i="115"/>
  <c r="L107" i="115"/>
  <c r="K107" i="115"/>
  <c r="G107" i="115"/>
  <c r="F107" i="115"/>
  <c r="D107" i="115"/>
  <c r="V106" i="115"/>
  <c r="U106" i="115"/>
  <c r="Q106" i="115"/>
  <c r="L106" i="115"/>
  <c r="L112" i="115" s="1"/>
  <c r="K106" i="115"/>
  <c r="G106" i="115"/>
  <c r="F106" i="115"/>
  <c r="D106" i="115"/>
  <c r="V105" i="115"/>
  <c r="U105" i="115"/>
  <c r="Q105" i="115"/>
  <c r="P105" i="115"/>
  <c r="L105" i="115"/>
  <c r="K105" i="115"/>
  <c r="G105" i="115"/>
  <c r="F105" i="115"/>
  <c r="D105" i="115"/>
  <c r="V104" i="115"/>
  <c r="V112" i="115" s="1"/>
  <c r="U104" i="115"/>
  <c r="U112" i="115" s="1"/>
  <c r="Q104" i="115"/>
  <c r="Q112" i="115" s="1"/>
  <c r="P104" i="115"/>
  <c r="L104" i="115"/>
  <c r="K104" i="115"/>
  <c r="K112" i="115" s="1"/>
  <c r="G104" i="115"/>
  <c r="G112" i="115" s="1"/>
  <c r="F104" i="115"/>
  <c r="F112" i="115" s="1"/>
  <c r="D104" i="115"/>
  <c r="D112" i="115" s="1"/>
  <c r="K133" i="70"/>
  <c r="V95" i="70"/>
  <c r="U95" i="70"/>
  <c r="V94" i="70"/>
  <c r="U94" i="70"/>
  <c r="V93" i="70"/>
  <c r="U93" i="70"/>
  <c r="V92" i="70"/>
  <c r="U92" i="70"/>
  <c r="V91" i="70"/>
  <c r="U91" i="70"/>
  <c r="V90" i="70"/>
  <c r="U90" i="70"/>
  <c r="V89" i="70"/>
  <c r="U89" i="70"/>
  <c r="V88" i="70"/>
  <c r="U88" i="70"/>
  <c r="Q95" i="70"/>
  <c r="P95" i="70"/>
  <c r="Q94" i="70"/>
  <c r="P94" i="70"/>
  <c r="Q93" i="70"/>
  <c r="P93" i="70"/>
  <c r="Q92" i="70"/>
  <c r="P92" i="70"/>
  <c r="Q91" i="70"/>
  <c r="P91" i="70"/>
  <c r="Q90" i="70"/>
  <c r="P90" i="70"/>
  <c r="Q89" i="70"/>
  <c r="P89" i="70"/>
  <c r="Q88" i="70"/>
  <c r="P88" i="70"/>
  <c r="L95" i="70"/>
  <c r="K95" i="70"/>
  <c r="L94" i="70"/>
  <c r="K94" i="70"/>
  <c r="L93" i="70"/>
  <c r="K93" i="70"/>
  <c r="L92" i="70"/>
  <c r="K92" i="70"/>
  <c r="L91" i="70"/>
  <c r="K91" i="70"/>
  <c r="L90" i="70"/>
  <c r="K90" i="70"/>
  <c r="L89" i="70"/>
  <c r="K89" i="70"/>
  <c r="L88" i="70"/>
  <c r="K88" i="70"/>
  <c r="G95" i="70"/>
  <c r="F95" i="70"/>
  <c r="G94" i="70"/>
  <c r="F94" i="70"/>
  <c r="G93" i="70"/>
  <c r="F93" i="70"/>
  <c r="G92" i="70"/>
  <c r="F92" i="70"/>
  <c r="G91" i="70"/>
  <c r="F91" i="70"/>
  <c r="G90" i="70"/>
  <c r="F90" i="70"/>
  <c r="G89" i="70"/>
  <c r="F89" i="70"/>
  <c r="G88" i="70"/>
  <c r="F88" i="70"/>
  <c r="V81" i="70"/>
  <c r="U81" i="70"/>
  <c r="V80" i="70"/>
  <c r="U80" i="70"/>
  <c r="V79" i="70"/>
  <c r="U79" i="70"/>
  <c r="V78" i="70"/>
  <c r="U78" i="70"/>
  <c r="V77" i="70"/>
  <c r="U77" i="70"/>
  <c r="V76" i="70"/>
  <c r="U76" i="70"/>
  <c r="V75" i="70"/>
  <c r="U75" i="70"/>
  <c r="V74" i="70"/>
  <c r="U74" i="70"/>
  <c r="Q81" i="70"/>
  <c r="P81" i="70"/>
  <c r="Q80" i="70"/>
  <c r="Q124" i="70" s="1"/>
  <c r="P80" i="70"/>
  <c r="Q79" i="70"/>
  <c r="P79" i="70"/>
  <c r="Q78" i="70"/>
  <c r="P78" i="70"/>
  <c r="Q77" i="70"/>
  <c r="P77" i="70"/>
  <c r="Q76" i="70"/>
  <c r="P76" i="70"/>
  <c r="Q75" i="70"/>
  <c r="P75" i="70"/>
  <c r="Q74" i="70"/>
  <c r="P74" i="70"/>
  <c r="L81" i="70"/>
  <c r="K81" i="70"/>
  <c r="L80" i="70"/>
  <c r="K80" i="70"/>
  <c r="L79" i="70"/>
  <c r="K79" i="70"/>
  <c r="L78" i="70"/>
  <c r="K78" i="70"/>
  <c r="L77" i="70"/>
  <c r="K77" i="70"/>
  <c r="L76" i="70"/>
  <c r="K76" i="70"/>
  <c r="L75" i="70"/>
  <c r="K75" i="70"/>
  <c r="L74" i="70"/>
  <c r="K74" i="70"/>
  <c r="G81" i="70"/>
  <c r="F81" i="70"/>
  <c r="G80" i="70"/>
  <c r="F80" i="70"/>
  <c r="G79" i="70"/>
  <c r="F79" i="70"/>
  <c r="G78" i="70"/>
  <c r="F78" i="70"/>
  <c r="G77" i="70"/>
  <c r="F77" i="70"/>
  <c r="G76" i="70"/>
  <c r="F76" i="70"/>
  <c r="G75" i="70"/>
  <c r="F75" i="70"/>
  <c r="G74" i="70"/>
  <c r="F74" i="70"/>
  <c r="V67" i="70"/>
  <c r="U67" i="70"/>
  <c r="V66" i="70"/>
  <c r="U66" i="70"/>
  <c r="V65" i="70"/>
  <c r="U65" i="70"/>
  <c r="V64" i="70"/>
  <c r="U64" i="70"/>
  <c r="V63" i="70"/>
  <c r="U63" i="70"/>
  <c r="V62" i="70"/>
  <c r="U62" i="70"/>
  <c r="V61" i="70"/>
  <c r="U61" i="70"/>
  <c r="V60" i="70"/>
  <c r="U60" i="70"/>
  <c r="Q67" i="70"/>
  <c r="P67" i="70"/>
  <c r="Q66" i="70"/>
  <c r="P66" i="70"/>
  <c r="Q65" i="70"/>
  <c r="P65" i="70"/>
  <c r="Q64" i="70"/>
  <c r="P64" i="70"/>
  <c r="Q63" i="70"/>
  <c r="P63" i="70"/>
  <c r="Q62" i="70"/>
  <c r="Q61" i="70"/>
  <c r="Q105" i="70" s="1"/>
  <c r="P61" i="70"/>
  <c r="Q60" i="70"/>
  <c r="P60" i="70"/>
  <c r="L67" i="70"/>
  <c r="K67" i="70"/>
  <c r="L66" i="70"/>
  <c r="K66" i="70"/>
  <c r="L65" i="70"/>
  <c r="K65" i="70"/>
  <c r="K109" i="70" s="1"/>
  <c r="L64" i="70"/>
  <c r="K64" i="70"/>
  <c r="L63" i="70"/>
  <c r="K63" i="70"/>
  <c r="L62" i="70"/>
  <c r="K62" i="70"/>
  <c r="L61" i="70"/>
  <c r="K61" i="70"/>
  <c r="L60" i="70"/>
  <c r="K60" i="70"/>
  <c r="G67" i="70"/>
  <c r="F67" i="70"/>
  <c r="G66" i="70"/>
  <c r="F66" i="70"/>
  <c r="G65" i="70"/>
  <c r="F65" i="70"/>
  <c r="G64" i="70"/>
  <c r="F64" i="70"/>
  <c r="G63" i="70"/>
  <c r="F63" i="70"/>
  <c r="G62" i="70"/>
  <c r="F62" i="70"/>
  <c r="G61" i="70"/>
  <c r="F61" i="70"/>
  <c r="G60" i="70"/>
  <c r="F60" i="70"/>
  <c r="V51" i="70"/>
  <c r="U51" i="70"/>
  <c r="T51" i="70"/>
  <c r="V50" i="70"/>
  <c r="U50" i="70"/>
  <c r="T50" i="70"/>
  <c r="V49" i="70"/>
  <c r="U49" i="70"/>
  <c r="T49" i="70"/>
  <c r="V48" i="70"/>
  <c r="U48" i="70"/>
  <c r="U136" i="70" s="1"/>
  <c r="T48" i="70"/>
  <c r="V47" i="70"/>
  <c r="U47" i="70"/>
  <c r="T47" i="70"/>
  <c r="V46" i="70"/>
  <c r="U46" i="70"/>
  <c r="T46" i="70"/>
  <c r="V45" i="70"/>
  <c r="U45" i="70"/>
  <c r="T45" i="70"/>
  <c r="V44" i="70"/>
  <c r="U44" i="70"/>
  <c r="T44" i="70"/>
  <c r="Q51" i="70"/>
  <c r="P51" i="70"/>
  <c r="O51" i="70"/>
  <c r="Q50" i="70"/>
  <c r="P50" i="70"/>
  <c r="O50" i="70"/>
  <c r="Q49" i="70"/>
  <c r="P49" i="70"/>
  <c r="O49" i="70"/>
  <c r="Q48" i="70"/>
  <c r="P48" i="70"/>
  <c r="P136" i="70" s="1"/>
  <c r="O48" i="70"/>
  <c r="Q47" i="70"/>
  <c r="P47" i="70"/>
  <c r="O47" i="70"/>
  <c r="Q46" i="70"/>
  <c r="P46" i="70"/>
  <c r="O46" i="70"/>
  <c r="Q45" i="70"/>
  <c r="P45" i="70"/>
  <c r="O45" i="70"/>
  <c r="Q44" i="70"/>
  <c r="P44" i="70"/>
  <c r="O44" i="70"/>
  <c r="L51" i="70"/>
  <c r="K51" i="70"/>
  <c r="J51" i="70"/>
  <c r="L50" i="70"/>
  <c r="K50" i="70"/>
  <c r="J50" i="70"/>
  <c r="L49" i="70"/>
  <c r="K49" i="70"/>
  <c r="J49" i="70"/>
  <c r="L48" i="70"/>
  <c r="K48" i="70"/>
  <c r="K136" i="70" s="1"/>
  <c r="J48" i="70"/>
  <c r="L47" i="70"/>
  <c r="K47" i="70"/>
  <c r="J47" i="70"/>
  <c r="L46" i="70"/>
  <c r="K46" i="70"/>
  <c r="J46" i="70"/>
  <c r="L45" i="70"/>
  <c r="K45" i="70"/>
  <c r="J45" i="70"/>
  <c r="L44" i="70"/>
  <c r="K44" i="70"/>
  <c r="J44" i="70"/>
  <c r="G51" i="70"/>
  <c r="F51" i="70"/>
  <c r="F139" i="70" s="1"/>
  <c r="E51" i="70"/>
  <c r="G50" i="70"/>
  <c r="F50" i="70"/>
  <c r="E50" i="70"/>
  <c r="G49" i="70"/>
  <c r="F49" i="70"/>
  <c r="E49" i="70"/>
  <c r="G48" i="70"/>
  <c r="F48" i="70"/>
  <c r="F136" i="70" s="1"/>
  <c r="E48" i="70"/>
  <c r="G47" i="70"/>
  <c r="F47" i="70"/>
  <c r="E47" i="70"/>
  <c r="G46" i="70"/>
  <c r="F46" i="70"/>
  <c r="E46" i="70"/>
  <c r="G45" i="70"/>
  <c r="F45" i="70"/>
  <c r="E45" i="70"/>
  <c r="G44" i="70"/>
  <c r="F44" i="70"/>
  <c r="E44" i="70"/>
  <c r="V37" i="70"/>
  <c r="U37" i="70"/>
  <c r="T37" i="70"/>
  <c r="V36" i="70"/>
  <c r="U36" i="70"/>
  <c r="T36" i="70"/>
  <c r="V35" i="70"/>
  <c r="U35" i="70"/>
  <c r="T35" i="70"/>
  <c r="V34" i="70"/>
  <c r="U34" i="70"/>
  <c r="U122" i="70" s="1"/>
  <c r="T34" i="70"/>
  <c r="V33" i="70"/>
  <c r="U33" i="70"/>
  <c r="T33" i="70"/>
  <c r="V32" i="70"/>
  <c r="U32" i="70"/>
  <c r="T32" i="70"/>
  <c r="V31" i="70"/>
  <c r="U31" i="70"/>
  <c r="T31" i="70"/>
  <c r="V30" i="70"/>
  <c r="U30" i="70"/>
  <c r="U118" i="70" s="1"/>
  <c r="T30" i="70"/>
  <c r="Q37" i="70"/>
  <c r="P37" i="70"/>
  <c r="Q36" i="70"/>
  <c r="P36" i="70"/>
  <c r="Q35" i="70"/>
  <c r="P35" i="70"/>
  <c r="Q34" i="70"/>
  <c r="P34" i="70"/>
  <c r="Q33" i="70"/>
  <c r="Q121" i="70" s="1"/>
  <c r="P33" i="70"/>
  <c r="Q32" i="70"/>
  <c r="P32" i="70"/>
  <c r="Q31" i="70"/>
  <c r="P31" i="70"/>
  <c r="Q30" i="70"/>
  <c r="P30" i="70"/>
  <c r="L37" i="70"/>
  <c r="K37" i="70"/>
  <c r="L36" i="70"/>
  <c r="K36" i="70"/>
  <c r="L35" i="70"/>
  <c r="K35" i="70"/>
  <c r="L34" i="70"/>
  <c r="K34" i="70"/>
  <c r="L33" i="70"/>
  <c r="K33" i="70"/>
  <c r="L32" i="70"/>
  <c r="K32" i="70"/>
  <c r="L31" i="70"/>
  <c r="K31" i="70"/>
  <c r="L30" i="70"/>
  <c r="L118" i="70" s="1"/>
  <c r="K30" i="70"/>
  <c r="K118" i="70" s="1"/>
  <c r="G37" i="70"/>
  <c r="F37" i="70"/>
  <c r="G36" i="70"/>
  <c r="F36" i="70"/>
  <c r="F124" i="70" s="1"/>
  <c r="G35" i="70"/>
  <c r="F35" i="70"/>
  <c r="F123" i="70" s="1"/>
  <c r="G34" i="70"/>
  <c r="F34" i="70"/>
  <c r="G33" i="70"/>
  <c r="F33" i="70"/>
  <c r="G32" i="70"/>
  <c r="F32" i="70"/>
  <c r="G31" i="70"/>
  <c r="F31" i="70"/>
  <c r="G30" i="70"/>
  <c r="F30" i="70"/>
  <c r="V23" i="70"/>
  <c r="U23" i="70"/>
  <c r="V22" i="70"/>
  <c r="U22" i="70"/>
  <c r="V21" i="70"/>
  <c r="U21" i="70"/>
  <c r="U109" i="70" s="1"/>
  <c r="V20" i="70"/>
  <c r="V108" i="70" s="1"/>
  <c r="U20" i="70"/>
  <c r="V19" i="70"/>
  <c r="U19" i="70"/>
  <c r="V18" i="70"/>
  <c r="V106" i="70" s="1"/>
  <c r="U18" i="70"/>
  <c r="U106" i="70" s="1"/>
  <c r="V17" i="70"/>
  <c r="U17" i="70"/>
  <c r="V16" i="70"/>
  <c r="V104" i="70" s="1"/>
  <c r="U16" i="70"/>
  <c r="U104" i="70" s="1"/>
  <c r="Q23" i="70"/>
  <c r="Q111" i="70" s="1"/>
  <c r="P23" i="70"/>
  <c r="Q22" i="70"/>
  <c r="P22" i="70"/>
  <c r="Q21" i="70"/>
  <c r="Q109" i="70" s="1"/>
  <c r="P21" i="70"/>
  <c r="P109" i="70" s="1"/>
  <c r="Q20" i="70"/>
  <c r="Q108" i="70" s="1"/>
  <c r="P20" i="70"/>
  <c r="P108" i="70" s="1"/>
  <c r="Q19" i="70"/>
  <c r="Q107" i="70" s="1"/>
  <c r="P19" i="70"/>
  <c r="Q18" i="70"/>
  <c r="Q17" i="70"/>
  <c r="P17" i="70"/>
  <c r="Q16" i="70"/>
  <c r="P16" i="70"/>
  <c r="L23" i="70"/>
  <c r="K23" i="70"/>
  <c r="L22" i="70"/>
  <c r="L110" i="70" s="1"/>
  <c r="K22" i="70"/>
  <c r="L21" i="70"/>
  <c r="K21" i="70"/>
  <c r="L20" i="70"/>
  <c r="K20" i="70"/>
  <c r="L19" i="70"/>
  <c r="K19" i="70"/>
  <c r="L18" i="70"/>
  <c r="K18" i="70"/>
  <c r="L17" i="70"/>
  <c r="K17" i="70"/>
  <c r="L16" i="70"/>
  <c r="K16" i="70"/>
  <c r="G23" i="70"/>
  <c r="F23" i="70"/>
  <c r="F111" i="70" s="1"/>
  <c r="G22" i="70"/>
  <c r="F22" i="70"/>
  <c r="G21" i="70"/>
  <c r="F21" i="70"/>
  <c r="G20" i="70"/>
  <c r="F20" i="70"/>
  <c r="G19" i="70"/>
  <c r="F19" i="70"/>
  <c r="G18" i="70"/>
  <c r="F18" i="70"/>
  <c r="G17" i="70"/>
  <c r="F17" i="70"/>
  <c r="G16" i="70"/>
  <c r="F16" i="70"/>
  <c r="D67" i="70"/>
  <c r="D66" i="70"/>
  <c r="D65" i="70"/>
  <c r="D64" i="70"/>
  <c r="D63" i="70"/>
  <c r="D62" i="70"/>
  <c r="D61" i="70"/>
  <c r="D60" i="70"/>
  <c r="K15" i="120" l="1"/>
  <c r="O28" i="120"/>
  <c r="O129" i="54" s="1"/>
  <c r="N28" i="120"/>
  <c r="G115" i="55" s="1"/>
  <c r="G116" i="55" s="1"/>
  <c r="M28" i="120"/>
  <c r="K28" i="120"/>
  <c r="L28" i="120"/>
  <c r="L129" i="54" s="1"/>
  <c r="G86" i="122"/>
  <c r="R152" i="151" s="1"/>
  <c r="G89" i="122"/>
  <c r="W121" i="149"/>
  <c r="W123" i="149"/>
  <c r="W124" i="149"/>
  <c r="W120" i="149"/>
  <c r="W125" i="149"/>
  <c r="E96" i="55"/>
  <c r="E97" i="55" s="1"/>
  <c r="E105" i="55" s="1"/>
  <c r="L16" i="54"/>
  <c r="F96" i="55"/>
  <c r="F97" i="55" s="1"/>
  <c r="F105" i="55" s="1"/>
  <c r="M16" i="54"/>
  <c r="G96" i="55"/>
  <c r="G97" i="55" s="1"/>
  <c r="G105" i="55" s="1"/>
  <c r="N16" i="54"/>
  <c r="D96" i="55"/>
  <c r="D97" i="55" s="1"/>
  <c r="K16" i="54"/>
  <c r="H96" i="55"/>
  <c r="H97" i="55" s="1"/>
  <c r="H105" i="55" s="1"/>
  <c r="O16" i="54"/>
  <c r="H115" i="55"/>
  <c r="H116" i="55" s="1"/>
  <c r="N129" i="54"/>
  <c r="F115" i="55"/>
  <c r="F116" i="55" s="1"/>
  <c r="M129" i="54"/>
  <c r="D115" i="55"/>
  <c r="D116" i="55" s="1"/>
  <c r="K129" i="54"/>
  <c r="I86" i="122"/>
  <c r="T152" i="151" s="1"/>
  <c r="I89" i="122"/>
  <c r="J86" i="122"/>
  <c r="U152" i="151" s="1"/>
  <c r="J89" i="122"/>
  <c r="F85" i="122"/>
  <c r="F152" i="151" s="1"/>
  <c r="F89" i="122"/>
  <c r="F86" i="122"/>
  <c r="Q152" i="151" s="1"/>
  <c r="U140" i="115"/>
  <c r="U126" i="115"/>
  <c r="V140" i="115"/>
  <c r="U140" i="116"/>
  <c r="F140" i="116"/>
  <c r="G140" i="115"/>
  <c r="K140" i="115"/>
  <c r="Q140" i="115"/>
  <c r="V126" i="115"/>
  <c r="F140" i="115"/>
  <c r="K111" i="70"/>
  <c r="Q104" i="70"/>
  <c r="Q122" i="70"/>
  <c r="L82" i="70"/>
  <c r="P124" i="70"/>
  <c r="V120" i="70"/>
  <c r="V124" i="70"/>
  <c r="G134" i="70"/>
  <c r="G138" i="70"/>
  <c r="L134" i="70"/>
  <c r="L138" i="70"/>
  <c r="Q134" i="70"/>
  <c r="Q138" i="70"/>
  <c r="V134" i="70"/>
  <c r="V138" i="70"/>
  <c r="P120" i="70"/>
  <c r="L107" i="70"/>
  <c r="V109" i="70"/>
  <c r="G121" i="70"/>
  <c r="L125" i="70"/>
  <c r="L68" i="70"/>
  <c r="L109" i="70"/>
  <c r="F119" i="70"/>
  <c r="F125" i="70"/>
  <c r="Q120" i="70"/>
  <c r="F110" i="70"/>
  <c r="K108" i="70"/>
  <c r="F122" i="70"/>
  <c r="P118" i="70"/>
  <c r="K105" i="70"/>
  <c r="Q106" i="70"/>
  <c r="G119" i="70"/>
  <c r="K123" i="70"/>
  <c r="L108" i="70"/>
  <c r="G122" i="70"/>
  <c r="L120" i="70"/>
  <c r="K107" i="70"/>
  <c r="K125" i="70"/>
  <c r="G124" i="70"/>
  <c r="G110" i="70"/>
  <c r="K121" i="70"/>
  <c r="L111" i="70"/>
  <c r="G105" i="70"/>
  <c r="V105" i="70"/>
  <c r="G123" i="70"/>
  <c r="P105" i="70"/>
  <c r="P111" i="70"/>
  <c r="L105" i="70"/>
  <c r="K110" i="70"/>
  <c r="L123" i="70"/>
  <c r="U105" i="70"/>
  <c r="P125" i="70"/>
  <c r="U121" i="70"/>
  <c r="U125" i="70"/>
  <c r="F135" i="70"/>
  <c r="K135" i="70"/>
  <c r="K139" i="70"/>
  <c r="P135" i="70"/>
  <c r="P139" i="70"/>
  <c r="U135" i="70"/>
  <c r="U139" i="70"/>
  <c r="G68" i="70"/>
  <c r="K106" i="70"/>
  <c r="P107" i="70"/>
  <c r="K124" i="70"/>
  <c r="V125" i="70"/>
  <c r="L139" i="70"/>
  <c r="V139" i="70"/>
  <c r="F106" i="70"/>
  <c r="F118" i="70"/>
  <c r="J52" i="70"/>
  <c r="T52" i="70"/>
  <c r="K119" i="70"/>
  <c r="G106" i="70"/>
  <c r="G118" i="70"/>
  <c r="L122" i="70"/>
  <c r="G109" i="70"/>
  <c r="U110" i="70"/>
  <c r="L119" i="70"/>
  <c r="U119" i="70"/>
  <c r="F137" i="70"/>
  <c r="P137" i="70"/>
  <c r="U133" i="70"/>
  <c r="Q110" i="70"/>
  <c r="Q125" i="70"/>
  <c r="G135" i="70"/>
  <c r="L135" i="70"/>
  <c r="Q135" i="70"/>
  <c r="V135" i="70"/>
  <c r="L106" i="70"/>
  <c r="L124" i="70"/>
  <c r="K104" i="70"/>
  <c r="K122" i="70"/>
  <c r="E52" i="70"/>
  <c r="O52" i="70"/>
  <c r="F109" i="70"/>
  <c r="F107" i="70"/>
  <c r="U107" i="70"/>
  <c r="P121" i="70"/>
  <c r="V118" i="70"/>
  <c r="V122" i="70"/>
  <c r="G132" i="70"/>
  <c r="G136" i="70"/>
  <c r="L132" i="70"/>
  <c r="L136" i="70"/>
  <c r="Q136" i="70"/>
  <c r="V136" i="70"/>
  <c r="G104" i="70"/>
  <c r="V110" i="70"/>
  <c r="K120" i="70"/>
  <c r="V119" i="70"/>
  <c r="V123" i="70"/>
  <c r="G133" i="70"/>
  <c r="G137" i="70"/>
  <c r="L133" i="70"/>
  <c r="L137" i="70"/>
  <c r="Q133" i="70"/>
  <c r="Q137" i="70"/>
  <c r="V133" i="70"/>
  <c r="V137" i="70"/>
  <c r="G111" i="70"/>
  <c r="L121" i="70"/>
  <c r="V121" i="70"/>
  <c r="G139" i="70"/>
  <c r="Q139" i="70"/>
  <c r="G107" i="70"/>
  <c r="G125" i="70"/>
  <c r="P123" i="70"/>
  <c r="P104" i="70"/>
  <c r="U108" i="70"/>
  <c r="F120" i="70"/>
  <c r="P122" i="70"/>
  <c r="P110" i="70"/>
  <c r="P119" i="70"/>
  <c r="Q123" i="70"/>
  <c r="U120" i="70"/>
  <c r="U124" i="70"/>
  <c r="F134" i="70"/>
  <c r="F138" i="70"/>
  <c r="K134" i="70"/>
  <c r="K138" i="70"/>
  <c r="P134" i="70"/>
  <c r="P138" i="70"/>
  <c r="U134" i="70"/>
  <c r="U138" i="70"/>
  <c r="V140" i="116"/>
  <c r="V107" i="70"/>
  <c r="K52" i="70"/>
  <c r="U52" i="70"/>
  <c r="K112" i="116"/>
  <c r="F105" i="70"/>
  <c r="K82" i="70"/>
  <c r="F126" i="116"/>
  <c r="F112" i="116"/>
  <c r="F108" i="70"/>
  <c r="Q82" i="70"/>
  <c r="F52" i="70"/>
  <c r="F68" i="70"/>
  <c r="U123" i="70"/>
  <c r="K137" i="70"/>
  <c r="Q118" i="70"/>
  <c r="V111" i="70"/>
  <c r="G112" i="116"/>
  <c r="G140" i="116"/>
  <c r="P52" i="70"/>
  <c r="F133" i="70"/>
  <c r="P133" i="70"/>
  <c r="U137" i="70"/>
  <c r="F121" i="70"/>
  <c r="G126" i="116"/>
  <c r="G120" i="70"/>
  <c r="U111" i="70"/>
  <c r="K126" i="116"/>
  <c r="P126" i="116"/>
  <c r="P112" i="116"/>
  <c r="Q126" i="116"/>
  <c r="Q112" i="116"/>
  <c r="L112" i="116"/>
  <c r="P140" i="116"/>
  <c r="Q140" i="116"/>
  <c r="U112" i="116"/>
  <c r="D112" i="116"/>
  <c r="V112" i="116"/>
  <c r="O126" i="131"/>
  <c r="K140" i="131"/>
  <c r="Q52" i="70"/>
  <c r="G108" i="70"/>
  <c r="P132" i="70"/>
  <c r="P112" i="131"/>
  <c r="R110" i="131"/>
  <c r="S110" i="131" s="1"/>
  <c r="W110" i="131" s="1"/>
  <c r="F82" i="70"/>
  <c r="Q112" i="131"/>
  <c r="O112" i="131"/>
  <c r="U68" i="70"/>
  <c r="F104" i="70"/>
  <c r="U112" i="131"/>
  <c r="L104" i="70"/>
  <c r="G140" i="131"/>
  <c r="Q119" i="70"/>
  <c r="L52" i="70"/>
  <c r="V52" i="70"/>
  <c r="R109" i="131"/>
  <c r="S109" i="131" s="1"/>
  <c r="W109" i="131" s="1"/>
  <c r="F132" i="70"/>
  <c r="K132" i="70"/>
  <c r="U132" i="70"/>
  <c r="L112" i="131"/>
  <c r="G82" i="70"/>
  <c r="V68" i="70"/>
  <c r="U82" i="70"/>
  <c r="F96" i="70"/>
  <c r="K96" i="70"/>
  <c r="P96" i="70"/>
  <c r="U96" i="70"/>
  <c r="D112" i="131"/>
  <c r="V112" i="131"/>
  <c r="G52" i="70"/>
  <c r="Q132" i="70"/>
  <c r="V82" i="70"/>
  <c r="G96" i="70"/>
  <c r="L96" i="70"/>
  <c r="Q96" i="70"/>
  <c r="V96" i="70"/>
  <c r="E112" i="131"/>
  <c r="M111" i="131"/>
  <c r="N111" i="131" s="1"/>
  <c r="R111" i="131" s="1"/>
  <c r="S111" i="131" s="1"/>
  <c r="W111" i="131" s="1"/>
  <c r="Q68" i="70"/>
  <c r="P82" i="70"/>
  <c r="F112" i="131"/>
  <c r="V132" i="70"/>
  <c r="T112" i="131"/>
  <c r="K68" i="70"/>
  <c r="G112" i="131"/>
  <c r="H106" i="131"/>
  <c r="I106" i="131" s="1"/>
  <c r="M106" i="131" s="1"/>
  <c r="N106" i="131" s="1"/>
  <c r="R106" i="131" s="1"/>
  <c r="S106" i="131" s="1"/>
  <c r="W106" i="131" s="1"/>
  <c r="E126" i="131"/>
  <c r="H104" i="131"/>
  <c r="I118" i="149"/>
  <c r="H119" i="149"/>
  <c r="I119" i="149" s="1"/>
  <c r="M119" i="149" s="1"/>
  <c r="N119" i="149" s="1"/>
  <c r="R119" i="149" s="1"/>
  <c r="S119" i="149" s="1"/>
  <c r="W119" i="149" s="1"/>
  <c r="H112" i="149"/>
  <c r="I104" i="149"/>
  <c r="D112" i="149"/>
  <c r="D68" i="70"/>
  <c r="E115" i="55" l="1"/>
  <c r="E116" i="55" s="1"/>
  <c r="D105" i="55"/>
  <c r="H124" i="55"/>
  <c r="G124" i="55"/>
  <c r="F124" i="55"/>
  <c r="D124" i="55"/>
  <c r="E124" i="55"/>
  <c r="H112" i="131"/>
  <c r="I104" i="131"/>
  <c r="M118" i="149"/>
  <c r="I126" i="149"/>
  <c r="H126" i="149"/>
  <c r="I112" i="149"/>
  <c r="M104" i="149"/>
  <c r="Q38" i="70"/>
  <c r="P38" i="70"/>
  <c r="L38" i="70"/>
  <c r="K38" i="70"/>
  <c r="G38" i="70"/>
  <c r="F38" i="70"/>
  <c r="Q24" i="70"/>
  <c r="K24" i="70"/>
  <c r="G24" i="70"/>
  <c r="D23" i="70"/>
  <c r="D111" i="70" s="1"/>
  <c r="D22" i="70"/>
  <c r="D110" i="70" s="1"/>
  <c r="D21" i="70"/>
  <c r="D109" i="70" s="1"/>
  <c r="D20" i="70"/>
  <c r="D108" i="70" s="1"/>
  <c r="D19" i="70"/>
  <c r="D107" i="70" s="1"/>
  <c r="D18" i="70"/>
  <c r="D106" i="70" s="1"/>
  <c r="D17" i="70"/>
  <c r="D16" i="70"/>
  <c r="D104" i="70" s="1"/>
  <c r="V24" i="116"/>
  <c r="U24" i="116"/>
  <c r="Q24" i="116"/>
  <c r="P24" i="116"/>
  <c r="L24" i="116"/>
  <c r="K24" i="116"/>
  <c r="G24" i="116"/>
  <c r="F24" i="116"/>
  <c r="D125" i="131"/>
  <c r="D124" i="131"/>
  <c r="D123" i="131"/>
  <c r="D122" i="131"/>
  <c r="D121" i="131"/>
  <c r="D120" i="131"/>
  <c r="D119" i="131"/>
  <c r="V96" i="131"/>
  <c r="U96" i="131"/>
  <c r="Q96" i="131"/>
  <c r="P96" i="131"/>
  <c r="L96" i="131"/>
  <c r="K96" i="131"/>
  <c r="G96" i="131"/>
  <c r="F96" i="131"/>
  <c r="V82" i="131"/>
  <c r="U82" i="131"/>
  <c r="Q82" i="131"/>
  <c r="P82" i="131"/>
  <c r="O82" i="131"/>
  <c r="L82" i="131"/>
  <c r="K82" i="131"/>
  <c r="J82" i="131"/>
  <c r="G82" i="131"/>
  <c r="F82" i="131"/>
  <c r="E82" i="131"/>
  <c r="V68" i="131"/>
  <c r="U68" i="131"/>
  <c r="T68" i="131"/>
  <c r="Q68" i="131"/>
  <c r="P68" i="131"/>
  <c r="O68" i="131"/>
  <c r="L68" i="131"/>
  <c r="K68" i="131"/>
  <c r="J68" i="131"/>
  <c r="G68" i="131"/>
  <c r="F68" i="131"/>
  <c r="E68" i="131"/>
  <c r="D68" i="131"/>
  <c r="H67" i="131"/>
  <c r="I67" i="131" s="1"/>
  <c r="M67" i="131" s="1"/>
  <c r="N67" i="131" s="1"/>
  <c r="R67" i="131" s="1"/>
  <c r="S67" i="131" s="1"/>
  <c r="W67" i="131" s="1"/>
  <c r="D81" i="131" s="1"/>
  <c r="H81" i="131" s="1"/>
  <c r="I81" i="131" s="1"/>
  <c r="M81" i="131" s="1"/>
  <c r="N81" i="131" s="1"/>
  <c r="R81" i="131" s="1"/>
  <c r="S81" i="131" s="1"/>
  <c r="W81" i="131" s="1"/>
  <c r="D95" i="131" s="1"/>
  <c r="H95" i="131" s="1"/>
  <c r="I95" i="131" s="1"/>
  <c r="M95" i="131" s="1"/>
  <c r="N95" i="131" s="1"/>
  <c r="R95" i="131" s="1"/>
  <c r="S95" i="131" s="1"/>
  <c r="W95" i="131" s="1"/>
  <c r="H66" i="131"/>
  <c r="I66" i="131" s="1"/>
  <c r="M66" i="131" s="1"/>
  <c r="N66" i="131" s="1"/>
  <c r="R66" i="131" s="1"/>
  <c r="S66" i="131" s="1"/>
  <c r="W66" i="131" s="1"/>
  <c r="D80" i="131" s="1"/>
  <c r="H80" i="131" s="1"/>
  <c r="I80" i="131" s="1"/>
  <c r="M80" i="131" s="1"/>
  <c r="N80" i="131" s="1"/>
  <c r="R80" i="131" s="1"/>
  <c r="S80" i="131" s="1"/>
  <c r="W80" i="131" s="1"/>
  <c r="D94" i="131" s="1"/>
  <c r="H94" i="131" s="1"/>
  <c r="I94" i="131" s="1"/>
  <c r="M94" i="131" s="1"/>
  <c r="N94" i="131" s="1"/>
  <c r="R94" i="131" s="1"/>
  <c r="S94" i="131" s="1"/>
  <c r="W94" i="131" s="1"/>
  <c r="H65" i="131"/>
  <c r="I65" i="131" s="1"/>
  <c r="M65" i="131" s="1"/>
  <c r="N65" i="131" s="1"/>
  <c r="R65" i="131" s="1"/>
  <c r="S65" i="131" s="1"/>
  <c r="W65" i="131" s="1"/>
  <c r="D79" i="131" s="1"/>
  <c r="H79" i="131" s="1"/>
  <c r="I79" i="131" s="1"/>
  <c r="M79" i="131" s="1"/>
  <c r="N79" i="131" s="1"/>
  <c r="R79" i="131" s="1"/>
  <c r="S79" i="131" s="1"/>
  <c r="W79" i="131" s="1"/>
  <c r="D93" i="131" s="1"/>
  <c r="H93" i="131" s="1"/>
  <c r="I93" i="131" s="1"/>
  <c r="M93" i="131" s="1"/>
  <c r="N93" i="131" s="1"/>
  <c r="R93" i="131" s="1"/>
  <c r="S93" i="131" s="1"/>
  <c r="W93" i="131" s="1"/>
  <c r="H64" i="131"/>
  <c r="I64" i="131" s="1"/>
  <c r="M64" i="131" s="1"/>
  <c r="N64" i="131" s="1"/>
  <c r="R64" i="131" s="1"/>
  <c r="S64" i="131" s="1"/>
  <c r="W64" i="131" s="1"/>
  <c r="D78" i="131" s="1"/>
  <c r="H78" i="131" s="1"/>
  <c r="I78" i="131" s="1"/>
  <c r="M78" i="131" s="1"/>
  <c r="N78" i="131" s="1"/>
  <c r="R78" i="131" s="1"/>
  <c r="S78" i="131" s="1"/>
  <c r="W78" i="131" s="1"/>
  <c r="D92" i="131" s="1"/>
  <c r="H92" i="131" s="1"/>
  <c r="I92" i="131" s="1"/>
  <c r="M92" i="131" s="1"/>
  <c r="N92" i="131" s="1"/>
  <c r="R92" i="131" s="1"/>
  <c r="S92" i="131" s="1"/>
  <c r="W92" i="131" s="1"/>
  <c r="H63" i="131"/>
  <c r="I63" i="131" s="1"/>
  <c r="M63" i="131" s="1"/>
  <c r="N63" i="131" s="1"/>
  <c r="R63" i="131" s="1"/>
  <c r="S63" i="131" s="1"/>
  <c r="W63" i="131" s="1"/>
  <c r="D77" i="131" s="1"/>
  <c r="H77" i="131" s="1"/>
  <c r="I77" i="131" s="1"/>
  <c r="M77" i="131" s="1"/>
  <c r="N77" i="131" s="1"/>
  <c r="R77" i="131" s="1"/>
  <c r="S77" i="131" s="1"/>
  <c r="H62" i="131"/>
  <c r="I62" i="131" s="1"/>
  <c r="M62" i="131" s="1"/>
  <c r="N62" i="131" s="1"/>
  <c r="R62" i="131" s="1"/>
  <c r="S62" i="131" s="1"/>
  <c r="W62" i="131" s="1"/>
  <c r="D76" i="131" s="1"/>
  <c r="H76" i="131" s="1"/>
  <c r="I76" i="131" s="1"/>
  <c r="M76" i="131" s="1"/>
  <c r="N76" i="131" s="1"/>
  <c r="R76" i="131" s="1"/>
  <c r="S76" i="131" s="1"/>
  <c r="W76" i="131" s="1"/>
  <c r="D90" i="131" s="1"/>
  <c r="H90" i="131" s="1"/>
  <c r="I90" i="131" s="1"/>
  <c r="M90" i="131" s="1"/>
  <c r="N90" i="131" s="1"/>
  <c r="R90" i="131" s="1"/>
  <c r="S90" i="131" s="1"/>
  <c r="W90" i="131" s="1"/>
  <c r="H61" i="131"/>
  <c r="I61" i="131" s="1"/>
  <c r="M61" i="131" s="1"/>
  <c r="N61" i="131" s="1"/>
  <c r="R61" i="131" s="1"/>
  <c r="S61" i="131" s="1"/>
  <c r="W61" i="131" s="1"/>
  <c r="D75" i="131" s="1"/>
  <c r="H75" i="131" s="1"/>
  <c r="I75" i="131" s="1"/>
  <c r="M75" i="131" s="1"/>
  <c r="N75" i="131" s="1"/>
  <c r="R75" i="131" s="1"/>
  <c r="S75" i="131" s="1"/>
  <c r="W75" i="131" s="1"/>
  <c r="D89" i="131" s="1"/>
  <c r="H89" i="131" s="1"/>
  <c r="I89" i="131" s="1"/>
  <c r="M89" i="131" s="1"/>
  <c r="N89" i="131" s="1"/>
  <c r="R89" i="131" s="1"/>
  <c r="S89" i="131" s="1"/>
  <c r="W89" i="131" s="1"/>
  <c r="H60" i="131"/>
  <c r="I60" i="131" s="1"/>
  <c r="V52" i="131"/>
  <c r="U52" i="131"/>
  <c r="T52" i="131"/>
  <c r="Q52" i="131"/>
  <c r="P52" i="131"/>
  <c r="O52" i="131"/>
  <c r="L52" i="131"/>
  <c r="K52" i="131"/>
  <c r="J52" i="131"/>
  <c r="G52" i="131"/>
  <c r="F52" i="131"/>
  <c r="E52" i="131"/>
  <c r="V38" i="131"/>
  <c r="U38" i="131"/>
  <c r="T38" i="131"/>
  <c r="Q38" i="131"/>
  <c r="P38" i="131"/>
  <c r="O38" i="131"/>
  <c r="L38" i="131"/>
  <c r="K38" i="131"/>
  <c r="J38" i="131"/>
  <c r="G38" i="131"/>
  <c r="F38" i="131"/>
  <c r="E38" i="131"/>
  <c r="V24" i="131"/>
  <c r="U24" i="131"/>
  <c r="T24" i="131"/>
  <c r="Q24" i="131"/>
  <c r="P24" i="131"/>
  <c r="O24" i="131"/>
  <c r="L24" i="131"/>
  <c r="K24" i="131"/>
  <c r="J24" i="131"/>
  <c r="G24" i="131"/>
  <c r="F24" i="131"/>
  <c r="E24" i="131"/>
  <c r="D24" i="131"/>
  <c r="H23" i="131"/>
  <c r="I23" i="131" s="1"/>
  <c r="M23" i="131" s="1"/>
  <c r="N23" i="131" s="1"/>
  <c r="R23" i="131" s="1"/>
  <c r="S23" i="131" s="1"/>
  <c r="W23" i="131" s="1"/>
  <c r="D37" i="131" s="1"/>
  <c r="H37" i="131" s="1"/>
  <c r="I37" i="131" s="1"/>
  <c r="M37" i="131" s="1"/>
  <c r="N37" i="131" s="1"/>
  <c r="R37" i="131" s="1"/>
  <c r="S37" i="131" s="1"/>
  <c r="W37" i="131" s="1"/>
  <c r="D51" i="131" s="1"/>
  <c r="H51" i="131" s="1"/>
  <c r="I51" i="131" s="1"/>
  <c r="M51" i="131" s="1"/>
  <c r="N51" i="131" s="1"/>
  <c r="R51" i="131" s="1"/>
  <c r="S51" i="131" s="1"/>
  <c r="W51" i="131" s="1"/>
  <c r="H22" i="131"/>
  <c r="I22" i="131" s="1"/>
  <c r="M22" i="131" s="1"/>
  <c r="N22" i="131" s="1"/>
  <c r="R22" i="131" s="1"/>
  <c r="S22" i="131" s="1"/>
  <c r="W22" i="131" s="1"/>
  <c r="D36" i="131" s="1"/>
  <c r="H36" i="131" s="1"/>
  <c r="I36" i="131" s="1"/>
  <c r="M36" i="131" s="1"/>
  <c r="N36" i="131" s="1"/>
  <c r="R36" i="131" s="1"/>
  <c r="S36" i="131" s="1"/>
  <c r="W36" i="131" s="1"/>
  <c r="D50" i="131" s="1"/>
  <c r="H50" i="131" s="1"/>
  <c r="I50" i="131" s="1"/>
  <c r="M50" i="131" s="1"/>
  <c r="N50" i="131" s="1"/>
  <c r="R50" i="131" s="1"/>
  <c r="S50" i="131" s="1"/>
  <c r="W50" i="131" s="1"/>
  <c r="I21" i="131"/>
  <c r="M21" i="131" s="1"/>
  <c r="N21" i="131" s="1"/>
  <c r="R21" i="131" s="1"/>
  <c r="S21" i="131" s="1"/>
  <c r="W21" i="131" s="1"/>
  <c r="D35" i="131" s="1"/>
  <c r="H35" i="131" s="1"/>
  <c r="I35" i="131" s="1"/>
  <c r="M35" i="131" s="1"/>
  <c r="N35" i="131" s="1"/>
  <c r="R35" i="131" s="1"/>
  <c r="S35" i="131" s="1"/>
  <c r="W35" i="131" s="1"/>
  <c r="D49" i="131" s="1"/>
  <c r="H49" i="131" s="1"/>
  <c r="I49" i="131" s="1"/>
  <c r="M49" i="131" s="1"/>
  <c r="N49" i="131" s="1"/>
  <c r="R49" i="131" s="1"/>
  <c r="S49" i="131" s="1"/>
  <c r="W49" i="131" s="1"/>
  <c r="H21" i="131"/>
  <c r="H20" i="131"/>
  <c r="H19" i="131"/>
  <c r="I19" i="131" s="1"/>
  <c r="M19" i="131" s="1"/>
  <c r="N19" i="131" s="1"/>
  <c r="R19" i="131" s="1"/>
  <c r="S19" i="131" s="1"/>
  <c r="W19" i="131" s="1"/>
  <c r="D33" i="131" s="1"/>
  <c r="H33" i="131" s="1"/>
  <c r="I33" i="131" s="1"/>
  <c r="M33" i="131" s="1"/>
  <c r="N33" i="131" s="1"/>
  <c r="R33" i="131" s="1"/>
  <c r="S33" i="131" s="1"/>
  <c r="W33" i="131" s="1"/>
  <c r="H18" i="131"/>
  <c r="I18" i="131" s="1"/>
  <c r="M18" i="131" s="1"/>
  <c r="N18" i="131" s="1"/>
  <c r="R18" i="131" s="1"/>
  <c r="S18" i="131" s="1"/>
  <c r="W18" i="131" s="1"/>
  <c r="D32" i="131" s="1"/>
  <c r="H32" i="131" s="1"/>
  <c r="I32" i="131" s="1"/>
  <c r="M32" i="131" s="1"/>
  <c r="N32" i="131" s="1"/>
  <c r="R32" i="131" s="1"/>
  <c r="S32" i="131" s="1"/>
  <c r="W32" i="131" s="1"/>
  <c r="D46" i="131" s="1"/>
  <c r="H46" i="131" s="1"/>
  <c r="I46" i="131" s="1"/>
  <c r="M46" i="131" s="1"/>
  <c r="N46" i="131" s="1"/>
  <c r="R46" i="131" s="1"/>
  <c r="S46" i="131" s="1"/>
  <c r="W46" i="131" s="1"/>
  <c r="H17" i="131"/>
  <c r="I17" i="131" s="1"/>
  <c r="M17" i="131" s="1"/>
  <c r="N17" i="131" s="1"/>
  <c r="R17" i="131" s="1"/>
  <c r="S17" i="131" s="1"/>
  <c r="W17" i="131" s="1"/>
  <c r="D31" i="131" s="1"/>
  <c r="H31" i="131" s="1"/>
  <c r="I31" i="131" s="1"/>
  <c r="M31" i="131" s="1"/>
  <c r="N31" i="131" s="1"/>
  <c r="R31" i="131" s="1"/>
  <c r="S31" i="131" s="1"/>
  <c r="W31" i="131" s="1"/>
  <c r="D45" i="131" s="1"/>
  <c r="H45" i="131" s="1"/>
  <c r="I45" i="131" s="1"/>
  <c r="M45" i="131" s="1"/>
  <c r="N45" i="131" s="1"/>
  <c r="R45" i="131" s="1"/>
  <c r="S45" i="131" s="1"/>
  <c r="W45" i="131" s="1"/>
  <c r="H16" i="131"/>
  <c r="I16" i="131" s="1"/>
  <c r="B2" i="131"/>
  <c r="V96" i="116"/>
  <c r="U96" i="116"/>
  <c r="Q96" i="116"/>
  <c r="P96" i="116"/>
  <c r="L96" i="116"/>
  <c r="K96" i="116"/>
  <c r="G96" i="116"/>
  <c r="F96" i="116"/>
  <c r="V82" i="116"/>
  <c r="U82" i="116"/>
  <c r="Q82" i="116"/>
  <c r="P82" i="116"/>
  <c r="L82" i="116"/>
  <c r="K82" i="116"/>
  <c r="G82" i="116"/>
  <c r="F82" i="116"/>
  <c r="V68" i="116"/>
  <c r="U68" i="116"/>
  <c r="Q68" i="116"/>
  <c r="P68" i="116"/>
  <c r="L68" i="116"/>
  <c r="K68" i="116"/>
  <c r="G68" i="116"/>
  <c r="F68" i="116"/>
  <c r="D68" i="116"/>
  <c r="V52" i="116"/>
  <c r="U52" i="116"/>
  <c r="T52" i="116"/>
  <c r="Q52" i="116"/>
  <c r="P52" i="116"/>
  <c r="O52" i="116"/>
  <c r="L52" i="116"/>
  <c r="K52" i="116"/>
  <c r="J52" i="116"/>
  <c r="G52" i="116"/>
  <c r="F52" i="116"/>
  <c r="E52" i="116"/>
  <c r="V38" i="116"/>
  <c r="U38" i="116"/>
  <c r="T38" i="116"/>
  <c r="Q38" i="116"/>
  <c r="P38" i="116"/>
  <c r="L38" i="116"/>
  <c r="K38" i="116"/>
  <c r="G38" i="116"/>
  <c r="F38" i="116"/>
  <c r="D24" i="116"/>
  <c r="B2" i="116"/>
  <c r="D125" i="149"/>
  <c r="D139" i="149" s="1"/>
  <c r="H139" i="149" s="1"/>
  <c r="I139" i="149" s="1"/>
  <c r="M139" i="149" s="1"/>
  <c r="N139" i="149" s="1"/>
  <c r="R139" i="149" s="1"/>
  <c r="S139" i="149" s="1"/>
  <c r="W139" i="149" s="1"/>
  <c r="D124" i="149"/>
  <c r="D138" i="149" s="1"/>
  <c r="H138" i="149" s="1"/>
  <c r="I138" i="149" s="1"/>
  <c r="M138" i="149" s="1"/>
  <c r="N138" i="149" s="1"/>
  <c r="R138" i="149" s="1"/>
  <c r="S138" i="149" s="1"/>
  <c r="W138" i="149" s="1"/>
  <c r="D123" i="149"/>
  <c r="D137" i="149" s="1"/>
  <c r="H137" i="149" s="1"/>
  <c r="I137" i="149" s="1"/>
  <c r="M137" i="149" s="1"/>
  <c r="N137" i="149" s="1"/>
  <c r="R137" i="149" s="1"/>
  <c r="S137" i="149" s="1"/>
  <c r="W137" i="149" s="1"/>
  <c r="D121" i="149"/>
  <c r="D135" i="149" s="1"/>
  <c r="H135" i="149" s="1"/>
  <c r="I135" i="149" s="1"/>
  <c r="M135" i="149" s="1"/>
  <c r="N135" i="149" s="1"/>
  <c r="R135" i="149" s="1"/>
  <c r="S135" i="149" s="1"/>
  <c r="W135" i="149" s="1"/>
  <c r="D119" i="149"/>
  <c r="D133" i="149" s="1"/>
  <c r="H133" i="149" s="1"/>
  <c r="I133" i="149" s="1"/>
  <c r="M133" i="149" s="1"/>
  <c r="N133" i="149" s="1"/>
  <c r="R133" i="149" s="1"/>
  <c r="S133" i="149" s="1"/>
  <c r="W133" i="149" s="1"/>
  <c r="V96" i="149"/>
  <c r="U96" i="149"/>
  <c r="Q96" i="149"/>
  <c r="P96" i="149"/>
  <c r="L96" i="149"/>
  <c r="K96" i="149"/>
  <c r="G96" i="149"/>
  <c r="F96" i="149"/>
  <c r="V82" i="149"/>
  <c r="U82" i="149"/>
  <c r="Q82" i="149"/>
  <c r="P82" i="149"/>
  <c r="O82" i="149"/>
  <c r="L82" i="149"/>
  <c r="K82" i="149"/>
  <c r="J82" i="149"/>
  <c r="G82" i="149"/>
  <c r="F82" i="149"/>
  <c r="E82" i="149"/>
  <c r="D79" i="149"/>
  <c r="H79" i="149" s="1"/>
  <c r="I79" i="149" s="1"/>
  <c r="M79" i="149" s="1"/>
  <c r="N79" i="149" s="1"/>
  <c r="R79" i="149" s="1"/>
  <c r="S79" i="149" s="1"/>
  <c r="W79" i="149" s="1"/>
  <c r="D93" i="149" s="1"/>
  <c r="H93" i="149" s="1"/>
  <c r="I93" i="149" s="1"/>
  <c r="M93" i="149" s="1"/>
  <c r="N93" i="149" s="1"/>
  <c r="R93" i="149" s="1"/>
  <c r="S93" i="149" s="1"/>
  <c r="W93" i="149" s="1"/>
  <c r="V68" i="149"/>
  <c r="U68" i="149"/>
  <c r="T68" i="149"/>
  <c r="Q68" i="149"/>
  <c r="P68" i="149"/>
  <c r="O68" i="149"/>
  <c r="L68" i="149"/>
  <c r="K68" i="149"/>
  <c r="J68" i="149"/>
  <c r="G68" i="149"/>
  <c r="F68" i="149"/>
  <c r="E68" i="149"/>
  <c r="D68" i="149"/>
  <c r="H67" i="149"/>
  <c r="I67" i="149" s="1"/>
  <c r="M67" i="149" s="1"/>
  <c r="N67" i="149" s="1"/>
  <c r="R67" i="149" s="1"/>
  <c r="S67" i="149" s="1"/>
  <c r="W67" i="149" s="1"/>
  <c r="D81" i="149" s="1"/>
  <c r="H81" i="149" s="1"/>
  <c r="I81" i="149" s="1"/>
  <c r="M81" i="149" s="1"/>
  <c r="N81" i="149" s="1"/>
  <c r="R81" i="149" s="1"/>
  <c r="S81" i="149" s="1"/>
  <c r="W81" i="149" s="1"/>
  <c r="D95" i="149" s="1"/>
  <c r="H95" i="149" s="1"/>
  <c r="I95" i="149" s="1"/>
  <c r="M95" i="149" s="1"/>
  <c r="N95" i="149" s="1"/>
  <c r="R95" i="149" s="1"/>
  <c r="S95" i="149" s="1"/>
  <c r="W95" i="149" s="1"/>
  <c r="H66" i="149"/>
  <c r="I66" i="149" s="1"/>
  <c r="M66" i="149" s="1"/>
  <c r="N66" i="149" s="1"/>
  <c r="R66" i="149" s="1"/>
  <c r="S66" i="149" s="1"/>
  <c r="W66" i="149" s="1"/>
  <c r="D80" i="149" s="1"/>
  <c r="H80" i="149" s="1"/>
  <c r="I80" i="149" s="1"/>
  <c r="M80" i="149" s="1"/>
  <c r="N80" i="149" s="1"/>
  <c r="R80" i="149" s="1"/>
  <c r="S80" i="149" s="1"/>
  <c r="W80" i="149" s="1"/>
  <c r="D94" i="149" s="1"/>
  <c r="H94" i="149" s="1"/>
  <c r="I94" i="149" s="1"/>
  <c r="M94" i="149" s="1"/>
  <c r="N94" i="149" s="1"/>
  <c r="R94" i="149" s="1"/>
  <c r="S94" i="149" s="1"/>
  <c r="W94" i="149" s="1"/>
  <c r="H65" i="149"/>
  <c r="I65" i="149" s="1"/>
  <c r="M65" i="149" s="1"/>
  <c r="N65" i="149" s="1"/>
  <c r="R65" i="149" s="1"/>
  <c r="S65" i="149" s="1"/>
  <c r="W65" i="149" s="1"/>
  <c r="H64" i="149"/>
  <c r="I64" i="149" s="1"/>
  <c r="M64" i="149" s="1"/>
  <c r="N64" i="149" s="1"/>
  <c r="R64" i="149" s="1"/>
  <c r="S64" i="149" s="1"/>
  <c r="W64" i="149" s="1"/>
  <c r="D78" i="149" s="1"/>
  <c r="H78" i="149" s="1"/>
  <c r="I78" i="149" s="1"/>
  <c r="M78" i="149" s="1"/>
  <c r="N78" i="149" s="1"/>
  <c r="R78" i="149" s="1"/>
  <c r="S78" i="149" s="1"/>
  <c r="H63" i="149"/>
  <c r="I63" i="149" s="1"/>
  <c r="M63" i="149" s="1"/>
  <c r="N63" i="149" s="1"/>
  <c r="R63" i="149" s="1"/>
  <c r="S63" i="149" s="1"/>
  <c r="W63" i="149" s="1"/>
  <c r="D77" i="149" s="1"/>
  <c r="H77" i="149" s="1"/>
  <c r="I77" i="149" s="1"/>
  <c r="M77" i="149" s="1"/>
  <c r="N77" i="149" s="1"/>
  <c r="R77" i="149" s="1"/>
  <c r="S77" i="149" s="1"/>
  <c r="W77" i="149" s="1"/>
  <c r="D91" i="149" s="1"/>
  <c r="H91" i="149" s="1"/>
  <c r="I91" i="149" s="1"/>
  <c r="M91" i="149" s="1"/>
  <c r="N91" i="149" s="1"/>
  <c r="R91" i="149" s="1"/>
  <c r="S91" i="149" s="1"/>
  <c r="W91" i="149" s="1"/>
  <c r="H62" i="149"/>
  <c r="I62" i="149" s="1"/>
  <c r="M62" i="149" s="1"/>
  <c r="N62" i="149" s="1"/>
  <c r="R62" i="149" s="1"/>
  <c r="S62" i="149" s="1"/>
  <c r="W62" i="149" s="1"/>
  <c r="D76" i="149" s="1"/>
  <c r="H76" i="149" s="1"/>
  <c r="I76" i="149" s="1"/>
  <c r="M76" i="149" s="1"/>
  <c r="N76" i="149" s="1"/>
  <c r="R76" i="149" s="1"/>
  <c r="S76" i="149" s="1"/>
  <c r="W76" i="149" s="1"/>
  <c r="D90" i="149" s="1"/>
  <c r="H90" i="149" s="1"/>
  <c r="I90" i="149" s="1"/>
  <c r="M90" i="149" s="1"/>
  <c r="N90" i="149" s="1"/>
  <c r="R90" i="149" s="1"/>
  <c r="S90" i="149" s="1"/>
  <c r="W90" i="149" s="1"/>
  <c r="H61" i="149"/>
  <c r="I61" i="149" s="1"/>
  <c r="M61" i="149" s="1"/>
  <c r="N61" i="149" s="1"/>
  <c r="R61" i="149" s="1"/>
  <c r="S61" i="149" s="1"/>
  <c r="W61" i="149" s="1"/>
  <c r="D75" i="149" s="1"/>
  <c r="H75" i="149" s="1"/>
  <c r="I75" i="149" s="1"/>
  <c r="M75" i="149" s="1"/>
  <c r="N75" i="149" s="1"/>
  <c r="R75" i="149" s="1"/>
  <c r="S75" i="149" s="1"/>
  <c r="W75" i="149" s="1"/>
  <c r="D89" i="149" s="1"/>
  <c r="H89" i="149" s="1"/>
  <c r="I89" i="149" s="1"/>
  <c r="M89" i="149" s="1"/>
  <c r="N89" i="149" s="1"/>
  <c r="R89" i="149" s="1"/>
  <c r="S89" i="149" s="1"/>
  <c r="W89" i="149" s="1"/>
  <c r="H60" i="149"/>
  <c r="V52" i="149"/>
  <c r="U52" i="149"/>
  <c r="T52" i="149"/>
  <c r="Q52" i="149"/>
  <c r="P52" i="149"/>
  <c r="O52" i="149"/>
  <c r="L52" i="149"/>
  <c r="K52" i="149"/>
  <c r="J52" i="149"/>
  <c r="G52" i="149"/>
  <c r="F52" i="149"/>
  <c r="E52" i="149"/>
  <c r="V38" i="149"/>
  <c r="U38" i="149"/>
  <c r="T38" i="149"/>
  <c r="Q38" i="149"/>
  <c r="P38" i="149"/>
  <c r="O38" i="149"/>
  <c r="L38" i="149"/>
  <c r="K38" i="149"/>
  <c r="J38" i="149"/>
  <c r="G38" i="149"/>
  <c r="F38" i="149"/>
  <c r="E38" i="149"/>
  <c r="D34" i="149"/>
  <c r="H34" i="149" s="1"/>
  <c r="I34" i="149" s="1"/>
  <c r="M34" i="149" s="1"/>
  <c r="N34" i="149" s="1"/>
  <c r="R34" i="149" s="1"/>
  <c r="S34" i="149" s="1"/>
  <c r="W34" i="149" s="1"/>
  <c r="V24" i="149"/>
  <c r="U24" i="149"/>
  <c r="T24" i="149"/>
  <c r="Q24" i="149"/>
  <c r="P24" i="149"/>
  <c r="O24" i="149"/>
  <c r="L24" i="149"/>
  <c r="K24" i="149"/>
  <c r="J24" i="149"/>
  <c r="G24" i="149"/>
  <c r="F24" i="149"/>
  <c r="E24" i="149"/>
  <c r="D24" i="149"/>
  <c r="H23" i="149"/>
  <c r="I23" i="149" s="1"/>
  <c r="M23" i="149" s="1"/>
  <c r="N23" i="149" s="1"/>
  <c r="R23" i="149" s="1"/>
  <c r="S23" i="149" s="1"/>
  <c r="W23" i="149" s="1"/>
  <c r="D37" i="149" s="1"/>
  <c r="H37" i="149" s="1"/>
  <c r="I37" i="149" s="1"/>
  <c r="M37" i="149" s="1"/>
  <c r="N37" i="149" s="1"/>
  <c r="R37" i="149" s="1"/>
  <c r="S37" i="149" s="1"/>
  <c r="W37" i="149" s="1"/>
  <c r="D51" i="149" s="1"/>
  <c r="H51" i="149" s="1"/>
  <c r="I51" i="149" s="1"/>
  <c r="M51" i="149" s="1"/>
  <c r="N51" i="149" s="1"/>
  <c r="R51" i="149" s="1"/>
  <c r="S51" i="149" s="1"/>
  <c r="W51" i="149" s="1"/>
  <c r="W22" i="149"/>
  <c r="D36" i="149" s="1"/>
  <c r="H36" i="149" s="1"/>
  <c r="I36" i="149" s="1"/>
  <c r="M36" i="149" s="1"/>
  <c r="N36" i="149" s="1"/>
  <c r="R36" i="149" s="1"/>
  <c r="S36" i="149" s="1"/>
  <c r="W36" i="149" s="1"/>
  <c r="D50" i="149" s="1"/>
  <c r="H50" i="149" s="1"/>
  <c r="I50" i="149" s="1"/>
  <c r="M50" i="149" s="1"/>
  <c r="N50" i="149" s="1"/>
  <c r="R50" i="149" s="1"/>
  <c r="S50" i="149" s="1"/>
  <c r="W50" i="149" s="1"/>
  <c r="H22" i="149"/>
  <c r="I22" i="149" s="1"/>
  <c r="M22" i="149" s="1"/>
  <c r="N22" i="149" s="1"/>
  <c r="R22" i="149" s="1"/>
  <c r="S22" i="149" s="1"/>
  <c r="H21" i="149"/>
  <c r="I21" i="149" s="1"/>
  <c r="M21" i="149" s="1"/>
  <c r="N21" i="149" s="1"/>
  <c r="R21" i="149" s="1"/>
  <c r="S21" i="149" s="1"/>
  <c r="W21" i="149" s="1"/>
  <c r="D35" i="149" s="1"/>
  <c r="H35" i="149" s="1"/>
  <c r="I35" i="149" s="1"/>
  <c r="M35" i="149" s="1"/>
  <c r="N35" i="149" s="1"/>
  <c r="R35" i="149" s="1"/>
  <c r="S35" i="149" s="1"/>
  <c r="W35" i="149" s="1"/>
  <c r="D49" i="149" s="1"/>
  <c r="H49" i="149" s="1"/>
  <c r="I49" i="149" s="1"/>
  <c r="M49" i="149" s="1"/>
  <c r="N49" i="149" s="1"/>
  <c r="R49" i="149" s="1"/>
  <c r="S49" i="149" s="1"/>
  <c r="W49" i="149" s="1"/>
  <c r="H20" i="149"/>
  <c r="I20" i="149" s="1"/>
  <c r="M20" i="149" s="1"/>
  <c r="N20" i="149" s="1"/>
  <c r="R20" i="149" s="1"/>
  <c r="S20" i="149" s="1"/>
  <c r="W20" i="149" s="1"/>
  <c r="H19" i="149"/>
  <c r="I19" i="149" s="1"/>
  <c r="M19" i="149" s="1"/>
  <c r="N19" i="149" s="1"/>
  <c r="R19" i="149" s="1"/>
  <c r="S19" i="149" s="1"/>
  <c r="W19" i="149" s="1"/>
  <c r="D33" i="149" s="1"/>
  <c r="H33" i="149" s="1"/>
  <c r="I33" i="149" s="1"/>
  <c r="M33" i="149" s="1"/>
  <c r="N33" i="149" s="1"/>
  <c r="R33" i="149" s="1"/>
  <c r="S33" i="149" s="1"/>
  <c r="W33" i="149" s="1"/>
  <c r="D47" i="149" s="1"/>
  <c r="H47" i="149" s="1"/>
  <c r="I47" i="149" s="1"/>
  <c r="M47" i="149" s="1"/>
  <c r="N47" i="149" s="1"/>
  <c r="R47" i="149" s="1"/>
  <c r="S47" i="149" s="1"/>
  <c r="W47" i="149" s="1"/>
  <c r="H18" i="149"/>
  <c r="I18" i="149" s="1"/>
  <c r="M18" i="149" s="1"/>
  <c r="N18" i="149" s="1"/>
  <c r="R18" i="149" s="1"/>
  <c r="S18" i="149" s="1"/>
  <c r="W18" i="149" s="1"/>
  <c r="D32" i="149" s="1"/>
  <c r="H32" i="149" s="1"/>
  <c r="I32" i="149" s="1"/>
  <c r="M32" i="149" s="1"/>
  <c r="N32" i="149" s="1"/>
  <c r="R32" i="149" s="1"/>
  <c r="S32" i="149" s="1"/>
  <c r="W32" i="149" s="1"/>
  <c r="D46" i="149" s="1"/>
  <c r="H46" i="149" s="1"/>
  <c r="I46" i="149" s="1"/>
  <c r="M46" i="149" s="1"/>
  <c r="N46" i="149" s="1"/>
  <c r="R46" i="149" s="1"/>
  <c r="S46" i="149" s="1"/>
  <c r="W46" i="149" s="1"/>
  <c r="H17" i="149"/>
  <c r="I17" i="149" s="1"/>
  <c r="M17" i="149" s="1"/>
  <c r="N17" i="149" s="1"/>
  <c r="R17" i="149" s="1"/>
  <c r="S17" i="149" s="1"/>
  <c r="W17" i="149" s="1"/>
  <c r="D31" i="149" s="1"/>
  <c r="H31" i="149" s="1"/>
  <c r="I31" i="149" s="1"/>
  <c r="M31" i="149" s="1"/>
  <c r="N31" i="149" s="1"/>
  <c r="R31" i="149" s="1"/>
  <c r="S31" i="149" s="1"/>
  <c r="W31" i="149" s="1"/>
  <c r="D45" i="149" s="1"/>
  <c r="H45" i="149" s="1"/>
  <c r="I45" i="149" s="1"/>
  <c r="M45" i="149" s="1"/>
  <c r="N45" i="149" s="1"/>
  <c r="R45" i="149" s="1"/>
  <c r="S45" i="149" s="1"/>
  <c r="W45" i="149" s="1"/>
  <c r="H16" i="149"/>
  <c r="B2" i="149"/>
  <c r="B2" i="115"/>
  <c r="B2" i="70"/>
  <c r="V140" i="70"/>
  <c r="U140" i="70"/>
  <c r="Q140" i="70"/>
  <c r="P140" i="70"/>
  <c r="L140" i="70"/>
  <c r="K140" i="70"/>
  <c r="G140" i="70"/>
  <c r="F140" i="70"/>
  <c r="V126" i="70"/>
  <c r="U126" i="70"/>
  <c r="Q126" i="70"/>
  <c r="P126" i="70"/>
  <c r="L126" i="70"/>
  <c r="K126" i="70"/>
  <c r="G126" i="70"/>
  <c r="F126" i="70"/>
  <c r="V112" i="70"/>
  <c r="U112" i="70"/>
  <c r="Q112" i="70"/>
  <c r="L112" i="70"/>
  <c r="K112" i="70"/>
  <c r="G112" i="70"/>
  <c r="F112" i="70"/>
  <c r="V38" i="70"/>
  <c r="U38" i="70"/>
  <c r="T38" i="70"/>
  <c r="V24" i="70"/>
  <c r="U24" i="70"/>
  <c r="L24" i="70"/>
  <c r="F24" i="70"/>
  <c r="V96" i="115"/>
  <c r="U96" i="115"/>
  <c r="Q96" i="115"/>
  <c r="P96" i="115"/>
  <c r="L96" i="115"/>
  <c r="K96" i="115"/>
  <c r="G96" i="115"/>
  <c r="F96" i="115"/>
  <c r="V82" i="115"/>
  <c r="U82" i="115"/>
  <c r="Q82" i="115"/>
  <c r="P82" i="115"/>
  <c r="L82" i="115"/>
  <c r="K82" i="115"/>
  <c r="G82" i="115"/>
  <c r="F82" i="115"/>
  <c r="V68" i="115"/>
  <c r="U68" i="115"/>
  <c r="Q68" i="115"/>
  <c r="L68" i="115"/>
  <c r="K68" i="115"/>
  <c r="G68" i="115"/>
  <c r="F68" i="115"/>
  <c r="D68" i="115"/>
  <c r="V52" i="115"/>
  <c r="U52" i="115"/>
  <c r="T52" i="115"/>
  <c r="Q52" i="115"/>
  <c r="P52" i="115"/>
  <c r="O52" i="115"/>
  <c r="L52" i="115"/>
  <c r="K52" i="115"/>
  <c r="J52" i="115"/>
  <c r="G52" i="115"/>
  <c r="F52" i="115"/>
  <c r="E52" i="115"/>
  <c r="V38" i="115"/>
  <c r="U38" i="115"/>
  <c r="T38" i="115"/>
  <c r="Q38" i="115"/>
  <c r="P38" i="115"/>
  <c r="L38" i="115"/>
  <c r="K38" i="115"/>
  <c r="G38" i="115"/>
  <c r="F38" i="115"/>
  <c r="V24" i="115"/>
  <c r="U24" i="115"/>
  <c r="Q24" i="115"/>
  <c r="L24" i="115"/>
  <c r="K24" i="115"/>
  <c r="G24" i="115"/>
  <c r="F24" i="115"/>
  <c r="D24" i="115"/>
  <c r="B2" i="120"/>
  <c r="AA71" i="160"/>
  <c r="AA70" i="160"/>
  <c r="AA69" i="160"/>
  <c r="AA68" i="160"/>
  <c r="AA67" i="160"/>
  <c r="AA66" i="160"/>
  <c r="AA65" i="160"/>
  <c r="AA64" i="160"/>
  <c r="X64" i="160"/>
  <c r="X71" i="160"/>
  <c r="X70" i="160"/>
  <c r="X69" i="160"/>
  <c r="X67" i="160"/>
  <c r="X65" i="160"/>
  <c r="X68" i="160" l="1"/>
  <c r="D47" i="131"/>
  <c r="H47" i="131" s="1"/>
  <c r="T77" i="131"/>
  <c r="I47" i="131"/>
  <c r="E91" i="131"/>
  <c r="D48" i="149"/>
  <c r="T78" i="149"/>
  <c r="AA73" i="160"/>
  <c r="K77" i="160"/>
  <c r="L77" i="160"/>
  <c r="P62" i="115" s="1"/>
  <c r="X66" i="160"/>
  <c r="X73" i="160" s="1"/>
  <c r="D24" i="70"/>
  <c r="D105" i="70"/>
  <c r="D112" i="70" s="1"/>
  <c r="H120" i="131"/>
  <c r="I120" i="131" s="1"/>
  <c r="M120" i="131" s="1"/>
  <c r="N120" i="131" s="1"/>
  <c r="R120" i="131" s="1"/>
  <c r="S120" i="131" s="1"/>
  <c r="W120" i="131" s="1"/>
  <c r="D134" i="131" s="1"/>
  <c r="H134" i="131" s="1"/>
  <c r="I134" i="131" s="1"/>
  <c r="M134" i="131" s="1"/>
  <c r="N134" i="131" s="1"/>
  <c r="R134" i="131" s="1"/>
  <c r="S134" i="131" s="1"/>
  <c r="W134" i="131" s="1"/>
  <c r="H119" i="131"/>
  <c r="I119" i="131" s="1"/>
  <c r="M119" i="131" s="1"/>
  <c r="N119" i="131" s="1"/>
  <c r="R119" i="131" s="1"/>
  <c r="S119" i="131" s="1"/>
  <c r="W119" i="131" s="1"/>
  <c r="D133" i="131" s="1"/>
  <c r="H133" i="131" s="1"/>
  <c r="I133" i="131" s="1"/>
  <c r="M133" i="131" s="1"/>
  <c r="N133" i="131" s="1"/>
  <c r="R133" i="131" s="1"/>
  <c r="S133" i="131" s="1"/>
  <c r="W133" i="131" s="1"/>
  <c r="H121" i="131"/>
  <c r="I121" i="131" s="1"/>
  <c r="M121" i="131" s="1"/>
  <c r="N121" i="131" s="1"/>
  <c r="R121" i="131" s="1"/>
  <c r="S121" i="131" s="1"/>
  <c r="H122" i="131"/>
  <c r="I122" i="131" s="1"/>
  <c r="M122" i="131" s="1"/>
  <c r="N122" i="131" s="1"/>
  <c r="R122" i="131" s="1"/>
  <c r="S122" i="131" s="1"/>
  <c r="W122" i="131" s="1"/>
  <c r="D136" i="131" s="1"/>
  <c r="H136" i="131" s="1"/>
  <c r="I136" i="131" s="1"/>
  <c r="M136" i="131" s="1"/>
  <c r="N136" i="131" s="1"/>
  <c r="R136" i="131" s="1"/>
  <c r="S136" i="131" s="1"/>
  <c r="W136" i="131" s="1"/>
  <c r="H124" i="131"/>
  <c r="I124" i="131" s="1"/>
  <c r="M124" i="131" s="1"/>
  <c r="N124" i="131" s="1"/>
  <c r="R124" i="131" s="1"/>
  <c r="S124" i="131" s="1"/>
  <c r="W124" i="131" s="1"/>
  <c r="D138" i="131" s="1"/>
  <c r="H138" i="131" s="1"/>
  <c r="I138" i="131" s="1"/>
  <c r="M138" i="131" s="1"/>
  <c r="N138" i="131" s="1"/>
  <c r="R138" i="131" s="1"/>
  <c r="S138" i="131" s="1"/>
  <c r="W138" i="131" s="1"/>
  <c r="H125" i="131"/>
  <c r="I125" i="131" s="1"/>
  <c r="M125" i="131" s="1"/>
  <c r="N125" i="131" s="1"/>
  <c r="R125" i="131" s="1"/>
  <c r="S125" i="131" s="1"/>
  <c r="W125" i="131" s="1"/>
  <c r="D139" i="131" s="1"/>
  <c r="H139" i="131" s="1"/>
  <c r="I139" i="131" s="1"/>
  <c r="M139" i="131" s="1"/>
  <c r="N139" i="131" s="1"/>
  <c r="R139" i="131" s="1"/>
  <c r="S139" i="131" s="1"/>
  <c r="W139" i="131" s="1"/>
  <c r="H123" i="131"/>
  <c r="I123" i="131" s="1"/>
  <c r="M123" i="131" s="1"/>
  <c r="N123" i="131" s="1"/>
  <c r="R123" i="131" s="1"/>
  <c r="S123" i="131" s="1"/>
  <c r="W123" i="131" s="1"/>
  <c r="D137" i="131" s="1"/>
  <c r="H137" i="131" s="1"/>
  <c r="I137" i="131" s="1"/>
  <c r="M137" i="131" s="1"/>
  <c r="N137" i="131" s="1"/>
  <c r="R137" i="131" s="1"/>
  <c r="S137" i="131" s="1"/>
  <c r="W137" i="131" s="1"/>
  <c r="I112" i="131"/>
  <c r="M104" i="131"/>
  <c r="N118" i="149"/>
  <c r="M126" i="149"/>
  <c r="N104" i="149"/>
  <c r="M112" i="149"/>
  <c r="H68" i="131"/>
  <c r="I20" i="131"/>
  <c r="M20" i="131" s="1"/>
  <c r="N20" i="131" s="1"/>
  <c r="R20" i="131" s="1"/>
  <c r="S20" i="131" s="1"/>
  <c r="W20" i="131" s="1"/>
  <c r="D34" i="131" s="1"/>
  <c r="H34" i="131" s="1"/>
  <c r="I34" i="131" s="1"/>
  <c r="M34" i="131" s="1"/>
  <c r="N34" i="131" s="1"/>
  <c r="R34" i="131" s="1"/>
  <c r="S34" i="131" s="1"/>
  <c r="W34" i="131" s="1"/>
  <c r="D48" i="131" s="1"/>
  <c r="H48" i="131" s="1"/>
  <c r="I48" i="131" s="1"/>
  <c r="M48" i="131" s="1"/>
  <c r="N48" i="131" s="1"/>
  <c r="R48" i="131" s="1"/>
  <c r="S48" i="131" s="1"/>
  <c r="W48" i="131" s="1"/>
  <c r="H24" i="131"/>
  <c r="M60" i="131"/>
  <c r="I68" i="131"/>
  <c r="M16" i="131"/>
  <c r="H24" i="149"/>
  <c r="D120" i="149"/>
  <c r="D134" i="149" s="1"/>
  <c r="H134" i="149" s="1"/>
  <c r="I134" i="149" s="1"/>
  <c r="M134" i="149" s="1"/>
  <c r="N134" i="149" s="1"/>
  <c r="R134" i="149" s="1"/>
  <c r="S134" i="149" s="1"/>
  <c r="W134" i="149" s="1"/>
  <c r="D122" i="149"/>
  <c r="H68" i="149"/>
  <c r="I16" i="149"/>
  <c r="I60" i="149"/>
  <c r="U64" i="160"/>
  <c r="U71" i="160"/>
  <c r="U70" i="160"/>
  <c r="U69" i="160"/>
  <c r="U67" i="160"/>
  <c r="U65" i="160"/>
  <c r="T121" i="131" l="1"/>
  <c r="T126" i="131" s="1"/>
  <c r="T82" i="131"/>
  <c r="W77" i="131"/>
  <c r="D91" i="131" s="1"/>
  <c r="E135" i="131"/>
  <c r="E140" i="131" s="1"/>
  <c r="E96" i="131"/>
  <c r="M47" i="131"/>
  <c r="N47" i="131" s="1"/>
  <c r="J91" i="131"/>
  <c r="H91" i="131"/>
  <c r="I91" i="131" s="1"/>
  <c r="U68" i="160"/>
  <c r="H48" i="149"/>
  <c r="I48" i="149" s="1"/>
  <c r="E92" i="149"/>
  <c r="T122" i="149"/>
  <c r="T82" i="149"/>
  <c r="W78" i="149"/>
  <c r="D92" i="149" s="1"/>
  <c r="P18" i="115"/>
  <c r="F15" i="54"/>
  <c r="P62" i="70"/>
  <c r="P68" i="70" s="1"/>
  <c r="P68" i="115"/>
  <c r="U66" i="160"/>
  <c r="N104" i="131"/>
  <c r="M112" i="131"/>
  <c r="R118" i="149"/>
  <c r="N126" i="149"/>
  <c r="N112" i="149"/>
  <c r="R104" i="149"/>
  <c r="M24" i="131"/>
  <c r="N16" i="131"/>
  <c r="I24" i="131"/>
  <c r="M68" i="131"/>
  <c r="N60" i="131"/>
  <c r="M60" i="149"/>
  <c r="I68" i="149"/>
  <c r="I24" i="149"/>
  <c r="M16" i="149"/>
  <c r="R70" i="160"/>
  <c r="R64" i="160"/>
  <c r="R71" i="160"/>
  <c r="R68" i="160"/>
  <c r="R69" i="160"/>
  <c r="R67" i="160"/>
  <c r="R65" i="160"/>
  <c r="AA44" i="160"/>
  <c r="X44" i="160"/>
  <c r="U44" i="160"/>
  <c r="U73" i="160" l="1"/>
  <c r="H92" i="149"/>
  <c r="I92" i="149" s="1"/>
  <c r="W121" i="131"/>
  <c r="D135" i="131" s="1"/>
  <c r="M91" i="131"/>
  <c r="N91" i="131" s="1"/>
  <c r="H135" i="131"/>
  <c r="I135" i="131" s="1"/>
  <c r="R47" i="131"/>
  <c r="S47" i="131" s="1"/>
  <c r="O91" i="131"/>
  <c r="R91" i="131" s="1"/>
  <c r="S91" i="131" s="1"/>
  <c r="J135" i="131"/>
  <c r="J140" i="131" s="1"/>
  <c r="J96" i="131"/>
  <c r="M135" i="131"/>
  <c r="N135" i="131" s="1"/>
  <c r="T126" i="149"/>
  <c r="W122" i="149"/>
  <c r="D136" i="149" s="1"/>
  <c r="M48" i="149"/>
  <c r="N48" i="149" s="1"/>
  <c r="E136" i="149"/>
  <c r="E140" i="149" s="1"/>
  <c r="E96" i="149"/>
  <c r="P24" i="115"/>
  <c r="P106" i="115"/>
  <c r="P112" i="115" s="1"/>
  <c r="P18" i="70"/>
  <c r="R66" i="160"/>
  <c r="R73" i="160" s="1"/>
  <c r="N112" i="131"/>
  <c r="R104" i="131"/>
  <c r="S118" i="149"/>
  <c r="R126" i="149"/>
  <c r="S104" i="149"/>
  <c r="R112" i="149"/>
  <c r="N24" i="131"/>
  <c r="R16" i="131"/>
  <c r="N68" i="131"/>
  <c r="R60" i="131"/>
  <c r="M24" i="149"/>
  <c r="N16" i="149"/>
  <c r="M68" i="149"/>
  <c r="N60" i="149"/>
  <c r="R44" i="160"/>
  <c r="F16" i="55" l="1"/>
  <c r="J92" i="149"/>
  <c r="O135" i="131"/>
  <c r="O140" i="131" s="1"/>
  <c r="O96" i="131"/>
  <c r="W47" i="131"/>
  <c r="T91" i="131"/>
  <c r="R48" i="149"/>
  <c r="S48" i="149" s="1"/>
  <c r="J136" i="149"/>
  <c r="J140" i="149" s="1"/>
  <c r="J96" i="149"/>
  <c r="H136" i="149"/>
  <c r="I136" i="149" s="1"/>
  <c r="M136" i="149" s="1"/>
  <c r="N136" i="149" s="1"/>
  <c r="M92" i="149"/>
  <c r="N92" i="149" s="1"/>
  <c r="P24" i="70"/>
  <c r="P106" i="70"/>
  <c r="P112" i="70" s="1"/>
  <c r="R112" i="131"/>
  <c r="S104" i="131"/>
  <c r="W118" i="149"/>
  <c r="W126" i="149" s="1"/>
  <c r="S126" i="149"/>
  <c r="W104" i="149"/>
  <c r="S112" i="149"/>
  <c r="R24" i="131"/>
  <c r="S16" i="131"/>
  <c r="S60" i="131"/>
  <c r="R68" i="131"/>
  <c r="N68" i="149"/>
  <c r="R60" i="149"/>
  <c r="N24" i="149"/>
  <c r="R16" i="149"/>
  <c r="T135" i="131" l="1"/>
  <c r="T140" i="131" s="1"/>
  <c r="T96" i="131"/>
  <c r="W91" i="131"/>
  <c r="R135" i="131"/>
  <c r="S135" i="131" s="1"/>
  <c r="W135" i="131" s="1"/>
  <c r="O92" i="149"/>
  <c r="R92" i="149" s="1"/>
  <c r="S92" i="149" s="1"/>
  <c r="W48" i="149"/>
  <c r="T92" i="149"/>
  <c r="S112" i="131"/>
  <c r="W104" i="131"/>
  <c r="W112" i="131" s="1"/>
  <c r="W112" i="149"/>
  <c r="D118" i="149"/>
  <c r="S24" i="131"/>
  <c r="W16" i="131"/>
  <c r="W60" i="131"/>
  <c r="S68" i="131"/>
  <c r="R24" i="149"/>
  <c r="S16" i="149"/>
  <c r="S60" i="149"/>
  <c r="R68" i="149"/>
  <c r="O96" i="149" l="1"/>
  <c r="O136" i="149"/>
  <c r="T136" i="149"/>
  <c r="T140" i="149" s="1"/>
  <c r="T96" i="149"/>
  <c r="W92" i="149"/>
  <c r="D126" i="149"/>
  <c r="D30" i="131"/>
  <c r="W24" i="131"/>
  <c r="W68" i="131"/>
  <c r="D74" i="131"/>
  <c r="D118" i="131"/>
  <c r="H118" i="131" s="1"/>
  <c r="S24" i="149"/>
  <c r="W16" i="149"/>
  <c r="W60" i="149"/>
  <c r="S68" i="149"/>
  <c r="O140" i="149" l="1"/>
  <c r="R136" i="149"/>
  <c r="S136" i="149" s="1"/>
  <c r="W136" i="149"/>
  <c r="I118" i="131"/>
  <c r="H126" i="131"/>
  <c r="H74" i="131"/>
  <c r="D82" i="131"/>
  <c r="H30" i="131"/>
  <c r="D38" i="131"/>
  <c r="D126" i="131"/>
  <c r="D30" i="149"/>
  <c r="W24" i="149"/>
  <c r="D74" i="149"/>
  <c r="W68" i="149"/>
  <c r="M118" i="131" l="1"/>
  <c r="I126" i="131"/>
  <c r="H38" i="131"/>
  <c r="I30" i="131"/>
  <c r="I74" i="131"/>
  <c r="H82" i="131"/>
  <c r="H74" i="149"/>
  <c r="D82" i="149"/>
  <c r="D38" i="149"/>
  <c r="H30" i="149"/>
  <c r="N118" i="131" l="1"/>
  <c r="M126" i="131"/>
  <c r="M74" i="131"/>
  <c r="I82" i="131"/>
  <c r="M30" i="131"/>
  <c r="I38" i="131"/>
  <c r="I30" i="149"/>
  <c r="H38" i="149"/>
  <c r="I74" i="149"/>
  <c r="H82" i="149"/>
  <c r="R118" i="131" l="1"/>
  <c r="N126" i="131"/>
  <c r="M82" i="131"/>
  <c r="N74" i="131"/>
  <c r="M38" i="131"/>
  <c r="N30" i="131"/>
  <c r="M74" i="149"/>
  <c r="I82" i="149"/>
  <c r="M30" i="149"/>
  <c r="I38" i="149"/>
  <c r="R126" i="131" l="1"/>
  <c r="S118" i="131"/>
  <c r="R30" i="131"/>
  <c r="N38" i="131"/>
  <c r="N82" i="131"/>
  <c r="R74" i="131"/>
  <c r="M38" i="149"/>
  <c r="N30" i="149"/>
  <c r="M82" i="149"/>
  <c r="N74" i="149"/>
  <c r="W118" i="131" l="1"/>
  <c r="W126" i="131" s="1"/>
  <c r="S126" i="131"/>
  <c r="S74" i="131"/>
  <c r="R82" i="131"/>
  <c r="R38" i="131"/>
  <c r="S30" i="131"/>
  <c r="N82" i="149"/>
  <c r="R74" i="149"/>
  <c r="R30" i="149"/>
  <c r="N38" i="149"/>
  <c r="D132" i="149" l="1"/>
  <c r="H132" i="149" s="1"/>
  <c r="S38" i="131"/>
  <c r="W30" i="131"/>
  <c r="S82" i="131"/>
  <c r="W74" i="131"/>
  <c r="R82" i="149"/>
  <c r="S74" i="149"/>
  <c r="R38" i="149"/>
  <c r="S30" i="149"/>
  <c r="I132" i="149" l="1"/>
  <c r="H140" i="149"/>
  <c r="D140" i="149"/>
  <c r="D132" i="131"/>
  <c r="H132" i="131" s="1"/>
  <c r="W38" i="131"/>
  <c r="D44" i="131"/>
  <c r="W82" i="131"/>
  <c r="D88" i="131"/>
  <c r="S38" i="149"/>
  <c r="W30" i="149"/>
  <c r="W74" i="149"/>
  <c r="S82" i="149"/>
  <c r="M132" i="149" l="1"/>
  <c r="I140" i="149"/>
  <c r="I132" i="131"/>
  <c r="H140" i="131"/>
  <c r="D140" i="131"/>
  <c r="H88" i="131"/>
  <c r="D96" i="131"/>
  <c r="H44" i="131"/>
  <c r="D52" i="131"/>
  <c r="D88" i="149"/>
  <c r="W82" i="149"/>
  <c r="D44" i="149"/>
  <c r="W38" i="149"/>
  <c r="N132" i="149" l="1"/>
  <c r="M140" i="149"/>
  <c r="I140" i="131"/>
  <c r="M132" i="131"/>
  <c r="H52" i="131"/>
  <c r="I44" i="131"/>
  <c r="I88" i="131"/>
  <c r="H96" i="131"/>
  <c r="D52" i="149"/>
  <c r="H44" i="149"/>
  <c r="H88" i="149"/>
  <c r="D96" i="149"/>
  <c r="R132" i="149" l="1"/>
  <c r="N140" i="149"/>
  <c r="M140" i="131"/>
  <c r="N132" i="131"/>
  <c r="M88" i="131"/>
  <c r="I96" i="131"/>
  <c r="M44" i="131"/>
  <c r="I52" i="131"/>
  <c r="I88" i="149"/>
  <c r="H96" i="149"/>
  <c r="I44" i="149"/>
  <c r="H52" i="149"/>
  <c r="S132" i="149" l="1"/>
  <c r="R140" i="149"/>
  <c r="N140" i="131"/>
  <c r="R132" i="131"/>
  <c r="N44" i="131"/>
  <c r="M52" i="131"/>
  <c r="M96" i="131"/>
  <c r="N88" i="131"/>
  <c r="M44" i="149"/>
  <c r="I52" i="149"/>
  <c r="M88" i="149"/>
  <c r="I96" i="149"/>
  <c r="W132" i="149" l="1"/>
  <c r="W140" i="149" s="1"/>
  <c r="S140" i="149"/>
  <c r="S132" i="131"/>
  <c r="R140" i="131"/>
  <c r="N96" i="131"/>
  <c r="R88" i="131"/>
  <c r="R44" i="131"/>
  <c r="N52" i="131"/>
  <c r="M96" i="149"/>
  <c r="N88" i="149"/>
  <c r="M52" i="149"/>
  <c r="N44" i="149"/>
  <c r="W132" i="131" l="1"/>
  <c r="W140" i="131" s="1"/>
  <c r="S140" i="131"/>
  <c r="R52" i="131"/>
  <c r="S44" i="131"/>
  <c r="R96" i="131"/>
  <c r="S88" i="131"/>
  <c r="N52" i="149"/>
  <c r="R44" i="149"/>
  <c r="N96" i="149"/>
  <c r="R88" i="149"/>
  <c r="S52" i="131" l="1"/>
  <c r="W44" i="131"/>
  <c r="W52" i="131" s="1"/>
  <c r="W88" i="131"/>
  <c r="W96" i="131" s="1"/>
  <c r="S96" i="131"/>
  <c r="R96" i="149"/>
  <c r="S88" i="149"/>
  <c r="R52" i="149"/>
  <c r="S44" i="149"/>
  <c r="S52" i="149" l="1"/>
  <c r="W44" i="149"/>
  <c r="W52" i="149" s="1"/>
  <c r="S96" i="149"/>
  <c r="W88" i="149"/>
  <c r="W96" i="149" s="1"/>
  <c r="R50" i="160" l="1"/>
  <c r="U50" i="160"/>
  <c r="X50" i="160"/>
  <c r="AA50" i="160"/>
  <c r="R51" i="160"/>
  <c r="U51" i="160"/>
  <c r="X51" i="160"/>
  <c r="AA51" i="160"/>
  <c r="R52" i="160"/>
  <c r="U52" i="160"/>
  <c r="X52" i="160"/>
  <c r="AA52" i="160"/>
  <c r="R53" i="160"/>
  <c r="U53" i="160"/>
  <c r="X53" i="160"/>
  <c r="AA53" i="160"/>
  <c r="R54" i="160"/>
  <c r="U54" i="160"/>
  <c r="X54" i="160"/>
  <c r="AA54" i="160"/>
  <c r="R55" i="160"/>
  <c r="U55" i="160"/>
  <c r="X55" i="160"/>
  <c r="AA55" i="160"/>
  <c r="R56" i="160"/>
  <c r="U56" i="160"/>
  <c r="X56" i="160"/>
  <c r="AA56" i="160"/>
  <c r="R57" i="160"/>
  <c r="U57" i="160"/>
  <c r="X57" i="160"/>
  <c r="AA57" i="160"/>
  <c r="R59" i="160" l="1"/>
  <c r="AA59" i="160"/>
  <c r="X59" i="160"/>
  <c r="U59" i="160"/>
  <c r="J7" i="160" l="1"/>
  <c r="E8" i="176" s="1"/>
  <c r="J8" i="160"/>
  <c r="E9" i="176" s="1"/>
  <c r="J9" i="160"/>
  <c r="E10" i="176" s="1"/>
  <c r="J11" i="160"/>
  <c r="E12" i="176" s="1"/>
  <c r="J13" i="160"/>
  <c r="E14" i="176" s="1"/>
  <c r="J15" i="160"/>
  <c r="E16" i="176" s="1"/>
  <c r="J19" i="160"/>
  <c r="E20" i="176" s="1"/>
  <c r="J20" i="160"/>
  <c r="E21" i="176" s="1"/>
  <c r="J18" i="160"/>
  <c r="E19" i="176" s="1"/>
  <c r="J16" i="160"/>
  <c r="E17" i="176" s="1"/>
  <c r="J14" i="160"/>
  <c r="E15" i="176" s="1"/>
  <c r="J12" i="160"/>
  <c r="E13" i="176" s="1"/>
  <c r="J10" i="160"/>
  <c r="E11" i="176" s="1"/>
  <c r="J6" i="160"/>
  <c r="E7" i="176" s="1"/>
  <c r="J17" i="160" l="1"/>
  <c r="E18" i="176" s="1"/>
  <c r="J5" i="160"/>
  <c r="J22" i="160" l="1"/>
  <c r="E6" i="176"/>
  <c r="F16" i="124"/>
  <c r="E55" i="125" s="1"/>
  <c r="E16" i="124"/>
  <c r="D55" i="125" s="1"/>
  <c r="D16" i="124"/>
  <c r="C16" i="124"/>
  <c r="C55" i="125" s="1"/>
  <c r="N286" i="125"/>
  <c r="E74" i="125"/>
  <c r="E91" i="125" s="1"/>
  <c r="E114" i="125" s="1"/>
  <c r="E133" i="125" s="1"/>
  <c r="E156" i="125" s="1"/>
  <c r="E170" i="125" s="1"/>
  <c r="E188" i="125" s="1"/>
  <c r="D74" i="125"/>
  <c r="D91" i="125" s="1"/>
  <c r="D114" i="125" s="1"/>
  <c r="D133" i="125" s="1"/>
  <c r="D156" i="125" s="1"/>
  <c r="D170" i="125" s="1"/>
  <c r="D188" i="125" s="1"/>
  <c r="C74" i="125"/>
  <c r="C91" i="125" s="1"/>
  <c r="C114" i="125" s="1"/>
  <c r="C133" i="125" s="1"/>
  <c r="C156" i="125" s="1"/>
  <c r="C170" i="125" s="1"/>
  <c r="C188" i="125" s="1"/>
  <c r="B2" i="125"/>
  <c r="F381" i="125"/>
  <c r="O379" i="125"/>
  <c r="O381" i="125" s="1"/>
  <c r="M379" i="125"/>
  <c r="L379" i="125"/>
  <c r="K379" i="125"/>
  <c r="H379" i="125"/>
  <c r="G379" i="125"/>
  <c r="F379" i="125"/>
  <c r="I378" i="125"/>
  <c r="I377" i="125"/>
  <c r="I376" i="125"/>
  <c r="I375" i="125"/>
  <c r="I374" i="125"/>
  <c r="I373" i="125"/>
  <c r="C373" i="125"/>
  <c r="C365" i="125"/>
  <c r="O360" i="125"/>
  <c r="M360" i="125"/>
  <c r="L360" i="125"/>
  <c r="K360" i="125"/>
  <c r="H360" i="125"/>
  <c r="G360" i="125"/>
  <c r="I359" i="125"/>
  <c r="I358" i="125"/>
  <c r="I357" i="125"/>
  <c r="I356" i="125"/>
  <c r="I355" i="125"/>
  <c r="I354" i="125"/>
  <c r="O341" i="125"/>
  <c r="M341" i="125"/>
  <c r="L341" i="125"/>
  <c r="K341" i="125"/>
  <c r="H341" i="125"/>
  <c r="G341" i="125"/>
  <c r="I339" i="125"/>
  <c r="I338" i="125"/>
  <c r="I337" i="125"/>
  <c r="I336" i="125"/>
  <c r="I335" i="125"/>
  <c r="I334" i="125"/>
  <c r="F326" i="125"/>
  <c r="F341" i="125" s="1"/>
  <c r="O321" i="125"/>
  <c r="M321" i="125"/>
  <c r="L321" i="125"/>
  <c r="K321" i="125"/>
  <c r="H321" i="125"/>
  <c r="G321" i="125"/>
  <c r="F321" i="125"/>
  <c r="M301" i="125"/>
  <c r="L301" i="125"/>
  <c r="K301" i="125"/>
  <c r="I286" i="125"/>
  <c r="F286" i="125"/>
  <c r="F301" i="125" s="1"/>
  <c r="C286" i="125"/>
  <c r="C306" i="125" s="1"/>
  <c r="C326" i="125" s="1"/>
  <c r="C346" i="125" s="1"/>
  <c r="M282" i="125"/>
  <c r="L282" i="125"/>
  <c r="M261" i="125"/>
  <c r="L261" i="125"/>
  <c r="I261" i="125"/>
  <c r="I381" i="125" s="1"/>
  <c r="M183" i="125"/>
  <c r="L183" i="125"/>
  <c r="H183" i="125"/>
  <c r="G183" i="125"/>
  <c r="I170" i="125"/>
  <c r="M165" i="125"/>
  <c r="L165" i="125"/>
  <c r="H165" i="125"/>
  <c r="G165" i="125"/>
  <c r="I156" i="125"/>
  <c r="M151" i="125"/>
  <c r="L151" i="125"/>
  <c r="H151" i="125"/>
  <c r="G151" i="125"/>
  <c r="I133" i="125"/>
  <c r="M128" i="125"/>
  <c r="L128" i="125"/>
  <c r="H128" i="125"/>
  <c r="G128" i="125"/>
  <c r="I114" i="125"/>
  <c r="M109" i="125"/>
  <c r="L109" i="125"/>
  <c r="I91" i="125"/>
  <c r="M86" i="125"/>
  <c r="L86" i="125"/>
  <c r="I84" i="125"/>
  <c r="I74" i="125"/>
  <c r="M69" i="125"/>
  <c r="L69" i="125"/>
  <c r="I69" i="125"/>
  <c r="I203" i="125" s="1"/>
  <c r="B3" i="124"/>
  <c r="AQ56" i="124"/>
  <c r="Q56" i="124"/>
  <c r="P56" i="124"/>
  <c r="O56" i="124"/>
  <c r="AQ30" i="124"/>
  <c r="P30" i="124"/>
  <c r="O30" i="124"/>
  <c r="AX23" i="124"/>
  <c r="K177" i="125" s="1"/>
  <c r="N177" i="125" s="1"/>
  <c r="B58" i="123"/>
  <c r="B75" i="123" s="1"/>
  <c r="B91" i="123" s="1"/>
  <c r="B107" i="123" s="1"/>
  <c r="B57" i="123"/>
  <c r="B74" i="123" s="1"/>
  <c r="B90" i="123" s="1"/>
  <c r="B106" i="123" s="1"/>
  <c r="B56" i="123"/>
  <c r="B73" i="123" s="1"/>
  <c r="B89" i="123" s="1"/>
  <c r="B105" i="123" s="1"/>
  <c r="B55" i="123"/>
  <c r="C24" i="124" s="1"/>
  <c r="C65" i="125" s="1"/>
  <c r="C81" i="125" s="1"/>
  <c r="C100" i="125" s="1"/>
  <c r="C123" i="125" s="1"/>
  <c r="C146" i="125" s="1"/>
  <c r="C160" i="125" s="1"/>
  <c r="C178" i="125" s="1"/>
  <c r="C196" i="125" s="1"/>
  <c r="B54" i="123"/>
  <c r="B71" i="123" s="1"/>
  <c r="B87" i="123" s="1"/>
  <c r="B103" i="123" s="1"/>
  <c r="O71" i="160"/>
  <c r="L71" i="160"/>
  <c r="I71" i="160"/>
  <c r="H71" i="160"/>
  <c r="O70" i="160"/>
  <c r="L70" i="160"/>
  <c r="I70" i="160"/>
  <c r="H70" i="160"/>
  <c r="O69" i="160"/>
  <c r="L69" i="160"/>
  <c r="I69" i="160"/>
  <c r="H69" i="160"/>
  <c r="O68" i="160"/>
  <c r="L68" i="160"/>
  <c r="I68" i="160"/>
  <c r="H68" i="160"/>
  <c r="O67" i="160"/>
  <c r="L67" i="160"/>
  <c r="I67" i="160"/>
  <c r="H67" i="160"/>
  <c r="O66" i="160"/>
  <c r="L66" i="160"/>
  <c r="I66" i="160"/>
  <c r="H66" i="160"/>
  <c r="O65" i="160"/>
  <c r="L65" i="160"/>
  <c r="I65" i="160"/>
  <c r="H65" i="160"/>
  <c r="D65" i="160"/>
  <c r="D66" i="160" s="1"/>
  <c r="D67" i="160" s="1"/>
  <c r="D68" i="160" s="1"/>
  <c r="D69" i="160" s="1"/>
  <c r="D70" i="160" s="1"/>
  <c r="D71" i="160" s="1"/>
  <c r="O64" i="160"/>
  <c r="L64" i="160"/>
  <c r="I64" i="160"/>
  <c r="H64" i="160"/>
  <c r="O57" i="160"/>
  <c r="L57" i="160"/>
  <c r="I57" i="160"/>
  <c r="H57" i="160"/>
  <c r="O56" i="160"/>
  <c r="L56" i="160"/>
  <c r="I56" i="160"/>
  <c r="H56" i="160"/>
  <c r="O55" i="160"/>
  <c r="L55" i="160"/>
  <c r="I55" i="160"/>
  <c r="H55" i="160"/>
  <c r="O54" i="160"/>
  <c r="L54" i="160"/>
  <c r="I54" i="160"/>
  <c r="H54" i="160"/>
  <c r="O53" i="160"/>
  <c r="L53" i="160"/>
  <c r="I53" i="160"/>
  <c r="H53" i="160"/>
  <c r="O52" i="160"/>
  <c r="L52" i="160"/>
  <c r="I52" i="160"/>
  <c r="H52" i="160"/>
  <c r="O51" i="160"/>
  <c r="L51" i="160"/>
  <c r="I51" i="160"/>
  <c r="H51" i="160"/>
  <c r="D51" i="160"/>
  <c r="D52" i="160" s="1"/>
  <c r="D53" i="160" s="1"/>
  <c r="D54" i="160" s="1"/>
  <c r="D55" i="160" s="1"/>
  <c r="D56" i="160" s="1"/>
  <c r="D57" i="160" s="1"/>
  <c r="O50" i="160"/>
  <c r="L50" i="160"/>
  <c r="I50" i="160"/>
  <c r="H50" i="160"/>
  <c r="O44" i="160"/>
  <c r="L44" i="160"/>
  <c r="I44" i="160"/>
  <c r="G42" i="160"/>
  <c r="G41" i="160"/>
  <c r="G40" i="160"/>
  <c r="G39" i="160"/>
  <c r="G38" i="160"/>
  <c r="G37" i="160"/>
  <c r="G36" i="160"/>
  <c r="G35" i="160"/>
  <c r="G34" i="160"/>
  <c r="G33" i="160"/>
  <c r="G32" i="160"/>
  <c r="G31" i="160"/>
  <c r="G30" i="160"/>
  <c r="G29" i="160"/>
  <c r="G28" i="160"/>
  <c r="D28" i="160"/>
  <c r="D29" i="160" s="1"/>
  <c r="D30" i="160" s="1"/>
  <c r="D31" i="160" s="1"/>
  <c r="D32" i="160" s="1"/>
  <c r="D33" i="160" s="1"/>
  <c r="D34" i="160" s="1"/>
  <c r="D35" i="160" s="1"/>
  <c r="D36" i="160" s="1"/>
  <c r="D37" i="160" s="1"/>
  <c r="D38" i="160" s="1"/>
  <c r="D39" i="160" s="1"/>
  <c r="D40" i="160" s="1"/>
  <c r="D41" i="160" s="1"/>
  <c r="D42" i="160" s="1"/>
  <c r="G27" i="160"/>
  <c r="AA22" i="160"/>
  <c r="AA60" i="160" s="1"/>
  <c r="X22" i="160"/>
  <c r="U22" i="160"/>
  <c r="R22" i="160"/>
  <c r="R60" i="160" s="1"/>
  <c r="O22" i="160"/>
  <c r="L22" i="160"/>
  <c r="I22" i="160"/>
  <c r="AB20" i="160"/>
  <c r="AB50" i="160" s="1"/>
  <c r="O30" i="115" s="1"/>
  <c r="Y20" i="160"/>
  <c r="V20" i="160"/>
  <c r="S20" i="160"/>
  <c r="P20" i="160"/>
  <c r="M20" i="160"/>
  <c r="J50" i="160"/>
  <c r="E16" i="115" s="1"/>
  <c r="H20" i="160"/>
  <c r="AB19" i="160"/>
  <c r="Y19" i="160"/>
  <c r="E129" i="176" s="1"/>
  <c r="V19" i="160"/>
  <c r="E107" i="176" s="1"/>
  <c r="S19" i="160"/>
  <c r="E85" i="176" s="1"/>
  <c r="P19" i="160"/>
  <c r="M19" i="160"/>
  <c r="J57" i="160"/>
  <c r="E23" i="115" s="1"/>
  <c r="H19" i="160"/>
  <c r="AB18" i="160"/>
  <c r="Y18" i="160"/>
  <c r="V18" i="160"/>
  <c r="S18" i="160"/>
  <c r="P18" i="160"/>
  <c r="M18" i="160"/>
  <c r="H18" i="160"/>
  <c r="AB17" i="160"/>
  <c r="Y17" i="160"/>
  <c r="V17" i="160"/>
  <c r="S17" i="160"/>
  <c r="P17" i="160"/>
  <c r="E61" i="176" s="1"/>
  <c r="M17" i="160"/>
  <c r="E39" i="176" s="1"/>
  <c r="N56" i="123"/>
  <c r="H17" i="160"/>
  <c r="AB16" i="160"/>
  <c r="Y16" i="160"/>
  <c r="E126" i="176" s="1"/>
  <c r="V16" i="160"/>
  <c r="E104" i="176" s="1"/>
  <c r="S16" i="160"/>
  <c r="E82" i="176" s="1"/>
  <c r="P16" i="160"/>
  <c r="M16" i="160"/>
  <c r="E38" i="176" s="1"/>
  <c r="H16" i="160"/>
  <c r="AB15" i="160"/>
  <c r="Y15" i="160"/>
  <c r="E125" i="176" s="1"/>
  <c r="V15" i="160"/>
  <c r="E103" i="176" s="1"/>
  <c r="S15" i="160"/>
  <c r="E81" i="176" s="1"/>
  <c r="P15" i="160"/>
  <c r="E59" i="176" s="1"/>
  <c r="M15" i="160"/>
  <c r="E37" i="176" s="1"/>
  <c r="H15" i="160"/>
  <c r="AB14" i="160"/>
  <c r="AB55" i="160" s="1"/>
  <c r="O35" i="115" s="1"/>
  <c r="Y14" i="160"/>
  <c r="E124" i="176" s="1"/>
  <c r="V14" i="160"/>
  <c r="E102" i="176" s="1"/>
  <c r="S14" i="160"/>
  <c r="E80" i="176" s="1"/>
  <c r="P14" i="160"/>
  <c r="M14" i="160"/>
  <c r="H14" i="160"/>
  <c r="AB13" i="160"/>
  <c r="Y13" i="160"/>
  <c r="E123" i="176" s="1"/>
  <c r="V13" i="160"/>
  <c r="E101" i="176" s="1"/>
  <c r="S13" i="160"/>
  <c r="E79" i="176" s="1"/>
  <c r="P13" i="160"/>
  <c r="E57" i="176" s="1"/>
  <c r="M13" i="160"/>
  <c r="E35" i="176" s="1"/>
  <c r="H13" i="160"/>
  <c r="AB12" i="160"/>
  <c r="AB53" i="160" s="1"/>
  <c r="O33" i="115" s="1"/>
  <c r="Y12" i="160"/>
  <c r="V12" i="160"/>
  <c r="S12" i="160"/>
  <c r="P12" i="160"/>
  <c r="M12" i="160"/>
  <c r="J53" i="160"/>
  <c r="E19" i="115" s="1"/>
  <c r="H12" i="160"/>
  <c r="AB11" i="160"/>
  <c r="Y11" i="160"/>
  <c r="E121" i="176" s="1"/>
  <c r="V11" i="160"/>
  <c r="E99" i="176" s="1"/>
  <c r="S11" i="160"/>
  <c r="E77" i="176" s="1"/>
  <c r="P11" i="160"/>
  <c r="E55" i="176" s="1"/>
  <c r="M11" i="160"/>
  <c r="E33" i="176" s="1"/>
  <c r="H11" i="160"/>
  <c r="AB10" i="160"/>
  <c r="Y10" i="160"/>
  <c r="E120" i="176" s="1"/>
  <c r="V10" i="160"/>
  <c r="E98" i="176" s="1"/>
  <c r="S10" i="160"/>
  <c r="E76" i="176" s="1"/>
  <c r="P10" i="160"/>
  <c r="E54" i="176" s="1"/>
  <c r="M10" i="160"/>
  <c r="E32" i="176" s="1"/>
  <c r="H10" i="160"/>
  <c r="AB9" i="160"/>
  <c r="Y9" i="160"/>
  <c r="E119" i="176" s="1"/>
  <c r="V9" i="160"/>
  <c r="E97" i="176" s="1"/>
  <c r="S9" i="160"/>
  <c r="E75" i="176" s="1"/>
  <c r="P9" i="160"/>
  <c r="E53" i="176" s="1"/>
  <c r="M9" i="160"/>
  <c r="E31" i="176" s="1"/>
  <c r="H9" i="160"/>
  <c r="AB8" i="160"/>
  <c r="Y8" i="160"/>
  <c r="E118" i="176" s="1"/>
  <c r="V8" i="160"/>
  <c r="E96" i="176" s="1"/>
  <c r="S8" i="160"/>
  <c r="E74" i="176" s="1"/>
  <c r="P8" i="160"/>
  <c r="E52" i="176" s="1"/>
  <c r="M8" i="160"/>
  <c r="E30" i="176" s="1"/>
  <c r="H8" i="160"/>
  <c r="AB7" i="160"/>
  <c r="Y7" i="160"/>
  <c r="E117" i="176" s="1"/>
  <c r="V7" i="160"/>
  <c r="E95" i="176" s="1"/>
  <c r="S7" i="160"/>
  <c r="E73" i="176" s="1"/>
  <c r="P7" i="160"/>
  <c r="E51" i="176" s="1"/>
  <c r="M7" i="160"/>
  <c r="E29" i="176" s="1"/>
  <c r="H7" i="160"/>
  <c r="AB6" i="160"/>
  <c r="Y6" i="160"/>
  <c r="E116" i="176" s="1"/>
  <c r="V6" i="160"/>
  <c r="E94" i="176" s="1"/>
  <c r="S6" i="160"/>
  <c r="E72" i="176" s="1"/>
  <c r="P6" i="160"/>
  <c r="E50" i="176" s="1"/>
  <c r="M6" i="160"/>
  <c r="E28" i="176" s="1"/>
  <c r="H6" i="160"/>
  <c r="D6" i="160"/>
  <c r="D7" i="160" s="1"/>
  <c r="D8" i="160" s="1"/>
  <c r="D9" i="160" s="1"/>
  <c r="D10" i="160" s="1"/>
  <c r="D11" i="160" s="1"/>
  <c r="D12" i="160" s="1"/>
  <c r="D13" i="160" s="1"/>
  <c r="D14" i="160" s="1"/>
  <c r="D15" i="160" s="1"/>
  <c r="D16" i="160" s="1"/>
  <c r="D17" i="160" s="1"/>
  <c r="D18" i="160" s="1"/>
  <c r="D19" i="160" s="1"/>
  <c r="D20" i="160" s="1"/>
  <c r="AB5" i="160"/>
  <c r="AB51" i="160" s="1"/>
  <c r="O31" i="115" s="1"/>
  <c r="Y5" i="160"/>
  <c r="V5" i="160"/>
  <c r="S5" i="160"/>
  <c r="P5" i="160"/>
  <c r="M5" i="160"/>
  <c r="J51" i="160"/>
  <c r="E17" i="115" s="1"/>
  <c r="H5" i="160"/>
  <c r="B2" i="123"/>
  <c r="M521" i="123"/>
  <c r="B382" i="123"/>
  <c r="B399" i="123" s="1"/>
  <c r="B416" i="123" s="1"/>
  <c r="B432" i="123" s="1"/>
  <c r="B443" i="123" s="1"/>
  <c r="B452" i="123" s="1"/>
  <c r="B381" i="123"/>
  <c r="B398" i="123" s="1"/>
  <c r="B415" i="123" s="1"/>
  <c r="B431" i="123" s="1"/>
  <c r="B442" i="123" s="1"/>
  <c r="B451" i="123" s="1"/>
  <c r="B380" i="123"/>
  <c r="B397" i="123" s="1"/>
  <c r="B414" i="123" s="1"/>
  <c r="B430" i="123" s="1"/>
  <c r="B441" i="123" s="1"/>
  <c r="B450" i="123" s="1"/>
  <c r="B464" i="123" s="1"/>
  <c r="B477" i="123" s="1"/>
  <c r="B490" i="123" s="1"/>
  <c r="B503" i="123" s="1"/>
  <c r="B516" i="123" s="1"/>
  <c r="B379" i="123"/>
  <c r="B396" i="123" s="1"/>
  <c r="B413" i="123" s="1"/>
  <c r="B429" i="123" s="1"/>
  <c r="B440" i="123" s="1"/>
  <c r="B449" i="123" s="1"/>
  <c r="B463" i="123" s="1"/>
  <c r="B476" i="123" s="1"/>
  <c r="B489" i="123" s="1"/>
  <c r="B502" i="123" s="1"/>
  <c r="B515" i="123" s="1"/>
  <c r="B378" i="123"/>
  <c r="B395" i="123" s="1"/>
  <c r="B412" i="123" s="1"/>
  <c r="B428" i="123" s="1"/>
  <c r="B439" i="123" s="1"/>
  <c r="B448" i="123" s="1"/>
  <c r="B462" i="123" s="1"/>
  <c r="B475" i="123" s="1"/>
  <c r="B377" i="123"/>
  <c r="B394" i="123" s="1"/>
  <c r="H250" i="123"/>
  <c r="S96" i="123"/>
  <c r="S80" i="123"/>
  <c r="S63" i="123"/>
  <c r="S47" i="123"/>
  <c r="M47" i="123"/>
  <c r="G16" i="124" s="1"/>
  <c r="F55" i="125" s="1"/>
  <c r="F74" i="125" s="1"/>
  <c r="F86" i="125" s="1"/>
  <c r="E49" i="176" l="1"/>
  <c r="B465" i="123"/>
  <c r="B478" i="123" s="1"/>
  <c r="B491" i="123" s="1"/>
  <c r="B504" i="123" s="1"/>
  <c r="B517" i="123" s="1"/>
  <c r="B488" i="123"/>
  <c r="B501" i="123" s="1"/>
  <c r="B514" i="123" s="1"/>
  <c r="U60" i="160"/>
  <c r="X60" i="160"/>
  <c r="N135" i="123"/>
  <c r="W26" i="124" s="1"/>
  <c r="J162" i="125" s="1"/>
  <c r="E128" i="176"/>
  <c r="M50" i="160"/>
  <c r="J16" i="115" s="1"/>
  <c r="E42" i="176"/>
  <c r="P57" i="160"/>
  <c r="O23" i="115" s="1"/>
  <c r="E63" i="176"/>
  <c r="P56" i="160"/>
  <c r="O22" i="115" s="1"/>
  <c r="E60" i="176"/>
  <c r="M53" i="160"/>
  <c r="J19" i="115" s="1"/>
  <c r="E34" i="176"/>
  <c r="P50" i="160"/>
  <c r="O16" i="115" s="1"/>
  <c r="E64" i="176"/>
  <c r="N134" i="123"/>
  <c r="W25" i="124" s="1"/>
  <c r="E127" i="176"/>
  <c r="Y51" i="160"/>
  <c r="J31" i="115" s="1"/>
  <c r="E115" i="176"/>
  <c r="P53" i="160"/>
  <c r="O19" i="115" s="1"/>
  <c r="E56" i="176"/>
  <c r="N74" i="123"/>
  <c r="S26" i="124" s="1"/>
  <c r="J83" i="125" s="1"/>
  <c r="E40" i="176"/>
  <c r="M51" i="160"/>
  <c r="J17" i="115" s="1"/>
  <c r="E27" i="176"/>
  <c r="M55" i="160"/>
  <c r="J21" i="115" s="1"/>
  <c r="E36" i="176"/>
  <c r="E23" i="176"/>
  <c r="Y53" i="160"/>
  <c r="J33" i="115" s="1"/>
  <c r="E122" i="176"/>
  <c r="N90" i="123"/>
  <c r="T26" i="124" s="1"/>
  <c r="AT26" i="124" s="1"/>
  <c r="K102" i="125" s="1"/>
  <c r="N102" i="125" s="1"/>
  <c r="E62" i="176"/>
  <c r="P55" i="160"/>
  <c r="O21" i="115" s="1"/>
  <c r="E58" i="176"/>
  <c r="M57" i="160"/>
  <c r="J23" i="115" s="1"/>
  <c r="E41" i="176"/>
  <c r="Y50" i="160"/>
  <c r="J30" i="115" s="1"/>
  <c r="E130" i="176"/>
  <c r="AB57" i="160"/>
  <c r="O37" i="115" s="1"/>
  <c r="E151" i="176"/>
  <c r="N149" i="123"/>
  <c r="X27" i="124" s="1"/>
  <c r="E150" i="176"/>
  <c r="N148" i="123"/>
  <c r="X26" i="124" s="1"/>
  <c r="E149" i="176"/>
  <c r="N147" i="123"/>
  <c r="X25" i="124" s="1"/>
  <c r="AB56" i="160"/>
  <c r="O36" i="115" s="1"/>
  <c r="E148" i="176"/>
  <c r="N146" i="123"/>
  <c r="V50" i="160"/>
  <c r="E30" i="115" s="1"/>
  <c r="E108" i="176"/>
  <c r="V51" i="160"/>
  <c r="E31" i="115" s="1"/>
  <c r="E93" i="176"/>
  <c r="V53" i="160"/>
  <c r="E33" i="115" s="1"/>
  <c r="E100" i="176"/>
  <c r="N121" i="123"/>
  <c r="V25" i="124" s="1"/>
  <c r="J147" i="125" s="1"/>
  <c r="E105" i="176"/>
  <c r="N122" i="123"/>
  <c r="V26" i="124" s="1"/>
  <c r="J148" i="125" s="1"/>
  <c r="E106" i="176"/>
  <c r="N106" i="123"/>
  <c r="U26" i="124" s="1"/>
  <c r="E84" i="176"/>
  <c r="S50" i="160"/>
  <c r="T16" i="115" s="1"/>
  <c r="E86" i="176"/>
  <c r="N105" i="123"/>
  <c r="U25" i="124" s="1"/>
  <c r="J124" i="125" s="1"/>
  <c r="E83" i="176"/>
  <c r="S53" i="160"/>
  <c r="T19" i="115" s="1"/>
  <c r="E78" i="176"/>
  <c r="S51" i="160"/>
  <c r="T17" i="115" s="1"/>
  <c r="E71" i="176"/>
  <c r="S56" i="160"/>
  <c r="T22" i="115" s="1"/>
  <c r="N104" i="123"/>
  <c r="U24" i="124" s="1"/>
  <c r="S57" i="160"/>
  <c r="T23" i="115" s="1"/>
  <c r="N107" i="123"/>
  <c r="U27" i="124" s="1"/>
  <c r="S55" i="160"/>
  <c r="T21" i="115" s="1"/>
  <c r="N103" i="123"/>
  <c r="Y57" i="160"/>
  <c r="J37" i="115" s="1"/>
  <c r="N136" i="123"/>
  <c r="W27" i="124" s="1"/>
  <c r="Y56" i="160"/>
  <c r="J36" i="115" s="1"/>
  <c r="N133" i="123"/>
  <c r="W24" i="124" s="1"/>
  <c r="Y55" i="160"/>
  <c r="J35" i="115" s="1"/>
  <c r="N132" i="123"/>
  <c r="V56" i="160"/>
  <c r="E36" i="115" s="1"/>
  <c r="N120" i="123"/>
  <c r="V24" i="124" s="1"/>
  <c r="V57" i="160"/>
  <c r="E37" i="115" s="1"/>
  <c r="N123" i="123"/>
  <c r="V27" i="124" s="1"/>
  <c r="V55" i="160"/>
  <c r="E35" i="115" s="1"/>
  <c r="N119" i="123"/>
  <c r="L203" i="125"/>
  <c r="M203" i="125"/>
  <c r="I379" i="125"/>
  <c r="J286" i="125"/>
  <c r="I341" i="125"/>
  <c r="I360" i="125"/>
  <c r="Q30" i="124"/>
  <c r="B411" i="123"/>
  <c r="B427" i="123" s="1"/>
  <c r="B438" i="123" s="1"/>
  <c r="B447" i="123" s="1"/>
  <c r="B461" i="123" s="1"/>
  <c r="B474" i="123" s="1"/>
  <c r="B487" i="123" s="1"/>
  <c r="B500" i="123" s="1"/>
  <c r="B513" i="123" s="1"/>
  <c r="S217" i="123"/>
  <c r="M217" i="123"/>
  <c r="B119" i="123"/>
  <c r="B132" i="123"/>
  <c r="B145" i="123" s="1"/>
  <c r="B158" i="123" s="1"/>
  <c r="B171" i="123" s="1"/>
  <c r="B184" i="123" s="1"/>
  <c r="B197" i="123" s="1"/>
  <c r="B210" i="123" s="1"/>
  <c r="B123" i="123"/>
  <c r="B136" i="123"/>
  <c r="B149" i="123" s="1"/>
  <c r="B162" i="123" s="1"/>
  <c r="B175" i="123" s="1"/>
  <c r="B188" i="123" s="1"/>
  <c r="B201" i="123" s="1"/>
  <c r="B214" i="123" s="1"/>
  <c r="B122" i="123"/>
  <c r="B135" i="123"/>
  <c r="B148" i="123" s="1"/>
  <c r="B187" i="123" s="1"/>
  <c r="B200" i="123" s="1"/>
  <c r="B213" i="123" s="1"/>
  <c r="B121" i="123"/>
  <c r="B134" i="123"/>
  <c r="B147" i="123" s="1"/>
  <c r="B160" i="123" s="1"/>
  <c r="B173" i="123" s="1"/>
  <c r="B186" i="123" s="1"/>
  <c r="B199" i="123" s="1"/>
  <c r="B212" i="123" s="1"/>
  <c r="C51" i="124"/>
  <c r="C257" i="125" s="1"/>
  <c r="C276" i="125" s="1"/>
  <c r="C296" i="125" s="1"/>
  <c r="C316" i="125" s="1"/>
  <c r="C336" i="125" s="1"/>
  <c r="C356" i="125" s="1"/>
  <c r="C376" i="125" s="1"/>
  <c r="C52" i="124"/>
  <c r="C258" i="125" s="1"/>
  <c r="C277" i="125" s="1"/>
  <c r="C297" i="125" s="1"/>
  <c r="C317" i="125" s="1"/>
  <c r="C337" i="125" s="1"/>
  <c r="C357" i="125" s="1"/>
  <c r="C377" i="125" s="1"/>
  <c r="C53" i="124"/>
  <c r="C259" i="125" s="1"/>
  <c r="C278" i="125" s="1"/>
  <c r="C298" i="125" s="1"/>
  <c r="C318" i="125" s="1"/>
  <c r="C338" i="125" s="1"/>
  <c r="C358" i="125" s="1"/>
  <c r="C378" i="125" s="1"/>
  <c r="C49" i="124"/>
  <c r="C255" i="125" s="1"/>
  <c r="C274" i="125" s="1"/>
  <c r="C294" i="125" s="1"/>
  <c r="C314" i="125" s="1"/>
  <c r="C334" i="125" s="1"/>
  <c r="C354" i="125" s="1"/>
  <c r="C374" i="125" s="1"/>
  <c r="C50" i="124"/>
  <c r="C256" i="125" s="1"/>
  <c r="C275" i="125" s="1"/>
  <c r="C295" i="125" s="1"/>
  <c r="C315" i="125" s="1"/>
  <c r="C335" i="125" s="1"/>
  <c r="C355" i="125" s="1"/>
  <c r="C375" i="125" s="1"/>
  <c r="C54" i="124"/>
  <c r="C260" i="125" s="1"/>
  <c r="C279" i="125" s="1"/>
  <c r="C299" i="125" s="1"/>
  <c r="C319" i="125" s="1"/>
  <c r="C339" i="125" s="1"/>
  <c r="C359" i="125" s="1"/>
  <c r="H16" i="115"/>
  <c r="H23" i="115"/>
  <c r="I23" i="115" s="1"/>
  <c r="H17" i="115"/>
  <c r="I17" i="115" s="1"/>
  <c r="H19" i="115"/>
  <c r="I19" i="115" s="1"/>
  <c r="M27" i="160"/>
  <c r="M65" i="160" s="1"/>
  <c r="J61" i="115" s="1"/>
  <c r="Y27" i="160"/>
  <c r="Y65" i="160" s="1"/>
  <c r="J75" i="115" s="1"/>
  <c r="AB27" i="160"/>
  <c r="AB65" i="160" s="1"/>
  <c r="V27" i="160"/>
  <c r="V65" i="160" s="1"/>
  <c r="E75" i="115" s="1"/>
  <c r="S27" i="160"/>
  <c r="S65" i="160" s="1"/>
  <c r="T61" i="115" s="1"/>
  <c r="Y38" i="160"/>
  <c r="Y70" i="160" s="1"/>
  <c r="J80" i="115" s="1"/>
  <c r="AB38" i="160"/>
  <c r="AB70" i="160" s="1"/>
  <c r="O80" i="115" s="1"/>
  <c r="V38" i="160"/>
  <c r="V70" i="160" s="1"/>
  <c r="E80" i="115" s="1"/>
  <c r="S38" i="160"/>
  <c r="S70" i="160" s="1"/>
  <c r="T66" i="115" s="1"/>
  <c r="P35" i="160"/>
  <c r="Y35" i="160"/>
  <c r="AB35" i="160"/>
  <c r="V35" i="160"/>
  <c r="S35" i="160"/>
  <c r="M28" i="160"/>
  <c r="AB28" i="160"/>
  <c r="Y28" i="160"/>
  <c r="V28" i="160"/>
  <c r="S28" i="160"/>
  <c r="P40" i="160"/>
  <c r="Y40" i="160"/>
  <c r="AB40" i="160"/>
  <c r="V40" i="160"/>
  <c r="S40" i="160"/>
  <c r="Y33" i="160"/>
  <c r="AB33" i="160"/>
  <c r="V33" i="160"/>
  <c r="S33" i="160"/>
  <c r="P37" i="160"/>
  <c r="AB37" i="160"/>
  <c r="Y37" i="160"/>
  <c r="V37" i="160"/>
  <c r="S37" i="160"/>
  <c r="AB29" i="160"/>
  <c r="Y29" i="160"/>
  <c r="V29" i="160"/>
  <c r="S29" i="160"/>
  <c r="P41" i="160"/>
  <c r="P71" i="160" s="1"/>
  <c r="O67" i="115" s="1"/>
  <c r="AB41" i="160"/>
  <c r="AB71" i="160" s="1"/>
  <c r="O81" i="115" s="1"/>
  <c r="O125" i="115" s="1"/>
  <c r="Y41" i="160"/>
  <c r="Y71" i="160" s="1"/>
  <c r="J81" i="115" s="1"/>
  <c r="V41" i="160"/>
  <c r="V71" i="160" s="1"/>
  <c r="E81" i="115" s="1"/>
  <c r="S41" i="160"/>
  <c r="S71" i="160" s="1"/>
  <c r="T67" i="115" s="1"/>
  <c r="M36" i="160"/>
  <c r="M69" i="160" s="1"/>
  <c r="J65" i="115" s="1"/>
  <c r="Y36" i="160"/>
  <c r="Y69" i="160" s="1"/>
  <c r="J79" i="115" s="1"/>
  <c r="AB36" i="160"/>
  <c r="AB69" i="160" s="1"/>
  <c r="O79" i="115" s="1"/>
  <c r="O123" i="115" s="1"/>
  <c r="V36" i="160"/>
  <c r="V69" i="160" s="1"/>
  <c r="E79" i="115" s="1"/>
  <c r="S36" i="160"/>
  <c r="S69" i="160" s="1"/>
  <c r="T65" i="115" s="1"/>
  <c r="M39" i="160"/>
  <c r="Y39" i="160"/>
  <c r="AB39" i="160"/>
  <c r="V39" i="160"/>
  <c r="S39" i="160"/>
  <c r="M30" i="160"/>
  <c r="V30" i="160"/>
  <c r="Y30" i="160"/>
  <c r="AB30" i="160"/>
  <c r="S30" i="160"/>
  <c r="M42" i="160"/>
  <c r="M64" i="160" s="1"/>
  <c r="J60" i="115" s="1"/>
  <c r="Y42" i="160"/>
  <c r="Y64" i="160" s="1"/>
  <c r="J74" i="115" s="1"/>
  <c r="AB42" i="160"/>
  <c r="AB64" i="160" s="1"/>
  <c r="O74" i="115" s="1"/>
  <c r="V42" i="160"/>
  <c r="V64" i="160" s="1"/>
  <c r="S42" i="160"/>
  <c r="S64" i="160" s="1"/>
  <c r="Y31" i="160"/>
  <c r="AB31" i="160"/>
  <c r="V31" i="160"/>
  <c r="S31" i="160"/>
  <c r="M34" i="160"/>
  <c r="M67" i="160" s="1"/>
  <c r="J63" i="115" s="1"/>
  <c r="Y34" i="160"/>
  <c r="Y67" i="160" s="1"/>
  <c r="J77" i="115" s="1"/>
  <c r="AB34" i="160"/>
  <c r="AB67" i="160" s="1"/>
  <c r="O77" i="115" s="1"/>
  <c r="V34" i="160"/>
  <c r="V67" i="160" s="1"/>
  <c r="E77" i="115" s="1"/>
  <c r="S34" i="160"/>
  <c r="S67" i="160" s="1"/>
  <c r="T63" i="115" s="1"/>
  <c r="M32" i="160"/>
  <c r="AB32" i="160"/>
  <c r="Y32" i="160"/>
  <c r="V32" i="160"/>
  <c r="S32" i="160"/>
  <c r="Y52" i="160"/>
  <c r="J32" i="115" s="1"/>
  <c r="S54" i="160"/>
  <c r="T20" i="115" s="1"/>
  <c r="Y54" i="160"/>
  <c r="J34" i="115" s="1"/>
  <c r="AB54" i="160"/>
  <c r="O34" i="115" s="1"/>
  <c r="AB52" i="160"/>
  <c r="S52" i="160"/>
  <c r="V54" i="160"/>
  <c r="E34" i="115" s="1"/>
  <c r="V52" i="160"/>
  <c r="E32" i="115" s="1"/>
  <c r="AC12" i="160"/>
  <c r="AC53" i="160" s="1"/>
  <c r="O33" i="116" s="1"/>
  <c r="K12" i="160"/>
  <c r="K15" i="160"/>
  <c r="F16" i="176" s="1"/>
  <c r="D16" i="176" s="1"/>
  <c r="N9" i="160"/>
  <c r="F31" i="176" s="1"/>
  <c r="D31" i="176" s="1"/>
  <c r="K9" i="160"/>
  <c r="F10" i="176" s="1"/>
  <c r="D10" i="176" s="1"/>
  <c r="AC14" i="160"/>
  <c r="AC55" i="160" s="1"/>
  <c r="O35" i="116" s="1"/>
  <c r="K14" i="160"/>
  <c r="F15" i="176" s="1"/>
  <c r="D15" i="176" s="1"/>
  <c r="H15" i="176" s="1"/>
  <c r="K19" i="160"/>
  <c r="F20" i="176" s="1"/>
  <c r="D20" i="176" s="1"/>
  <c r="H20" i="176" s="1"/>
  <c r="K20" i="176" s="1"/>
  <c r="Q7" i="160"/>
  <c r="F51" i="176" s="1"/>
  <c r="D51" i="176" s="1"/>
  <c r="K7" i="160"/>
  <c r="F8" i="176" s="1"/>
  <c r="D8" i="176" s="1"/>
  <c r="Q13" i="160"/>
  <c r="F57" i="176" s="1"/>
  <c r="D57" i="176" s="1"/>
  <c r="K13" i="160"/>
  <c r="F14" i="176" s="1"/>
  <c r="D14" i="176" s="1"/>
  <c r="T10" i="160"/>
  <c r="F76" i="176" s="1"/>
  <c r="D76" i="176" s="1"/>
  <c r="K10" i="160"/>
  <c r="F11" i="176" s="1"/>
  <c r="D11" i="176" s="1"/>
  <c r="Z16" i="160"/>
  <c r="F126" i="176" s="1"/>
  <c r="D126" i="176" s="1"/>
  <c r="H126" i="176" s="1"/>
  <c r="K126" i="176" s="1"/>
  <c r="K16" i="160"/>
  <c r="Z8" i="160"/>
  <c r="F118" i="176" s="1"/>
  <c r="D118" i="176" s="1"/>
  <c r="K8" i="160"/>
  <c r="F9" i="176" s="1"/>
  <c r="D9" i="176" s="1"/>
  <c r="Z20" i="160"/>
  <c r="K20" i="160"/>
  <c r="Z17" i="160"/>
  <c r="K17" i="160"/>
  <c r="Z11" i="160"/>
  <c r="F121" i="176" s="1"/>
  <c r="D121" i="176" s="1"/>
  <c r="K11" i="160"/>
  <c r="F12" i="176" s="1"/>
  <c r="D12" i="176" s="1"/>
  <c r="N6" i="160"/>
  <c r="F28" i="176" s="1"/>
  <c r="D28" i="176" s="1"/>
  <c r="K6" i="160"/>
  <c r="F7" i="176" s="1"/>
  <c r="D7" i="176" s="1"/>
  <c r="K18" i="160"/>
  <c r="Z5" i="160"/>
  <c r="K5" i="160"/>
  <c r="J23" i="160"/>
  <c r="C23" i="124"/>
  <c r="C64" i="125" s="1"/>
  <c r="C80" i="125" s="1"/>
  <c r="C99" i="125" s="1"/>
  <c r="C122" i="125" s="1"/>
  <c r="C145" i="125" s="1"/>
  <c r="C159" i="125" s="1"/>
  <c r="C177" i="125" s="1"/>
  <c r="C195" i="125" s="1"/>
  <c r="B72" i="123"/>
  <c r="B88" i="123" s="1"/>
  <c r="B104" i="123" s="1"/>
  <c r="W9" i="160"/>
  <c r="F97" i="176" s="1"/>
  <c r="D97" i="176" s="1"/>
  <c r="Z9" i="160"/>
  <c r="F119" i="176" s="1"/>
  <c r="D119" i="176" s="1"/>
  <c r="T8" i="160"/>
  <c r="F74" i="176" s="1"/>
  <c r="D74" i="176" s="1"/>
  <c r="W7" i="160"/>
  <c r="F95" i="176" s="1"/>
  <c r="D95" i="176" s="1"/>
  <c r="H38" i="160"/>
  <c r="T16" i="160"/>
  <c r="F82" i="176" s="1"/>
  <c r="D82" i="176" s="1"/>
  <c r="Z7" i="160"/>
  <c r="F117" i="176" s="1"/>
  <c r="D117" i="176" s="1"/>
  <c r="P54" i="160"/>
  <c r="O20" i="115" s="1"/>
  <c r="N87" i="123"/>
  <c r="N142" i="123"/>
  <c r="Q16" i="160"/>
  <c r="F60" i="176" s="1"/>
  <c r="Q17" i="160"/>
  <c r="F61" i="176" s="1"/>
  <c r="D61" i="176" s="1"/>
  <c r="N17" i="160"/>
  <c r="Z10" i="160"/>
  <c r="F120" i="176" s="1"/>
  <c r="D120" i="176" s="1"/>
  <c r="I59" i="160"/>
  <c r="I60" i="160" s="1"/>
  <c r="N20" i="160"/>
  <c r="P52" i="160"/>
  <c r="O18" i="115" s="1"/>
  <c r="O73" i="160"/>
  <c r="T11" i="160"/>
  <c r="F77" i="176" s="1"/>
  <c r="D77" i="176" s="1"/>
  <c r="I77" i="176" s="1"/>
  <c r="T20" i="160"/>
  <c r="P36" i="160"/>
  <c r="P69" i="160" s="1"/>
  <c r="O65" i="115" s="1"/>
  <c r="M77" i="160"/>
  <c r="O77" i="160" s="1"/>
  <c r="C25" i="124"/>
  <c r="C66" i="125" s="1"/>
  <c r="C82" i="125" s="1"/>
  <c r="C101" i="125" s="1"/>
  <c r="C124" i="125" s="1"/>
  <c r="C147" i="125" s="1"/>
  <c r="C161" i="125" s="1"/>
  <c r="C179" i="125" s="1"/>
  <c r="C197" i="125" s="1"/>
  <c r="N5" i="160"/>
  <c r="N89" i="123"/>
  <c r="T25" i="124" s="1"/>
  <c r="Q5" i="160"/>
  <c r="T5" i="160"/>
  <c r="N47" i="123"/>
  <c r="N55" i="125" s="1"/>
  <c r="W10" i="160"/>
  <c r="F98" i="176" s="1"/>
  <c r="D98" i="176" s="1"/>
  <c r="P32" i="160"/>
  <c r="H42" i="160"/>
  <c r="N88" i="123"/>
  <c r="T24" i="124" s="1"/>
  <c r="Q20" i="160"/>
  <c r="Z6" i="160"/>
  <c r="F116" i="176" s="1"/>
  <c r="D116" i="176" s="1"/>
  <c r="M54" i="160"/>
  <c r="J20" i="115" s="1"/>
  <c r="N63" i="123"/>
  <c r="R25" i="124"/>
  <c r="J66" i="125" s="1"/>
  <c r="J54" i="160"/>
  <c r="E20" i="115" s="1"/>
  <c r="N57" i="123"/>
  <c r="R26" i="124" s="1"/>
  <c r="J67" i="125" s="1"/>
  <c r="M56" i="160"/>
  <c r="J22" i="115" s="1"/>
  <c r="N72" i="123"/>
  <c r="S24" i="124" s="1"/>
  <c r="N15" i="160"/>
  <c r="F37" i="176" s="1"/>
  <c r="D37" i="176" s="1"/>
  <c r="Z15" i="160"/>
  <c r="F125" i="176" s="1"/>
  <c r="D125" i="176" s="1"/>
  <c r="H125" i="176" s="1"/>
  <c r="W15" i="160"/>
  <c r="F103" i="176" s="1"/>
  <c r="D103" i="176" s="1"/>
  <c r="H36" i="160"/>
  <c r="Q14" i="160"/>
  <c r="N14" i="160"/>
  <c r="T14" i="160"/>
  <c r="F80" i="176" s="1"/>
  <c r="D80" i="176" s="1"/>
  <c r="N80" i="123"/>
  <c r="J55" i="160"/>
  <c r="E21" i="115" s="1"/>
  <c r="N54" i="123"/>
  <c r="Z18" i="160"/>
  <c r="F128" i="176" s="1"/>
  <c r="W18" i="160"/>
  <c r="F106" i="176" s="1"/>
  <c r="N18" i="160"/>
  <c r="N128" i="123"/>
  <c r="N156" i="125" s="1"/>
  <c r="N55" i="123"/>
  <c r="R24" i="124" s="1"/>
  <c r="J56" i="160"/>
  <c r="E22" i="115" s="1"/>
  <c r="AC8" i="160"/>
  <c r="AC11" i="160"/>
  <c r="J34" i="160"/>
  <c r="J67" i="160" s="1"/>
  <c r="E63" i="115" s="1"/>
  <c r="H63" i="115" s="1"/>
  <c r="I63" i="115" s="1"/>
  <c r="N91" i="123"/>
  <c r="T27" i="124" s="1"/>
  <c r="AC17" i="160"/>
  <c r="H33" i="160"/>
  <c r="N58" i="123"/>
  <c r="R27" i="124" s="1"/>
  <c r="J68" i="125" s="1"/>
  <c r="L59" i="160"/>
  <c r="L60" i="160" s="1"/>
  <c r="N71" i="123"/>
  <c r="W16" i="160"/>
  <c r="F104" i="176" s="1"/>
  <c r="D104" i="176" s="1"/>
  <c r="H104" i="176" s="1"/>
  <c r="T17" i="160"/>
  <c r="H27" i="160"/>
  <c r="H31" i="160"/>
  <c r="N8" i="160"/>
  <c r="F30" i="176" s="1"/>
  <c r="D30" i="176" s="1"/>
  <c r="Q10" i="160"/>
  <c r="F54" i="176" s="1"/>
  <c r="D54" i="176" s="1"/>
  <c r="N11" i="160"/>
  <c r="F33" i="176" s="1"/>
  <c r="D33" i="176" s="1"/>
  <c r="J36" i="160"/>
  <c r="J69" i="160" s="1"/>
  <c r="E65" i="115" s="1"/>
  <c r="P39" i="160"/>
  <c r="O59" i="160"/>
  <c r="O60" i="160" s="1"/>
  <c r="N73" i="123"/>
  <c r="S25" i="124" s="1"/>
  <c r="J82" i="125" s="1"/>
  <c r="C27" i="124"/>
  <c r="C68" i="125" s="1"/>
  <c r="C84" i="125" s="1"/>
  <c r="C103" i="125" s="1"/>
  <c r="C126" i="125" s="1"/>
  <c r="C149" i="125" s="1"/>
  <c r="C163" i="125" s="1"/>
  <c r="C181" i="125" s="1"/>
  <c r="C199" i="125" s="1"/>
  <c r="S22" i="160"/>
  <c r="H30" i="160"/>
  <c r="P34" i="160"/>
  <c r="P67" i="160" s="1"/>
  <c r="O63" i="115" s="1"/>
  <c r="N96" i="123"/>
  <c r="C26" i="124"/>
  <c r="C67" i="125" s="1"/>
  <c r="C83" i="125" s="1"/>
  <c r="C102" i="125" s="1"/>
  <c r="C125" i="125" s="1"/>
  <c r="C148" i="125" s="1"/>
  <c r="C162" i="125" s="1"/>
  <c r="C180" i="125" s="1"/>
  <c r="C198" i="125" s="1"/>
  <c r="H39" i="160"/>
  <c r="N112" i="123"/>
  <c r="N133" i="125" s="1"/>
  <c r="AC5" i="160"/>
  <c r="AC51" i="160" s="1"/>
  <c r="O31" i="116" s="1"/>
  <c r="AC20" i="160"/>
  <c r="AC50" i="160" s="1"/>
  <c r="O30" i="116" s="1"/>
  <c r="O30" i="70" s="1"/>
  <c r="P27" i="160"/>
  <c r="P65" i="160" s="1"/>
  <c r="O61" i="115" s="1"/>
  <c r="L73" i="160"/>
  <c r="Q8" i="160"/>
  <c r="F52" i="176" s="1"/>
  <c r="D52" i="176" s="1"/>
  <c r="Q11" i="160"/>
  <c r="F55" i="176" s="1"/>
  <c r="D55" i="176" s="1"/>
  <c r="Z13" i="160"/>
  <c r="F123" i="176" s="1"/>
  <c r="D123" i="176" s="1"/>
  <c r="N75" i="123"/>
  <c r="S27" i="124" s="1"/>
  <c r="J84" i="125" s="1"/>
  <c r="F69" i="125"/>
  <c r="F203" i="125"/>
  <c r="F91" i="125"/>
  <c r="F346" i="125"/>
  <c r="F360" i="125" s="1"/>
  <c r="M38" i="160"/>
  <c r="M70" i="160" s="1"/>
  <c r="J66" i="115" s="1"/>
  <c r="P38" i="160"/>
  <c r="P70" i="160" s="1"/>
  <c r="O66" i="115" s="1"/>
  <c r="J38" i="160"/>
  <c r="J70" i="160" s="1"/>
  <c r="E66" i="115" s="1"/>
  <c r="H66" i="115" s="1"/>
  <c r="I66" i="115" s="1"/>
  <c r="N19" i="160"/>
  <c r="AC19" i="160"/>
  <c r="H41" i="160"/>
  <c r="Z19" i="160"/>
  <c r="F129" i="176" s="1"/>
  <c r="D129" i="176" s="1"/>
  <c r="T19" i="160"/>
  <c r="F85" i="176" s="1"/>
  <c r="D85" i="176" s="1"/>
  <c r="W19" i="160"/>
  <c r="F107" i="176" s="1"/>
  <c r="D107" i="176" s="1"/>
  <c r="H107" i="176" s="1"/>
  <c r="K107" i="176" s="1"/>
  <c r="Q19" i="160"/>
  <c r="P31" i="160"/>
  <c r="M31" i="160"/>
  <c r="J31" i="160"/>
  <c r="Y22" i="160"/>
  <c r="M22" i="160"/>
  <c r="M23" i="160" s="1"/>
  <c r="AB22" i="160"/>
  <c r="T12" i="160"/>
  <c r="F78" i="176" s="1"/>
  <c r="Q12" i="160"/>
  <c r="H34" i="160"/>
  <c r="Z12" i="160"/>
  <c r="F122" i="176" s="1"/>
  <c r="N12" i="160"/>
  <c r="W12" i="160"/>
  <c r="F100" i="176" s="1"/>
  <c r="M29" i="160"/>
  <c r="J29" i="160"/>
  <c r="P29" i="160"/>
  <c r="M52" i="160"/>
  <c r="J18" i="115" s="1"/>
  <c r="V22" i="160"/>
  <c r="T9" i="160"/>
  <c r="F75" i="176" s="1"/>
  <c r="D75" i="176" s="1"/>
  <c r="Q9" i="160"/>
  <c r="F53" i="176" s="1"/>
  <c r="D53" i="176" s="1"/>
  <c r="N13" i="160"/>
  <c r="F35" i="176" s="1"/>
  <c r="D35" i="176" s="1"/>
  <c r="AC13" i="160"/>
  <c r="J28" i="160"/>
  <c r="M40" i="160"/>
  <c r="P22" i="160"/>
  <c r="AC15" i="160"/>
  <c r="J35" i="160"/>
  <c r="J42" i="160"/>
  <c r="J64" i="160" s="1"/>
  <c r="E60" i="115" s="1"/>
  <c r="E104" i="115" s="1"/>
  <c r="P51" i="160"/>
  <c r="O17" i="115" s="1"/>
  <c r="P42" i="160"/>
  <c r="P64" i="160" s="1"/>
  <c r="O60" i="115" s="1"/>
  <c r="T13" i="160"/>
  <c r="F79" i="176" s="1"/>
  <c r="D79" i="176" s="1"/>
  <c r="J27" i="160"/>
  <c r="P28" i="160"/>
  <c r="J39" i="160"/>
  <c r="H28" i="160"/>
  <c r="T6" i="160"/>
  <c r="F72" i="176" s="1"/>
  <c r="D72" i="176" s="1"/>
  <c r="Q6" i="160"/>
  <c r="F50" i="176" s="1"/>
  <c r="D50" i="176" s="1"/>
  <c r="M33" i="160"/>
  <c r="J33" i="160"/>
  <c r="J40" i="160"/>
  <c r="P33" i="160"/>
  <c r="J30" i="160"/>
  <c r="J32" i="160"/>
  <c r="M35" i="160"/>
  <c r="H32" i="160"/>
  <c r="N10" i="160"/>
  <c r="F32" i="176" s="1"/>
  <c r="D32" i="176" s="1"/>
  <c r="AC10" i="160"/>
  <c r="P30" i="160"/>
  <c r="M41" i="160"/>
  <c r="M71" i="160" s="1"/>
  <c r="J67" i="115" s="1"/>
  <c r="J41" i="160"/>
  <c r="J71" i="160" s="1"/>
  <c r="E67" i="115" s="1"/>
  <c r="H67" i="115" s="1"/>
  <c r="I67" i="115" s="1"/>
  <c r="I73" i="160"/>
  <c r="AC6" i="160"/>
  <c r="J52" i="160"/>
  <c r="E18" i="115" s="1"/>
  <c r="N7" i="160"/>
  <c r="F29" i="176" s="1"/>
  <c r="D29" i="176" s="1"/>
  <c r="AC7" i="160"/>
  <c r="H29" i="160"/>
  <c r="H35" i="160"/>
  <c r="T15" i="160"/>
  <c r="F81" i="176" s="1"/>
  <c r="D81" i="176" s="1"/>
  <c r="Q15" i="160"/>
  <c r="F59" i="176" s="1"/>
  <c r="D59" i="176" s="1"/>
  <c r="H37" i="160"/>
  <c r="M37" i="160"/>
  <c r="J37" i="160"/>
  <c r="AC9" i="160"/>
  <c r="N16" i="160"/>
  <c r="AC16" i="160"/>
  <c r="W6" i="160"/>
  <c r="F94" i="176" s="1"/>
  <c r="D94" i="176" s="1"/>
  <c r="T7" i="160"/>
  <c r="F73" i="176" s="1"/>
  <c r="D73" i="176" s="1"/>
  <c r="W13" i="160"/>
  <c r="F101" i="176" s="1"/>
  <c r="D101" i="176" s="1"/>
  <c r="H40" i="160"/>
  <c r="T18" i="160"/>
  <c r="Q18" i="160"/>
  <c r="AC18" i="160"/>
  <c r="W5" i="160"/>
  <c r="W8" i="160"/>
  <c r="F96" i="176" s="1"/>
  <c r="D96" i="176" s="1"/>
  <c r="W11" i="160"/>
  <c r="F99" i="176" s="1"/>
  <c r="D99" i="176" s="1"/>
  <c r="W14" i="160"/>
  <c r="F102" i="176" s="1"/>
  <c r="D102" i="176" s="1"/>
  <c r="W17" i="160"/>
  <c r="W20" i="160"/>
  <c r="Z14" i="160"/>
  <c r="F124" i="176" s="1"/>
  <c r="D124" i="176" s="1"/>
  <c r="AS26" i="124" l="1"/>
  <c r="K83" i="125" s="1"/>
  <c r="N83" i="125" s="1"/>
  <c r="M63" i="115"/>
  <c r="N63" i="115" s="1"/>
  <c r="O111" i="115"/>
  <c r="H82" i="176"/>
  <c r="K82" i="176" s="1"/>
  <c r="O104" i="115"/>
  <c r="V68" i="160"/>
  <c r="E78" i="115" s="1"/>
  <c r="M23" i="115"/>
  <c r="N23" i="115" s="1"/>
  <c r="R23" i="115" s="1"/>
  <c r="S23" i="115" s="1"/>
  <c r="W23" i="115" s="1"/>
  <c r="O107" i="115"/>
  <c r="J105" i="115"/>
  <c r="J104" i="115"/>
  <c r="M67" i="115"/>
  <c r="N67" i="115" s="1"/>
  <c r="R67" i="115" s="1"/>
  <c r="S67" i="115" s="1"/>
  <c r="W67" i="115" s="1"/>
  <c r="D81" i="115" s="1"/>
  <c r="H81" i="115" s="1"/>
  <c r="I81" i="115" s="1"/>
  <c r="M81" i="115" s="1"/>
  <c r="N81" i="115" s="1"/>
  <c r="R81" i="115" s="1"/>
  <c r="S81" i="115" s="1"/>
  <c r="J107" i="115"/>
  <c r="M66" i="115"/>
  <c r="N66" i="115" s="1"/>
  <c r="R66" i="115" s="1"/>
  <c r="S66" i="115" s="1"/>
  <c r="W66" i="115" s="1"/>
  <c r="D80" i="115" s="1"/>
  <c r="H80" i="115" s="1"/>
  <c r="I80" i="115" s="1"/>
  <c r="M80" i="115" s="1"/>
  <c r="N80" i="115" s="1"/>
  <c r="R80" i="115" s="1"/>
  <c r="S80" i="115" s="1"/>
  <c r="Y68" i="160"/>
  <c r="J78" i="115" s="1"/>
  <c r="J122" i="115" s="1"/>
  <c r="D128" i="176"/>
  <c r="H128" i="176" s="1"/>
  <c r="K128" i="176" s="1"/>
  <c r="J121" i="115"/>
  <c r="K125" i="176"/>
  <c r="E44" i="176"/>
  <c r="F40" i="176"/>
  <c r="D40" i="176" s="1"/>
  <c r="N381" i="123"/>
  <c r="N50" i="160"/>
  <c r="J16" i="116" s="1"/>
  <c r="J16" i="70" s="1"/>
  <c r="F42" i="176"/>
  <c r="D42" i="176" s="1"/>
  <c r="T107" i="115"/>
  <c r="Q51" i="160"/>
  <c r="O17" i="116" s="1"/>
  <c r="O17" i="70" s="1"/>
  <c r="F49" i="176"/>
  <c r="N364" i="123"/>
  <c r="R52" i="124" s="1"/>
  <c r="AR52" i="124" s="1"/>
  <c r="F18" i="176"/>
  <c r="D18" i="176" s="1"/>
  <c r="H18" i="176" s="1"/>
  <c r="K18" i="176" s="1"/>
  <c r="J123" i="115"/>
  <c r="J111" i="115"/>
  <c r="J161" i="125"/>
  <c r="AW25" i="124"/>
  <c r="K161" i="125" s="1"/>
  <c r="N161" i="125" s="1"/>
  <c r="J110" i="115"/>
  <c r="M19" i="115"/>
  <c r="N19" i="115" s="1"/>
  <c r="R19" i="115" s="1"/>
  <c r="S19" i="115" s="1"/>
  <c r="W19" i="115" s="1"/>
  <c r="D33" i="115" s="1"/>
  <c r="H33" i="115" s="1"/>
  <c r="I33" i="115" s="1"/>
  <c r="F39" i="176"/>
  <c r="D39" i="176" s="1"/>
  <c r="N380" i="123"/>
  <c r="N441" i="123"/>
  <c r="N357" i="125" s="1"/>
  <c r="J357" i="125" s="1"/>
  <c r="F127" i="176"/>
  <c r="D127" i="176" s="1"/>
  <c r="M17" i="115"/>
  <c r="N17" i="115" s="1"/>
  <c r="R17" i="115" s="1"/>
  <c r="S17" i="115" s="1"/>
  <c r="W17" i="115" s="1"/>
  <c r="D31" i="115" s="1"/>
  <c r="H31" i="115" s="1"/>
  <c r="I31" i="115" s="1"/>
  <c r="AW26" i="124"/>
  <c r="K162" i="125" s="1"/>
  <c r="N162" i="125" s="1"/>
  <c r="J102" i="125"/>
  <c r="D60" i="176"/>
  <c r="AS24" i="124"/>
  <c r="K81" i="125" s="1"/>
  <c r="N81" i="125" s="1"/>
  <c r="J81" i="125"/>
  <c r="N399" i="123"/>
  <c r="N299" i="125" s="1"/>
  <c r="J299" i="125" s="1"/>
  <c r="F63" i="176"/>
  <c r="N398" i="123"/>
  <c r="N298" i="125" s="1"/>
  <c r="J298" i="125" s="1"/>
  <c r="F62" i="176"/>
  <c r="D62" i="176" s="1"/>
  <c r="D122" i="176"/>
  <c r="G256" i="123"/>
  <c r="N74" i="125"/>
  <c r="N51" i="160"/>
  <c r="J17" i="116" s="1"/>
  <c r="J17" i="70" s="1"/>
  <c r="F27" i="176"/>
  <c r="K50" i="160"/>
  <c r="E16" i="116" s="1"/>
  <c r="E16" i="70" s="1"/>
  <c r="F21" i="176"/>
  <c r="D21" i="176" s="1"/>
  <c r="H21" i="176" s="1"/>
  <c r="K21" i="176" s="1"/>
  <c r="Q50" i="160"/>
  <c r="O16" i="116" s="1"/>
  <c r="O16" i="70" s="1"/>
  <c r="F64" i="176"/>
  <c r="D64" i="176" s="1"/>
  <c r="E132" i="176"/>
  <c r="N57" i="160"/>
  <c r="J23" i="116" s="1"/>
  <c r="J23" i="70" s="1"/>
  <c r="F41" i="176"/>
  <c r="D41" i="176" s="1"/>
  <c r="N382" i="123"/>
  <c r="Z51" i="160"/>
  <c r="J31" i="116" s="1"/>
  <c r="J31" i="70" s="1"/>
  <c r="F115" i="176"/>
  <c r="N363" i="123"/>
  <c r="N257" i="125" s="1"/>
  <c r="F17" i="176"/>
  <c r="D17" i="176" s="1"/>
  <c r="H17" i="176" s="1"/>
  <c r="K17" i="176" s="1"/>
  <c r="N361" i="123"/>
  <c r="N255" i="125" s="1"/>
  <c r="F13" i="176"/>
  <c r="D13" i="176" s="1"/>
  <c r="N56" i="160"/>
  <c r="J22" i="116" s="1"/>
  <c r="F38" i="176"/>
  <c r="D38" i="176" s="1"/>
  <c r="N379" i="123"/>
  <c r="E66" i="176"/>
  <c r="N53" i="160"/>
  <c r="J19" i="116" s="1"/>
  <c r="J19" i="70" s="1"/>
  <c r="F34" i="176"/>
  <c r="D34" i="176" s="1"/>
  <c r="N377" i="123"/>
  <c r="N55" i="160"/>
  <c r="J21" i="116" s="1"/>
  <c r="J21" i="70" s="1"/>
  <c r="F36" i="176"/>
  <c r="D36" i="176" s="1"/>
  <c r="N378" i="123"/>
  <c r="Z50" i="160"/>
  <c r="J30" i="116" s="1"/>
  <c r="J30" i="70" s="1"/>
  <c r="F130" i="176"/>
  <c r="D130" i="176" s="1"/>
  <c r="K15" i="176"/>
  <c r="J109" i="115"/>
  <c r="D63" i="176"/>
  <c r="K51" i="160"/>
  <c r="E17" i="116" s="1"/>
  <c r="H17" i="116" s="1"/>
  <c r="I17" i="116" s="1"/>
  <c r="F6" i="176"/>
  <c r="N365" i="123"/>
  <c r="N259" i="125" s="1"/>
  <c r="F19" i="176"/>
  <c r="D19" i="176" s="1"/>
  <c r="H19" i="176" s="1"/>
  <c r="K19" i="176" s="1"/>
  <c r="N394" i="123"/>
  <c r="N294" i="125" s="1"/>
  <c r="J294" i="125" s="1"/>
  <c r="F56" i="176"/>
  <c r="D56" i="176" s="1"/>
  <c r="N395" i="123"/>
  <c r="N295" i="125" s="1"/>
  <c r="J295" i="125" s="1"/>
  <c r="F58" i="176"/>
  <c r="D58" i="176" s="1"/>
  <c r="J124" i="115"/>
  <c r="T105" i="115"/>
  <c r="O118" i="115"/>
  <c r="AB68" i="160"/>
  <c r="O78" i="115" s="1"/>
  <c r="AB66" i="160"/>
  <c r="O76" i="115" s="1"/>
  <c r="O121" i="115"/>
  <c r="O75" i="115"/>
  <c r="AC57" i="160"/>
  <c r="O37" i="116" s="1"/>
  <c r="O37" i="70" s="1"/>
  <c r="F151" i="176"/>
  <c r="D151" i="176" s="1"/>
  <c r="N452" i="123"/>
  <c r="N378" i="125" s="1"/>
  <c r="J181" i="125"/>
  <c r="AX27" i="124"/>
  <c r="K181" i="125" s="1"/>
  <c r="N181" i="125" s="1"/>
  <c r="F150" i="176"/>
  <c r="N451" i="123"/>
  <c r="N377" i="125" s="1"/>
  <c r="J180" i="125"/>
  <c r="AX26" i="124"/>
  <c r="K180" i="125" s="1"/>
  <c r="N180" i="125" s="1"/>
  <c r="D150" i="176"/>
  <c r="F149" i="176"/>
  <c r="D149" i="176" s="1"/>
  <c r="N450" i="123"/>
  <c r="N376" i="125" s="1"/>
  <c r="O31" i="70"/>
  <c r="J179" i="125"/>
  <c r="AX25" i="124"/>
  <c r="K179" i="125" s="1"/>
  <c r="N179" i="125" s="1"/>
  <c r="AB59" i="160"/>
  <c r="AB60" i="160" s="1"/>
  <c r="O32" i="115"/>
  <c r="AC56" i="160"/>
  <c r="O36" i="116" s="1"/>
  <c r="F148" i="176"/>
  <c r="N449" i="123"/>
  <c r="O35" i="70"/>
  <c r="O122" i="115"/>
  <c r="X24" i="124"/>
  <c r="F314" i="123"/>
  <c r="G314" i="123"/>
  <c r="O33" i="70"/>
  <c r="E154" i="176"/>
  <c r="O124" i="115"/>
  <c r="D106" i="176"/>
  <c r="AV26" i="124"/>
  <c r="K148" i="125" s="1"/>
  <c r="AV25" i="124"/>
  <c r="K147" i="125" s="1"/>
  <c r="N147" i="125" s="1"/>
  <c r="H110" i="176"/>
  <c r="K104" i="176"/>
  <c r="V66" i="160"/>
  <c r="E76" i="115" s="1"/>
  <c r="E120" i="115" s="1"/>
  <c r="E110" i="176"/>
  <c r="W50" i="160"/>
  <c r="E30" i="116" s="1"/>
  <c r="E30" i="70" s="1"/>
  <c r="F108" i="176"/>
  <c r="D108" i="176" s="1"/>
  <c r="N430" i="123"/>
  <c r="N337" i="125" s="1"/>
  <c r="J337" i="125" s="1"/>
  <c r="F105" i="176"/>
  <c r="D105" i="176" s="1"/>
  <c r="E38" i="115"/>
  <c r="D100" i="176"/>
  <c r="J100" i="176" s="1"/>
  <c r="W51" i="160"/>
  <c r="E31" i="116" s="1"/>
  <c r="E31" i="70" s="1"/>
  <c r="F93" i="176"/>
  <c r="D93" i="176" s="1"/>
  <c r="K77" i="176"/>
  <c r="I88" i="176"/>
  <c r="N414" i="123"/>
  <c r="N317" i="125" s="1"/>
  <c r="J317" i="125" s="1"/>
  <c r="U52" i="124" s="1"/>
  <c r="F83" i="176"/>
  <c r="D83" i="176" s="1"/>
  <c r="N415" i="123"/>
  <c r="N318" i="125" s="1"/>
  <c r="J318" i="125" s="1"/>
  <c r="F84" i="176"/>
  <c r="D84" i="176" s="1"/>
  <c r="T50" i="160"/>
  <c r="T16" i="116" s="1"/>
  <c r="T16" i="70" s="1"/>
  <c r="F86" i="176"/>
  <c r="D86" i="176" s="1"/>
  <c r="T51" i="160"/>
  <c r="T17" i="116" s="1"/>
  <c r="T17" i="70" s="1"/>
  <c r="F71" i="176"/>
  <c r="D71" i="176" s="1"/>
  <c r="AU25" i="124"/>
  <c r="K124" i="125" s="1"/>
  <c r="E88" i="176"/>
  <c r="J125" i="125"/>
  <c r="AU26" i="124"/>
  <c r="K125" i="125" s="1"/>
  <c r="D78" i="176"/>
  <c r="O24" i="115"/>
  <c r="H104" i="115"/>
  <c r="E24" i="115"/>
  <c r="H65" i="115"/>
  <c r="I65" i="115" s="1"/>
  <c r="M65" i="115" s="1"/>
  <c r="N65" i="115" s="1"/>
  <c r="R65" i="115" s="1"/>
  <c r="S65" i="115" s="1"/>
  <c r="W65" i="115" s="1"/>
  <c r="D79" i="115" s="1"/>
  <c r="H79" i="115" s="1"/>
  <c r="I79" i="115" s="1"/>
  <c r="M79" i="115" s="1"/>
  <c r="N79" i="115" s="1"/>
  <c r="R79" i="115" s="1"/>
  <c r="S79" i="115" s="1"/>
  <c r="E109" i="115"/>
  <c r="H109" i="115" s="1"/>
  <c r="I109" i="115" s="1"/>
  <c r="K57" i="160"/>
  <c r="E23" i="116" s="1"/>
  <c r="E23" i="70" s="1"/>
  <c r="N366" i="123"/>
  <c r="E111" i="115"/>
  <c r="H111" i="115" s="1"/>
  <c r="I111" i="115" s="1"/>
  <c r="K55" i="160"/>
  <c r="E21" i="116" s="1"/>
  <c r="E21" i="70" s="1"/>
  <c r="N362" i="123"/>
  <c r="E107" i="115"/>
  <c r="H107" i="115" s="1"/>
  <c r="I107" i="115" s="1"/>
  <c r="K55" i="125"/>
  <c r="AR16" i="124"/>
  <c r="J55" i="125"/>
  <c r="R16" i="124" s="1"/>
  <c r="E110" i="115"/>
  <c r="H110" i="115" s="1"/>
  <c r="I110" i="115" s="1"/>
  <c r="M110" i="115" s="1"/>
  <c r="N110" i="115" s="1"/>
  <c r="H60" i="115"/>
  <c r="K53" i="160"/>
  <c r="E19" i="116" s="1"/>
  <c r="E19" i="70" s="1"/>
  <c r="K56" i="160"/>
  <c r="E22" i="116" s="1"/>
  <c r="E22" i="70" s="1"/>
  <c r="AR24" i="124"/>
  <c r="K65" i="125" s="1"/>
  <c r="N65" i="125" s="1"/>
  <c r="J65" i="125"/>
  <c r="O110" i="115"/>
  <c r="AT24" i="124"/>
  <c r="K100" i="125" s="1"/>
  <c r="N100" i="125" s="1"/>
  <c r="J100" i="125"/>
  <c r="R63" i="115"/>
  <c r="S63" i="115" s="1"/>
  <c r="W63" i="115" s="1"/>
  <c r="D77" i="115" s="1"/>
  <c r="H77" i="115" s="1"/>
  <c r="I77" i="115" s="1"/>
  <c r="M77" i="115" s="1"/>
  <c r="N77" i="115" s="1"/>
  <c r="R77" i="115" s="1"/>
  <c r="S77" i="115" s="1"/>
  <c r="G268" i="123"/>
  <c r="N91" i="125"/>
  <c r="AT25" i="124"/>
  <c r="K101" i="125" s="1"/>
  <c r="N101" i="125" s="1"/>
  <c r="J101" i="125"/>
  <c r="N397" i="123"/>
  <c r="N297" i="125" s="1"/>
  <c r="J297" i="125" s="1"/>
  <c r="O105" i="115"/>
  <c r="AT27" i="124"/>
  <c r="K103" i="125" s="1"/>
  <c r="N103" i="125" s="1"/>
  <c r="J103" i="125"/>
  <c r="N396" i="123"/>
  <c r="N296" i="125" s="1"/>
  <c r="J296" i="125" s="1"/>
  <c r="O109" i="115"/>
  <c r="S59" i="160"/>
  <c r="S60" i="160" s="1"/>
  <c r="T18" i="115"/>
  <c r="T60" i="115"/>
  <c r="T55" i="160"/>
  <c r="T21" i="116" s="1"/>
  <c r="N412" i="123"/>
  <c r="N315" i="125" s="1"/>
  <c r="J315" i="125" s="1"/>
  <c r="U23" i="124"/>
  <c r="F286" i="123"/>
  <c r="G286" i="123"/>
  <c r="T56" i="160"/>
  <c r="T22" i="116" s="1"/>
  <c r="N413" i="123"/>
  <c r="N316" i="125" s="1"/>
  <c r="J316" i="125" s="1"/>
  <c r="S66" i="160"/>
  <c r="T62" i="115" s="1"/>
  <c r="T109" i="115"/>
  <c r="T57" i="160"/>
  <c r="T23" i="116" s="1"/>
  <c r="T23" i="70" s="1"/>
  <c r="N416" i="123"/>
  <c r="N319" i="125" s="1"/>
  <c r="J319" i="125" s="1"/>
  <c r="J126" i="125"/>
  <c r="AU27" i="124"/>
  <c r="K126" i="125" s="1"/>
  <c r="G280" i="123"/>
  <c r="N114" i="125"/>
  <c r="T53" i="160"/>
  <c r="T19" i="116" s="1"/>
  <c r="N411" i="123"/>
  <c r="T111" i="115"/>
  <c r="D37" i="115"/>
  <c r="H37" i="115" s="1"/>
  <c r="S68" i="160"/>
  <c r="T64" i="115" s="1"/>
  <c r="T108" i="115" s="1"/>
  <c r="J123" i="125"/>
  <c r="AU24" i="124"/>
  <c r="K123" i="125" s="1"/>
  <c r="N123" i="125" s="1"/>
  <c r="T110" i="115"/>
  <c r="N442" i="123"/>
  <c r="N358" i="125" s="1"/>
  <c r="J358" i="125" s="1"/>
  <c r="W53" i="124" s="1"/>
  <c r="Z53" i="160"/>
  <c r="J33" i="116" s="1"/>
  <c r="J33" i="70" s="1"/>
  <c r="N438" i="123"/>
  <c r="J160" i="125"/>
  <c r="AW24" i="124"/>
  <c r="K160" i="125" s="1"/>
  <c r="N160" i="125" s="1"/>
  <c r="Z57" i="160"/>
  <c r="J37" i="116" s="1"/>
  <c r="N443" i="123"/>
  <c r="N359" i="125" s="1"/>
  <c r="J359" i="125" s="1"/>
  <c r="Z55" i="160"/>
  <c r="J35" i="116" s="1"/>
  <c r="J35" i="70" s="1"/>
  <c r="N439" i="123"/>
  <c r="N355" i="125" s="1"/>
  <c r="J355" i="125" s="1"/>
  <c r="J118" i="115"/>
  <c r="K156" i="125"/>
  <c r="AW16" i="124"/>
  <c r="J163" i="125"/>
  <c r="AW27" i="124"/>
  <c r="K163" i="125" s="1"/>
  <c r="N163" i="125" s="1"/>
  <c r="W23" i="124"/>
  <c r="F307" i="123"/>
  <c r="G307" i="123"/>
  <c r="J125" i="115"/>
  <c r="Z56" i="160"/>
  <c r="J36" i="116" s="1"/>
  <c r="J36" i="70" s="1"/>
  <c r="N440" i="123"/>
  <c r="N356" i="125" s="1"/>
  <c r="J119" i="115"/>
  <c r="E74" i="115"/>
  <c r="W57" i="160"/>
  <c r="E37" i="116" s="1"/>
  <c r="E37" i="70" s="1"/>
  <c r="N432" i="123"/>
  <c r="N339" i="125" s="1"/>
  <c r="J339" i="125" s="1"/>
  <c r="E122" i="115"/>
  <c r="E123" i="115"/>
  <c r="W56" i="160"/>
  <c r="E36" i="116" s="1"/>
  <c r="E36" i="70" s="1"/>
  <c r="N429" i="123"/>
  <c r="N336" i="125" s="1"/>
  <c r="J336" i="125" s="1"/>
  <c r="N431" i="123"/>
  <c r="N338" i="125" s="1"/>
  <c r="J338" i="125" s="1"/>
  <c r="V53" i="124" s="1"/>
  <c r="E119" i="115"/>
  <c r="E125" i="115"/>
  <c r="K133" i="125"/>
  <c r="AV16" i="124"/>
  <c r="J146" i="125"/>
  <c r="AV24" i="124"/>
  <c r="K146" i="125" s="1"/>
  <c r="N146" i="125" s="1"/>
  <c r="W55" i="160"/>
  <c r="E35" i="116" s="1"/>
  <c r="N428" i="123"/>
  <c r="N335" i="125" s="1"/>
  <c r="J335" i="125" s="1"/>
  <c r="W53" i="160"/>
  <c r="E33" i="116" s="1"/>
  <c r="N427" i="123"/>
  <c r="E121" i="115"/>
  <c r="E124" i="115"/>
  <c r="J149" i="125"/>
  <c r="AV27" i="124"/>
  <c r="K149" i="125" s="1"/>
  <c r="V23" i="124"/>
  <c r="F298" i="123"/>
  <c r="G298" i="123"/>
  <c r="G311" i="123"/>
  <c r="F311" i="123"/>
  <c r="T23" i="124"/>
  <c r="G274" i="123"/>
  <c r="F274" i="123"/>
  <c r="G244" i="123"/>
  <c r="N217" i="123"/>
  <c r="B120" i="123"/>
  <c r="B133" i="123"/>
  <c r="B146" i="123" s="1"/>
  <c r="B159" i="123" s="1"/>
  <c r="B172" i="123" s="1"/>
  <c r="B185" i="123" s="1"/>
  <c r="B198" i="123" s="1"/>
  <c r="B211" i="123" s="1"/>
  <c r="J22" i="70"/>
  <c r="J38" i="115"/>
  <c r="Y66" i="160"/>
  <c r="J76" i="115" s="1"/>
  <c r="Y59" i="160"/>
  <c r="Y60" i="160" s="1"/>
  <c r="J24" i="115"/>
  <c r="H22" i="115"/>
  <c r="I22" i="115" s="1"/>
  <c r="M22" i="115" s="1"/>
  <c r="N22" i="115" s="1"/>
  <c r="R22" i="115" s="1"/>
  <c r="S22" i="115" s="1"/>
  <c r="W22" i="115" s="1"/>
  <c r="H20" i="115"/>
  <c r="I20" i="115" s="1"/>
  <c r="M20" i="115" s="1"/>
  <c r="N20" i="115" s="1"/>
  <c r="R20" i="115" s="1"/>
  <c r="S20" i="115" s="1"/>
  <c r="W20" i="115" s="1"/>
  <c r="H18" i="115"/>
  <c r="I18" i="115" s="1"/>
  <c r="M18" i="115" s="1"/>
  <c r="N18" i="115" s="1"/>
  <c r="R18" i="115" s="1"/>
  <c r="S18" i="115" s="1"/>
  <c r="H21" i="115"/>
  <c r="I21" i="115" s="1"/>
  <c r="M21" i="115" s="1"/>
  <c r="N21" i="115" s="1"/>
  <c r="R21" i="115" s="1"/>
  <c r="S21" i="115" s="1"/>
  <c r="W21" i="115" s="1"/>
  <c r="I16" i="115"/>
  <c r="AC41" i="160"/>
  <c r="AC71" i="160" s="1"/>
  <c r="O81" i="116" s="1"/>
  <c r="O81" i="70" s="1"/>
  <c r="Z41" i="160"/>
  <c r="Z71" i="160" s="1"/>
  <c r="J81" i="116" s="1"/>
  <c r="J81" i="70" s="1"/>
  <c r="W41" i="160"/>
  <c r="W71" i="160" s="1"/>
  <c r="E81" i="116" s="1"/>
  <c r="T41" i="160"/>
  <c r="T71" i="160" s="1"/>
  <c r="T67" i="116" s="1"/>
  <c r="S44" i="160"/>
  <c r="AC29" i="160"/>
  <c r="Z29" i="160"/>
  <c r="W29" i="160"/>
  <c r="T29" i="160"/>
  <c r="Z36" i="160"/>
  <c r="Z69" i="160" s="1"/>
  <c r="J79" i="116" s="1"/>
  <c r="J79" i="70" s="1"/>
  <c r="AC36" i="160"/>
  <c r="AC69" i="160" s="1"/>
  <c r="O79" i="116" s="1"/>
  <c r="O123" i="116" s="1"/>
  <c r="W36" i="160"/>
  <c r="W69" i="160" s="1"/>
  <c r="E79" i="116" s="1"/>
  <c r="E79" i="70" s="1"/>
  <c r="T36" i="160"/>
  <c r="T69" i="160" s="1"/>
  <c r="T65" i="116" s="1"/>
  <c r="AC35" i="160"/>
  <c r="Z35" i="160"/>
  <c r="W35" i="160"/>
  <c r="T35" i="160"/>
  <c r="AC34" i="160"/>
  <c r="AC67" i="160" s="1"/>
  <c r="O77" i="116" s="1"/>
  <c r="O77" i="70" s="1"/>
  <c r="Z34" i="160"/>
  <c r="Z67" i="160" s="1"/>
  <c r="J77" i="116" s="1"/>
  <c r="J77" i="70" s="1"/>
  <c r="W34" i="160"/>
  <c r="W67" i="160" s="1"/>
  <c r="E77" i="116" s="1"/>
  <c r="T34" i="160"/>
  <c r="T67" i="160" s="1"/>
  <c r="T63" i="116" s="1"/>
  <c r="Q31" i="160"/>
  <c r="AC31" i="160"/>
  <c r="Z31" i="160"/>
  <c r="T31" i="160"/>
  <c r="W31" i="160"/>
  <c r="K30" i="160"/>
  <c r="Z30" i="160"/>
  <c r="W30" i="160"/>
  <c r="AC30" i="160"/>
  <c r="T30" i="160"/>
  <c r="P68" i="160"/>
  <c r="O64" i="115" s="1"/>
  <c r="Z33" i="160"/>
  <c r="AC33" i="160"/>
  <c r="T33" i="160"/>
  <c r="W33" i="160"/>
  <c r="K42" i="160"/>
  <c r="K64" i="160" s="1"/>
  <c r="E60" i="116" s="1"/>
  <c r="E60" i="70" s="1"/>
  <c r="Z42" i="160"/>
  <c r="Z64" i="160" s="1"/>
  <c r="J74" i="116" s="1"/>
  <c r="W42" i="160"/>
  <c r="W64" i="160" s="1"/>
  <c r="AC42" i="160"/>
  <c r="AC64" i="160" s="1"/>
  <c r="O74" i="116" s="1"/>
  <c r="O74" i="70" s="1"/>
  <c r="O118" i="70" s="1"/>
  <c r="T42" i="160"/>
  <c r="T64" i="160" s="1"/>
  <c r="V44" i="160"/>
  <c r="AB44" i="160"/>
  <c r="AC32" i="160"/>
  <c r="W32" i="160"/>
  <c r="Z32" i="160"/>
  <c r="T32" i="160"/>
  <c r="AC27" i="160"/>
  <c r="Z27" i="160"/>
  <c r="Z65" i="160" s="1"/>
  <c r="J75" i="116" s="1"/>
  <c r="J75" i="70" s="1"/>
  <c r="W27" i="160"/>
  <c r="W65" i="160" s="1"/>
  <c r="E75" i="116" s="1"/>
  <c r="T27" i="160"/>
  <c r="T65" i="160" s="1"/>
  <c r="T61" i="116" s="1"/>
  <c r="AC37" i="160"/>
  <c r="Z37" i="160"/>
  <c r="W37" i="160"/>
  <c r="T37" i="160"/>
  <c r="M68" i="160"/>
  <c r="J64" i="115" s="1"/>
  <c r="J108" i="115" s="1"/>
  <c r="N38" i="160"/>
  <c r="N70" i="160" s="1"/>
  <c r="J66" i="116" s="1"/>
  <c r="AC38" i="160"/>
  <c r="AC70" i="160" s="1"/>
  <c r="O80" i="116" s="1"/>
  <c r="O80" i="70" s="1"/>
  <c r="Z38" i="160"/>
  <c r="Z70" i="160" s="1"/>
  <c r="J80" i="116" s="1"/>
  <c r="J80" i="70" s="1"/>
  <c r="W38" i="160"/>
  <c r="W70" i="160" s="1"/>
  <c r="E80" i="116" s="1"/>
  <c r="E80" i="70" s="1"/>
  <c r="T38" i="160"/>
  <c r="T70" i="160" s="1"/>
  <c r="T66" i="116" s="1"/>
  <c r="Y44" i="160"/>
  <c r="Z40" i="160"/>
  <c r="AC40" i="160"/>
  <c r="W40" i="160"/>
  <c r="T40" i="160"/>
  <c r="AC28" i="160"/>
  <c r="Z28" i="160"/>
  <c r="W28" i="160"/>
  <c r="T28" i="160"/>
  <c r="K39" i="160"/>
  <c r="Z39" i="160"/>
  <c r="AC39" i="160"/>
  <c r="W39" i="160"/>
  <c r="T39" i="160"/>
  <c r="V59" i="160"/>
  <c r="V60" i="160" s="1"/>
  <c r="W54" i="160"/>
  <c r="E34" i="116" s="1"/>
  <c r="T52" i="160"/>
  <c r="T18" i="116" s="1"/>
  <c r="Z54" i="160"/>
  <c r="J34" i="116" s="1"/>
  <c r="W52" i="160"/>
  <c r="T54" i="160"/>
  <c r="Z52" i="160"/>
  <c r="AC52" i="160"/>
  <c r="AC54" i="160"/>
  <c r="O34" i="116" s="1"/>
  <c r="K22" i="160"/>
  <c r="K23" i="160" s="1"/>
  <c r="Q38" i="160"/>
  <c r="Q70" i="160" s="1"/>
  <c r="O66" i="116" s="1"/>
  <c r="K38" i="160"/>
  <c r="K70" i="160" s="1"/>
  <c r="E66" i="116" s="1"/>
  <c r="F244" i="123"/>
  <c r="Q56" i="160"/>
  <c r="O22" i="116" s="1"/>
  <c r="K54" i="160"/>
  <c r="E20" i="116" s="1"/>
  <c r="F256" i="123"/>
  <c r="N42" i="160"/>
  <c r="N64" i="160" s="1"/>
  <c r="J60" i="116" s="1"/>
  <c r="Q42" i="160"/>
  <c r="Q64" i="160" s="1"/>
  <c r="O60" i="116" s="1"/>
  <c r="P59" i="160"/>
  <c r="P60" i="160" s="1"/>
  <c r="N54" i="160"/>
  <c r="J20" i="116" s="1"/>
  <c r="F280" i="123"/>
  <c r="J59" i="160"/>
  <c r="J60" i="160" s="1"/>
  <c r="M59" i="160"/>
  <c r="M60" i="160" s="1"/>
  <c r="Y23" i="160"/>
  <c r="Q53" i="160"/>
  <c r="O19" i="116" s="1"/>
  <c r="S23" i="160"/>
  <c r="K27" i="160"/>
  <c r="K65" i="160" s="1"/>
  <c r="E61" i="116" s="1"/>
  <c r="H61" i="116" s="1"/>
  <c r="I61" i="116" s="1"/>
  <c r="Q27" i="160"/>
  <c r="Q65" i="160" s="1"/>
  <c r="O61" i="116" s="1"/>
  <c r="N27" i="160"/>
  <c r="N65" i="160" s="1"/>
  <c r="J61" i="116" s="1"/>
  <c r="J61" i="70" s="1"/>
  <c r="Q33" i="160"/>
  <c r="K33" i="160"/>
  <c r="N33" i="160"/>
  <c r="G292" i="123"/>
  <c r="F292" i="123"/>
  <c r="Q30" i="160"/>
  <c r="M44" i="160"/>
  <c r="N31" i="160"/>
  <c r="Q39" i="160"/>
  <c r="N39" i="160"/>
  <c r="AS25" i="124"/>
  <c r="K82" i="125" s="1"/>
  <c r="N82" i="125" s="1"/>
  <c r="F262" i="123"/>
  <c r="G262" i="123"/>
  <c r="S23" i="124"/>
  <c r="J80" i="125" s="1"/>
  <c r="F303" i="123"/>
  <c r="G303" i="123"/>
  <c r="R23" i="124"/>
  <c r="J64" i="125" s="1"/>
  <c r="G250" i="123"/>
  <c r="N30" i="160"/>
  <c r="K31" i="160"/>
  <c r="K52" i="160"/>
  <c r="E18" i="116" s="1"/>
  <c r="AS27" i="124"/>
  <c r="K84" i="125" s="1"/>
  <c r="N84" i="125" s="1"/>
  <c r="O84" i="125" s="1"/>
  <c r="P44" i="160"/>
  <c r="AB23" i="160"/>
  <c r="AR26" i="124"/>
  <c r="K67" i="125" s="1"/>
  <c r="N67" i="125" s="1"/>
  <c r="O67" i="125" s="1"/>
  <c r="I83" i="125" s="1"/>
  <c r="O83" i="125" s="1"/>
  <c r="I102" i="125" s="1"/>
  <c r="F268" i="123"/>
  <c r="N52" i="160"/>
  <c r="J18" i="116" s="1"/>
  <c r="Q57" i="160"/>
  <c r="O23" i="116" s="1"/>
  <c r="Q55" i="160"/>
  <c r="O21" i="116" s="1"/>
  <c r="V23" i="160"/>
  <c r="Q54" i="160"/>
  <c r="O20" i="116" s="1"/>
  <c r="Q36" i="160"/>
  <c r="Q69" i="160" s="1"/>
  <c r="O65" i="116" s="1"/>
  <c r="K36" i="160"/>
  <c r="K69" i="160" s="1"/>
  <c r="E65" i="116" s="1"/>
  <c r="H65" i="116" s="1"/>
  <c r="I65" i="116" s="1"/>
  <c r="N36" i="160"/>
  <c r="N69" i="160" s="1"/>
  <c r="J65" i="116" s="1"/>
  <c r="J65" i="70" s="1"/>
  <c r="AR25" i="124"/>
  <c r="K66" i="125" s="1"/>
  <c r="N66" i="125" s="1"/>
  <c r="O66" i="125" s="1"/>
  <c r="I82" i="125" s="1"/>
  <c r="AR27" i="124"/>
  <c r="K68" i="125" s="1"/>
  <c r="N68" i="125" s="1"/>
  <c r="F250" i="123"/>
  <c r="P23" i="160"/>
  <c r="F109" i="125"/>
  <c r="F114" i="125"/>
  <c r="N22" i="160"/>
  <c r="N23" i="160" s="1"/>
  <c r="K41" i="160"/>
  <c r="K71" i="160" s="1"/>
  <c r="E67" i="116" s="1"/>
  <c r="Q41" i="160"/>
  <c r="Q71" i="160" s="1"/>
  <c r="O67" i="116" s="1"/>
  <c r="N41" i="160"/>
  <c r="N71" i="160" s="1"/>
  <c r="J67" i="116" s="1"/>
  <c r="K40" i="160"/>
  <c r="Q40" i="160"/>
  <c r="N40" i="160"/>
  <c r="Q37" i="160"/>
  <c r="K37" i="160"/>
  <c r="N37" i="160"/>
  <c r="Q52" i="160"/>
  <c r="O18" i="116" s="1"/>
  <c r="O18" i="70" s="1"/>
  <c r="Q28" i="160"/>
  <c r="N28" i="160"/>
  <c r="K28" i="160"/>
  <c r="Q35" i="160"/>
  <c r="K35" i="160"/>
  <c r="N35" i="160"/>
  <c r="J68" i="160"/>
  <c r="E64" i="115" s="1"/>
  <c r="H64" i="115" s="1"/>
  <c r="I64" i="115" s="1"/>
  <c r="J66" i="160"/>
  <c r="E62" i="115" s="1"/>
  <c r="E106" i="115" s="1"/>
  <c r="H106" i="115" s="1"/>
  <c r="I106" i="115" s="1"/>
  <c r="Q29" i="160"/>
  <c r="N29" i="160"/>
  <c r="K29" i="160"/>
  <c r="J65" i="160"/>
  <c r="E61" i="115" s="1"/>
  <c r="J44" i="160"/>
  <c r="AB24" i="160"/>
  <c r="Y24" i="160"/>
  <c r="P24" i="160"/>
  <c r="V24" i="160"/>
  <c r="M24" i="160"/>
  <c r="S24" i="160"/>
  <c r="M66" i="160"/>
  <c r="J62" i="115" s="1"/>
  <c r="N32" i="160"/>
  <c r="K32" i="160"/>
  <c r="Q32" i="160"/>
  <c r="Q34" i="160"/>
  <c r="Q67" i="160" s="1"/>
  <c r="O63" i="116" s="1"/>
  <c r="N34" i="160"/>
  <c r="N67" i="160" s="1"/>
  <c r="J63" i="116" s="1"/>
  <c r="J63" i="70" s="1"/>
  <c r="K34" i="160"/>
  <c r="K67" i="160" s="1"/>
  <c r="E63" i="116" s="1"/>
  <c r="T22" i="160"/>
  <c r="T23" i="160" s="1"/>
  <c r="Q22" i="160"/>
  <c r="Q23" i="160" s="1"/>
  <c r="P66" i="160"/>
  <c r="O62" i="115" s="1"/>
  <c r="O106" i="115" s="1"/>
  <c r="Z22" i="160"/>
  <c r="Z23" i="160" s="1"/>
  <c r="AC22" i="160"/>
  <c r="AC23" i="160" s="1"/>
  <c r="W22" i="160"/>
  <c r="W23" i="160" s="1"/>
  <c r="J104" i="116" l="1"/>
  <c r="AB73" i="160"/>
  <c r="H22" i="116"/>
  <c r="I22" i="116" s="1"/>
  <c r="M22" i="116" s="1"/>
  <c r="N22" i="116" s="1"/>
  <c r="H132" i="176"/>
  <c r="K132" i="176" s="1"/>
  <c r="J78" i="176"/>
  <c r="H60" i="176"/>
  <c r="H84" i="176"/>
  <c r="K84" i="176" s="1"/>
  <c r="M64" i="115"/>
  <c r="N64" i="115" s="1"/>
  <c r="R64" i="115" s="1"/>
  <c r="S64" i="115" s="1"/>
  <c r="W64" i="115" s="1"/>
  <c r="D78" i="115" s="1"/>
  <c r="H78" i="115" s="1"/>
  <c r="I78" i="115" s="1"/>
  <c r="M78" i="115" s="1"/>
  <c r="N78" i="115" s="1"/>
  <c r="R78" i="115" s="1"/>
  <c r="S78" i="115" s="1"/>
  <c r="O104" i="116"/>
  <c r="J110" i="116"/>
  <c r="AT54" i="124"/>
  <c r="F320" i="123"/>
  <c r="G320" i="123"/>
  <c r="R53" i="124"/>
  <c r="AR53" i="124" s="1"/>
  <c r="N258" i="125"/>
  <c r="J258" i="125" s="1"/>
  <c r="O258" i="125" s="1"/>
  <c r="I277" i="125" s="1"/>
  <c r="AT53" i="124"/>
  <c r="M107" i="115"/>
  <c r="N107" i="115" s="1"/>
  <c r="R107" i="115" s="1"/>
  <c r="S107" i="115" s="1"/>
  <c r="W107" i="115" s="1"/>
  <c r="D121" i="115" s="1"/>
  <c r="H121" i="115" s="1"/>
  <c r="I121" i="115" s="1"/>
  <c r="M121" i="115" s="1"/>
  <c r="N121" i="115" s="1"/>
  <c r="R121" i="115" s="1"/>
  <c r="S121" i="115" s="1"/>
  <c r="H19" i="116"/>
  <c r="I19" i="116" s="1"/>
  <c r="M19" i="116" s="1"/>
  <c r="N19" i="116" s="1"/>
  <c r="R19" i="116" s="1"/>
  <c r="S19" i="116" s="1"/>
  <c r="W19" i="116" s="1"/>
  <c r="J111" i="116"/>
  <c r="E107" i="116"/>
  <c r="H107" i="116" s="1"/>
  <c r="I107" i="116" s="1"/>
  <c r="J82" i="115"/>
  <c r="J13" i="58" s="1"/>
  <c r="R51" i="124"/>
  <c r="AR51" i="124" s="1"/>
  <c r="E110" i="116"/>
  <c r="H110" i="116" s="1"/>
  <c r="I110" i="116" s="1"/>
  <c r="M110" i="116" s="1"/>
  <c r="N110" i="116" s="1"/>
  <c r="M17" i="116"/>
  <c r="N17" i="116" s="1"/>
  <c r="R17" i="116" s="1"/>
  <c r="S17" i="116" s="1"/>
  <c r="W17" i="116" s="1"/>
  <c r="D31" i="116" s="1"/>
  <c r="H31" i="116" s="1"/>
  <c r="I31" i="116" s="1"/>
  <c r="M31" i="116" s="1"/>
  <c r="N31" i="116" s="1"/>
  <c r="R31" i="116" s="1"/>
  <c r="S31" i="116" s="1"/>
  <c r="J377" i="125"/>
  <c r="X53" i="124" s="1"/>
  <c r="AX53" i="124"/>
  <c r="AW52" i="124"/>
  <c r="J376" i="125"/>
  <c r="X52" i="124" s="1"/>
  <c r="AX52" i="124"/>
  <c r="J378" i="125"/>
  <c r="X54" i="124" s="1"/>
  <c r="AX54" i="124"/>
  <c r="E119" i="116"/>
  <c r="J105" i="116"/>
  <c r="M111" i="115"/>
  <c r="N111" i="115" s="1"/>
  <c r="R111" i="115" s="1"/>
  <c r="S111" i="115" s="1"/>
  <c r="W111" i="115" s="1"/>
  <c r="D125" i="115" s="1"/>
  <c r="H125" i="115" s="1"/>
  <c r="I125" i="115" s="1"/>
  <c r="M125" i="115" s="1"/>
  <c r="N125" i="115" s="1"/>
  <c r="R125" i="115" s="1"/>
  <c r="S125" i="115" s="1"/>
  <c r="J109" i="70"/>
  <c r="J67" i="70"/>
  <c r="J111" i="70" s="1"/>
  <c r="J66" i="70"/>
  <c r="J110" i="70" s="1"/>
  <c r="J109" i="116"/>
  <c r="J105" i="70"/>
  <c r="H16" i="116"/>
  <c r="I16" i="116" s="1"/>
  <c r="E68" i="115"/>
  <c r="J123" i="70"/>
  <c r="F132" i="176"/>
  <c r="J125" i="116"/>
  <c r="Y73" i="160"/>
  <c r="J118" i="116"/>
  <c r="F66" i="176"/>
  <c r="D49" i="176"/>
  <c r="D66" i="176" s="1"/>
  <c r="F44" i="176"/>
  <c r="M61" i="116"/>
  <c r="N61" i="116" s="1"/>
  <c r="R61" i="116" s="1"/>
  <c r="S61" i="116" s="1"/>
  <c r="W61" i="116" s="1"/>
  <c r="D75" i="116" s="1"/>
  <c r="H75" i="116" s="1"/>
  <c r="I75" i="116" s="1"/>
  <c r="M75" i="116" s="1"/>
  <c r="N75" i="116" s="1"/>
  <c r="AT50" i="124"/>
  <c r="J60" i="70"/>
  <c r="J104" i="70" s="1"/>
  <c r="E104" i="116"/>
  <c r="H104" i="116" s="1"/>
  <c r="AU51" i="124"/>
  <c r="W18" i="115"/>
  <c r="D32" i="115" s="1"/>
  <c r="H32" i="115" s="1"/>
  <c r="I32" i="115" s="1"/>
  <c r="E17" i="70"/>
  <c r="H17" i="70" s="1"/>
  <c r="I17" i="70" s="1"/>
  <c r="M17" i="70" s="1"/>
  <c r="N17" i="70" s="1"/>
  <c r="R17" i="70" s="1"/>
  <c r="S17" i="70" s="1"/>
  <c r="W17" i="70" s="1"/>
  <c r="D31" i="70" s="1"/>
  <c r="H31" i="70" s="1"/>
  <c r="I31" i="70" s="1"/>
  <c r="M31" i="70" s="1"/>
  <c r="N31" i="70" s="1"/>
  <c r="R31" i="70" s="1"/>
  <c r="S31" i="70" s="1"/>
  <c r="W31" i="70" s="1"/>
  <c r="D45" i="70" s="1"/>
  <c r="H45" i="70" s="1"/>
  <c r="I45" i="70" s="1"/>
  <c r="M45" i="70" s="1"/>
  <c r="N45" i="70" s="1"/>
  <c r="R45" i="70" s="1"/>
  <c r="S45" i="70" s="1"/>
  <c r="W45" i="70" s="1"/>
  <c r="M109" i="115"/>
  <c r="N109" i="115" s="1"/>
  <c r="R109" i="115" s="1"/>
  <c r="S109" i="115" s="1"/>
  <c r="W109" i="115" s="1"/>
  <c r="D123" i="115" s="1"/>
  <c r="H123" i="115" s="1"/>
  <c r="I123" i="115" s="1"/>
  <c r="M123" i="115" s="1"/>
  <c r="N123" i="115" s="1"/>
  <c r="R123" i="115" s="1"/>
  <c r="S123" i="115" s="1"/>
  <c r="J106" i="115"/>
  <c r="J112" i="115" s="1"/>
  <c r="N279" i="125"/>
  <c r="S54" i="124"/>
  <c r="N276" i="125"/>
  <c r="S51" i="124"/>
  <c r="F154" i="176"/>
  <c r="D115" i="176"/>
  <c r="D132" i="176" s="1"/>
  <c r="K133" i="176" s="1"/>
  <c r="D27" i="176"/>
  <c r="D44" i="176" s="1"/>
  <c r="F23" i="176"/>
  <c r="D6" i="176"/>
  <c r="D23" i="176" s="1"/>
  <c r="J107" i="116"/>
  <c r="M107" i="116" s="1"/>
  <c r="N107" i="116" s="1"/>
  <c r="K23" i="176"/>
  <c r="H23" i="176"/>
  <c r="H23" i="116"/>
  <c r="I23" i="116" s="1"/>
  <c r="M23" i="116" s="1"/>
  <c r="N23" i="116" s="1"/>
  <c r="R23" i="116" s="1"/>
  <c r="S23" i="116" s="1"/>
  <c r="W23" i="116" s="1"/>
  <c r="D37" i="116" s="1"/>
  <c r="H37" i="116" s="1"/>
  <c r="I37" i="116" s="1"/>
  <c r="M37" i="116" s="1"/>
  <c r="N37" i="116" s="1"/>
  <c r="R37" i="116" s="1"/>
  <c r="S37" i="116" s="1"/>
  <c r="W37" i="116" s="1"/>
  <c r="D51" i="116" s="1"/>
  <c r="H51" i="116" s="1"/>
  <c r="I51" i="116" s="1"/>
  <c r="M51" i="116" s="1"/>
  <c r="N51" i="116" s="1"/>
  <c r="R51" i="116" s="1"/>
  <c r="S51" i="116" s="1"/>
  <c r="W51" i="116" s="1"/>
  <c r="V73" i="160"/>
  <c r="J68" i="115"/>
  <c r="F13" i="58" s="1"/>
  <c r="E73" i="78" s="1"/>
  <c r="J73" i="78" s="1"/>
  <c r="O105" i="116"/>
  <c r="J121" i="116"/>
  <c r="K74" i="125"/>
  <c r="J74" i="125"/>
  <c r="S16" i="124" s="1"/>
  <c r="J121" i="70"/>
  <c r="K60" i="176"/>
  <c r="H66" i="176"/>
  <c r="K66" i="176" s="1"/>
  <c r="E111" i="116"/>
  <c r="H111" i="116" s="1"/>
  <c r="I111" i="116" s="1"/>
  <c r="N275" i="125"/>
  <c r="S50" i="124"/>
  <c r="N274" i="125"/>
  <c r="G564" i="123"/>
  <c r="F564" i="123"/>
  <c r="N277" i="125"/>
  <c r="S52" i="124"/>
  <c r="AS52" i="124" s="1"/>
  <c r="J107" i="70"/>
  <c r="N278" i="125"/>
  <c r="S53" i="124"/>
  <c r="M65" i="116"/>
  <c r="N65" i="116" s="1"/>
  <c r="R65" i="116" s="1"/>
  <c r="S65" i="116" s="1"/>
  <c r="W65" i="116" s="1"/>
  <c r="D79" i="116" s="1"/>
  <c r="H79" i="116" s="1"/>
  <c r="I79" i="116" s="1"/>
  <c r="M79" i="116" s="1"/>
  <c r="N79" i="116" s="1"/>
  <c r="R79" i="116" s="1"/>
  <c r="S79" i="116" s="1"/>
  <c r="D148" i="176"/>
  <c r="D154" i="176" s="1"/>
  <c r="K155" i="176" s="1"/>
  <c r="O118" i="116"/>
  <c r="O125" i="70"/>
  <c r="O125" i="116"/>
  <c r="AC68" i="160"/>
  <c r="O78" i="116" s="1"/>
  <c r="O122" i="116" s="1"/>
  <c r="O124" i="116"/>
  <c r="O79" i="70"/>
  <c r="O123" i="70" s="1"/>
  <c r="O121" i="116"/>
  <c r="AC66" i="160"/>
  <c r="O76" i="116" s="1"/>
  <c r="O76" i="70" s="1"/>
  <c r="O121" i="70"/>
  <c r="AC44" i="160"/>
  <c r="AC65" i="160"/>
  <c r="O82" i="115"/>
  <c r="K13" i="58" s="1"/>
  <c r="E379" i="78" s="1"/>
  <c r="J379" i="78" s="1"/>
  <c r="O119" i="115"/>
  <c r="O34" i="70"/>
  <c r="O36" i="70"/>
  <c r="O124" i="70" s="1"/>
  <c r="G609" i="123"/>
  <c r="N375" i="125"/>
  <c r="F609" i="123"/>
  <c r="J178" i="125"/>
  <c r="AX24" i="124"/>
  <c r="K178" i="125" s="1"/>
  <c r="O120" i="115"/>
  <c r="O38" i="115"/>
  <c r="AC59" i="160"/>
  <c r="AC60" i="160" s="1"/>
  <c r="O32" i="116"/>
  <c r="E124" i="70"/>
  <c r="D110" i="176"/>
  <c r="F110" i="176"/>
  <c r="K100" i="176"/>
  <c r="J110" i="176"/>
  <c r="K110" i="176" s="1"/>
  <c r="T68" i="160"/>
  <c r="T64" i="116" s="1"/>
  <c r="T64" i="70" s="1"/>
  <c r="N126" i="125"/>
  <c r="S73" i="160"/>
  <c r="T111" i="116"/>
  <c r="D88" i="176"/>
  <c r="K78" i="176"/>
  <c r="J88" i="176"/>
  <c r="F88" i="176"/>
  <c r="E108" i="115"/>
  <c r="H108" i="115" s="1"/>
  <c r="I108" i="115" s="1"/>
  <c r="M108" i="115" s="1"/>
  <c r="N108" i="115" s="1"/>
  <c r="E105" i="116"/>
  <c r="H105" i="116" s="1"/>
  <c r="I105" i="116" s="1"/>
  <c r="G552" i="123"/>
  <c r="R110" i="115"/>
  <c r="S110" i="115" s="1"/>
  <c r="W110" i="115" s="1"/>
  <c r="D124" i="115" s="1"/>
  <c r="H124" i="115" s="1"/>
  <c r="I124" i="115" s="1"/>
  <c r="M124" i="115" s="1"/>
  <c r="N124" i="115" s="1"/>
  <c r="R124" i="115" s="1"/>
  <c r="S124" i="115" s="1"/>
  <c r="H23" i="70"/>
  <c r="I23" i="70" s="1"/>
  <c r="M23" i="70" s="1"/>
  <c r="N23" i="70" s="1"/>
  <c r="E67" i="70"/>
  <c r="H67" i="70" s="1"/>
  <c r="I67" i="70" s="1"/>
  <c r="H67" i="116"/>
  <c r="I67" i="116" s="1"/>
  <c r="M67" i="116" s="1"/>
  <c r="N67" i="116" s="1"/>
  <c r="R67" i="116" s="1"/>
  <c r="S67" i="116" s="1"/>
  <c r="W67" i="116" s="1"/>
  <c r="D81" i="116" s="1"/>
  <c r="H81" i="116" s="1"/>
  <c r="I81" i="116" s="1"/>
  <c r="M81" i="116" s="1"/>
  <c r="N81" i="116" s="1"/>
  <c r="R81" i="116" s="1"/>
  <c r="S81" i="116" s="1"/>
  <c r="E109" i="116"/>
  <c r="H109" i="116" s="1"/>
  <c r="I109" i="116" s="1"/>
  <c r="H21" i="116"/>
  <c r="I21" i="116" s="1"/>
  <c r="M21" i="116" s="1"/>
  <c r="N21" i="116" s="1"/>
  <c r="R21" i="116" s="1"/>
  <c r="S21" i="116" s="1"/>
  <c r="W21" i="116" s="1"/>
  <c r="H60" i="70"/>
  <c r="E104" i="70"/>
  <c r="H104" i="70" s="1"/>
  <c r="J257" i="125"/>
  <c r="O257" i="125" s="1"/>
  <c r="I276" i="125" s="1"/>
  <c r="K257" i="125"/>
  <c r="H22" i="70"/>
  <c r="I22" i="70" s="1"/>
  <c r="M22" i="70" s="1"/>
  <c r="N22" i="70" s="1"/>
  <c r="E66" i="70"/>
  <c r="H66" i="70" s="1"/>
  <c r="I66" i="70" s="1"/>
  <c r="H66" i="116"/>
  <c r="I66" i="116" s="1"/>
  <c r="M66" i="116" s="1"/>
  <c r="N66" i="116" s="1"/>
  <c r="R66" i="116" s="1"/>
  <c r="S66" i="116" s="1"/>
  <c r="W66" i="116" s="1"/>
  <c r="D80" i="116" s="1"/>
  <c r="H80" i="116" s="1"/>
  <c r="I80" i="116" s="1"/>
  <c r="M80" i="116" s="1"/>
  <c r="N80" i="116" s="1"/>
  <c r="R80" i="116" s="1"/>
  <c r="S80" i="116" s="1"/>
  <c r="E65" i="70"/>
  <c r="H65" i="70" s="1"/>
  <c r="I65" i="70" s="1"/>
  <c r="M65" i="70" s="1"/>
  <c r="N65" i="70" s="1"/>
  <c r="H62" i="115"/>
  <c r="I62" i="115" s="1"/>
  <c r="M62" i="115" s="1"/>
  <c r="N62" i="115" s="1"/>
  <c r="R62" i="115" s="1"/>
  <c r="S62" i="115" s="1"/>
  <c r="W62" i="115" s="1"/>
  <c r="D76" i="115" s="1"/>
  <c r="H76" i="115" s="1"/>
  <c r="I76" i="115" s="1"/>
  <c r="M76" i="115" s="1"/>
  <c r="N76" i="115" s="1"/>
  <c r="R76" i="115" s="1"/>
  <c r="S76" i="115" s="1"/>
  <c r="N260" i="125"/>
  <c r="R54" i="124"/>
  <c r="AR54" i="124" s="1"/>
  <c r="H60" i="116"/>
  <c r="K259" i="125"/>
  <c r="J259" i="125"/>
  <c r="O259" i="125" s="1"/>
  <c r="I278" i="125" s="1"/>
  <c r="I104" i="115"/>
  <c r="E63" i="70"/>
  <c r="H63" i="70" s="1"/>
  <c r="I63" i="70" s="1"/>
  <c r="M63" i="70" s="1"/>
  <c r="N63" i="70" s="1"/>
  <c r="H63" i="116"/>
  <c r="I63" i="116" s="1"/>
  <c r="M63" i="116" s="1"/>
  <c r="N63" i="116" s="1"/>
  <c r="R63" i="116" s="1"/>
  <c r="S63" i="116" s="1"/>
  <c r="W63" i="116" s="1"/>
  <c r="D77" i="116" s="1"/>
  <c r="H77" i="116" s="1"/>
  <c r="I77" i="116" s="1"/>
  <c r="M77" i="116" s="1"/>
  <c r="N77" i="116" s="1"/>
  <c r="R77" i="116" s="1"/>
  <c r="S77" i="116" s="1"/>
  <c r="E61" i="70"/>
  <c r="H61" i="70" s="1"/>
  <c r="I61" i="70" s="1"/>
  <c r="M61" i="70" s="1"/>
  <c r="N61" i="70" s="1"/>
  <c r="H61" i="115"/>
  <c r="I61" i="115" s="1"/>
  <c r="M61" i="115" s="1"/>
  <c r="N61" i="115" s="1"/>
  <c r="R61" i="115" s="1"/>
  <c r="S61" i="115" s="1"/>
  <c r="W61" i="115" s="1"/>
  <c r="D75" i="115" s="1"/>
  <c r="H75" i="115" s="1"/>
  <c r="I75" i="115" s="1"/>
  <c r="M75" i="115" s="1"/>
  <c r="N75" i="115" s="1"/>
  <c r="R75" i="115" s="1"/>
  <c r="S75" i="115" s="1"/>
  <c r="E105" i="115"/>
  <c r="F552" i="123"/>
  <c r="I60" i="115"/>
  <c r="N256" i="125"/>
  <c r="R50" i="124"/>
  <c r="AR50" i="124" s="1"/>
  <c r="O60" i="70"/>
  <c r="O104" i="70" s="1"/>
  <c r="O108" i="115"/>
  <c r="O112" i="115" s="1"/>
  <c r="AT52" i="124"/>
  <c r="O68" i="115"/>
  <c r="G13" i="58" s="1"/>
  <c r="G576" i="123"/>
  <c r="F576" i="123"/>
  <c r="AT51" i="124"/>
  <c r="O63" i="70"/>
  <c r="O61" i="70"/>
  <c r="O24" i="116"/>
  <c r="O67" i="70"/>
  <c r="O65" i="70"/>
  <c r="R22" i="116"/>
  <c r="S22" i="116" s="1"/>
  <c r="W22" i="116" s="1"/>
  <c r="D36" i="116" s="1"/>
  <c r="H36" i="116" s="1"/>
  <c r="I36" i="116" s="1"/>
  <c r="M36" i="116" s="1"/>
  <c r="N36" i="116" s="1"/>
  <c r="R36" i="116" s="1"/>
  <c r="S36" i="116" s="1"/>
  <c r="AT23" i="124"/>
  <c r="K99" i="125" s="1"/>
  <c r="N99" i="125" s="1"/>
  <c r="N109" i="125" s="1"/>
  <c r="J99" i="125"/>
  <c r="AT16" i="124"/>
  <c r="K91" i="125"/>
  <c r="O66" i="70"/>
  <c r="O109" i="116"/>
  <c r="O21" i="70"/>
  <c r="O111" i="116"/>
  <c r="O23" i="70"/>
  <c r="O107" i="116"/>
  <c r="O19" i="70"/>
  <c r="O110" i="116"/>
  <c r="O22" i="70"/>
  <c r="O20" i="70"/>
  <c r="J122" i="125"/>
  <c r="AU23" i="124"/>
  <c r="K122" i="125" s="1"/>
  <c r="N122" i="125" s="1"/>
  <c r="T61" i="70"/>
  <c r="T105" i="116"/>
  <c r="T109" i="116"/>
  <c r="T59" i="160"/>
  <c r="T60" i="160" s="1"/>
  <c r="T20" i="116"/>
  <c r="N314" i="125"/>
  <c r="J314" i="125" s="1"/>
  <c r="U49" i="124" s="1"/>
  <c r="F588" i="123"/>
  <c r="G588" i="123"/>
  <c r="T21" i="70"/>
  <c r="T68" i="115"/>
  <c r="H13" i="58" s="1"/>
  <c r="T104" i="115"/>
  <c r="AU16" i="124"/>
  <c r="K114" i="125"/>
  <c r="T66" i="70"/>
  <c r="T66" i="160"/>
  <c r="T62" i="116" s="1"/>
  <c r="T106" i="116" s="1"/>
  <c r="D34" i="115"/>
  <c r="H34" i="115" s="1"/>
  <c r="I34" i="115" s="1"/>
  <c r="T65" i="70"/>
  <c r="D36" i="115"/>
  <c r="H36" i="115" s="1"/>
  <c r="I36" i="115" s="1"/>
  <c r="T63" i="70"/>
  <c r="T106" i="115"/>
  <c r="T18" i="70"/>
  <c r="T24" i="115"/>
  <c r="T107" i="116"/>
  <c r="T19" i="70"/>
  <c r="D35" i="115"/>
  <c r="H35" i="115" s="1"/>
  <c r="I35" i="115" s="1"/>
  <c r="T60" i="116"/>
  <c r="T110" i="116"/>
  <c r="T67" i="70"/>
  <c r="T111" i="70" s="1"/>
  <c r="T22" i="70"/>
  <c r="J37" i="70"/>
  <c r="J125" i="70" s="1"/>
  <c r="J74" i="70"/>
  <c r="J118" i="70" s="1"/>
  <c r="J124" i="116"/>
  <c r="J119" i="116"/>
  <c r="J120" i="115"/>
  <c r="J126" i="115" s="1"/>
  <c r="J124" i="70"/>
  <c r="J356" i="125"/>
  <c r="W51" i="124" s="1"/>
  <c r="AW51" i="124"/>
  <c r="G605" i="123"/>
  <c r="N354" i="125"/>
  <c r="J354" i="125" s="1"/>
  <c r="F605" i="123"/>
  <c r="Z68" i="160"/>
  <c r="J78" i="116" s="1"/>
  <c r="J78" i="70" s="1"/>
  <c r="J119" i="70"/>
  <c r="J123" i="116"/>
  <c r="J159" i="125"/>
  <c r="AW23" i="124"/>
  <c r="K159" i="125" s="1"/>
  <c r="N159" i="125" s="1"/>
  <c r="N165" i="125" s="1"/>
  <c r="AW30" i="124" s="1"/>
  <c r="AW53" i="124"/>
  <c r="E121" i="116"/>
  <c r="E33" i="70"/>
  <c r="E82" i="115"/>
  <c r="I13" i="58" s="1"/>
  <c r="E118" i="115"/>
  <c r="E74" i="116"/>
  <c r="E81" i="70"/>
  <c r="E125" i="70" s="1"/>
  <c r="N334" i="125"/>
  <c r="J334" i="125" s="1"/>
  <c r="G600" i="123"/>
  <c r="F600" i="123"/>
  <c r="N521" i="123"/>
  <c r="E124" i="116"/>
  <c r="E34" i="70"/>
  <c r="W68" i="160"/>
  <c r="E78" i="116" s="1"/>
  <c r="E125" i="116"/>
  <c r="W59" i="160"/>
  <c r="W60" i="160" s="1"/>
  <c r="E32" i="116"/>
  <c r="E77" i="70"/>
  <c r="E123" i="116"/>
  <c r="E35" i="70"/>
  <c r="E123" i="70" s="1"/>
  <c r="M33" i="115"/>
  <c r="N33" i="115" s="1"/>
  <c r="E75" i="70"/>
  <c r="J145" i="125"/>
  <c r="AV23" i="124"/>
  <c r="K145" i="125" s="1"/>
  <c r="N145" i="125" s="1"/>
  <c r="AV53" i="124"/>
  <c r="I37" i="115"/>
  <c r="W66" i="160"/>
  <c r="E76" i="116" s="1"/>
  <c r="M31" i="115"/>
  <c r="N31" i="115" s="1"/>
  <c r="H21" i="70"/>
  <c r="I21" i="70" s="1"/>
  <c r="M21" i="70" s="1"/>
  <c r="N21" i="70" s="1"/>
  <c r="I103" i="125"/>
  <c r="O103" i="125" s="1"/>
  <c r="I126" i="125" s="1"/>
  <c r="H20" i="116"/>
  <c r="I20" i="116" s="1"/>
  <c r="M20" i="116" s="1"/>
  <c r="N20" i="116" s="1"/>
  <c r="R20" i="116" s="1"/>
  <c r="S20" i="116" s="1"/>
  <c r="E20" i="70"/>
  <c r="J20" i="70"/>
  <c r="H18" i="116"/>
  <c r="I18" i="116" s="1"/>
  <c r="M18" i="116" s="1"/>
  <c r="N18" i="116" s="1"/>
  <c r="R18" i="116" s="1"/>
  <c r="S18" i="116" s="1"/>
  <c r="W18" i="116" s="1"/>
  <c r="E18" i="70"/>
  <c r="J34" i="70"/>
  <c r="H19" i="70"/>
  <c r="I19" i="70" s="1"/>
  <c r="M19" i="70" s="1"/>
  <c r="N19" i="70" s="1"/>
  <c r="J18" i="70"/>
  <c r="Z66" i="160"/>
  <c r="J76" i="116" s="1"/>
  <c r="J76" i="70" s="1"/>
  <c r="Z59" i="160"/>
  <c r="Z60" i="160" s="1"/>
  <c r="J32" i="116"/>
  <c r="E24" i="116"/>
  <c r="I24" i="115"/>
  <c r="M16" i="115"/>
  <c r="N16" i="115" s="1"/>
  <c r="R16" i="115" s="1"/>
  <c r="H24" i="115"/>
  <c r="H16" i="70"/>
  <c r="J24" i="116"/>
  <c r="M73" i="160"/>
  <c r="T44" i="160"/>
  <c r="AU52" i="124"/>
  <c r="W44" i="160"/>
  <c r="K68" i="160"/>
  <c r="E64" i="116" s="1"/>
  <c r="P73" i="160"/>
  <c r="Z44" i="160"/>
  <c r="W52" i="124"/>
  <c r="K59" i="160"/>
  <c r="K60" i="160" s="1"/>
  <c r="U51" i="124"/>
  <c r="N68" i="160"/>
  <c r="J64" i="116" s="1"/>
  <c r="J108" i="116" s="1"/>
  <c r="Q68" i="160"/>
  <c r="O64" i="116" s="1"/>
  <c r="O108" i="116" s="1"/>
  <c r="N59" i="160"/>
  <c r="N60" i="160" s="1"/>
  <c r="O65" i="125"/>
  <c r="I81" i="125" s="1"/>
  <c r="O81" i="125" s="1"/>
  <c r="I100" i="125" s="1"/>
  <c r="O100" i="125" s="1"/>
  <c r="I123" i="125" s="1"/>
  <c r="O123" i="125" s="1"/>
  <c r="I146" i="125" s="1"/>
  <c r="O146" i="125" s="1"/>
  <c r="I160" i="125" s="1"/>
  <c r="O160" i="125" s="1"/>
  <c r="I178" i="125" s="1"/>
  <c r="O82" i="125"/>
  <c r="I101" i="125" s="1"/>
  <c r="O101" i="125" s="1"/>
  <c r="I124" i="125" s="1"/>
  <c r="J91" i="125"/>
  <c r="AW50" i="124"/>
  <c r="W50" i="124"/>
  <c r="J170" i="125"/>
  <c r="AS23" i="124"/>
  <c r="AV50" i="124"/>
  <c r="V50" i="124"/>
  <c r="AV54" i="124"/>
  <c r="V54" i="124"/>
  <c r="AU54" i="124"/>
  <c r="U54" i="124"/>
  <c r="V52" i="124"/>
  <c r="AV52" i="124"/>
  <c r="J73" i="160"/>
  <c r="AT49" i="124"/>
  <c r="T49" i="124"/>
  <c r="N301" i="125"/>
  <c r="Q59" i="160"/>
  <c r="Q60" i="160" s="1"/>
  <c r="AU53" i="124"/>
  <c r="AU50" i="124"/>
  <c r="U50" i="124"/>
  <c r="J156" i="125"/>
  <c r="J114" i="125"/>
  <c r="U16" i="124" s="1"/>
  <c r="AV51" i="124"/>
  <c r="V51" i="124"/>
  <c r="AW54" i="124"/>
  <c r="W54" i="124"/>
  <c r="AR23" i="124"/>
  <c r="R30" i="124"/>
  <c r="J133" i="125"/>
  <c r="F133" i="125"/>
  <c r="F128" i="125"/>
  <c r="K66" i="160"/>
  <c r="K44" i="160"/>
  <c r="N66" i="160"/>
  <c r="J62" i="116" s="1"/>
  <c r="J62" i="70" s="1"/>
  <c r="N44" i="160"/>
  <c r="AC24" i="160"/>
  <c r="Z24" i="160"/>
  <c r="T24" i="160"/>
  <c r="N24" i="160"/>
  <c r="W24" i="160"/>
  <c r="Q24" i="160"/>
  <c r="Q66" i="160"/>
  <c r="O62" i="116" s="1"/>
  <c r="Q44" i="160"/>
  <c r="H88" i="176" l="1"/>
  <c r="K258" i="125"/>
  <c r="E317" i="78"/>
  <c r="J317" i="78" s="1"/>
  <c r="E196" i="78"/>
  <c r="J196" i="78" s="1"/>
  <c r="E136" i="78"/>
  <c r="J136" i="78" s="1"/>
  <c r="E257" i="78"/>
  <c r="J257" i="78" s="1"/>
  <c r="I17" i="54"/>
  <c r="M111" i="116"/>
  <c r="N111" i="116" s="1"/>
  <c r="M109" i="116"/>
  <c r="N109" i="116" s="1"/>
  <c r="R109" i="116" s="1"/>
  <c r="S109" i="116" s="1"/>
  <c r="W109" i="116" s="1"/>
  <c r="D123" i="116" s="1"/>
  <c r="H123" i="116" s="1"/>
  <c r="I123" i="116" s="1"/>
  <c r="M123" i="116" s="1"/>
  <c r="N123" i="116" s="1"/>
  <c r="R123" i="116" s="1"/>
  <c r="S123" i="116" s="1"/>
  <c r="AS53" i="124"/>
  <c r="M67" i="70"/>
  <c r="N67" i="70" s="1"/>
  <c r="R67" i="70" s="1"/>
  <c r="S67" i="70" s="1"/>
  <c r="W67" i="70" s="1"/>
  <c r="D81" i="70" s="1"/>
  <c r="H81" i="70" s="1"/>
  <c r="I81" i="70" s="1"/>
  <c r="M81" i="70" s="1"/>
  <c r="N81" i="70" s="1"/>
  <c r="R81" i="70" s="1"/>
  <c r="S81" i="70" s="1"/>
  <c r="W31" i="116"/>
  <c r="D45" i="116" s="1"/>
  <c r="H45" i="116" s="1"/>
  <c r="I45" i="116" s="1"/>
  <c r="M45" i="116" s="1"/>
  <c r="N45" i="116" s="1"/>
  <c r="R45" i="116" s="1"/>
  <c r="S45" i="116" s="1"/>
  <c r="W45" i="116" s="1"/>
  <c r="M105" i="116"/>
  <c r="N105" i="116" s="1"/>
  <c r="R105" i="116" s="1"/>
  <c r="S105" i="116" s="1"/>
  <c r="W105" i="116" s="1"/>
  <c r="D119" i="116" s="1"/>
  <c r="H119" i="116" s="1"/>
  <c r="I119" i="116" s="1"/>
  <c r="M119" i="116" s="1"/>
  <c r="N119" i="116" s="1"/>
  <c r="M66" i="70"/>
  <c r="N66" i="70" s="1"/>
  <c r="R66" i="70" s="1"/>
  <c r="S66" i="70" s="1"/>
  <c r="W66" i="70" s="1"/>
  <c r="D80" i="70" s="1"/>
  <c r="H80" i="70" s="1"/>
  <c r="I80" i="70" s="1"/>
  <c r="M80" i="70" s="1"/>
  <c r="N80" i="70" s="1"/>
  <c r="R80" i="70" s="1"/>
  <c r="S80" i="70" s="1"/>
  <c r="J106" i="116"/>
  <c r="J112" i="116" s="1"/>
  <c r="K111" i="176"/>
  <c r="W36" i="116"/>
  <c r="D50" i="116" s="1"/>
  <c r="H50" i="116" s="1"/>
  <c r="I50" i="116" s="1"/>
  <c r="M50" i="116" s="1"/>
  <c r="N50" i="116" s="1"/>
  <c r="R50" i="116" s="1"/>
  <c r="S50" i="116" s="1"/>
  <c r="W50" i="116" s="1"/>
  <c r="J375" i="125"/>
  <c r="X51" i="124" s="1"/>
  <c r="AX51" i="124"/>
  <c r="N321" i="125"/>
  <c r="AS50" i="124"/>
  <c r="AS54" i="124"/>
  <c r="K67" i="176"/>
  <c r="J64" i="70"/>
  <c r="J68" i="70" s="1"/>
  <c r="J86" i="125"/>
  <c r="E11" i="120" s="1"/>
  <c r="M106" i="115"/>
  <c r="N106" i="115" s="1"/>
  <c r="R106" i="115" s="1"/>
  <c r="S106" i="115" s="1"/>
  <c r="W106" i="115" s="1"/>
  <c r="D120" i="115" s="1"/>
  <c r="H120" i="115" s="1"/>
  <c r="I120" i="115" s="1"/>
  <c r="M120" i="115" s="1"/>
  <c r="N120" i="115" s="1"/>
  <c r="R120" i="115" s="1"/>
  <c r="S120" i="115" s="1"/>
  <c r="E13" i="58"/>
  <c r="E11" i="78" s="1"/>
  <c r="J11" i="78" s="1"/>
  <c r="E69" i="115"/>
  <c r="R65" i="70"/>
  <c r="S65" i="70" s="1"/>
  <c r="W65" i="70" s="1"/>
  <c r="D79" i="70" s="1"/>
  <c r="H79" i="70" s="1"/>
  <c r="I79" i="70" s="1"/>
  <c r="M79" i="70" s="1"/>
  <c r="N79" i="70" s="1"/>
  <c r="R79" i="70" s="1"/>
  <c r="S79" i="70" s="1"/>
  <c r="N341" i="125"/>
  <c r="AV49" i="124"/>
  <c r="AV56" i="124" s="1"/>
  <c r="J122" i="116"/>
  <c r="J122" i="70"/>
  <c r="J275" i="125"/>
  <c r="K275" i="125"/>
  <c r="K276" i="125"/>
  <c r="J276" i="125"/>
  <c r="O276" i="125" s="1"/>
  <c r="AS51" i="124"/>
  <c r="J279" i="125"/>
  <c r="K279" i="125"/>
  <c r="T107" i="70"/>
  <c r="K88" i="176"/>
  <c r="K89" i="176" s="1"/>
  <c r="J68" i="116"/>
  <c r="F51" i="58" s="1"/>
  <c r="R111" i="116"/>
  <c r="S111" i="116" s="1"/>
  <c r="W111" i="116" s="1"/>
  <c r="D125" i="116" s="1"/>
  <c r="H125" i="116" s="1"/>
  <c r="I125" i="116" s="1"/>
  <c r="M125" i="116" s="1"/>
  <c r="N125" i="116" s="1"/>
  <c r="R125" i="116" s="1"/>
  <c r="S125" i="116" s="1"/>
  <c r="AW49" i="124"/>
  <c r="AW56" i="124" s="1"/>
  <c r="J106" i="70"/>
  <c r="K278" i="125"/>
  <c r="J278" i="125"/>
  <c r="O278" i="125" s="1"/>
  <c r="N360" i="125"/>
  <c r="K277" i="125"/>
  <c r="J277" i="125"/>
  <c r="O277" i="125" s="1"/>
  <c r="N379" i="125"/>
  <c r="R108" i="115"/>
  <c r="S108" i="115" s="1"/>
  <c r="W108" i="115" s="1"/>
  <c r="D122" i="115" s="1"/>
  <c r="H122" i="115" s="1"/>
  <c r="I122" i="115" s="1"/>
  <c r="M122" i="115" s="1"/>
  <c r="N122" i="115" s="1"/>
  <c r="R122" i="115" s="1"/>
  <c r="S122" i="115" s="1"/>
  <c r="K274" i="125"/>
  <c r="AS49" i="124"/>
  <c r="N282" i="125"/>
  <c r="E17" i="54"/>
  <c r="K80" i="125"/>
  <c r="N80" i="125" s="1"/>
  <c r="N86" i="125" s="1"/>
  <c r="AS16" i="124" s="1"/>
  <c r="AS30" i="124" s="1"/>
  <c r="J183" i="125"/>
  <c r="X30" i="124" s="1"/>
  <c r="J11" i="120" s="1"/>
  <c r="AX56" i="124"/>
  <c r="AX58" i="124" s="1"/>
  <c r="E11" i="114"/>
  <c r="F16" i="61"/>
  <c r="T110" i="70"/>
  <c r="O78" i="70"/>
  <c r="O122" i="70" s="1"/>
  <c r="J17" i="54"/>
  <c r="O126" i="115"/>
  <c r="O75" i="116"/>
  <c r="AC73" i="160"/>
  <c r="G615" i="123"/>
  <c r="O120" i="116"/>
  <c r="O38" i="116"/>
  <c r="N178" i="125"/>
  <c r="N183" i="125" s="1"/>
  <c r="AX30" i="124" s="1"/>
  <c r="J13" i="120" s="1"/>
  <c r="J15" i="120" s="1"/>
  <c r="K183" i="125"/>
  <c r="O32" i="70"/>
  <c r="W73" i="160"/>
  <c r="E121" i="70"/>
  <c r="T73" i="160"/>
  <c r="AU49" i="124"/>
  <c r="AU56" i="124" s="1"/>
  <c r="H17" i="54"/>
  <c r="G17" i="54"/>
  <c r="F17" i="54"/>
  <c r="O109" i="70"/>
  <c r="K109" i="125"/>
  <c r="R19" i="70"/>
  <c r="S19" i="70" s="1"/>
  <c r="W19" i="70" s="1"/>
  <c r="D33" i="70" s="1"/>
  <c r="H33" i="70" s="1"/>
  <c r="I33" i="70" s="1"/>
  <c r="M33" i="70" s="1"/>
  <c r="N33" i="70" s="1"/>
  <c r="R33" i="70" s="1"/>
  <c r="S33" i="70" s="1"/>
  <c r="W33" i="70" s="1"/>
  <c r="D47" i="70" s="1"/>
  <c r="H47" i="70" s="1"/>
  <c r="I47" i="70" s="1"/>
  <c r="M47" i="70" s="1"/>
  <c r="N47" i="70" s="1"/>
  <c r="R47" i="70" s="1"/>
  <c r="S47" i="70" s="1"/>
  <c r="W47" i="70" s="1"/>
  <c r="E107" i="70"/>
  <c r="H107" i="70" s="1"/>
  <c r="I107" i="70" s="1"/>
  <c r="M107" i="70" s="1"/>
  <c r="N107" i="70" s="1"/>
  <c r="R63" i="70"/>
  <c r="S63" i="70" s="1"/>
  <c r="W63" i="70" s="1"/>
  <c r="D77" i="70" s="1"/>
  <c r="H77" i="70" s="1"/>
  <c r="I77" i="70" s="1"/>
  <c r="M77" i="70" s="1"/>
  <c r="N77" i="70" s="1"/>
  <c r="R77" i="70" s="1"/>
  <c r="S77" i="70" s="1"/>
  <c r="H24" i="116"/>
  <c r="H68" i="115"/>
  <c r="M60" i="115"/>
  <c r="I68" i="115"/>
  <c r="AR30" i="124"/>
  <c r="AR32" i="124" s="1"/>
  <c r="AR33" i="124" s="1"/>
  <c r="K64" i="125"/>
  <c r="E64" i="70"/>
  <c r="H64" i="70" s="1"/>
  <c r="I64" i="70" s="1"/>
  <c r="H64" i="116"/>
  <c r="I64" i="116" s="1"/>
  <c r="M64" i="116" s="1"/>
  <c r="N64" i="116" s="1"/>
  <c r="R64" i="116" s="1"/>
  <c r="S64" i="116" s="1"/>
  <c r="W64" i="116" s="1"/>
  <c r="D78" i="116" s="1"/>
  <c r="H78" i="116" s="1"/>
  <c r="I78" i="116" s="1"/>
  <c r="M78" i="116" s="1"/>
  <c r="N78" i="116" s="1"/>
  <c r="R78" i="116" s="1"/>
  <c r="S78" i="116" s="1"/>
  <c r="H105" i="115"/>
  <c r="E112" i="115"/>
  <c r="K73" i="160"/>
  <c r="E62" i="116"/>
  <c r="I60" i="70"/>
  <c r="I60" i="116"/>
  <c r="E105" i="70"/>
  <c r="H105" i="70" s="1"/>
  <c r="I105" i="70" s="1"/>
  <c r="M105" i="70" s="1"/>
  <c r="N105" i="70" s="1"/>
  <c r="K256" i="125"/>
  <c r="J256" i="125"/>
  <c r="O256" i="125" s="1"/>
  <c r="K260" i="125"/>
  <c r="J260" i="125"/>
  <c r="O260" i="125" s="1"/>
  <c r="I279" i="125" s="1"/>
  <c r="H18" i="70"/>
  <c r="I18" i="70" s="1"/>
  <c r="M18" i="70" s="1"/>
  <c r="N18" i="70" s="1"/>
  <c r="R18" i="70" s="1"/>
  <c r="S18" i="70" s="1"/>
  <c r="W18" i="70" s="1"/>
  <c r="D32" i="70" s="1"/>
  <c r="E108" i="116"/>
  <c r="H108" i="116" s="1"/>
  <c r="I108" i="116" s="1"/>
  <c r="M108" i="116" s="1"/>
  <c r="N108" i="116" s="1"/>
  <c r="R108" i="116" s="1"/>
  <c r="S108" i="116" s="1"/>
  <c r="R61" i="70"/>
  <c r="S61" i="70" s="1"/>
  <c r="W61" i="70" s="1"/>
  <c r="D75" i="70" s="1"/>
  <c r="H75" i="70" s="1"/>
  <c r="I75" i="70" s="1"/>
  <c r="M75" i="70" s="1"/>
  <c r="N75" i="70" s="1"/>
  <c r="E110" i="70"/>
  <c r="H110" i="70" s="1"/>
  <c r="I110" i="70" s="1"/>
  <c r="M110" i="70" s="1"/>
  <c r="N110" i="70" s="1"/>
  <c r="E111" i="70"/>
  <c r="H111" i="70" s="1"/>
  <c r="I111" i="70" s="1"/>
  <c r="M111" i="70" s="1"/>
  <c r="N111" i="70" s="1"/>
  <c r="M104" i="115"/>
  <c r="E109" i="70"/>
  <c r="H109" i="70" s="1"/>
  <c r="I109" i="70" s="1"/>
  <c r="M109" i="70" s="1"/>
  <c r="N109" i="70" s="1"/>
  <c r="O110" i="70"/>
  <c r="O105" i="70"/>
  <c r="R110" i="116"/>
  <c r="S110" i="116" s="1"/>
  <c r="W110" i="116" s="1"/>
  <c r="D124" i="116" s="1"/>
  <c r="H124" i="116" s="1"/>
  <c r="I124" i="116" s="1"/>
  <c r="M124" i="116" s="1"/>
  <c r="N124" i="116" s="1"/>
  <c r="R124" i="116" s="1"/>
  <c r="S124" i="116" s="1"/>
  <c r="O126" i="125"/>
  <c r="I149" i="125" s="1"/>
  <c r="O107" i="70"/>
  <c r="O24" i="70"/>
  <c r="R22" i="70"/>
  <c r="S22" i="70" s="1"/>
  <c r="W22" i="70" s="1"/>
  <c r="D36" i="70" s="1"/>
  <c r="H36" i="70" s="1"/>
  <c r="I36" i="70" s="1"/>
  <c r="M36" i="70" s="1"/>
  <c r="N36" i="70" s="1"/>
  <c r="R36" i="70" s="1"/>
  <c r="S36" i="70" s="1"/>
  <c r="W36" i="70" s="1"/>
  <c r="D50" i="70" s="1"/>
  <c r="H50" i="70" s="1"/>
  <c r="I50" i="70" s="1"/>
  <c r="M50" i="70" s="1"/>
  <c r="N50" i="70" s="1"/>
  <c r="R50" i="70" s="1"/>
  <c r="S50" i="70" s="1"/>
  <c r="W50" i="70" s="1"/>
  <c r="R21" i="70"/>
  <c r="S21" i="70" s="1"/>
  <c r="W21" i="70" s="1"/>
  <c r="D35" i="70" s="1"/>
  <c r="H35" i="70" s="1"/>
  <c r="I35" i="70" s="1"/>
  <c r="M35" i="70" s="1"/>
  <c r="N35" i="70" s="1"/>
  <c r="R35" i="70" s="1"/>
  <c r="S35" i="70" s="1"/>
  <c r="W35" i="70" s="1"/>
  <c r="D49" i="70" s="1"/>
  <c r="H49" i="70" s="1"/>
  <c r="I49" i="70" s="1"/>
  <c r="M49" i="70" s="1"/>
  <c r="N49" i="70" s="1"/>
  <c r="R49" i="70" s="1"/>
  <c r="S49" i="70" s="1"/>
  <c r="W49" i="70" s="1"/>
  <c r="O111" i="70"/>
  <c r="Z80" i="116"/>
  <c r="O62" i="70"/>
  <c r="R23" i="70"/>
  <c r="S23" i="70" s="1"/>
  <c r="W23" i="70" s="1"/>
  <c r="D37" i="70" s="1"/>
  <c r="H37" i="70" s="1"/>
  <c r="I37" i="70" s="1"/>
  <c r="M37" i="70" s="1"/>
  <c r="N37" i="70" s="1"/>
  <c r="R37" i="70" s="1"/>
  <c r="S37" i="70" s="1"/>
  <c r="W37" i="70" s="1"/>
  <c r="D51" i="70" s="1"/>
  <c r="H51" i="70" s="1"/>
  <c r="I51" i="70" s="1"/>
  <c r="M51" i="70" s="1"/>
  <c r="N51" i="70" s="1"/>
  <c r="R51" i="70" s="1"/>
  <c r="S51" i="70" s="1"/>
  <c r="W51" i="70" s="1"/>
  <c r="AT56" i="124"/>
  <c r="AT58" i="124" s="1"/>
  <c r="O68" i="116"/>
  <c r="G51" i="58" s="1"/>
  <c r="R107" i="116"/>
  <c r="S107" i="116" s="1"/>
  <c r="W107" i="116" s="1"/>
  <c r="D121" i="116" s="1"/>
  <c r="H121" i="116" s="1"/>
  <c r="I121" i="116" s="1"/>
  <c r="M121" i="116" s="1"/>
  <c r="N121" i="116" s="1"/>
  <c r="R121" i="116" s="1"/>
  <c r="S121" i="116" s="1"/>
  <c r="O106" i="116"/>
  <c r="O112" i="116" s="1"/>
  <c r="AT30" i="124"/>
  <c r="AT32" i="124" s="1"/>
  <c r="AT33" i="124" s="1"/>
  <c r="O64" i="70"/>
  <c r="Z81" i="116"/>
  <c r="T81" i="116" s="1"/>
  <c r="W20" i="116"/>
  <c r="D33" i="116"/>
  <c r="H33" i="116" s="1"/>
  <c r="I33" i="116" s="1"/>
  <c r="M33" i="116" s="1"/>
  <c r="N33" i="116" s="1"/>
  <c r="R33" i="116" s="1"/>
  <c r="S33" i="116" s="1"/>
  <c r="T105" i="70"/>
  <c r="T112" i="115"/>
  <c r="D35" i="116"/>
  <c r="H35" i="116" s="1"/>
  <c r="I35" i="116" s="1"/>
  <c r="M35" i="116" s="1"/>
  <c r="N35" i="116" s="1"/>
  <c r="R35" i="116" s="1"/>
  <c r="S35" i="116" s="1"/>
  <c r="T109" i="70"/>
  <c r="D32" i="116"/>
  <c r="H32" i="116" s="1"/>
  <c r="I32" i="116" s="1"/>
  <c r="M32" i="116" s="1"/>
  <c r="N32" i="116" s="1"/>
  <c r="R32" i="116" s="1"/>
  <c r="S32" i="116" s="1"/>
  <c r="T60" i="70"/>
  <c r="T68" i="116"/>
  <c r="H51" i="58" s="1"/>
  <c r="T104" i="116"/>
  <c r="T62" i="70"/>
  <c r="T108" i="116"/>
  <c r="T20" i="70"/>
  <c r="T24" i="116"/>
  <c r="J82" i="116"/>
  <c r="J51" i="58" s="1"/>
  <c r="J82" i="70"/>
  <c r="K165" i="125"/>
  <c r="F615" i="123"/>
  <c r="Z73" i="160"/>
  <c r="E126" i="115"/>
  <c r="E78" i="70"/>
  <c r="M36" i="115"/>
  <c r="N36" i="115" s="1"/>
  <c r="E76" i="70"/>
  <c r="M34" i="115"/>
  <c r="N34" i="115" s="1"/>
  <c r="R33" i="115"/>
  <c r="S33" i="115" s="1"/>
  <c r="M35" i="115"/>
  <c r="N35" i="115" s="1"/>
  <c r="R35" i="115" s="1"/>
  <c r="S35" i="115" s="1"/>
  <c r="M32" i="115"/>
  <c r="N32" i="115" s="1"/>
  <c r="R31" i="115"/>
  <c r="S31" i="115" s="1"/>
  <c r="E120" i="116"/>
  <c r="E32" i="70"/>
  <c r="E122" i="116"/>
  <c r="E119" i="70"/>
  <c r="M37" i="115"/>
  <c r="N37" i="115" s="1"/>
  <c r="E74" i="70"/>
  <c r="E82" i="116"/>
  <c r="I51" i="58" s="1"/>
  <c r="E118" i="116"/>
  <c r="E38" i="116"/>
  <c r="J24" i="70"/>
  <c r="E24" i="70"/>
  <c r="J165" i="125"/>
  <c r="W16" i="124"/>
  <c r="J109" i="125"/>
  <c r="T16" i="124"/>
  <c r="J151" i="125"/>
  <c r="V16" i="124"/>
  <c r="N148" i="125"/>
  <c r="N125" i="125"/>
  <c r="N149" i="125"/>
  <c r="N124" i="125"/>
  <c r="K128" i="125"/>
  <c r="J128" i="125"/>
  <c r="U30" i="124" s="1"/>
  <c r="G11" i="120" s="1"/>
  <c r="I13" i="120"/>
  <c r="AW32" i="124"/>
  <c r="AW33" i="124" s="1"/>
  <c r="S30" i="124"/>
  <c r="I104" i="116"/>
  <c r="H20" i="70"/>
  <c r="I20" i="70" s="1"/>
  <c r="M20" i="70" s="1"/>
  <c r="N20" i="70" s="1"/>
  <c r="R20" i="70" s="1"/>
  <c r="S20" i="70" s="1"/>
  <c r="J32" i="70"/>
  <c r="J120" i="70" s="1"/>
  <c r="J120" i="116"/>
  <c r="J126" i="116" s="1"/>
  <c r="I104" i="70"/>
  <c r="J38" i="116"/>
  <c r="N24" i="115"/>
  <c r="I24" i="116"/>
  <c r="M16" i="116"/>
  <c r="M24" i="115"/>
  <c r="J69" i="115" s="1"/>
  <c r="I16" i="70"/>
  <c r="S16" i="115"/>
  <c r="R24" i="115"/>
  <c r="N73" i="160"/>
  <c r="Q73" i="160"/>
  <c r="V49" i="124"/>
  <c r="V56" i="124" s="1"/>
  <c r="H24" i="120" s="1"/>
  <c r="J341" i="125"/>
  <c r="J321" i="125"/>
  <c r="U53" i="124"/>
  <c r="U56" i="124" s="1"/>
  <c r="G24" i="120" s="1"/>
  <c r="J69" i="125"/>
  <c r="J360" i="125"/>
  <c r="W49" i="124"/>
  <c r="W56" i="124" s="1"/>
  <c r="I24" i="120" s="1"/>
  <c r="F156" i="125"/>
  <c r="F151" i="125"/>
  <c r="T75" i="116" l="1"/>
  <c r="T119" i="116" s="1"/>
  <c r="F130" i="54"/>
  <c r="E165" i="78"/>
  <c r="J165" i="78" s="1"/>
  <c r="E130" i="54"/>
  <c r="E102" i="78"/>
  <c r="J102" i="78" s="1"/>
  <c r="E345" i="78"/>
  <c r="J345" i="78" s="1"/>
  <c r="G130" i="54"/>
  <c r="E225" i="78"/>
  <c r="J225" i="78" s="1"/>
  <c r="AS56" i="124"/>
  <c r="AS58" i="124" s="1"/>
  <c r="J108" i="70"/>
  <c r="E284" i="78"/>
  <c r="J284" i="78" s="1"/>
  <c r="T80" i="116"/>
  <c r="T124" i="116" s="1"/>
  <c r="W124" i="116" s="1"/>
  <c r="D138" i="116" s="1"/>
  <c r="R107" i="70"/>
  <c r="S107" i="70" s="1"/>
  <c r="W107" i="70" s="1"/>
  <c r="D121" i="70" s="1"/>
  <c r="H121" i="70" s="1"/>
  <c r="I121" i="70" s="1"/>
  <c r="M121" i="70" s="1"/>
  <c r="N121" i="70" s="1"/>
  <c r="R121" i="70" s="1"/>
  <c r="S121" i="70" s="1"/>
  <c r="J126" i="70"/>
  <c r="M64" i="70"/>
  <c r="N64" i="70" s="1"/>
  <c r="R64" i="70" s="1"/>
  <c r="S64" i="70" s="1"/>
  <c r="W64" i="70" s="1"/>
  <c r="D78" i="70" s="1"/>
  <c r="H78" i="70" s="1"/>
  <c r="I78" i="70" s="1"/>
  <c r="M78" i="70" s="1"/>
  <c r="N78" i="70" s="1"/>
  <c r="R78" i="70" s="1"/>
  <c r="S78" i="70" s="1"/>
  <c r="W32" i="116"/>
  <c r="D46" i="116" s="1"/>
  <c r="H46" i="116" s="1"/>
  <c r="I46" i="116" s="1"/>
  <c r="M46" i="116" s="1"/>
  <c r="N46" i="116" s="1"/>
  <c r="R46" i="116" s="1"/>
  <c r="S46" i="116" s="1"/>
  <c r="W46" i="116" s="1"/>
  <c r="W35" i="116"/>
  <c r="D49" i="116" s="1"/>
  <c r="H49" i="116" s="1"/>
  <c r="I49" i="116" s="1"/>
  <c r="M49" i="116" s="1"/>
  <c r="N49" i="116" s="1"/>
  <c r="R49" i="116" s="1"/>
  <c r="S49" i="116" s="1"/>
  <c r="W49" i="116" s="1"/>
  <c r="J379" i="125"/>
  <c r="X56" i="124" s="1"/>
  <c r="J24" i="120" s="1"/>
  <c r="W33" i="116"/>
  <c r="D47" i="116" s="1"/>
  <c r="H47" i="116" s="1"/>
  <c r="I47" i="116" s="1"/>
  <c r="M47" i="116" s="1"/>
  <c r="N47" i="116" s="1"/>
  <c r="R47" i="116" s="1"/>
  <c r="S47" i="116" s="1"/>
  <c r="W47" i="116" s="1"/>
  <c r="J38" i="70"/>
  <c r="N128" i="125"/>
  <c r="AU30" i="124" s="1"/>
  <c r="AU32" i="124" s="1"/>
  <c r="AU33" i="124" s="1"/>
  <c r="J112" i="70"/>
  <c r="R111" i="70"/>
  <c r="S111" i="70" s="1"/>
  <c r="W111" i="70" s="1"/>
  <c r="D125" i="70" s="1"/>
  <c r="H125" i="70" s="1"/>
  <c r="I125" i="70" s="1"/>
  <c r="M125" i="70" s="1"/>
  <c r="N125" i="70" s="1"/>
  <c r="R125" i="70" s="1"/>
  <c r="S125" i="70" s="1"/>
  <c r="T13" i="58"/>
  <c r="D17" i="54"/>
  <c r="H130" i="54"/>
  <c r="I15" i="120"/>
  <c r="I14" i="55" s="1"/>
  <c r="I15" i="55" s="1"/>
  <c r="E13" i="120"/>
  <c r="E15" i="120" s="1"/>
  <c r="AS32" i="124"/>
  <c r="AS33" i="124" s="1"/>
  <c r="D13" i="120"/>
  <c r="R109" i="70"/>
  <c r="S109" i="70" s="1"/>
  <c r="W109" i="70" s="1"/>
  <c r="D123" i="70" s="1"/>
  <c r="H123" i="70" s="1"/>
  <c r="I123" i="70" s="1"/>
  <c r="M123" i="70" s="1"/>
  <c r="N123" i="70" s="1"/>
  <c r="R123" i="70" s="1"/>
  <c r="S123" i="70" s="1"/>
  <c r="F94" i="58"/>
  <c r="AX32" i="124"/>
  <c r="K282" i="125"/>
  <c r="E28" i="114"/>
  <c r="F40" i="61"/>
  <c r="F11" i="114"/>
  <c r="F13" i="114" s="1"/>
  <c r="G16" i="61"/>
  <c r="O279" i="125"/>
  <c r="E13" i="114"/>
  <c r="E12" i="114"/>
  <c r="K86" i="125"/>
  <c r="O82" i="116"/>
  <c r="K51" i="58" s="1"/>
  <c r="E407" i="78" s="1"/>
  <c r="J407" i="78" s="1"/>
  <c r="O119" i="116"/>
  <c r="O126" i="116" s="1"/>
  <c r="O75" i="70"/>
  <c r="R75" i="70" s="1"/>
  <c r="S75" i="70" s="1"/>
  <c r="R75" i="116"/>
  <c r="S75" i="116" s="1"/>
  <c r="O120" i="70"/>
  <c r="O38" i="70"/>
  <c r="J14" i="55"/>
  <c r="J15" i="55" s="1"/>
  <c r="J16" i="54"/>
  <c r="H32" i="70"/>
  <c r="I32" i="70" s="1"/>
  <c r="M32" i="70" s="1"/>
  <c r="N32" i="70" s="1"/>
  <c r="R32" i="70" s="1"/>
  <c r="S32" i="70" s="1"/>
  <c r="W32" i="70" s="1"/>
  <c r="D46" i="70" s="1"/>
  <c r="H46" i="70" s="1"/>
  <c r="I46" i="70" s="1"/>
  <c r="M46" i="70" s="1"/>
  <c r="N46" i="70" s="1"/>
  <c r="R46" i="70" s="1"/>
  <c r="S46" i="70" s="1"/>
  <c r="W46" i="70" s="1"/>
  <c r="W20" i="70"/>
  <c r="D34" i="70" s="1"/>
  <c r="H34" i="70" s="1"/>
  <c r="I34" i="70" s="1"/>
  <c r="M34" i="70" s="1"/>
  <c r="N34" i="70" s="1"/>
  <c r="R34" i="70" s="1"/>
  <c r="S34" i="70" s="1"/>
  <c r="W34" i="70" s="1"/>
  <c r="D48" i="70" s="1"/>
  <c r="H48" i="70" s="1"/>
  <c r="I48" i="70" s="1"/>
  <c r="M48" i="70" s="1"/>
  <c r="N48" i="70" s="1"/>
  <c r="R48" i="70" s="1"/>
  <c r="S48" i="70" s="1"/>
  <c r="W48" i="70" s="1"/>
  <c r="T112" i="116"/>
  <c r="G94" i="58"/>
  <c r="H94" i="58"/>
  <c r="I94" i="58"/>
  <c r="I130" i="54"/>
  <c r="J94" i="58"/>
  <c r="R110" i="70"/>
  <c r="S110" i="70" s="1"/>
  <c r="W110" i="70" s="1"/>
  <c r="D124" i="70" s="1"/>
  <c r="H124" i="70" s="1"/>
  <c r="I124" i="70" s="1"/>
  <c r="M124" i="70" s="1"/>
  <c r="N124" i="70" s="1"/>
  <c r="R124" i="70" s="1"/>
  <c r="S124" i="70" s="1"/>
  <c r="W81" i="116"/>
  <c r="D95" i="116" s="1"/>
  <c r="AA81" i="116" s="1"/>
  <c r="E95" i="116" s="1"/>
  <c r="F26" i="120"/>
  <c r="E108" i="70"/>
  <c r="H108" i="70" s="1"/>
  <c r="R105" i="70"/>
  <c r="S105" i="70" s="1"/>
  <c r="W105" i="70" s="1"/>
  <c r="D119" i="70" s="1"/>
  <c r="H119" i="70" s="1"/>
  <c r="I119" i="70" s="1"/>
  <c r="M119" i="70" s="1"/>
  <c r="N119" i="70" s="1"/>
  <c r="M60" i="70"/>
  <c r="H62" i="116"/>
  <c r="E106" i="116"/>
  <c r="E62" i="70"/>
  <c r="E68" i="116"/>
  <c r="N104" i="115"/>
  <c r="I105" i="115"/>
  <c r="H112" i="115"/>
  <c r="M60" i="116"/>
  <c r="M68" i="115"/>
  <c r="N60" i="115"/>
  <c r="T125" i="116"/>
  <c r="W125" i="116" s="1"/>
  <c r="D139" i="116" s="1"/>
  <c r="W108" i="116"/>
  <c r="D122" i="116" s="1"/>
  <c r="H122" i="116" s="1"/>
  <c r="I122" i="116" s="1"/>
  <c r="M122" i="116" s="1"/>
  <c r="N122" i="116" s="1"/>
  <c r="R122" i="116" s="1"/>
  <c r="S122" i="116" s="1"/>
  <c r="O149" i="125"/>
  <c r="I163" i="125" s="1"/>
  <c r="O163" i="125" s="1"/>
  <c r="I181" i="125" s="1"/>
  <c r="O68" i="70"/>
  <c r="O106" i="70"/>
  <c r="F13" i="120"/>
  <c r="O108" i="70"/>
  <c r="Z77" i="116"/>
  <c r="Z79" i="116"/>
  <c r="D34" i="116"/>
  <c r="H34" i="116" s="1"/>
  <c r="I34" i="116" s="1"/>
  <c r="M34" i="116" s="1"/>
  <c r="N34" i="116" s="1"/>
  <c r="R34" i="116" s="1"/>
  <c r="S34" i="116" s="1"/>
  <c r="T106" i="70"/>
  <c r="T108" i="70"/>
  <c r="T24" i="70"/>
  <c r="T68" i="70"/>
  <c r="T104" i="70"/>
  <c r="E82" i="70"/>
  <c r="E118" i="70"/>
  <c r="W35" i="115"/>
  <c r="D49" i="115" s="1"/>
  <c r="Z79" i="115"/>
  <c r="W33" i="115"/>
  <c r="D47" i="115" s="1"/>
  <c r="Z77" i="115"/>
  <c r="R32" i="115"/>
  <c r="S32" i="115" s="1"/>
  <c r="R37" i="115"/>
  <c r="S37" i="115" s="1"/>
  <c r="E126" i="116"/>
  <c r="R36" i="115"/>
  <c r="S36" i="115" s="1"/>
  <c r="E120" i="70"/>
  <c r="E38" i="70"/>
  <c r="R34" i="115"/>
  <c r="S34" i="115" s="1"/>
  <c r="W31" i="115"/>
  <c r="D45" i="115" s="1"/>
  <c r="Z75" i="115"/>
  <c r="E122" i="70"/>
  <c r="J203" i="125"/>
  <c r="T30" i="124"/>
  <c r="F11" i="120" s="1"/>
  <c r="V30" i="124"/>
  <c r="H11" i="120" s="1"/>
  <c r="W30" i="124"/>
  <c r="I11" i="120" s="1"/>
  <c r="K151" i="125"/>
  <c r="J26" i="120"/>
  <c r="J28" i="120" s="1"/>
  <c r="N151" i="125"/>
  <c r="AV30" i="124" s="1"/>
  <c r="O124" i="125"/>
  <c r="I147" i="125" s="1"/>
  <c r="O147" i="125" s="1"/>
  <c r="I161" i="125" s="1"/>
  <c r="O161" i="125" s="1"/>
  <c r="AV58" i="124"/>
  <c r="H26" i="120"/>
  <c r="AW58" i="124"/>
  <c r="I26" i="120"/>
  <c r="AU58" i="124"/>
  <c r="G26" i="120"/>
  <c r="D11" i="120"/>
  <c r="M104" i="70"/>
  <c r="H24" i="70"/>
  <c r="F155" i="157" s="1"/>
  <c r="M104" i="116"/>
  <c r="N16" i="116"/>
  <c r="M24" i="116"/>
  <c r="J69" i="116" s="1"/>
  <c r="I24" i="70"/>
  <c r="M16" i="70"/>
  <c r="W16" i="115"/>
  <c r="S24" i="115"/>
  <c r="K69" i="125"/>
  <c r="N64" i="125"/>
  <c r="F170" i="125"/>
  <c r="F183" i="125" s="1"/>
  <c r="F165" i="125"/>
  <c r="E26" i="120" l="1"/>
  <c r="E28" i="120" s="1"/>
  <c r="F15" i="120"/>
  <c r="F14" i="55" s="1"/>
  <c r="F15" i="55" s="1"/>
  <c r="F28" i="120"/>
  <c r="F129" i="54" s="1"/>
  <c r="G28" i="120"/>
  <c r="G129" i="54" s="1"/>
  <c r="I17" i="157"/>
  <c r="L17" i="157"/>
  <c r="W80" i="116"/>
  <c r="D94" i="116" s="1"/>
  <c r="AA80" i="116" s="1"/>
  <c r="E94" i="116" s="1"/>
  <c r="E138" i="116" s="1"/>
  <c r="H138" i="116" s="1"/>
  <c r="I138" i="116" s="1"/>
  <c r="T77" i="116"/>
  <c r="T121" i="116" s="1"/>
  <c r="W121" i="116" s="1"/>
  <c r="D135" i="116" s="1"/>
  <c r="T79" i="116"/>
  <c r="T123" i="116" s="1"/>
  <c r="W123" i="116" s="1"/>
  <c r="D137" i="116" s="1"/>
  <c r="T77" i="115"/>
  <c r="T121" i="115" s="1"/>
  <c r="W121" i="115" s="1"/>
  <c r="D135" i="115" s="1"/>
  <c r="O95" i="115"/>
  <c r="G13" i="120"/>
  <c r="W34" i="116"/>
  <c r="D48" i="116" s="1"/>
  <c r="H48" i="116" s="1"/>
  <c r="I48" i="116" s="1"/>
  <c r="M48" i="116" s="1"/>
  <c r="N48" i="116" s="1"/>
  <c r="R48" i="116" s="1"/>
  <c r="S48" i="116" s="1"/>
  <c r="W48" i="116" s="1"/>
  <c r="T75" i="115"/>
  <c r="T79" i="115"/>
  <c r="T76" i="116"/>
  <c r="T120" i="116" s="1"/>
  <c r="E139" i="116"/>
  <c r="H139" i="116" s="1"/>
  <c r="I139" i="116" s="1"/>
  <c r="U17" i="157"/>
  <c r="I16" i="54"/>
  <c r="R17" i="157"/>
  <c r="O17" i="157"/>
  <c r="E51" i="58"/>
  <c r="E69" i="116"/>
  <c r="H28" i="120"/>
  <c r="H50" i="55" s="1"/>
  <c r="H51" i="55" s="1"/>
  <c r="I28" i="120"/>
  <c r="E50" i="55"/>
  <c r="E51" i="55" s="1"/>
  <c r="E59" i="55" s="1"/>
  <c r="E129" i="54"/>
  <c r="F18" i="58"/>
  <c r="E78" i="78" s="1"/>
  <c r="J78" i="78" s="1"/>
  <c r="E15" i="114"/>
  <c r="H39" i="55"/>
  <c r="I23" i="55"/>
  <c r="E47" i="114"/>
  <c r="E48" i="114" s="1"/>
  <c r="E30" i="114"/>
  <c r="E29" i="114"/>
  <c r="H16" i="61"/>
  <c r="G11" i="114"/>
  <c r="G13" i="114" s="1"/>
  <c r="G18" i="58"/>
  <c r="E141" i="78" s="1"/>
  <c r="J141" i="78" s="1"/>
  <c r="E14" i="55"/>
  <c r="E15" i="55" s="1"/>
  <c r="E23" i="55" s="1"/>
  <c r="E16" i="54"/>
  <c r="R119" i="116"/>
  <c r="S119" i="116" s="1"/>
  <c r="W119" i="116" s="1"/>
  <c r="D133" i="116" s="1"/>
  <c r="O82" i="70"/>
  <c r="O119" i="70"/>
  <c r="R119" i="70" s="1"/>
  <c r="S119" i="70" s="1"/>
  <c r="W75" i="116"/>
  <c r="D89" i="116" s="1"/>
  <c r="AA75" i="116" s="1"/>
  <c r="E89" i="116" s="1"/>
  <c r="Z75" i="116"/>
  <c r="J130" i="54"/>
  <c r="K94" i="58"/>
  <c r="X17" i="157" s="1"/>
  <c r="O126" i="70"/>
  <c r="J50" i="55"/>
  <c r="J51" i="55" s="1"/>
  <c r="J129" i="54"/>
  <c r="I39" i="55"/>
  <c r="J23" i="55"/>
  <c r="K203" i="125"/>
  <c r="G50" i="55"/>
  <c r="G51" i="55" s="1"/>
  <c r="H95" i="116"/>
  <c r="I95" i="116" s="1"/>
  <c r="AB81" i="116" s="1"/>
  <c r="J95" i="116" s="1"/>
  <c r="R104" i="115"/>
  <c r="N68" i="115"/>
  <c r="R60" i="115"/>
  <c r="H62" i="70"/>
  <c r="E68" i="70"/>
  <c r="E106" i="70"/>
  <c r="H106" i="116"/>
  <c r="E112" i="116"/>
  <c r="M105" i="115"/>
  <c r="I112" i="115"/>
  <c r="I62" i="116"/>
  <c r="H68" i="116"/>
  <c r="N60" i="116"/>
  <c r="N60" i="70"/>
  <c r="O112" i="70"/>
  <c r="AR31" i="124"/>
  <c r="Z78" i="116"/>
  <c r="T112" i="70"/>
  <c r="W37" i="115"/>
  <c r="D51" i="115" s="1"/>
  <c r="Z81" i="115"/>
  <c r="H49" i="115"/>
  <c r="I49" i="115" s="1"/>
  <c r="E126" i="70"/>
  <c r="W32" i="115"/>
  <c r="D46" i="115" s="1"/>
  <c r="Z76" i="115"/>
  <c r="W34" i="115"/>
  <c r="D48" i="115" s="1"/>
  <c r="Z78" i="115"/>
  <c r="H47" i="115"/>
  <c r="I47" i="115" s="1"/>
  <c r="H45" i="115"/>
  <c r="I45" i="115" s="1"/>
  <c r="W36" i="115"/>
  <c r="D50" i="115" s="1"/>
  <c r="Z80" i="115"/>
  <c r="I179" i="125"/>
  <c r="O179" i="125" s="1"/>
  <c r="I197" i="125" s="1"/>
  <c r="O197" i="125" s="1"/>
  <c r="H13" i="120"/>
  <c r="AV32" i="124"/>
  <c r="AV33" i="124" s="1"/>
  <c r="I108" i="70"/>
  <c r="N104" i="116"/>
  <c r="N104" i="70"/>
  <c r="M24" i="70"/>
  <c r="I155" i="157" s="1"/>
  <c r="N16" i="70"/>
  <c r="R16" i="116"/>
  <c r="N24" i="116"/>
  <c r="W24" i="115"/>
  <c r="D30" i="115"/>
  <c r="N69" i="125"/>
  <c r="N203" i="125" s="1"/>
  <c r="O203" i="125" s="1"/>
  <c r="O64" i="125"/>
  <c r="F16" i="54" l="1"/>
  <c r="T78" i="116"/>
  <c r="W78" i="116" s="1"/>
  <c r="D92" i="116" s="1"/>
  <c r="AA78" i="116" s="1"/>
  <c r="E92" i="116" s="1"/>
  <c r="F50" i="55"/>
  <c r="F51" i="55" s="1"/>
  <c r="E79" i="55" s="1"/>
  <c r="W77" i="116"/>
  <c r="D91" i="116" s="1"/>
  <c r="AA77" i="116" s="1"/>
  <c r="E91" i="116" s="1"/>
  <c r="E135" i="116" s="1"/>
  <c r="H135" i="116" s="1"/>
  <c r="I135" i="116" s="1"/>
  <c r="T51" i="58"/>
  <c r="T94" i="58" s="1"/>
  <c r="E39" i="78"/>
  <c r="J39" i="78" s="1"/>
  <c r="G15" i="120"/>
  <c r="H94" i="116"/>
  <c r="I94" i="116" s="1"/>
  <c r="AB80" i="116" s="1"/>
  <c r="J94" i="116" s="1"/>
  <c r="J138" i="116" s="1"/>
  <c r="E89" i="115"/>
  <c r="E133" i="115" s="1"/>
  <c r="W77" i="115"/>
  <c r="D91" i="115" s="1"/>
  <c r="AA77" i="115" s="1"/>
  <c r="T77" i="70"/>
  <c r="T121" i="70" s="1"/>
  <c r="W121" i="70" s="1"/>
  <c r="D135" i="70" s="1"/>
  <c r="W79" i="116"/>
  <c r="D93" i="116" s="1"/>
  <c r="H129" i="54"/>
  <c r="E94" i="58"/>
  <c r="D130" i="54"/>
  <c r="W79" i="115"/>
  <c r="D93" i="115" s="1"/>
  <c r="T123" i="115"/>
  <c r="W123" i="115" s="1"/>
  <c r="D137" i="115" s="1"/>
  <c r="T79" i="70"/>
  <c r="T78" i="115"/>
  <c r="W75" i="115"/>
  <c r="D89" i="115" s="1"/>
  <c r="T119" i="115"/>
  <c r="T75" i="70"/>
  <c r="E93" i="115"/>
  <c r="T81" i="115"/>
  <c r="T76" i="115"/>
  <c r="E91" i="115"/>
  <c r="T80" i="115"/>
  <c r="J139" i="116"/>
  <c r="M139" i="116" s="1"/>
  <c r="N139" i="116" s="1"/>
  <c r="I129" i="54"/>
  <c r="I50" i="55"/>
  <c r="I51" i="55" s="1"/>
  <c r="H79" i="55" s="1"/>
  <c r="E32" i="114"/>
  <c r="F27" i="114" s="1"/>
  <c r="F56" i="58"/>
  <c r="E49" i="114"/>
  <c r="F10" i="114"/>
  <c r="E16" i="114"/>
  <c r="E54" i="114"/>
  <c r="F28" i="114"/>
  <c r="G40" i="61"/>
  <c r="H18" i="58"/>
  <c r="E201" i="78" s="1"/>
  <c r="J201" i="78" s="1"/>
  <c r="I79" i="55"/>
  <c r="J59" i="55"/>
  <c r="M95" i="116"/>
  <c r="N95" i="116" s="1"/>
  <c r="AC81" i="116" s="1"/>
  <c r="O95" i="116" s="1"/>
  <c r="G79" i="55"/>
  <c r="H59" i="55"/>
  <c r="F79" i="55"/>
  <c r="G59" i="55"/>
  <c r="E39" i="55"/>
  <c r="F23" i="55"/>
  <c r="N105" i="115"/>
  <c r="M112" i="115"/>
  <c r="R60" i="116"/>
  <c r="I106" i="116"/>
  <c r="H112" i="116"/>
  <c r="I62" i="70"/>
  <c r="H68" i="70"/>
  <c r="S60" i="115"/>
  <c r="R68" i="115"/>
  <c r="M62" i="116"/>
  <c r="I68" i="116"/>
  <c r="H106" i="70"/>
  <c r="E112" i="70"/>
  <c r="S104" i="115"/>
  <c r="R60" i="70"/>
  <c r="H51" i="115"/>
  <c r="I51" i="115" s="1"/>
  <c r="H50" i="115"/>
  <c r="I50" i="115" s="1"/>
  <c r="M47" i="115"/>
  <c r="N47" i="115" s="1"/>
  <c r="M45" i="115"/>
  <c r="N45" i="115" s="1"/>
  <c r="M49" i="115"/>
  <c r="N49" i="115" s="1"/>
  <c r="H48" i="115"/>
  <c r="I48" i="115" s="1"/>
  <c r="O139" i="115"/>
  <c r="E136" i="116"/>
  <c r="H46" i="115"/>
  <c r="I46" i="115" s="1"/>
  <c r="H15" i="120"/>
  <c r="N218" i="123"/>
  <c r="N219" i="123" s="1"/>
  <c r="D15" i="120"/>
  <c r="R104" i="70"/>
  <c r="R104" i="116"/>
  <c r="M108" i="70"/>
  <c r="S16" i="116"/>
  <c r="R24" i="116"/>
  <c r="R16" i="70"/>
  <c r="N24" i="70"/>
  <c r="H30" i="115"/>
  <c r="D38" i="115"/>
  <c r="I80" i="125"/>
  <c r="O69" i="125"/>
  <c r="T122" i="116" l="1"/>
  <c r="W122" i="116" s="1"/>
  <c r="D136" i="116" s="1"/>
  <c r="M94" i="116"/>
  <c r="N94" i="116" s="1"/>
  <c r="AC80" i="116" s="1"/>
  <c r="O94" i="116" s="1"/>
  <c r="O138" i="116" s="1"/>
  <c r="F59" i="55"/>
  <c r="F99" i="58"/>
  <c r="E107" i="78"/>
  <c r="J107" i="78" s="1"/>
  <c r="F17" i="157"/>
  <c r="H91" i="116"/>
  <c r="I91" i="116" s="1"/>
  <c r="AB77" i="116" s="1"/>
  <c r="J91" i="116" s="1"/>
  <c r="J135" i="116" s="1"/>
  <c r="M135" i="116" s="1"/>
  <c r="N135" i="116" s="1"/>
  <c r="G14" i="55"/>
  <c r="G15" i="55" s="1"/>
  <c r="G16" i="54"/>
  <c r="E90" i="115"/>
  <c r="E134" i="115" s="1"/>
  <c r="H136" i="116"/>
  <c r="I136" i="116" s="1"/>
  <c r="E89" i="70"/>
  <c r="E133" i="70" s="1"/>
  <c r="W77" i="70"/>
  <c r="D91" i="70" s="1"/>
  <c r="E92" i="115"/>
  <c r="E136" i="115" s="1"/>
  <c r="AA79" i="116"/>
  <c r="E93" i="116" s="1"/>
  <c r="E137" i="116" s="1"/>
  <c r="H137" i="116" s="1"/>
  <c r="I137" i="116" s="1"/>
  <c r="E94" i="115"/>
  <c r="E94" i="70" s="1"/>
  <c r="E138" i="70" s="1"/>
  <c r="J91" i="115"/>
  <c r="T119" i="70"/>
  <c r="W119" i="70" s="1"/>
  <c r="D133" i="70" s="1"/>
  <c r="W75" i="70"/>
  <c r="D89" i="70" s="1"/>
  <c r="H89" i="115"/>
  <c r="I89" i="115" s="1"/>
  <c r="AA75" i="115"/>
  <c r="T123" i="70"/>
  <c r="W123" i="70" s="1"/>
  <c r="D137" i="70" s="1"/>
  <c r="W79" i="70"/>
  <c r="D93" i="70" s="1"/>
  <c r="T124" i="115"/>
  <c r="W124" i="115" s="1"/>
  <c r="D138" i="115" s="1"/>
  <c r="W80" i="115"/>
  <c r="D94" i="115" s="1"/>
  <c r="T80" i="70"/>
  <c r="E135" i="115"/>
  <c r="H135" i="115" s="1"/>
  <c r="I135" i="115" s="1"/>
  <c r="E91" i="70"/>
  <c r="T122" i="115"/>
  <c r="W122" i="115" s="1"/>
  <c r="D136" i="115" s="1"/>
  <c r="W78" i="115"/>
  <c r="D92" i="115" s="1"/>
  <c r="T78" i="70"/>
  <c r="W76" i="115"/>
  <c r="D90" i="115" s="1"/>
  <c r="T120" i="115"/>
  <c r="W120" i="115" s="1"/>
  <c r="D134" i="115" s="1"/>
  <c r="T76" i="70"/>
  <c r="T120" i="70" s="1"/>
  <c r="E137" i="115"/>
  <c r="H137" i="115" s="1"/>
  <c r="I137" i="115" s="1"/>
  <c r="E33" i="114"/>
  <c r="J89" i="115"/>
  <c r="J133" i="115" s="1"/>
  <c r="H93" i="115"/>
  <c r="I93" i="115" s="1"/>
  <c r="AA79" i="115"/>
  <c r="I59" i="55"/>
  <c r="E95" i="115"/>
  <c r="H91" i="115"/>
  <c r="I91" i="115" s="1"/>
  <c r="J93" i="115"/>
  <c r="J137" i="115" s="1"/>
  <c r="T125" i="115"/>
  <c r="W125" i="115" s="1"/>
  <c r="D139" i="115" s="1"/>
  <c r="W81" i="115"/>
  <c r="D95" i="115" s="1"/>
  <c r="T81" i="70"/>
  <c r="O95" i="70"/>
  <c r="O139" i="70" s="1"/>
  <c r="H89" i="116"/>
  <c r="I89" i="116" s="1"/>
  <c r="AB75" i="116" s="1"/>
  <c r="J89" i="116" s="1"/>
  <c r="H92" i="116"/>
  <c r="I92" i="116" s="1"/>
  <c r="AB78" i="116" s="1"/>
  <c r="J92" i="116" s="1"/>
  <c r="E133" i="116"/>
  <c r="H133" i="116" s="1"/>
  <c r="I133" i="116" s="1"/>
  <c r="F12" i="114"/>
  <c r="F15" i="114"/>
  <c r="D16" i="54"/>
  <c r="D18" i="54" s="1"/>
  <c r="D20" i="54" s="1"/>
  <c r="D22" i="54" s="1"/>
  <c r="D24" i="54" s="1"/>
  <c r="D14" i="55"/>
  <c r="D15" i="55" s="1"/>
  <c r="I85" i="157"/>
  <c r="E51" i="114"/>
  <c r="F47" i="114"/>
  <c r="F54" i="114" s="1"/>
  <c r="F30" i="114"/>
  <c r="F32" i="114" s="1"/>
  <c r="F29" i="114"/>
  <c r="R95" i="116"/>
  <c r="S95" i="116" s="1"/>
  <c r="AD81" i="116" s="1"/>
  <c r="T95" i="116" s="1"/>
  <c r="H14" i="55"/>
  <c r="H15" i="55" s="1"/>
  <c r="H16" i="54"/>
  <c r="I16" i="61"/>
  <c r="H11" i="114"/>
  <c r="M138" i="116"/>
  <c r="N138" i="116" s="1"/>
  <c r="W60" i="115"/>
  <c r="S68" i="115"/>
  <c r="M62" i="70"/>
  <c r="I68" i="70"/>
  <c r="W104" i="115"/>
  <c r="S60" i="116"/>
  <c r="M106" i="116"/>
  <c r="I112" i="116"/>
  <c r="I106" i="70"/>
  <c r="H112" i="70"/>
  <c r="S60" i="70"/>
  <c r="R105" i="115"/>
  <c r="N112" i="115"/>
  <c r="N62" i="116"/>
  <c r="M68" i="116"/>
  <c r="M51" i="115"/>
  <c r="N51" i="115" s="1"/>
  <c r="R45" i="115"/>
  <c r="S45" i="115" s="1"/>
  <c r="R49" i="115"/>
  <c r="S49" i="115" s="1"/>
  <c r="W49" i="115" s="1"/>
  <c r="M46" i="115"/>
  <c r="N46" i="115" s="1"/>
  <c r="M48" i="115"/>
  <c r="N48" i="115" s="1"/>
  <c r="R47" i="115"/>
  <c r="S47" i="115" s="1"/>
  <c r="M50" i="115"/>
  <c r="N50" i="115" s="1"/>
  <c r="N108" i="70"/>
  <c r="S104" i="116"/>
  <c r="S104" i="70"/>
  <c r="R24" i="70"/>
  <c r="L155" i="157" s="1"/>
  <c r="S16" i="70"/>
  <c r="S24" i="116"/>
  <c r="W16" i="116"/>
  <c r="I30" i="115"/>
  <c r="H38" i="115"/>
  <c r="I86" i="125"/>
  <c r="O80" i="125"/>
  <c r="H134" i="115" l="1"/>
  <c r="I134" i="115" s="1"/>
  <c r="H133" i="70"/>
  <c r="I133" i="70" s="1"/>
  <c r="M91" i="116"/>
  <c r="N91" i="116" s="1"/>
  <c r="AC77" i="116" s="1"/>
  <c r="O91" i="116" s="1"/>
  <c r="O135" i="116" s="1"/>
  <c r="R135" i="116" s="1"/>
  <c r="S135" i="116" s="1"/>
  <c r="H89" i="70"/>
  <c r="I89" i="70" s="1"/>
  <c r="G23" i="55"/>
  <c r="F39" i="55"/>
  <c r="E92" i="70"/>
  <c r="E136" i="70" s="1"/>
  <c r="H136" i="115"/>
  <c r="I136" i="115" s="1"/>
  <c r="R91" i="116"/>
  <c r="S91" i="116" s="1"/>
  <c r="AD77" i="116" s="1"/>
  <c r="T91" i="116" s="1"/>
  <c r="T135" i="116" s="1"/>
  <c r="W135" i="116" s="1"/>
  <c r="H93" i="116"/>
  <c r="I93" i="116" s="1"/>
  <c r="AB79" i="116" s="1"/>
  <c r="J93" i="116" s="1"/>
  <c r="J137" i="116" s="1"/>
  <c r="M137" i="116" s="1"/>
  <c r="N137" i="116" s="1"/>
  <c r="E93" i="70"/>
  <c r="E137" i="70" s="1"/>
  <c r="H137" i="70" s="1"/>
  <c r="I137" i="70" s="1"/>
  <c r="E138" i="115"/>
  <c r="H138" i="115" s="1"/>
  <c r="I138" i="115" s="1"/>
  <c r="J90" i="115"/>
  <c r="J134" i="115" s="1"/>
  <c r="M134" i="115" s="1"/>
  <c r="N134" i="115" s="1"/>
  <c r="J135" i="115"/>
  <c r="M135" i="115" s="1"/>
  <c r="N135" i="115" s="1"/>
  <c r="J91" i="70"/>
  <c r="J135" i="70" s="1"/>
  <c r="M137" i="115"/>
  <c r="N137" i="115" s="1"/>
  <c r="E135" i="70"/>
  <c r="H135" i="70" s="1"/>
  <c r="I135" i="70" s="1"/>
  <c r="H91" i="70"/>
  <c r="I91" i="70" s="1"/>
  <c r="T124" i="70"/>
  <c r="W124" i="70" s="1"/>
  <c r="D138" i="70" s="1"/>
  <c r="H138" i="70" s="1"/>
  <c r="I138" i="70" s="1"/>
  <c r="W80" i="70"/>
  <c r="D94" i="70" s="1"/>
  <c r="H94" i="70" s="1"/>
  <c r="I94" i="70" s="1"/>
  <c r="H94" i="115"/>
  <c r="I94" i="115" s="1"/>
  <c r="AA80" i="115"/>
  <c r="E139" i="115"/>
  <c r="H139" i="115" s="1"/>
  <c r="I139" i="115" s="1"/>
  <c r="E95" i="70"/>
  <c r="E139" i="70" s="1"/>
  <c r="H95" i="115"/>
  <c r="I95" i="115" s="1"/>
  <c r="AA81" i="115"/>
  <c r="O91" i="115"/>
  <c r="H90" i="115"/>
  <c r="I90" i="115" s="1"/>
  <c r="AA76" i="115"/>
  <c r="O89" i="115"/>
  <c r="O133" i="115" s="1"/>
  <c r="J95" i="115"/>
  <c r="M89" i="115"/>
  <c r="N89" i="115" s="1"/>
  <c r="AB75" i="115"/>
  <c r="J92" i="115"/>
  <c r="J136" i="115" s="1"/>
  <c r="T122" i="70"/>
  <c r="W78" i="70"/>
  <c r="D92" i="70" s="1"/>
  <c r="M91" i="115"/>
  <c r="N91" i="115" s="1"/>
  <c r="AB77" i="115"/>
  <c r="T125" i="70"/>
  <c r="W125" i="70" s="1"/>
  <c r="D139" i="70" s="1"/>
  <c r="W81" i="70"/>
  <c r="D95" i="70" s="1"/>
  <c r="M93" i="115"/>
  <c r="N93" i="115" s="1"/>
  <c r="AC79" i="115" s="1"/>
  <c r="O93" i="115" s="1"/>
  <c r="O137" i="115" s="1"/>
  <c r="AB79" i="115"/>
  <c r="H92" i="115"/>
  <c r="I92" i="115" s="1"/>
  <c r="AA78" i="115"/>
  <c r="O139" i="116"/>
  <c r="R139" i="116" s="1"/>
  <c r="S139" i="116" s="1"/>
  <c r="R94" i="116"/>
  <c r="S94" i="116" s="1"/>
  <c r="AD80" i="116" s="1"/>
  <c r="T94" i="116" s="1"/>
  <c r="T139" i="116"/>
  <c r="E14" i="54"/>
  <c r="E18" i="54" s="1"/>
  <c r="F14" i="54" s="1"/>
  <c r="F49" i="114"/>
  <c r="L85" i="157" s="1"/>
  <c r="G56" i="58"/>
  <c r="W95" i="116"/>
  <c r="AE81" i="116" s="1"/>
  <c r="H40" i="61"/>
  <c r="G28" i="114"/>
  <c r="E52" i="114"/>
  <c r="F46" i="114"/>
  <c r="D17" i="55"/>
  <c r="E13" i="55" s="1"/>
  <c r="D23" i="55"/>
  <c r="D24" i="55" s="1"/>
  <c r="E22" i="58" s="1"/>
  <c r="E19" i="78" s="1"/>
  <c r="J19" i="78" s="1"/>
  <c r="G27" i="114"/>
  <c r="F33" i="114"/>
  <c r="G10" i="114"/>
  <c r="F16" i="114"/>
  <c r="E14" i="58"/>
  <c r="G39" i="55"/>
  <c r="H23" i="55"/>
  <c r="H13" i="114"/>
  <c r="R138" i="116"/>
  <c r="S138" i="116" s="1"/>
  <c r="S105" i="115"/>
  <c r="R112" i="115"/>
  <c r="R62" i="116"/>
  <c r="N68" i="116"/>
  <c r="D118" i="115"/>
  <c r="W60" i="70"/>
  <c r="N62" i="70"/>
  <c r="M68" i="70"/>
  <c r="M106" i="70"/>
  <c r="I112" i="70"/>
  <c r="N106" i="116"/>
  <c r="M112" i="116"/>
  <c r="W60" i="116"/>
  <c r="D74" i="115"/>
  <c r="W68" i="115"/>
  <c r="R48" i="115"/>
  <c r="S48" i="115" s="1"/>
  <c r="W45" i="115"/>
  <c r="T89" i="115" s="1"/>
  <c r="T133" i="115" s="1"/>
  <c r="R46" i="115"/>
  <c r="S46" i="115" s="1"/>
  <c r="R50" i="115"/>
  <c r="S50" i="115" s="1"/>
  <c r="W47" i="115"/>
  <c r="T91" i="115" s="1"/>
  <c r="R51" i="115"/>
  <c r="S51" i="115" s="1"/>
  <c r="O86" i="125"/>
  <c r="I99" i="125"/>
  <c r="O99" i="125" s="1"/>
  <c r="I122" i="125" s="1"/>
  <c r="O102" i="125"/>
  <c r="W104" i="70"/>
  <c r="W104" i="116"/>
  <c r="R108" i="70"/>
  <c r="S24" i="70"/>
  <c r="W16" i="70"/>
  <c r="W24" i="116"/>
  <c r="D30" i="116"/>
  <c r="I38" i="115"/>
  <c r="M30" i="115"/>
  <c r="H45" i="66"/>
  <c r="H47" i="66" s="1"/>
  <c r="F45" i="66"/>
  <c r="F47" i="66" s="1"/>
  <c r="D45" i="66"/>
  <c r="D47" i="66" s="1"/>
  <c r="H17" i="66"/>
  <c r="F17" i="66"/>
  <c r="D17" i="66"/>
  <c r="H15" i="66"/>
  <c r="F15" i="66"/>
  <c r="D15" i="66"/>
  <c r="P50" i="151"/>
  <c r="O50" i="151"/>
  <c r="N50" i="151"/>
  <c r="M50" i="151"/>
  <c r="L50" i="151"/>
  <c r="P49" i="151"/>
  <c r="O49" i="151"/>
  <c r="N49" i="151"/>
  <c r="M49" i="151"/>
  <c r="L49" i="151"/>
  <c r="D92" i="159"/>
  <c r="D93" i="159" s="1"/>
  <c r="E90" i="159"/>
  <c r="G90" i="159" s="1"/>
  <c r="D90" i="159"/>
  <c r="D78" i="159"/>
  <c r="D79" i="159" s="1"/>
  <c r="F76" i="159"/>
  <c r="E76" i="159"/>
  <c r="D76" i="159"/>
  <c r="G76" i="159" s="1"/>
  <c r="D64" i="159"/>
  <c r="E63" i="159" s="1"/>
  <c r="G63" i="159" s="1"/>
  <c r="F62" i="159"/>
  <c r="E62" i="159"/>
  <c r="D62" i="159"/>
  <c r="D50" i="159"/>
  <c r="D51" i="159" s="1"/>
  <c r="E48" i="159"/>
  <c r="G48" i="159" s="1"/>
  <c r="F47" i="159"/>
  <c r="E47" i="159"/>
  <c r="D47" i="159"/>
  <c r="G45" i="159"/>
  <c r="E44" i="159"/>
  <c r="G44" i="159" s="1"/>
  <c r="E43" i="159"/>
  <c r="G43" i="159" s="1"/>
  <c r="E42" i="159"/>
  <c r="G42" i="159" s="1"/>
  <c r="E41" i="159"/>
  <c r="G41" i="159" s="1"/>
  <c r="E40" i="159"/>
  <c r="G40" i="159" s="1"/>
  <c r="E39" i="159"/>
  <c r="G39" i="159" s="1"/>
  <c r="E38" i="159"/>
  <c r="G38" i="159" s="1"/>
  <c r="E37" i="159"/>
  <c r="G37" i="159" s="1"/>
  <c r="E36" i="159"/>
  <c r="G36" i="159" s="1"/>
  <c r="E35" i="159"/>
  <c r="G35" i="159" s="1"/>
  <c r="E34" i="159"/>
  <c r="G34" i="159" s="1"/>
  <c r="E33" i="159"/>
  <c r="D33" i="159"/>
  <c r="G31" i="159"/>
  <c r="E30" i="159"/>
  <c r="G30" i="159" s="1"/>
  <c r="E29" i="159"/>
  <c r="G29" i="159" s="1"/>
  <c r="E28" i="159"/>
  <c r="G28" i="159" s="1"/>
  <c r="E27" i="159"/>
  <c r="G27" i="159" s="1"/>
  <c r="E26" i="159"/>
  <c r="G26" i="159" s="1"/>
  <c r="E25" i="159"/>
  <c r="G25" i="159" s="1"/>
  <c r="E24" i="159"/>
  <c r="G24" i="159" s="1"/>
  <c r="E23" i="159"/>
  <c r="G23" i="159" s="1"/>
  <c r="E22" i="159"/>
  <c r="G22" i="159" s="1"/>
  <c r="E21" i="159"/>
  <c r="G21" i="159" s="1"/>
  <c r="E20" i="159"/>
  <c r="G20" i="159" s="1"/>
  <c r="E19" i="159"/>
  <c r="G19" i="159" s="1"/>
  <c r="G72" i="158"/>
  <c r="D69" i="158"/>
  <c r="E69" i="158" s="1"/>
  <c r="F65" i="158"/>
  <c r="G65" i="158" s="1"/>
  <c r="D64" i="158"/>
  <c r="E64" i="158" s="1"/>
  <c r="F63" i="158"/>
  <c r="G63" i="158" s="1"/>
  <c r="D63" i="158"/>
  <c r="E63" i="158" s="1"/>
  <c r="F62" i="158"/>
  <c r="D62" i="158"/>
  <c r="E62" i="158" s="1"/>
  <c r="D61" i="158"/>
  <c r="E61" i="158" s="1"/>
  <c r="D60" i="158"/>
  <c r="E60" i="158" s="1"/>
  <c r="F59" i="158"/>
  <c r="O41" i="158"/>
  <c r="N41" i="158"/>
  <c r="M41" i="158"/>
  <c r="L41" i="158"/>
  <c r="K41" i="158"/>
  <c r="J41" i="158"/>
  <c r="I41" i="158"/>
  <c r="P41" i="158" s="1"/>
  <c r="F70" i="158" s="1"/>
  <c r="G70" i="158" s="1"/>
  <c r="H41" i="158"/>
  <c r="G41" i="158"/>
  <c r="F41" i="158"/>
  <c r="E41" i="158"/>
  <c r="D41" i="158"/>
  <c r="O40" i="158"/>
  <c r="N40" i="158"/>
  <c r="M40" i="158"/>
  <c r="L40" i="158"/>
  <c r="K40" i="158"/>
  <c r="J40" i="158"/>
  <c r="P40" i="158" s="1"/>
  <c r="F69" i="158" s="1"/>
  <c r="I40" i="158"/>
  <c r="H40" i="158"/>
  <c r="G40" i="158"/>
  <c r="F40" i="158"/>
  <c r="E40" i="158"/>
  <c r="D40" i="158"/>
  <c r="O39" i="158"/>
  <c r="N39" i="158"/>
  <c r="M39" i="158"/>
  <c r="L39" i="158"/>
  <c r="K39" i="158"/>
  <c r="P39" i="158" s="1"/>
  <c r="F68" i="158" s="1"/>
  <c r="G68" i="158" s="1"/>
  <c r="J39" i="158"/>
  <c r="I39" i="158"/>
  <c r="H39" i="158"/>
  <c r="G39" i="158"/>
  <c r="F39" i="158"/>
  <c r="E39" i="158"/>
  <c r="D39" i="158"/>
  <c r="O38" i="158"/>
  <c r="N38" i="158"/>
  <c r="M38" i="158"/>
  <c r="L38" i="158"/>
  <c r="P38" i="158" s="1"/>
  <c r="F67" i="158" s="1"/>
  <c r="G67" i="158" s="1"/>
  <c r="K38" i="158"/>
  <c r="J38" i="158"/>
  <c r="I38" i="158"/>
  <c r="H38" i="158"/>
  <c r="G38" i="158"/>
  <c r="F38" i="158"/>
  <c r="E38" i="158"/>
  <c r="D38" i="158"/>
  <c r="O37" i="158"/>
  <c r="N37" i="158"/>
  <c r="M37" i="158"/>
  <c r="P37" i="158" s="1"/>
  <c r="F66" i="158" s="1"/>
  <c r="G66" i="158" s="1"/>
  <c r="L37" i="158"/>
  <c r="K37" i="158"/>
  <c r="J37" i="158"/>
  <c r="I37" i="158"/>
  <c r="P36" i="158"/>
  <c r="P35" i="158"/>
  <c r="F64" i="158" s="1"/>
  <c r="G64" i="158" s="1"/>
  <c r="P34" i="158"/>
  <c r="P33" i="158"/>
  <c r="P32" i="158"/>
  <c r="F61" i="158" s="1"/>
  <c r="P31" i="158"/>
  <c r="F60" i="158" s="1"/>
  <c r="G60" i="158" s="1"/>
  <c r="P30" i="158"/>
  <c r="P29" i="158"/>
  <c r="F58" i="158" s="1"/>
  <c r="P28" i="158"/>
  <c r="P27" i="158"/>
  <c r="P26" i="158"/>
  <c r="P25" i="158"/>
  <c r="P24" i="158"/>
  <c r="P23" i="158"/>
  <c r="P19" i="158"/>
  <c r="D70" i="158" s="1"/>
  <c r="E70" i="158" s="1"/>
  <c r="P18" i="158"/>
  <c r="P17" i="158"/>
  <c r="D68" i="158" s="1"/>
  <c r="P16" i="158"/>
  <c r="D67" i="158" s="1"/>
  <c r="P15" i="158"/>
  <c r="D66" i="158" s="1"/>
  <c r="P14" i="158"/>
  <c r="D65" i="158" s="1"/>
  <c r="E65" i="158" s="1"/>
  <c r="P13" i="158"/>
  <c r="P12" i="158"/>
  <c r="P11" i="158"/>
  <c r="P10" i="158"/>
  <c r="P9" i="158"/>
  <c r="P8" i="158"/>
  <c r="D59" i="158" s="1"/>
  <c r="P7" i="158"/>
  <c r="D58" i="158" s="1"/>
  <c r="G99" i="58" l="1"/>
  <c r="E170" i="78"/>
  <c r="J170" i="78" s="1"/>
  <c r="J93" i="70"/>
  <c r="J137" i="70" s="1"/>
  <c r="W91" i="116"/>
  <c r="AE77" i="116" s="1"/>
  <c r="M136" i="115"/>
  <c r="N136" i="115" s="1"/>
  <c r="H93" i="70"/>
  <c r="I93" i="70" s="1"/>
  <c r="M93" i="116"/>
  <c r="N93" i="116" s="1"/>
  <c r="R137" i="115"/>
  <c r="S137" i="115" s="1"/>
  <c r="H92" i="70"/>
  <c r="I92" i="70" s="1"/>
  <c r="T14" i="58"/>
  <c r="E12" i="78"/>
  <c r="J12" i="78" s="1"/>
  <c r="M137" i="70"/>
  <c r="N137" i="70" s="1"/>
  <c r="M91" i="70"/>
  <c r="N91" i="70" s="1"/>
  <c r="W139" i="116"/>
  <c r="M135" i="70"/>
  <c r="N135" i="70" s="1"/>
  <c r="T135" i="115"/>
  <c r="T91" i="70"/>
  <c r="T135" i="70" s="1"/>
  <c r="H95" i="70"/>
  <c r="I95" i="70" s="1"/>
  <c r="O92" i="115"/>
  <c r="O136" i="115" s="1"/>
  <c r="O135" i="115"/>
  <c r="R135" i="115" s="1"/>
  <c r="S135" i="115" s="1"/>
  <c r="O91" i="70"/>
  <c r="M95" i="115"/>
  <c r="N95" i="115" s="1"/>
  <c r="AB81" i="115"/>
  <c r="R89" i="115"/>
  <c r="S89" i="115" s="1"/>
  <c r="AC75" i="115"/>
  <c r="R91" i="115"/>
  <c r="S91" i="115" s="1"/>
  <c r="AC77" i="115"/>
  <c r="H139" i="70"/>
  <c r="I139" i="70" s="1"/>
  <c r="AB80" i="115"/>
  <c r="J94" i="115" s="1"/>
  <c r="M94" i="115" s="1"/>
  <c r="N94" i="115" s="1"/>
  <c r="R93" i="115"/>
  <c r="S93" i="115" s="1"/>
  <c r="AD79" i="115" s="1"/>
  <c r="T93" i="115" s="1"/>
  <c r="J139" i="115"/>
  <c r="M139" i="115" s="1"/>
  <c r="N139" i="115" s="1"/>
  <c r="R139" i="115" s="1"/>
  <c r="S139" i="115" s="1"/>
  <c r="J95" i="70"/>
  <c r="J139" i="70" s="1"/>
  <c r="M92" i="115"/>
  <c r="N92" i="115" s="1"/>
  <c r="AB78" i="115"/>
  <c r="O90" i="115"/>
  <c r="O134" i="115" s="1"/>
  <c r="R134" i="115" s="1"/>
  <c r="S134" i="115" s="1"/>
  <c r="M90" i="115"/>
  <c r="N90" i="115" s="1"/>
  <c r="AB76" i="115"/>
  <c r="J92" i="70"/>
  <c r="J136" i="116"/>
  <c r="M136" i="116" s="1"/>
  <c r="N136" i="116" s="1"/>
  <c r="M92" i="116"/>
  <c r="N92" i="116" s="1"/>
  <c r="AC78" i="116" s="1"/>
  <c r="O92" i="116" s="1"/>
  <c r="T138" i="116"/>
  <c r="W138" i="116" s="1"/>
  <c r="J133" i="116"/>
  <c r="M133" i="116" s="1"/>
  <c r="N133" i="116" s="1"/>
  <c r="J89" i="70"/>
  <c r="M89" i="116"/>
  <c r="N89" i="116" s="1"/>
  <c r="AC75" i="116" s="1"/>
  <c r="O89" i="116" s="1"/>
  <c r="E17" i="55"/>
  <c r="F13" i="55" s="1"/>
  <c r="E22" i="55"/>
  <c r="E24" i="55" s="1"/>
  <c r="F22" i="58" s="1"/>
  <c r="E81" i="78" s="1"/>
  <c r="J81" i="78" s="1"/>
  <c r="G12" i="114"/>
  <c r="G15" i="114"/>
  <c r="T22" i="58"/>
  <c r="F51" i="114"/>
  <c r="F48" i="114"/>
  <c r="G29" i="114"/>
  <c r="G47" i="114"/>
  <c r="G54" i="114" s="1"/>
  <c r="G30" i="114"/>
  <c r="J16" i="61"/>
  <c r="I11" i="114"/>
  <c r="I13" i="114" s="1"/>
  <c r="J18" i="58" s="1"/>
  <c r="E322" i="78" s="1"/>
  <c r="J322" i="78" s="1"/>
  <c r="I18" i="58"/>
  <c r="E262" i="78" s="1"/>
  <c r="J262" i="78" s="1"/>
  <c r="G47" i="159"/>
  <c r="E91" i="159"/>
  <c r="G91" i="159" s="1"/>
  <c r="G62" i="159"/>
  <c r="G33" i="159"/>
  <c r="D65" i="159"/>
  <c r="E64" i="159" s="1"/>
  <c r="G64" i="159" s="1"/>
  <c r="E77" i="159"/>
  <c r="G77" i="159" s="1"/>
  <c r="E49" i="159"/>
  <c r="G49" i="159" s="1"/>
  <c r="H74" i="115"/>
  <c r="D82" i="115"/>
  <c r="D74" i="116"/>
  <c r="R106" i="116"/>
  <c r="N112" i="116"/>
  <c r="W105" i="115"/>
  <c r="S112" i="115"/>
  <c r="D74" i="70"/>
  <c r="F18" i="54"/>
  <c r="G14" i="54" s="1"/>
  <c r="R62" i="70"/>
  <c r="N68" i="70"/>
  <c r="H118" i="115"/>
  <c r="S62" i="116"/>
  <c r="R68" i="116"/>
  <c r="I109" i="125"/>
  <c r="N106" i="70"/>
  <c r="M112" i="70"/>
  <c r="E20" i="54"/>
  <c r="E22" i="54" s="1"/>
  <c r="E24" i="54" s="1"/>
  <c r="W50" i="115"/>
  <c r="W48" i="115"/>
  <c r="W51" i="115"/>
  <c r="W46" i="115"/>
  <c r="O109" i="125"/>
  <c r="I125" i="125"/>
  <c r="O125" i="125" s="1"/>
  <c r="I148" i="125" s="1"/>
  <c r="O148" i="125" s="1"/>
  <c r="I162" i="125" s="1"/>
  <c r="O162" i="125" s="1"/>
  <c r="O122" i="125"/>
  <c r="S108" i="70"/>
  <c r="D118" i="116"/>
  <c r="D118" i="70"/>
  <c r="D38" i="116"/>
  <c r="H30" i="116"/>
  <c r="W24" i="70"/>
  <c r="O155" i="157" s="1"/>
  <c r="D30" i="70"/>
  <c r="M38" i="115"/>
  <c r="N30" i="115"/>
  <c r="G59" i="158"/>
  <c r="D80" i="159"/>
  <c r="E78" i="159"/>
  <c r="G78" i="159" s="1"/>
  <c r="G62" i="158"/>
  <c r="E50" i="159"/>
  <c r="G50" i="159" s="1"/>
  <c r="D52" i="159"/>
  <c r="E66" i="158"/>
  <c r="E71" i="158" s="1"/>
  <c r="E67" i="158"/>
  <c r="E68" i="158"/>
  <c r="E59" i="158"/>
  <c r="G46" i="159"/>
  <c r="F46" i="159"/>
  <c r="G32" i="159"/>
  <c r="F32" i="159" s="1"/>
  <c r="G61" i="158"/>
  <c r="G69" i="158"/>
  <c r="G71" i="158" s="1"/>
  <c r="D94" i="159"/>
  <c r="E92" i="159"/>
  <c r="G92" i="159" s="1"/>
  <c r="M93" i="70" l="1"/>
  <c r="N93" i="70" s="1"/>
  <c r="AC79" i="116"/>
  <c r="O93" i="116" s="1"/>
  <c r="R93" i="116" s="1"/>
  <c r="S93" i="116" s="1"/>
  <c r="R136" i="115"/>
  <c r="S136" i="115" s="1"/>
  <c r="W135" i="115"/>
  <c r="AC80" i="115"/>
  <c r="O94" i="115" s="1"/>
  <c r="R94" i="115" s="1"/>
  <c r="S94" i="115" s="1"/>
  <c r="R95" i="115"/>
  <c r="S95" i="115" s="1"/>
  <c r="AC81" i="115"/>
  <c r="R90" i="115"/>
  <c r="S90" i="115" s="1"/>
  <c r="AC76" i="115"/>
  <c r="T92" i="115"/>
  <c r="T136" i="115" s="1"/>
  <c r="W136" i="115" s="1"/>
  <c r="J138" i="115"/>
  <c r="M138" i="115" s="1"/>
  <c r="N138" i="115" s="1"/>
  <c r="J94" i="70"/>
  <c r="O135" i="70"/>
  <c r="R135" i="70" s="1"/>
  <c r="S135" i="70" s="1"/>
  <c r="W135" i="70" s="1"/>
  <c r="R91" i="70"/>
  <c r="S91" i="70" s="1"/>
  <c r="W91" i="70" s="1"/>
  <c r="M139" i="70"/>
  <c r="N139" i="70" s="1"/>
  <c r="R139" i="70" s="1"/>
  <c r="S139" i="70" s="1"/>
  <c r="T95" i="115"/>
  <c r="W91" i="115"/>
  <c r="AE77" i="115" s="1"/>
  <c r="AD77" i="115"/>
  <c r="W89" i="115"/>
  <c r="AE75" i="115" s="1"/>
  <c r="AD75" i="115"/>
  <c r="R92" i="115"/>
  <c r="S92" i="115" s="1"/>
  <c r="AC78" i="115"/>
  <c r="M95" i="70"/>
  <c r="N95" i="70" s="1"/>
  <c r="R95" i="70" s="1"/>
  <c r="S95" i="70" s="1"/>
  <c r="T90" i="115"/>
  <c r="T134" i="115" s="1"/>
  <c r="W134" i="115" s="1"/>
  <c r="W94" i="116"/>
  <c r="AE80" i="116" s="1"/>
  <c r="R92" i="116"/>
  <c r="S92" i="116" s="1"/>
  <c r="J133" i="70"/>
  <c r="M133" i="70" s="1"/>
  <c r="N133" i="70" s="1"/>
  <c r="M89" i="70"/>
  <c r="N89" i="70" s="1"/>
  <c r="J136" i="70"/>
  <c r="M92" i="70"/>
  <c r="N92" i="70" s="1"/>
  <c r="W93" i="115"/>
  <c r="AE79" i="115" s="1"/>
  <c r="G49" i="114"/>
  <c r="O85" i="157" s="1"/>
  <c r="H56" i="58"/>
  <c r="E230" i="78" s="1"/>
  <c r="J230" i="78" s="1"/>
  <c r="G32" i="114"/>
  <c r="G33" i="114" s="1"/>
  <c r="H99" i="58"/>
  <c r="G16" i="114"/>
  <c r="H10" i="114"/>
  <c r="F52" i="114"/>
  <c r="G46" i="114"/>
  <c r="F22" i="55"/>
  <c r="F24" i="55" s="1"/>
  <c r="E38" i="55"/>
  <c r="E40" i="55" s="1"/>
  <c r="F17" i="55"/>
  <c r="G13" i="55" s="1"/>
  <c r="F14" i="58"/>
  <c r="E74" i="78" s="1"/>
  <c r="J74" i="78" s="1"/>
  <c r="I40" i="61"/>
  <c r="H28" i="114"/>
  <c r="F20" i="54"/>
  <c r="F22" i="54" s="1"/>
  <c r="F24" i="54" s="1"/>
  <c r="D66" i="159"/>
  <c r="D119" i="115"/>
  <c r="W112" i="115"/>
  <c r="W62" i="116"/>
  <c r="S68" i="116"/>
  <c r="S106" i="116"/>
  <c r="R112" i="116"/>
  <c r="H74" i="70"/>
  <c r="H74" i="116"/>
  <c r="G18" i="54"/>
  <c r="H14" i="54" s="1"/>
  <c r="R106" i="70"/>
  <c r="N112" i="70"/>
  <c r="I118" i="115"/>
  <c r="I128" i="125"/>
  <c r="S62" i="70"/>
  <c r="R68" i="70"/>
  <c r="I74" i="115"/>
  <c r="H82" i="115"/>
  <c r="O181" i="125"/>
  <c r="I199" i="125" s="1"/>
  <c r="O199" i="125" s="1"/>
  <c r="I180" i="125"/>
  <c r="O180" i="125" s="1"/>
  <c r="I198" i="125" s="1"/>
  <c r="O198" i="125" s="1"/>
  <c r="O128" i="125"/>
  <c r="I145" i="125"/>
  <c r="H118" i="70"/>
  <c r="H118" i="116"/>
  <c r="W108" i="70"/>
  <c r="H30" i="70"/>
  <c r="D38" i="70"/>
  <c r="I30" i="116"/>
  <c r="H38" i="116"/>
  <c r="R30" i="115"/>
  <c r="N38" i="115"/>
  <c r="D95" i="159"/>
  <c r="E93" i="159"/>
  <c r="G93" i="159" s="1"/>
  <c r="G73" i="158"/>
  <c r="G75" i="158" s="1"/>
  <c r="E51" i="159"/>
  <c r="G51" i="159" s="1"/>
  <c r="D53" i="159"/>
  <c r="D67" i="159"/>
  <c r="E65" i="159"/>
  <c r="G65" i="159" s="1"/>
  <c r="D81" i="159"/>
  <c r="E79" i="159"/>
  <c r="G79" i="159" s="1"/>
  <c r="H27" i="114" l="1"/>
  <c r="AD79" i="116"/>
  <c r="T93" i="116" s="1"/>
  <c r="T137" i="116" s="1"/>
  <c r="O137" i="116"/>
  <c r="R137" i="116" s="1"/>
  <c r="S137" i="116" s="1"/>
  <c r="O93" i="70"/>
  <c r="AD80" i="115"/>
  <c r="T94" i="115" s="1"/>
  <c r="W94" i="115" s="1"/>
  <c r="AE80" i="115" s="1"/>
  <c r="J138" i="70"/>
  <c r="M138" i="70" s="1"/>
  <c r="N138" i="70" s="1"/>
  <c r="M94" i="70"/>
  <c r="N94" i="70" s="1"/>
  <c r="T139" i="115"/>
  <c r="W139" i="115" s="1"/>
  <c r="T95" i="70"/>
  <c r="T139" i="70" s="1"/>
  <c r="W139" i="70" s="1"/>
  <c r="W90" i="115"/>
  <c r="AE76" i="115" s="1"/>
  <c r="AD76" i="115"/>
  <c r="W92" i="115"/>
  <c r="AE78" i="115" s="1"/>
  <c r="AD78" i="115"/>
  <c r="W95" i="115"/>
  <c r="AE81" i="115" s="1"/>
  <c r="AD81" i="115"/>
  <c r="O94" i="70"/>
  <c r="O138" i="70" s="1"/>
  <c r="O138" i="115"/>
  <c r="R138" i="115" s="1"/>
  <c r="S138" i="115" s="1"/>
  <c r="O89" i="70"/>
  <c r="O133" i="70" s="1"/>
  <c r="R133" i="70" s="1"/>
  <c r="S133" i="70" s="1"/>
  <c r="O133" i="116"/>
  <c r="R133" i="116" s="1"/>
  <c r="S133" i="116" s="1"/>
  <c r="O136" i="116"/>
  <c r="R136" i="116" s="1"/>
  <c r="S136" i="116" s="1"/>
  <c r="O92" i="70"/>
  <c r="O136" i="70" s="1"/>
  <c r="AD78" i="116"/>
  <c r="T92" i="116" s="1"/>
  <c r="R89" i="116"/>
  <c r="S89" i="116" s="1"/>
  <c r="AD75" i="116" s="1"/>
  <c r="T89" i="116" s="1"/>
  <c r="T93" i="70"/>
  <c r="T137" i="115"/>
  <c r="W137" i="115" s="1"/>
  <c r="G17" i="55"/>
  <c r="H13" i="55" s="1"/>
  <c r="G22" i="55"/>
  <c r="G24" i="55" s="1"/>
  <c r="F38" i="55"/>
  <c r="F40" i="55" s="1"/>
  <c r="G22" i="58"/>
  <c r="E144" i="78" s="1"/>
  <c r="J144" i="78" s="1"/>
  <c r="G51" i="114"/>
  <c r="G48" i="114"/>
  <c r="H12" i="114"/>
  <c r="H15" i="114"/>
  <c r="G14" i="58"/>
  <c r="E137" i="78" s="1"/>
  <c r="J137" i="78" s="1"/>
  <c r="H30" i="114"/>
  <c r="I56" i="58" s="1"/>
  <c r="E289" i="78" s="1"/>
  <c r="J289" i="78" s="1"/>
  <c r="H47" i="114"/>
  <c r="H29" i="114"/>
  <c r="K16" i="61"/>
  <c r="J11" i="114"/>
  <c r="J13" i="114" s="1"/>
  <c r="K18" i="58" s="1"/>
  <c r="E384" i="78" s="1"/>
  <c r="J384" i="78" s="1"/>
  <c r="G20" i="54"/>
  <c r="G22" i="54" s="1"/>
  <c r="G24" i="54" s="1"/>
  <c r="I74" i="116"/>
  <c r="I74" i="70"/>
  <c r="W62" i="70"/>
  <c r="S68" i="70"/>
  <c r="H18" i="54"/>
  <c r="I14" i="54" s="1"/>
  <c r="M118" i="115"/>
  <c r="D76" i="116"/>
  <c r="W68" i="116"/>
  <c r="I82" i="115"/>
  <c r="M74" i="115"/>
  <c r="W106" i="116"/>
  <c r="S112" i="116"/>
  <c r="S106" i="70"/>
  <c r="R112" i="70"/>
  <c r="H119" i="115"/>
  <c r="D126" i="115"/>
  <c r="O145" i="125"/>
  <c r="I151" i="125"/>
  <c r="D122" i="70"/>
  <c r="I118" i="116"/>
  <c r="I118" i="70"/>
  <c r="M30" i="116"/>
  <c r="I38" i="116"/>
  <c r="I30" i="70"/>
  <c r="H38" i="70"/>
  <c r="R155" i="157" s="1"/>
  <c r="S30" i="115"/>
  <c r="R38" i="115"/>
  <c r="E52" i="159"/>
  <c r="G52" i="159" s="1"/>
  <c r="D54" i="159"/>
  <c r="E80" i="159"/>
  <c r="G80" i="159" s="1"/>
  <c r="D82" i="159"/>
  <c r="D68" i="159"/>
  <c r="E66" i="159"/>
  <c r="G66" i="159" s="1"/>
  <c r="E94" i="159"/>
  <c r="G94" i="159" s="1"/>
  <c r="D96" i="159"/>
  <c r="R89" i="70" l="1"/>
  <c r="S89" i="70" s="1"/>
  <c r="W93" i="116"/>
  <c r="AE79" i="116" s="1"/>
  <c r="O137" i="70"/>
  <c r="R137" i="70" s="1"/>
  <c r="S137" i="70" s="1"/>
  <c r="R93" i="70"/>
  <c r="S93" i="70" s="1"/>
  <c r="W93" i="70" s="1"/>
  <c r="W137" i="116"/>
  <c r="R138" i="70"/>
  <c r="S138" i="70" s="1"/>
  <c r="R94" i="70"/>
  <c r="S94" i="70" s="1"/>
  <c r="W95" i="70"/>
  <c r="T138" i="115"/>
  <c r="W138" i="115" s="1"/>
  <c r="T94" i="70"/>
  <c r="T136" i="116"/>
  <c r="W136" i="116" s="1"/>
  <c r="T92" i="70"/>
  <c r="T136" i="70" s="1"/>
  <c r="W92" i="116"/>
  <c r="AE78" i="116" s="1"/>
  <c r="R92" i="70"/>
  <c r="S92" i="70" s="1"/>
  <c r="T137" i="70"/>
  <c r="H46" i="114"/>
  <c r="H48" i="114" s="1"/>
  <c r="G52" i="114"/>
  <c r="H22" i="58"/>
  <c r="E204" i="78" s="1"/>
  <c r="J204" i="78" s="1"/>
  <c r="I10" i="114"/>
  <c r="H16" i="114"/>
  <c r="H17" i="55"/>
  <c r="I13" i="55" s="1"/>
  <c r="G38" i="55"/>
  <c r="G40" i="55" s="1"/>
  <c r="H22" i="55"/>
  <c r="H24" i="55" s="1"/>
  <c r="H14" i="58"/>
  <c r="E197" i="78" s="1"/>
  <c r="J197" i="78" s="1"/>
  <c r="H32" i="114"/>
  <c r="H49" i="114"/>
  <c r="J40" i="61"/>
  <c r="I28" i="114"/>
  <c r="H54" i="114"/>
  <c r="H20" i="54"/>
  <c r="H22" i="54" s="1"/>
  <c r="H24" i="54" s="1"/>
  <c r="N118" i="115"/>
  <c r="W106" i="70"/>
  <c r="S112" i="70"/>
  <c r="H76" i="116"/>
  <c r="D82" i="116"/>
  <c r="I119" i="115"/>
  <c r="H126" i="115"/>
  <c r="D76" i="70"/>
  <c r="W68" i="70"/>
  <c r="M82" i="115"/>
  <c r="N74" i="115"/>
  <c r="M74" i="116"/>
  <c r="I18" i="54"/>
  <c r="J14" i="54" s="1"/>
  <c r="D120" i="116"/>
  <c r="W112" i="116"/>
  <c r="M74" i="70"/>
  <c r="O151" i="125"/>
  <c r="I159" i="125"/>
  <c r="M118" i="70"/>
  <c r="M118" i="116"/>
  <c r="H122" i="70"/>
  <c r="I38" i="70"/>
  <c r="M30" i="70"/>
  <c r="M38" i="116"/>
  <c r="N30" i="116"/>
  <c r="W30" i="115"/>
  <c r="T74" i="115" s="1"/>
  <c r="S38" i="115"/>
  <c r="E95" i="159"/>
  <c r="G95" i="159" s="1"/>
  <c r="D97" i="159"/>
  <c r="D69" i="159"/>
  <c r="E67" i="159"/>
  <c r="G67" i="159" s="1"/>
  <c r="D55" i="159"/>
  <c r="E53" i="159"/>
  <c r="G53" i="159" s="1"/>
  <c r="D83" i="159"/>
  <c r="E81" i="159"/>
  <c r="G81" i="159" s="1"/>
  <c r="W137" i="70" l="1"/>
  <c r="T82" i="115"/>
  <c r="L13" i="58" s="1"/>
  <c r="T118" i="115"/>
  <c r="T126" i="115" s="1"/>
  <c r="T138" i="70"/>
  <c r="W138" i="70" s="1"/>
  <c r="W94" i="70"/>
  <c r="W92" i="70"/>
  <c r="T133" i="116"/>
  <c r="W133" i="116" s="1"/>
  <c r="T89" i="70"/>
  <c r="W89" i="116"/>
  <c r="AE75" i="116" s="1"/>
  <c r="I22" i="58"/>
  <c r="E265" i="78" s="1"/>
  <c r="J265" i="78" s="1"/>
  <c r="I17" i="55"/>
  <c r="J13" i="55" s="1"/>
  <c r="H38" i="55"/>
  <c r="H40" i="55" s="1"/>
  <c r="I22" i="55"/>
  <c r="I24" i="55" s="1"/>
  <c r="I15" i="114"/>
  <c r="I12" i="114"/>
  <c r="I14" i="58"/>
  <c r="E258" i="78" s="1"/>
  <c r="J258" i="78" s="1"/>
  <c r="E67" i="61"/>
  <c r="K11" i="114"/>
  <c r="K13" i="114" s="1"/>
  <c r="I30" i="114"/>
  <c r="I47" i="114"/>
  <c r="I54" i="114" s="1"/>
  <c r="R85" i="157"/>
  <c r="H51" i="114"/>
  <c r="H33" i="114"/>
  <c r="I27" i="114"/>
  <c r="I20" i="54"/>
  <c r="I22" i="54" s="1"/>
  <c r="I24" i="54" s="1"/>
  <c r="R74" i="115"/>
  <c r="N82" i="115"/>
  <c r="H120" i="116"/>
  <c r="D126" i="116"/>
  <c r="J18" i="54"/>
  <c r="K14" i="54" s="1"/>
  <c r="N74" i="70"/>
  <c r="R118" i="115"/>
  <c r="H76" i="70"/>
  <c r="D82" i="70"/>
  <c r="M119" i="115"/>
  <c r="I126" i="115"/>
  <c r="I76" i="116"/>
  <c r="H82" i="116"/>
  <c r="D120" i="70"/>
  <c r="W112" i="70"/>
  <c r="N74" i="116"/>
  <c r="O159" i="125"/>
  <c r="I177" i="125" s="1"/>
  <c r="O177" i="125" s="1"/>
  <c r="I195" i="125" s="1"/>
  <c r="I165" i="125"/>
  <c r="I122" i="70"/>
  <c r="N118" i="116"/>
  <c r="N118" i="70"/>
  <c r="N38" i="116"/>
  <c r="R30" i="116"/>
  <c r="M38" i="70"/>
  <c r="U155" i="157" s="1"/>
  <c r="N30" i="70"/>
  <c r="W38" i="115"/>
  <c r="D44" i="115"/>
  <c r="D56" i="159"/>
  <c r="E54" i="159"/>
  <c r="G54" i="159" s="1"/>
  <c r="D98" i="159"/>
  <c r="E96" i="159"/>
  <c r="G96" i="159" s="1"/>
  <c r="D84" i="159"/>
  <c r="E82" i="159"/>
  <c r="G82" i="159" s="1"/>
  <c r="E68" i="159"/>
  <c r="G68" i="159" s="1"/>
  <c r="D70" i="159"/>
  <c r="K17" i="54" l="1"/>
  <c r="T133" i="70"/>
  <c r="W133" i="70" s="1"/>
  <c r="W89" i="70"/>
  <c r="O195" i="125"/>
  <c r="J22" i="58"/>
  <c r="E325" i="78" s="1"/>
  <c r="J325" i="78" s="1"/>
  <c r="I49" i="114"/>
  <c r="U85" i="157" s="1"/>
  <c r="J56" i="58"/>
  <c r="E350" i="78" s="1"/>
  <c r="J350" i="78" s="1"/>
  <c r="J10" i="114"/>
  <c r="I16" i="114"/>
  <c r="J17" i="55"/>
  <c r="D95" i="55" s="1"/>
  <c r="I38" i="55"/>
  <c r="I40" i="55" s="1"/>
  <c r="J22" i="55"/>
  <c r="J24" i="55" s="1"/>
  <c r="J14" i="58"/>
  <c r="E318" i="78" s="1"/>
  <c r="J318" i="78" s="1"/>
  <c r="I29" i="114"/>
  <c r="I32" i="114"/>
  <c r="I46" i="114"/>
  <c r="H52" i="114"/>
  <c r="K40" i="61"/>
  <c r="J28" i="114"/>
  <c r="L18" i="58"/>
  <c r="I99" i="58"/>
  <c r="S118" i="115"/>
  <c r="R74" i="116"/>
  <c r="R74" i="70"/>
  <c r="J20" i="54"/>
  <c r="J22" i="54" s="1"/>
  <c r="J24" i="54" s="1"/>
  <c r="H120" i="70"/>
  <c r="D126" i="70"/>
  <c r="I76" i="70"/>
  <c r="H82" i="70"/>
  <c r="K18" i="54"/>
  <c r="L14" i="54" s="1"/>
  <c r="M76" i="116"/>
  <c r="I82" i="116"/>
  <c r="I120" i="116"/>
  <c r="H126" i="116"/>
  <c r="N119" i="115"/>
  <c r="M126" i="115"/>
  <c r="R82" i="115"/>
  <c r="S74" i="115"/>
  <c r="O165" i="125"/>
  <c r="R118" i="70"/>
  <c r="R118" i="116"/>
  <c r="M122" i="70"/>
  <c r="N38" i="70"/>
  <c r="R30" i="70"/>
  <c r="S30" i="116"/>
  <c r="R38" i="116"/>
  <c r="D52" i="115"/>
  <c r="H44" i="115"/>
  <c r="E88" i="115" s="1"/>
  <c r="E97" i="159"/>
  <c r="G97" i="159" s="1"/>
  <c r="D99" i="159"/>
  <c r="E69" i="159"/>
  <c r="G69" i="159" s="1"/>
  <c r="D71" i="159"/>
  <c r="D85" i="159"/>
  <c r="E83" i="159"/>
  <c r="G83" i="159" s="1"/>
  <c r="E55" i="159"/>
  <c r="G55" i="159" s="1"/>
  <c r="D57" i="159"/>
  <c r="E96" i="115" l="1"/>
  <c r="M13" i="58" s="1"/>
  <c r="E132" i="115"/>
  <c r="E140" i="115" s="1"/>
  <c r="K22" i="58"/>
  <c r="E387" i="78" s="1"/>
  <c r="J387" i="78" s="1"/>
  <c r="D104" i="55"/>
  <c r="D106" i="55" s="1"/>
  <c r="L22" i="58" s="1"/>
  <c r="D99" i="55"/>
  <c r="E95" i="55" s="1"/>
  <c r="J12" i="114"/>
  <c r="J15" i="114"/>
  <c r="K14" i="58"/>
  <c r="E380" i="78" s="1"/>
  <c r="J380" i="78" s="1"/>
  <c r="F67" i="61"/>
  <c r="L11" i="114"/>
  <c r="L13" i="114" s="1"/>
  <c r="M18" i="58" s="1"/>
  <c r="J30" i="114"/>
  <c r="J47" i="114"/>
  <c r="J54" i="114" s="1"/>
  <c r="I51" i="114"/>
  <c r="I48" i="114"/>
  <c r="J27" i="114"/>
  <c r="I33" i="114"/>
  <c r="W74" i="115"/>
  <c r="S82" i="115"/>
  <c r="Z74" i="115"/>
  <c r="M120" i="116"/>
  <c r="I126" i="116"/>
  <c r="S74" i="70"/>
  <c r="N76" i="116"/>
  <c r="M82" i="116"/>
  <c r="M76" i="70"/>
  <c r="I82" i="70"/>
  <c r="I120" i="70"/>
  <c r="H126" i="70"/>
  <c r="R119" i="115"/>
  <c r="N126" i="115"/>
  <c r="S74" i="116"/>
  <c r="Z74" i="116" s="1"/>
  <c r="K20" i="54"/>
  <c r="K22" i="54" s="1"/>
  <c r="K24" i="54" s="1"/>
  <c r="W118" i="115"/>
  <c r="O178" i="125"/>
  <c r="I183" i="125"/>
  <c r="S118" i="116"/>
  <c r="N122" i="70"/>
  <c r="S118" i="70"/>
  <c r="S38" i="116"/>
  <c r="W30" i="116"/>
  <c r="T74" i="116" s="1"/>
  <c r="R38" i="70"/>
  <c r="X155" i="157" s="1"/>
  <c r="S30" i="70"/>
  <c r="H52" i="115"/>
  <c r="I44" i="115"/>
  <c r="E70" i="159"/>
  <c r="G70" i="159" s="1"/>
  <c r="D72" i="159"/>
  <c r="E56" i="159"/>
  <c r="G56" i="159" s="1"/>
  <c r="D58" i="159"/>
  <c r="E84" i="159"/>
  <c r="G84" i="159" s="1"/>
  <c r="D86" i="159"/>
  <c r="D100" i="159"/>
  <c r="E98" i="159"/>
  <c r="G98" i="159" s="1"/>
  <c r="T118" i="116" l="1"/>
  <c r="T126" i="116" s="1"/>
  <c r="T82" i="116"/>
  <c r="L51" i="58" s="1"/>
  <c r="T74" i="70"/>
  <c r="W74" i="70" s="1"/>
  <c r="L17" i="54"/>
  <c r="L18" i="54" s="1"/>
  <c r="M14" i="54" s="1"/>
  <c r="O183" i="125"/>
  <c r="I196" i="125"/>
  <c r="J49" i="114"/>
  <c r="X85" i="157" s="1"/>
  <c r="K56" i="58"/>
  <c r="E412" i="78" s="1"/>
  <c r="J412" i="78" s="1"/>
  <c r="E104" i="55"/>
  <c r="E106" i="55" s="1"/>
  <c r="M22" i="58" s="1"/>
  <c r="E99" i="55"/>
  <c r="F95" i="55" s="1"/>
  <c r="K10" i="114"/>
  <c r="J16" i="114"/>
  <c r="L14" i="58"/>
  <c r="I52" i="114"/>
  <c r="J46" i="114"/>
  <c r="E86" i="61"/>
  <c r="K28" i="114"/>
  <c r="J99" i="58"/>
  <c r="J32" i="114"/>
  <c r="J29" i="114"/>
  <c r="L20" i="54"/>
  <c r="L22" i="54" s="1"/>
  <c r="L24" i="54" s="1"/>
  <c r="M120" i="70"/>
  <c r="I126" i="70"/>
  <c r="N76" i="70"/>
  <c r="M82" i="70"/>
  <c r="W74" i="116"/>
  <c r="N120" i="116"/>
  <c r="M126" i="116"/>
  <c r="R76" i="116"/>
  <c r="N82" i="116"/>
  <c r="S119" i="115"/>
  <c r="R126" i="115"/>
  <c r="D132" i="115"/>
  <c r="D88" i="115"/>
  <c r="W82" i="115"/>
  <c r="R122" i="70"/>
  <c r="W30" i="70"/>
  <c r="D44" i="70" s="1"/>
  <c r="S38" i="70"/>
  <c r="W38" i="116"/>
  <c r="D44" i="116"/>
  <c r="I52" i="115"/>
  <c r="M44" i="115"/>
  <c r="J88" i="115" s="1"/>
  <c r="D87" i="159"/>
  <c r="E85" i="159"/>
  <c r="G85" i="159" s="1"/>
  <c r="D101" i="159"/>
  <c r="E99" i="159"/>
  <c r="G99" i="159" s="1"/>
  <c r="E57" i="159"/>
  <c r="G57" i="159" s="1"/>
  <c r="D59" i="159"/>
  <c r="E71" i="159"/>
  <c r="G71" i="159" s="1"/>
  <c r="D73" i="159"/>
  <c r="W118" i="116" l="1"/>
  <c r="J132" i="115"/>
  <c r="J140" i="115" s="1"/>
  <c r="J96" i="115"/>
  <c r="N13" i="58" s="1"/>
  <c r="T82" i="70"/>
  <c r="T118" i="70"/>
  <c r="K130" i="54"/>
  <c r="L94" i="58"/>
  <c r="O196" i="125"/>
  <c r="O201" i="125" s="1"/>
  <c r="I201" i="125"/>
  <c r="K15" i="114"/>
  <c r="K12" i="114"/>
  <c r="F99" i="55"/>
  <c r="G95" i="55" s="1"/>
  <c r="F104" i="55"/>
  <c r="F106" i="55" s="1"/>
  <c r="N22" i="58" s="1"/>
  <c r="M14" i="58"/>
  <c r="K27" i="114"/>
  <c r="J33" i="114"/>
  <c r="J51" i="114"/>
  <c r="J48" i="114"/>
  <c r="K30" i="114"/>
  <c r="K47" i="114"/>
  <c r="K54" i="114" s="1"/>
  <c r="G67" i="61"/>
  <c r="M11" i="114"/>
  <c r="M13" i="114" s="1"/>
  <c r="N18" i="58" s="1"/>
  <c r="D88" i="116"/>
  <c r="AA74" i="116" s="1"/>
  <c r="D96" i="115"/>
  <c r="H88" i="115"/>
  <c r="AA74" i="115"/>
  <c r="H132" i="115"/>
  <c r="R76" i="70"/>
  <c r="N82" i="70"/>
  <c r="W119" i="115"/>
  <c r="S126" i="115"/>
  <c r="R120" i="116"/>
  <c r="N126" i="116"/>
  <c r="D88" i="70"/>
  <c r="S76" i="116"/>
  <c r="R82" i="116"/>
  <c r="N120" i="70"/>
  <c r="M126" i="70"/>
  <c r="D132" i="116"/>
  <c r="S122" i="70"/>
  <c r="D52" i="70"/>
  <c r="H44" i="70"/>
  <c r="H44" i="116"/>
  <c r="D52" i="116"/>
  <c r="W38" i="70"/>
  <c r="M52" i="115"/>
  <c r="N44" i="115"/>
  <c r="E72" i="159"/>
  <c r="G72" i="159" s="1"/>
  <c r="D74" i="159"/>
  <c r="E58" i="159"/>
  <c r="G58" i="159" s="1"/>
  <c r="D60" i="159"/>
  <c r="G101" i="159"/>
  <c r="E100" i="159"/>
  <c r="G100" i="159" s="1"/>
  <c r="D88" i="159"/>
  <c r="E86" i="159"/>
  <c r="G86" i="159" s="1"/>
  <c r="E88" i="116" l="1"/>
  <c r="E88" i="70" s="1"/>
  <c r="T126" i="70"/>
  <c r="W118" i="70"/>
  <c r="D132" i="70" s="1"/>
  <c r="M17" i="54"/>
  <c r="M18" i="54" s="1"/>
  <c r="K49" i="114"/>
  <c r="L56" i="58"/>
  <c r="G104" i="55"/>
  <c r="G106" i="55" s="1"/>
  <c r="O22" i="58" s="1"/>
  <c r="G99" i="55"/>
  <c r="H95" i="55" s="1"/>
  <c r="K16" i="114"/>
  <c r="L10" i="114"/>
  <c r="J52" i="114"/>
  <c r="K46" i="114"/>
  <c r="K32" i="114"/>
  <c r="K29" i="114"/>
  <c r="K99" i="58"/>
  <c r="F86" i="61"/>
  <c r="L28" i="114"/>
  <c r="D133" i="115"/>
  <c r="W126" i="115"/>
  <c r="R120" i="70"/>
  <c r="N126" i="70"/>
  <c r="S76" i="70"/>
  <c r="R82" i="70"/>
  <c r="W76" i="116"/>
  <c r="Z76" i="116"/>
  <c r="S82" i="116"/>
  <c r="I88" i="115"/>
  <c r="H96" i="115"/>
  <c r="S120" i="116"/>
  <c r="R126" i="116"/>
  <c r="I132" i="115"/>
  <c r="W122" i="70"/>
  <c r="I44" i="70"/>
  <c r="H52" i="70"/>
  <c r="I44" i="116"/>
  <c r="H52" i="116"/>
  <c r="N52" i="115"/>
  <c r="R44" i="115"/>
  <c r="O88" i="115" s="1"/>
  <c r="G102" i="159"/>
  <c r="F102" i="159" s="1"/>
  <c r="G74" i="159"/>
  <c r="E73" i="159"/>
  <c r="G73" i="159" s="1"/>
  <c r="G88" i="159"/>
  <c r="E87" i="159"/>
  <c r="G87" i="159" s="1"/>
  <c r="E59" i="159"/>
  <c r="G59" i="159" s="1"/>
  <c r="G60" i="159"/>
  <c r="G61" i="159" s="1"/>
  <c r="F61" i="159" s="1"/>
  <c r="O132" i="115" l="1"/>
  <c r="O140" i="115" s="1"/>
  <c r="O96" i="115"/>
  <c r="O13" i="58" s="1"/>
  <c r="N14" i="54"/>
  <c r="M20" i="54"/>
  <c r="M22" i="54" s="1"/>
  <c r="M24" i="54" s="1"/>
  <c r="N14" i="58" s="1"/>
  <c r="H88" i="70"/>
  <c r="I88" i="70" s="1"/>
  <c r="E132" i="70"/>
  <c r="H132" i="70" s="1"/>
  <c r="I132" i="70" s="1"/>
  <c r="E132" i="116"/>
  <c r="H132" i="116" s="1"/>
  <c r="I132" i="116" s="1"/>
  <c r="H88" i="116"/>
  <c r="I88" i="116" s="1"/>
  <c r="AB74" i="116" s="1"/>
  <c r="J88" i="116" s="1"/>
  <c r="H99" i="55"/>
  <c r="H104" i="55"/>
  <c r="H106" i="55" s="1"/>
  <c r="P22" i="58" s="1"/>
  <c r="AU22" i="58" s="1"/>
  <c r="L15" i="114"/>
  <c r="L12" i="114"/>
  <c r="L30" i="114"/>
  <c r="L47" i="114"/>
  <c r="L54" i="114" s="1"/>
  <c r="K33" i="114"/>
  <c r="L27" i="114"/>
  <c r="H67" i="61"/>
  <c r="N11" i="114"/>
  <c r="N13" i="114" s="1"/>
  <c r="O18" i="58" s="1"/>
  <c r="K51" i="114"/>
  <c r="K48" i="114"/>
  <c r="G89" i="159"/>
  <c r="F89" i="159" s="1"/>
  <c r="W76" i="70"/>
  <c r="S82" i="70"/>
  <c r="D90" i="116"/>
  <c r="W82" i="116"/>
  <c r="M132" i="115"/>
  <c r="W120" i="116"/>
  <c r="S126" i="116"/>
  <c r="S120" i="70"/>
  <c r="R126" i="70"/>
  <c r="I96" i="115"/>
  <c r="M88" i="115"/>
  <c r="AB74" i="115"/>
  <c r="H133" i="115"/>
  <c r="D140" i="115"/>
  <c r="D136" i="70"/>
  <c r="M44" i="70"/>
  <c r="I52" i="70"/>
  <c r="M44" i="116"/>
  <c r="I52" i="116"/>
  <c r="S44" i="115"/>
  <c r="R52" i="115"/>
  <c r="G75" i="159"/>
  <c r="F75" i="159" s="1"/>
  <c r="N17" i="54" l="1"/>
  <c r="N18" i="54" s="1"/>
  <c r="M88" i="116"/>
  <c r="N88" i="116" s="1"/>
  <c r="L49" i="114"/>
  <c r="M56" i="58"/>
  <c r="M10" i="114"/>
  <c r="L16" i="114"/>
  <c r="L46" i="114"/>
  <c r="K52" i="114"/>
  <c r="L32" i="114"/>
  <c r="L29" i="114"/>
  <c r="L99" i="58"/>
  <c r="G86" i="61"/>
  <c r="M28" i="114"/>
  <c r="D134" i="116"/>
  <c r="D140" i="116" s="1"/>
  <c r="W126" i="116"/>
  <c r="AA76" i="116"/>
  <c r="E90" i="116" s="1"/>
  <c r="D96" i="116"/>
  <c r="W120" i="70"/>
  <c r="S126" i="70"/>
  <c r="N132" i="115"/>
  <c r="I133" i="115"/>
  <c r="H140" i="115"/>
  <c r="M96" i="115"/>
  <c r="N88" i="115"/>
  <c r="D90" i="70"/>
  <c r="W82" i="70"/>
  <c r="J132" i="116"/>
  <c r="M132" i="116" s="1"/>
  <c r="J88" i="70"/>
  <c r="M88" i="70" s="1"/>
  <c r="H136" i="70"/>
  <c r="M52" i="70"/>
  <c r="N44" i="70"/>
  <c r="M52" i="116"/>
  <c r="N44" i="116"/>
  <c r="S52" i="115"/>
  <c r="W44" i="115"/>
  <c r="T88" i="115" s="1"/>
  <c r="G60" i="58"/>
  <c r="F60" i="58"/>
  <c r="O14" i="54" l="1"/>
  <c r="N20" i="54"/>
  <c r="N22" i="54" s="1"/>
  <c r="N24" i="54" s="1"/>
  <c r="O14" i="58" s="1"/>
  <c r="T96" i="115"/>
  <c r="P13" i="58" s="1"/>
  <c r="T132" i="115"/>
  <c r="T140" i="115" s="1"/>
  <c r="M12" i="114"/>
  <c r="M15" i="114"/>
  <c r="F103" i="58"/>
  <c r="I84" i="157" s="1"/>
  <c r="AI60" i="58"/>
  <c r="AI103" i="58" s="1"/>
  <c r="U60" i="58"/>
  <c r="U103" i="58" s="1"/>
  <c r="G103" i="58"/>
  <c r="L84" i="157" s="1"/>
  <c r="AJ60" i="58"/>
  <c r="AJ103" i="58" s="1"/>
  <c r="V60" i="58"/>
  <c r="V103" i="58" s="1"/>
  <c r="I67" i="61"/>
  <c r="O11" i="114"/>
  <c r="O13" i="114" s="1"/>
  <c r="P18" i="58" s="1"/>
  <c r="L33" i="114"/>
  <c r="M27" i="114"/>
  <c r="M30" i="114"/>
  <c r="M47" i="114"/>
  <c r="M54" i="114" s="1"/>
  <c r="L51" i="114"/>
  <c r="L48" i="114"/>
  <c r="R132" i="115"/>
  <c r="D134" i="70"/>
  <c r="D140" i="70" s="1"/>
  <c r="W126" i="70"/>
  <c r="M133" i="115"/>
  <c r="I140" i="115"/>
  <c r="H90" i="116"/>
  <c r="E90" i="70"/>
  <c r="H90" i="70" s="1"/>
  <c r="E134" i="116"/>
  <c r="E96" i="116"/>
  <c r="M51" i="58" s="1"/>
  <c r="D96" i="70"/>
  <c r="R88" i="115"/>
  <c r="N96" i="115"/>
  <c r="AC74" i="115"/>
  <c r="AC74" i="116"/>
  <c r="W52" i="115"/>
  <c r="J132" i="70"/>
  <c r="N88" i="70"/>
  <c r="I136" i="70"/>
  <c r="N132" i="116"/>
  <c r="N52" i="70"/>
  <c r="R44" i="70"/>
  <c r="R44" i="116"/>
  <c r="N52" i="116"/>
  <c r="O17" i="54" l="1"/>
  <c r="O18" i="54" s="1"/>
  <c r="O20" i="54" s="1"/>
  <c r="O22" i="54" s="1"/>
  <c r="O24" i="54" s="1"/>
  <c r="P14" i="58" s="1"/>
  <c r="AU14" i="58" s="1"/>
  <c r="AU13" i="58"/>
  <c r="O88" i="116"/>
  <c r="O132" i="116" s="1"/>
  <c r="R132" i="116" s="1"/>
  <c r="M49" i="114"/>
  <c r="N56" i="58"/>
  <c r="U143" i="157"/>
  <c r="N10" i="114"/>
  <c r="M16" i="114"/>
  <c r="M46" i="114"/>
  <c r="L52" i="114"/>
  <c r="M32" i="114"/>
  <c r="M29" i="114"/>
  <c r="AU18" i="58"/>
  <c r="M99" i="58"/>
  <c r="H86" i="61"/>
  <c r="N28" i="114"/>
  <c r="L130" i="54"/>
  <c r="M94" i="58"/>
  <c r="I90" i="70"/>
  <c r="H96" i="70"/>
  <c r="I90" i="116"/>
  <c r="H96" i="116"/>
  <c r="N133" i="115"/>
  <c r="M140" i="115"/>
  <c r="H134" i="116"/>
  <c r="E140" i="116"/>
  <c r="S132" i="115"/>
  <c r="E134" i="70"/>
  <c r="E96" i="70"/>
  <c r="R96" i="115"/>
  <c r="S88" i="115"/>
  <c r="M132" i="70"/>
  <c r="N132" i="70" s="1"/>
  <c r="M136" i="70"/>
  <c r="R52" i="70"/>
  <c r="S44" i="70"/>
  <c r="R52" i="116"/>
  <c r="S44" i="116"/>
  <c r="R88" i="116" l="1"/>
  <c r="S88" i="116" s="1"/>
  <c r="O88" i="70"/>
  <c r="R88" i="70" s="1"/>
  <c r="N15" i="114"/>
  <c r="N12" i="114"/>
  <c r="N99" i="58"/>
  <c r="N27" i="114"/>
  <c r="M33" i="114"/>
  <c r="M51" i="114"/>
  <c r="M48" i="114"/>
  <c r="N30" i="114"/>
  <c r="N47" i="114"/>
  <c r="N54" i="114" s="1"/>
  <c r="H134" i="70"/>
  <c r="E140" i="70"/>
  <c r="I134" i="116"/>
  <c r="I140" i="116" s="1"/>
  <c r="H140" i="116"/>
  <c r="W88" i="115"/>
  <c r="S96" i="115"/>
  <c r="AD74" i="115"/>
  <c r="W132" i="115"/>
  <c r="R133" i="115"/>
  <c r="N140" i="115"/>
  <c r="AB76" i="116"/>
  <c r="J90" i="116" s="1"/>
  <c r="I96" i="116"/>
  <c r="I96" i="70"/>
  <c r="AD74" i="116"/>
  <c r="N136" i="70"/>
  <c r="S132" i="116"/>
  <c r="S52" i="70"/>
  <c r="W44" i="70"/>
  <c r="W52" i="70" s="1"/>
  <c r="W44" i="116"/>
  <c r="W52" i="116" s="1"/>
  <c r="S52" i="116"/>
  <c r="I120" i="68"/>
  <c r="R95" i="157"/>
  <c r="O132" i="70" l="1"/>
  <c r="R132" i="70" s="1"/>
  <c r="S132" i="70" s="1"/>
  <c r="T88" i="116"/>
  <c r="T132" i="116" s="1"/>
  <c r="W132" i="116" s="1"/>
  <c r="N49" i="114"/>
  <c r="O56" i="58"/>
  <c r="O10" i="114"/>
  <c r="N16" i="114"/>
  <c r="N29" i="114"/>
  <c r="N32" i="114"/>
  <c r="I86" i="61"/>
  <c r="O28" i="114"/>
  <c r="N46" i="114"/>
  <c r="M52" i="114"/>
  <c r="W96" i="115"/>
  <c r="AE74" i="115"/>
  <c r="S133" i="115"/>
  <c r="R140" i="115"/>
  <c r="I134" i="70"/>
  <c r="H140" i="70"/>
  <c r="M90" i="116"/>
  <c r="J134" i="116"/>
  <c r="J90" i="70"/>
  <c r="J96" i="116"/>
  <c r="N51" i="58" s="1"/>
  <c r="S88" i="70"/>
  <c r="R136" i="70"/>
  <c r="T88" i="70" l="1"/>
  <c r="W88" i="70" s="1"/>
  <c r="W88" i="116"/>
  <c r="AE74" i="116" s="1"/>
  <c r="O15" i="114"/>
  <c r="O16" i="114" s="1"/>
  <c r="O12" i="114"/>
  <c r="O30" i="114"/>
  <c r="O47" i="114"/>
  <c r="O54" i="114" s="1"/>
  <c r="N51" i="114"/>
  <c r="N48" i="114"/>
  <c r="O99" i="58"/>
  <c r="O27" i="114"/>
  <c r="N33" i="114"/>
  <c r="M130" i="54"/>
  <c r="N94" i="58"/>
  <c r="M134" i="116"/>
  <c r="J140" i="116"/>
  <c r="J134" i="70"/>
  <c r="J140" i="70" s="1"/>
  <c r="J96" i="70"/>
  <c r="M90" i="70"/>
  <c r="I140" i="70"/>
  <c r="W133" i="115"/>
  <c r="W140" i="115" s="1"/>
  <c r="S140" i="115"/>
  <c r="N90" i="116"/>
  <c r="M96" i="116"/>
  <c r="S136" i="70"/>
  <c r="I95" i="67"/>
  <c r="I102" i="67" s="1"/>
  <c r="I105" i="67" s="1"/>
  <c r="O95" i="157" l="1"/>
  <c r="T132" i="70"/>
  <c r="O49" i="114"/>
  <c r="P56" i="58"/>
  <c r="U93" i="157"/>
  <c r="N52" i="114"/>
  <c r="O46" i="114"/>
  <c r="O29" i="114"/>
  <c r="O32" i="114"/>
  <c r="M134" i="70"/>
  <c r="M140" i="70" s="1"/>
  <c r="N90" i="70"/>
  <c r="M96" i="70"/>
  <c r="AC76" i="116"/>
  <c r="O90" i="116" s="1"/>
  <c r="N96" i="116"/>
  <c r="N134" i="116"/>
  <c r="N140" i="116" s="1"/>
  <c r="M140" i="116"/>
  <c r="W132" i="70"/>
  <c r="W136" i="70"/>
  <c r="I102" i="68"/>
  <c r="I96" i="68"/>
  <c r="I104" i="68"/>
  <c r="I99" i="68"/>
  <c r="I116" i="68"/>
  <c r="I100" i="68"/>
  <c r="I103" i="68"/>
  <c r="I91" i="68"/>
  <c r="I92" i="68"/>
  <c r="I97" i="68"/>
  <c r="I115" i="68"/>
  <c r="I93" i="68"/>
  <c r="J60" i="58"/>
  <c r="I11" i="107"/>
  <c r="I69" i="75"/>
  <c r="I23" i="75" s="1"/>
  <c r="I46" i="75" s="1"/>
  <c r="V61" i="157"/>
  <c r="I68" i="75"/>
  <c r="I22" i="75" s="1"/>
  <c r="I45" i="75" s="1"/>
  <c r="I62" i="75"/>
  <c r="I16" i="75" s="1"/>
  <c r="I39" i="75" s="1"/>
  <c r="I59" i="75"/>
  <c r="I13" i="75" s="1"/>
  <c r="I36" i="75" s="1"/>
  <c r="I58" i="75"/>
  <c r="E354" i="78" l="1"/>
  <c r="J354" i="78" s="1"/>
  <c r="I39" i="96"/>
  <c r="I12" i="96" s="1"/>
  <c r="I13" i="96" s="1"/>
  <c r="I12" i="107"/>
  <c r="I64" i="75"/>
  <c r="U39" i="157" s="1"/>
  <c r="I94" i="68"/>
  <c r="I52" i="69"/>
  <c r="I71" i="75"/>
  <c r="I48" i="75" s="1"/>
  <c r="J53" i="61"/>
  <c r="J28" i="61"/>
  <c r="I12" i="75"/>
  <c r="J103" i="58"/>
  <c r="U84" i="157" s="1"/>
  <c r="Y60" i="58"/>
  <c r="Y103" i="58" s="1"/>
  <c r="AM60" i="58"/>
  <c r="AM103" i="58" s="1"/>
  <c r="O33" i="114"/>
  <c r="O51" i="114"/>
  <c r="O52" i="114" s="1"/>
  <c r="O48" i="114"/>
  <c r="N134" i="70"/>
  <c r="N140" i="70" s="1"/>
  <c r="N96" i="70"/>
  <c r="R90" i="116"/>
  <c r="O90" i="70"/>
  <c r="O134" i="116"/>
  <c r="O96" i="116"/>
  <c r="O51" i="58" s="1"/>
  <c r="I117" i="68"/>
  <c r="I95" i="68"/>
  <c r="I107" i="68"/>
  <c r="I110" i="68"/>
  <c r="T39" i="157"/>
  <c r="T36" i="157"/>
  <c r="I26" i="96" l="1"/>
  <c r="I27" i="96" s="1"/>
  <c r="I18" i="75"/>
  <c r="I41" i="75" s="1"/>
  <c r="I72" i="75"/>
  <c r="U65" i="157" s="1"/>
  <c r="J54" i="58"/>
  <c r="E348" i="78" s="1"/>
  <c r="J348" i="78" s="1"/>
  <c r="J16" i="58"/>
  <c r="E320" i="78" s="1"/>
  <c r="J320" i="78" s="1"/>
  <c r="U104" i="157"/>
  <c r="I35" i="75"/>
  <c r="P99" i="58"/>
  <c r="AU99" i="58" s="1"/>
  <c r="AU56" i="58"/>
  <c r="N130" i="54"/>
  <c r="O94" i="58"/>
  <c r="R134" i="116"/>
  <c r="O140" i="116"/>
  <c r="O134" i="70"/>
  <c r="O96" i="70"/>
  <c r="R90" i="70"/>
  <c r="S90" i="116"/>
  <c r="R96" i="116"/>
  <c r="I121" i="68"/>
  <c r="H39" i="96"/>
  <c r="H100" i="68"/>
  <c r="H102" i="68"/>
  <c r="H96" i="68"/>
  <c r="H104" i="68"/>
  <c r="H99" i="68"/>
  <c r="H116" i="68"/>
  <c r="H103" i="68"/>
  <c r="H91" i="68"/>
  <c r="H92" i="68"/>
  <c r="H97" i="68"/>
  <c r="H115" i="68"/>
  <c r="H93" i="68"/>
  <c r="I60" i="58"/>
  <c r="H11" i="107"/>
  <c r="H69" i="75"/>
  <c r="H23" i="75" s="1"/>
  <c r="H46" i="75" s="1"/>
  <c r="S61" i="157"/>
  <c r="H68" i="75"/>
  <c r="H22" i="75" s="1"/>
  <c r="H45" i="75" s="1"/>
  <c r="H62" i="75"/>
  <c r="H16" i="75" s="1"/>
  <c r="H39" i="75" s="1"/>
  <c r="H59" i="75"/>
  <c r="H13" i="75" s="1"/>
  <c r="H36" i="75" s="1"/>
  <c r="H58" i="75"/>
  <c r="Q36" i="157"/>
  <c r="H12" i="107" l="1"/>
  <c r="I25" i="75"/>
  <c r="I49" i="75"/>
  <c r="E293" i="78"/>
  <c r="J293" i="78" s="1"/>
  <c r="J24" i="58"/>
  <c r="E327" i="78" s="1"/>
  <c r="J327" i="78" s="1"/>
  <c r="H117" i="68"/>
  <c r="H52" i="69"/>
  <c r="H120" i="68"/>
  <c r="J97" i="58"/>
  <c r="H64" i="75"/>
  <c r="R39" i="157" s="1"/>
  <c r="H94" i="68"/>
  <c r="H12" i="96"/>
  <c r="H13" i="96" s="1"/>
  <c r="H26" i="96"/>
  <c r="H27" i="96" s="1"/>
  <c r="H71" i="75"/>
  <c r="H48" i="75" s="1"/>
  <c r="I28" i="61"/>
  <c r="I53" i="61"/>
  <c r="H12" i="75"/>
  <c r="I103" i="58"/>
  <c r="R84" i="157" s="1"/>
  <c r="AL60" i="58"/>
  <c r="AL103" i="58" s="1"/>
  <c r="X60" i="58"/>
  <c r="X103" i="58" s="1"/>
  <c r="AD76" i="116"/>
  <c r="T90" i="116" s="1"/>
  <c r="S96" i="116"/>
  <c r="O140" i="70"/>
  <c r="R134" i="70"/>
  <c r="S90" i="70"/>
  <c r="R96" i="70"/>
  <c r="S134" i="116"/>
  <c r="S140" i="116" s="1"/>
  <c r="R140" i="116"/>
  <c r="H107" i="68"/>
  <c r="H110" i="68"/>
  <c r="H95" i="68"/>
  <c r="Q39" i="157"/>
  <c r="J66" i="58" l="1"/>
  <c r="I73" i="75"/>
  <c r="I54" i="58"/>
  <c r="E287" i="78" s="1"/>
  <c r="J287" i="78" s="1"/>
  <c r="H18" i="75"/>
  <c r="H41" i="75" s="1"/>
  <c r="H72" i="75"/>
  <c r="R65" i="157" s="1"/>
  <c r="H35" i="75"/>
  <c r="I16" i="58"/>
  <c r="E260" i="78" s="1"/>
  <c r="J260" i="78" s="1"/>
  <c r="R104" i="157"/>
  <c r="H121" i="68"/>
  <c r="S96" i="70"/>
  <c r="S134" i="70"/>
  <c r="S140" i="70" s="1"/>
  <c r="R140" i="70"/>
  <c r="W90" i="116"/>
  <c r="T134" i="116"/>
  <c r="T90" i="70"/>
  <c r="T96" i="116"/>
  <c r="P51" i="58" s="1"/>
  <c r="F39" i="96" l="1"/>
  <c r="F12" i="96" s="1"/>
  <c r="F13" i="96" s="1"/>
  <c r="E360" i="78"/>
  <c r="J360" i="78" s="1"/>
  <c r="J109" i="58"/>
  <c r="H25" i="75"/>
  <c r="H49" i="75"/>
  <c r="I97" i="58"/>
  <c r="G39" i="96"/>
  <c r="AU51" i="58"/>
  <c r="O130" i="54"/>
  <c r="P94" i="58"/>
  <c r="AU94" i="58" s="1"/>
  <c r="T134" i="70"/>
  <c r="T96" i="70"/>
  <c r="W134" i="116"/>
  <c r="W140" i="116" s="1"/>
  <c r="T140" i="116"/>
  <c r="AE76" i="116"/>
  <c r="W96" i="116"/>
  <c r="W90" i="70"/>
  <c r="W96" i="70" s="1"/>
  <c r="G102" i="68"/>
  <c r="G96" i="68"/>
  <c r="G104" i="68"/>
  <c r="G99" i="68"/>
  <c r="G116" i="68"/>
  <c r="G100" i="68"/>
  <c r="F26" i="96" l="1"/>
  <c r="F27" i="96" s="1"/>
  <c r="I66" i="58"/>
  <c r="E298" i="78" s="1"/>
  <c r="J298" i="78" s="1"/>
  <c r="I24" i="58"/>
  <c r="H73" i="75"/>
  <c r="G26" i="96"/>
  <c r="G27" i="96" s="1"/>
  <c r="G12" i="96"/>
  <c r="G13" i="96" s="1"/>
  <c r="W134" i="70"/>
  <c r="W140" i="70" s="1"/>
  <c r="T140" i="70"/>
  <c r="G110" i="68"/>
  <c r="K129" i="157"/>
  <c r="I109" i="58" l="1"/>
  <c r="E267" i="78"/>
  <c r="J267" i="78" s="1"/>
  <c r="G95" i="68"/>
  <c r="G103" i="68"/>
  <c r="G91" i="68"/>
  <c r="G94" i="68"/>
  <c r="G117" i="68"/>
  <c r="G92" i="68"/>
  <c r="G97" i="68"/>
  <c r="G115" i="68"/>
  <c r="G93" i="68"/>
  <c r="H60" i="58"/>
  <c r="G11" i="107"/>
  <c r="G12" i="107"/>
  <c r="G71" i="75"/>
  <c r="G48" i="75" s="1"/>
  <c r="G69" i="75"/>
  <c r="G23" i="75" s="1"/>
  <c r="G46" i="75" s="1"/>
  <c r="G68" i="75"/>
  <c r="G22" i="75" s="1"/>
  <c r="G45" i="75" s="1"/>
  <c r="G62" i="75"/>
  <c r="G16" i="75" s="1"/>
  <c r="G39" i="75" s="1"/>
  <c r="G59" i="75"/>
  <c r="G13" i="75" s="1"/>
  <c r="G36" i="75" s="1"/>
  <c r="G58" i="75"/>
  <c r="O36" i="157"/>
  <c r="N36" i="157"/>
  <c r="E234" i="78" l="1"/>
  <c r="J234" i="78" s="1"/>
  <c r="G120" i="68"/>
  <c r="G107" i="68"/>
  <c r="G121" i="68" s="1"/>
  <c r="G52" i="69"/>
  <c r="G12" i="75"/>
  <c r="H28" i="61"/>
  <c r="H53" i="61"/>
  <c r="H103" i="58"/>
  <c r="O84" i="157" s="1"/>
  <c r="AK60" i="58"/>
  <c r="AK103" i="58" s="1"/>
  <c r="W60" i="58"/>
  <c r="W103" i="58" s="1"/>
  <c r="H54" i="58" l="1"/>
  <c r="E228" i="78" s="1"/>
  <c r="J228" i="78" s="1"/>
  <c r="H16" i="58"/>
  <c r="E199" i="78" s="1"/>
  <c r="J199" i="78" s="1"/>
  <c r="O104" i="157"/>
  <c r="H97" i="58"/>
  <c r="G35" i="75"/>
  <c r="G124" i="68"/>
  <c r="G64" i="75" l="1"/>
  <c r="G18" i="75" s="1"/>
  <c r="N39" i="157"/>
  <c r="G72" i="75" l="1"/>
  <c r="O39" i="157"/>
  <c r="O65" i="157"/>
  <c r="G41" i="75"/>
  <c r="G49" i="75" s="1"/>
  <c r="G25" i="75"/>
  <c r="Y155" i="157"/>
  <c r="Y156" i="157" s="1"/>
  <c r="Y106" i="157"/>
  <c r="Y103" i="157"/>
  <c r="Y95" i="157"/>
  <c r="Y81" i="157"/>
  <c r="Y80" i="157"/>
  <c r="Y62" i="157"/>
  <c r="Y60" i="157"/>
  <c r="Y59" i="157"/>
  <c r="V155" i="157"/>
  <c r="V156" i="157" s="1"/>
  <c r="V153" i="157"/>
  <c r="V152" i="157"/>
  <c r="T141" i="157"/>
  <c r="T145" i="157" s="1"/>
  <c r="V106" i="157"/>
  <c r="U105" i="157"/>
  <c r="U108" i="157" s="1"/>
  <c r="T105" i="157"/>
  <c r="T108" i="157" s="1"/>
  <c r="T18" i="157" s="1"/>
  <c r="V104" i="157"/>
  <c r="V103" i="157"/>
  <c r="V95" i="157"/>
  <c r="U94" i="157"/>
  <c r="U97" i="157" s="1"/>
  <c r="U16" i="157" s="1"/>
  <c r="T94" i="157"/>
  <c r="T97" i="157" s="1"/>
  <c r="T16" i="157" s="1"/>
  <c r="V93" i="157"/>
  <c r="T87" i="157"/>
  <c r="T15" i="157" s="1"/>
  <c r="V85" i="157"/>
  <c r="V84" i="157"/>
  <c r="V83" i="157"/>
  <c r="V82" i="157"/>
  <c r="V81" i="157"/>
  <c r="V80" i="157"/>
  <c r="U68" i="157"/>
  <c r="T65" i="157"/>
  <c r="V64" i="157"/>
  <c r="V62" i="157"/>
  <c r="V60" i="157"/>
  <c r="V59" i="157"/>
  <c r="V58" i="157"/>
  <c r="V57" i="157"/>
  <c r="V56" i="157"/>
  <c r="U49" i="157"/>
  <c r="T49" i="157"/>
  <c r="T8" i="157" s="1"/>
  <c r="V48" i="157"/>
  <c r="V39" i="157"/>
  <c r="V38" i="157"/>
  <c r="V37" i="157"/>
  <c r="V17" i="157"/>
  <c r="S155" i="157"/>
  <c r="S156" i="157" s="1"/>
  <c r="S153" i="157"/>
  <c r="S152" i="157"/>
  <c r="Q141" i="157"/>
  <c r="Q145" i="157" s="1"/>
  <c r="S106" i="157"/>
  <c r="R105" i="157"/>
  <c r="R108" i="157" s="1"/>
  <c r="Q105" i="157"/>
  <c r="Q108" i="157" s="1"/>
  <c r="Q18" i="157" s="1"/>
  <c r="S104" i="157"/>
  <c r="S103" i="157"/>
  <c r="S95" i="157"/>
  <c r="Q94" i="157"/>
  <c r="Q97" i="157" s="1"/>
  <c r="Q16" i="157" s="1"/>
  <c r="Q87" i="157"/>
  <c r="Q15" i="157" s="1"/>
  <c r="S85" i="157"/>
  <c r="S84" i="157"/>
  <c r="S83" i="157"/>
  <c r="S82" i="157"/>
  <c r="S81" i="157"/>
  <c r="S80" i="157"/>
  <c r="R68" i="157"/>
  <c r="Q65" i="157"/>
  <c r="S64" i="157"/>
  <c r="S62" i="157"/>
  <c r="S60" i="157"/>
  <c r="S59" i="157"/>
  <c r="S58" i="157"/>
  <c r="S57" i="157"/>
  <c r="S56" i="157"/>
  <c r="R49" i="157"/>
  <c r="Q49" i="157"/>
  <c r="Q8" i="157" s="1"/>
  <c r="S48" i="157"/>
  <c r="S39" i="157"/>
  <c r="S38" i="157"/>
  <c r="S37" i="157"/>
  <c r="S32" i="157" s="1"/>
  <c r="S17" i="157"/>
  <c r="P155" i="157"/>
  <c r="P156" i="157" s="1"/>
  <c r="P153" i="157"/>
  <c r="P152" i="157"/>
  <c r="N141" i="157"/>
  <c r="N145" i="157" s="1"/>
  <c r="P106" i="157"/>
  <c r="O105" i="157"/>
  <c r="O108" i="157" s="1"/>
  <c r="N105" i="157"/>
  <c r="N108" i="157" s="1"/>
  <c r="N18" i="157" s="1"/>
  <c r="P104" i="157"/>
  <c r="P103" i="157"/>
  <c r="P95" i="157"/>
  <c r="N94" i="157"/>
  <c r="N97" i="157" s="1"/>
  <c r="N16" i="157" s="1"/>
  <c r="N87" i="157"/>
  <c r="N15" i="157" s="1"/>
  <c r="P85" i="157"/>
  <c r="P84" i="157"/>
  <c r="P83" i="157"/>
  <c r="P82" i="157"/>
  <c r="P81" i="157"/>
  <c r="P80" i="157"/>
  <c r="O68" i="157"/>
  <c r="O9" i="157" s="1"/>
  <c r="N65" i="157"/>
  <c r="N68" i="157" s="1"/>
  <c r="N9" i="157" s="1"/>
  <c r="P64" i="157"/>
  <c r="P62" i="157"/>
  <c r="P60" i="157"/>
  <c r="P59" i="157"/>
  <c r="P58" i="157"/>
  <c r="P57" i="157"/>
  <c r="P56" i="157"/>
  <c r="O49" i="157"/>
  <c r="N49" i="157"/>
  <c r="N8" i="157" s="1"/>
  <c r="P48" i="157"/>
  <c r="P39" i="157"/>
  <c r="P38" i="157"/>
  <c r="P37" i="157"/>
  <c r="P17" i="157"/>
  <c r="F107" i="68"/>
  <c r="F100" i="68"/>
  <c r="F110" i="68"/>
  <c r="F120" i="68"/>
  <c r="F117" i="68"/>
  <c r="F116" i="68"/>
  <c r="F115" i="68"/>
  <c r="F104" i="68"/>
  <c r="F103" i="68"/>
  <c r="F102" i="68"/>
  <c r="F99" i="68"/>
  <c r="F97" i="68"/>
  <c r="F96" i="68"/>
  <c r="F95" i="68"/>
  <c r="F94" i="68"/>
  <c r="F93" i="68"/>
  <c r="F92" i="68"/>
  <c r="E107" i="68"/>
  <c r="E120" i="68"/>
  <c r="E117" i="68"/>
  <c r="E116" i="68"/>
  <c r="E115" i="68"/>
  <c r="E104" i="68"/>
  <c r="E103" i="68"/>
  <c r="E102" i="68"/>
  <c r="E99" i="68"/>
  <c r="E97" i="68"/>
  <c r="E96" i="68"/>
  <c r="E95" i="68"/>
  <c r="E94" i="68"/>
  <c r="E93" i="68"/>
  <c r="D120" i="68"/>
  <c r="D117" i="68"/>
  <c r="D116" i="68"/>
  <c r="D115" i="68"/>
  <c r="D104" i="68"/>
  <c r="D103" i="68"/>
  <c r="D102" i="68"/>
  <c r="D99" i="68"/>
  <c r="D97" i="68"/>
  <c r="D96" i="68"/>
  <c r="D94" i="68"/>
  <c r="D93" i="68"/>
  <c r="E92" i="68"/>
  <c r="D92" i="68"/>
  <c r="F143" i="157"/>
  <c r="G143" i="157" s="1"/>
  <c r="L95" i="157"/>
  <c r="M95" i="157" s="1"/>
  <c r="L93" i="157"/>
  <c r="L94" i="157" s="1"/>
  <c r="I95" i="157"/>
  <c r="J95" i="157" s="1"/>
  <c r="I93" i="157"/>
  <c r="J93" i="157" s="1"/>
  <c r="F95" i="157"/>
  <c r="G95" i="157" s="1"/>
  <c r="F93" i="157"/>
  <c r="G93" i="157" s="1"/>
  <c r="L79" i="157"/>
  <c r="M79" i="157" s="1"/>
  <c r="I79" i="157"/>
  <c r="J79" i="157" s="1"/>
  <c r="F79" i="157"/>
  <c r="L76" i="157"/>
  <c r="I76" i="157"/>
  <c r="J76" i="157" s="1"/>
  <c r="F76" i="157"/>
  <c r="G76" i="157" s="1"/>
  <c r="F16" i="157"/>
  <c r="G155" i="157"/>
  <c r="J155" i="157"/>
  <c r="M155" i="157"/>
  <c r="M156" i="157" s="1"/>
  <c r="G153" i="157"/>
  <c r="J153" i="157"/>
  <c r="M153" i="157"/>
  <c r="G152" i="157"/>
  <c r="J152" i="157"/>
  <c r="M152" i="157"/>
  <c r="E141" i="157"/>
  <c r="E145" i="157" s="1"/>
  <c r="E19" i="157" s="1"/>
  <c r="H141" i="157"/>
  <c r="H145" i="157" s="1"/>
  <c r="H19" i="157" s="1"/>
  <c r="K141" i="157"/>
  <c r="K145" i="157" s="1"/>
  <c r="G137" i="157"/>
  <c r="G136" i="157"/>
  <c r="G133" i="157"/>
  <c r="G132" i="157"/>
  <c r="G131" i="157"/>
  <c r="G130" i="157"/>
  <c r="G129" i="157"/>
  <c r="G128" i="157"/>
  <c r="G127" i="157"/>
  <c r="G126" i="157"/>
  <c r="G124" i="157"/>
  <c r="G123" i="157"/>
  <c r="G122" i="157"/>
  <c r="G121" i="157"/>
  <c r="G120" i="157"/>
  <c r="G119" i="157"/>
  <c r="G118" i="157"/>
  <c r="G117" i="157"/>
  <c r="G116" i="157"/>
  <c r="G115" i="157"/>
  <c r="G106" i="157"/>
  <c r="J106" i="157"/>
  <c r="M106" i="157"/>
  <c r="E105" i="157"/>
  <c r="E108" i="157" s="1"/>
  <c r="E18" i="157" s="1"/>
  <c r="H105" i="157"/>
  <c r="H108" i="157" s="1"/>
  <c r="H18" i="157" s="1"/>
  <c r="K105" i="157"/>
  <c r="K108" i="157" s="1"/>
  <c r="K18" i="157" s="1"/>
  <c r="G104" i="157"/>
  <c r="J104" i="157"/>
  <c r="M104" i="157"/>
  <c r="G103" i="157"/>
  <c r="M103" i="157"/>
  <c r="E94" i="157"/>
  <c r="E97" i="157" s="1"/>
  <c r="E16" i="157" s="1"/>
  <c r="H94" i="157"/>
  <c r="H97" i="157" s="1"/>
  <c r="H16" i="157" s="1"/>
  <c r="K94" i="157"/>
  <c r="K97" i="157" s="1"/>
  <c r="K16" i="157" s="1"/>
  <c r="E87" i="157"/>
  <c r="E15" i="157" s="1"/>
  <c r="H87" i="157"/>
  <c r="H15" i="157" s="1"/>
  <c r="K87" i="157"/>
  <c r="K15" i="157" s="1"/>
  <c r="J85" i="157"/>
  <c r="M85" i="157"/>
  <c r="J84" i="157"/>
  <c r="M84" i="157"/>
  <c r="J83" i="157"/>
  <c r="M83" i="157"/>
  <c r="J82" i="157"/>
  <c r="M82" i="157"/>
  <c r="G81" i="157"/>
  <c r="J81" i="157"/>
  <c r="M81" i="157"/>
  <c r="G80" i="157"/>
  <c r="J80" i="157"/>
  <c r="M80" i="157"/>
  <c r="E65" i="157"/>
  <c r="E68" i="157" s="1"/>
  <c r="E9" i="157" s="1"/>
  <c r="H65" i="157"/>
  <c r="H68" i="157" s="1"/>
  <c r="H9" i="157" s="1"/>
  <c r="K65" i="157"/>
  <c r="K68" i="157" s="1"/>
  <c r="K9" i="157" s="1"/>
  <c r="G64" i="157"/>
  <c r="J64" i="157"/>
  <c r="G57" i="157"/>
  <c r="J57" i="157"/>
  <c r="G56" i="157"/>
  <c r="J56" i="157"/>
  <c r="B51" i="157"/>
  <c r="B70" i="157" s="1"/>
  <c r="B89" i="157" s="1"/>
  <c r="B99" i="157" s="1"/>
  <c r="B112" i="157" s="1"/>
  <c r="E49" i="157"/>
  <c r="E8" i="157" s="1"/>
  <c r="H49" i="157"/>
  <c r="H8" i="157" s="1"/>
  <c r="K49" i="157"/>
  <c r="K8" i="157" s="1"/>
  <c r="J48" i="157"/>
  <c r="M48" i="157"/>
  <c r="G39" i="157"/>
  <c r="J39" i="157"/>
  <c r="M39" i="157"/>
  <c r="M38" i="157"/>
  <c r="J37" i="157"/>
  <c r="M37" i="157"/>
  <c r="L32" i="157" s="1"/>
  <c r="L36" i="157"/>
  <c r="K36" i="157"/>
  <c r="G17" i="157"/>
  <c r="J17" i="157"/>
  <c r="M17" i="157"/>
  <c r="I54" i="69"/>
  <c r="U141" i="157" s="1"/>
  <c r="J38" i="69"/>
  <c r="I38" i="69"/>
  <c r="H38" i="69"/>
  <c r="G38" i="69"/>
  <c r="F38" i="69"/>
  <c r="E38" i="69"/>
  <c r="D38" i="69"/>
  <c r="F37" i="69"/>
  <c r="E37" i="69"/>
  <c r="D37" i="69"/>
  <c r="J20" i="69"/>
  <c r="I20" i="69"/>
  <c r="H20" i="69"/>
  <c r="G20" i="69"/>
  <c r="F20" i="69"/>
  <c r="E20" i="69"/>
  <c r="D20" i="69"/>
  <c r="F19" i="69"/>
  <c r="E19" i="69"/>
  <c r="D19" i="69"/>
  <c r="H54" i="69"/>
  <c r="H19" i="69" s="1"/>
  <c r="G54" i="69"/>
  <c r="G56" i="69" s="1"/>
  <c r="F54" i="69"/>
  <c r="F56" i="69" s="1"/>
  <c r="E54" i="69"/>
  <c r="E56" i="69" s="1"/>
  <c r="D54" i="69"/>
  <c r="D56" i="69" s="1"/>
  <c r="B46" i="69"/>
  <c r="B47" i="69" s="1"/>
  <c r="B48" i="69" s="1"/>
  <c r="B49" i="69" s="1"/>
  <c r="B50" i="69" s="1"/>
  <c r="B51" i="69" s="1"/>
  <c r="B52" i="69" s="1"/>
  <c r="B53" i="69" s="1"/>
  <c r="B54" i="69" s="1"/>
  <c r="B55" i="69" s="1"/>
  <c r="B56" i="69" s="1"/>
  <c r="I124" i="68"/>
  <c r="H124" i="68"/>
  <c r="J83" i="68"/>
  <c r="I83" i="68"/>
  <c r="H83" i="68"/>
  <c r="G83" i="68"/>
  <c r="F83" i="68"/>
  <c r="E83" i="68"/>
  <c r="D83" i="68"/>
  <c r="J82" i="68"/>
  <c r="I82" i="68"/>
  <c r="H82" i="68"/>
  <c r="G82" i="68"/>
  <c r="F82" i="68"/>
  <c r="E82" i="68"/>
  <c r="D82" i="68"/>
  <c r="I81" i="68"/>
  <c r="H81" i="68"/>
  <c r="G81" i="68"/>
  <c r="J43" i="68"/>
  <c r="I43" i="68"/>
  <c r="H43" i="68"/>
  <c r="G43" i="68"/>
  <c r="F43" i="68"/>
  <c r="E43" i="68"/>
  <c r="D43" i="68"/>
  <c r="J42" i="68"/>
  <c r="I42" i="68"/>
  <c r="H42" i="68"/>
  <c r="G42" i="68"/>
  <c r="F42" i="68"/>
  <c r="E42" i="68"/>
  <c r="D42" i="68"/>
  <c r="I41" i="68"/>
  <c r="H41" i="68"/>
  <c r="G41" i="68"/>
  <c r="F143" i="67"/>
  <c r="E143" i="67"/>
  <c r="D143" i="67"/>
  <c r="F142" i="67"/>
  <c r="E142" i="67"/>
  <c r="D142" i="67"/>
  <c r="F140" i="67"/>
  <c r="E140" i="67"/>
  <c r="D140" i="67"/>
  <c r="F137" i="67"/>
  <c r="E137" i="67"/>
  <c r="D137" i="67"/>
  <c r="F136" i="67"/>
  <c r="E136" i="67"/>
  <c r="D136" i="67"/>
  <c r="F135" i="67"/>
  <c r="E135" i="67"/>
  <c r="D135" i="67"/>
  <c r="F134" i="67"/>
  <c r="E134" i="67"/>
  <c r="D134" i="67"/>
  <c r="F131" i="67"/>
  <c r="E131" i="67"/>
  <c r="D131" i="67"/>
  <c r="F129" i="67"/>
  <c r="E129" i="67"/>
  <c r="D129" i="67"/>
  <c r="F125" i="67"/>
  <c r="F144" i="67" s="1"/>
  <c r="E125" i="67"/>
  <c r="E144" i="67" s="1"/>
  <c r="D125" i="67"/>
  <c r="D144" i="67" s="1"/>
  <c r="J71" i="67"/>
  <c r="I71" i="67"/>
  <c r="H71" i="67"/>
  <c r="G71" i="67"/>
  <c r="F71" i="67"/>
  <c r="E71" i="67"/>
  <c r="I70" i="67"/>
  <c r="H70" i="67"/>
  <c r="G70" i="67"/>
  <c r="F70" i="67"/>
  <c r="E70" i="67"/>
  <c r="D70" i="67"/>
  <c r="F38" i="67"/>
  <c r="G12" i="65" s="1"/>
  <c r="E38" i="67"/>
  <c r="F12" i="65" s="1"/>
  <c r="F39" i="65" s="1"/>
  <c r="D38" i="67"/>
  <c r="E12" i="65" s="1"/>
  <c r="E39" i="65" s="1"/>
  <c r="J37" i="67"/>
  <c r="I37" i="67"/>
  <c r="H37" i="67"/>
  <c r="G37" i="67"/>
  <c r="F37" i="67"/>
  <c r="E37" i="67"/>
  <c r="I36" i="67"/>
  <c r="H36" i="67"/>
  <c r="G36" i="67"/>
  <c r="F36" i="67"/>
  <c r="E36" i="67"/>
  <c r="D36" i="67"/>
  <c r="B64" i="67"/>
  <c r="B65" i="67" s="1"/>
  <c r="B66" i="67" s="1"/>
  <c r="B67" i="67" s="1"/>
  <c r="B30" i="67"/>
  <c r="B31" i="67" s="1"/>
  <c r="B32" i="67" s="1"/>
  <c r="B33" i="67" s="1"/>
  <c r="G95" i="67"/>
  <c r="G102" i="67" s="1"/>
  <c r="H95" i="67"/>
  <c r="H102" i="67" s="1"/>
  <c r="D104" i="67"/>
  <c r="D71" i="67" s="1"/>
  <c r="F95" i="67"/>
  <c r="F102" i="67" s="1"/>
  <c r="F105" i="67" s="1"/>
  <c r="F72" i="67" s="1"/>
  <c r="G25" i="65" s="1"/>
  <c r="E95" i="67"/>
  <c r="E102" i="67" s="1"/>
  <c r="E105" i="67" s="1"/>
  <c r="E72" i="67" s="1"/>
  <c r="F25" i="65" s="1"/>
  <c r="F56" i="65" s="1"/>
  <c r="D95" i="67"/>
  <c r="D102" i="67" s="1"/>
  <c r="D105" i="67" s="1"/>
  <c r="D72" i="67" s="1"/>
  <c r="E25" i="65" s="1"/>
  <c r="E56" i="65" s="1"/>
  <c r="B97" i="67"/>
  <c r="B98" i="67" s="1"/>
  <c r="B99" i="67" s="1"/>
  <c r="B100" i="67" s="1"/>
  <c r="B1" i="66"/>
  <c r="B2" i="65"/>
  <c r="B2" i="132"/>
  <c r="B3" i="107"/>
  <c r="O356" i="117"/>
  <c r="N356" i="117"/>
  <c r="M356" i="117"/>
  <c r="L356" i="117"/>
  <c r="K356" i="117"/>
  <c r="D329" i="117"/>
  <c r="Q328" i="117"/>
  <c r="Q327" i="117"/>
  <c r="Q326" i="117"/>
  <c r="Q325" i="117"/>
  <c r="Q324" i="117"/>
  <c r="Q323" i="117"/>
  <c r="Q322" i="117"/>
  <c r="Q321" i="117"/>
  <c r="P315" i="117"/>
  <c r="O315" i="117"/>
  <c r="N315" i="117"/>
  <c r="M315" i="117"/>
  <c r="L315" i="117"/>
  <c r="K315" i="117"/>
  <c r="J315" i="117"/>
  <c r="I315" i="117"/>
  <c r="H315" i="117"/>
  <c r="G315" i="117"/>
  <c r="F315" i="117"/>
  <c r="E315" i="117"/>
  <c r="D297" i="117"/>
  <c r="P297" i="117"/>
  <c r="O297" i="117"/>
  <c r="Q301" i="117"/>
  <c r="Q300" i="117"/>
  <c r="Q299" i="117"/>
  <c r="Q298" i="117"/>
  <c r="Q296" i="117"/>
  <c r="Q295" i="117"/>
  <c r="Q294" i="117"/>
  <c r="D302" i="117"/>
  <c r="P288" i="117"/>
  <c r="O288" i="117"/>
  <c r="N288" i="117"/>
  <c r="M288" i="117"/>
  <c r="L288" i="117"/>
  <c r="K288" i="117"/>
  <c r="J288" i="117"/>
  <c r="I288" i="117"/>
  <c r="H288" i="117"/>
  <c r="G288" i="117"/>
  <c r="F288" i="117"/>
  <c r="E288" i="117"/>
  <c r="D275" i="117"/>
  <c r="Q274" i="117"/>
  <c r="Q273" i="117"/>
  <c r="Q272" i="117"/>
  <c r="Q271" i="117"/>
  <c r="Q269" i="117"/>
  <c r="Q268" i="117"/>
  <c r="Q267" i="117"/>
  <c r="P261" i="117"/>
  <c r="O261" i="117"/>
  <c r="N261" i="117"/>
  <c r="M261" i="117"/>
  <c r="L261" i="117"/>
  <c r="K261" i="117"/>
  <c r="J261" i="117"/>
  <c r="I261" i="117"/>
  <c r="H261" i="117"/>
  <c r="G261" i="117"/>
  <c r="F261" i="117"/>
  <c r="E261" i="117"/>
  <c r="Q243" i="117"/>
  <c r="Q242" i="117"/>
  <c r="Q240" i="117"/>
  <c r="Q239" i="117"/>
  <c r="Q238" i="117"/>
  <c r="D241" i="117"/>
  <c r="P232" i="117"/>
  <c r="O232" i="117"/>
  <c r="N232" i="117"/>
  <c r="M232" i="117"/>
  <c r="L232" i="117"/>
  <c r="K232" i="117"/>
  <c r="J232" i="117"/>
  <c r="I232" i="117"/>
  <c r="H232" i="117"/>
  <c r="G232" i="117"/>
  <c r="F232" i="117"/>
  <c r="E232" i="117"/>
  <c r="D219" i="117"/>
  <c r="D216" i="117"/>
  <c r="D215" i="117"/>
  <c r="D212" i="117"/>
  <c r="P216" i="117"/>
  <c r="O216" i="117"/>
  <c r="N216" i="117"/>
  <c r="M216" i="117"/>
  <c r="L216" i="117"/>
  <c r="K216" i="117"/>
  <c r="J216" i="117"/>
  <c r="I216" i="117"/>
  <c r="H216" i="117"/>
  <c r="Q218" i="117"/>
  <c r="Q214" i="117"/>
  <c r="Q213" i="117"/>
  <c r="Q211" i="117"/>
  <c r="Q210" i="117"/>
  <c r="Q209" i="117"/>
  <c r="P203" i="117"/>
  <c r="O203" i="117"/>
  <c r="N203" i="117"/>
  <c r="M203" i="117"/>
  <c r="L203" i="117"/>
  <c r="K203" i="117"/>
  <c r="J203" i="117"/>
  <c r="I203" i="117"/>
  <c r="H203" i="117"/>
  <c r="G203" i="117"/>
  <c r="F203" i="117"/>
  <c r="E203" i="117"/>
  <c r="P215" i="117"/>
  <c r="O215" i="117"/>
  <c r="N215" i="117"/>
  <c r="M215" i="117"/>
  <c r="L215" i="117"/>
  <c r="D489" i="117"/>
  <c r="R492" i="117"/>
  <c r="D492" i="117"/>
  <c r="R493" i="117"/>
  <c r="D493" i="117"/>
  <c r="Q491" i="117"/>
  <c r="Q490" i="117"/>
  <c r="Q488" i="117"/>
  <c r="Q487" i="117"/>
  <c r="P486" i="117"/>
  <c r="O486" i="117"/>
  <c r="N486" i="117"/>
  <c r="M486" i="117"/>
  <c r="L486" i="117"/>
  <c r="K486" i="117"/>
  <c r="J486" i="117"/>
  <c r="I486" i="117"/>
  <c r="H486" i="117"/>
  <c r="G486" i="117"/>
  <c r="F486" i="117"/>
  <c r="E486" i="117"/>
  <c r="D477" i="117"/>
  <c r="D476" i="117"/>
  <c r="D475" i="117"/>
  <c r="Q478" i="117"/>
  <c r="Q477" i="117"/>
  <c r="Q476" i="117"/>
  <c r="Q475" i="117"/>
  <c r="Q474" i="117"/>
  <c r="Q473" i="117"/>
  <c r="Q472" i="117"/>
  <c r="Q471" i="117"/>
  <c r="Q470" i="117"/>
  <c r="Q469" i="117"/>
  <c r="D442" i="117"/>
  <c r="D441" i="117"/>
  <c r="Q460" i="117"/>
  <c r="Q459" i="117"/>
  <c r="Q458" i="117"/>
  <c r="Q457" i="117"/>
  <c r="Q456" i="117"/>
  <c r="Q455" i="117"/>
  <c r="Q454" i="117"/>
  <c r="Q453" i="117"/>
  <c r="Q452" i="117"/>
  <c r="Q408" i="117"/>
  <c r="Q407" i="117"/>
  <c r="Q406" i="117"/>
  <c r="Q405" i="117"/>
  <c r="Q404" i="117"/>
  <c r="Q403" i="117"/>
  <c r="Q402" i="117"/>
  <c r="Q401" i="117"/>
  <c r="Q400" i="117"/>
  <c r="Q443" i="117"/>
  <c r="Q442" i="117"/>
  <c r="Q441" i="117"/>
  <c r="Q440" i="117"/>
  <c r="Q439" i="117"/>
  <c r="Q438" i="117"/>
  <c r="Q437" i="117"/>
  <c r="Q436" i="117"/>
  <c r="Q435" i="117"/>
  <c r="Q434" i="117"/>
  <c r="D424" i="117"/>
  <c r="Q425" i="117"/>
  <c r="Q424" i="117"/>
  <c r="Q423" i="117"/>
  <c r="Q422" i="117"/>
  <c r="Q421" i="117"/>
  <c r="Q420" i="117"/>
  <c r="Q419" i="117"/>
  <c r="Q418" i="117"/>
  <c r="Q417" i="117"/>
  <c r="K19" i="157" l="1"/>
  <c r="G39" i="65"/>
  <c r="G56" i="65"/>
  <c r="H24" i="58"/>
  <c r="E206" i="78" s="1"/>
  <c r="J206" i="78" s="1"/>
  <c r="H66" i="58"/>
  <c r="E239" i="78" s="1"/>
  <c r="J239" i="78" s="1"/>
  <c r="F41" i="65"/>
  <c r="F40" i="65"/>
  <c r="G40" i="65"/>
  <c r="G41" i="65"/>
  <c r="F58" i="65"/>
  <c r="F57" i="65"/>
  <c r="G58" i="65"/>
  <c r="G57" i="65"/>
  <c r="T68" i="157"/>
  <c r="T9" i="157" s="1"/>
  <c r="T11" i="157" s="1"/>
  <c r="H7" i="76" s="1"/>
  <c r="H9" i="76" s="1"/>
  <c r="V65" i="157"/>
  <c r="Q68" i="157"/>
  <c r="Q9" i="157" s="1"/>
  <c r="Q11" i="157" s="1"/>
  <c r="G7" i="76" s="1"/>
  <c r="G9" i="76" s="1"/>
  <c r="S65" i="157"/>
  <c r="H109" i="58"/>
  <c r="G73" i="75"/>
  <c r="P65" i="157"/>
  <c r="O8" i="157"/>
  <c r="O11" i="157" s="1"/>
  <c r="O50" i="157"/>
  <c r="J128" i="82"/>
  <c r="K26" i="122"/>
  <c r="M511" i="117"/>
  <c r="M245" i="117" s="1"/>
  <c r="H511" i="117"/>
  <c r="H245" i="117" s="1"/>
  <c r="P511" i="117"/>
  <c r="P245" i="117" s="1"/>
  <c r="L511" i="117"/>
  <c r="L245" i="117" s="1"/>
  <c r="K511" i="117"/>
  <c r="K245" i="117" s="1"/>
  <c r="G511" i="117"/>
  <c r="G245" i="117" s="1"/>
  <c r="F511" i="117"/>
  <c r="F245" i="117" s="1"/>
  <c r="O511" i="117"/>
  <c r="O245" i="117" s="1"/>
  <c r="J511" i="117"/>
  <c r="J245" i="117" s="1"/>
  <c r="N511" i="117"/>
  <c r="N245" i="117" s="1"/>
  <c r="I511" i="117"/>
  <c r="I245" i="117" s="1"/>
  <c r="E511" i="117"/>
  <c r="E245" i="117" s="1"/>
  <c r="M510" i="117"/>
  <c r="M244" i="117" s="1"/>
  <c r="F510" i="117"/>
  <c r="F244" i="117" s="1"/>
  <c r="N510" i="117"/>
  <c r="N244" i="117" s="1"/>
  <c r="L510" i="117"/>
  <c r="L244" i="117" s="1"/>
  <c r="H510" i="117"/>
  <c r="H244" i="117" s="1"/>
  <c r="E510" i="117"/>
  <c r="E244" i="117" s="1"/>
  <c r="P510" i="117"/>
  <c r="P244" i="117" s="1"/>
  <c r="K510" i="117"/>
  <c r="K244" i="117" s="1"/>
  <c r="J510" i="117"/>
  <c r="J244" i="117" s="1"/>
  <c r="I510" i="117"/>
  <c r="I244" i="117" s="1"/>
  <c r="G510" i="117"/>
  <c r="G244" i="117" s="1"/>
  <c r="O510" i="117"/>
  <c r="O244" i="117" s="1"/>
  <c r="H237" i="117"/>
  <c r="O237" i="117"/>
  <c r="P237" i="117"/>
  <c r="F237" i="117"/>
  <c r="G237" i="117"/>
  <c r="J237" i="117"/>
  <c r="J504" i="117" s="1"/>
  <c r="I237" i="117"/>
  <c r="K237" i="117"/>
  <c r="N494" i="117"/>
  <c r="I494" i="117"/>
  <c r="P494" i="117"/>
  <c r="O494" i="117"/>
  <c r="M494" i="117"/>
  <c r="L494" i="117"/>
  <c r="K494" i="117"/>
  <c r="J494" i="117"/>
  <c r="L237" i="117"/>
  <c r="M237" i="117"/>
  <c r="N237" i="117"/>
  <c r="P9" i="157"/>
  <c r="U8" i="157"/>
  <c r="U50" i="157"/>
  <c r="R8" i="157"/>
  <c r="R50" i="157"/>
  <c r="E34" i="65"/>
  <c r="G34" i="65"/>
  <c r="F34" i="65"/>
  <c r="H37" i="69"/>
  <c r="H39" i="69" s="1"/>
  <c r="I27" i="65" s="1"/>
  <c r="P36" i="157"/>
  <c r="P32" i="157"/>
  <c r="V36" i="157"/>
  <c r="V32" i="157"/>
  <c r="G19" i="69"/>
  <c r="G21" i="69" s="1"/>
  <c r="H14" i="65" s="1"/>
  <c r="G37" i="69"/>
  <c r="G39" i="69" s="1"/>
  <c r="H27" i="65" s="1"/>
  <c r="H105" i="67"/>
  <c r="R93" i="157"/>
  <c r="O141" i="157"/>
  <c r="O145" i="157" s="1"/>
  <c r="O19" i="157" s="1"/>
  <c r="D21" i="69"/>
  <c r="E14" i="65" s="1"/>
  <c r="E47" i="65" s="1"/>
  <c r="E21" i="69"/>
  <c r="F14" i="65" s="1"/>
  <c r="F47" i="65" s="1"/>
  <c r="D39" i="69"/>
  <c r="F21" i="69"/>
  <c r="G14" i="65" s="1"/>
  <c r="E39" i="69"/>
  <c r="F27" i="65" s="1"/>
  <c r="F64" i="65" s="1"/>
  <c r="F39" i="69"/>
  <c r="G27" i="65" s="1"/>
  <c r="D106" i="67"/>
  <c r="E106" i="67"/>
  <c r="H21" i="69"/>
  <c r="I14" i="65" s="1"/>
  <c r="I44" i="68"/>
  <c r="J13" i="65" s="1"/>
  <c r="F106" i="67"/>
  <c r="I37" i="69"/>
  <c r="I39" i="69" s="1"/>
  <c r="J27" i="65" s="1"/>
  <c r="I56" i="69"/>
  <c r="I19" i="69"/>
  <c r="I21" i="69" s="1"/>
  <c r="J14" i="65" s="1"/>
  <c r="H44" i="68"/>
  <c r="I13" i="65" s="1"/>
  <c r="G105" i="67"/>
  <c r="O93" i="157"/>
  <c r="O94" i="157" s="1"/>
  <c r="O97" i="157" s="1"/>
  <c r="O16" i="157" s="1"/>
  <c r="P16" i="157" s="1"/>
  <c r="H56" i="69"/>
  <c r="R141" i="157"/>
  <c r="R145" i="157" s="1"/>
  <c r="R19" i="157" s="1"/>
  <c r="G44" i="68"/>
  <c r="H13" i="65" s="1"/>
  <c r="G35" i="67"/>
  <c r="T19" i="157"/>
  <c r="T21" i="157" s="1"/>
  <c r="Q19" i="157"/>
  <c r="Q21" i="157" s="1"/>
  <c r="S36" i="157"/>
  <c r="N19" i="157"/>
  <c r="N21" i="157" s="1"/>
  <c r="E121" i="68"/>
  <c r="D121" i="68"/>
  <c r="D124" i="68" s="1"/>
  <c r="V16" i="157"/>
  <c r="V141" i="157"/>
  <c r="V146" i="157" s="1"/>
  <c r="V94" i="157"/>
  <c r="V97" i="157" s="1"/>
  <c r="F121" i="68"/>
  <c r="M93" i="157"/>
  <c r="G16" i="157"/>
  <c r="P49" i="157"/>
  <c r="P8" i="157" s="1"/>
  <c r="U18" i="157"/>
  <c r="V18" i="157" s="1"/>
  <c r="V108" i="157"/>
  <c r="U9" i="157"/>
  <c r="V105" i="157"/>
  <c r="V49" i="157"/>
  <c r="V8" i="157" s="1"/>
  <c r="U145" i="157"/>
  <c r="U19" i="157" s="1"/>
  <c r="S108" i="157"/>
  <c r="R18" i="157"/>
  <c r="S18" i="157" s="1"/>
  <c r="R9" i="157"/>
  <c r="S49" i="157"/>
  <c r="S8" i="157" s="1"/>
  <c r="S105" i="157"/>
  <c r="N11" i="157"/>
  <c r="F7" i="76" s="1"/>
  <c r="F9" i="76" s="1"/>
  <c r="P108" i="157"/>
  <c r="O18" i="157"/>
  <c r="P18" i="157" s="1"/>
  <c r="P105" i="157"/>
  <c r="P68" i="157"/>
  <c r="H84" i="68"/>
  <c r="I26" i="65" s="1"/>
  <c r="I84" i="68"/>
  <c r="J26" i="65" s="1"/>
  <c r="G84" i="68"/>
  <c r="H26" i="65" s="1"/>
  <c r="I105" i="157"/>
  <c r="I108" i="157" s="1"/>
  <c r="M94" i="157"/>
  <c r="M97" i="157" s="1"/>
  <c r="F105" i="157"/>
  <c r="F108" i="157" s="1"/>
  <c r="L49" i="157"/>
  <c r="L68" i="157"/>
  <c r="L9" i="157" s="1"/>
  <c r="M9" i="157" s="1"/>
  <c r="K11" i="157"/>
  <c r="F8" i="157"/>
  <c r="G8" i="157" s="1"/>
  <c r="G36" i="157"/>
  <c r="G49" i="157" s="1"/>
  <c r="M36" i="157"/>
  <c r="I68" i="157"/>
  <c r="J68" i="157" s="1"/>
  <c r="I49" i="157"/>
  <c r="I94" i="157"/>
  <c r="I97" i="157" s="1"/>
  <c r="I16" i="157" s="1"/>
  <c r="J16" i="157" s="1"/>
  <c r="K21" i="157"/>
  <c r="H11" i="157"/>
  <c r="H21" i="157"/>
  <c r="F31" i="150" s="1"/>
  <c r="E11" i="157"/>
  <c r="M76" i="157"/>
  <c r="L105" i="157"/>
  <c r="L97" i="157"/>
  <c r="L16" i="157" s="1"/>
  <c r="J103" i="157"/>
  <c r="I36" i="157"/>
  <c r="J36" i="157" s="1"/>
  <c r="E21" i="157"/>
  <c r="E31" i="150" s="1"/>
  <c r="F94" i="157"/>
  <c r="J38" i="157"/>
  <c r="I35" i="67"/>
  <c r="I69" i="67"/>
  <c r="E35" i="67"/>
  <c r="D37" i="67"/>
  <c r="H35" i="67"/>
  <c r="D69" i="67"/>
  <c r="E69" i="67"/>
  <c r="D35" i="67"/>
  <c r="F69" i="67"/>
  <c r="G69" i="67"/>
  <c r="F35" i="67"/>
  <c r="H69" i="67"/>
  <c r="O489" i="117"/>
  <c r="G493" i="117"/>
  <c r="G216" i="117" s="1"/>
  <c r="Q486" i="117"/>
  <c r="K489" i="117"/>
  <c r="I489" i="117"/>
  <c r="J489" i="117"/>
  <c r="L489" i="117"/>
  <c r="E489" i="117"/>
  <c r="F489" i="117"/>
  <c r="H489" i="117"/>
  <c r="M489" i="117"/>
  <c r="P489" i="117"/>
  <c r="G489" i="117"/>
  <c r="N489" i="117"/>
  <c r="K492" i="117"/>
  <c r="K215" i="117" s="1"/>
  <c r="F492" i="117"/>
  <c r="F215" i="117" s="1"/>
  <c r="H492" i="117"/>
  <c r="I492" i="117"/>
  <c r="E492" i="117"/>
  <c r="E215" i="117" s="1"/>
  <c r="G492" i="117"/>
  <c r="G215" i="117" s="1"/>
  <c r="J492" i="117"/>
  <c r="E493" i="117"/>
  <c r="E216" i="117" s="1"/>
  <c r="F493" i="117"/>
  <c r="F216" i="117" s="1"/>
  <c r="Q391" i="117"/>
  <c r="Q390" i="117"/>
  <c r="Q389" i="117"/>
  <c r="Q388" i="117"/>
  <c r="Q387" i="117"/>
  <c r="Q386" i="117"/>
  <c r="Q385" i="117"/>
  <c r="Q384" i="117"/>
  <c r="Q383" i="117"/>
  <c r="Q382" i="117"/>
  <c r="Q374" i="117"/>
  <c r="Q373" i="117"/>
  <c r="Q372" i="117"/>
  <c r="Q371" i="117"/>
  <c r="Q370" i="117"/>
  <c r="Q369" i="117"/>
  <c r="Q368" i="117"/>
  <c r="Q367" i="117"/>
  <c r="Q366" i="117"/>
  <c r="Q365" i="117"/>
  <c r="J353" i="117"/>
  <c r="O353" i="117"/>
  <c r="N353" i="117"/>
  <c r="M353" i="117"/>
  <c r="L353" i="117"/>
  <c r="K353" i="117"/>
  <c r="I353" i="117"/>
  <c r="H353" i="117"/>
  <c r="G353" i="117"/>
  <c r="F353" i="117"/>
  <c r="E353" i="117"/>
  <c r="D353" i="117"/>
  <c r="O352" i="117"/>
  <c r="N352" i="117"/>
  <c r="M352" i="117"/>
  <c r="L352" i="117"/>
  <c r="K352" i="117"/>
  <c r="J352" i="117"/>
  <c r="I352" i="117"/>
  <c r="H352" i="117"/>
  <c r="G352" i="117"/>
  <c r="F352" i="117"/>
  <c r="E352" i="117"/>
  <c r="D352" i="117"/>
  <c r="O12" i="110"/>
  <c r="N12" i="110"/>
  <c r="M12" i="110"/>
  <c r="L12" i="110"/>
  <c r="K12" i="110"/>
  <c r="G72" i="67" l="1"/>
  <c r="H25" i="65" s="1"/>
  <c r="G64" i="65"/>
  <c r="H56" i="65"/>
  <c r="H57" i="65" s="1"/>
  <c r="N128" i="82"/>
  <c r="Q128" i="82" s="1"/>
  <c r="H43" i="65"/>
  <c r="H64" i="65"/>
  <c r="G47" i="65"/>
  <c r="H60" i="65"/>
  <c r="H62" i="65" s="1"/>
  <c r="H47" i="65"/>
  <c r="V68" i="157"/>
  <c r="S68" i="157"/>
  <c r="S9" i="157"/>
  <c r="U11" i="157"/>
  <c r="I43" i="65"/>
  <c r="I44" i="65" s="1"/>
  <c r="I47" i="65"/>
  <c r="H72" i="67"/>
  <c r="I25" i="65" s="1"/>
  <c r="J47" i="65"/>
  <c r="J43" i="65"/>
  <c r="J45" i="65" s="1"/>
  <c r="J266" i="117"/>
  <c r="H38" i="67"/>
  <c r="I12" i="65" s="1"/>
  <c r="G19" i="76"/>
  <c r="G14" i="76"/>
  <c r="E44" i="66"/>
  <c r="I64" i="65"/>
  <c r="G44" i="66"/>
  <c r="J64" i="65"/>
  <c r="F14" i="76"/>
  <c r="F19" i="76"/>
  <c r="P11" i="157"/>
  <c r="G43" i="66"/>
  <c r="J60" i="65"/>
  <c r="E43" i="66"/>
  <c r="I60" i="65"/>
  <c r="H45" i="65"/>
  <c r="H44" i="65"/>
  <c r="P141" i="157"/>
  <c r="P146" i="157" s="1"/>
  <c r="H14" i="76"/>
  <c r="H19" i="76"/>
  <c r="D57" i="69"/>
  <c r="M49" i="157"/>
  <c r="M8" i="157" s="1"/>
  <c r="M11" i="157" s="1"/>
  <c r="L50" i="157"/>
  <c r="I8" i="157"/>
  <c r="J8" i="157" s="1"/>
  <c r="I50" i="157"/>
  <c r="F61" i="150"/>
  <c r="F62" i="150" s="1"/>
  <c r="F79" i="150" s="1"/>
  <c r="F32" i="150"/>
  <c r="E32" i="150"/>
  <c r="E61" i="150"/>
  <c r="E62" i="150" s="1"/>
  <c r="E79" i="150" s="1"/>
  <c r="Q244" i="117"/>
  <c r="J142" i="82" s="1"/>
  <c r="Q245" i="117"/>
  <c r="J144" i="82" s="1"/>
  <c r="J293" i="117"/>
  <c r="J320" i="117" s="1"/>
  <c r="J522" i="117"/>
  <c r="Q528" i="117"/>
  <c r="Q529" i="117"/>
  <c r="G507" i="117"/>
  <c r="G212" i="117"/>
  <c r="K266" i="117"/>
  <c r="K504" i="117"/>
  <c r="M498" i="117"/>
  <c r="M212" i="117"/>
  <c r="M507" i="117"/>
  <c r="O498" i="117"/>
  <c r="O212" i="117"/>
  <c r="O507" i="117"/>
  <c r="N266" i="117"/>
  <c r="N504" i="117"/>
  <c r="I266" i="117"/>
  <c r="I504" i="117"/>
  <c r="P507" i="117"/>
  <c r="P212" i="117"/>
  <c r="F212" i="117"/>
  <c r="F507" i="117"/>
  <c r="L266" i="117"/>
  <c r="L504" i="117"/>
  <c r="G266" i="117"/>
  <c r="G504" i="117"/>
  <c r="E507" i="117"/>
  <c r="E212" i="117"/>
  <c r="F266" i="117"/>
  <c r="F504" i="117"/>
  <c r="H498" i="117"/>
  <c r="H507" i="117"/>
  <c r="H212" i="117"/>
  <c r="P266" i="117"/>
  <c r="P504" i="117"/>
  <c r="J212" i="117"/>
  <c r="J507" i="117"/>
  <c r="O266" i="117"/>
  <c r="O504" i="117"/>
  <c r="L498" i="117"/>
  <c r="L212" i="117"/>
  <c r="L507" i="117"/>
  <c r="I507" i="117"/>
  <c r="I212" i="117"/>
  <c r="H266" i="117"/>
  <c r="H504" i="117"/>
  <c r="H516" i="117" s="1"/>
  <c r="K212" i="117"/>
  <c r="K507" i="117"/>
  <c r="M266" i="117"/>
  <c r="M504" i="117"/>
  <c r="N507" i="117"/>
  <c r="N212" i="117"/>
  <c r="K217" i="117"/>
  <c r="M217" i="117"/>
  <c r="N217" i="117"/>
  <c r="L217" i="117"/>
  <c r="O217" i="117"/>
  <c r="Q510" i="117"/>
  <c r="P217" i="117"/>
  <c r="Q511" i="117"/>
  <c r="I217" i="117"/>
  <c r="P498" i="117"/>
  <c r="F498" i="117"/>
  <c r="I498" i="117"/>
  <c r="K498" i="117"/>
  <c r="E498" i="117"/>
  <c r="J498" i="117"/>
  <c r="J217" i="117"/>
  <c r="N498" i="117"/>
  <c r="G498" i="117"/>
  <c r="Q494" i="117"/>
  <c r="H35" i="65"/>
  <c r="F36" i="65"/>
  <c r="G13" i="66"/>
  <c r="J35" i="65"/>
  <c r="E13" i="66"/>
  <c r="I35" i="65"/>
  <c r="G14" i="66"/>
  <c r="J36" i="65"/>
  <c r="H36" i="65"/>
  <c r="E14" i="66"/>
  <c r="I36" i="65"/>
  <c r="G36" i="65"/>
  <c r="D41" i="68"/>
  <c r="D44" i="68" s="1"/>
  <c r="E13" i="65" s="1"/>
  <c r="E27" i="65"/>
  <c r="E57" i="69"/>
  <c r="S93" i="157"/>
  <c r="R94" i="157"/>
  <c r="P93" i="157"/>
  <c r="G38" i="67"/>
  <c r="G106" i="67" s="1"/>
  <c r="P94" i="157"/>
  <c r="P97" i="157" s="1"/>
  <c r="E124" i="68"/>
  <c r="I141" i="157"/>
  <c r="F81" i="68"/>
  <c r="F84" i="68" s="1"/>
  <c r="G26" i="65" s="1"/>
  <c r="L141" i="157"/>
  <c r="F57" i="69"/>
  <c r="H57" i="69"/>
  <c r="G57" i="69"/>
  <c r="H29" i="65"/>
  <c r="I57" i="69"/>
  <c r="S19" i="157"/>
  <c r="S141" i="157"/>
  <c r="S146" i="157" s="1"/>
  <c r="P19" i="157"/>
  <c r="D81" i="68"/>
  <c r="D84" i="68" s="1"/>
  <c r="E26" i="65" s="1"/>
  <c r="F141" i="157"/>
  <c r="R11" i="157"/>
  <c r="G105" i="157"/>
  <c r="E81" i="68"/>
  <c r="E84" i="68" s="1"/>
  <c r="F26" i="65" s="1"/>
  <c r="J105" i="157"/>
  <c r="V145" i="157"/>
  <c r="F124" i="68"/>
  <c r="V19" i="157"/>
  <c r="F41" i="68"/>
  <c r="F44" i="68" s="1"/>
  <c r="G13" i="65" s="1"/>
  <c r="V9" i="157"/>
  <c r="V11" i="157" s="1"/>
  <c r="S11" i="157"/>
  <c r="G125" i="68"/>
  <c r="I125" i="68"/>
  <c r="H125" i="68"/>
  <c r="E41" i="68"/>
  <c r="E44" i="68" s="1"/>
  <c r="M68" i="157"/>
  <c r="J49" i="157"/>
  <c r="J94" i="157"/>
  <c r="J97" i="157" s="1"/>
  <c r="I9" i="157"/>
  <c r="J9" i="157" s="1"/>
  <c r="L8" i="157"/>
  <c r="L11" i="157" s="1"/>
  <c r="I18" i="157"/>
  <c r="J108" i="157"/>
  <c r="G65" i="157"/>
  <c r="F68" i="157"/>
  <c r="G108" i="157"/>
  <c r="F18" i="157"/>
  <c r="E23" i="157"/>
  <c r="E29" i="157" s="1"/>
  <c r="M16" i="157"/>
  <c r="M105" i="157"/>
  <c r="L108" i="157"/>
  <c r="G94" i="157"/>
  <c r="G97" i="157" s="1"/>
  <c r="F97" i="157"/>
  <c r="I38" i="67"/>
  <c r="I72" i="67"/>
  <c r="J25" i="65" s="1"/>
  <c r="Q216" i="117"/>
  <c r="Q208" i="117"/>
  <c r="E237" i="117"/>
  <c r="E504" i="117" s="1"/>
  <c r="J215" i="117"/>
  <c r="I215" i="117"/>
  <c r="H215" i="117"/>
  <c r="Q493" i="117"/>
  <c r="Q492" i="117"/>
  <c r="H58" i="65" l="1"/>
  <c r="R128" i="82"/>
  <c r="I56" i="65"/>
  <c r="I58" i="65" s="1"/>
  <c r="H61" i="65"/>
  <c r="G43" i="65"/>
  <c r="G51" i="65" s="1"/>
  <c r="I45" i="65"/>
  <c r="I29" i="65"/>
  <c r="I50" i="58" s="1"/>
  <c r="J44" i="65"/>
  <c r="E36" i="65"/>
  <c r="E64" i="65"/>
  <c r="P145" i="157"/>
  <c r="H106" i="67"/>
  <c r="E42" i="66"/>
  <c r="E45" i="66" s="1"/>
  <c r="E47" i="66" s="1"/>
  <c r="J56" i="65"/>
  <c r="J57" i="65" s="1"/>
  <c r="J11" i="157"/>
  <c r="G29" i="65"/>
  <c r="G50" i="58" s="1"/>
  <c r="G60" i="65"/>
  <c r="G68" i="65" s="1"/>
  <c r="G45" i="65"/>
  <c r="G44" i="65"/>
  <c r="E29" i="65"/>
  <c r="E50" i="58" s="1"/>
  <c r="E60" i="65"/>
  <c r="E68" i="65" s="1"/>
  <c r="F29" i="65"/>
  <c r="F50" i="58" s="1"/>
  <c r="F60" i="65"/>
  <c r="F68" i="65" s="1"/>
  <c r="J62" i="65"/>
  <c r="J61" i="65"/>
  <c r="I62" i="65"/>
  <c r="I61" i="65"/>
  <c r="E16" i="65"/>
  <c r="E12" i="58" s="1"/>
  <c r="E43" i="65"/>
  <c r="E51" i="65" s="1"/>
  <c r="I34" i="65"/>
  <c r="I39" i="65"/>
  <c r="H50" i="58"/>
  <c r="H68" i="65"/>
  <c r="O516" i="117"/>
  <c r="E91" i="150"/>
  <c r="E46" i="150"/>
  <c r="F91" i="150"/>
  <c r="F93" i="150" s="1"/>
  <c r="F46" i="150"/>
  <c r="I525" i="117"/>
  <c r="I241" i="117"/>
  <c r="G525" i="117"/>
  <c r="G241" i="117"/>
  <c r="F525" i="117"/>
  <c r="F241" i="117"/>
  <c r="H525" i="117"/>
  <c r="H241" i="117"/>
  <c r="P525" i="117"/>
  <c r="P270" i="117" s="1"/>
  <c r="P241" i="117"/>
  <c r="N525" i="117"/>
  <c r="N241" i="117"/>
  <c r="E525" i="117"/>
  <c r="E241" i="117"/>
  <c r="L525" i="117"/>
  <c r="L241" i="117"/>
  <c r="O525" i="117"/>
  <c r="O270" i="117" s="1"/>
  <c r="O241" i="117"/>
  <c r="J525" i="117"/>
  <c r="J241" i="117"/>
  <c r="K525" i="117"/>
  <c r="K241" i="117"/>
  <c r="L516" i="117"/>
  <c r="L24" i="122"/>
  <c r="N144" i="82"/>
  <c r="Q144" i="82" s="1"/>
  <c r="R144" i="82" s="1"/>
  <c r="P516" i="117"/>
  <c r="M525" i="117"/>
  <c r="M241" i="117"/>
  <c r="L22" i="122"/>
  <c r="R142" i="82"/>
  <c r="H293" i="117"/>
  <c r="H320" i="117" s="1"/>
  <c r="H522" i="117"/>
  <c r="K293" i="117"/>
  <c r="K320" i="117" s="1"/>
  <c r="K522" i="117"/>
  <c r="F293" i="117"/>
  <c r="F320" i="117" s="1"/>
  <c r="F522" i="117"/>
  <c r="I293" i="117"/>
  <c r="I320" i="117" s="1"/>
  <c r="I522" i="117"/>
  <c r="L293" i="117"/>
  <c r="L320" i="117" s="1"/>
  <c r="L522" i="117"/>
  <c r="N293" i="117"/>
  <c r="N320" i="117" s="1"/>
  <c r="N522" i="117"/>
  <c r="P293" i="117"/>
  <c r="P320" i="117" s="1"/>
  <c r="P522" i="117"/>
  <c r="O293" i="117"/>
  <c r="O320" i="117" s="1"/>
  <c r="O522" i="117"/>
  <c r="M293" i="117"/>
  <c r="M320" i="117" s="1"/>
  <c r="M522" i="117"/>
  <c r="G293" i="117"/>
  <c r="G320" i="117" s="1"/>
  <c r="G522" i="117"/>
  <c r="N516" i="117"/>
  <c r="M516" i="117"/>
  <c r="G516" i="117"/>
  <c r="K516" i="117"/>
  <c r="J516" i="117"/>
  <c r="I516" i="117"/>
  <c r="F516" i="117"/>
  <c r="Q504" i="117"/>
  <c r="Q212" i="117"/>
  <c r="C208" i="82"/>
  <c r="E516" i="117"/>
  <c r="J126" i="82"/>
  <c r="K24" i="122"/>
  <c r="Q217" i="117"/>
  <c r="Q507" i="117"/>
  <c r="G16" i="65"/>
  <c r="G12" i="58" s="1"/>
  <c r="E135" i="78" s="1"/>
  <c r="G35" i="65"/>
  <c r="E35" i="65"/>
  <c r="H12" i="65"/>
  <c r="J29" i="65"/>
  <c r="G42" i="66"/>
  <c r="G45" i="66" s="1"/>
  <c r="G47" i="66" s="1"/>
  <c r="S145" i="157"/>
  <c r="R97" i="157"/>
  <c r="R16" i="157" s="1"/>
  <c r="S94" i="157"/>
  <c r="S97" i="157" s="1"/>
  <c r="I16" i="65"/>
  <c r="I12" i="58" s="1"/>
  <c r="E256" i="78" s="1"/>
  <c r="E12" i="66"/>
  <c r="E15" i="66" s="1"/>
  <c r="E17" i="66" s="1"/>
  <c r="M141" i="157"/>
  <c r="L145" i="157"/>
  <c r="L19" i="157" s="1"/>
  <c r="M19" i="157" s="1"/>
  <c r="I145" i="157"/>
  <c r="I19" i="157" s="1"/>
  <c r="J19" i="157" s="1"/>
  <c r="J141" i="157"/>
  <c r="D125" i="68"/>
  <c r="E125" i="68"/>
  <c r="J12" i="65"/>
  <c r="I106" i="67"/>
  <c r="G141" i="157"/>
  <c r="G146" i="157" s="1"/>
  <c r="F145" i="157"/>
  <c r="F125" i="68"/>
  <c r="F13" i="65"/>
  <c r="F43" i="65" s="1"/>
  <c r="I11" i="157"/>
  <c r="G18" i="157"/>
  <c r="F9" i="157"/>
  <c r="G68" i="157"/>
  <c r="L18" i="157"/>
  <c r="M108" i="157"/>
  <c r="J18" i="157"/>
  <c r="Q237" i="117"/>
  <c r="F208" i="82" s="1"/>
  <c r="E266" i="117"/>
  <c r="E522" i="117" s="1"/>
  <c r="Q215" i="117"/>
  <c r="I68" i="65" l="1"/>
  <c r="E39" i="61"/>
  <c r="E38" i="78"/>
  <c r="F39" i="61"/>
  <c r="E101" i="78"/>
  <c r="H39" i="61"/>
  <c r="E224" i="78"/>
  <c r="I39" i="61"/>
  <c r="E283" i="78"/>
  <c r="T12" i="58"/>
  <c r="E10" i="78"/>
  <c r="J256" i="78"/>
  <c r="G39" i="61"/>
  <c r="E164" i="78"/>
  <c r="I57" i="65"/>
  <c r="J135" i="78"/>
  <c r="N126" i="82"/>
  <c r="H39" i="65"/>
  <c r="H41" i="65" s="1"/>
  <c r="J58" i="65"/>
  <c r="Q516" i="117"/>
  <c r="I51" i="65"/>
  <c r="I40" i="65"/>
  <c r="I41" i="65"/>
  <c r="G62" i="65"/>
  <c r="G61" i="65"/>
  <c r="E15" i="61"/>
  <c r="E19" i="61" s="1"/>
  <c r="E23" i="61" s="1"/>
  <c r="E15" i="58" s="1"/>
  <c r="F51" i="65"/>
  <c r="F45" i="65"/>
  <c r="F44" i="65"/>
  <c r="F62" i="65"/>
  <c r="F61" i="65"/>
  <c r="I93" i="58"/>
  <c r="J50" i="58"/>
  <c r="J68" i="65"/>
  <c r="J34" i="65"/>
  <c r="J39" i="65"/>
  <c r="T50" i="58"/>
  <c r="E93" i="58"/>
  <c r="G15" i="61"/>
  <c r="G93" i="58"/>
  <c r="J270" i="117"/>
  <c r="J544" i="117"/>
  <c r="J297" i="117" s="1"/>
  <c r="H544" i="117"/>
  <c r="H297" i="117" s="1"/>
  <c r="H270" i="117"/>
  <c r="N270" i="117"/>
  <c r="N544" i="117"/>
  <c r="N297" i="117" s="1"/>
  <c r="F544" i="117"/>
  <c r="F297" i="117" s="1"/>
  <c r="F270" i="117"/>
  <c r="K544" i="117"/>
  <c r="K297" i="117" s="1"/>
  <c r="K270" i="117"/>
  <c r="M270" i="117"/>
  <c r="M544" i="117"/>
  <c r="M297" i="117" s="1"/>
  <c r="L544" i="117"/>
  <c r="L297" i="117" s="1"/>
  <c r="L270" i="117"/>
  <c r="G544" i="117"/>
  <c r="G297" i="117" s="1"/>
  <c r="G270" i="117"/>
  <c r="Q241" i="117"/>
  <c r="E544" i="117"/>
  <c r="E297" i="117" s="1"/>
  <c r="E270" i="117"/>
  <c r="I544" i="117"/>
  <c r="I297" i="117" s="1"/>
  <c r="I270" i="117"/>
  <c r="Q525" i="117"/>
  <c r="J127" i="82"/>
  <c r="K25" i="122"/>
  <c r="J124" i="82"/>
  <c r="K22" i="122"/>
  <c r="J125" i="82"/>
  <c r="K23" i="122"/>
  <c r="I15" i="61"/>
  <c r="F16" i="65"/>
  <c r="F12" i="58" s="1"/>
  <c r="E72" i="78" s="1"/>
  <c r="F35" i="65"/>
  <c r="H16" i="65"/>
  <c r="H12" i="58" s="1"/>
  <c r="H34" i="65"/>
  <c r="J16" i="65"/>
  <c r="J12" i="58" s="1"/>
  <c r="E316" i="78" s="1"/>
  <c r="G12" i="66"/>
  <c r="G15" i="66" s="1"/>
  <c r="G17" i="66" s="1"/>
  <c r="S16" i="157"/>
  <c r="J146" i="157"/>
  <c r="J145" i="157"/>
  <c r="M145" i="157"/>
  <c r="M146" i="157"/>
  <c r="F19" i="157"/>
  <c r="G145" i="157"/>
  <c r="M18" i="157"/>
  <c r="F11" i="157"/>
  <c r="G9" i="157"/>
  <c r="G11" i="157" s="1"/>
  <c r="Q266" i="117"/>
  <c r="I208" i="82" s="1"/>
  <c r="E293" i="117"/>
  <c r="H51" i="65" l="1"/>
  <c r="H40" i="65"/>
  <c r="J10" i="78"/>
  <c r="J283" i="78"/>
  <c r="J224" i="78"/>
  <c r="N124" i="82"/>
  <c r="J39" i="61"/>
  <c r="E344" i="78"/>
  <c r="J164" i="78"/>
  <c r="J101" i="78"/>
  <c r="G19" i="61"/>
  <c r="G23" i="61" s="1"/>
  <c r="G15" i="58" s="1"/>
  <c r="H93" i="58"/>
  <c r="E195" i="78"/>
  <c r="J72" i="78"/>
  <c r="N127" i="82"/>
  <c r="Q127" i="82" s="1"/>
  <c r="E20" i="58"/>
  <c r="E21" i="58" s="1"/>
  <c r="E23" i="58" s="1"/>
  <c r="E26" i="58" s="1"/>
  <c r="E13" i="78"/>
  <c r="H13" i="78" s="1"/>
  <c r="J13" i="78" s="1"/>
  <c r="J38" i="78"/>
  <c r="J316" i="78"/>
  <c r="T93" i="58"/>
  <c r="I19" i="61"/>
  <c r="I23" i="61" s="1"/>
  <c r="I15" i="58" s="1"/>
  <c r="J93" i="58"/>
  <c r="J51" i="65"/>
  <c r="J40" i="65"/>
  <c r="J41" i="65"/>
  <c r="T15" i="58"/>
  <c r="Q270" i="117"/>
  <c r="J160" i="82" s="1"/>
  <c r="Q297" i="117"/>
  <c r="J173" i="82" s="1"/>
  <c r="F15" i="61"/>
  <c r="F19" i="61" s="1"/>
  <c r="F23" i="61" s="1"/>
  <c r="F15" i="58" s="1"/>
  <c r="F93" i="58"/>
  <c r="R127" i="82"/>
  <c r="J143" i="82"/>
  <c r="Q544" i="117"/>
  <c r="N125" i="82"/>
  <c r="C207" i="82"/>
  <c r="Q293" i="117"/>
  <c r="L208" i="82" s="1"/>
  <c r="E320" i="117"/>
  <c r="Q320" i="117" s="1"/>
  <c r="O208" i="82" s="1"/>
  <c r="H15" i="61"/>
  <c r="J15" i="61"/>
  <c r="G19" i="157"/>
  <c r="Q489" i="117"/>
  <c r="Q498" i="117" s="1"/>
  <c r="F20" i="58" l="1"/>
  <c r="F21" i="58" s="1"/>
  <c r="E75" i="78"/>
  <c r="N160" i="82"/>
  <c r="Q160" i="82" s="1"/>
  <c r="I20" i="58"/>
  <c r="I21" i="58" s="1"/>
  <c r="I23" i="58" s="1"/>
  <c r="I26" i="58" s="1"/>
  <c r="I38" i="58" s="1"/>
  <c r="I40" i="58" s="1"/>
  <c r="E259" i="78"/>
  <c r="T20" i="58"/>
  <c r="T21" i="58" s="1"/>
  <c r="T23" i="58" s="1"/>
  <c r="E18" i="78"/>
  <c r="E20" i="78" s="1"/>
  <c r="E24" i="78" s="1"/>
  <c r="E29" i="78" s="1"/>
  <c r="G20" i="58"/>
  <c r="G21" i="58" s="1"/>
  <c r="G23" i="58" s="1"/>
  <c r="G26" i="58" s="1"/>
  <c r="G38" i="58" s="1"/>
  <c r="G40" i="58" s="1"/>
  <c r="E138" i="78"/>
  <c r="H19" i="61"/>
  <c r="H23" i="61" s="1"/>
  <c r="H15" i="58" s="1"/>
  <c r="J344" i="78"/>
  <c r="J18" i="78"/>
  <c r="J20" i="78" s="1"/>
  <c r="J24" i="78" s="1"/>
  <c r="J29" i="78" s="1"/>
  <c r="J195" i="78"/>
  <c r="N23" i="122"/>
  <c r="J19" i="61"/>
  <c r="J23" i="61" s="1"/>
  <c r="J15" i="58" s="1"/>
  <c r="M23" i="122"/>
  <c r="N173" i="82"/>
  <c r="Q173" i="82" s="1"/>
  <c r="E38" i="58"/>
  <c r="N143" i="82"/>
  <c r="Q143" i="82" s="1"/>
  <c r="L23" i="122"/>
  <c r="R160" i="82"/>
  <c r="J20" i="58" l="1"/>
  <c r="E319" i="78"/>
  <c r="I130" i="58"/>
  <c r="H259" i="78"/>
  <c r="J259" i="78" s="1"/>
  <c r="J264" i="78" s="1"/>
  <c r="J266" i="78" s="1"/>
  <c r="J270" i="78" s="1"/>
  <c r="J275" i="78" s="1"/>
  <c r="K275" i="78" s="1"/>
  <c r="E264" i="78"/>
  <c r="E266" i="78" s="1"/>
  <c r="E270" i="78" s="1"/>
  <c r="E275" i="78" s="1"/>
  <c r="H75" i="78"/>
  <c r="J75" i="78" s="1"/>
  <c r="J80" i="78" s="1"/>
  <c r="J82" i="78" s="1"/>
  <c r="J86" i="78" s="1"/>
  <c r="J91" i="78" s="1"/>
  <c r="E80" i="78"/>
  <c r="E82" i="78" s="1"/>
  <c r="E86" i="78" s="1"/>
  <c r="E91" i="78" s="1"/>
  <c r="H20" i="58"/>
  <c r="E198" i="78"/>
  <c r="H21" i="58"/>
  <c r="H23" i="58" s="1"/>
  <c r="H26" i="58" s="1"/>
  <c r="H38" i="58" s="1"/>
  <c r="H40" i="58" s="1"/>
  <c r="R173" i="82"/>
  <c r="H138" i="78"/>
  <c r="J138" i="78" s="1"/>
  <c r="J143" i="78" s="1"/>
  <c r="J145" i="78" s="1"/>
  <c r="J149" i="78" s="1"/>
  <c r="J154" i="78" s="1"/>
  <c r="K154" i="78" s="1"/>
  <c r="E143" i="78"/>
  <c r="E145" i="78" s="1"/>
  <c r="E149" i="78" s="1"/>
  <c r="E154" i="78" s="1"/>
  <c r="J21" i="58"/>
  <c r="J23" i="58" s="1"/>
  <c r="J26" i="58" s="1"/>
  <c r="J38" i="58" s="1"/>
  <c r="J40" i="58" s="1"/>
  <c r="F23" i="58"/>
  <c r="E40" i="58"/>
  <c r="E136" i="58" s="1"/>
  <c r="E138" i="58" s="1"/>
  <c r="F135" i="58" s="1"/>
  <c r="E130" i="58"/>
  <c r="T26" i="58"/>
  <c r="G136" i="58"/>
  <c r="I136" i="58"/>
  <c r="R143" i="82"/>
  <c r="O351" i="117"/>
  <c r="N351" i="117"/>
  <c r="M351" i="117"/>
  <c r="L351" i="117"/>
  <c r="K351" i="117"/>
  <c r="J351" i="117"/>
  <c r="I351" i="117"/>
  <c r="H351" i="117"/>
  <c r="G351" i="117"/>
  <c r="F351" i="117"/>
  <c r="E351" i="117"/>
  <c r="D351" i="117"/>
  <c r="O347" i="117"/>
  <c r="N347" i="117"/>
  <c r="M347" i="117"/>
  <c r="L347" i="117"/>
  <c r="K347" i="117"/>
  <c r="J347" i="117"/>
  <c r="I347" i="117"/>
  <c r="H347" i="117"/>
  <c r="L136" i="82"/>
  <c r="R135" i="82"/>
  <c r="R134" i="82"/>
  <c r="R133" i="82"/>
  <c r="R132" i="82"/>
  <c r="J130" i="82"/>
  <c r="N130" i="82" s="1"/>
  <c r="Q130" i="82" s="1"/>
  <c r="Q126" i="82"/>
  <c r="Q125" i="82"/>
  <c r="H14" i="132"/>
  <c r="G14" i="132"/>
  <c r="F14" i="132"/>
  <c r="E14" i="132"/>
  <c r="D14" i="132"/>
  <c r="O13" i="107"/>
  <c r="P59" i="58" s="1"/>
  <c r="N13" i="107"/>
  <c r="O59" i="58" s="1"/>
  <c r="M13" i="107"/>
  <c r="N59" i="58" s="1"/>
  <c r="L13" i="107"/>
  <c r="M59" i="58" s="1"/>
  <c r="K13" i="107"/>
  <c r="L59" i="58" s="1"/>
  <c r="O12" i="107"/>
  <c r="N12" i="107"/>
  <c r="M12" i="107"/>
  <c r="L12" i="107"/>
  <c r="K12" i="107"/>
  <c r="O11" i="107"/>
  <c r="N11" i="107"/>
  <c r="M11" i="107"/>
  <c r="L11" i="107"/>
  <c r="K11" i="107"/>
  <c r="K29" i="78" l="1"/>
  <c r="H130" i="58"/>
  <c r="H319" i="78"/>
  <c r="J319" i="78" s="1"/>
  <c r="J324" i="78" s="1"/>
  <c r="J326" i="78" s="1"/>
  <c r="J330" i="78" s="1"/>
  <c r="J335" i="78" s="1"/>
  <c r="K335" i="78" s="1"/>
  <c r="E324" i="78"/>
  <c r="E326" i="78" s="1"/>
  <c r="E330" i="78" s="1"/>
  <c r="E335" i="78" s="1"/>
  <c r="H198" i="78"/>
  <c r="J198" i="78" s="1"/>
  <c r="J203" i="78" s="1"/>
  <c r="J205" i="78" s="1"/>
  <c r="J209" i="78" s="1"/>
  <c r="J214" i="78" s="1"/>
  <c r="K214" i="78" s="1"/>
  <c r="E203" i="78"/>
  <c r="E205" i="78" s="1"/>
  <c r="E209" i="78" s="1"/>
  <c r="E214" i="78" s="1"/>
  <c r="J130" i="58"/>
  <c r="E139" i="58"/>
  <c r="E141" i="58" s="1"/>
  <c r="L102" i="58"/>
  <c r="AU59" i="58"/>
  <c r="P102" i="58"/>
  <c r="M102" i="58"/>
  <c r="N102" i="58"/>
  <c r="O102" i="58"/>
  <c r="F26" i="58"/>
  <c r="T38" i="58"/>
  <c r="J136" i="58"/>
  <c r="H136" i="58"/>
  <c r="D207" i="82"/>
  <c r="E207" i="82" s="1"/>
  <c r="Q124" i="82"/>
  <c r="R126" i="82"/>
  <c r="R130" i="82"/>
  <c r="P58" i="58"/>
  <c r="O58" i="58"/>
  <c r="N58" i="58"/>
  <c r="M58" i="58"/>
  <c r="L58" i="58"/>
  <c r="G58" i="58"/>
  <c r="G101" i="58" s="1"/>
  <c r="F58" i="58"/>
  <c r="F101" i="58" s="1"/>
  <c r="E58" i="58"/>
  <c r="E101" i="58" s="1"/>
  <c r="G57" i="58"/>
  <c r="G100" i="58" s="1"/>
  <c r="F57" i="58"/>
  <c r="F100" i="58" s="1"/>
  <c r="E57" i="58"/>
  <c r="E100" i="58" s="1"/>
  <c r="P101" i="58" l="1"/>
  <c r="L101" i="58"/>
  <c r="O101" i="58"/>
  <c r="M101" i="58"/>
  <c r="N101" i="58"/>
  <c r="AU102" i="58"/>
  <c r="F38" i="58"/>
  <c r="T130" i="58"/>
  <c r="T40" i="58"/>
  <c r="H57" i="58"/>
  <c r="E231" i="78" s="1"/>
  <c r="J231" i="78" s="1"/>
  <c r="O79" i="157"/>
  <c r="P79" i="157" s="1"/>
  <c r="H58" i="58"/>
  <c r="E232" i="78" s="1"/>
  <c r="J232" i="78" s="1"/>
  <c r="O76" i="157"/>
  <c r="P76" i="157" s="1"/>
  <c r="H101" i="58" l="1"/>
  <c r="H100" i="58"/>
  <c r="F40" i="58"/>
  <c r="K91" i="78" s="1"/>
  <c r="F130" i="58"/>
  <c r="T136" i="58"/>
  <c r="T138" i="58" s="1"/>
  <c r="F136" i="58" l="1"/>
  <c r="F138" i="58" s="1"/>
  <c r="T139" i="58"/>
  <c r="T141" i="58" s="1"/>
  <c r="U135" i="58"/>
  <c r="I57" i="58"/>
  <c r="E290" i="78" s="1"/>
  <c r="J290" i="78" s="1"/>
  <c r="R79" i="157"/>
  <c r="S79" i="157" s="1"/>
  <c r="I58" i="58"/>
  <c r="E291" i="78" s="1"/>
  <c r="J291" i="78" s="1"/>
  <c r="R76" i="157"/>
  <c r="S76" i="157" s="1"/>
  <c r="I100" i="58" l="1"/>
  <c r="I101" i="58"/>
  <c r="G135" i="58"/>
  <c r="F139" i="58"/>
  <c r="F141" i="58" s="1"/>
  <c r="J57" i="58"/>
  <c r="E351" i="78" s="1"/>
  <c r="J351" i="78" s="1"/>
  <c r="U79" i="157"/>
  <c r="V79" i="157" s="1"/>
  <c r="J58" i="58"/>
  <c r="E352" i="78" s="1"/>
  <c r="J352" i="78" s="1"/>
  <c r="U76" i="157"/>
  <c r="V76" i="157" s="1"/>
  <c r="J101" i="58" l="1"/>
  <c r="J100" i="58"/>
  <c r="G138" i="58"/>
  <c r="H135" i="58" s="1"/>
  <c r="R117" i="82"/>
  <c r="R115" i="82"/>
  <c r="Q113" i="82"/>
  <c r="Q112" i="82"/>
  <c r="Q111" i="82"/>
  <c r="Q108" i="82"/>
  <c r="L118" i="82"/>
  <c r="R116" i="82"/>
  <c r="Q115" i="82"/>
  <c r="Q114" i="82"/>
  <c r="R114" i="82" s="1"/>
  <c r="Q189" i="117"/>
  <c r="J111" i="82" s="1"/>
  <c r="J27" i="122" s="1"/>
  <c r="Q188" i="117"/>
  <c r="J110" i="82" s="1"/>
  <c r="Q187" i="117"/>
  <c r="J109" i="82" s="1"/>
  <c r="Q186" i="117"/>
  <c r="J108" i="82" s="1"/>
  <c r="Q185" i="117"/>
  <c r="Q184" i="117"/>
  <c r="Q183" i="117"/>
  <c r="Q182" i="117"/>
  <c r="Q181" i="117"/>
  <c r="Q180" i="117"/>
  <c r="Q179" i="117"/>
  <c r="J24" i="122" l="1"/>
  <c r="F248" i="82"/>
  <c r="G139" i="58"/>
  <c r="G141" i="58" s="1"/>
  <c r="H138" i="58"/>
  <c r="I135" i="58" s="1"/>
  <c r="M113" i="82"/>
  <c r="J23" i="122"/>
  <c r="M109" i="82"/>
  <c r="J22" i="122"/>
  <c r="M110" i="82"/>
  <c r="N118" i="82"/>
  <c r="Q110" i="82"/>
  <c r="R111" i="82"/>
  <c r="R113" i="82"/>
  <c r="Q109" i="82"/>
  <c r="M111" i="82"/>
  <c r="R108" i="82"/>
  <c r="M108" i="82"/>
  <c r="R109" i="82" l="1"/>
  <c r="R110" i="82"/>
  <c r="H139" i="58"/>
  <c r="H141" i="58" s="1"/>
  <c r="I138" i="58"/>
  <c r="J135" i="58" s="1"/>
  <c r="Q118" i="82"/>
  <c r="I139" i="58" l="1"/>
  <c r="I141" i="58" s="1"/>
  <c r="J138" i="58"/>
  <c r="K135" i="58" s="1"/>
  <c r="K49" i="58"/>
  <c r="E405" i="78" s="1"/>
  <c r="J405" i="78" s="1"/>
  <c r="X74" i="157"/>
  <c r="P175" i="117"/>
  <c r="P190" i="117" s="1"/>
  <c r="O175" i="117"/>
  <c r="O190" i="117" s="1"/>
  <c r="N175" i="117"/>
  <c r="N190" i="117" s="1"/>
  <c r="M175" i="117"/>
  <c r="M190" i="117" s="1"/>
  <c r="L175" i="117"/>
  <c r="L190" i="117" s="1"/>
  <c r="K175" i="117"/>
  <c r="K190" i="117" s="1"/>
  <c r="J175" i="117"/>
  <c r="J190" i="117" s="1"/>
  <c r="I175" i="117"/>
  <c r="I190" i="117" s="1"/>
  <c r="H175" i="117"/>
  <c r="H190" i="117" s="1"/>
  <c r="G175" i="117"/>
  <c r="G190" i="117" s="1"/>
  <c r="F175" i="117"/>
  <c r="F190" i="117" s="1"/>
  <c r="E175" i="117"/>
  <c r="E190" i="117" s="1"/>
  <c r="E479" i="117" s="1"/>
  <c r="Q173" i="117"/>
  <c r="P170" i="117"/>
  <c r="P172" i="117" s="1"/>
  <c r="O170" i="117"/>
  <c r="O172" i="117" s="1"/>
  <c r="N170" i="117"/>
  <c r="N172" i="117" s="1"/>
  <c r="M170" i="117"/>
  <c r="M172" i="117" s="1"/>
  <c r="L170" i="117"/>
  <c r="L172" i="117" s="1"/>
  <c r="K170" i="117"/>
  <c r="K172" i="117" s="1"/>
  <c r="J170" i="117"/>
  <c r="J172" i="117" s="1"/>
  <c r="I170" i="117"/>
  <c r="I172" i="117" s="1"/>
  <c r="H170" i="117"/>
  <c r="H172" i="117" s="1"/>
  <c r="G170" i="117"/>
  <c r="G172" i="117" s="1"/>
  <c r="F170" i="117"/>
  <c r="F172" i="117" s="1"/>
  <c r="E170" i="117"/>
  <c r="E172" i="117" s="1"/>
  <c r="Q95" i="82"/>
  <c r="Q96" i="82"/>
  <c r="Q93" i="82"/>
  <c r="Q92" i="82"/>
  <c r="L101" i="82"/>
  <c r="Q100" i="82"/>
  <c r="Q98" i="82"/>
  <c r="Q97" i="82"/>
  <c r="Q162" i="117"/>
  <c r="J94" i="82" s="1"/>
  <c r="I27" i="122" s="1"/>
  <c r="Q161" i="117"/>
  <c r="J93" i="82" s="1"/>
  <c r="Q160" i="117"/>
  <c r="J92" i="82" s="1"/>
  <c r="I22" i="122" s="1"/>
  <c r="Q159" i="117"/>
  <c r="Q158" i="117"/>
  <c r="Q157" i="117"/>
  <c r="Q156" i="117"/>
  <c r="Q155" i="117"/>
  <c r="Q154" i="117"/>
  <c r="Q153" i="117"/>
  <c r="K37" i="151" l="1"/>
  <c r="R173" i="117"/>
  <c r="J139" i="58"/>
  <c r="J141" i="58" s="1"/>
  <c r="K92" i="58"/>
  <c r="F191" i="117"/>
  <c r="F479" i="117"/>
  <c r="F480" i="117" s="1"/>
  <c r="H191" i="117"/>
  <c r="H479" i="117"/>
  <c r="H480" i="117" s="1"/>
  <c r="K191" i="117"/>
  <c r="K479" i="117"/>
  <c r="K480" i="117" s="1"/>
  <c r="M191" i="117"/>
  <c r="M479" i="117"/>
  <c r="M480" i="117" s="1"/>
  <c r="E480" i="117"/>
  <c r="L191" i="117"/>
  <c r="L479" i="117"/>
  <c r="L480" i="117" s="1"/>
  <c r="N191" i="117"/>
  <c r="N479" i="117"/>
  <c r="N480" i="117" s="1"/>
  <c r="O191" i="117"/>
  <c r="O479" i="117"/>
  <c r="O480" i="117" s="1"/>
  <c r="G191" i="117"/>
  <c r="G479" i="117"/>
  <c r="G480" i="117" s="1"/>
  <c r="I191" i="117"/>
  <c r="I479" i="117"/>
  <c r="I480" i="117" s="1"/>
  <c r="J191" i="117"/>
  <c r="J479" i="117"/>
  <c r="J480" i="117" s="1"/>
  <c r="P191" i="117"/>
  <c r="P479" i="117"/>
  <c r="P480" i="117" s="1"/>
  <c r="E191" i="117"/>
  <c r="Q190" i="117"/>
  <c r="Q170" i="117"/>
  <c r="Q175" i="117"/>
  <c r="R175" i="117" s="1"/>
  <c r="Q172" i="117"/>
  <c r="R172" i="117" s="1"/>
  <c r="I23" i="122"/>
  <c r="M93" i="82"/>
  <c r="R96" i="82"/>
  <c r="R93" i="82"/>
  <c r="M96" i="82"/>
  <c r="M94" i="82"/>
  <c r="R92" i="82"/>
  <c r="Q94" i="82"/>
  <c r="N101" i="82"/>
  <c r="M92" i="82"/>
  <c r="R94" i="82" l="1"/>
  <c r="Q479" i="117"/>
  <c r="Q480" i="117" s="1"/>
  <c r="Q191" i="117"/>
  <c r="J112" i="82"/>
  <c r="Q174" i="117"/>
  <c r="J36" i="122"/>
  <c r="Q101" i="82"/>
  <c r="U74" i="157" l="1"/>
  <c r="J49" i="58"/>
  <c r="E343" i="78" s="1"/>
  <c r="J343" i="78" s="1"/>
  <c r="M112" i="82"/>
  <c r="J28" i="122"/>
  <c r="R112" i="82"/>
  <c r="J118" i="82"/>
  <c r="P149" i="117"/>
  <c r="P163" i="117" s="1"/>
  <c r="O149" i="117"/>
  <c r="O163" i="117" s="1"/>
  <c r="N149" i="117"/>
  <c r="N163" i="117" s="1"/>
  <c r="M149" i="117"/>
  <c r="M163" i="117" s="1"/>
  <c r="L149" i="117"/>
  <c r="L163" i="117" s="1"/>
  <c r="K149" i="117"/>
  <c r="K163" i="117" s="1"/>
  <c r="J149" i="117"/>
  <c r="J163" i="117" s="1"/>
  <c r="I149" i="117"/>
  <c r="I163" i="117" s="1"/>
  <c r="H149" i="117"/>
  <c r="H163" i="117" s="1"/>
  <c r="G149" i="117"/>
  <c r="G163" i="117" s="1"/>
  <c r="F149" i="117"/>
  <c r="F163" i="117" s="1"/>
  <c r="E149" i="117"/>
  <c r="E163" i="117" s="1"/>
  <c r="E461" i="117" s="1"/>
  <c r="Q147" i="117"/>
  <c r="P144" i="117"/>
  <c r="P146" i="117" s="1"/>
  <c r="O144" i="117"/>
  <c r="O146" i="117" s="1"/>
  <c r="N144" i="117"/>
  <c r="N146" i="117" s="1"/>
  <c r="M144" i="117"/>
  <c r="M146" i="117" s="1"/>
  <c r="L144" i="117"/>
  <c r="L146" i="117" s="1"/>
  <c r="K144" i="117"/>
  <c r="K146" i="117" s="1"/>
  <c r="J144" i="117"/>
  <c r="J146" i="117" s="1"/>
  <c r="I144" i="117"/>
  <c r="I146" i="117" s="1"/>
  <c r="H144" i="117"/>
  <c r="H146" i="117" s="1"/>
  <c r="G144" i="117"/>
  <c r="G146" i="117" s="1"/>
  <c r="F144" i="117"/>
  <c r="F146" i="117" s="1"/>
  <c r="E144" i="117"/>
  <c r="E146" i="117" s="1"/>
  <c r="Q79" i="82"/>
  <c r="Q84" i="82"/>
  <c r="Q82" i="82"/>
  <c r="Q81" i="82"/>
  <c r="Q78" i="82"/>
  <c r="L85" i="82"/>
  <c r="Q134" i="117"/>
  <c r="J77" i="82" s="1"/>
  <c r="Q135" i="117"/>
  <c r="J78" i="82" s="1"/>
  <c r="H27" i="122" s="1"/>
  <c r="Q133" i="117"/>
  <c r="J76" i="82" s="1"/>
  <c r="Q132" i="117"/>
  <c r="Q131" i="117"/>
  <c r="Q130" i="117"/>
  <c r="Q129" i="117"/>
  <c r="Q128" i="117"/>
  <c r="Q127" i="117"/>
  <c r="Q126" i="117"/>
  <c r="P122" i="117"/>
  <c r="P136" i="117" s="1"/>
  <c r="O122" i="117"/>
  <c r="O136" i="117" s="1"/>
  <c r="N122" i="117"/>
  <c r="N136" i="117" s="1"/>
  <c r="M122" i="117"/>
  <c r="M136" i="117" s="1"/>
  <c r="L122" i="117"/>
  <c r="L136" i="117" s="1"/>
  <c r="K122" i="117"/>
  <c r="K136" i="117" s="1"/>
  <c r="J122" i="117"/>
  <c r="J136" i="117" s="1"/>
  <c r="I122" i="117"/>
  <c r="I136" i="117" s="1"/>
  <c r="H122" i="117"/>
  <c r="H136" i="117" s="1"/>
  <c r="G122" i="117"/>
  <c r="G136" i="117" s="1"/>
  <c r="F122" i="117"/>
  <c r="F136" i="117" s="1"/>
  <c r="E122" i="117"/>
  <c r="E136" i="117" s="1"/>
  <c r="Q120" i="117"/>
  <c r="P117" i="117"/>
  <c r="P119" i="117" s="1"/>
  <c r="O117" i="117"/>
  <c r="O119" i="117" s="1"/>
  <c r="N117" i="117"/>
  <c r="N119" i="117" s="1"/>
  <c r="M117" i="117"/>
  <c r="M119" i="117" s="1"/>
  <c r="L117" i="117"/>
  <c r="L119" i="117" s="1"/>
  <c r="K117" i="117"/>
  <c r="K119" i="117" s="1"/>
  <c r="J117" i="117"/>
  <c r="J119" i="117" s="1"/>
  <c r="I117" i="117"/>
  <c r="I119" i="117" s="1"/>
  <c r="H117" i="117"/>
  <c r="H119" i="117" s="1"/>
  <c r="G117" i="117"/>
  <c r="G119" i="117" s="1"/>
  <c r="F117" i="117"/>
  <c r="F119" i="117" s="1"/>
  <c r="E117" i="117"/>
  <c r="E119" i="117" s="1"/>
  <c r="H68" i="151"/>
  <c r="G68" i="151"/>
  <c r="F68" i="151"/>
  <c r="E68" i="151"/>
  <c r="H23" i="122" l="1"/>
  <c r="J37" i="151"/>
  <c r="R147" i="117"/>
  <c r="I37" i="151"/>
  <c r="R120" i="117"/>
  <c r="J43" i="61"/>
  <c r="J92" i="58"/>
  <c r="V74" i="157"/>
  <c r="U87" i="157"/>
  <c r="U15" i="157" s="1"/>
  <c r="N85" i="82"/>
  <c r="I164" i="117"/>
  <c r="I461" i="117"/>
  <c r="I462" i="117" s="1"/>
  <c r="N164" i="117"/>
  <c r="N461" i="117"/>
  <c r="N462" i="117" s="1"/>
  <c r="P164" i="117"/>
  <c r="P461" i="117"/>
  <c r="P462" i="117" s="1"/>
  <c r="K164" i="117"/>
  <c r="K461" i="117"/>
  <c r="K462" i="117" s="1"/>
  <c r="E462" i="117"/>
  <c r="J164" i="117"/>
  <c r="J461" i="117"/>
  <c r="J462" i="117" s="1"/>
  <c r="F164" i="117"/>
  <c r="F461" i="117"/>
  <c r="F462" i="117" s="1"/>
  <c r="L164" i="117"/>
  <c r="L461" i="117"/>
  <c r="L462" i="117" s="1"/>
  <c r="O164" i="117"/>
  <c r="O461" i="117"/>
  <c r="O462" i="117" s="1"/>
  <c r="G164" i="117"/>
  <c r="G461" i="117"/>
  <c r="G462" i="117" s="1"/>
  <c r="M164" i="117"/>
  <c r="M461" i="117"/>
  <c r="M462" i="117" s="1"/>
  <c r="H164" i="117"/>
  <c r="H461" i="117"/>
  <c r="H462" i="117" s="1"/>
  <c r="G137" i="117"/>
  <c r="G444" i="117"/>
  <c r="G445" i="117" s="1"/>
  <c r="I137" i="117"/>
  <c r="I444" i="117"/>
  <c r="I445" i="117" s="1"/>
  <c r="L137" i="117"/>
  <c r="L444" i="117"/>
  <c r="L445" i="117" s="1"/>
  <c r="F137" i="117"/>
  <c r="F444" i="117"/>
  <c r="F445" i="117" s="1"/>
  <c r="J137" i="117"/>
  <c r="J444" i="117"/>
  <c r="J445" i="117" s="1"/>
  <c r="M137" i="117"/>
  <c r="M444" i="117"/>
  <c r="M445" i="117" s="1"/>
  <c r="N137" i="117"/>
  <c r="N444" i="117"/>
  <c r="N445" i="117" s="1"/>
  <c r="H137" i="117"/>
  <c r="H444" i="117"/>
  <c r="H445" i="117" s="1"/>
  <c r="O137" i="117"/>
  <c r="O444" i="117"/>
  <c r="O445" i="117" s="1"/>
  <c r="P137" i="117"/>
  <c r="P444" i="117"/>
  <c r="P445" i="117" s="1"/>
  <c r="K137" i="117"/>
  <c r="K444" i="117"/>
  <c r="K445" i="117" s="1"/>
  <c r="E137" i="117"/>
  <c r="E444" i="117"/>
  <c r="M118" i="82"/>
  <c r="R118" i="82"/>
  <c r="E164" i="117"/>
  <c r="Q163" i="117"/>
  <c r="Q144" i="117"/>
  <c r="Q149" i="117"/>
  <c r="R149" i="117" s="1"/>
  <c r="Q146" i="117"/>
  <c r="R146" i="117" s="1"/>
  <c r="R77" i="82"/>
  <c r="M80" i="82"/>
  <c r="R78" i="82"/>
  <c r="Q117" i="117"/>
  <c r="Q80" i="82"/>
  <c r="M78" i="82"/>
  <c r="M76" i="82"/>
  <c r="H22" i="122"/>
  <c r="Q76" i="82"/>
  <c r="M77" i="82"/>
  <c r="Q119" i="117"/>
  <c r="R119" i="117" s="1"/>
  <c r="Q122" i="117"/>
  <c r="Q136" i="117"/>
  <c r="R80" i="82" l="1"/>
  <c r="J44" i="61"/>
  <c r="J48" i="61" s="1"/>
  <c r="J53" i="58" s="1"/>
  <c r="V87" i="157"/>
  <c r="V88" i="157" s="1"/>
  <c r="V70" i="157"/>
  <c r="H36" i="122"/>
  <c r="R122" i="117"/>
  <c r="V15" i="157"/>
  <c r="V21" i="157" s="1"/>
  <c r="U21" i="157"/>
  <c r="Q461" i="117"/>
  <c r="Q462" i="117" s="1"/>
  <c r="Q444" i="117"/>
  <c r="Q445" i="117" s="1"/>
  <c r="E445" i="117"/>
  <c r="Q164" i="117"/>
  <c r="J95" i="82"/>
  <c r="I28" i="122" s="1"/>
  <c r="Q148" i="117"/>
  <c r="I36" i="122"/>
  <c r="Q121" i="117"/>
  <c r="Q137" i="117"/>
  <c r="J79" i="82"/>
  <c r="R76" i="82"/>
  <c r="Q85" i="82"/>
  <c r="L69" i="82"/>
  <c r="Q66" i="82"/>
  <c r="Q59" i="82"/>
  <c r="L51" i="82"/>
  <c r="Q47" i="82"/>
  <c r="N46" i="82"/>
  <c r="Q45" i="82"/>
  <c r="Q44" i="82"/>
  <c r="Q29" i="82"/>
  <c r="N32" i="82"/>
  <c r="N36" i="82" s="1"/>
  <c r="L36" i="82"/>
  <c r="J62" i="58" l="1"/>
  <c r="E347" i="78"/>
  <c r="J347" i="78" s="1"/>
  <c r="J105" i="58"/>
  <c r="J96" i="58"/>
  <c r="R74" i="157"/>
  <c r="I49" i="58"/>
  <c r="E282" i="78" s="1"/>
  <c r="J282" i="78" s="1"/>
  <c r="M95" i="82"/>
  <c r="J101" i="82"/>
  <c r="R95" i="82"/>
  <c r="H28" i="122"/>
  <c r="J85" i="82"/>
  <c r="M79" i="82"/>
  <c r="R79" i="82"/>
  <c r="Q63" i="82"/>
  <c r="Q61" i="82"/>
  <c r="N51" i="82"/>
  <c r="Q46" i="82"/>
  <c r="Q51" i="82" s="1"/>
  <c r="Q32" i="82"/>
  <c r="M85" i="82" l="1"/>
  <c r="I43" i="61"/>
  <c r="I92" i="58"/>
  <c r="L74" i="157"/>
  <c r="G49" i="58"/>
  <c r="S74" i="157"/>
  <c r="R87" i="157"/>
  <c r="R15" i="157" s="1"/>
  <c r="M101" i="82"/>
  <c r="R101" i="82"/>
  <c r="R85" i="82"/>
  <c r="Q36" i="82"/>
  <c r="I44" i="61" l="1"/>
  <c r="I48" i="61" s="1"/>
  <c r="I53" i="58" s="1"/>
  <c r="S87" i="157"/>
  <c r="S88" i="157" s="1"/>
  <c r="S70" i="157"/>
  <c r="G43" i="61"/>
  <c r="G44" i="61" s="1"/>
  <c r="G48" i="61" s="1"/>
  <c r="G53" i="58" s="1"/>
  <c r="E167" i="78" s="1"/>
  <c r="J167" i="78" s="1"/>
  <c r="G92" i="58"/>
  <c r="I74" i="157"/>
  <c r="F49" i="58"/>
  <c r="M74" i="157"/>
  <c r="M87" i="157" s="1"/>
  <c r="M88" i="157" s="1"/>
  <c r="L87" i="157"/>
  <c r="L15" i="157" s="1"/>
  <c r="S15" i="157"/>
  <c r="S21" i="157" s="1"/>
  <c r="R21" i="157"/>
  <c r="P96" i="117"/>
  <c r="P109" i="117" s="1"/>
  <c r="O96" i="117"/>
  <c r="O109" i="117" s="1"/>
  <c r="N96" i="117"/>
  <c r="N109" i="117" s="1"/>
  <c r="M96" i="117"/>
  <c r="M109" i="117" s="1"/>
  <c r="L96" i="117"/>
  <c r="L109" i="117" s="1"/>
  <c r="J96" i="117"/>
  <c r="J109" i="117" s="1"/>
  <c r="I96" i="117"/>
  <c r="I109" i="117" s="1"/>
  <c r="H96" i="117"/>
  <c r="H109" i="117" s="1"/>
  <c r="G96" i="117"/>
  <c r="G109" i="117" s="1"/>
  <c r="F96" i="117"/>
  <c r="F109" i="117" s="1"/>
  <c r="E96" i="117"/>
  <c r="E109" i="117" s="1"/>
  <c r="Q108" i="117"/>
  <c r="Q107" i="117"/>
  <c r="Q106" i="117"/>
  <c r="Q105" i="117"/>
  <c r="Q104" i="117"/>
  <c r="Q103" i="117"/>
  <c r="Q102" i="117"/>
  <c r="Q101" i="117"/>
  <c r="Q100" i="117"/>
  <c r="Q94" i="117"/>
  <c r="P91" i="117"/>
  <c r="P93" i="117" s="1"/>
  <c r="O91" i="117"/>
  <c r="O93" i="117" s="1"/>
  <c r="N91" i="117"/>
  <c r="N93" i="117" s="1"/>
  <c r="M91" i="117"/>
  <c r="M93" i="117" s="1"/>
  <c r="L91" i="117"/>
  <c r="L93" i="117" s="1"/>
  <c r="K91" i="117"/>
  <c r="K93" i="117" s="1"/>
  <c r="J91" i="117"/>
  <c r="J93" i="117" s="1"/>
  <c r="I91" i="117"/>
  <c r="I93" i="117" s="1"/>
  <c r="H91" i="117"/>
  <c r="H93" i="117" s="1"/>
  <c r="G91" i="117"/>
  <c r="G93" i="117" s="1"/>
  <c r="F91" i="117"/>
  <c r="F93" i="117" s="1"/>
  <c r="E91" i="117"/>
  <c r="E93" i="117" s="1"/>
  <c r="B3" i="117"/>
  <c r="A2" i="82"/>
  <c r="B3" i="110"/>
  <c r="I62" i="58" l="1"/>
  <c r="E286" i="78"/>
  <c r="J286" i="78" s="1"/>
  <c r="I96" i="58"/>
  <c r="G62" i="58"/>
  <c r="G96" i="58"/>
  <c r="H37" i="151"/>
  <c r="R94" i="117"/>
  <c r="F43" i="61"/>
  <c r="F44" i="61" s="1"/>
  <c r="F48" i="61" s="1"/>
  <c r="F53" i="58" s="1"/>
  <c r="E104" i="78" s="1"/>
  <c r="J104" i="78" s="1"/>
  <c r="F92" i="58"/>
  <c r="M15" i="157"/>
  <c r="M21" i="157" s="1"/>
  <c r="L21" i="157"/>
  <c r="I87" i="157"/>
  <c r="I15" i="157" s="1"/>
  <c r="J74" i="157"/>
  <c r="J87" i="157" s="1"/>
  <c r="J88" i="157" s="1"/>
  <c r="G110" i="117"/>
  <c r="G426" i="117"/>
  <c r="G427" i="117" s="1"/>
  <c r="J110" i="117"/>
  <c r="J426" i="117"/>
  <c r="J427" i="117" s="1"/>
  <c r="L110" i="117"/>
  <c r="L426" i="117"/>
  <c r="L427" i="117" s="1"/>
  <c r="E110" i="117"/>
  <c r="E426" i="117"/>
  <c r="H110" i="117"/>
  <c r="H426" i="117"/>
  <c r="H427" i="117" s="1"/>
  <c r="M110" i="117"/>
  <c r="M426" i="117"/>
  <c r="M427" i="117" s="1"/>
  <c r="I110" i="117"/>
  <c r="I426" i="117"/>
  <c r="I427" i="117" s="1"/>
  <c r="N110" i="117"/>
  <c r="N426" i="117"/>
  <c r="N427" i="117" s="1"/>
  <c r="F110" i="117"/>
  <c r="F426" i="117"/>
  <c r="F427" i="117" s="1"/>
  <c r="O110" i="117"/>
  <c r="O426" i="117"/>
  <c r="O427" i="117" s="1"/>
  <c r="P110" i="117"/>
  <c r="P426" i="117"/>
  <c r="P427" i="117" s="1"/>
  <c r="Q91" i="117"/>
  <c r="Q93" i="117"/>
  <c r="R93" i="117" s="1"/>
  <c r="J59" i="82"/>
  <c r="G20" i="122"/>
  <c r="J61" i="82"/>
  <c r="G22" i="122"/>
  <c r="G27" i="122"/>
  <c r="J63" i="82"/>
  <c r="I105" i="58" l="1"/>
  <c r="F62" i="58"/>
  <c r="F105" i="58" s="1"/>
  <c r="G105" i="58"/>
  <c r="F96" i="58"/>
  <c r="J15" i="157"/>
  <c r="J21" i="157" s="1"/>
  <c r="I21" i="157"/>
  <c r="E427" i="117"/>
  <c r="M63" i="82"/>
  <c r="R63" i="82"/>
  <c r="M59" i="82"/>
  <c r="H67" i="151" s="1"/>
  <c r="G347" i="117" s="1"/>
  <c r="R59" i="82"/>
  <c r="M61" i="82"/>
  <c r="R61" i="82"/>
  <c r="A3" i="122"/>
  <c r="B3" i="90"/>
  <c r="Q82" i="117"/>
  <c r="Q81" i="117"/>
  <c r="Q80" i="117"/>
  <c r="Q79" i="117"/>
  <c r="Q78" i="117"/>
  <c r="J44" i="82" s="1"/>
  <c r="Q77" i="117"/>
  <c r="Q76" i="117"/>
  <c r="Q75" i="117"/>
  <c r="Q74" i="117"/>
  <c r="P70" i="117"/>
  <c r="P83" i="117" s="1"/>
  <c r="O70" i="117"/>
  <c r="O83" i="117" s="1"/>
  <c r="N70" i="117"/>
  <c r="N83" i="117" s="1"/>
  <c r="M70" i="117"/>
  <c r="M83" i="117" s="1"/>
  <c r="L70" i="117"/>
  <c r="L83" i="117" s="1"/>
  <c r="K70" i="117"/>
  <c r="K83" i="117" s="1"/>
  <c r="J70" i="117"/>
  <c r="J83" i="117" s="1"/>
  <c r="I70" i="117"/>
  <c r="I83" i="117" s="1"/>
  <c r="H70" i="117"/>
  <c r="H83" i="117" s="1"/>
  <c r="G70" i="117"/>
  <c r="G83" i="117" s="1"/>
  <c r="F70" i="117"/>
  <c r="F83" i="117" s="1"/>
  <c r="E70" i="117"/>
  <c r="E83" i="117" s="1"/>
  <c r="E409" i="117" s="1"/>
  <c r="Q68" i="117"/>
  <c r="P44" i="117"/>
  <c r="P57" i="117" s="1"/>
  <c r="O44" i="117"/>
  <c r="O57" i="117" s="1"/>
  <c r="N44" i="117"/>
  <c r="N57" i="117" s="1"/>
  <c r="M44" i="117"/>
  <c r="M57" i="117" s="1"/>
  <c r="L44" i="117"/>
  <c r="L57" i="117" s="1"/>
  <c r="K44" i="117"/>
  <c r="K57" i="117" s="1"/>
  <c r="J44" i="117"/>
  <c r="J57" i="117" s="1"/>
  <c r="I44" i="117"/>
  <c r="I57" i="117" s="1"/>
  <c r="H44" i="117"/>
  <c r="H57" i="117" s="1"/>
  <c r="G44" i="117"/>
  <c r="G57" i="117" s="1"/>
  <c r="F44" i="117"/>
  <c r="F57" i="117" s="1"/>
  <c r="E44" i="117"/>
  <c r="E57" i="117" s="1"/>
  <c r="E392" i="117" s="1"/>
  <c r="O14" i="122"/>
  <c r="N14" i="122"/>
  <c r="N17" i="122" s="1"/>
  <c r="M14" i="122"/>
  <c r="M17" i="122" s="1"/>
  <c r="L14" i="122"/>
  <c r="L17" i="122" s="1"/>
  <c r="K14" i="122"/>
  <c r="K17" i="122" s="1"/>
  <c r="J14" i="122"/>
  <c r="J17" i="122" s="1"/>
  <c r="I14" i="122"/>
  <c r="H14" i="122"/>
  <c r="G14" i="122"/>
  <c r="G17" i="122" s="1"/>
  <c r="F14" i="122"/>
  <c r="F17" i="122" s="1"/>
  <c r="E14" i="122"/>
  <c r="E17" i="122" s="1"/>
  <c r="D14" i="122"/>
  <c r="D17" i="122" s="1"/>
  <c r="J29" i="122"/>
  <c r="I29" i="122"/>
  <c r="H29" i="122"/>
  <c r="P19" i="117"/>
  <c r="P32" i="117" s="1"/>
  <c r="O19" i="117"/>
  <c r="O32" i="117" s="1"/>
  <c r="N19" i="117"/>
  <c r="N32" i="117" s="1"/>
  <c r="M19" i="117"/>
  <c r="M32" i="117" s="1"/>
  <c r="L19" i="117"/>
  <c r="L32" i="117" s="1"/>
  <c r="K19" i="117"/>
  <c r="K32" i="117" s="1"/>
  <c r="Q42" i="117"/>
  <c r="F37" i="151" s="1"/>
  <c r="E42" i="122" s="1"/>
  <c r="E40" i="117"/>
  <c r="E41" i="117" s="1"/>
  <c r="F40" i="117"/>
  <c r="F41" i="117" s="1"/>
  <c r="Q56" i="117"/>
  <c r="Q55" i="117"/>
  <c r="Q54" i="117"/>
  <c r="Q53" i="117"/>
  <c r="Q52" i="117"/>
  <c r="J29" i="82" s="1"/>
  <c r="Q51" i="117"/>
  <c r="Q50" i="117"/>
  <c r="Q49" i="117"/>
  <c r="Q48" i="117"/>
  <c r="Q47" i="117"/>
  <c r="Q46" i="117"/>
  <c r="P40" i="117"/>
  <c r="P41" i="117" s="1"/>
  <c r="O40" i="117"/>
  <c r="O41" i="117" s="1"/>
  <c r="N40" i="117"/>
  <c r="N41" i="117" s="1"/>
  <c r="M40" i="117"/>
  <c r="M41" i="117" s="1"/>
  <c r="L40" i="117"/>
  <c r="L41" i="117" s="1"/>
  <c r="K40" i="117"/>
  <c r="K41" i="117" s="1"/>
  <c r="J40" i="117"/>
  <c r="J41" i="117" s="1"/>
  <c r="I40" i="117"/>
  <c r="I41" i="117" s="1"/>
  <c r="H40" i="117"/>
  <c r="H41" i="117" s="1"/>
  <c r="G40" i="117"/>
  <c r="Q17" i="117"/>
  <c r="E37" i="151" s="1"/>
  <c r="J33" i="117"/>
  <c r="I33" i="117"/>
  <c r="H33" i="117"/>
  <c r="G33" i="117"/>
  <c r="F33" i="117"/>
  <c r="E33" i="117"/>
  <c r="Q31" i="117"/>
  <c r="Q30" i="117"/>
  <c r="Q29" i="117"/>
  <c r="Q28" i="117"/>
  <c r="Q27" i="117"/>
  <c r="J13" i="82" s="1"/>
  <c r="M13" i="82" s="1"/>
  <c r="E67" i="151" s="1"/>
  <c r="D347" i="117" s="1"/>
  <c r="Q26" i="117"/>
  <c r="Q25" i="117"/>
  <c r="Q24" i="117"/>
  <c r="Q23" i="117"/>
  <c r="Q22" i="117"/>
  <c r="P15" i="117"/>
  <c r="P16" i="117" s="1"/>
  <c r="O15" i="117"/>
  <c r="O16" i="117" s="1"/>
  <c r="N15" i="117"/>
  <c r="N16" i="117" s="1"/>
  <c r="M15" i="117"/>
  <c r="M16" i="117" s="1"/>
  <c r="L15" i="117"/>
  <c r="L16" i="117" s="1"/>
  <c r="K15" i="117"/>
  <c r="K16" i="117" s="1"/>
  <c r="L21" i="82"/>
  <c r="N17" i="82"/>
  <c r="N21" i="82" s="1"/>
  <c r="Q13" i="82"/>
  <c r="O36" i="110"/>
  <c r="N36" i="110"/>
  <c r="M36" i="110"/>
  <c r="L36" i="110"/>
  <c r="K36" i="110"/>
  <c r="F36" i="110"/>
  <c r="E36" i="110"/>
  <c r="D36" i="110"/>
  <c r="G12" i="110"/>
  <c r="G36" i="110" s="1"/>
  <c r="H12" i="110"/>
  <c r="H36" i="110" s="1"/>
  <c r="I12" i="110"/>
  <c r="I36" i="110" s="1"/>
  <c r="J12" i="110"/>
  <c r="J36" i="110" s="1"/>
  <c r="O34" i="110"/>
  <c r="N34" i="110"/>
  <c r="M34" i="110"/>
  <c r="L34" i="110"/>
  <c r="K34" i="110"/>
  <c r="J34" i="110"/>
  <c r="I34" i="110"/>
  <c r="H34" i="110"/>
  <c r="G34" i="110"/>
  <c r="F34" i="110"/>
  <c r="E34" i="110"/>
  <c r="D34" i="110"/>
  <c r="O32" i="110"/>
  <c r="N32" i="110"/>
  <c r="M32" i="110"/>
  <c r="L32" i="110"/>
  <c r="K32" i="110"/>
  <c r="J32" i="110"/>
  <c r="I32" i="110"/>
  <c r="H32" i="110"/>
  <c r="G32" i="110"/>
  <c r="F32" i="110"/>
  <c r="E32" i="110"/>
  <c r="D32" i="110"/>
  <c r="O20" i="110"/>
  <c r="N20" i="110"/>
  <c r="M20" i="110"/>
  <c r="L20" i="110"/>
  <c r="K20" i="110"/>
  <c r="J20" i="110"/>
  <c r="I20" i="110"/>
  <c r="H20" i="110"/>
  <c r="G20" i="110"/>
  <c r="F20" i="110"/>
  <c r="E20" i="110"/>
  <c r="D20" i="110"/>
  <c r="O26" i="110"/>
  <c r="N26" i="110"/>
  <c r="M26" i="110"/>
  <c r="L26" i="110"/>
  <c r="K26" i="110"/>
  <c r="J26" i="110"/>
  <c r="I26" i="110"/>
  <c r="H26" i="110"/>
  <c r="G26" i="110"/>
  <c r="F26" i="110"/>
  <c r="E26" i="110"/>
  <c r="D26" i="110"/>
  <c r="F12" i="110"/>
  <c r="E12" i="110"/>
  <c r="D12" i="110"/>
  <c r="J42" i="122"/>
  <c r="I42" i="122"/>
  <c r="H42" i="122"/>
  <c r="G42" i="122"/>
  <c r="J53" i="122"/>
  <c r="J52" i="122" s="1"/>
  <c r="I53" i="122"/>
  <c r="I52" i="122" s="1"/>
  <c r="H53" i="122"/>
  <c r="H52" i="122" s="1"/>
  <c r="G53" i="122"/>
  <c r="G52" i="122" s="1"/>
  <c r="E53" i="122"/>
  <c r="E52" i="122" s="1"/>
  <c r="J48" i="122"/>
  <c r="J47" i="122" s="1"/>
  <c r="I48" i="122"/>
  <c r="I47" i="122" s="1"/>
  <c r="H48" i="122"/>
  <c r="H47" i="122" s="1"/>
  <c r="G48" i="122"/>
  <c r="G47" i="122" s="1"/>
  <c r="E48" i="122"/>
  <c r="E47" i="122" s="1"/>
  <c r="D48" i="122"/>
  <c r="D47" i="122" s="1"/>
  <c r="G84" i="90"/>
  <c r="F84" i="90"/>
  <c r="G83" i="90"/>
  <c r="F83" i="90"/>
  <c r="E84" i="90"/>
  <c r="E83" i="90"/>
  <c r="G73" i="90"/>
  <c r="F73" i="90"/>
  <c r="G72" i="90"/>
  <c r="F72" i="90"/>
  <c r="F74" i="90" s="1"/>
  <c r="E73" i="90"/>
  <c r="E72" i="90"/>
  <c r="G61" i="90"/>
  <c r="F61" i="90"/>
  <c r="G60" i="90"/>
  <c r="F60" i="90"/>
  <c r="E61" i="90"/>
  <c r="E60" i="90"/>
  <c r="G49" i="90"/>
  <c r="F49" i="90"/>
  <c r="H49" i="90" s="1"/>
  <c r="G48" i="90"/>
  <c r="F48" i="90"/>
  <c r="E49" i="90"/>
  <c r="E48" i="90"/>
  <c r="G36" i="90"/>
  <c r="F36" i="90"/>
  <c r="E37" i="90"/>
  <c r="E36" i="90"/>
  <c r="E25" i="90"/>
  <c r="E24" i="90"/>
  <c r="F25" i="90"/>
  <c r="G24" i="90"/>
  <c r="F24" i="90"/>
  <c r="I13" i="90"/>
  <c r="I12" i="90"/>
  <c r="G14" i="90"/>
  <c r="J44" i="122" l="1"/>
  <c r="I44" i="122"/>
  <c r="I43" i="122" s="1"/>
  <c r="E62" i="90"/>
  <c r="G60" i="122"/>
  <c r="G44" i="122"/>
  <c r="G43" i="122" s="1"/>
  <c r="H60" i="122"/>
  <c r="H44" i="122"/>
  <c r="H43" i="122" s="1"/>
  <c r="E60" i="122"/>
  <c r="E44" i="122"/>
  <c r="E43" i="122" s="1"/>
  <c r="F40" i="151" s="1"/>
  <c r="E13" i="98" s="1"/>
  <c r="F20" i="122"/>
  <c r="G37" i="151"/>
  <c r="R68" i="117"/>
  <c r="J30" i="122"/>
  <c r="E64" i="122"/>
  <c r="G64" i="122"/>
  <c r="H64" i="122"/>
  <c r="I64" i="122"/>
  <c r="J64" i="122"/>
  <c r="J34" i="122"/>
  <c r="D242" i="82" s="1"/>
  <c r="J60" i="122"/>
  <c r="I34" i="122"/>
  <c r="I218" i="82" s="1"/>
  <c r="I60" i="122"/>
  <c r="N84" i="117"/>
  <c r="N409" i="117"/>
  <c r="N410" i="117" s="1"/>
  <c r="O84" i="117"/>
  <c r="O409" i="117"/>
  <c r="O410" i="117" s="1"/>
  <c r="P84" i="117"/>
  <c r="P409" i="117"/>
  <c r="P410" i="117" s="1"/>
  <c r="F84" i="117"/>
  <c r="F409" i="117"/>
  <c r="F410" i="117" s="1"/>
  <c r="E410" i="117"/>
  <c r="G84" i="117"/>
  <c r="G409" i="117"/>
  <c r="G410" i="117" s="1"/>
  <c r="M84" i="117"/>
  <c r="M409" i="117"/>
  <c r="M410" i="117" s="1"/>
  <c r="H84" i="117"/>
  <c r="H409" i="117"/>
  <c r="H410" i="117" s="1"/>
  <c r="I84" i="117"/>
  <c r="I409" i="117"/>
  <c r="I410" i="117" s="1"/>
  <c r="L84" i="117"/>
  <c r="L409" i="117"/>
  <c r="L410" i="117" s="1"/>
  <c r="J84" i="117"/>
  <c r="J409" i="117"/>
  <c r="J410" i="117" s="1"/>
  <c r="K84" i="117"/>
  <c r="K409" i="117"/>
  <c r="K410" i="117" s="1"/>
  <c r="P58" i="117"/>
  <c r="P392" i="117"/>
  <c r="P393" i="117" s="1"/>
  <c r="N58" i="117"/>
  <c r="N392" i="117"/>
  <c r="N393" i="117" s="1"/>
  <c r="E393" i="117"/>
  <c r="F58" i="117"/>
  <c r="F392" i="117"/>
  <c r="F393" i="117" s="1"/>
  <c r="L58" i="117"/>
  <c r="L392" i="117"/>
  <c r="L393" i="117" s="1"/>
  <c r="G58" i="117"/>
  <c r="G392" i="117"/>
  <c r="G393" i="117" s="1"/>
  <c r="H58" i="117"/>
  <c r="H392" i="117"/>
  <c r="H393" i="117" s="1"/>
  <c r="O58" i="117"/>
  <c r="O392" i="117"/>
  <c r="O393" i="117" s="1"/>
  <c r="I58" i="117"/>
  <c r="I392" i="117"/>
  <c r="I393" i="117" s="1"/>
  <c r="J58" i="117"/>
  <c r="J392" i="117"/>
  <c r="J393" i="117" s="1"/>
  <c r="M58" i="117"/>
  <c r="M392" i="117"/>
  <c r="M393" i="117" s="1"/>
  <c r="K58" i="117"/>
  <c r="K392" i="117"/>
  <c r="K393" i="117" s="1"/>
  <c r="K33" i="117"/>
  <c r="K375" i="117"/>
  <c r="L33" i="117"/>
  <c r="L375" i="117"/>
  <c r="L376" i="117" s="1"/>
  <c r="N33" i="117"/>
  <c r="N375" i="117"/>
  <c r="N376" i="117" s="1"/>
  <c r="O33" i="117"/>
  <c r="O375" i="117"/>
  <c r="O376" i="117" s="1"/>
  <c r="P33" i="117"/>
  <c r="P375" i="117"/>
  <c r="P376" i="117" s="1"/>
  <c r="M33" i="117"/>
  <c r="M375" i="117"/>
  <c r="M376" i="117" s="1"/>
  <c r="J32" i="122"/>
  <c r="I30" i="122"/>
  <c r="H30" i="122"/>
  <c r="I17" i="122"/>
  <c r="I32" i="122" s="1"/>
  <c r="R44" i="82"/>
  <c r="M44" i="82"/>
  <c r="G67" i="151" s="1"/>
  <c r="F347" i="117" s="1"/>
  <c r="R29" i="82"/>
  <c r="M29" i="82"/>
  <c r="F67" i="151" s="1"/>
  <c r="E347" i="117" s="1"/>
  <c r="H17" i="122"/>
  <c r="H32" i="122" s="1"/>
  <c r="J43" i="122"/>
  <c r="E85" i="90" s="1"/>
  <c r="O17" i="122"/>
  <c r="E20" i="122"/>
  <c r="Q40" i="117"/>
  <c r="Q83" i="117"/>
  <c r="J47" i="82" s="1"/>
  <c r="R47" i="82" s="1"/>
  <c r="Q70" i="117"/>
  <c r="R70" i="117" s="1"/>
  <c r="E84" i="117"/>
  <c r="H34" i="122"/>
  <c r="Q32" i="117"/>
  <c r="J17" i="82" s="1"/>
  <c r="D28" i="122" s="1"/>
  <c r="Q57" i="117"/>
  <c r="J32" i="82" s="1"/>
  <c r="E58" i="117"/>
  <c r="G41" i="117"/>
  <c r="Q41" i="117" s="1"/>
  <c r="R41" i="117" s="1"/>
  <c r="Q19" i="117"/>
  <c r="Q44" i="117"/>
  <c r="E26" i="90"/>
  <c r="F34" i="113" s="1"/>
  <c r="D20" i="122"/>
  <c r="E14" i="90"/>
  <c r="F11" i="113" s="1"/>
  <c r="D42" i="122"/>
  <c r="Q15" i="117"/>
  <c r="Q16" i="117" s="1"/>
  <c r="R16" i="117" s="1"/>
  <c r="R13" i="82"/>
  <c r="Q17" i="82"/>
  <c r="H61" i="90"/>
  <c r="F26" i="90"/>
  <c r="H36" i="90"/>
  <c r="I36" i="90" s="1"/>
  <c r="H48" i="90"/>
  <c r="I48" i="90" s="1"/>
  <c r="H84" i="90"/>
  <c r="I84" i="90" s="1"/>
  <c r="F62" i="90"/>
  <c r="G85" i="90"/>
  <c r="H60" i="90"/>
  <c r="I60" i="90" s="1"/>
  <c r="I61" i="90"/>
  <c r="F85" i="90"/>
  <c r="H24" i="90"/>
  <c r="I24" i="90" s="1"/>
  <c r="G62" i="90"/>
  <c r="I49" i="90"/>
  <c r="H72" i="90"/>
  <c r="I72" i="90" s="1"/>
  <c r="H83" i="90"/>
  <c r="I83" i="90" s="1"/>
  <c r="G74" i="90"/>
  <c r="H74" i="90" s="1"/>
  <c r="H73" i="90"/>
  <c r="I73" i="90" s="1"/>
  <c r="G50" i="90"/>
  <c r="F50" i="90"/>
  <c r="E259" i="82" l="1"/>
  <c r="E261" i="82" s="1"/>
  <c r="E266" i="82" s="1"/>
  <c r="J40" i="151"/>
  <c r="I13" i="98" s="1"/>
  <c r="E74" i="90"/>
  <c r="AA11" i="113"/>
  <c r="AC11" i="113"/>
  <c r="G61" i="122"/>
  <c r="AA34" i="113"/>
  <c r="AC34" i="113"/>
  <c r="I40" i="151"/>
  <c r="H13" i="98" s="1"/>
  <c r="I74" i="90"/>
  <c r="K40" i="151"/>
  <c r="H40" i="151"/>
  <c r="G13" i="98" s="1"/>
  <c r="E50" i="90"/>
  <c r="J86" i="82"/>
  <c r="H218" i="82"/>
  <c r="D246" i="82"/>
  <c r="D245" i="82"/>
  <c r="G245" i="82" s="1"/>
  <c r="D243" i="82"/>
  <c r="D244" i="82"/>
  <c r="G244" i="82" s="1"/>
  <c r="D247" i="82"/>
  <c r="G247" i="82" s="1"/>
  <c r="I228" i="82"/>
  <c r="I234" i="82"/>
  <c r="I221" i="82"/>
  <c r="F42" i="122"/>
  <c r="J35" i="122"/>
  <c r="J119" i="82"/>
  <c r="I35" i="122"/>
  <c r="J102" i="82"/>
  <c r="D60" i="122"/>
  <c r="D44" i="122"/>
  <c r="H62" i="122"/>
  <c r="H74" i="122" s="1"/>
  <c r="S132" i="151" s="1"/>
  <c r="I77" i="122"/>
  <c r="I145" i="151" s="1"/>
  <c r="I78" i="122"/>
  <c r="T145" i="151" s="1"/>
  <c r="G62" i="122"/>
  <c r="G70" i="122" s="1"/>
  <c r="H68" i="122"/>
  <c r="H77" i="122"/>
  <c r="H145" i="151" s="1"/>
  <c r="H78" i="122"/>
  <c r="S145" i="151" s="1"/>
  <c r="E68" i="122"/>
  <c r="E77" i="122"/>
  <c r="E145" i="151" s="1"/>
  <c r="E78" i="122"/>
  <c r="P145" i="151" s="1"/>
  <c r="H61" i="122"/>
  <c r="H73" i="122" s="1"/>
  <c r="H132" i="151" s="1"/>
  <c r="E62" i="122"/>
  <c r="E74" i="122" s="1"/>
  <c r="P132" i="151" s="1"/>
  <c r="AI80" i="58" s="1"/>
  <c r="G68" i="122"/>
  <c r="G77" i="122"/>
  <c r="G145" i="151" s="1"/>
  <c r="G78" i="122"/>
  <c r="R145" i="151" s="1"/>
  <c r="E61" i="122"/>
  <c r="E73" i="122" s="1"/>
  <c r="E132" i="151" s="1"/>
  <c r="U80" i="58" s="1"/>
  <c r="J77" i="122"/>
  <c r="J145" i="151" s="1"/>
  <c r="J78" i="122"/>
  <c r="U145" i="151" s="1"/>
  <c r="I62" i="122"/>
  <c r="I61" i="122"/>
  <c r="J62" i="122"/>
  <c r="J61" i="122"/>
  <c r="G73" i="122"/>
  <c r="G132" i="151" s="1"/>
  <c r="W80" i="58" s="1"/>
  <c r="G69" i="122"/>
  <c r="I6" i="122"/>
  <c r="J6" i="122"/>
  <c r="I68" i="122"/>
  <c r="J68" i="122"/>
  <c r="Q409" i="117"/>
  <c r="Q410" i="117" s="1"/>
  <c r="Q33" i="117"/>
  <c r="Q392" i="117"/>
  <c r="Q393" i="117" s="1"/>
  <c r="Q375" i="117"/>
  <c r="K376" i="117"/>
  <c r="Q376" i="117" s="1"/>
  <c r="M45" i="82"/>
  <c r="R45" i="82"/>
  <c r="M32" i="82"/>
  <c r="R32" i="82"/>
  <c r="J36" i="82"/>
  <c r="R36" i="82" s="1"/>
  <c r="J51" i="82"/>
  <c r="Q84" i="117"/>
  <c r="F28" i="122"/>
  <c r="F29" i="122" s="1"/>
  <c r="Q69" i="117"/>
  <c r="F36" i="122"/>
  <c r="R17" i="82"/>
  <c r="M17" i="82"/>
  <c r="J21" i="82"/>
  <c r="D29" i="122"/>
  <c r="D32" i="122" s="1"/>
  <c r="H6" i="122"/>
  <c r="H35" i="122"/>
  <c r="Q43" i="117"/>
  <c r="E36" i="122"/>
  <c r="E34" i="122" s="1"/>
  <c r="Q58" i="117"/>
  <c r="E28" i="122"/>
  <c r="E29" i="122" s="1"/>
  <c r="Q18" i="117"/>
  <c r="D36" i="122"/>
  <c r="Q21" i="82"/>
  <c r="H62" i="90"/>
  <c r="I62" i="90" s="1"/>
  <c r="H85" i="90"/>
  <c r="I85" i="90" s="1"/>
  <c r="K85" i="90" s="1"/>
  <c r="L85" i="90" s="1"/>
  <c r="H50" i="90"/>
  <c r="I50" i="90" s="1"/>
  <c r="K74" i="90"/>
  <c r="L74" i="90" s="1"/>
  <c r="J74" i="90"/>
  <c r="D259" i="82" l="1"/>
  <c r="D261" i="82" s="1"/>
  <c r="D266" i="82" s="1"/>
  <c r="L40" i="151"/>
  <c r="J13" i="98"/>
  <c r="F60" i="122"/>
  <c r="D248" i="82"/>
  <c r="G243" i="82"/>
  <c r="F44" i="122"/>
  <c r="F34" i="122"/>
  <c r="H221" i="82"/>
  <c r="H234" i="82"/>
  <c r="H228" i="82"/>
  <c r="E35" i="122"/>
  <c r="E218" i="82"/>
  <c r="H70" i="122"/>
  <c r="E69" i="122"/>
  <c r="R51" i="82"/>
  <c r="G74" i="122"/>
  <c r="R132" i="151" s="1"/>
  <c r="AI17" i="58"/>
  <c r="AI55" i="58"/>
  <c r="P146" i="151"/>
  <c r="P147" i="151" s="1"/>
  <c r="AI16" i="58"/>
  <c r="AI54" i="58"/>
  <c r="AI20" i="58"/>
  <c r="AI105" i="58" s="1"/>
  <c r="AI15" i="58"/>
  <c r="AI53" i="58"/>
  <c r="AL55" i="58"/>
  <c r="S146" i="151"/>
  <c r="S147" i="151" s="1"/>
  <c r="AL17" i="58"/>
  <c r="AL54" i="58"/>
  <c r="AL16" i="58"/>
  <c r="AL20" i="58"/>
  <c r="AL105" i="58" s="1"/>
  <c r="AL15" i="58"/>
  <c r="AL53" i="58"/>
  <c r="AN55" i="58"/>
  <c r="AN17" i="58"/>
  <c r="U146" i="151"/>
  <c r="U147" i="151" s="1"/>
  <c r="X55" i="58"/>
  <c r="X98" i="58" s="1"/>
  <c r="H146" i="151"/>
  <c r="H147" i="151" s="1"/>
  <c r="X54" i="58"/>
  <c r="X16" i="58"/>
  <c r="X15" i="58"/>
  <c r="X20" i="58"/>
  <c r="X105" i="58" s="1"/>
  <c r="X53" i="58"/>
  <c r="E70" i="122"/>
  <c r="H69" i="122"/>
  <c r="Z55" i="58"/>
  <c r="Z98" i="58" s="1"/>
  <c r="J146" i="151"/>
  <c r="J147" i="151" s="1"/>
  <c r="R146" i="151"/>
  <c r="R147" i="151" s="1"/>
  <c r="AK17" i="58"/>
  <c r="AK55" i="58"/>
  <c r="AK54" i="58"/>
  <c r="AK16" i="58"/>
  <c r="AK15" i="58"/>
  <c r="AK20" i="58"/>
  <c r="AK105" i="58" s="1"/>
  <c r="AM55" i="58"/>
  <c r="AM17" i="58"/>
  <c r="T146" i="151"/>
  <c r="T147" i="151" s="1"/>
  <c r="AM54" i="58"/>
  <c r="AM16" i="58"/>
  <c r="AM15" i="58"/>
  <c r="AM20" i="58"/>
  <c r="AM105" i="58" s="1"/>
  <c r="AM53" i="58"/>
  <c r="E146" i="151"/>
  <c r="E147" i="151" s="1"/>
  <c r="U55" i="58"/>
  <c r="U98" i="58" s="1"/>
  <c r="U16" i="58"/>
  <c r="U54" i="58"/>
  <c r="U20" i="58"/>
  <c r="U105" i="58" s="1"/>
  <c r="U15" i="58"/>
  <c r="U53" i="58"/>
  <c r="W55" i="58"/>
  <c r="W98" i="58" s="1"/>
  <c r="G146" i="151"/>
  <c r="G147" i="151" s="1"/>
  <c r="W54" i="58"/>
  <c r="W16" i="58"/>
  <c r="W15" i="58"/>
  <c r="W20" i="58"/>
  <c r="W105" i="58" s="1"/>
  <c r="Y55" i="58"/>
  <c r="Y98" i="58" s="1"/>
  <c r="I146" i="151"/>
  <c r="I147" i="151" s="1"/>
  <c r="Y54" i="58"/>
  <c r="Y16" i="58"/>
  <c r="Y20" i="58"/>
  <c r="Y105" i="58" s="1"/>
  <c r="Y15" i="58"/>
  <c r="Y53" i="58"/>
  <c r="J69" i="122"/>
  <c r="J73" i="122"/>
  <c r="J132" i="151" s="1"/>
  <c r="Z80" i="58" s="1"/>
  <c r="S149" i="151"/>
  <c r="AL59" i="58"/>
  <c r="AL102" i="58" s="1"/>
  <c r="AL58" i="58"/>
  <c r="AL101" i="58" s="1"/>
  <c r="AL57" i="58"/>
  <c r="AL100" i="58" s="1"/>
  <c r="AL49" i="58"/>
  <c r="J74" i="122"/>
  <c r="U132" i="151" s="1"/>
  <c r="AN80" i="58" s="1"/>
  <c r="J70" i="122"/>
  <c r="H149" i="151"/>
  <c r="X59" i="58"/>
  <c r="X102" i="58" s="1"/>
  <c r="X57" i="58"/>
  <c r="X100" i="58" s="1"/>
  <c r="X58" i="58"/>
  <c r="X101" i="58" s="1"/>
  <c r="X49" i="58"/>
  <c r="G149" i="151"/>
  <c r="W59" i="58"/>
  <c r="W102" i="58" s="1"/>
  <c r="W58" i="58"/>
  <c r="W101" i="58" s="1"/>
  <c r="W57" i="58"/>
  <c r="W100" i="58" s="1"/>
  <c r="P149" i="151"/>
  <c r="AI58" i="58"/>
  <c r="AI57" i="58"/>
  <c r="AI49" i="58"/>
  <c r="AI59" i="58"/>
  <c r="E149" i="151"/>
  <c r="U57" i="58"/>
  <c r="U58" i="58"/>
  <c r="U59" i="58"/>
  <c r="U49" i="58"/>
  <c r="I69" i="122"/>
  <c r="I73" i="122"/>
  <c r="I132" i="151" s="1"/>
  <c r="I74" i="122"/>
  <c r="T132" i="151" s="1"/>
  <c r="I70" i="122"/>
  <c r="F74" i="157"/>
  <c r="E49" i="58"/>
  <c r="T49" i="58" s="1"/>
  <c r="T92" i="58" s="1"/>
  <c r="R376" i="117"/>
  <c r="M40" i="151"/>
  <c r="F32" i="122"/>
  <c r="F6" i="122" s="1"/>
  <c r="F30" i="122"/>
  <c r="D30" i="122"/>
  <c r="R21" i="82"/>
  <c r="E32" i="122"/>
  <c r="E6" i="122" s="1"/>
  <c r="E30" i="122"/>
  <c r="D34" i="122"/>
  <c r="J85" i="90"/>
  <c r="K62" i="90"/>
  <c r="L62" i="90" s="1"/>
  <c r="J62" i="90"/>
  <c r="K50" i="90"/>
  <c r="L50" i="90" s="1"/>
  <c r="J50" i="90"/>
  <c r="AK59" i="58" l="1"/>
  <c r="AK102" i="58" s="1"/>
  <c r="AK80" i="58"/>
  <c r="E13" i="132"/>
  <c r="E12" i="132" s="1"/>
  <c r="L13" i="98"/>
  <c r="K13" i="98"/>
  <c r="D13" i="132"/>
  <c r="D12" i="132" s="1"/>
  <c r="AM97" i="58"/>
  <c r="X97" i="58"/>
  <c r="AL96" i="58"/>
  <c r="AL98" i="58"/>
  <c r="F35" i="122"/>
  <c r="F218" i="82"/>
  <c r="Y97" i="58"/>
  <c r="E221" i="82"/>
  <c r="E228" i="82"/>
  <c r="E234" i="82"/>
  <c r="J52" i="82"/>
  <c r="D6" i="122"/>
  <c r="D218" i="82"/>
  <c r="AI96" i="58"/>
  <c r="AK97" i="58"/>
  <c r="AM96" i="58"/>
  <c r="AK57" i="58"/>
  <c r="AK100" i="58" s="1"/>
  <c r="AK58" i="58"/>
  <c r="AK101" i="58" s="1"/>
  <c r="R149" i="151"/>
  <c r="R150" i="151" s="1"/>
  <c r="R151" i="151" s="1"/>
  <c r="W97" i="58"/>
  <c r="AN98" i="58"/>
  <c r="AI97" i="58"/>
  <c r="AK98" i="58"/>
  <c r="X96" i="58"/>
  <c r="U97" i="58"/>
  <c r="Y96" i="58"/>
  <c r="U96" i="58"/>
  <c r="AM98" i="58"/>
  <c r="AL97" i="58"/>
  <c r="AI98" i="58"/>
  <c r="P150" i="151"/>
  <c r="P151" i="151" s="1"/>
  <c r="P157" i="151"/>
  <c r="H150" i="151"/>
  <c r="H151" i="151" s="1"/>
  <c r="H157" i="151"/>
  <c r="G150" i="151"/>
  <c r="G151" i="151" s="1"/>
  <c r="G157" i="151"/>
  <c r="S150" i="151"/>
  <c r="S151" i="151" s="1"/>
  <c r="S157" i="151"/>
  <c r="E150" i="151"/>
  <c r="E151" i="151" s="1"/>
  <c r="E157" i="151"/>
  <c r="U92" i="58"/>
  <c r="U101" i="58"/>
  <c r="U102" i="58"/>
  <c r="AL92" i="58"/>
  <c r="I149" i="151"/>
  <c r="Y59" i="58"/>
  <c r="Y102" i="58" s="1"/>
  <c r="Y57" i="58"/>
  <c r="Y100" i="58" s="1"/>
  <c r="Y58" i="58"/>
  <c r="Y101" i="58" s="1"/>
  <c r="Y49" i="58"/>
  <c r="AI100" i="58"/>
  <c r="AI102" i="58"/>
  <c r="AI101" i="58"/>
  <c r="X92" i="58"/>
  <c r="Z59" i="58"/>
  <c r="Z102" i="58" s="1"/>
  <c r="J149" i="151"/>
  <c r="Z49" i="58"/>
  <c r="AN59" i="58"/>
  <c r="AN102" i="58" s="1"/>
  <c r="U149" i="151"/>
  <c r="AN49" i="58"/>
  <c r="U100" i="58"/>
  <c r="T149" i="151"/>
  <c r="AM59" i="58"/>
  <c r="AM102" i="58" s="1"/>
  <c r="AM57" i="58"/>
  <c r="AM100" i="58" s="1"/>
  <c r="AM58" i="58"/>
  <c r="AM101" i="58" s="1"/>
  <c r="AM49" i="58"/>
  <c r="AI92" i="58"/>
  <c r="N40" i="151"/>
  <c r="E43" i="61"/>
  <c r="E44" i="61" s="1"/>
  <c r="E48" i="61" s="1"/>
  <c r="E53" i="58" s="1"/>
  <c r="E92" i="58"/>
  <c r="G74" i="157"/>
  <c r="G87" i="157" s="1"/>
  <c r="G88" i="157" s="1"/>
  <c r="F87" i="157"/>
  <c r="F15" i="157" s="1"/>
  <c r="D35" i="122"/>
  <c r="E62" i="58" l="1"/>
  <c r="E41" i="78"/>
  <c r="J41" i="78" s="1"/>
  <c r="O40" i="151"/>
  <c r="N13" i="98" s="1"/>
  <c r="M13" i="98"/>
  <c r="D221" i="82"/>
  <c r="D224" i="82" s="1"/>
  <c r="D234" i="82"/>
  <c r="D236" i="82" s="1"/>
  <c r="E236" i="82" s="1"/>
  <c r="D228" i="82"/>
  <c r="D230" i="82" s="1"/>
  <c r="E230" i="82" s="1"/>
  <c r="E224" i="82"/>
  <c r="F221" i="82"/>
  <c r="F234" i="82"/>
  <c r="F228" i="82"/>
  <c r="R157" i="151"/>
  <c r="AK66" i="58" s="1"/>
  <c r="U150" i="151"/>
  <c r="U151" i="151" s="1"/>
  <c r="U157" i="151"/>
  <c r="X24" i="58"/>
  <c r="X66" i="58"/>
  <c r="U24" i="58"/>
  <c r="U66" i="58"/>
  <c r="I150" i="151"/>
  <c r="I151" i="151" s="1"/>
  <c r="I157" i="151"/>
  <c r="J150" i="151"/>
  <c r="J151" i="151" s="1"/>
  <c r="J157" i="151"/>
  <c r="AL66" i="58"/>
  <c r="AL24" i="58"/>
  <c r="W24" i="58"/>
  <c r="W66" i="58"/>
  <c r="AI66" i="58"/>
  <c r="AI24" i="58"/>
  <c r="T150" i="151"/>
  <c r="T151" i="151" s="1"/>
  <c r="T157" i="151"/>
  <c r="T62" i="58"/>
  <c r="E105" i="58"/>
  <c r="AN92" i="58"/>
  <c r="Y92" i="58"/>
  <c r="AM92" i="58"/>
  <c r="Z92" i="58"/>
  <c r="E96" i="58"/>
  <c r="T53" i="58"/>
  <c r="F13" i="132"/>
  <c r="F12" i="132" s="1"/>
  <c r="G15" i="157"/>
  <c r="G21" i="157" s="1"/>
  <c r="G23" i="157" s="1"/>
  <c r="F21" i="157"/>
  <c r="F23" i="157" s="1"/>
  <c r="P40" i="151"/>
  <c r="G13" i="132"/>
  <c r="G12" i="132" s="1"/>
  <c r="I18" i="121"/>
  <c r="H18" i="121"/>
  <c r="G18" i="121"/>
  <c r="F18" i="121"/>
  <c r="D18" i="121"/>
  <c r="I17" i="121"/>
  <c r="H17" i="121"/>
  <c r="G17" i="121"/>
  <c r="F17" i="121"/>
  <c r="D17" i="121"/>
  <c r="I15" i="121"/>
  <c r="I16" i="121" s="1"/>
  <c r="H15" i="121"/>
  <c r="H16" i="121" s="1"/>
  <c r="G15" i="121"/>
  <c r="G16" i="121" s="1"/>
  <c r="F15" i="121"/>
  <c r="F16" i="121" s="1"/>
  <c r="D15" i="121"/>
  <c r="D16" i="121" s="1"/>
  <c r="C16" i="121"/>
  <c r="C15" i="121"/>
  <c r="B2" i="121"/>
  <c r="E421" i="156"/>
  <c r="D421" i="156"/>
  <c r="C421" i="156"/>
  <c r="F417" i="156"/>
  <c r="E417" i="156"/>
  <c r="D417" i="156"/>
  <c r="C417" i="156"/>
  <c r="D414" i="156"/>
  <c r="C414" i="156"/>
  <c r="C412" i="156"/>
  <c r="C411" i="156"/>
  <c r="I408" i="156"/>
  <c r="H408" i="156"/>
  <c r="G408" i="156"/>
  <c r="F408" i="156"/>
  <c r="E408" i="156"/>
  <c r="D408" i="156"/>
  <c r="C408" i="156"/>
  <c r="I407" i="156"/>
  <c r="H407" i="156"/>
  <c r="G407" i="156"/>
  <c r="F407" i="156"/>
  <c r="E407" i="156"/>
  <c r="D407" i="156"/>
  <c r="C407" i="156"/>
  <c r="H405" i="156"/>
  <c r="C402" i="156"/>
  <c r="C406" i="156" s="1"/>
  <c r="N392" i="156"/>
  <c r="M392" i="156"/>
  <c r="L392" i="156"/>
  <c r="K392" i="156"/>
  <c r="J392" i="156"/>
  <c r="I392" i="156"/>
  <c r="H392" i="156"/>
  <c r="G392" i="156"/>
  <c r="F392" i="156"/>
  <c r="E392" i="156"/>
  <c r="D392" i="156"/>
  <c r="C392" i="156"/>
  <c r="N386" i="156"/>
  <c r="M386" i="156"/>
  <c r="L386" i="156"/>
  <c r="K386" i="156"/>
  <c r="J386" i="156"/>
  <c r="I386" i="156"/>
  <c r="H386" i="156"/>
  <c r="G386" i="156"/>
  <c r="F386" i="156"/>
  <c r="E386" i="156"/>
  <c r="D386" i="156"/>
  <c r="C386" i="156"/>
  <c r="N385" i="156"/>
  <c r="M385" i="156"/>
  <c r="L385" i="156"/>
  <c r="K385" i="156"/>
  <c r="J385" i="156"/>
  <c r="I385" i="156"/>
  <c r="H385" i="156"/>
  <c r="G385" i="156"/>
  <c r="F385" i="156"/>
  <c r="E385" i="156"/>
  <c r="D385" i="156"/>
  <c r="C385" i="156"/>
  <c r="O380" i="156"/>
  <c r="N377" i="156"/>
  <c r="M377" i="156"/>
  <c r="L377" i="156"/>
  <c r="K377" i="156"/>
  <c r="J377" i="156"/>
  <c r="I377" i="156"/>
  <c r="H377" i="156"/>
  <c r="G377" i="156"/>
  <c r="F377" i="156"/>
  <c r="E377" i="156"/>
  <c r="D377" i="156"/>
  <c r="C377" i="156"/>
  <c r="O377" i="156" s="1"/>
  <c r="N15" i="156" s="1"/>
  <c r="N376" i="156"/>
  <c r="M376" i="156"/>
  <c r="L376" i="156"/>
  <c r="K376" i="156"/>
  <c r="J376" i="156"/>
  <c r="I376" i="156"/>
  <c r="H376" i="156"/>
  <c r="G376" i="156"/>
  <c r="F376" i="156"/>
  <c r="E376" i="156"/>
  <c r="D376" i="156"/>
  <c r="C376" i="156"/>
  <c r="O376" i="156" s="1"/>
  <c r="N14" i="156" s="1"/>
  <c r="N374" i="156"/>
  <c r="M374" i="156"/>
  <c r="L374" i="156"/>
  <c r="K374" i="156"/>
  <c r="J374" i="156"/>
  <c r="I374" i="156"/>
  <c r="H374" i="156"/>
  <c r="G374" i="156"/>
  <c r="F374" i="156"/>
  <c r="E374" i="156"/>
  <c r="D374" i="156"/>
  <c r="C374" i="156"/>
  <c r="N364" i="156"/>
  <c r="M364" i="156"/>
  <c r="L364" i="156"/>
  <c r="K364" i="156"/>
  <c r="J364" i="156"/>
  <c r="I364" i="156"/>
  <c r="H364" i="156"/>
  <c r="G364" i="156"/>
  <c r="F364" i="156"/>
  <c r="E364" i="156"/>
  <c r="D364" i="156"/>
  <c r="C364" i="156"/>
  <c r="N358" i="156"/>
  <c r="M358" i="156"/>
  <c r="L358" i="156"/>
  <c r="K358" i="156"/>
  <c r="J358" i="156"/>
  <c r="I358" i="156"/>
  <c r="H358" i="156"/>
  <c r="G358" i="156"/>
  <c r="F358" i="156"/>
  <c r="E358" i="156"/>
  <c r="D358" i="156"/>
  <c r="C358" i="156"/>
  <c r="N357" i="156"/>
  <c r="M357" i="156"/>
  <c r="L357" i="156"/>
  <c r="K357" i="156"/>
  <c r="J357" i="156"/>
  <c r="I357" i="156"/>
  <c r="H357" i="156"/>
  <c r="G357" i="156"/>
  <c r="F357" i="156"/>
  <c r="E357" i="156"/>
  <c r="D357" i="156"/>
  <c r="C357" i="156"/>
  <c r="O352" i="156"/>
  <c r="N349" i="156"/>
  <c r="M349" i="156"/>
  <c r="L349" i="156"/>
  <c r="K349" i="156"/>
  <c r="J349" i="156"/>
  <c r="I349" i="156"/>
  <c r="H349" i="156"/>
  <c r="G349" i="156"/>
  <c r="F349" i="156"/>
  <c r="E349" i="156"/>
  <c r="D349" i="156"/>
  <c r="C349" i="156"/>
  <c r="O349" i="156" s="1"/>
  <c r="M15" i="156" s="1"/>
  <c r="N348" i="156"/>
  <c r="M348" i="156"/>
  <c r="L348" i="156"/>
  <c r="K348" i="156"/>
  <c r="J348" i="156"/>
  <c r="I348" i="156"/>
  <c r="H348" i="156"/>
  <c r="G348" i="156"/>
  <c r="F348" i="156"/>
  <c r="E348" i="156"/>
  <c r="D348" i="156"/>
  <c r="C348" i="156"/>
  <c r="N346" i="156"/>
  <c r="M346" i="156"/>
  <c r="L346" i="156"/>
  <c r="K346" i="156"/>
  <c r="J346" i="156"/>
  <c r="I346" i="156"/>
  <c r="H346" i="156"/>
  <c r="G346" i="156"/>
  <c r="F346" i="156"/>
  <c r="E346" i="156"/>
  <c r="D346" i="156"/>
  <c r="C346" i="156"/>
  <c r="N336" i="156"/>
  <c r="M336" i="156"/>
  <c r="L336" i="156"/>
  <c r="K336" i="156"/>
  <c r="J336" i="156"/>
  <c r="I336" i="156"/>
  <c r="H336" i="156"/>
  <c r="G336" i="156"/>
  <c r="F336" i="156"/>
  <c r="E336" i="156"/>
  <c r="D336" i="156"/>
  <c r="C336" i="156"/>
  <c r="N330" i="156"/>
  <c r="M330" i="156"/>
  <c r="L330" i="156"/>
  <c r="K330" i="156"/>
  <c r="J330" i="156"/>
  <c r="I330" i="156"/>
  <c r="H330" i="156"/>
  <c r="G330" i="156"/>
  <c r="F330" i="156"/>
  <c r="E330" i="156"/>
  <c r="D330" i="156"/>
  <c r="C330" i="156"/>
  <c r="N329" i="156"/>
  <c r="M329" i="156"/>
  <c r="L329" i="156"/>
  <c r="K329" i="156"/>
  <c r="J329" i="156"/>
  <c r="I329" i="156"/>
  <c r="H329" i="156"/>
  <c r="G329" i="156"/>
  <c r="F329" i="156"/>
  <c r="E329" i="156"/>
  <c r="D329" i="156"/>
  <c r="C329" i="156"/>
  <c r="O329" i="156" s="1"/>
  <c r="L23" i="156" s="1"/>
  <c r="O324" i="156"/>
  <c r="N321" i="156"/>
  <c r="M321" i="156"/>
  <c r="L321" i="156"/>
  <c r="K321" i="156"/>
  <c r="J321" i="156"/>
  <c r="I321" i="156"/>
  <c r="H321" i="156"/>
  <c r="G321" i="156"/>
  <c r="F321" i="156"/>
  <c r="E321" i="156"/>
  <c r="D321" i="156"/>
  <c r="C321" i="156"/>
  <c r="O321" i="156" s="1"/>
  <c r="L15" i="156" s="1"/>
  <c r="N320" i="156"/>
  <c r="M320" i="156"/>
  <c r="L320" i="156"/>
  <c r="K320" i="156"/>
  <c r="J320" i="156"/>
  <c r="I320" i="156"/>
  <c r="H320" i="156"/>
  <c r="G320" i="156"/>
  <c r="F320" i="156"/>
  <c r="E320" i="156"/>
  <c r="D320" i="156"/>
  <c r="C320" i="156"/>
  <c r="N318" i="156"/>
  <c r="M318" i="156"/>
  <c r="L318" i="156"/>
  <c r="K318" i="156"/>
  <c r="J318" i="156"/>
  <c r="I318" i="156"/>
  <c r="H318" i="156"/>
  <c r="G318" i="156"/>
  <c r="F318" i="156"/>
  <c r="E318" i="156"/>
  <c r="D318" i="156"/>
  <c r="C318" i="156"/>
  <c r="N308" i="156"/>
  <c r="M308" i="156"/>
  <c r="L308" i="156"/>
  <c r="K308" i="156"/>
  <c r="J308" i="156"/>
  <c r="I308" i="156"/>
  <c r="H308" i="156"/>
  <c r="G308" i="156"/>
  <c r="F308" i="156"/>
  <c r="E308" i="156"/>
  <c r="D308" i="156"/>
  <c r="C308" i="156"/>
  <c r="N302" i="156"/>
  <c r="M302" i="156"/>
  <c r="L302" i="156"/>
  <c r="K302" i="156"/>
  <c r="J302" i="156"/>
  <c r="I302" i="156"/>
  <c r="H302" i="156"/>
  <c r="G302" i="156"/>
  <c r="F302" i="156"/>
  <c r="E302" i="156"/>
  <c r="D302" i="156"/>
  <c r="C302" i="156"/>
  <c r="O302" i="156" s="1"/>
  <c r="K24" i="156" s="1"/>
  <c r="N301" i="156"/>
  <c r="M301" i="156"/>
  <c r="L301" i="156"/>
  <c r="K301" i="156"/>
  <c r="J301" i="156"/>
  <c r="I301" i="156"/>
  <c r="H301" i="156"/>
  <c r="G301" i="156"/>
  <c r="F301" i="156"/>
  <c r="E301" i="156"/>
  <c r="D301" i="156"/>
  <c r="C301" i="156"/>
  <c r="O301" i="156" s="1"/>
  <c r="K23" i="156" s="1"/>
  <c r="O296" i="156"/>
  <c r="N293" i="156"/>
  <c r="M293" i="156"/>
  <c r="L293" i="156"/>
  <c r="K293" i="156"/>
  <c r="J293" i="156"/>
  <c r="I293" i="156"/>
  <c r="H293" i="156"/>
  <c r="G293" i="156"/>
  <c r="F293" i="156"/>
  <c r="E293" i="156"/>
  <c r="D293" i="156"/>
  <c r="C293" i="156"/>
  <c r="N292" i="156"/>
  <c r="M292" i="156"/>
  <c r="L292" i="156"/>
  <c r="K292" i="156"/>
  <c r="J292" i="156"/>
  <c r="I292" i="156"/>
  <c r="H292" i="156"/>
  <c r="G292" i="156"/>
  <c r="F292" i="156"/>
  <c r="E292" i="156"/>
  <c r="D292" i="156"/>
  <c r="C292" i="156"/>
  <c r="N290" i="156"/>
  <c r="M290" i="156"/>
  <c r="L290" i="156"/>
  <c r="K290" i="156"/>
  <c r="J290" i="156"/>
  <c r="I290" i="156"/>
  <c r="H290" i="156"/>
  <c r="G290" i="156"/>
  <c r="F290" i="156"/>
  <c r="E290" i="156"/>
  <c r="D290" i="156"/>
  <c r="C290" i="156"/>
  <c r="N280" i="156"/>
  <c r="M280" i="156"/>
  <c r="L280" i="156"/>
  <c r="K280" i="156"/>
  <c r="J280" i="156"/>
  <c r="I280" i="156"/>
  <c r="H280" i="156"/>
  <c r="G280" i="156"/>
  <c r="F280" i="156"/>
  <c r="E280" i="156"/>
  <c r="D280" i="156"/>
  <c r="C280" i="156"/>
  <c r="N274" i="156"/>
  <c r="M274" i="156"/>
  <c r="L274" i="156"/>
  <c r="K274" i="156"/>
  <c r="J274" i="156"/>
  <c r="I274" i="156"/>
  <c r="H274" i="156"/>
  <c r="G274" i="156"/>
  <c r="F274" i="156"/>
  <c r="E274" i="156"/>
  <c r="D274" i="156"/>
  <c r="C274" i="156"/>
  <c r="N273" i="156"/>
  <c r="M273" i="156"/>
  <c r="L273" i="156"/>
  <c r="K273" i="156"/>
  <c r="J273" i="156"/>
  <c r="I273" i="156"/>
  <c r="H273" i="156"/>
  <c r="G273" i="156"/>
  <c r="F273" i="156"/>
  <c r="E273" i="156"/>
  <c r="D273" i="156"/>
  <c r="C273" i="156"/>
  <c r="O268" i="156"/>
  <c r="N265" i="156"/>
  <c r="M265" i="156"/>
  <c r="L265" i="156"/>
  <c r="K265" i="156"/>
  <c r="J265" i="156"/>
  <c r="I265" i="156"/>
  <c r="H265" i="156"/>
  <c r="G265" i="156"/>
  <c r="F265" i="156"/>
  <c r="E265" i="156"/>
  <c r="D265" i="156"/>
  <c r="C265" i="156"/>
  <c r="N264" i="156"/>
  <c r="M264" i="156"/>
  <c r="L264" i="156"/>
  <c r="K264" i="156"/>
  <c r="J264" i="156"/>
  <c r="I264" i="156"/>
  <c r="H264" i="156"/>
  <c r="G264" i="156"/>
  <c r="F264" i="156"/>
  <c r="E264" i="156"/>
  <c r="D264" i="156"/>
  <c r="C264" i="156"/>
  <c r="N262" i="156"/>
  <c r="M262" i="156"/>
  <c r="L262" i="156"/>
  <c r="K262" i="156"/>
  <c r="J262" i="156"/>
  <c r="I262" i="156"/>
  <c r="H262" i="156"/>
  <c r="G262" i="156"/>
  <c r="F262" i="156"/>
  <c r="E262" i="156"/>
  <c r="D262" i="156"/>
  <c r="C262" i="156"/>
  <c r="M250" i="156"/>
  <c r="L250" i="156"/>
  <c r="L252" i="156" s="1"/>
  <c r="N249" i="156"/>
  <c r="M249" i="156"/>
  <c r="L249" i="156"/>
  <c r="K249" i="156"/>
  <c r="J249" i="156"/>
  <c r="I249" i="156"/>
  <c r="H249" i="156"/>
  <c r="G249" i="156"/>
  <c r="F249" i="156"/>
  <c r="E249" i="156"/>
  <c r="D249" i="156"/>
  <c r="C249" i="156"/>
  <c r="O249" i="156" s="1"/>
  <c r="I31" i="156" s="1"/>
  <c r="I421" i="156" s="1"/>
  <c r="N248" i="156"/>
  <c r="M248" i="156"/>
  <c r="L248" i="156"/>
  <c r="K248" i="156"/>
  <c r="J248" i="156"/>
  <c r="I248" i="156"/>
  <c r="H248" i="156"/>
  <c r="G248" i="156"/>
  <c r="F248" i="156"/>
  <c r="E248" i="156"/>
  <c r="D248" i="156"/>
  <c r="C248" i="156"/>
  <c r="O248" i="156" s="1"/>
  <c r="I30" i="156" s="1"/>
  <c r="I420" i="156" s="1"/>
  <c r="N247" i="156"/>
  <c r="M247" i="156"/>
  <c r="L247" i="156"/>
  <c r="K247" i="156"/>
  <c r="J247" i="156"/>
  <c r="I247" i="156"/>
  <c r="H247" i="156"/>
  <c r="G247" i="156"/>
  <c r="F247" i="156"/>
  <c r="E247" i="156"/>
  <c r="D247" i="156"/>
  <c r="C247" i="156"/>
  <c r="O247" i="156" s="1"/>
  <c r="I29" i="156" s="1"/>
  <c r="I419" i="156" s="1"/>
  <c r="N246" i="156"/>
  <c r="M246" i="156"/>
  <c r="L246" i="156"/>
  <c r="K246" i="156"/>
  <c r="J246" i="156"/>
  <c r="I246" i="156"/>
  <c r="H246" i="156"/>
  <c r="G246" i="156"/>
  <c r="F246" i="156"/>
  <c r="E246" i="156"/>
  <c r="D246" i="156"/>
  <c r="C246" i="156"/>
  <c r="O246" i="156" s="1"/>
  <c r="I28" i="156" s="1"/>
  <c r="I418" i="156" s="1"/>
  <c r="N245" i="156"/>
  <c r="M245" i="156"/>
  <c r="L245" i="156"/>
  <c r="K245" i="156"/>
  <c r="J245" i="156"/>
  <c r="I245" i="156"/>
  <c r="H245" i="156"/>
  <c r="G245" i="156"/>
  <c r="F245" i="156"/>
  <c r="E245" i="156"/>
  <c r="D245" i="156"/>
  <c r="C245" i="156"/>
  <c r="N244" i="156"/>
  <c r="M244" i="156"/>
  <c r="L244" i="156"/>
  <c r="K244" i="156"/>
  <c r="J244" i="156"/>
  <c r="I244" i="156"/>
  <c r="H244" i="156"/>
  <c r="G244" i="156"/>
  <c r="F244" i="156"/>
  <c r="E244" i="156"/>
  <c r="D244" i="156"/>
  <c r="C244" i="156"/>
  <c r="O244" i="156" s="1"/>
  <c r="I26" i="156" s="1"/>
  <c r="I416" i="156" s="1"/>
  <c r="N243" i="156"/>
  <c r="M243" i="156"/>
  <c r="L243" i="156"/>
  <c r="K243" i="156"/>
  <c r="J243" i="156"/>
  <c r="I243" i="156"/>
  <c r="H243" i="156"/>
  <c r="G243" i="156"/>
  <c r="F243" i="156"/>
  <c r="E243" i="156"/>
  <c r="D243" i="156"/>
  <c r="C243" i="156"/>
  <c r="N242" i="156"/>
  <c r="M242" i="156"/>
  <c r="L242" i="156"/>
  <c r="K242" i="156"/>
  <c r="J242" i="156"/>
  <c r="I242" i="156"/>
  <c r="H242" i="156"/>
  <c r="G242" i="156"/>
  <c r="F242" i="156"/>
  <c r="E242" i="156"/>
  <c r="D242" i="156"/>
  <c r="C242" i="156"/>
  <c r="N241" i="156"/>
  <c r="M241" i="156"/>
  <c r="L241" i="156"/>
  <c r="K241" i="156"/>
  <c r="J241" i="156"/>
  <c r="I241" i="156"/>
  <c r="H241" i="156"/>
  <c r="G241" i="156"/>
  <c r="F241" i="156"/>
  <c r="E241" i="156"/>
  <c r="D241" i="156"/>
  <c r="C241" i="156"/>
  <c r="N240" i="156"/>
  <c r="M240" i="156"/>
  <c r="L240" i="156"/>
  <c r="K240" i="156"/>
  <c r="J240" i="156"/>
  <c r="I240" i="156"/>
  <c r="H240" i="156"/>
  <c r="G240" i="156"/>
  <c r="G250" i="156" s="1"/>
  <c r="G252" i="156" s="1"/>
  <c r="F240" i="156"/>
  <c r="E240" i="156"/>
  <c r="D240" i="156"/>
  <c r="C240" i="156"/>
  <c r="O240" i="156" s="1"/>
  <c r="N239" i="156"/>
  <c r="M239" i="156"/>
  <c r="L239" i="156"/>
  <c r="K239" i="156"/>
  <c r="J239" i="156"/>
  <c r="I239" i="156"/>
  <c r="H239" i="156"/>
  <c r="H250" i="156" s="1"/>
  <c r="H252" i="156" s="1"/>
  <c r="G239" i="156"/>
  <c r="F239" i="156"/>
  <c r="E239" i="156"/>
  <c r="D239" i="156"/>
  <c r="C239" i="156"/>
  <c r="N238" i="156"/>
  <c r="M238" i="156"/>
  <c r="L238" i="156"/>
  <c r="K238" i="156"/>
  <c r="K250" i="156" s="1"/>
  <c r="J238" i="156"/>
  <c r="I238" i="156"/>
  <c r="H238" i="156"/>
  <c r="G238" i="156"/>
  <c r="F238" i="156"/>
  <c r="E238" i="156"/>
  <c r="D238" i="156"/>
  <c r="C238" i="156"/>
  <c r="N237" i="156"/>
  <c r="M237" i="156"/>
  <c r="L237" i="156"/>
  <c r="K237" i="156"/>
  <c r="J237" i="156"/>
  <c r="J250" i="156" s="1"/>
  <c r="I237" i="156"/>
  <c r="H237" i="156"/>
  <c r="G237" i="156"/>
  <c r="F237" i="156"/>
  <c r="F250" i="156" s="1"/>
  <c r="F252" i="156" s="1"/>
  <c r="E237" i="156"/>
  <c r="D237" i="156"/>
  <c r="C237" i="156"/>
  <c r="O236" i="156"/>
  <c r="N234" i="156"/>
  <c r="L234" i="156"/>
  <c r="K234" i="156"/>
  <c r="J234" i="156"/>
  <c r="C234" i="156"/>
  <c r="N233" i="156"/>
  <c r="M233" i="156"/>
  <c r="L233" i="156"/>
  <c r="K233" i="156"/>
  <c r="J233" i="156"/>
  <c r="I233" i="156"/>
  <c r="H233" i="156"/>
  <c r="G233" i="156"/>
  <c r="F233" i="156"/>
  <c r="E233" i="156"/>
  <c r="D233" i="156"/>
  <c r="C233" i="156"/>
  <c r="O233" i="156" s="1"/>
  <c r="I15" i="156" s="1"/>
  <c r="I405" i="156" s="1"/>
  <c r="N232" i="156"/>
  <c r="M232" i="156"/>
  <c r="L232" i="156"/>
  <c r="K232" i="156"/>
  <c r="J232" i="156"/>
  <c r="I232" i="156"/>
  <c r="H232" i="156"/>
  <c r="G232" i="156"/>
  <c r="F232" i="156"/>
  <c r="E232" i="156"/>
  <c r="D232" i="156"/>
  <c r="D234" i="156" s="1"/>
  <c r="C232" i="156"/>
  <c r="N231" i="156"/>
  <c r="M231" i="156"/>
  <c r="L231" i="156"/>
  <c r="K231" i="156"/>
  <c r="J231" i="156"/>
  <c r="I231" i="156"/>
  <c r="H231" i="156"/>
  <c r="G231" i="156"/>
  <c r="F231" i="156"/>
  <c r="E231" i="156"/>
  <c r="E234" i="156" s="1"/>
  <c r="D231" i="156"/>
  <c r="C231" i="156"/>
  <c r="O231" i="156" s="1"/>
  <c r="I13" i="156" s="1"/>
  <c r="I403" i="156" s="1"/>
  <c r="N230" i="156"/>
  <c r="M230" i="156"/>
  <c r="M234" i="156" s="1"/>
  <c r="L230" i="156"/>
  <c r="K230" i="156"/>
  <c r="J230" i="156"/>
  <c r="I230" i="156"/>
  <c r="I234" i="156" s="1"/>
  <c r="H230" i="156"/>
  <c r="H234" i="156" s="1"/>
  <c r="G230" i="156"/>
  <c r="G234" i="156" s="1"/>
  <c r="F230" i="156"/>
  <c r="F234" i="156" s="1"/>
  <c r="E230" i="156"/>
  <c r="D230" i="156"/>
  <c r="C230" i="156"/>
  <c r="N216" i="156"/>
  <c r="M216" i="156"/>
  <c r="L216" i="156"/>
  <c r="K216" i="156"/>
  <c r="J216" i="156"/>
  <c r="I216" i="156"/>
  <c r="H216" i="156"/>
  <c r="G216" i="156"/>
  <c r="F216" i="156"/>
  <c r="E216" i="156"/>
  <c r="D216" i="156"/>
  <c r="C216" i="156"/>
  <c r="O216" i="156" s="1"/>
  <c r="H31" i="156" s="1"/>
  <c r="H421" i="156" s="1"/>
  <c r="N215" i="156"/>
  <c r="M215" i="156"/>
  <c r="M217" i="156" s="1"/>
  <c r="M219" i="156" s="1"/>
  <c r="L215" i="156"/>
  <c r="K215" i="156"/>
  <c r="J215" i="156"/>
  <c r="I215" i="156"/>
  <c r="H215" i="156"/>
  <c r="G215" i="156"/>
  <c r="F215" i="156"/>
  <c r="E215" i="156"/>
  <c r="D215" i="156"/>
  <c r="C215" i="156"/>
  <c r="O215" i="156" s="1"/>
  <c r="H30" i="156" s="1"/>
  <c r="H420" i="156" s="1"/>
  <c r="N214" i="156"/>
  <c r="M214" i="156"/>
  <c r="L214" i="156"/>
  <c r="K214" i="156"/>
  <c r="J214" i="156"/>
  <c r="I214" i="156"/>
  <c r="H214" i="156"/>
  <c r="G214" i="156"/>
  <c r="F214" i="156"/>
  <c r="E214" i="156"/>
  <c r="D214" i="156"/>
  <c r="C214" i="156"/>
  <c r="O214" i="156" s="1"/>
  <c r="H29" i="156" s="1"/>
  <c r="H419" i="156" s="1"/>
  <c r="N213" i="156"/>
  <c r="M213" i="156"/>
  <c r="L213" i="156"/>
  <c r="K213" i="156"/>
  <c r="J213" i="156"/>
  <c r="I213" i="156"/>
  <c r="H213" i="156"/>
  <c r="G213" i="156"/>
  <c r="F213" i="156"/>
  <c r="E213" i="156"/>
  <c r="D213" i="156"/>
  <c r="C213" i="156"/>
  <c r="O213" i="156" s="1"/>
  <c r="H28" i="156" s="1"/>
  <c r="H418" i="156" s="1"/>
  <c r="N212" i="156"/>
  <c r="M212" i="156"/>
  <c r="L212" i="156"/>
  <c r="K212" i="156"/>
  <c r="J212" i="156"/>
  <c r="I212" i="156"/>
  <c r="H212" i="156"/>
  <c r="G212" i="156"/>
  <c r="F212" i="156"/>
  <c r="E212" i="156"/>
  <c r="D212" i="156"/>
  <c r="D217" i="156" s="1"/>
  <c r="D219" i="156" s="1"/>
  <c r="C212" i="156"/>
  <c r="O212" i="156" s="1"/>
  <c r="H27" i="156" s="1"/>
  <c r="H417" i="156" s="1"/>
  <c r="N211" i="156"/>
  <c r="M211" i="156"/>
  <c r="L211" i="156"/>
  <c r="K211" i="156"/>
  <c r="J211" i="156"/>
  <c r="I211" i="156"/>
  <c r="H211" i="156"/>
  <c r="G211" i="156"/>
  <c r="F211" i="156"/>
  <c r="E211" i="156"/>
  <c r="D211" i="156"/>
  <c r="C211" i="156"/>
  <c r="O211" i="156" s="1"/>
  <c r="H26" i="156" s="1"/>
  <c r="H416" i="156" s="1"/>
  <c r="N210" i="156"/>
  <c r="M210" i="156"/>
  <c r="L210" i="156"/>
  <c r="K210" i="156"/>
  <c r="J210" i="156"/>
  <c r="I210" i="156"/>
  <c r="H210" i="156"/>
  <c r="G210" i="156"/>
  <c r="F210" i="156"/>
  <c r="E210" i="156"/>
  <c r="D210" i="156"/>
  <c r="C210" i="156"/>
  <c r="N209" i="156"/>
  <c r="M209" i="156"/>
  <c r="L209" i="156"/>
  <c r="K209" i="156"/>
  <c r="J209" i="156"/>
  <c r="I209" i="156"/>
  <c r="H209" i="156"/>
  <c r="G209" i="156"/>
  <c r="F209" i="156"/>
  <c r="E209" i="156"/>
  <c r="D209" i="156"/>
  <c r="C209" i="156"/>
  <c r="N208" i="156"/>
  <c r="M208" i="156"/>
  <c r="L208" i="156"/>
  <c r="K208" i="156"/>
  <c r="J208" i="156"/>
  <c r="I208" i="156"/>
  <c r="H208" i="156"/>
  <c r="G208" i="156"/>
  <c r="F208" i="156"/>
  <c r="E208" i="156"/>
  <c r="E217" i="156" s="1"/>
  <c r="E219" i="156" s="1"/>
  <c r="D208" i="156"/>
  <c r="C208" i="156"/>
  <c r="N207" i="156"/>
  <c r="M207" i="156"/>
  <c r="L207" i="156"/>
  <c r="K207" i="156"/>
  <c r="J207" i="156"/>
  <c r="I207" i="156"/>
  <c r="H207" i="156"/>
  <c r="G207" i="156"/>
  <c r="F207" i="156"/>
  <c r="F217" i="156" s="1"/>
  <c r="E207" i="156"/>
  <c r="D207" i="156"/>
  <c r="C207" i="156"/>
  <c r="N206" i="156"/>
  <c r="M206" i="156"/>
  <c r="L206" i="156"/>
  <c r="K206" i="156"/>
  <c r="J206" i="156"/>
  <c r="I206" i="156"/>
  <c r="H206" i="156"/>
  <c r="G206" i="156"/>
  <c r="F206" i="156"/>
  <c r="E206" i="156"/>
  <c r="D206" i="156"/>
  <c r="C206" i="156"/>
  <c r="N205" i="156"/>
  <c r="M205" i="156"/>
  <c r="L205" i="156"/>
  <c r="K205" i="156"/>
  <c r="J205" i="156"/>
  <c r="I205" i="156"/>
  <c r="H205" i="156"/>
  <c r="G205" i="156"/>
  <c r="F205" i="156"/>
  <c r="E205" i="156"/>
  <c r="D205" i="156"/>
  <c r="C205" i="156"/>
  <c r="N204" i="156"/>
  <c r="N217" i="156" s="1"/>
  <c r="N219" i="156" s="1"/>
  <c r="M204" i="156"/>
  <c r="L204" i="156"/>
  <c r="K204" i="156"/>
  <c r="K217" i="156" s="1"/>
  <c r="J204" i="156"/>
  <c r="J217" i="156" s="1"/>
  <c r="I204" i="156"/>
  <c r="I217" i="156" s="1"/>
  <c r="H204" i="156"/>
  <c r="G204" i="156"/>
  <c r="F204" i="156"/>
  <c r="E204" i="156"/>
  <c r="D204" i="156"/>
  <c r="C204" i="156"/>
  <c r="O203" i="156"/>
  <c r="K201" i="156"/>
  <c r="E201" i="156"/>
  <c r="D201" i="156"/>
  <c r="N200" i="156"/>
  <c r="M200" i="156"/>
  <c r="L200" i="156"/>
  <c r="L201" i="156" s="1"/>
  <c r="K200" i="156"/>
  <c r="J200" i="156"/>
  <c r="I200" i="156"/>
  <c r="H200" i="156"/>
  <c r="G200" i="156"/>
  <c r="F200" i="156"/>
  <c r="E200" i="156"/>
  <c r="D200" i="156"/>
  <c r="C200" i="156"/>
  <c r="O200" i="156" s="1"/>
  <c r="H15" i="156" s="1"/>
  <c r="N199" i="156"/>
  <c r="M199" i="156"/>
  <c r="M201" i="156" s="1"/>
  <c r="L199" i="156"/>
  <c r="K199" i="156"/>
  <c r="J199" i="156"/>
  <c r="I199" i="156"/>
  <c r="H199" i="156"/>
  <c r="G199" i="156"/>
  <c r="F199" i="156"/>
  <c r="E199" i="156"/>
  <c r="D199" i="156"/>
  <c r="C199" i="156"/>
  <c r="N198" i="156"/>
  <c r="N201" i="156" s="1"/>
  <c r="M198" i="156"/>
  <c r="L198" i="156"/>
  <c r="K198" i="156"/>
  <c r="J198" i="156"/>
  <c r="I198" i="156"/>
  <c r="H198" i="156"/>
  <c r="G198" i="156"/>
  <c r="F198" i="156"/>
  <c r="E198" i="156"/>
  <c r="D198" i="156"/>
  <c r="C198" i="156"/>
  <c r="N197" i="156"/>
  <c r="M197" i="156"/>
  <c r="L197" i="156"/>
  <c r="K197" i="156"/>
  <c r="J197" i="156"/>
  <c r="I197" i="156"/>
  <c r="I201" i="156" s="1"/>
  <c r="H197" i="156"/>
  <c r="H201" i="156" s="1"/>
  <c r="G197" i="156"/>
  <c r="F197" i="156"/>
  <c r="E197" i="156"/>
  <c r="D197" i="156"/>
  <c r="C197" i="156"/>
  <c r="C201" i="156" s="1"/>
  <c r="N184" i="156"/>
  <c r="M184" i="156"/>
  <c r="L184" i="156"/>
  <c r="K184" i="156"/>
  <c r="J184" i="156"/>
  <c r="I184" i="156"/>
  <c r="H184" i="156"/>
  <c r="G184" i="156"/>
  <c r="F184" i="156"/>
  <c r="F185" i="156" s="1"/>
  <c r="E184" i="156"/>
  <c r="D184" i="156"/>
  <c r="C184" i="156"/>
  <c r="N183" i="156"/>
  <c r="M183" i="156"/>
  <c r="L183" i="156"/>
  <c r="K183" i="156"/>
  <c r="J183" i="156"/>
  <c r="I183" i="156"/>
  <c r="H183" i="156"/>
  <c r="G183" i="156"/>
  <c r="F183" i="156"/>
  <c r="E183" i="156"/>
  <c r="D183" i="156"/>
  <c r="C183" i="156"/>
  <c r="O183" i="156" s="1"/>
  <c r="G30" i="156" s="1"/>
  <c r="G420" i="156" s="1"/>
  <c r="N182" i="156"/>
  <c r="M182" i="156"/>
  <c r="L182" i="156"/>
  <c r="K182" i="156"/>
  <c r="J182" i="156"/>
  <c r="I182" i="156"/>
  <c r="H182" i="156"/>
  <c r="G182" i="156"/>
  <c r="F182" i="156"/>
  <c r="E182" i="156"/>
  <c r="D182" i="156"/>
  <c r="C182" i="156"/>
  <c r="N181" i="156"/>
  <c r="M181" i="156"/>
  <c r="L181" i="156"/>
  <c r="K181" i="156"/>
  <c r="J181" i="156"/>
  <c r="I181" i="156"/>
  <c r="H181" i="156"/>
  <c r="G181" i="156"/>
  <c r="F181" i="156"/>
  <c r="E181" i="156"/>
  <c r="E185" i="156" s="1"/>
  <c r="D181" i="156"/>
  <c r="C181" i="156"/>
  <c r="N180" i="156"/>
  <c r="M180" i="156"/>
  <c r="L180" i="156"/>
  <c r="K180" i="156"/>
  <c r="J180" i="156"/>
  <c r="I180" i="156"/>
  <c r="H180" i="156"/>
  <c r="G180" i="156"/>
  <c r="G185" i="156" s="1"/>
  <c r="F180" i="156"/>
  <c r="E180" i="156"/>
  <c r="D180" i="156"/>
  <c r="C180" i="156"/>
  <c r="N179" i="156"/>
  <c r="M179" i="156"/>
  <c r="L179" i="156"/>
  <c r="K179" i="156"/>
  <c r="J179" i="156"/>
  <c r="I179" i="156"/>
  <c r="H179" i="156"/>
  <c r="G179" i="156"/>
  <c r="F179" i="156"/>
  <c r="E179" i="156"/>
  <c r="D179" i="156"/>
  <c r="C179" i="156"/>
  <c r="O179" i="156" s="1"/>
  <c r="G26" i="156" s="1"/>
  <c r="G416" i="156" s="1"/>
  <c r="N178" i="156"/>
  <c r="M178" i="156"/>
  <c r="L178" i="156"/>
  <c r="K178" i="156"/>
  <c r="J178" i="156"/>
  <c r="I178" i="156"/>
  <c r="H178" i="156"/>
  <c r="G178" i="156"/>
  <c r="F178" i="156"/>
  <c r="E178" i="156"/>
  <c r="D178" i="156"/>
  <c r="C178" i="156"/>
  <c r="O178" i="156" s="1"/>
  <c r="G25" i="156" s="1"/>
  <c r="G415" i="156" s="1"/>
  <c r="N177" i="156"/>
  <c r="M177" i="156"/>
  <c r="M185" i="156" s="1"/>
  <c r="M187" i="156" s="1"/>
  <c r="L177" i="156"/>
  <c r="K177" i="156"/>
  <c r="J177" i="156"/>
  <c r="I177" i="156"/>
  <c r="H177" i="156"/>
  <c r="G177" i="156"/>
  <c r="F177" i="156"/>
  <c r="E177" i="156"/>
  <c r="D177" i="156"/>
  <c r="C177" i="156"/>
  <c r="N176" i="156"/>
  <c r="M176" i="156"/>
  <c r="L176" i="156"/>
  <c r="K176" i="156"/>
  <c r="J176" i="156"/>
  <c r="I176" i="156"/>
  <c r="H176" i="156"/>
  <c r="G176" i="156"/>
  <c r="F176" i="156"/>
  <c r="E176" i="156"/>
  <c r="D176" i="156"/>
  <c r="C176" i="156"/>
  <c r="N175" i="156"/>
  <c r="M175" i="156"/>
  <c r="L175" i="156"/>
  <c r="K175" i="156"/>
  <c r="J175" i="156"/>
  <c r="I175" i="156"/>
  <c r="H175" i="156"/>
  <c r="G175" i="156"/>
  <c r="F175" i="156"/>
  <c r="E175" i="156"/>
  <c r="D175" i="156"/>
  <c r="C175" i="156"/>
  <c r="O175" i="156" s="1"/>
  <c r="G22" i="156" s="1"/>
  <c r="G412" i="156" s="1"/>
  <c r="N174" i="156"/>
  <c r="N185" i="156" s="1"/>
  <c r="N187" i="156" s="1"/>
  <c r="M174" i="156"/>
  <c r="L174" i="156"/>
  <c r="K174" i="156"/>
  <c r="J174" i="156"/>
  <c r="I174" i="156"/>
  <c r="H174" i="156"/>
  <c r="G174" i="156"/>
  <c r="F174" i="156"/>
  <c r="E174" i="156"/>
  <c r="D174" i="156"/>
  <c r="C174" i="156"/>
  <c r="N173" i="156"/>
  <c r="M173" i="156"/>
  <c r="L173" i="156"/>
  <c r="K173" i="156"/>
  <c r="J173" i="156"/>
  <c r="I173" i="156"/>
  <c r="H173" i="156"/>
  <c r="G173" i="156"/>
  <c r="F173" i="156"/>
  <c r="E173" i="156"/>
  <c r="D173" i="156"/>
  <c r="C173" i="156"/>
  <c r="C185" i="156" s="1"/>
  <c r="C187" i="156" s="1"/>
  <c r="N172" i="156"/>
  <c r="M172" i="156"/>
  <c r="L172" i="156"/>
  <c r="K172" i="156"/>
  <c r="J172" i="156"/>
  <c r="I172" i="156"/>
  <c r="H172" i="156"/>
  <c r="G172" i="156"/>
  <c r="F172" i="156"/>
  <c r="E172" i="156"/>
  <c r="D172" i="156"/>
  <c r="D185" i="156" s="1"/>
  <c r="D187" i="156" s="1"/>
  <c r="C172" i="156"/>
  <c r="O172" i="156" s="1"/>
  <c r="O171" i="156"/>
  <c r="N168" i="156"/>
  <c r="M168" i="156"/>
  <c r="L168" i="156"/>
  <c r="K168" i="156"/>
  <c r="J168" i="156"/>
  <c r="I168" i="156"/>
  <c r="I169" i="156" s="1"/>
  <c r="H168" i="156"/>
  <c r="G168" i="156"/>
  <c r="F168" i="156"/>
  <c r="E168" i="156"/>
  <c r="D168" i="156"/>
  <c r="C168" i="156"/>
  <c r="O168" i="156" s="1"/>
  <c r="G15" i="156" s="1"/>
  <c r="G405" i="156" s="1"/>
  <c r="N167" i="156"/>
  <c r="M167" i="156"/>
  <c r="M169" i="156" s="1"/>
  <c r="L167" i="156"/>
  <c r="K167" i="156"/>
  <c r="J167" i="156"/>
  <c r="J169" i="156" s="1"/>
  <c r="I167" i="156"/>
  <c r="H167" i="156"/>
  <c r="G167" i="156"/>
  <c r="F167" i="156"/>
  <c r="E167" i="156"/>
  <c r="D167" i="156"/>
  <c r="C167" i="156"/>
  <c r="O167" i="156" s="1"/>
  <c r="G14" i="156" s="1"/>
  <c r="G404" i="156" s="1"/>
  <c r="N166" i="156"/>
  <c r="N169" i="156" s="1"/>
  <c r="M166" i="156"/>
  <c r="L166" i="156"/>
  <c r="K166" i="156"/>
  <c r="K169" i="156" s="1"/>
  <c r="J166" i="156"/>
  <c r="I166" i="156"/>
  <c r="H166" i="156"/>
  <c r="G166" i="156"/>
  <c r="F166" i="156"/>
  <c r="E166" i="156"/>
  <c r="D166" i="156"/>
  <c r="C166" i="156"/>
  <c r="O166" i="156" s="1"/>
  <c r="G13" i="156" s="1"/>
  <c r="G403" i="156" s="1"/>
  <c r="N165" i="156"/>
  <c r="M165" i="156"/>
  <c r="L165" i="156"/>
  <c r="K165" i="156"/>
  <c r="J165" i="156"/>
  <c r="I165" i="156"/>
  <c r="H165" i="156"/>
  <c r="H169" i="156" s="1"/>
  <c r="G165" i="156"/>
  <c r="F165" i="156"/>
  <c r="E165" i="156"/>
  <c r="E169" i="156" s="1"/>
  <c r="D165" i="156"/>
  <c r="D169" i="156" s="1"/>
  <c r="C165" i="156"/>
  <c r="C169" i="156" s="1"/>
  <c r="N152" i="156"/>
  <c r="M152" i="156"/>
  <c r="L152" i="156"/>
  <c r="K152" i="156"/>
  <c r="J152" i="156"/>
  <c r="I152" i="156"/>
  <c r="H152" i="156"/>
  <c r="G152" i="156"/>
  <c r="F152" i="156"/>
  <c r="E152" i="156"/>
  <c r="D152" i="156"/>
  <c r="C152" i="156"/>
  <c r="N151" i="156"/>
  <c r="M151" i="156"/>
  <c r="L151" i="156"/>
  <c r="K151" i="156"/>
  <c r="J151" i="156"/>
  <c r="I151" i="156"/>
  <c r="H151" i="156"/>
  <c r="G151" i="156"/>
  <c r="F151" i="156"/>
  <c r="E151" i="156"/>
  <c r="D151" i="156"/>
  <c r="C151" i="156"/>
  <c r="O151" i="156" s="1"/>
  <c r="N150" i="156"/>
  <c r="M150" i="156"/>
  <c r="L150" i="156"/>
  <c r="K150" i="156"/>
  <c r="J150" i="156"/>
  <c r="I150" i="156"/>
  <c r="H150" i="156"/>
  <c r="G150" i="156"/>
  <c r="F150" i="156"/>
  <c r="E150" i="156"/>
  <c r="D150" i="156"/>
  <c r="C150" i="156"/>
  <c r="O150" i="156" s="1"/>
  <c r="N149" i="156"/>
  <c r="M149" i="156"/>
  <c r="L149" i="156"/>
  <c r="K149" i="156"/>
  <c r="J149" i="156"/>
  <c r="I149" i="156"/>
  <c r="H149" i="156"/>
  <c r="G149" i="156"/>
  <c r="F149" i="156"/>
  <c r="E149" i="156"/>
  <c r="D149" i="156"/>
  <c r="C149" i="156"/>
  <c r="N148" i="156"/>
  <c r="M148" i="156"/>
  <c r="L148" i="156"/>
  <c r="K148" i="156"/>
  <c r="J148" i="156"/>
  <c r="I148" i="156"/>
  <c r="H148" i="156"/>
  <c r="G148" i="156"/>
  <c r="F148" i="156"/>
  <c r="E148" i="156"/>
  <c r="D148" i="156"/>
  <c r="C148" i="156"/>
  <c r="O148" i="156" s="1"/>
  <c r="N147" i="156"/>
  <c r="M147" i="156"/>
  <c r="L147" i="156"/>
  <c r="K147" i="156"/>
  <c r="J147" i="156"/>
  <c r="I147" i="156"/>
  <c r="H147" i="156"/>
  <c r="G147" i="156"/>
  <c r="F147" i="156"/>
  <c r="E147" i="156"/>
  <c r="D147" i="156"/>
  <c r="C147" i="156"/>
  <c r="O147" i="156" s="1"/>
  <c r="F25" i="156" s="1"/>
  <c r="F415" i="156" s="1"/>
  <c r="N146" i="156"/>
  <c r="M146" i="156"/>
  <c r="L146" i="156"/>
  <c r="K146" i="156"/>
  <c r="J146" i="156"/>
  <c r="I146" i="156"/>
  <c r="H146" i="156"/>
  <c r="G146" i="156"/>
  <c r="F146" i="156"/>
  <c r="E146" i="156"/>
  <c r="D146" i="156"/>
  <c r="C146" i="156"/>
  <c r="O146" i="156" s="1"/>
  <c r="N145" i="156"/>
  <c r="M145" i="156"/>
  <c r="L145" i="156"/>
  <c r="K145" i="156"/>
  <c r="J145" i="156"/>
  <c r="I145" i="156"/>
  <c r="H145" i="156"/>
  <c r="G145" i="156"/>
  <c r="F145" i="156"/>
  <c r="E145" i="156"/>
  <c r="D145" i="156"/>
  <c r="C145" i="156"/>
  <c r="N144" i="156"/>
  <c r="M144" i="156"/>
  <c r="L144" i="156"/>
  <c r="K144" i="156"/>
  <c r="J144" i="156"/>
  <c r="I144" i="156"/>
  <c r="H144" i="156"/>
  <c r="G144" i="156"/>
  <c r="F144" i="156"/>
  <c r="E144" i="156"/>
  <c r="D144" i="156"/>
  <c r="C144" i="156"/>
  <c r="N143" i="156"/>
  <c r="M143" i="156"/>
  <c r="L143" i="156"/>
  <c r="K143" i="156"/>
  <c r="J143" i="156"/>
  <c r="I143" i="156"/>
  <c r="H143" i="156"/>
  <c r="G143" i="156"/>
  <c r="F143" i="156"/>
  <c r="E143" i="156"/>
  <c r="D143" i="156"/>
  <c r="C143" i="156"/>
  <c r="O143" i="156" s="1"/>
  <c r="N142" i="156"/>
  <c r="M142" i="156"/>
  <c r="L142" i="156"/>
  <c r="K142" i="156"/>
  <c r="J142" i="156"/>
  <c r="I142" i="156"/>
  <c r="H142" i="156"/>
  <c r="G142" i="156"/>
  <c r="F142" i="156"/>
  <c r="E142" i="156"/>
  <c r="D142" i="156"/>
  <c r="C142" i="156"/>
  <c r="N141" i="156"/>
  <c r="M141" i="156"/>
  <c r="M153" i="156" s="1"/>
  <c r="M155" i="156" s="1"/>
  <c r="L141" i="156"/>
  <c r="L153" i="156" s="1"/>
  <c r="K141" i="156"/>
  <c r="J141" i="156"/>
  <c r="J153" i="156" s="1"/>
  <c r="I141" i="156"/>
  <c r="H141" i="156"/>
  <c r="G141" i="156"/>
  <c r="G153" i="156" s="1"/>
  <c r="G155" i="156" s="1"/>
  <c r="F141" i="156"/>
  <c r="E141" i="156"/>
  <c r="D141" i="156"/>
  <c r="C141" i="156"/>
  <c r="O140" i="156"/>
  <c r="P140" i="156" s="1"/>
  <c r="P139" i="156"/>
  <c r="N138" i="156"/>
  <c r="M138" i="156"/>
  <c r="J138" i="156"/>
  <c r="I138" i="156"/>
  <c r="N137" i="156"/>
  <c r="M137" i="156"/>
  <c r="L137" i="156"/>
  <c r="K137" i="156"/>
  <c r="K138" i="156" s="1"/>
  <c r="J137" i="156"/>
  <c r="I137" i="156"/>
  <c r="H137" i="156"/>
  <c r="G137" i="156"/>
  <c r="F137" i="156"/>
  <c r="E137" i="156"/>
  <c r="D137" i="156"/>
  <c r="C137" i="156"/>
  <c r="N136" i="156"/>
  <c r="M136" i="156"/>
  <c r="L136" i="156"/>
  <c r="K136" i="156"/>
  <c r="J136" i="156"/>
  <c r="I136" i="156"/>
  <c r="H136" i="156"/>
  <c r="G136" i="156"/>
  <c r="F136" i="156"/>
  <c r="E136" i="156"/>
  <c r="D136" i="156"/>
  <c r="C136" i="156"/>
  <c r="N135" i="156"/>
  <c r="M135" i="156"/>
  <c r="L135" i="156"/>
  <c r="K135" i="156"/>
  <c r="J135" i="156"/>
  <c r="I135" i="156"/>
  <c r="H135" i="156"/>
  <c r="G135" i="156"/>
  <c r="F135" i="156"/>
  <c r="E135" i="156"/>
  <c r="D135" i="156"/>
  <c r="C135" i="156"/>
  <c r="N134" i="156"/>
  <c r="M134" i="156"/>
  <c r="L134" i="156"/>
  <c r="K134" i="156"/>
  <c r="J134" i="156"/>
  <c r="I134" i="156"/>
  <c r="H134" i="156"/>
  <c r="H138" i="156" s="1"/>
  <c r="G134" i="156"/>
  <c r="G138" i="156" s="1"/>
  <c r="F134" i="156"/>
  <c r="E134" i="156"/>
  <c r="D134" i="156"/>
  <c r="C134" i="156"/>
  <c r="H122" i="156"/>
  <c r="N121" i="156"/>
  <c r="M121" i="156"/>
  <c r="L121" i="156"/>
  <c r="K121" i="156"/>
  <c r="J121" i="156"/>
  <c r="I121" i="156"/>
  <c r="H121" i="156"/>
  <c r="G121" i="156"/>
  <c r="F121" i="156"/>
  <c r="E121" i="156"/>
  <c r="D121" i="156"/>
  <c r="C121" i="156"/>
  <c r="N120" i="156"/>
  <c r="M120" i="156"/>
  <c r="L120" i="156"/>
  <c r="K120" i="156"/>
  <c r="J120" i="156"/>
  <c r="I120" i="156"/>
  <c r="H120" i="156"/>
  <c r="G120" i="156"/>
  <c r="F120" i="156"/>
  <c r="E120" i="156"/>
  <c r="D120" i="156"/>
  <c r="C120" i="156"/>
  <c r="N119" i="156"/>
  <c r="M119" i="156"/>
  <c r="L119" i="156"/>
  <c r="K119" i="156"/>
  <c r="J119" i="156"/>
  <c r="I119" i="156"/>
  <c r="H119" i="156"/>
  <c r="G119" i="156"/>
  <c r="F119" i="156"/>
  <c r="E119" i="156"/>
  <c r="D119" i="156"/>
  <c r="C119" i="156"/>
  <c r="N118" i="156"/>
  <c r="M118" i="156"/>
  <c r="L118" i="156"/>
  <c r="K118" i="156"/>
  <c r="J118" i="156"/>
  <c r="I118" i="156"/>
  <c r="H118" i="156"/>
  <c r="G118" i="156"/>
  <c r="F118" i="156"/>
  <c r="E118" i="156"/>
  <c r="D118" i="156"/>
  <c r="C118" i="156"/>
  <c r="N117" i="156"/>
  <c r="M117" i="156"/>
  <c r="L117" i="156"/>
  <c r="K117" i="156"/>
  <c r="J117" i="156"/>
  <c r="I117" i="156"/>
  <c r="H117" i="156"/>
  <c r="G117" i="156"/>
  <c r="F117" i="156"/>
  <c r="E117" i="156"/>
  <c r="D117" i="156"/>
  <c r="C117" i="156"/>
  <c r="N116" i="156"/>
  <c r="M116" i="156"/>
  <c r="L116" i="156"/>
  <c r="K116" i="156"/>
  <c r="J116" i="156"/>
  <c r="I116" i="156"/>
  <c r="H116" i="156"/>
  <c r="G116" i="156"/>
  <c r="F116" i="156"/>
  <c r="E116" i="156"/>
  <c r="D116" i="156"/>
  <c r="C116" i="156"/>
  <c r="N115" i="156"/>
  <c r="M115" i="156"/>
  <c r="L115" i="156"/>
  <c r="K115" i="156"/>
  <c r="J115" i="156"/>
  <c r="I115" i="156"/>
  <c r="H115" i="156"/>
  <c r="G115" i="156"/>
  <c r="F115" i="156"/>
  <c r="E115" i="156"/>
  <c r="D115" i="156"/>
  <c r="C115" i="156"/>
  <c r="O115" i="156" s="1"/>
  <c r="E23" i="156" s="1"/>
  <c r="E413" i="156" s="1"/>
  <c r="N114" i="156"/>
  <c r="M114" i="156"/>
  <c r="L114" i="156"/>
  <c r="K114" i="156"/>
  <c r="J114" i="156"/>
  <c r="I114" i="156"/>
  <c r="H114" i="156"/>
  <c r="G114" i="156"/>
  <c r="F114" i="156"/>
  <c r="E114" i="156"/>
  <c r="D114" i="156"/>
  <c r="C114" i="156"/>
  <c r="N113" i="156"/>
  <c r="M113" i="156"/>
  <c r="L113" i="156"/>
  <c r="K113" i="156"/>
  <c r="J113" i="156"/>
  <c r="I113" i="156"/>
  <c r="H113" i="156"/>
  <c r="G113" i="156"/>
  <c r="F113" i="156"/>
  <c r="E113" i="156"/>
  <c r="D113" i="156"/>
  <c r="C113" i="156"/>
  <c r="N112" i="156"/>
  <c r="M112" i="156"/>
  <c r="L112" i="156"/>
  <c r="L122" i="156" s="1"/>
  <c r="K112" i="156"/>
  <c r="J112" i="156"/>
  <c r="I112" i="156"/>
  <c r="H112" i="156"/>
  <c r="G112" i="156"/>
  <c r="F112" i="156"/>
  <c r="E112" i="156"/>
  <c r="D112" i="156"/>
  <c r="C112" i="156"/>
  <c r="N111" i="156"/>
  <c r="M111" i="156"/>
  <c r="M122" i="156" s="1"/>
  <c r="L111" i="156"/>
  <c r="K111" i="156"/>
  <c r="K122" i="156" s="1"/>
  <c r="J111" i="156"/>
  <c r="J122" i="156" s="1"/>
  <c r="I111" i="156"/>
  <c r="H111" i="156"/>
  <c r="G111" i="156"/>
  <c r="F111" i="156"/>
  <c r="E111" i="156"/>
  <c r="D111" i="156"/>
  <c r="C111" i="156"/>
  <c r="O110" i="156"/>
  <c r="M108" i="156"/>
  <c r="N107" i="156"/>
  <c r="M107" i="156"/>
  <c r="L107" i="156"/>
  <c r="K107" i="156"/>
  <c r="J107" i="156"/>
  <c r="I107" i="156"/>
  <c r="H107" i="156"/>
  <c r="G107" i="156"/>
  <c r="F107" i="156"/>
  <c r="E107" i="156"/>
  <c r="D107" i="156"/>
  <c r="C107" i="156"/>
  <c r="N106" i="156"/>
  <c r="M106" i="156"/>
  <c r="L106" i="156"/>
  <c r="K106" i="156"/>
  <c r="J106" i="156"/>
  <c r="J108" i="156" s="1"/>
  <c r="I106" i="156"/>
  <c r="H106" i="156"/>
  <c r="G106" i="156"/>
  <c r="F106" i="156"/>
  <c r="E106" i="156"/>
  <c r="D106" i="156"/>
  <c r="C106" i="156"/>
  <c r="N105" i="156"/>
  <c r="M105" i="156"/>
  <c r="L105" i="156"/>
  <c r="K105" i="156"/>
  <c r="J105" i="156"/>
  <c r="I105" i="156"/>
  <c r="H105" i="156"/>
  <c r="G105" i="156"/>
  <c r="F105" i="156"/>
  <c r="E105" i="156"/>
  <c r="D105" i="156"/>
  <c r="C105" i="156"/>
  <c r="N104" i="156"/>
  <c r="M104" i="156"/>
  <c r="L104" i="156"/>
  <c r="L108" i="156" s="1"/>
  <c r="K104" i="156"/>
  <c r="K108" i="156" s="1"/>
  <c r="J104" i="156"/>
  <c r="I104" i="156"/>
  <c r="H104" i="156"/>
  <c r="H108" i="156" s="1"/>
  <c r="G104" i="156"/>
  <c r="G108" i="156" s="1"/>
  <c r="F104" i="156"/>
  <c r="E104" i="156"/>
  <c r="E108" i="156" s="1"/>
  <c r="D104" i="156"/>
  <c r="C104" i="156"/>
  <c r="C108" i="156" s="1"/>
  <c r="N90" i="156"/>
  <c r="M90" i="156"/>
  <c r="L90" i="156"/>
  <c r="K90" i="156"/>
  <c r="J90" i="156"/>
  <c r="I90" i="156"/>
  <c r="H90" i="156"/>
  <c r="G90" i="156"/>
  <c r="F90" i="156"/>
  <c r="E90" i="156"/>
  <c r="D90" i="156"/>
  <c r="C90" i="156"/>
  <c r="O90" i="156" s="1"/>
  <c r="D30" i="156" s="1"/>
  <c r="D420" i="156" s="1"/>
  <c r="N89" i="156"/>
  <c r="M89" i="156"/>
  <c r="L89" i="156"/>
  <c r="K89" i="156"/>
  <c r="J89" i="156"/>
  <c r="I89" i="156"/>
  <c r="H89" i="156"/>
  <c r="G89" i="156"/>
  <c r="F89" i="156"/>
  <c r="E89" i="156"/>
  <c r="D89" i="156"/>
  <c r="C89" i="156"/>
  <c r="O89" i="156" s="1"/>
  <c r="D29" i="156" s="1"/>
  <c r="D419" i="156" s="1"/>
  <c r="N88" i="156"/>
  <c r="M88" i="156"/>
  <c r="L88" i="156"/>
  <c r="K88" i="156"/>
  <c r="J88" i="156"/>
  <c r="I88" i="156"/>
  <c r="H88" i="156"/>
  <c r="G88" i="156"/>
  <c r="F88" i="156"/>
  <c r="E88" i="156"/>
  <c r="D88" i="156"/>
  <c r="C88" i="156"/>
  <c r="N87" i="156"/>
  <c r="M87" i="156"/>
  <c r="L87" i="156"/>
  <c r="K87" i="156"/>
  <c r="J87" i="156"/>
  <c r="I87" i="156"/>
  <c r="H87" i="156"/>
  <c r="G87" i="156"/>
  <c r="F87" i="156"/>
  <c r="E87" i="156"/>
  <c r="D87" i="156"/>
  <c r="C87" i="156"/>
  <c r="C92" i="156" s="1"/>
  <c r="C94" i="156" s="1"/>
  <c r="N86" i="156"/>
  <c r="M86" i="156"/>
  <c r="L86" i="156"/>
  <c r="K86" i="156"/>
  <c r="J86" i="156"/>
  <c r="I86" i="156"/>
  <c r="H86" i="156"/>
  <c r="G86" i="156"/>
  <c r="F86" i="156"/>
  <c r="E86" i="156"/>
  <c r="D86" i="156"/>
  <c r="D92" i="156" s="1"/>
  <c r="D94" i="156" s="1"/>
  <c r="C86" i="156"/>
  <c r="N85" i="156"/>
  <c r="M85" i="156"/>
  <c r="L85" i="156"/>
  <c r="K85" i="156"/>
  <c r="J85" i="156"/>
  <c r="I85" i="156"/>
  <c r="H85" i="156"/>
  <c r="G85" i="156"/>
  <c r="F85" i="156"/>
  <c r="E85" i="156"/>
  <c r="D85" i="156"/>
  <c r="C85" i="156"/>
  <c r="N84" i="156"/>
  <c r="M84" i="156"/>
  <c r="L84" i="156"/>
  <c r="K84" i="156"/>
  <c r="J84" i="156"/>
  <c r="I84" i="156"/>
  <c r="H84" i="156"/>
  <c r="G84" i="156"/>
  <c r="F84" i="156"/>
  <c r="E84" i="156"/>
  <c r="D84" i="156"/>
  <c r="C84" i="156"/>
  <c r="N83" i="156"/>
  <c r="M83" i="156"/>
  <c r="L83" i="156"/>
  <c r="K83" i="156"/>
  <c r="J83" i="156"/>
  <c r="I83" i="156"/>
  <c r="H83" i="156"/>
  <c r="G83" i="156"/>
  <c r="F83" i="156"/>
  <c r="E83" i="156"/>
  <c r="D83" i="156"/>
  <c r="C83" i="156"/>
  <c r="N82" i="156"/>
  <c r="N92" i="156" s="1"/>
  <c r="M82" i="156"/>
  <c r="M92" i="156" s="1"/>
  <c r="L82" i="156"/>
  <c r="L92" i="156" s="1"/>
  <c r="K82" i="156"/>
  <c r="K92" i="156" s="1"/>
  <c r="J82" i="156"/>
  <c r="J92" i="156" s="1"/>
  <c r="I82" i="156"/>
  <c r="H82" i="156"/>
  <c r="G82" i="156"/>
  <c r="G92" i="156" s="1"/>
  <c r="F82" i="156"/>
  <c r="F92" i="156" s="1"/>
  <c r="E82" i="156"/>
  <c r="D82" i="156"/>
  <c r="C82" i="156"/>
  <c r="N79" i="156"/>
  <c r="N94" i="156" s="1"/>
  <c r="K79" i="156"/>
  <c r="K94" i="156" s="1"/>
  <c r="I79" i="156"/>
  <c r="D79" i="156"/>
  <c r="N78" i="156"/>
  <c r="M78" i="156"/>
  <c r="L78" i="156"/>
  <c r="K78" i="156"/>
  <c r="J78" i="156"/>
  <c r="I78" i="156"/>
  <c r="H78" i="156"/>
  <c r="G78" i="156"/>
  <c r="F78" i="156"/>
  <c r="E78" i="156"/>
  <c r="D78" i="156"/>
  <c r="C78" i="156"/>
  <c r="N77" i="156"/>
  <c r="M77" i="156"/>
  <c r="L77" i="156"/>
  <c r="K77" i="156"/>
  <c r="J77" i="156"/>
  <c r="I77" i="156"/>
  <c r="H77" i="156"/>
  <c r="G77" i="156"/>
  <c r="F77" i="156"/>
  <c r="E77" i="156"/>
  <c r="D77" i="156"/>
  <c r="C77" i="156"/>
  <c r="N76" i="156"/>
  <c r="M76" i="156"/>
  <c r="L76" i="156"/>
  <c r="L79" i="156" s="1"/>
  <c r="L94" i="156" s="1"/>
  <c r="K76" i="156"/>
  <c r="J76" i="156"/>
  <c r="I76" i="156"/>
  <c r="H76" i="156"/>
  <c r="H79" i="156" s="1"/>
  <c r="G76" i="156"/>
  <c r="G79" i="156" s="1"/>
  <c r="G94" i="156" s="1"/>
  <c r="F76" i="156"/>
  <c r="E76" i="156"/>
  <c r="D76" i="156"/>
  <c r="C76" i="156"/>
  <c r="P75" i="156"/>
  <c r="N75" i="156"/>
  <c r="M75" i="156"/>
  <c r="M79" i="156" s="1"/>
  <c r="L75" i="156"/>
  <c r="K75" i="156"/>
  <c r="J75" i="156"/>
  <c r="J79" i="156" s="1"/>
  <c r="J94" i="156" s="1"/>
  <c r="I75" i="156"/>
  <c r="H75" i="156"/>
  <c r="G75" i="156"/>
  <c r="F75" i="156"/>
  <c r="E75" i="156"/>
  <c r="E79" i="156" s="1"/>
  <c r="D75" i="156"/>
  <c r="C75" i="156"/>
  <c r="C79" i="156" s="1"/>
  <c r="K65" i="156"/>
  <c r="J65" i="156"/>
  <c r="N63" i="156"/>
  <c r="N65" i="156" s="1"/>
  <c r="M63" i="156"/>
  <c r="L63" i="156"/>
  <c r="K63" i="156"/>
  <c r="J63" i="156"/>
  <c r="I63" i="156"/>
  <c r="O62" i="156"/>
  <c r="O61" i="156"/>
  <c r="O59" i="156"/>
  <c r="O58" i="156"/>
  <c r="O57" i="156"/>
  <c r="O56" i="156"/>
  <c r="O55" i="156"/>
  <c r="O54" i="156"/>
  <c r="N51" i="156"/>
  <c r="M51" i="156"/>
  <c r="L51" i="156"/>
  <c r="L65" i="156" s="1"/>
  <c r="K51" i="156"/>
  <c r="J51" i="156"/>
  <c r="I51" i="156"/>
  <c r="I65" i="156" s="1"/>
  <c r="O49" i="156"/>
  <c r="O48" i="156"/>
  <c r="C13" i="156" s="1"/>
  <c r="C403" i="156" s="1"/>
  <c r="O47" i="156"/>
  <c r="C30" i="156"/>
  <c r="C420" i="156" s="1"/>
  <c r="C29" i="156"/>
  <c r="C419" i="156" s="1"/>
  <c r="C28" i="156"/>
  <c r="C418" i="156" s="1"/>
  <c r="C26" i="156"/>
  <c r="C416" i="156" s="1"/>
  <c r="C25" i="156"/>
  <c r="C415" i="156" s="1"/>
  <c r="C23" i="156"/>
  <c r="C413" i="156" s="1"/>
  <c r="I22" i="156"/>
  <c r="I412" i="156" s="1"/>
  <c r="C22" i="156"/>
  <c r="C21" i="156"/>
  <c r="C20" i="156"/>
  <c r="C410" i="156" s="1"/>
  <c r="C15" i="156"/>
  <c r="C405" i="156" s="1"/>
  <c r="C14" i="156"/>
  <c r="C404" i="156" s="1"/>
  <c r="C12" i="156"/>
  <c r="C16" i="156" s="1"/>
  <c r="B2" i="156"/>
  <c r="N30" i="88"/>
  <c r="M30" i="88"/>
  <c r="L30" i="88"/>
  <c r="K30" i="88"/>
  <c r="J30" i="88"/>
  <c r="N24" i="88"/>
  <c r="M24" i="88"/>
  <c r="L24" i="88"/>
  <c r="K24" i="88"/>
  <c r="J24" i="88"/>
  <c r="N23" i="88"/>
  <c r="M23" i="88"/>
  <c r="L23" i="88"/>
  <c r="K23" i="88"/>
  <c r="J23" i="88"/>
  <c r="J14" i="88"/>
  <c r="K14" i="88"/>
  <c r="L14" i="88"/>
  <c r="M14" i="88"/>
  <c r="N14" i="88"/>
  <c r="J15" i="88"/>
  <c r="K15" i="88"/>
  <c r="L15" i="88"/>
  <c r="M15" i="88"/>
  <c r="N15" i="88"/>
  <c r="N12" i="88"/>
  <c r="M12" i="88"/>
  <c r="L12" i="88"/>
  <c r="K12" i="88"/>
  <c r="J12" i="88"/>
  <c r="I424" i="88"/>
  <c r="H424" i="88"/>
  <c r="G424" i="88"/>
  <c r="F424" i="88"/>
  <c r="D424" i="88"/>
  <c r="C406" i="88"/>
  <c r="I422" i="88"/>
  <c r="H422" i="88"/>
  <c r="G422" i="88"/>
  <c r="F422" i="88"/>
  <c r="D422" i="88"/>
  <c r="I421" i="88"/>
  <c r="H421" i="88"/>
  <c r="G421" i="88"/>
  <c r="F421" i="88"/>
  <c r="E421" i="88"/>
  <c r="D421" i="88"/>
  <c r="C421" i="88"/>
  <c r="F417" i="88"/>
  <c r="E417" i="88"/>
  <c r="D417" i="88"/>
  <c r="C417" i="88"/>
  <c r="D414" i="88"/>
  <c r="C414" i="88"/>
  <c r="I408" i="88"/>
  <c r="H408" i="88"/>
  <c r="G408" i="88"/>
  <c r="F408" i="88"/>
  <c r="E408" i="88"/>
  <c r="D408" i="88"/>
  <c r="C408" i="88"/>
  <c r="I407" i="88"/>
  <c r="H407" i="88"/>
  <c r="G407" i="88"/>
  <c r="F407" i="88"/>
  <c r="E407" i="88"/>
  <c r="D407" i="88"/>
  <c r="C407" i="88"/>
  <c r="N392" i="88"/>
  <c r="M392" i="88"/>
  <c r="L392" i="88"/>
  <c r="K392" i="88"/>
  <c r="J392" i="88"/>
  <c r="I392" i="88"/>
  <c r="H392" i="88"/>
  <c r="G392" i="88"/>
  <c r="F392" i="88"/>
  <c r="E392" i="88"/>
  <c r="D392" i="88"/>
  <c r="C392" i="88"/>
  <c r="N386" i="88"/>
  <c r="M386" i="88"/>
  <c r="L386" i="88"/>
  <c r="K386" i="88"/>
  <c r="J386" i="88"/>
  <c r="I386" i="88"/>
  <c r="H386" i="88"/>
  <c r="G386" i="88"/>
  <c r="F386" i="88"/>
  <c r="E386" i="88"/>
  <c r="D386" i="88"/>
  <c r="C386" i="88"/>
  <c r="N385" i="88"/>
  <c r="M385" i="88"/>
  <c r="L385" i="88"/>
  <c r="K385" i="88"/>
  <c r="J385" i="88"/>
  <c r="I385" i="88"/>
  <c r="H385" i="88"/>
  <c r="G385" i="88"/>
  <c r="F385" i="88"/>
  <c r="E385" i="88"/>
  <c r="D385" i="88"/>
  <c r="C385" i="88"/>
  <c r="O380" i="88"/>
  <c r="N377" i="88"/>
  <c r="M377" i="88"/>
  <c r="L377" i="88"/>
  <c r="K377" i="88"/>
  <c r="J377" i="88"/>
  <c r="I377" i="88"/>
  <c r="H377" i="88"/>
  <c r="G377" i="88"/>
  <c r="F377" i="88"/>
  <c r="E377" i="88"/>
  <c r="D377" i="88"/>
  <c r="C377" i="88"/>
  <c r="N376" i="88"/>
  <c r="M376" i="88"/>
  <c r="L376" i="88"/>
  <c r="K376" i="88"/>
  <c r="J376" i="88"/>
  <c r="I376" i="88"/>
  <c r="H376" i="88"/>
  <c r="G376" i="88"/>
  <c r="F376" i="88"/>
  <c r="E376" i="88"/>
  <c r="D376" i="88"/>
  <c r="C376" i="88"/>
  <c r="N374" i="88"/>
  <c r="M374" i="88"/>
  <c r="L374" i="88"/>
  <c r="K374" i="88"/>
  <c r="J374" i="88"/>
  <c r="I374" i="88"/>
  <c r="H374" i="88"/>
  <c r="G374" i="88"/>
  <c r="F374" i="88"/>
  <c r="E374" i="88"/>
  <c r="D374" i="88"/>
  <c r="C374" i="88"/>
  <c r="N364" i="88"/>
  <c r="M364" i="88"/>
  <c r="L364" i="88"/>
  <c r="K364" i="88"/>
  <c r="J364" i="88"/>
  <c r="I364" i="88"/>
  <c r="H364" i="88"/>
  <c r="G364" i="88"/>
  <c r="F364" i="88"/>
  <c r="E364" i="88"/>
  <c r="D364" i="88"/>
  <c r="C364" i="88"/>
  <c r="N358" i="88"/>
  <c r="M358" i="88"/>
  <c r="L358" i="88"/>
  <c r="K358" i="88"/>
  <c r="J358" i="88"/>
  <c r="I358" i="88"/>
  <c r="H358" i="88"/>
  <c r="G358" i="88"/>
  <c r="F358" i="88"/>
  <c r="E358" i="88"/>
  <c r="D358" i="88"/>
  <c r="C358" i="88"/>
  <c r="N357" i="88"/>
  <c r="M357" i="88"/>
  <c r="L357" i="88"/>
  <c r="K357" i="88"/>
  <c r="J357" i="88"/>
  <c r="I357" i="88"/>
  <c r="H357" i="88"/>
  <c r="G357" i="88"/>
  <c r="F357" i="88"/>
  <c r="E357" i="88"/>
  <c r="D357" i="88"/>
  <c r="C357" i="88"/>
  <c r="O352" i="88"/>
  <c r="N349" i="88"/>
  <c r="M349" i="88"/>
  <c r="L349" i="88"/>
  <c r="K349" i="88"/>
  <c r="J349" i="88"/>
  <c r="I349" i="88"/>
  <c r="H349" i="88"/>
  <c r="G349" i="88"/>
  <c r="F349" i="88"/>
  <c r="E349" i="88"/>
  <c r="D349" i="88"/>
  <c r="C349" i="88"/>
  <c r="N348" i="88"/>
  <c r="M348" i="88"/>
  <c r="L348" i="88"/>
  <c r="K348" i="88"/>
  <c r="J348" i="88"/>
  <c r="I348" i="88"/>
  <c r="H348" i="88"/>
  <c r="G348" i="88"/>
  <c r="F348" i="88"/>
  <c r="E348" i="88"/>
  <c r="D348" i="88"/>
  <c r="C348" i="88"/>
  <c r="N346" i="88"/>
  <c r="M346" i="88"/>
  <c r="L346" i="88"/>
  <c r="K346" i="88"/>
  <c r="J346" i="88"/>
  <c r="I346" i="88"/>
  <c r="H346" i="88"/>
  <c r="G346" i="88"/>
  <c r="F346" i="88"/>
  <c r="E346" i="88"/>
  <c r="D346" i="88"/>
  <c r="C346" i="88"/>
  <c r="N336" i="88"/>
  <c r="M336" i="88"/>
  <c r="L336" i="88"/>
  <c r="K336" i="88"/>
  <c r="J336" i="88"/>
  <c r="I336" i="88"/>
  <c r="H336" i="88"/>
  <c r="G336" i="88"/>
  <c r="F336" i="88"/>
  <c r="E336" i="88"/>
  <c r="D336" i="88"/>
  <c r="C336" i="88"/>
  <c r="N330" i="88"/>
  <c r="M330" i="88"/>
  <c r="L330" i="88"/>
  <c r="K330" i="88"/>
  <c r="J330" i="88"/>
  <c r="I330" i="88"/>
  <c r="H330" i="88"/>
  <c r="G330" i="88"/>
  <c r="F330" i="88"/>
  <c r="E330" i="88"/>
  <c r="D330" i="88"/>
  <c r="C330" i="88"/>
  <c r="N329" i="88"/>
  <c r="M329" i="88"/>
  <c r="L329" i="88"/>
  <c r="K329" i="88"/>
  <c r="J329" i="88"/>
  <c r="I329" i="88"/>
  <c r="H329" i="88"/>
  <c r="G329" i="88"/>
  <c r="F329" i="88"/>
  <c r="E329" i="88"/>
  <c r="D329" i="88"/>
  <c r="C329" i="88"/>
  <c r="O324" i="88"/>
  <c r="N321" i="88"/>
  <c r="M321" i="88"/>
  <c r="L321" i="88"/>
  <c r="K321" i="88"/>
  <c r="J321" i="88"/>
  <c r="I321" i="88"/>
  <c r="H321" i="88"/>
  <c r="G321" i="88"/>
  <c r="F321" i="88"/>
  <c r="E321" i="88"/>
  <c r="D321" i="88"/>
  <c r="C321" i="88"/>
  <c r="N320" i="88"/>
  <c r="M320" i="88"/>
  <c r="L320" i="88"/>
  <c r="K320" i="88"/>
  <c r="J320" i="88"/>
  <c r="I320" i="88"/>
  <c r="H320" i="88"/>
  <c r="G320" i="88"/>
  <c r="F320" i="88"/>
  <c r="E320" i="88"/>
  <c r="D320" i="88"/>
  <c r="C320" i="88"/>
  <c r="N318" i="88"/>
  <c r="M318" i="88"/>
  <c r="L318" i="88"/>
  <c r="K318" i="88"/>
  <c r="J318" i="88"/>
  <c r="I318" i="88"/>
  <c r="H318" i="88"/>
  <c r="G318" i="88"/>
  <c r="F318" i="88"/>
  <c r="E318" i="88"/>
  <c r="D318" i="88"/>
  <c r="C318" i="88"/>
  <c r="N308" i="88"/>
  <c r="M308" i="88"/>
  <c r="L308" i="88"/>
  <c r="K308" i="88"/>
  <c r="J308" i="88"/>
  <c r="I308" i="88"/>
  <c r="H308" i="88"/>
  <c r="G308" i="88"/>
  <c r="F308" i="88"/>
  <c r="E308" i="88"/>
  <c r="D308" i="88"/>
  <c r="C308" i="88"/>
  <c r="N302" i="88"/>
  <c r="M302" i="88"/>
  <c r="L302" i="88"/>
  <c r="K302" i="88"/>
  <c r="J302" i="88"/>
  <c r="I302" i="88"/>
  <c r="H302" i="88"/>
  <c r="G302" i="88"/>
  <c r="F302" i="88"/>
  <c r="E302" i="88"/>
  <c r="D302" i="88"/>
  <c r="C302" i="88"/>
  <c r="N301" i="88"/>
  <c r="M301" i="88"/>
  <c r="L301" i="88"/>
  <c r="K301" i="88"/>
  <c r="J301" i="88"/>
  <c r="I301" i="88"/>
  <c r="H301" i="88"/>
  <c r="G301" i="88"/>
  <c r="F301" i="88"/>
  <c r="E301" i="88"/>
  <c r="D301" i="88"/>
  <c r="C301" i="88"/>
  <c r="O296" i="88"/>
  <c r="N293" i="88"/>
  <c r="M293" i="88"/>
  <c r="L293" i="88"/>
  <c r="K293" i="88"/>
  <c r="J293" i="88"/>
  <c r="I293" i="88"/>
  <c r="H293" i="88"/>
  <c r="G293" i="88"/>
  <c r="F293" i="88"/>
  <c r="E293" i="88"/>
  <c r="D293" i="88"/>
  <c r="C293" i="88"/>
  <c r="N292" i="88"/>
  <c r="M292" i="88"/>
  <c r="L292" i="88"/>
  <c r="K292" i="88"/>
  <c r="J292" i="88"/>
  <c r="I292" i="88"/>
  <c r="H292" i="88"/>
  <c r="G292" i="88"/>
  <c r="F292" i="88"/>
  <c r="E292" i="88"/>
  <c r="D292" i="88"/>
  <c r="C292" i="88"/>
  <c r="N290" i="88"/>
  <c r="M290" i="88"/>
  <c r="L290" i="88"/>
  <c r="K290" i="88"/>
  <c r="J290" i="88"/>
  <c r="I290" i="88"/>
  <c r="H290" i="88"/>
  <c r="G290" i="88"/>
  <c r="F290" i="88"/>
  <c r="E290" i="88"/>
  <c r="D290" i="88"/>
  <c r="C290" i="88"/>
  <c r="N280" i="88"/>
  <c r="M280" i="88"/>
  <c r="L280" i="88"/>
  <c r="K280" i="88"/>
  <c r="J280" i="88"/>
  <c r="I280" i="88"/>
  <c r="H280" i="88"/>
  <c r="G280" i="88"/>
  <c r="F280" i="88"/>
  <c r="E280" i="88"/>
  <c r="D280" i="88"/>
  <c r="C280" i="88"/>
  <c r="N274" i="88"/>
  <c r="M274" i="88"/>
  <c r="L274" i="88"/>
  <c r="K274" i="88"/>
  <c r="J274" i="88"/>
  <c r="I274" i="88"/>
  <c r="H274" i="88"/>
  <c r="G274" i="88"/>
  <c r="F274" i="88"/>
  <c r="E274" i="88"/>
  <c r="D274" i="88"/>
  <c r="C274" i="88"/>
  <c r="N273" i="88"/>
  <c r="M273" i="88"/>
  <c r="L273" i="88"/>
  <c r="K273" i="88"/>
  <c r="J273" i="88"/>
  <c r="I273" i="88"/>
  <c r="H273" i="88"/>
  <c r="G273" i="88"/>
  <c r="F273" i="88"/>
  <c r="E273" i="88"/>
  <c r="D273" i="88"/>
  <c r="C273" i="88"/>
  <c r="O268" i="88"/>
  <c r="N265" i="88"/>
  <c r="M265" i="88"/>
  <c r="L265" i="88"/>
  <c r="K265" i="88"/>
  <c r="J265" i="88"/>
  <c r="I265" i="88"/>
  <c r="H265" i="88"/>
  <c r="G265" i="88"/>
  <c r="F265" i="88"/>
  <c r="E265" i="88"/>
  <c r="D265" i="88"/>
  <c r="C265" i="88"/>
  <c r="N264" i="88"/>
  <c r="M264" i="88"/>
  <c r="L264" i="88"/>
  <c r="K264" i="88"/>
  <c r="J264" i="88"/>
  <c r="I264" i="88"/>
  <c r="H264" i="88"/>
  <c r="G264" i="88"/>
  <c r="F264" i="88"/>
  <c r="E264" i="88"/>
  <c r="D264" i="88"/>
  <c r="C264" i="88"/>
  <c r="N262" i="88"/>
  <c r="M262" i="88"/>
  <c r="L262" i="88"/>
  <c r="K262" i="88"/>
  <c r="J262" i="88"/>
  <c r="I262" i="88"/>
  <c r="H262" i="88"/>
  <c r="G262" i="88"/>
  <c r="F262" i="88"/>
  <c r="E262" i="88"/>
  <c r="D262" i="88"/>
  <c r="C262" i="88"/>
  <c r="O71" i="155"/>
  <c r="P71" i="155" s="1"/>
  <c r="N71" i="155"/>
  <c r="M71" i="155"/>
  <c r="E71" i="155"/>
  <c r="D71" i="155"/>
  <c r="C71" i="155"/>
  <c r="L71" i="155"/>
  <c r="K71" i="155"/>
  <c r="J71" i="155"/>
  <c r="I71" i="155"/>
  <c r="H71" i="155"/>
  <c r="N30" i="154"/>
  <c r="M30" i="154"/>
  <c r="L30" i="154"/>
  <c r="K30" i="154"/>
  <c r="J30" i="154"/>
  <c r="N24" i="154"/>
  <c r="M24" i="154"/>
  <c r="L24" i="154"/>
  <c r="K24" i="154"/>
  <c r="J24" i="154"/>
  <c r="N23" i="154"/>
  <c r="M23" i="154"/>
  <c r="L23" i="154"/>
  <c r="K23" i="154"/>
  <c r="J23" i="154"/>
  <c r="N15" i="154"/>
  <c r="M15" i="154"/>
  <c r="L15" i="154"/>
  <c r="K15" i="154"/>
  <c r="J15" i="154"/>
  <c r="N14" i="154"/>
  <c r="M14" i="154"/>
  <c r="L14" i="154"/>
  <c r="K14" i="154"/>
  <c r="J14" i="154"/>
  <c r="N12" i="154"/>
  <c r="M12" i="154"/>
  <c r="L12" i="154"/>
  <c r="K12" i="154"/>
  <c r="J12" i="154"/>
  <c r="O391" i="154"/>
  <c r="O385" i="154"/>
  <c r="O384" i="154"/>
  <c r="O379" i="154"/>
  <c r="O376" i="154"/>
  <c r="O375" i="154"/>
  <c r="N373" i="154"/>
  <c r="M373" i="154"/>
  <c r="L373" i="154"/>
  <c r="K373" i="154"/>
  <c r="J373" i="154"/>
  <c r="I373" i="154"/>
  <c r="H373" i="154"/>
  <c r="G373" i="154"/>
  <c r="F373" i="154"/>
  <c r="E373" i="154"/>
  <c r="D373" i="154"/>
  <c r="C373" i="154"/>
  <c r="P373" i="154"/>
  <c r="O363" i="154"/>
  <c r="O357" i="154"/>
  <c r="O356" i="154"/>
  <c r="O351" i="154"/>
  <c r="O348" i="154"/>
  <c r="O347" i="154"/>
  <c r="N345" i="154"/>
  <c r="M345" i="154"/>
  <c r="L345" i="154"/>
  <c r="K345" i="154"/>
  <c r="J345" i="154"/>
  <c r="I345" i="154"/>
  <c r="H345" i="154"/>
  <c r="G345" i="154"/>
  <c r="F345" i="154"/>
  <c r="E345" i="154"/>
  <c r="D345" i="154"/>
  <c r="C345" i="154"/>
  <c r="O345" i="154" s="1"/>
  <c r="P345" i="154"/>
  <c r="N317" i="154"/>
  <c r="M317" i="154"/>
  <c r="L317" i="154"/>
  <c r="K317" i="154"/>
  <c r="J317" i="154"/>
  <c r="I317" i="154"/>
  <c r="H317" i="154"/>
  <c r="G317" i="154"/>
  <c r="F317" i="154"/>
  <c r="E317" i="154"/>
  <c r="D317" i="154"/>
  <c r="C317" i="154"/>
  <c r="P317" i="154"/>
  <c r="N289" i="154"/>
  <c r="M289" i="154"/>
  <c r="L289" i="154"/>
  <c r="K289" i="154"/>
  <c r="J289" i="154"/>
  <c r="I289" i="154"/>
  <c r="H289" i="154"/>
  <c r="G289" i="154"/>
  <c r="F289" i="154"/>
  <c r="E289" i="154"/>
  <c r="D289" i="154"/>
  <c r="C289" i="154"/>
  <c r="P289" i="154"/>
  <c r="N261" i="154"/>
  <c r="M261" i="154"/>
  <c r="L261" i="154"/>
  <c r="K261" i="154"/>
  <c r="J261" i="154"/>
  <c r="I261" i="154"/>
  <c r="H261" i="154"/>
  <c r="G261" i="154"/>
  <c r="F261" i="154"/>
  <c r="E261" i="154"/>
  <c r="D261" i="154"/>
  <c r="C261" i="154"/>
  <c r="P264" i="154"/>
  <c r="P263" i="154"/>
  <c r="P261" i="154"/>
  <c r="I423" i="154"/>
  <c r="H423" i="154"/>
  <c r="G423" i="154"/>
  <c r="F423" i="154"/>
  <c r="I421" i="154"/>
  <c r="H421" i="154"/>
  <c r="G421" i="154"/>
  <c r="F421" i="154"/>
  <c r="E420" i="154"/>
  <c r="F420" i="154"/>
  <c r="G420" i="154"/>
  <c r="H420" i="154"/>
  <c r="I420" i="154"/>
  <c r="F419" i="154"/>
  <c r="I405" i="154"/>
  <c r="H405" i="154"/>
  <c r="G405" i="154"/>
  <c r="F405" i="154"/>
  <c r="D405" i="154"/>
  <c r="I422" i="154"/>
  <c r="H422" i="154"/>
  <c r="G422" i="154"/>
  <c r="F422" i="154"/>
  <c r="E422" i="154"/>
  <c r="D422" i="154"/>
  <c r="D420" i="154"/>
  <c r="I419" i="154"/>
  <c r="H419" i="154"/>
  <c r="G419" i="154"/>
  <c r="D419" i="154"/>
  <c r="I418" i="154"/>
  <c r="H418" i="154"/>
  <c r="G418" i="154"/>
  <c r="F418" i="154"/>
  <c r="D418" i="154"/>
  <c r="I417" i="154"/>
  <c r="H417" i="154"/>
  <c r="G417" i="154"/>
  <c r="F417" i="154"/>
  <c r="D417" i="154"/>
  <c r="I416" i="154"/>
  <c r="H416" i="154"/>
  <c r="G416" i="154"/>
  <c r="F416" i="154"/>
  <c r="E416" i="154"/>
  <c r="D416" i="154"/>
  <c r="I415" i="154"/>
  <c r="H415" i="154"/>
  <c r="G415" i="154"/>
  <c r="F415" i="154"/>
  <c r="D415" i="154"/>
  <c r="I414" i="154"/>
  <c r="H414" i="154"/>
  <c r="G414" i="154"/>
  <c r="F414" i="154"/>
  <c r="D414" i="154"/>
  <c r="I413" i="154"/>
  <c r="H413" i="154"/>
  <c r="G413" i="154"/>
  <c r="F413" i="154"/>
  <c r="E413" i="154"/>
  <c r="D413" i="154"/>
  <c r="I412" i="154"/>
  <c r="H412" i="154"/>
  <c r="G412" i="154"/>
  <c r="F412" i="154"/>
  <c r="E412" i="154"/>
  <c r="D412" i="154"/>
  <c r="I411" i="154"/>
  <c r="H411" i="154"/>
  <c r="G411" i="154"/>
  <c r="F411" i="154"/>
  <c r="D411" i="154"/>
  <c r="I410" i="154"/>
  <c r="H410" i="154"/>
  <c r="G410" i="154"/>
  <c r="F410" i="154"/>
  <c r="D410" i="154"/>
  <c r="I409" i="154"/>
  <c r="H409" i="154"/>
  <c r="G409" i="154"/>
  <c r="F409" i="154"/>
  <c r="D409" i="154"/>
  <c r="I408" i="154"/>
  <c r="H408" i="154"/>
  <c r="G408" i="154"/>
  <c r="F408" i="154"/>
  <c r="D408" i="154"/>
  <c r="I404" i="154"/>
  <c r="H404" i="154"/>
  <c r="G404" i="154"/>
  <c r="F404" i="154"/>
  <c r="E404" i="154"/>
  <c r="D404" i="154"/>
  <c r="I403" i="154"/>
  <c r="H403" i="154"/>
  <c r="G403" i="154"/>
  <c r="F403" i="154"/>
  <c r="E403" i="154"/>
  <c r="D403" i="154"/>
  <c r="I402" i="154"/>
  <c r="H402" i="154"/>
  <c r="G402" i="154"/>
  <c r="F402" i="154"/>
  <c r="D402" i="154"/>
  <c r="I401" i="154"/>
  <c r="H401" i="154"/>
  <c r="G401" i="154"/>
  <c r="F401" i="154"/>
  <c r="D401" i="154"/>
  <c r="I421" i="153"/>
  <c r="I423" i="153" s="1"/>
  <c r="H421" i="153"/>
  <c r="H423" i="153" s="1"/>
  <c r="G421" i="153"/>
  <c r="G423" i="153" s="1"/>
  <c r="F421" i="153"/>
  <c r="F423" i="153" s="1"/>
  <c r="E421" i="153"/>
  <c r="E423" i="153" s="1"/>
  <c r="D421" i="153"/>
  <c r="D423" i="153" s="1"/>
  <c r="I420" i="153"/>
  <c r="H420" i="153"/>
  <c r="G420" i="153"/>
  <c r="F420" i="153"/>
  <c r="E420" i="153"/>
  <c r="D420" i="153"/>
  <c r="I419" i="153"/>
  <c r="H419" i="153"/>
  <c r="G419" i="153"/>
  <c r="F419" i="153"/>
  <c r="E419" i="153"/>
  <c r="D419" i="153"/>
  <c r="I418" i="153"/>
  <c r="H418" i="153"/>
  <c r="G418" i="153"/>
  <c r="F418" i="153"/>
  <c r="E418" i="153"/>
  <c r="D418" i="153"/>
  <c r="I417" i="153"/>
  <c r="H417" i="153"/>
  <c r="G417" i="153"/>
  <c r="F417" i="153"/>
  <c r="E417" i="153"/>
  <c r="D417" i="153"/>
  <c r="I416" i="153"/>
  <c r="H416" i="153"/>
  <c r="G416" i="153"/>
  <c r="F416" i="153"/>
  <c r="E416" i="153"/>
  <c r="D416" i="153"/>
  <c r="I415" i="153"/>
  <c r="H415" i="153"/>
  <c r="G415" i="153"/>
  <c r="F415" i="153"/>
  <c r="E415" i="153"/>
  <c r="D415" i="153"/>
  <c r="I414" i="153"/>
  <c r="H414" i="153"/>
  <c r="G414" i="153"/>
  <c r="F414" i="153"/>
  <c r="E414" i="153"/>
  <c r="D414" i="153"/>
  <c r="I413" i="153"/>
  <c r="H413" i="153"/>
  <c r="G413" i="153"/>
  <c r="F413" i="153"/>
  <c r="E413" i="153"/>
  <c r="D413" i="153"/>
  <c r="I412" i="153"/>
  <c r="H412" i="153"/>
  <c r="G412" i="153"/>
  <c r="F412" i="153"/>
  <c r="E412" i="153"/>
  <c r="D412" i="153"/>
  <c r="I411" i="153"/>
  <c r="H411" i="153"/>
  <c r="G411" i="153"/>
  <c r="F411" i="153"/>
  <c r="E411" i="153"/>
  <c r="D411" i="153"/>
  <c r="I410" i="153"/>
  <c r="H410" i="153"/>
  <c r="G410" i="153"/>
  <c r="F410" i="153"/>
  <c r="E410" i="153"/>
  <c r="D410" i="153"/>
  <c r="I409" i="153"/>
  <c r="H409" i="153"/>
  <c r="G409" i="153"/>
  <c r="F409" i="153"/>
  <c r="E409" i="153"/>
  <c r="D409" i="153"/>
  <c r="I408" i="153"/>
  <c r="H408" i="153"/>
  <c r="G408" i="153"/>
  <c r="F408" i="153"/>
  <c r="E408" i="153"/>
  <c r="D408" i="153"/>
  <c r="I405" i="153"/>
  <c r="H405" i="153"/>
  <c r="G405" i="153"/>
  <c r="F405" i="153"/>
  <c r="E405" i="153"/>
  <c r="D405" i="153"/>
  <c r="I404" i="153"/>
  <c r="H404" i="153"/>
  <c r="G404" i="153"/>
  <c r="F404" i="153"/>
  <c r="E404" i="153"/>
  <c r="D404" i="153"/>
  <c r="I403" i="153"/>
  <c r="H403" i="153"/>
  <c r="G403" i="153"/>
  <c r="F403" i="153"/>
  <c r="E403" i="153"/>
  <c r="D403" i="153"/>
  <c r="I402" i="153"/>
  <c r="H402" i="153"/>
  <c r="G402" i="153"/>
  <c r="F402" i="153"/>
  <c r="E402" i="153"/>
  <c r="D402" i="153"/>
  <c r="I401" i="153"/>
  <c r="H401" i="153"/>
  <c r="G401" i="153"/>
  <c r="F401" i="153"/>
  <c r="E401" i="153"/>
  <c r="D401" i="153"/>
  <c r="N31" i="153"/>
  <c r="M31" i="153"/>
  <c r="L31" i="153"/>
  <c r="K31" i="153"/>
  <c r="J31" i="153"/>
  <c r="N30" i="153"/>
  <c r="M30" i="153"/>
  <c r="L30" i="153"/>
  <c r="K30" i="153"/>
  <c r="J30" i="153"/>
  <c r="N28" i="153"/>
  <c r="M28" i="153"/>
  <c r="L28" i="153"/>
  <c r="K28" i="153"/>
  <c r="J28" i="153"/>
  <c r="N27" i="153"/>
  <c r="M27" i="153"/>
  <c r="L27" i="153"/>
  <c r="K27" i="153"/>
  <c r="J27" i="153"/>
  <c r="N26" i="153"/>
  <c r="M26" i="153"/>
  <c r="L26" i="153"/>
  <c r="K26" i="153"/>
  <c r="J26" i="153"/>
  <c r="N25" i="153"/>
  <c r="M25" i="153"/>
  <c r="L25" i="153"/>
  <c r="K25" i="153"/>
  <c r="J25" i="153"/>
  <c r="N24" i="153"/>
  <c r="M24" i="153"/>
  <c r="L24" i="153"/>
  <c r="K24" i="153"/>
  <c r="J24" i="153"/>
  <c r="N23" i="153"/>
  <c r="M23" i="153"/>
  <c r="L23" i="153"/>
  <c r="K23" i="153"/>
  <c r="J23" i="153"/>
  <c r="N22" i="153"/>
  <c r="M22" i="153"/>
  <c r="L22" i="153"/>
  <c r="K22" i="153"/>
  <c r="J22" i="153"/>
  <c r="N21" i="153"/>
  <c r="M21" i="153"/>
  <c r="L21" i="153"/>
  <c r="K21" i="153"/>
  <c r="J21" i="153"/>
  <c r="N20" i="153"/>
  <c r="M20" i="153"/>
  <c r="L20" i="153"/>
  <c r="K20" i="153"/>
  <c r="J20" i="153"/>
  <c r="N19" i="153"/>
  <c r="M19" i="153"/>
  <c r="L19" i="153"/>
  <c r="K19" i="153"/>
  <c r="J19" i="153"/>
  <c r="N15" i="153"/>
  <c r="M15" i="153"/>
  <c r="L15" i="153"/>
  <c r="K15" i="153"/>
  <c r="J15" i="153"/>
  <c r="N14" i="153"/>
  <c r="M14" i="153"/>
  <c r="L14" i="153"/>
  <c r="K14" i="153"/>
  <c r="J14" i="153"/>
  <c r="N373" i="153"/>
  <c r="M373" i="153"/>
  <c r="L373" i="153"/>
  <c r="K373" i="153"/>
  <c r="J373" i="153"/>
  <c r="I373" i="153"/>
  <c r="H373" i="153"/>
  <c r="G373" i="153"/>
  <c r="F373" i="153"/>
  <c r="E373" i="153"/>
  <c r="D373" i="153"/>
  <c r="C373" i="153"/>
  <c r="N345" i="153"/>
  <c r="M345" i="153"/>
  <c r="L345" i="153"/>
  <c r="K345" i="153"/>
  <c r="J345" i="153"/>
  <c r="I345" i="153"/>
  <c r="H345" i="153"/>
  <c r="G345" i="153"/>
  <c r="F345" i="153"/>
  <c r="E345" i="153"/>
  <c r="D345" i="153"/>
  <c r="C345" i="153"/>
  <c r="N317" i="153"/>
  <c r="M317" i="153"/>
  <c r="L317" i="153"/>
  <c r="K317" i="153"/>
  <c r="J317" i="153"/>
  <c r="I317" i="153"/>
  <c r="H317" i="153"/>
  <c r="G317" i="153"/>
  <c r="F317" i="153"/>
  <c r="E317" i="153"/>
  <c r="D317" i="153"/>
  <c r="C317" i="153"/>
  <c r="N289" i="153"/>
  <c r="M289" i="153"/>
  <c r="L289" i="153"/>
  <c r="K289" i="153"/>
  <c r="J289" i="153"/>
  <c r="I289" i="153"/>
  <c r="H289" i="153"/>
  <c r="G289" i="153"/>
  <c r="F289" i="153"/>
  <c r="E289" i="153"/>
  <c r="D289" i="153"/>
  <c r="C289" i="153"/>
  <c r="O308" i="153"/>
  <c r="N261" i="153"/>
  <c r="M261" i="153"/>
  <c r="L261" i="153"/>
  <c r="K261" i="153"/>
  <c r="J261" i="153"/>
  <c r="I261" i="153"/>
  <c r="H261" i="153"/>
  <c r="G261" i="153"/>
  <c r="F261" i="153"/>
  <c r="E261" i="153"/>
  <c r="D261" i="153"/>
  <c r="C261" i="153"/>
  <c r="AD57" i="155"/>
  <c r="AC57" i="155"/>
  <c r="AB57" i="155"/>
  <c r="AA57" i="155"/>
  <c r="Z57" i="155"/>
  <c r="Y57" i="155"/>
  <c r="X57" i="155"/>
  <c r="W57" i="155"/>
  <c r="V57" i="155"/>
  <c r="U57" i="155"/>
  <c r="T57" i="155"/>
  <c r="S57" i="155"/>
  <c r="N56" i="155"/>
  <c r="M56" i="155"/>
  <c r="L56" i="155"/>
  <c r="K56" i="155"/>
  <c r="AA55" i="155" s="1"/>
  <c r="J56" i="155"/>
  <c r="Z55" i="155" s="1"/>
  <c r="I56" i="155"/>
  <c r="Y55" i="155" s="1"/>
  <c r="H56" i="155"/>
  <c r="G56" i="155"/>
  <c r="W55" i="155" s="1"/>
  <c r="F56" i="155"/>
  <c r="V55" i="155" s="1"/>
  <c r="E56" i="155"/>
  <c r="U55" i="155" s="1"/>
  <c r="D56" i="155"/>
  <c r="T55" i="155" s="1"/>
  <c r="C56" i="155"/>
  <c r="S55" i="155" s="1"/>
  <c r="AD44" i="155"/>
  <c r="AC44" i="155"/>
  <c r="AB44" i="155"/>
  <c r="AA44" i="155"/>
  <c r="Z44" i="155"/>
  <c r="Y44" i="155"/>
  <c r="X44" i="155"/>
  <c r="W44" i="155"/>
  <c r="V44" i="155"/>
  <c r="U44" i="155"/>
  <c r="T44" i="155"/>
  <c r="S44" i="155"/>
  <c r="N43" i="155"/>
  <c r="M43" i="155"/>
  <c r="AC42" i="155" s="1"/>
  <c r="L43" i="155"/>
  <c r="K43" i="155"/>
  <c r="AA42" i="155" s="1"/>
  <c r="J43" i="155"/>
  <c r="I43" i="155"/>
  <c r="Y42" i="155" s="1"/>
  <c r="H43" i="155"/>
  <c r="X42" i="155" s="1"/>
  <c r="G43" i="155"/>
  <c r="W42" i="155" s="1"/>
  <c r="F43" i="155"/>
  <c r="E43" i="155"/>
  <c r="D43" i="155"/>
  <c r="T42" i="155" s="1"/>
  <c r="C43" i="155"/>
  <c r="S42" i="155" s="1"/>
  <c r="AD42" i="155"/>
  <c r="AD31" i="155"/>
  <c r="AC31" i="155"/>
  <c r="AB31" i="155"/>
  <c r="AA31" i="155"/>
  <c r="Z31" i="155"/>
  <c r="Y31" i="155"/>
  <c r="X31" i="155"/>
  <c r="W31" i="155"/>
  <c r="V31" i="155"/>
  <c r="U31" i="155"/>
  <c r="T31" i="155"/>
  <c r="S31" i="155"/>
  <c r="N30" i="155"/>
  <c r="M30" i="155"/>
  <c r="L30" i="155"/>
  <c r="AB29" i="155" s="1"/>
  <c r="K30" i="155"/>
  <c r="J30" i="155"/>
  <c r="Z29" i="155" s="1"/>
  <c r="I30" i="155"/>
  <c r="Y29" i="155" s="1"/>
  <c r="H30" i="155"/>
  <c r="X29" i="155" s="1"/>
  <c r="G30" i="155"/>
  <c r="W29" i="155" s="1"/>
  <c r="F30" i="155"/>
  <c r="E30" i="155"/>
  <c r="D30" i="155"/>
  <c r="C30" i="155"/>
  <c r="S29" i="155" s="1"/>
  <c r="AD29" i="155"/>
  <c r="AD18" i="155"/>
  <c r="AC18" i="155"/>
  <c r="AB18" i="155"/>
  <c r="AA18" i="155"/>
  <c r="Z18" i="155"/>
  <c r="Y18" i="155"/>
  <c r="X18" i="155"/>
  <c r="W18" i="155"/>
  <c r="V18" i="155"/>
  <c r="U18" i="155"/>
  <c r="T18" i="155"/>
  <c r="S18" i="155"/>
  <c r="N17" i="155"/>
  <c r="AD16" i="155" s="1"/>
  <c r="M17" i="155"/>
  <c r="AC16" i="155" s="1"/>
  <c r="L17" i="155"/>
  <c r="AB16" i="155" s="1"/>
  <c r="K17" i="155"/>
  <c r="AA16" i="155" s="1"/>
  <c r="J17" i="155"/>
  <c r="I17" i="155"/>
  <c r="Y16" i="155" s="1"/>
  <c r="H17" i="155"/>
  <c r="X16" i="155" s="1"/>
  <c r="G17" i="155"/>
  <c r="W16" i="155" s="1"/>
  <c r="F17" i="155"/>
  <c r="V16" i="155" s="1"/>
  <c r="E17" i="155"/>
  <c r="D17" i="155"/>
  <c r="C17" i="155"/>
  <c r="AE7" i="155"/>
  <c r="N5" i="155"/>
  <c r="M5" i="155"/>
  <c r="AC4" i="155" s="1"/>
  <c r="L5" i="155"/>
  <c r="AB4" i="155" s="1"/>
  <c r="K5" i="155"/>
  <c r="AA4" i="155" s="1"/>
  <c r="J5" i="155"/>
  <c r="I5" i="155"/>
  <c r="Y4" i="155" s="1"/>
  <c r="H5" i="155"/>
  <c r="X4" i="155" s="1"/>
  <c r="G5" i="155"/>
  <c r="W4" i="155" s="1"/>
  <c r="F5" i="155"/>
  <c r="V4" i="155" s="1"/>
  <c r="E5" i="155"/>
  <c r="U4" i="155" s="1"/>
  <c r="D5" i="155"/>
  <c r="C5" i="155"/>
  <c r="S4" i="155" s="1"/>
  <c r="AD4" i="155"/>
  <c r="F28" i="151"/>
  <c r="E28" i="151"/>
  <c r="F26" i="151"/>
  <c r="E26" i="151"/>
  <c r="F25" i="151"/>
  <c r="E25" i="151"/>
  <c r="F24" i="151"/>
  <c r="E24" i="151"/>
  <c r="F23" i="151"/>
  <c r="E23" i="151"/>
  <c r="F22" i="151"/>
  <c r="E22" i="151"/>
  <c r="F19" i="151"/>
  <c r="E19" i="151"/>
  <c r="F18" i="151"/>
  <c r="E18" i="151"/>
  <c r="F17" i="151"/>
  <c r="E17" i="151"/>
  <c r="F16" i="151"/>
  <c r="E16" i="151"/>
  <c r="F12" i="151"/>
  <c r="E12" i="151"/>
  <c r="F11" i="151"/>
  <c r="E11" i="151"/>
  <c r="F10" i="151"/>
  <c r="E10" i="151"/>
  <c r="F9" i="151"/>
  <c r="E9" i="151"/>
  <c r="H13" i="132" l="1"/>
  <c r="H12" i="132" s="1"/>
  <c r="O13" i="98"/>
  <c r="F230" i="82"/>
  <c r="AK24" i="58"/>
  <c r="AK109" i="58" s="1"/>
  <c r="F224" i="82"/>
  <c r="F236" i="82"/>
  <c r="AL109" i="58"/>
  <c r="U109" i="58"/>
  <c r="Y66" i="58"/>
  <c r="Y24" i="58"/>
  <c r="AM66" i="58"/>
  <c r="AM24" i="58"/>
  <c r="AI109" i="58"/>
  <c r="W109" i="58"/>
  <c r="X109" i="58"/>
  <c r="AV62" i="58"/>
  <c r="T105" i="58"/>
  <c r="C122" i="156"/>
  <c r="C124" i="156" s="1"/>
  <c r="O121" i="156"/>
  <c r="E30" i="156" s="1"/>
  <c r="E420" i="156" s="1"/>
  <c r="N122" i="156"/>
  <c r="D122" i="156"/>
  <c r="G122" i="156"/>
  <c r="G124" i="156" s="1"/>
  <c r="J124" i="156"/>
  <c r="F122" i="156"/>
  <c r="K124" i="156"/>
  <c r="H124" i="156"/>
  <c r="L124" i="156"/>
  <c r="I108" i="156"/>
  <c r="D108" i="156"/>
  <c r="T96" i="58"/>
  <c r="D421" i="154"/>
  <c r="D423" i="154" s="1"/>
  <c r="G25" i="151"/>
  <c r="J25" i="151" s="1"/>
  <c r="G24" i="151"/>
  <c r="J24" i="151" s="1"/>
  <c r="E13" i="151"/>
  <c r="G18" i="151"/>
  <c r="J18" i="151" s="1"/>
  <c r="G26" i="151"/>
  <c r="J26" i="151" s="1"/>
  <c r="F13" i="151"/>
  <c r="G10" i="151"/>
  <c r="J10" i="151" s="1"/>
  <c r="G11" i="151"/>
  <c r="G23" i="151"/>
  <c r="J23" i="151" s="1"/>
  <c r="G16" i="151"/>
  <c r="J16" i="151" s="1"/>
  <c r="G17" i="151"/>
  <c r="J17" i="151" s="1"/>
  <c r="P148" i="156"/>
  <c r="F26" i="156"/>
  <c r="F416" i="156" s="1"/>
  <c r="P150" i="156"/>
  <c r="F29" i="156"/>
  <c r="F419" i="156" s="1"/>
  <c r="P151" i="156"/>
  <c r="F30" i="156"/>
  <c r="F420" i="156" s="1"/>
  <c r="G19" i="156"/>
  <c r="O185" i="156"/>
  <c r="P143" i="156"/>
  <c r="F21" i="156"/>
  <c r="F411" i="156" s="1"/>
  <c r="P146" i="156"/>
  <c r="F24" i="156"/>
  <c r="F414" i="156" s="1"/>
  <c r="P147" i="156"/>
  <c r="O174" i="156"/>
  <c r="G21" i="156" s="1"/>
  <c r="G411" i="156" s="1"/>
  <c r="O176" i="156"/>
  <c r="G23" i="156" s="1"/>
  <c r="G413" i="156" s="1"/>
  <c r="O63" i="156"/>
  <c r="C19" i="156"/>
  <c r="O180" i="156"/>
  <c r="G27" i="156" s="1"/>
  <c r="G417" i="156" s="1"/>
  <c r="O181" i="156"/>
  <c r="G28" i="156" s="1"/>
  <c r="G418" i="156" s="1"/>
  <c r="O182" i="156"/>
  <c r="G29" i="156" s="1"/>
  <c r="G419" i="156" s="1"/>
  <c r="M94" i="156"/>
  <c r="O184" i="156"/>
  <c r="G31" i="156" s="1"/>
  <c r="G421" i="156" s="1"/>
  <c r="O346" i="156"/>
  <c r="O135" i="156"/>
  <c r="O136" i="156"/>
  <c r="O137" i="156"/>
  <c r="O152" i="156"/>
  <c r="L169" i="156"/>
  <c r="E187" i="156"/>
  <c r="O318" i="156"/>
  <c r="O320" i="156"/>
  <c r="L14" i="156" s="1"/>
  <c r="O173" i="156"/>
  <c r="G20" i="156" s="1"/>
  <c r="G410" i="156" s="1"/>
  <c r="I124" i="156"/>
  <c r="O177" i="156"/>
  <c r="G24" i="156" s="1"/>
  <c r="G414" i="156" s="1"/>
  <c r="O149" i="156"/>
  <c r="I219" i="156"/>
  <c r="J155" i="156"/>
  <c r="F187" i="156"/>
  <c r="O197" i="156"/>
  <c r="K153" i="156"/>
  <c r="K155" i="156" s="1"/>
  <c r="O165" i="156"/>
  <c r="O198" i="156"/>
  <c r="H13" i="156" s="1"/>
  <c r="H403" i="156" s="1"/>
  <c r="O199" i="156"/>
  <c r="H14" i="156" s="1"/>
  <c r="H404" i="156" s="1"/>
  <c r="O262" i="156"/>
  <c r="O264" i="156"/>
  <c r="J14" i="156" s="1"/>
  <c r="O265" i="156"/>
  <c r="J15" i="156" s="1"/>
  <c r="I94" i="156"/>
  <c r="M124" i="156"/>
  <c r="L155" i="156"/>
  <c r="J252" i="156"/>
  <c r="O86" i="156"/>
  <c r="D23" i="156" s="1"/>
  <c r="D413" i="156" s="1"/>
  <c r="O87" i="156"/>
  <c r="D25" i="156" s="1"/>
  <c r="D415" i="156" s="1"/>
  <c r="O113" i="156"/>
  <c r="E21" i="156" s="1"/>
  <c r="E411" i="156" s="1"/>
  <c r="O114" i="156"/>
  <c r="E22" i="156" s="1"/>
  <c r="E412" i="156" s="1"/>
  <c r="H217" i="156"/>
  <c r="H219" i="156" s="1"/>
  <c r="M252" i="156"/>
  <c r="O336" i="156"/>
  <c r="L30" i="156" s="1"/>
  <c r="O385" i="156"/>
  <c r="N23" i="156" s="1"/>
  <c r="O386" i="156"/>
  <c r="N24" i="156" s="1"/>
  <c r="O88" i="156"/>
  <c r="C153" i="156"/>
  <c r="F169" i="156"/>
  <c r="K252" i="156"/>
  <c r="O308" i="156"/>
  <c r="K30" i="156" s="1"/>
  <c r="O75" i="156"/>
  <c r="E92" i="156"/>
  <c r="E94" i="156" s="1"/>
  <c r="N108" i="156"/>
  <c r="N124" i="156" s="1"/>
  <c r="O118" i="156"/>
  <c r="E26" i="156" s="1"/>
  <c r="E416" i="156" s="1"/>
  <c r="O119" i="156"/>
  <c r="E28" i="156" s="1"/>
  <c r="E418" i="156" s="1"/>
  <c r="O120" i="156"/>
  <c r="E29" i="156" s="1"/>
  <c r="E419" i="156" s="1"/>
  <c r="L138" i="156"/>
  <c r="N153" i="156"/>
  <c r="N155" i="156" s="1"/>
  <c r="G169" i="156"/>
  <c r="G187" i="156" s="1"/>
  <c r="J185" i="156"/>
  <c r="J187" i="156" s="1"/>
  <c r="K219" i="156"/>
  <c r="O85" i="156"/>
  <c r="D22" i="156" s="1"/>
  <c r="D412" i="156" s="1"/>
  <c r="O111" i="156"/>
  <c r="O104" i="156"/>
  <c r="O141" i="156"/>
  <c r="O142" i="156"/>
  <c r="K185" i="156"/>
  <c r="K187" i="156" s="1"/>
  <c r="O290" i="156"/>
  <c r="O374" i="156"/>
  <c r="D138" i="156"/>
  <c r="D153" i="156"/>
  <c r="D155" i="156" s="1"/>
  <c r="L185" i="156"/>
  <c r="C250" i="156"/>
  <c r="C252" i="156" s="1"/>
  <c r="O237" i="156"/>
  <c r="N250" i="156"/>
  <c r="N252" i="156" s="1"/>
  <c r="O273" i="156"/>
  <c r="J23" i="156" s="1"/>
  <c r="O274" i="156"/>
  <c r="J24" i="156" s="1"/>
  <c r="O76" i="156"/>
  <c r="D13" i="156" s="1"/>
  <c r="D403" i="156" s="1"/>
  <c r="O77" i="156"/>
  <c r="D14" i="156" s="1"/>
  <c r="D404" i="156" s="1"/>
  <c r="O78" i="156"/>
  <c r="D15" i="156" s="1"/>
  <c r="D405" i="156" s="1"/>
  <c r="D124" i="156"/>
  <c r="E138" i="156"/>
  <c r="O144" i="156"/>
  <c r="O145" i="156"/>
  <c r="O238" i="156"/>
  <c r="I20" i="156" s="1"/>
  <c r="I410" i="156" s="1"/>
  <c r="O239" i="156"/>
  <c r="I21" i="156" s="1"/>
  <c r="I411" i="156" s="1"/>
  <c r="O280" i="156"/>
  <c r="J30" i="156" s="1"/>
  <c r="I92" i="156"/>
  <c r="F108" i="156"/>
  <c r="F124" i="156" s="1"/>
  <c r="I122" i="156"/>
  <c r="F153" i="156"/>
  <c r="C217" i="156"/>
  <c r="C219" i="156" s="1"/>
  <c r="O204" i="156"/>
  <c r="O242" i="156"/>
  <c r="I24" i="156" s="1"/>
  <c r="I414" i="156" s="1"/>
  <c r="O243" i="156"/>
  <c r="I25" i="156" s="1"/>
  <c r="I415" i="156" s="1"/>
  <c r="O358" i="156"/>
  <c r="M24" i="156" s="1"/>
  <c r="O364" i="156"/>
  <c r="M30" i="156" s="1"/>
  <c r="L217" i="156"/>
  <c r="L219" i="156" s="1"/>
  <c r="O230" i="156"/>
  <c r="D250" i="156"/>
  <c r="D252" i="156" s="1"/>
  <c r="H92" i="156"/>
  <c r="H94" i="156" s="1"/>
  <c r="F138" i="156"/>
  <c r="O232" i="156"/>
  <c r="I14" i="156" s="1"/>
  <c r="I404" i="156" s="1"/>
  <c r="E250" i="156"/>
  <c r="E252" i="156" s="1"/>
  <c r="O105" i="156"/>
  <c r="E13" i="156" s="1"/>
  <c r="E403" i="156" s="1"/>
  <c r="O106" i="156"/>
  <c r="E14" i="156" s="1"/>
  <c r="E404" i="156" s="1"/>
  <c r="O107" i="156"/>
  <c r="E15" i="156" s="1"/>
  <c r="E405" i="156" s="1"/>
  <c r="E122" i="156"/>
  <c r="E124" i="156" s="1"/>
  <c r="O116" i="156"/>
  <c r="E24" i="156" s="1"/>
  <c r="E414" i="156" s="1"/>
  <c r="O117" i="156"/>
  <c r="E25" i="156" s="1"/>
  <c r="E415" i="156" s="1"/>
  <c r="E153" i="156"/>
  <c r="E155" i="156" s="1"/>
  <c r="O206" i="156"/>
  <c r="H21" i="156" s="1"/>
  <c r="H411" i="156" s="1"/>
  <c r="O207" i="156"/>
  <c r="H22" i="156" s="1"/>
  <c r="H412" i="156" s="1"/>
  <c r="O208" i="156"/>
  <c r="H23" i="156" s="1"/>
  <c r="H413" i="156" s="1"/>
  <c r="O210" i="156"/>
  <c r="H25" i="156" s="1"/>
  <c r="H415" i="156" s="1"/>
  <c r="O245" i="156"/>
  <c r="I27" i="156" s="1"/>
  <c r="I417" i="156" s="1"/>
  <c r="O348" i="156"/>
  <c r="M14" i="156" s="1"/>
  <c r="O357" i="156"/>
  <c r="M23" i="156" s="1"/>
  <c r="I250" i="156"/>
  <c r="I252" i="156" s="1"/>
  <c r="O292" i="156"/>
  <c r="K14" i="156" s="1"/>
  <c r="O293" i="156"/>
  <c r="K15" i="156" s="1"/>
  <c r="M65" i="156"/>
  <c r="F79" i="156"/>
  <c r="F94" i="156" s="1"/>
  <c r="O82" i="156"/>
  <c r="O83" i="156"/>
  <c r="D20" i="156" s="1"/>
  <c r="D410" i="156" s="1"/>
  <c r="O84" i="156"/>
  <c r="D21" i="156" s="1"/>
  <c r="D411" i="156" s="1"/>
  <c r="H153" i="156"/>
  <c r="H155" i="156" s="1"/>
  <c r="H185" i="156"/>
  <c r="H187" i="156" s="1"/>
  <c r="F201" i="156"/>
  <c r="F219" i="156" s="1"/>
  <c r="O205" i="156"/>
  <c r="H20" i="156" s="1"/>
  <c r="H410" i="156" s="1"/>
  <c r="O112" i="156"/>
  <c r="E20" i="156" s="1"/>
  <c r="E410" i="156" s="1"/>
  <c r="O134" i="156"/>
  <c r="I153" i="156"/>
  <c r="I155" i="156" s="1"/>
  <c r="I185" i="156"/>
  <c r="I187" i="156" s="1"/>
  <c r="G201" i="156"/>
  <c r="O392" i="156"/>
  <c r="N30" i="156" s="1"/>
  <c r="J201" i="156"/>
  <c r="J219" i="156" s="1"/>
  <c r="O241" i="156"/>
  <c r="I23" i="156" s="1"/>
  <c r="I413" i="156" s="1"/>
  <c r="O330" i="156"/>
  <c r="L24" i="156" s="1"/>
  <c r="O51" i="156"/>
  <c r="G217" i="156"/>
  <c r="G219" i="156" s="1"/>
  <c r="O209" i="156"/>
  <c r="H24" i="156" s="1"/>
  <c r="H414" i="156" s="1"/>
  <c r="C138" i="156"/>
  <c r="O385" i="88"/>
  <c r="O386" i="88"/>
  <c r="O392" i="88"/>
  <c r="O264" i="88"/>
  <c r="O274" i="88"/>
  <c r="O292" i="88"/>
  <c r="O301" i="88"/>
  <c r="O302" i="88"/>
  <c r="O308" i="88"/>
  <c r="O318" i="88"/>
  <c r="O320" i="88"/>
  <c r="O321" i="88"/>
  <c r="O273" i="88"/>
  <c r="O280" i="88"/>
  <c r="O293" i="88"/>
  <c r="O330" i="88"/>
  <c r="O349" i="88"/>
  <c r="O262" i="88"/>
  <c r="O265" i="88"/>
  <c r="O329" i="88"/>
  <c r="O336" i="88"/>
  <c r="O348" i="88"/>
  <c r="O357" i="88"/>
  <c r="O358" i="88"/>
  <c r="O364" i="88"/>
  <c r="O376" i="88"/>
  <c r="O377" i="88"/>
  <c r="O374" i="88"/>
  <c r="O346" i="88"/>
  <c r="O290" i="88"/>
  <c r="Q71" i="155"/>
  <c r="G71" i="155" s="1"/>
  <c r="F71" i="155"/>
  <c r="O373" i="154"/>
  <c r="T4" i="155"/>
  <c r="V29" i="155"/>
  <c r="S16" i="155"/>
  <c r="T16" i="155"/>
  <c r="U16" i="155"/>
  <c r="AE18" i="155"/>
  <c r="V42" i="155"/>
  <c r="U29" i="155"/>
  <c r="Z4" i="155"/>
  <c r="AC29" i="155"/>
  <c r="AC55" i="155"/>
  <c r="AE31" i="155"/>
  <c r="AE57" i="155"/>
  <c r="U42" i="155"/>
  <c r="X55" i="155"/>
  <c r="Z42" i="155"/>
  <c r="AA29" i="155"/>
  <c r="Z16" i="155"/>
  <c r="AB42" i="155"/>
  <c r="AD55" i="155"/>
  <c r="AB55" i="155"/>
  <c r="AE44" i="155"/>
  <c r="T29" i="155"/>
  <c r="F29" i="151"/>
  <c r="G22" i="151"/>
  <c r="E29" i="151"/>
  <c r="G12" i="151"/>
  <c r="G19" i="151"/>
  <c r="I19" i="151" s="1"/>
  <c r="G28" i="151"/>
  <c r="I28" i="151" s="1"/>
  <c r="G9" i="151"/>
  <c r="J9" i="151" s="1"/>
  <c r="I18" i="151"/>
  <c r="I26" i="151"/>
  <c r="Y109" i="58" l="1"/>
  <c r="AM109" i="58"/>
  <c r="I10" i="151"/>
  <c r="K10" i="151" s="1"/>
  <c r="I25" i="151"/>
  <c r="K25" i="151" s="1"/>
  <c r="E31" i="151"/>
  <c r="I23" i="151"/>
  <c r="K23" i="151" s="1"/>
  <c r="I24" i="151"/>
  <c r="K24" i="151" s="1"/>
  <c r="I17" i="151"/>
  <c r="K17" i="151" s="1"/>
  <c r="F31" i="151"/>
  <c r="I16" i="151"/>
  <c r="K16" i="151" s="1"/>
  <c r="O234" i="156"/>
  <c r="I12" i="156"/>
  <c r="O217" i="156"/>
  <c r="H19" i="156"/>
  <c r="K12" i="156"/>
  <c r="F23" i="156"/>
  <c r="F413" i="156" s="1"/>
  <c r="P145" i="156"/>
  <c r="J12" i="156"/>
  <c r="F28" i="156"/>
  <c r="F418" i="156" s="1"/>
  <c r="P149" i="156"/>
  <c r="F155" i="156"/>
  <c r="P144" i="156"/>
  <c r="F22" i="156"/>
  <c r="F412" i="156" s="1"/>
  <c r="F20" i="156"/>
  <c r="F410" i="156" s="1"/>
  <c r="P142" i="156"/>
  <c r="L12" i="156"/>
  <c r="P141" i="156"/>
  <c r="F19" i="156"/>
  <c r="O153" i="156"/>
  <c r="D26" i="156"/>
  <c r="D416" i="156" s="1"/>
  <c r="D28" i="156"/>
  <c r="D418" i="156" s="1"/>
  <c r="O201" i="156"/>
  <c r="H12" i="156"/>
  <c r="F13" i="156"/>
  <c r="F403" i="156" s="1"/>
  <c r="P135" i="156"/>
  <c r="M12" i="156"/>
  <c r="N12" i="156"/>
  <c r="G32" i="156"/>
  <c r="G409" i="156"/>
  <c r="G422" i="156" s="1"/>
  <c r="O138" i="156"/>
  <c r="P138" i="156" s="1"/>
  <c r="P134" i="156"/>
  <c r="F12" i="156"/>
  <c r="E12" i="156"/>
  <c r="O108" i="156"/>
  <c r="O169" i="156"/>
  <c r="O187" i="156" s="1"/>
  <c r="G12" i="156"/>
  <c r="O250" i="156"/>
  <c r="O252" i="156" s="1"/>
  <c r="I19" i="156"/>
  <c r="O122" i="156"/>
  <c r="E19" i="156"/>
  <c r="P152" i="156"/>
  <c r="F31" i="156"/>
  <c r="F421" i="156" s="1"/>
  <c r="O65" i="156"/>
  <c r="F15" i="156"/>
  <c r="F405" i="156" s="1"/>
  <c r="P137" i="156"/>
  <c r="O92" i="156"/>
  <c r="D19" i="156"/>
  <c r="L187" i="156"/>
  <c r="D12" i="156"/>
  <c r="Q75" i="156"/>
  <c r="O79" i="156"/>
  <c r="O94" i="156" s="1"/>
  <c r="C155" i="156"/>
  <c r="P136" i="156"/>
  <c r="F14" i="156"/>
  <c r="F404" i="156" s="1"/>
  <c r="C409" i="156"/>
  <c r="C422" i="156" s="1"/>
  <c r="C424" i="156" s="1"/>
  <c r="C32" i="156"/>
  <c r="C34" i="156" s="1"/>
  <c r="G29" i="151"/>
  <c r="J29" i="151" s="1"/>
  <c r="K26" i="151"/>
  <c r="AE55" i="155"/>
  <c r="D6" i="155"/>
  <c r="S5" i="155"/>
  <c r="C7" i="155"/>
  <c r="C8" i="155" s="1"/>
  <c r="AE16" i="155"/>
  <c r="AE29" i="155"/>
  <c r="AE42" i="155"/>
  <c r="AE4" i="155"/>
  <c r="K18" i="151"/>
  <c r="J28" i="151"/>
  <c r="K28" i="151" s="1"/>
  <c r="J19" i="151"/>
  <c r="K19" i="151" s="1"/>
  <c r="J22" i="151"/>
  <c r="I22" i="151"/>
  <c r="K22" i="151" s="1"/>
  <c r="G13" i="151"/>
  <c r="I9" i="151"/>
  <c r="K9" i="151" s="1"/>
  <c r="G31" i="151" l="1"/>
  <c r="H19" i="151" s="1"/>
  <c r="I29" i="151"/>
  <c r="K29" i="151"/>
  <c r="F402" i="156"/>
  <c r="F406" i="156" s="1"/>
  <c r="F16" i="156"/>
  <c r="E409" i="156"/>
  <c r="E422" i="156" s="1"/>
  <c r="E32" i="156"/>
  <c r="H16" i="156"/>
  <c r="H402" i="156"/>
  <c r="H406" i="156" s="1"/>
  <c r="I32" i="156"/>
  <c r="I409" i="156"/>
  <c r="I422" i="156" s="1"/>
  <c r="I424" i="156" s="1"/>
  <c r="G402" i="156"/>
  <c r="G406" i="156" s="1"/>
  <c r="G424" i="156" s="1"/>
  <c r="G16" i="156"/>
  <c r="G34" i="156" s="1"/>
  <c r="G35" i="156" s="1"/>
  <c r="O155" i="156"/>
  <c r="P153" i="156"/>
  <c r="I16" i="156"/>
  <c r="I402" i="156"/>
  <c r="I406" i="156" s="1"/>
  <c r="E402" i="156"/>
  <c r="E406" i="156" s="1"/>
  <c r="E16" i="156"/>
  <c r="D402" i="156"/>
  <c r="D406" i="156" s="1"/>
  <c r="D16" i="156"/>
  <c r="D409" i="156"/>
  <c r="D422" i="156" s="1"/>
  <c r="D424" i="156" s="1"/>
  <c r="D32" i="156"/>
  <c r="D34" i="156" s="1"/>
  <c r="H32" i="156"/>
  <c r="H34" i="156" s="1"/>
  <c r="H35" i="156" s="1"/>
  <c r="H409" i="156"/>
  <c r="H422" i="156" s="1"/>
  <c r="O219" i="156"/>
  <c r="O124" i="156"/>
  <c r="F409" i="156"/>
  <c r="F422" i="156" s="1"/>
  <c r="F32" i="156"/>
  <c r="J31" i="151"/>
  <c r="H10" i="151"/>
  <c r="H16" i="151"/>
  <c r="H26" i="151"/>
  <c r="H28" i="151"/>
  <c r="H23" i="151"/>
  <c r="H18" i="151"/>
  <c r="H25" i="151"/>
  <c r="H17" i="151"/>
  <c r="H22" i="151"/>
  <c r="I31" i="151"/>
  <c r="C11" i="155"/>
  <c r="C10" i="155"/>
  <c r="E6" i="155"/>
  <c r="T5" i="155"/>
  <c r="T6" i="155" s="1"/>
  <c r="D7" i="155"/>
  <c r="D8" i="155" s="1"/>
  <c r="D10" i="155" s="1"/>
  <c r="S6" i="155"/>
  <c r="J13" i="151"/>
  <c r="I13" i="151"/>
  <c r="H24" i="151" l="1"/>
  <c r="E34" i="156"/>
  <c r="E424" i="156"/>
  <c r="K13" i="151"/>
  <c r="K31" i="151"/>
  <c r="F34" i="156"/>
  <c r="F35" i="156" s="1"/>
  <c r="F424" i="156"/>
  <c r="I34" i="156"/>
  <c r="I35" i="156" s="1"/>
  <c r="H424" i="156"/>
  <c r="D11" i="155"/>
  <c r="U5" i="155"/>
  <c r="U6" i="155" s="1"/>
  <c r="E7" i="155"/>
  <c r="E8" i="155" s="1"/>
  <c r="E10" i="155" s="1"/>
  <c r="F6" i="155"/>
  <c r="V5" i="155" l="1"/>
  <c r="F7" i="155"/>
  <c r="F8" i="155" s="1"/>
  <c r="F10" i="155" s="1"/>
  <c r="G6" i="155"/>
  <c r="E11" i="155"/>
  <c r="F11" i="155" l="1"/>
  <c r="W5" i="155"/>
  <c r="W6" i="155" s="1"/>
  <c r="H6" i="155"/>
  <c r="G7" i="155"/>
  <c r="G8" i="155" s="1"/>
  <c r="G10" i="155" s="1"/>
  <c r="G11" i="155" s="1"/>
  <c r="V6" i="155"/>
  <c r="I6" i="155" l="1"/>
  <c r="X5" i="155"/>
  <c r="H7" i="155"/>
  <c r="H8" i="155" s="1"/>
  <c r="H10" i="155" s="1"/>
  <c r="H11" i="155" s="1"/>
  <c r="X6" i="155" l="1"/>
  <c r="J6" i="155"/>
  <c r="Y5" i="155"/>
  <c r="Y6" i="155" s="1"/>
  <c r="I7" i="155"/>
  <c r="I8" i="155" s="1"/>
  <c r="I10" i="155" s="1"/>
  <c r="I11" i="155" s="1"/>
  <c r="K6" i="155" l="1"/>
  <c r="Z5" i="155"/>
  <c r="Z6" i="155" s="1"/>
  <c r="J7" i="155"/>
  <c r="J8" i="155" s="1"/>
  <c r="J10" i="155" s="1"/>
  <c r="J11" i="155" s="1"/>
  <c r="AA5" i="155" l="1"/>
  <c r="AA6" i="155" s="1"/>
  <c r="L6" i="155"/>
  <c r="K7" i="155"/>
  <c r="K8" i="155" s="1"/>
  <c r="K10" i="155" s="1"/>
  <c r="K11" i="155" s="1"/>
  <c r="M6" i="155" l="1"/>
  <c r="AB5" i="155"/>
  <c r="AB6" i="155" s="1"/>
  <c r="L7" i="155"/>
  <c r="L8" i="155" s="1"/>
  <c r="L10" i="155" s="1"/>
  <c r="L11" i="155" s="1"/>
  <c r="M7" i="155" l="1"/>
  <c r="M8" i="155" s="1"/>
  <c r="M10" i="155" s="1"/>
  <c r="M11" i="155" s="1"/>
  <c r="AC5" i="155"/>
  <c r="AC6" i="155" s="1"/>
  <c r="N6" i="155"/>
  <c r="AD5" i="155" l="1"/>
  <c r="C18" i="155"/>
  <c r="N7" i="155"/>
  <c r="N8" i="155" s="1"/>
  <c r="N10" i="155" s="1"/>
  <c r="N11" i="155" s="1"/>
  <c r="D18" i="155" l="1"/>
  <c r="S17" i="155"/>
  <c r="C20" i="155"/>
  <c r="AD6" i="155"/>
  <c r="AE6" i="155" s="1"/>
  <c r="AF4" i="155" s="1"/>
  <c r="AE5" i="155"/>
  <c r="C66" i="155" s="1"/>
  <c r="C86" i="155" l="1"/>
  <c r="C85" i="155"/>
  <c r="C84" i="155"/>
  <c r="C83" i="155"/>
  <c r="C79" i="155"/>
  <c r="C90" i="155"/>
  <c r="C78" i="155"/>
  <c r="C89" i="155"/>
  <c r="C74" i="155"/>
  <c r="C88" i="155"/>
  <c r="C73" i="155"/>
  <c r="C72" i="155"/>
  <c r="C82" i="155"/>
  <c r="C81" i="155"/>
  <c r="C80" i="155"/>
  <c r="C87" i="155"/>
  <c r="C24" i="155"/>
  <c r="C21" i="155"/>
  <c r="C23" i="155" s="1"/>
  <c r="S19" i="155"/>
  <c r="E18" i="155"/>
  <c r="T17" i="155"/>
  <c r="T19" i="155" s="1"/>
  <c r="D20" i="155"/>
  <c r="D21" i="155" s="1"/>
  <c r="D23" i="155" s="1"/>
  <c r="M89" i="155" l="1"/>
  <c r="P279" i="154" s="1"/>
  <c r="H89" i="155"/>
  <c r="H83" i="155"/>
  <c r="M83" i="155"/>
  <c r="P273" i="154" s="1"/>
  <c r="H82" i="155"/>
  <c r="M82" i="155"/>
  <c r="P272" i="154" s="1"/>
  <c r="C75" i="155"/>
  <c r="H72" i="155"/>
  <c r="M72" i="155"/>
  <c r="H88" i="155"/>
  <c r="P278" i="153" s="1"/>
  <c r="M88" i="155"/>
  <c r="P278" i="154" s="1"/>
  <c r="H78" i="155"/>
  <c r="M78" i="155"/>
  <c r="P268" i="154" s="1"/>
  <c r="H90" i="155"/>
  <c r="M90" i="155"/>
  <c r="P280" i="154" s="1"/>
  <c r="H79" i="155"/>
  <c r="M79" i="155"/>
  <c r="P269" i="154" s="1"/>
  <c r="H87" i="155"/>
  <c r="M87" i="155"/>
  <c r="P277" i="154" s="1"/>
  <c r="M80" i="155"/>
  <c r="P270" i="154" s="1"/>
  <c r="H80" i="155"/>
  <c r="H84" i="155"/>
  <c r="M84" i="155"/>
  <c r="P274" i="154" s="1"/>
  <c r="H81" i="155"/>
  <c r="M81" i="155"/>
  <c r="P271" i="154" s="1"/>
  <c r="M85" i="155"/>
  <c r="P275" i="154" s="1"/>
  <c r="H85" i="155"/>
  <c r="H86" i="155"/>
  <c r="M86" i="155"/>
  <c r="P276" i="154" s="1"/>
  <c r="C91" i="155"/>
  <c r="F18" i="155"/>
  <c r="U17" i="155"/>
  <c r="U19" i="155" s="1"/>
  <c r="E20" i="155"/>
  <c r="E21" i="155" s="1"/>
  <c r="E23" i="155" s="1"/>
  <c r="D24" i="155"/>
  <c r="F278" i="154" l="1"/>
  <c r="E278" i="154"/>
  <c r="D278" i="154"/>
  <c r="N278" i="154"/>
  <c r="C278" i="154"/>
  <c r="M278" i="154"/>
  <c r="I278" i="154"/>
  <c r="G278" i="154"/>
  <c r="H278" i="154"/>
  <c r="L278" i="154"/>
  <c r="K278" i="154"/>
  <c r="J278" i="154"/>
  <c r="F270" i="154"/>
  <c r="E270" i="154"/>
  <c r="D270" i="154"/>
  <c r="N270" i="154"/>
  <c r="C270" i="154"/>
  <c r="M270" i="154"/>
  <c r="J270" i="154"/>
  <c r="H270" i="154"/>
  <c r="I270" i="154"/>
  <c r="G270" i="154"/>
  <c r="L270" i="154"/>
  <c r="K270" i="154"/>
  <c r="C93" i="155"/>
  <c r="F274" i="154"/>
  <c r="E274" i="154"/>
  <c r="D274" i="154"/>
  <c r="N274" i="154"/>
  <c r="M274" i="154"/>
  <c r="L274" i="154"/>
  <c r="J274" i="154"/>
  <c r="K274" i="154"/>
  <c r="I274" i="154"/>
  <c r="G274" i="154"/>
  <c r="C274" i="154"/>
  <c r="H274" i="154"/>
  <c r="F276" i="154"/>
  <c r="E276" i="154"/>
  <c r="D276" i="154"/>
  <c r="N276" i="154"/>
  <c r="J276" i="154"/>
  <c r="I276" i="154"/>
  <c r="H276" i="154"/>
  <c r="G276" i="154"/>
  <c r="C276" i="154"/>
  <c r="M276" i="154"/>
  <c r="L276" i="154"/>
  <c r="K276" i="154"/>
  <c r="F275" i="154"/>
  <c r="E275" i="154"/>
  <c r="D275" i="154"/>
  <c r="N275" i="154"/>
  <c r="C275" i="154"/>
  <c r="M275" i="154"/>
  <c r="G275" i="154"/>
  <c r="I275" i="154"/>
  <c r="H275" i="154"/>
  <c r="J275" i="154"/>
  <c r="L275" i="154"/>
  <c r="K275" i="154"/>
  <c r="M75" i="155"/>
  <c r="P262" i="154"/>
  <c r="F277" i="154"/>
  <c r="E277" i="154"/>
  <c r="D277" i="154"/>
  <c r="N277" i="154"/>
  <c r="M277" i="154"/>
  <c r="L277" i="154"/>
  <c r="J277" i="154"/>
  <c r="K277" i="154"/>
  <c r="I277" i="154"/>
  <c r="G277" i="154"/>
  <c r="C277" i="154"/>
  <c r="H277" i="154"/>
  <c r="F269" i="154"/>
  <c r="E269" i="154"/>
  <c r="D269" i="154"/>
  <c r="N269" i="154"/>
  <c r="M269" i="154"/>
  <c r="J269" i="154"/>
  <c r="L269" i="154"/>
  <c r="K269" i="154"/>
  <c r="I269" i="154"/>
  <c r="G269" i="154"/>
  <c r="H269" i="154"/>
  <c r="C269" i="154"/>
  <c r="F280" i="154"/>
  <c r="E280" i="154"/>
  <c r="D280" i="154"/>
  <c r="N280" i="154"/>
  <c r="J280" i="154"/>
  <c r="I280" i="154"/>
  <c r="C280" i="154"/>
  <c r="H280" i="154"/>
  <c r="G280" i="154"/>
  <c r="K280" i="154"/>
  <c r="M280" i="154"/>
  <c r="L280" i="154"/>
  <c r="F271" i="154"/>
  <c r="E271" i="154"/>
  <c r="D271" i="154"/>
  <c r="N271" i="154"/>
  <c r="J271" i="154"/>
  <c r="I271" i="154"/>
  <c r="C271" i="154"/>
  <c r="H271" i="154"/>
  <c r="G271" i="154"/>
  <c r="K271" i="154"/>
  <c r="M271" i="154"/>
  <c r="L271" i="154"/>
  <c r="F268" i="154"/>
  <c r="E268" i="154"/>
  <c r="D268" i="154"/>
  <c r="N268" i="154"/>
  <c r="J268" i="154"/>
  <c r="I268" i="154"/>
  <c r="H268" i="154"/>
  <c r="G268" i="154"/>
  <c r="C268" i="154"/>
  <c r="M268" i="154"/>
  <c r="K268" i="154"/>
  <c r="L268" i="154"/>
  <c r="H91" i="155"/>
  <c r="M91" i="155"/>
  <c r="M93" i="155" s="1"/>
  <c r="L278" i="153"/>
  <c r="M278" i="153"/>
  <c r="I278" i="153"/>
  <c r="F278" i="153"/>
  <c r="G278" i="153"/>
  <c r="C278" i="153"/>
  <c r="E278" i="153"/>
  <c r="H278" i="153"/>
  <c r="D278" i="153"/>
  <c r="N278" i="153"/>
  <c r="K278" i="153"/>
  <c r="J278" i="153"/>
  <c r="H75" i="155"/>
  <c r="P262" i="153"/>
  <c r="E24" i="155"/>
  <c r="V17" i="155"/>
  <c r="G18" i="155"/>
  <c r="F20" i="155"/>
  <c r="F21" i="155" s="1"/>
  <c r="F23" i="155" s="1"/>
  <c r="F24" i="155" s="1"/>
  <c r="Q58" i="73" l="1"/>
  <c r="Q88" i="73" s="1"/>
  <c r="O58" i="73"/>
  <c r="O62" i="73"/>
  <c r="Q62" i="73"/>
  <c r="Q92" i="73" s="1"/>
  <c r="S6" i="167"/>
  <c r="O57" i="73"/>
  <c r="Q57" i="73"/>
  <c r="Q87" i="73" s="1"/>
  <c r="O65" i="73"/>
  <c r="Q65" i="73"/>
  <c r="R6" i="167"/>
  <c r="O55" i="73"/>
  <c r="Q55" i="73"/>
  <c r="R13" i="167"/>
  <c r="U13" i="167"/>
  <c r="Q61" i="73"/>
  <c r="Q91" i="73" s="1"/>
  <c r="O61" i="73"/>
  <c r="O56" i="73"/>
  <c r="Q56" i="73"/>
  <c r="Q86" i="73" s="1"/>
  <c r="Q63" i="73"/>
  <c r="Q93" i="73" s="1"/>
  <c r="O63" i="73"/>
  <c r="T6" i="167"/>
  <c r="Q64" i="73"/>
  <c r="Q94" i="73" s="1"/>
  <c r="O64" i="73"/>
  <c r="U6" i="167"/>
  <c r="S13" i="167"/>
  <c r="T13" i="167"/>
  <c r="Q67" i="73"/>
  <c r="Q97" i="73" s="1"/>
  <c r="O67" i="73"/>
  <c r="V13" i="167"/>
  <c r="V6" i="167"/>
  <c r="Q30" i="73"/>
  <c r="O30" i="73"/>
  <c r="K270" i="156"/>
  <c r="K270" i="88"/>
  <c r="L271" i="156"/>
  <c r="L271" i="88"/>
  <c r="H269" i="88"/>
  <c r="H269" i="156"/>
  <c r="L270" i="156"/>
  <c r="L270" i="88"/>
  <c r="C277" i="156"/>
  <c r="C277" i="88"/>
  <c r="O276" i="154"/>
  <c r="I269" i="88"/>
  <c r="I269" i="156"/>
  <c r="J270" i="156"/>
  <c r="J270" i="88"/>
  <c r="G277" i="88"/>
  <c r="G277" i="156"/>
  <c r="J281" i="156"/>
  <c r="J281" i="88"/>
  <c r="J279" i="156"/>
  <c r="J279" i="88"/>
  <c r="E281" i="156"/>
  <c r="E281" i="88"/>
  <c r="N277" i="156"/>
  <c r="N277" i="88"/>
  <c r="K279" i="156"/>
  <c r="K279" i="88"/>
  <c r="F281" i="88"/>
  <c r="F281" i="156"/>
  <c r="D275" i="156"/>
  <c r="D275" i="88"/>
  <c r="E279" i="156"/>
  <c r="E279" i="88"/>
  <c r="C269" i="156"/>
  <c r="C269" i="88"/>
  <c r="G272" i="156"/>
  <c r="G272" i="88"/>
  <c r="G281" i="156"/>
  <c r="G281" i="88"/>
  <c r="I270" i="156"/>
  <c r="I270" i="88"/>
  <c r="I278" i="88"/>
  <c r="I278" i="156"/>
  <c r="L276" i="156"/>
  <c r="L276" i="88"/>
  <c r="L277" i="156"/>
  <c r="L277" i="88"/>
  <c r="C275" i="156"/>
  <c r="C275" i="88"/>
  <c r="K271" i="156"/>
  <c r="K271" i="88"/>
  <c r="G269" i="156"/>
  <c r="G269" i="88"/>
  <c r="G275" i="156"/>
  <c r="G275" i="88"/>
  <c r="G279" i="156"/>
  <c r="G279" i="88"/>
  <c r="C281" i="88"/>
  <c r="C281" i="156"/>
  <c r="J278" i="156"/>
  <c r="J278" i="88"/>
  <c r="G271" i="88"/>
  <c r="G271" i="156"/>
  <c r="I272" i="156"/>
  <c r="I272" i="88"/>
  <c r="K275" i="156"/>
  <c r="K275" i="88"/>
  <c r="I279" i="88"/>
  <c r="I279" i="156"/>
  <c r="J272" i="156"/>
  <c r="J272" i="88"/>
  <c r="M270" i="156"/>
  <c r="M270" i="88"/>
  <c r="G276" i="156"/>
  <c r="G276" i="88"/>
  <c r="H277" i="156"/>
  <c r="H277" i="88"/>
  <c r="J275" i="156"/>
  <c r="J275" i="88"/>
  <c r="H271" i="156"/>
  <c r="H271" i="88"/>
  <c r="M279" i="156"/>
  <c r="M279" i="88"/>
  <c r="N269" i="156"/>
  <c r="N269" i="88"/>
  <c r="N272" i="156"/>
  <c r="N272" i="88"/>
  <c r="N281" i="88"/>
  <c r="N281" i="156"/>
  <c r="N270" i="88"/>
  <c r="N270" i="156"/>
  <c r="N278" i="156"/>
  <c r="N278" i="88"/>
  <c r="M276" i="156"/>
  <c r="M276" i="88"/>
  <c r="I277" i="88"/>
  <c r="I277" i="156"/>
  <c r="L275" i="88"/>
  <c r="L275" i="156"/>
  <c r="J271" i="156"/>
  <c r="J271" i="88"/>
  <c r="L279" i="156"/>
  <c r="L279" i="88"/>
  <c r="D269" i="156"/>
  <c r="D269" i="88"/>
  <c r="D272" i="156"/>
  <c r="D272" i="88"/>
  <c r="D281" i="156"/>
  <c r="D281" i="88"/>
  <c r="D270" i="156"/>
  <c r="D270" i="88"/>
  <c r="D278" i="156"/>
  <c r="D278" i="88"/>
  <c r="O275" i="154"/>
  <c r="J26" i="154" s="1"/>
  <c r="L62" i="73" s="1"/>
  <c r="L92" i="73" s="1"/>
  <c r="C276" i="88"/>
  <c r="C276" i="156"/>
  <c r="J277" i="156"/>
  <c r="J277" i="88"/>
  <c r="M275" i="156"/>
  <c r="M275" i="88"/>
  <c r="M271" i="156"/>
  <c r="M271" i="88"/>
  <c r="C279" i="156"/>
  <c r="C279" i="88"/>
  <c r="H281" i="156"/>
  <c r="H281" i="88"/>
  <c r="M277" i="156"/>
  <c r="M277" i="88"/>
  <c r="I275" i="88"/>
  <c r="I275" i="156"/>
  <c r="F279" i="156"/>
  <c r="F279" i="88"/>
  <c r="I281" i="156"/>
  <c r="I281" i="88"/>
  <c r="L278" i="156"/>
  <c r="L278" i="88"/>
  <c r="I271" i="88"/>
  <c r="I271" i="156"/>
  <c r="J269" i="156"/>
  <c r="J269" i="88"/>
  <c r="M278" i="156"/>
  <c r="M278" i="88"/>
  <c r="E269" i="156"/>
  <c r="E269" i="88"/>
  <c r="F272" i="156"/>
  <c r="F272" i="88"/>
  <c r="F270" i="156"/>
  <c r="F270" i="88"/>
  <c r="D276" i="156"/>
  <c r="D276" i="88"/>
  <c r="D277" i="156"/>
  <c r="D277" i="88"/>
  <c r="L269" i="156"/>
  <c r="L269" i="88"/>
  <c r="L281" i="156"/>
  <c r="L281" i="88"/>
  <c r="F262" i="154"/>
  <c r="E262" i="154"/>
  <c r="D262" i="154"/>
  <c r="N262" i="154"/>
  <c r="C262" i="154"/>
  <c r="M262" i="154"/>
  <c r="J262" i="154"/>
  <c r="G262" i="154"/>
  <c r="L262" i="154"/>
  <c r="K262" i="154"/>
  <c r="I262" i="154"/>
  <c r="H262" i="154"/>
  <c r="E277" i="88"/>
  <c r="E277" i="156"/>
  <c r="E275" i="156"/>
  <c r="E275" i="88"/>
  <c r="D271" i="88"/>
  <c r="D271" i="156"/>
  <c r="D279" i="156"/>
  <c r="D279" i="88"/>
  <c r="K269" i="156"/>
  <c r="K269" i="88"/>
  <c r="M272" i="156"/>
  <c r="M272" i="88"/>
  <c r="M281" i="156"/>
  <c r="M281" i="88"/>
  <c r="H270" i="156"/>
  <c r="H270" i="88"/>
  <c r="C278" i="156"/>
  <c r="C278" i="88"/>
  <c r="F276" i="156"/>
  <c r="F276" i="88"/>
  <c r="F277" i="88"/>
  <c r="F277" i="156"/>
  <c r="F275" i="156"/>
  <c r="F275" i="88"/>
  <c r="E271" i="156"/>
  <c r="E271" i="88"/>
  <c r="H272" i="156"/>
  <c r="H272" i="88"/>
  <c r="K278" i="156"/>
  <c r="K278" i="88"/>
  <c r="J276" i="156"/>
  <c r="J276" i="88"/>
  <c r="C272" i="156"/>
  <c r="C272" i="88"/>
  <c r="H276" i="156"/>
  <c r="H276" i="88"/>
  <c r="I276" i="156"/>
  <c r="I276" i="88"/>
  <c r="E272" i="156"/>
  <c r="E272" i="88"/>
  <c r="E270" i="156"/>
  <c r="E270" i="88"/>
  <c r="E278" i="88"/>
  <c r="E278" i="156"/>
  <c r="N276" i="156"/>
  <c r="N276" i="88"/>
  <c r="N275" i="88"/>
  <c r="N275" i="156"/>
  <c r="C271" i="88"/>
  <c r="C271" i="156"/>
  <c r="F269" i="156"/>
  <c r="F269" i="88"/>
  <c r="F278" i="88"/>
  <c r="F278" i="156"/>
  <c r="N271" i="156"/>
  <c r="N271" i="88"/>
  <c r="N279" i="88"/>
  <c r="N279" i="156"/>
  <c r="L272" i="88"/>
  <c r="L272" i="156"/>
  <c r="C270" i="156"/>
  <c r="C270" i="88"/>
  <c r="H278" i="88"/>
  <c r="H278" i="156"/>
  <c r="E276" i="156"/>
  <c r="E276" i="88"/>
  <c r="H279" i="156"/>
  <c r="H279" i="88"/>
  <c r="M269" i="156"/>
  <c r="M269" i="88"/>
  <c r="K272" i="156"/>
  <c r="K272" i="88"/>
  <c r="K281" i="156"/>
  <c r="K281" i="88"/>
  <c r="G270" i="156"/>
  <c r="G270" i="88"/>
  <c r="G278" i="88"/>
  <c r="G278" i="156"/>
  <c r="K276" i="156"/>
  <c r="K276" i="88"/>
  <c r="K277" i="156"/>
  <c r="K277" i="88"/>
  <c r="H275" i="88"/>
  <c r="H275" i="156"/>
  <c r="F271" i="88"/>
  <c r="F271" i="156"/>
  <c r="L262" i="153"/>
  <c r="I262" i="153"/>
  <c r="J262" i="153"/>
  <c r="E262" i="153"/>
  <c r="G262" i="153"/>
  <c r="C262" i="153"/>
  <c r="F262" i="153"/>
  <c r="H262" i="153"/>
  <c r="K262" i="153"/>
  <c r="N262" i="153"/>
  <c r="D262" i="153"/>
  <c r="M262" i="153"/>
  <c r="H93" i="155"/>
  <c r="C94" i="155" s="1"/>
  <c r="H18" i="155"/>
  <c r="W17" i="155"/>
  <c r="W19" i="155" s="1"/>
  <c r="G20" i="155"/>
  <c r="G21" i="155" s="1"/>
  <c r="G23" i="155" s="1"/>
  <c r="G24" i="155" s="1"/>
  <c r="V19" i="155"/>
  <c r="O95" i="73" l="1"/>
  <c r="U7" i="167"/>
  <c r="U21" i="167" s="1"/>
  <c r="U10" i="167"/>
  <c r="U24" i="167" s="1"/>
  <c r="U8" i="167"/>
  <c r="U22" i="167" s="1"/>
  <c r="U9" i="167"/>
  <c r="U23" i="167" s="1"/>
  <c r="V7" i="167"/>
  <c r="V21" i="167" s="1"/>
  <c r="V10" i="167"/>
  <c r="V24" i="167" s="1"/>
  <c r="V8" i="167"/>
  <c r="V22" i="167" s="1"/>
  <c r="V9" i="167"/>
  <c r="V23" i="167" s="1"/>
  <c r="O87" i="73"/>
  <c r="Q85" i="73"/>
  <c r="Q98" i="73" s="1"/>
  <c r="Q68" i="73"/>
  <c r="O94" i="73"/>
  <c r="V14" i="167"/>
  <c r="V16" i="167"/>
  <c r="V31" i="167" s="1"/>
  <c r="V15" i="167"/>
  <c r="V30" i="167" s="1"/>
  <c r="V17" i="167"/>
  <c r="V32" i="167" s="1"/>
  <c r="O86" i="73"/>
  <c r="S8" i="167"/>
  <c r="S22" i="167" s="1"/>
  <c r="S10" i="167"/>
  <c r="S24" i="167" s="1"/>
  <c r="S9" i="167"/>
  <c r="S23" i="167" s="1"/>
  <c r="S7" i="167"/>
  <c r="S21" i="167" s="1"/>
  <c r="F13" i="167"/>
  <c r="Q13" i="167"/>
  <c r="Q14" i="73"/>
  <c r="O14" i="73"/>
  <c r="F6" i="167"/>
  <c r="O97" i="73"/>
  <c r="T61" i="73"/>
  <c r="V61" i="73" s="1"/>
  <c r="O91" i="73"/>
  <c r="T91" i="73" s="1"/>
  <c r="V91" i="73" s="1"/>
  <c r="R10" i="167"/>
  <c r="R7" i="167"/>
  <c r="R8" i="167"/>
  <c r="R9" i="167"/>
  <c r="O93" i="73"/>
  <c r="O92" i="73"/>
  <c r="T65" i="73"/>
  <c r="V65" i="73" s="1"/>
  <c r="T14" i="167"/>
  <c r="T15" i="167"/>
  <c r="T30" i="167" s="1"/>
  <c r="T17" i="167"/>
  <c r="T32" i="167" s="1"/>
  <c r="T16" i="167"/>
  <c r="T31" i="167" s="1"/>
  <c r="U14" i="167"/>
  <c r="U16" i="167"/>
  <c r="U31" i="167" s="1"/>
  <c r="U15" i="167"/>
  <c r="U30" i="167" s="1"/>
  <c r="U17" i="167"/>
  <c r="U32" i="167" s="1"/>
  <c r="O88" i="73"/>
  <c r="O85" i="73"/>
  <c r="O68" i="73"/>
  <c r="T9" i="167"/>
  <c r="T23" i="167" s="1"/>
  <c r="T7" i="167"/>
  <c r="T21" i="167" s="1"/>
  <c r="T8" i="167"/>
  <c r="T22" i="167" s="1"/>
  <c r="T10" i="167"/>
  <c r="T24" i="167" s="1"/>
  <c r="Q33" i="73"/>
  <c r="Q95" i="73"/>
  <c r="T95" i="73" s="1"/>
  <c r="V95" i="73" s="1"/>
  <c r="O49" i="73"/>
  <c r="Q49" i="73"/>
  <c r="Q52" i="73" s="1"/>
  <c r="Q6" i="167"/>
  <c r="S14" i="167"/>
  <c r="S29" i="167" s="1"/>
  <c r="S15" i="167"/>
  <c r="S30" i="167" s="1"/>
  <c r="S17" i="167"/>
  <c r="S32" i="167" s="1"/>
  <c r="S16" i="167"/>
  <c r="S31" i="167" s="1"/>
  <c r="R17" i="167"/>
  <c r="R16" i="167"/>
  <c r="R30" i="167" s="1"/>
  <c r="R33" i="167" s="1"/>
  <c r="R35" i="167" s="1"/>
  <c r="R14" i="167"/>
  <c r="R15" i="167"/>
  <c r="T30" i="73"/>
  <c r="O33" i="73"/>
  <c r="E282" i="88"/>
  <c r="I282" i="88"/>
  <c r="J27" i="154"/>
  <c r="L63" i="73" s="1"/>
  <c r="L93" i="73" s="1"/>
  <c r="O272" i="88"/>
  <c r="J22" i="88" s="1"/>
  <c r="O281" i="88"/>
  <c r="J31" i="88" s="1"/>
  <c r="C282" i="156"/>
  <c r="O269" i="156"/>
  <c r="O272" i="156"/>
  <c r="J22" i="156" s="1"/>
  <c r="C263" i="156"/>
  <c r="C263" i="88"/>
  <c r="G263" i="156"/>
  <c r="G266" i="156" s="1"/>
  <c r="G263" i="88"/>
  <c r="G266" i="88" s="1"/>
  <c r="O276" i="88"/>
  <c r="J26" i="88" s="1"/>
  <c r="E263" i="156"/>
  <c r="E266" i="156" s="1"/>
  <c r="E263" i="88"/>
  <c r="E266" i="88" s="1"/>
  <c r="O278" i="88"/>
  <c r="J28" i="88" s="1"/>
  <c r="H282" i="156"/>
  <c r="O275" i="156"/>
  <c r="J25" i="156" s="1"/>
  <c r="K263" i="88"/>
  <c r="K266" i="88" s="1"/>
  <c r="K263" i="156"/>
  <c r="K266" i="156" s="1"/>
  <c r="O281" i="156"/>
  <c r="J31" i="156" s="1"/>
  <c r="M282" i="88"/>
  <c r="M282" i="156"/>
  <c r="L282" i="156"/>
  <c r="O277" i="156"/>
  <c r="J27" i="156" s="1"/>
  <c r="J282" i="88"/>
  <c r="G282" i="88"/>
  <c r="E282" i="156"/>
  <c r="F282" i="88"/>
  <c r="O279" i="156"/>
  <c r="J29" i="156" s="1"/>
  <c r="N263" i="156"/>
  <c r="N266" i="156" s="1"/>
  <c r="N263" i="88"/>
  <c r="N266" i="88" s="1"/>
  <c r="N282" i="156"/>
  <c r="O269" i="88"/>
  <c r="C282" i="88"/>
  <c r="H263" i="156"/>
  <c r="H266" i="156" s="1"/>
  <c r="H263" i="88"/>
  <c r="H266" i="88" s="1"/>
  <c r="K282" i="88"/>
  <c r="F263" i="156"/>
  <c r="F266" i="156" s="1"/>
  <c r="F263" i="88"/>
  <c r="F266" i="88" s="1"/>
  <c r="O276" i="156"/>
  <c r="J26" i="156" s="1"/>
  <c r="J263" i="156"/>
  <c r="J266" i="156" s="1"/>
  <c r="J263" i="88"/>
  <c r="J266" i="88" s="1"/>
  <c r="H282" i="88"/>
  <c r="O279" i="88"/>
  <c r="J29" i="88" s="1"/>
  <c r="G282" i="156"/>
  <c r="L263" i="88"/>
  <c r="L266" i="88" s="1"/>
  <c r="L263" i="156"/>
  <c r="L266" i="156" s="1"/>
  <c r="F282" i="156"/>
  <c r="O270" i="88"/>
  <c r="J20" i="88" s="1"/>
  <c r="O271" i="156"/>
  <c r="J21" i="156" s="1"/>
  <c r="J282" i="156"/>
  <c r="L282" i="88"/>
  <c r="O277" i="88"/>
  <c r="J27" i="88" s="1"/>
  <c r="K282" i="156"/>
  <c r="D282" i="88"/>
  <c r="D282" i="156"/>
  <c r="O278" i="156"/>
  <c r="J28" i="156" s="1"/>
  <c r="I263" i="156"/>
  <c r="I266" i="156" s="1"/>
  <c r="I263" i="88"/>
  <c r="I266" i="88" s="1"/>
  <c r="M263" i="156"/>
  <c r="M266" i="156" s="1"/>
  <c r="M263" i="88"/>
  <c r="M266" i="88" s="1"/>
  <c r="D263" i="156"/>
  <c r="D266" i="156" s="1"/>
  <c r="D263" i="88"/>
  <c r="D266" i="88" s="1"/>
  <c r="O270" i="156"/>
  <c r="J20" i="156" s="1"/>
  <c r="O271" i="88"/>
  <c r="J21" i="88" s="1"/>
  <c r="N282" i="88"/>
  <c r="O275" i="88"/>
  <c r="J25" i="88" s="1"/>
  <c r="I282" i="156"/>
  <c r="I18" i="155"/>
  <c r="X17" i="155"/>
  <c r="H20" i="155"/>
  <c r="H21" i="155" s="1"/>
  <c r="H23" i="155" s="1"/>
  <c r="H24" i="155" s="1"/>
  <c r="O79" i="73" l="1"/>
  <c r="O98" i="73"/>
  <c r="Q9" i="167"/>
  <c r="Q23" i="167" s="1"/>
  <c r="Q10" i="167"/>
  <c r="Q24" i="167" s="1"/>
  <c r="Q8" i="167"/>
  <c r="Q22" i="167" s="1"/>
  <c r="Q7" i="167"/>
  <c r="Q21" i="167" s="1"/>
  <c r="O82" i="73"/>
  <c r="O100" i="73" s="1"/>
  <c r="T25" i="167"/>
  <c r="S33" i="167"/>
  <c r="Q79" i="73"/>
  <c r="Q82" i="73" s="1"/>
  <c r="Q100" i="73" s="1"/>
  <c r="O52" i="73"/>
  <c r="O70" i="73" s="1"/>
  <c r="Q16" i="167"/>
  <c r="Q31" i="167" s="1"/>
  <c r="Q14" i="167"/>
  <c r="Q17" i="167"/>
  <c r="Q32" i="167" s="1"/>
  <c r="Q15" i="167"/>
  <c r="Q30" i="167" s="1"/>
  <c r="V29" i="167"/>
  <c r="V33" i="167" s="1"/>
  <c r="V25" i="167"/>
  <c r="Q17" i="73"/>
  <c r="Q35" i="73" s="1"/>
  <c r="AA39" i="58" s="1"/>
  <c r="F17" i="167"/>
  <c r="F32" i="167" s="1"/>
  <c r="F14" i="167"/>
  <c r="F15" i="167"/>
  <c r="F30" i="167" s="1"/>
  <c r="F16" i="167"/>
  <c r="F31" i="167" s="1"/>
  <c r="U25" i="167"/>
  <c r="F10" i="167"/>
  <c r="F24" i="167" s="1"/>
  <c r="F9" i="167"/>
  <c r="F23" i="167" s="1"/>
  <c r="F8" i="167"/>
  <c r="F22" i="167" s="1"/>
  <c r="F7" i="167"/>
  <c r="F21" i="167" s="1"/>
  <c r="T29" i="167"/>
  <c r="T33" i="167" s="1"/>
  <c r="U29" i="167"/>
  <c r="U33" i="167" s="1"/>
  <c r="S25" i="167"/>
  <c r="Q70" i="73"/>
  <c r="AO39" i="58" s="1"/>
  <c r="E284" i="88"/>
  <c r="G199" i="117" s="1"/>
  <c r="I284" i="88"/>
  <c r="K199" i="117" s="1"/>
  <c r="M284" i="88"/>
  <c r="O199" i="117" s="1"/>
  <c r="V30" i="73"/>
  <c r="T33" i="73"/>
  <c r="D284" i="156"/>
  <c r="O17" i="73"/>
  <c r="O35" i="73" s="1"/>
  <c r="K284" i="88"/>
  <c r="M199" i="117" s="1"/>
  <c r="M202" i="117" s="1"/>
  <c r="M201" i="117" s="1"/>
  <c r="N284" i="88"/>
  <c r="P199" i="117" s="1"/>
  <c r="P202" i="117" s="1"/>
  <c r="P201" i="117" s="1"/>
  <c r="G284" i="156"/>
  <c r="D284" i="88"/>
  <c r="F199" i="117" s="1"/>
  <c r="F202" i="117" s="1"/>
  <c r="F201" i="117" s="1"/>
  <c r="H284" i="88"/>
  <c r="J199" i="117" s="1"/>
  <c r="J202" i="117" s="1"/>
  <c r="J201" i="117" s="1"/>
  <c r="L284" i="156"/>
  <c r="M284" i="156"/>
  <c r="N284" i="156"/>
  <c r="H284" i="156"/>
  <c r="E284" i="156"/>
  <c r="O263" i="88"/>
  <c r="C266" i="88"/>
  <c r="C284" i="88" s="1"/>
  <c r="E199" i="117" s="1"/>
  <c r="E202" i="117" s="1"/>
  <c r="E201" i="117" s="1"/>
  <c r="J19" i="156"/>
  <c r="J32" i="156" s="1"/>
  <c r="O282" i="156"/>
  <c r="J19" i="88"/>
  <c r="O282" i="88"/>
  <c r="C266" i="156"/>
  <c r="C284" i="156" s="1"/>
  <c r="O263" i="156"/>
  <c r="J284" i="156"/>
  <c r="F284" i="88"/>
  <c r="H199" i="117" s="1"/>
  <c r="H202" i="117" s="1"/>
  <c r="H201" i="117" s="1"/>
  <c r="F284" i="156"/>
  <c r="G284" i="88"/>
  <c r="I199" i="117" s="1"/>
  <c r="I202" i="117" s="1"/>
  <c r="I201" i="117" s="1"/>
  <c r="I284" i="156"/>
  <c r="K284" i="156"/>
  <c r="L284" i="88"/>
  <c r="N199" i="117" s="1"/>
  <c r="N202" i="117" s="1"/>
  <c r="N201" i="117" s="1"/>
  <c r="J284" i="88"/>
  <c r="L199" i="117" s="1"/>
  <c r="L202" i="117" s="1"/>
  <c r="L201" i="117" s="1"/>
  <c r="X19" i="155"/>
  <c r="Y17" i="155"/>
  <c r="Y19" i="155" s="1"/>
  <c r="J18" i="155"/>
  <c r="I20" i="155"/>
  <c r="I21" i="155" s="1"/>
  <c r="I23" i="155" s="1"/>
  <c r="I24" i="155" s="1"/>
  <c r="O202" i="117" l="1"/>
  <c r="O201" i="117" s="1"/>
  <c r="K202" i="117"/>
  <c r="K201" i="117" s="1"/>
  <c r="G202" i="117"/>
  <c r="G201" i="117" s="1"/>
  <c r="L39" i="58"/>
  <c r="E68" i="61"/>
  <c r="U35" i="167"/>
  <c r="P64" i="73" s="1"/>
  <c r="P94" i="73" s="1"/>
  <c r="T94" i="73" s="1"/>
  <c r="V94" i="73" s="1"/>
  <c r="Q25" i="167"/>
  <c r="V35" i="167"/>
  <c r="P67" i="73" s="1"/>
  <c r="T67" i="73" s="1"/>
  <c r="V67" i="73" s="1"/>
  <c r="T35" i="167"/>
  <c r="P63" i="73" s="1"/>
  <c r="P93" i="73" s="1"/>
  <c r="T93" i="73" s="1"/>
  <c r="V93" i="73" s="1"/>
  <c r="W93" i="73" s="1"/>
  <c r="O101" i="73"/>
  <c r="F25" i="167"/>
  <c r="Q29" i="167"/>
  <c r="Q33" i="167" s="1"/>
  <c r="F29" i="167"/>
  <c r="F33" i="167" s="1"/>
  <c r="Q101" i="73"/>
  <c r="S35" i="167"/>
  <c r="P62" i="73" s="1"/>
  <c r="M204" i="117"/>
  <c r="M219" i="117" s="1"/>
  <c r="M28" i="107" s="1"/>
  <c r="M29" i="107" s="1"/>
  <c r="M33" i="107" s="1"/>
  <c r="M35" i="107" s="1"/>
  <c r="M37" i="107" s="1"/>
  <c r="V33" i="73"/>
  <c r="P204" i="117"/>
  <c r="P219" i="117" s="1"/>
  <c r="P28" i="107" s="1"/>
  <c r="P29" i="107" s="1"/>
  <c r="P33" i="107" s="1"/>
  <c r="P35" i="107" s="1"/>
  <c r="P37" i="107" s="1"/>
  <c r="H204" i="117"/>
  <c r="H219" i="117" s="1"/>
  <c r="H28" i="107" s="1"/>
  <c r="H29" i="107" s="1"/>
  <c r="H33" i="107" s="1"/>
  <c r="H35" i="107" s="1"/>
  <c r="H37" i="107" s="1"/>
  <c r="F204" i="117"/>
  <c r="F219" i="117" s="1"/>
  <c r="F28" i="107" s="1"/>
  <c r="F29" i="107" s="1"/>
  <c r="F33" i="107" s="1"/>
  <c r="F35" i="107" s="1"/>
  <c r="F37" i="107" s="1"/>
  <c r="Q199" i="117"/>
  <c r="J204" i="117"/>
  <c r="J219" i="117" s="1"/>
  <c r="J28" i="107" s="1"/>
  <c r="J29" i="107" s="1"/>
  <c r="J33" i="107" s="1"/>
  <c r="J35" i="107" s="1"/>
  <c r="J37" i="107" s="1"/>
  <c r="L204" i="117"/>
  <c r="L219" i="117" s="1"/>
  <c r="L28" i="107" s="1"/>
  <c r="L29" i="107" s="1"/>
  <c r="L33" i="107" s="1"/>
  <c r="L35" i="107" s="1"/>
  <c r="L37" i="107" s="1"/>
  <c r="N204" i="117"/>
  <c r="N219" i="117" s="1"/>
  <c r="N28" i="107" s="1"/>
  <c r="N29" i="107" s="1"/>
  <c r="N33" i="107" s="1"/>
  <c r="N35" i="107" s="1"/>
  <c r="N37" i="107" s="1"/>
  <c r="I204" i="117"/>
  <c r="I219" i="117" s="1"/>
  <c r="I28" i="107" s="1"/>
  <c r="I29" i="107" s="1"/>
  <c r="I33" i="107" s="1"/>
  <c r="I35" i="107" s="1"/>
  <c r="I37" i="107" s="1"/>
  <c r="J13" i="156"/>
  <c r="J16" i="156" s="1"/>
  <c r="J34" i="156" s="1"/>
  <c r="O266" i="156"/>
  <c r="O284" i="156" s="1"/>
  <c r="J13" i="88"/>
  <c r="O266" i="88"/>
  <c r="O284" i="88" s="1"/>
  <c r="K18" i="155"/>
  <c r="Z17" i="155"/>
  <c r="Z19" i="155" s="1"/>
  <c r="J20" i="155"/>
  <c r="J21" i="155" s="1"/>
  <c r="J23" i="155" s="1"/>
  <c r="J24" i="155" s="1"/>
  <c r="K204" i="117" l="1"/>
  <c r="K219" i="117" s="1"/>
  <c r="K28" i="107" s="1"/>
  <c r="K29" i="107" s="1"/>
  <c r="K33" i="107" s="1"/>
  <c r="K35" i="107" s="1"/>
  <c r="K37" i="107" s="1"/>
  <c r="G204" i="117"/>
  <c r="G219" i="117" s="1"/>
  <c r="G28" i="107" s="1"/>
  <c r="G29" i="107" s="1"/>
  <c r="G33" i="107" s="1"/>
  <c r="G35" i="107" s="1"/>
  <c r="G37" i="107" s="1"/>
  <c r="O204" i="117"/>
  <c r="O219" i="117" s="1"/>
  <c r="O28" i="107" s="1"/>
  <c r="O29" i="107" s="1"/>
  <c r="O33" i="107" s="1"/>
  <c r="O35" i="107" s="1"/>
  <c r="O37" i="107" s="1"/>
  <c r="P97" i="73"/>
  <c r="T97" i="73" s="1"/>
  <c r="V97" i="73" s="1"/>
  <c r="T64" i="73"/>
  <c r="V64" i="73" s="1"/>
  <c r="T63" i="73"/>
  <c r="V63" i="73" s="1"/>
  <c r="W63" i="73" s="1"/>
  <c r="Q35" i="167"/>
  <c r="P49" i="73" s="1"/>
  <c r="P52" i="73" s="1"/>
  <c r="F35" i="167"/>
  <c r="P14" i="73" s="1"/>
  <c r="P92" i="73"/>
  <c r="T92" i="73" s="1"/>
  <c r="V92" i="73" s="1"/>
  <c r="W92" i="73" s="1"/>
  <c r="T62" i="73"/>
  <c r="V62" i="73" s="1"/>
  <c r="W62" i="73" s="1"/>
  <c r="Q201" i="117"/>
  <c r="Q202" i="117"/>
  <c r="K42" i="122" s="1"/>
  <c r="E204" i="117"/>
  <c r="E219" i="117" s="1"/>
  <c r="E28" i="107" s="1"/>
  <c r="E29" i="107" s="1"/>
  <c r="L18" i="155"/>
  <c r="AA17" i="155"/>
  <c r="AA19" i="155" s="1"/>
  <c r="K20" i="155"/>
  <c r="K21" i="155" s="1"/>
  <c r="K23" i="155" s="1"/>
  <c r="K24" i="155" s="1"/>
  <c r="E33" i="107" l="1"/>
  <c r="E35" i="107" s="1"/>
  <c r="E37" i="107" s="1"/>
  <c r="K14" i="107" s="1"/>
  <c r="K60" i="122"/>
  <c r="T49" i="73"/>
  <c r="V49" i="73" s="1"/>
  <c r="P79" i="73"/>
  <c r="T79" i="73" s="1"/>
  <c r="P17" i="73"/>
  <c r="P35" i="73" s="1"/>
  <c r="T14" i="73"/>
  <c r="T17" i="73" s="1"/>
  <c r="T35" i="73" s="1"/>
  <c r="Q204" i="117"/>
  <c r="R201" i="117"/>
  <c r="AB17" i="155"/>
  <c r="AB19" i="155" s="1"/>
  <c r="L20" i="155"/>
  <c r="L21" i="155" s="1"/>
  <c r="L23" i="155" s="1"/>
  <c r="L24" i="155" s="1"/>
  <c r="M18" i="155"/>
  <c r="D209" i="82" l="1"/>
  <c r="L57" i="58"/>
  <c r="T52" i="73"/>
  <c r="K36" i="122"/>
  <c r="K34" i="122" s="1"/>
  <c r="P82" i="73"/>
  <c r="V14" i="73"/>
  <c r="V17" i="73" s="1"/>
  <c r="V35" i="73" s="1"/>
  <c r="L100" i="58"/>
  <c r="K35" i="122"/>
  <c r="V52" i="73"/>
  <c r="V79" i="73"/>
  <c r="T82" i="73"/>
  <c r="R125" i="82"/>
  <c r="Q203" i="117"/>
  <c r="AC17" i="155"/>
  <c r="AC19" i="155" s="1"/>
  <c r="M20" i="155"/>
  <c r="M21" i="155" s="1"/>
  <c r="M23" i="155" s="1"/>
  <c r="M24" i="155" s="1"/>
  <c r="N18" i="155"/>
  <c r="AA83" i="58" l="1"/>
  <c r="K81" i="122"/>
  <c r="V82" i="73"/>
  <c r="R124" i="82"/>
  <c r="C31" i="155"/>
  <c r="AD17" i="155"/>
  <c r="N20" i="155"/>
  <c r="N21" i="155" s="1"/>
  <c r="N23" i="155" s="1"/>
  <c r="N24" i="155" s="1"/>
  <c r="AA126" i="58" l="1"/>
  <c r="AD19" i="155"/>
  <c r="AE19" i="155" s="1"/>
  <c r="AF16" i="155" s="1"/>
  <c r="AE17" i="155"/>
  <c r="D66" i="155" s="1"/>
  <c r="S30" i="155"/>
  <c r="D31" i="155"/>
  <c r="C33" i="155"/>
  <c r="D90" i="155" l="1"/>
  <c r="D87" i="155"/>
  <c r="D84" i="155"/>
  <c r="D81" i="155"/>
  <c r="D78" i="155"/>
  <c r="D72" i="155"/>
  <c r="D89" i="155"/>
  <c r="D86" i="155"/>
  <c r="D83" i="155"/>
  <c r="D80" i="155"/>
  <c r="D74" i="155"/>
  <c r="D88" i="155"/>
  <c r="D85" i="155"/>
  <c r="D82" i="155"/>
  <c r="D79" i="155"/>
  <c r="D73" i="155"/>
  <c r="T30" i="155"/>
  <c r="T32" i="155" s="1"/>
  <c r="E31" i="155"/>
  <c r="D33" i="155"/>
  <c r="D34" i="155" s="1"/>
  <c r="D36" i="155" s="1"/>
  <c r="C37" i="155"/>
  <c r="C34" i="155"/>
  <c r="C36" i="155" s="1"/>
  <c r="S32" i="155"/>
  <c r="I89" i="155" l="1"/>
  <c r="N89" i="155"/>
  <c r="P307" i="154" s="1"/>
  <c r="N83" i="155"/>
  <c r="P301" i="154" s="1"/>
  <c r="I83" i="155"/>
  <c r="I82" i="155"/>
  <c r="N82" i="155"/>
  <c r="P300" i="154" s="1"/>
  <c r="N72" i="155"/>
  <c r="I72" i="155"/>
  <c r="I78" i="155"/>
  <c r="N78" i="155"/>
  <c r="P296" i="154" s="1"/>
  <c r="I81" i="155"/>
  <c r="N81" i="155"/>
  <c r="P299" i="154" s="1"/>
  <c r="N80" i="155"/>
  <c r="P298" i="154" s="1"/>
  <c r="I80" i="155"/>
  <c r="I86" i="155"/>
  <c r="N86" i="155"/>
  <c r="P304" i="154" s="1"/>
  <c r="N84" i="155"/>
  <c r="P302" i="154" s="1"/>
  <c r="I84" i="155"/>
  <c r="N87" i="155"/>
  <c r="P305" i="154" s="1"/>
  <c r="I87" i="155"/>
  <c r="I88" i="155"/>
  <c r="P306" i="153" s="1"/>
  <c r="N88" i="155"/>
  <c r="P306" i="154" s="1"/>
  <c r="I79" i="155"/>
  <c r="N79" i="155"/>
  <c r="P297" i="154" s="1"/>
  <c r="I85" i="155"/>
  <c r="N85" i="155"/>
  <c r="P303" i="154" s="1"/>
  <c r="I90" i="155"/>
  <c r="N90" i="155"/>
  <c r="P308" i="154" s="1"/>
  <c r="D75" i="155"/>
  <c r="D91" i="155"/>
  <c r="D37" i="155"/>
  <c r="F31" i="155"/>
  <c r="U30" i="155"/>
  <c r="E33" i="155"/>
  <c r="E34" i="155" s="1"/>
  <c r="E36" i="155" s="1"/>
  <c r="C304" i="154" l="1"/>
  <c r="K304" i="154"/>
  <c r="G304" i="154"/>
  <c r="F304" i="154"/>
  <c r="E304" i="154"/>
  <c r="D304" i="154"/>
  <c r="L304" i="154"/>
  <c r="H304" i="154"/>
  <c r="J304" i="154"/>
  <c r="I304" i="154"/>
  <c r="M304" i="154"/>
  <c r="N304" i="154"/>
  <c r="N75" i="155"/>
  <c r="P290" i="154"/>
  <c r="C303" i="154"/>
  <c r="N303" i="154"/>
  <c r="M303" i="154"/>
  <c r="K303" i="154"/>
  <c r="L303" i="154"/>
  <c r="J303" i="154"/>
  <c r="E303" i="154"/>
  <c r="F303" i="154"/>
  <c r="D303" i="154"/>
  <c r="I303" i="154"/>
  <c r="H303" i="154"/>
  <c r="G303" i="154"/>
  <c r="D93" i="155"/>
  <c r="N91" i="155"/>
  <c r="N93" i="155" s="1"/>
  <c r="I91" i="155"/>
  <c r="I75" i="155"/>
  <c r="P290" i="153"/>
  <c r="I306" i="153"/>
  <c r="J306" i="153"/>
  <c r="K306" i="153"/>
  <c r="L306" i="153"/>
  <c r="M306" i="153"/>
  <c r="C306" i="153"/>
  <c r="N306" i="153"/>
  <c r="G306" i="153"/>
  <c r="F306" i="153"/>
  <c r="D306" i="153"/>
  <c r="E306" i="153"/>
  <c r="H306" i="153"/>
  <c r="E37" i="155"/>
  <c r="U32" i="155"/>
  <c r="G31" i="155"/>
  <c r="V30" i="155"/>
  <c r="V32" i="155" s="1"/>
  <c r="F33" i="155"/>
  <c r="F34" i="155" s="1"/>
  <c r="F36" i="155" s="1"/>
  <c r="F37" i="155" s="1"/>
  <c r="I304" i="156" l="1"/>
  <c r="I304" i="88"/>
  <c r="J304" i="156"/>
  <c r="J304" i="88"/>
  <c r="L304" i="156"/>
  <c r="L304" i="88"/>
  <c r="L305" i="156"/>
  <c r="L305" i="88"/>
  <c r="K304" i="156"/>
  <c r="K304" i="88"/>
  <c r="D305" i="88"/>
  <c r="D305" i="156"/>
  <c r="D304" i="156"/>
  <c r="D304" i="88"/>
  <c r="F304" i="156"/>
  <c r="F304" i="88"/>
  <c r="I305" i="88"/>
  <c r="I305" i="156"/>
  <c r="J305" i="88"/>
  <c r="J305" i="156"/>
  <c r="H305" i="88"/>
  <c r="H305" i="156"/>
  <c r="M304" i="156"/>
  <c r="M304" i="88"/>
  <c r="G305" i="88"/>
  <c r="G305" i="156"/>
  <c r="G304" i="156"/>
  <c r="G304" i="88"/>
  <c r="K305" i="156"/>
  <c r="K305" i="88"/>
  <c r="N305" i="156"/>
  <c r="N305" i="88"/>
  <c r="M305" i="156"/>
  <c r="M305" i="88"/>
  <c r="E304" i="156"/>
  <c r="E304" i="88"/>
  <c r="E305" i="156"/>
  <c r="E305" i="88"/>
  <c r="N304" i="156"/>
  <c r="N304" i="88"/>
  <c r="F305" i="88"/>
  <c r="F305" i="156"/>
  <c r="C304" i="156"/>
  <c r="C304" i="88"/>
  <c r="O303" i="154"/>
  <c r="K26" i="154" s="1"/>
  <c r="H304" i="156"/>
  <c r="H304" i="88"/>
  <c r="C305" i="156"/>
  <c r="C305" i="88"/>
  <c r="O304" i="154"/>
  <c r="K27" i="154" s="1"/>
  <c r="I290" i="153"/>
  <c r="K290" i="153"/>
  <c r="J290" i="153"/>
  <c r="L290" i="153"/>
  <c r="C290" i="153"/>
  <c r="H290" i="153"/>
  <c r="F290" i="153"/>
  <c r="D290" i="153"/>
  <c r="E290" i="153"/>
  <c r="N290" i="153"/>
  <c r="G290" i="153"/>
  <c r="M290" i="153"/>
  <c r="I93" i="155"/>
  <c r="D94" i="155" s="1"/>
  <c r="W30" i="155"/>
  <c r="W32" i="155" s="1"/>
  <c r="H31" i="155"/>
  <c r="G33" i="155"/>
  <c r="G34" i="155" s="1"/>
  <c r="G36" i="155" s="1"/>
  <c r="G37" i="155" s="1"/>
  <c r="L100" i="168" l="1"/>
  <c r="L100" i="172"/>
  <c r="L105" i="168"/>
  <c r="L105" i="172"/>
  <c r="M100" i="168"/>
  <c r="L146" i="168"/>
  <c r="M105" i="168"/>
  <c r="L147" i="168"/>
  <c r="O305" i="156"/>
  <c r="K27" i="156" s="1"/>
  <c r="O304" i="88"/>
  <c r="K26" i="88" s="1"/>
  <c r="O304" i="156"/>
  <c r="K26" i="156" s="1"/>
  <c r="O305" i="88"/>
  <c r="K27" i="88" s="1"/>
  <c r="X30" i="155"/>
  <c r="I31" i="155"/>
  <c r="H33" i="155"/>
  <c r="H34" i="155" s="1"/>
  <c r="H36" i="155" s="1"/>
  <c r="H37" i="155" s="1"/>
  <c r="M105" i="172" l="1"/>
  <c r="L147" i="172"/>
  <c r="M100" i="172"/>
  <c r="L146" i="172"/>
  <c r="M147" i="168"/>
  <c r="M108" i="168"/>
  <c r="Q108" i="168" s="1"/>
  <c r="R105" i="168"/>
  <c r="R147" i="168" s="1"/>
  <c r="M106" i="168"/>
  <c r="Q106" i="168" s="1"/>
  <c r="P105" i="168"/>
  <c r="M109" i="168"/>
  <c r="Q109" i="168" s="1"/>
  <c r="M107" i="168"/>
  <c r="Q107" i="168" s="1"/>
  <c r="M146" i="168"/>
  <c r="M101" i="168"/>
  <c r="Q101" i="168" s="1"/>
  <c r="M104" i="168"/>
  <c r="Q104" i="168" s="1"/>
  <c r="M102" i="168"/>
  <c r="Q102" i="168" s="1"/>
  <c r="P100" i="168"/>
  <c r="R100" i="168"/>
  <c r="R146" i="168" s="1"/>
  <c r="M103" i="168"/>
  <c r="Q103" i="168" s="1"/>
  <c r="J31" i="155"/>
  <c r="Y30" i="155"/>
  <c r="Y32" i="155" s="1"/>
  <c r="I33" i="155"/>
  <c r="I34" i="155" s="1"/>
  <c r="I36" i="155" s="1"/>
  <c r="I37" i="155" s="1"/>
  <c r="X32" i="155"/>
  <c r="M101" i="172" l="1"/>
  <c r="Q101" i="172" s="1"/>
  <c r="M103" i="172"/>
  <c r="Q103" i="172" s="1"/>
  <c r="R100" i="172"/>
  <c r="R146" i="172" s="1"/>
  <c r="M104" i="172"/>
  <c r="Q104" i="172" s="1"/>
  <c r="P100" i="172"/>
  <c r="M102" i="172"/>
  <c r="Q102" i="172" s="1"/>
  <c r="M146" i="172"/>
  <c r="M108" i="172"/>
  <c r="Q108" i="172" s="1"/>
  <c r="M109" i="172"/>
  <c r="Q109" i="172" s="1"/>
  <c r="P105" i="172"/>
  <c r="M147" i="172"/>
  <c r="R105" i="172"/>
  <c r="R147" i="172" s="1"/>
  <c r="M107" i="172"/>
  <c r="Q107" i="172" s="1"/>
  <c r="M106" i="172"/>
  <c r="Q106" i="172" s="1"/>
  <c r="Q105" i="168"/>
  <c r="Q147" i="168" s="1"/>
  <c r="P146" i="168"/>
  <c r="P147" i="168"/>
  <c r="U105" i="168"/>
  <c r="W105" i="168" s="1"/>
  <c r="X105" i="168" s="1"/>
  <c r="Q100" i="168"/>
  <c r="K31" i="155"/>
  <c r="Z30" i="155"/>
  <c r="J33" i="155"/>
  <c r="J34" i="155" s="1"/>
  <c r="J36" i="155" s="1"/>
  <c r="J37" i="155" s="1"/>
  <c r="U147" i="168" l="1"/>
  <c r="W147" i="168" s="1"/>
  <c r="X147" i="168" s="1"/>
  <c r="P147" i="172"/>
  <c r="Q105" i="172"/>
  <c r="Q147" i="172" s="1"/>
  <c r="P146" i="172"/>
  <c r="Q100" i="172"/>
  <c r="Q98" i="168"/>
  <c r="Q146" i="168"/>
  <c r="U146" i="168" s="1"/>
  <c r="W146" i="168" s="1"/>
  <c r="X146" i="168" s="1"/>
  <c r="U100" i="168"/>
  <c r="W100" i="168" s="1"/>
  <c r="X100" i="168" s="1"/>
  <c r="Z32" i="155"/>
  <c r="L31" i="155"/>
  <c r="AA30" i="155"/>
  <c r="AA32" i="155" s="1"/>
  <c r="K33" i="155"/>
  <c r="K34" i="155" s="1"/>
  <c r="K36" i="155" s="1"/>
  <c r="K37" i="155" s="1"/>
  <c r="Q146" i="172" l="1"/>
  <c r="U146" i="172" s="1"/>
  <c r="W146" i="172" s="1"/>
  <c r="X146" i="172" s="1"/>
  <c r="Q98" i="172"/>
  <c r="U105" i="172"/>
  <c r="W105" i="172" s="1"/>
  <c r="X105" i="172" s="1"/>
  <c r="U100" i="172"/>
  <c r="W100" i="172" s="1"/>
  <c r="X100" i="172" s="1"/>
  <c r="U147" i="172"/>
  <c r="W147" i="172" s="1"/>
  <c r="X147" i="172" s="1"/>
  <c r="M31" i="155"/>
  <c r="L33" i="155"/>
  <c r="L34" i="155" s="1"/>
  <c r="L36" i="155" s="1"/>
  <c r="L37" i="155" s="1"/>
  <c r="AB30" i="155"/>
  <c r="AB32" i="155" s="1"/>
  <c r="AC30" i="155" l="1"/>
  <c r="AC32" i="155" s="1"/>
  <c r="N31" i="155"/>
  <c r="M33" i="155"/>
  <c r="M34" i="155" s="1"/>
  <c r="M36" i="155" s="1"/>
  <c r="M37" i="155" s="1"/>
  <c r="AD30" i="155" l="1"/>
  <c r="N33" i="155"/>
  <c r="N34" i="155" s="1"/>
  <c r="N36" i="155" s="1"/>
  <c r="N37" i="155" s="1"/>
  <c r="C44" i="155"/>
  <c r="S43" i="155" l="1"/>
  <c r="D44" i="155"/>
  <c r="C46" i="155"/>
  <c r="AD32" i="155"/>
  <c r="AE32" i="155" s="1"/>
  <c r="AF29" i="155" s="1"/>
  <c r="AE30" i="155"/>
  <c r="E66" i="155" s="1"/>
  <c r="E90" i="155" l="1"/>
  <c r="E87" i="155"/>
  <c r="E84" i="155"/>
  <c r="E81" i="155"/>
  <c r="E78" i="155"/>
  <c r="E72" i="155"/>
  <c r="E88" i="155"/>
  <c r="E85" i="155"/>
  <c r="E82" i="155"/>
  <c r="E79" i="155"/>
  <c r="E73" i="155"/>
  <c r="E89" i="155"/>
  <c r="E86" i="155"/>
  <c r="E83" i="155"/>
  <c r="E80" i="155"/>
  <c r="E74" i="155"/>
  <c r="C50" i="155"/>
  <c r="C47" i="155"/>
  <c r="C49" i="155" s="1"/>
  <c r="D46" i="155"/>
  <c r="D47" i="155" s="1"/>
  <c r="D49" i="155" s="1"/>
  <c r="E44" i="155"/>
  <c r="T43" i="155"/>
  <c r="T45" i="155" s="1"/>
  <c r="S45" i="155"/>
  <c r="J89" i="155" l="1"/>
  <c r="O89" i="155"/>
  <c r="P335" i="154" s="1"/>
  <c r="J82" i="155"/>
  <c r="O82" i="155"/>
  <c r="P328" i="154" s="1"/>
  <c r="J83" i="155"/>
  <c r="O83" i="155"/>
  <c r="P329" i="154" s="1"/>
  <c r="J88" i="155"/>
  <c r="P334" i="153" s="1"/>
  <c r="O88" i="155"/>
  <c r="P334" i="154" s="1"/>
  <c r="O72" i="155"/>
  <c r="J72" i="155"/>
  <c r="J81" i="155"/>
  <c r="O81" i="155"/>
  <c r="P327" i="154" s="1"/>
  <c r="J79" i="155"/>
  <c r="O79" i="155"/>
  <c r="P325" i="154" s="1"/>
  <c r="O85" i="155"/>
  <c r="P331" i="154" s="1"/>
  <c r="J85" i="155"/>
  <c r="O78" i="155"/>
  <c r="J78" i="155"/>
  <c r="J80" i="155"/>
  <c r="O80" i="155"/>
  <c r="P326" i="154" s="1"/>
  <c r="O84" i="155"/>
  <c r="P330" i="154" s="1"/>
  <c r="J84" i="155"/>
  <c r="O87" i="155"/>
  <c r="P333" i="154" s="1"/>
  <c r="J87" i="155"/>
  <c r="J86" i="155"/>
  <c r="O86" i="155"/>
  <c r="P332" i="154" s="1"/>
  <c r="O90" i="155"/>
  <c r="P336" i="154" s="1"/>
  <c r="J90" i="155"/>
  <c r="E91" i="155"/>
  <c r="E75" i="155"/>
  <c r="U43" i="155"/>
  <c r="F44" i="155"/>
  <c r="E46" i="155"/>
  <c r="E47" i="155" s="1"/>
  <c r="E49" i="155" s="1"/>
  <c r="D50" i="155"/>
  <c r="E50" i="155" s="1"/>
  <c r="O91" i="155" l="1"/>
  <c r="P324" i="154"/>
  <c r="C331" i="154"/>
  <c r="N331" i="154"/>
  <c r="M331" i="154"/>
  <c r="L331" i="154"/>
  <c r="J331" i="154"/>
  <c r="I331" i="154"/>
  <c r="H331" i="154"/>
  <c r="F331" i="154"/>
  <c r="K331" i="154"/>
  <c r="G331" i="154"/>
  <c r="E331" i="154"/>
  <c r="D331" i="154"/>
  <c r="C332" i="154"/>
  <c r="N332" i="154"/>
  <c r="M332" i="154"/>
  <c r="L332" i="154"/>
  <c r="J332" i="154"/>
  <c r="E332" i="154"/>
  <c r="D332" i="154"/>
  <c r="K332" i="154"/>
  <c r="I332" i="154"/>
  <c r="F332" i="154"/>
  <c r="H332" i="154"/>
  <c r="G332" i="154"/>
  <c r="O75" i="155"/>
  <c r="P318" i="154"/>
  <c r="J91" i="155"/>
  <c r="J75" i="155"/>
  <c r="P318" i="153"/>
  <c r="E93" i="155"/>
  <c r="V43" i="155"/>
  <c r="V45" i="155" s="1"/>
  <c r="G44" i="155"/>
  <c r="F46" i="155"/>
  <c r="F47" i="155" s="1"/>
  <c r="F49" i="155" s="1"/>
  <c r="F50" i="155" s="1"/>
  <c r="U45" i="155"/>
  <c r="J93" i="155" l="1"/>
  <c r="F333" i="88"/>
  <c r="F333" i="156"/>
  <c r="I333" i="156"/>
  <c r="I333" i="88"/>
  <c r="F332" i="88"/>
  <c r="F332" i="156"/>
  <c r="E333" i="156"/>
  <c r="E333" i="88"/>
  <c r="D333" i="88"/>
  <c r="D333" i="156"/>
  <c r="H332" i="156"/>
  <c r="H332" i="88"/>
  <c r="J332" i="156"/>
  <c r="J332" i="88"/>
  <c r="N333" i="156"/>
  <c r="N333" i="88"/>
  <c r="N332" i="88"/>
  <c r="N332" i="156"/>
  <c r="G332" i="88"/>
  <c r="G332" i="156"/>
  <c r="K333" i="88"/>
  <c r="K333" i="156"/>
  <c r="I332" i="156"/>
  <c r="I332" i="88"/>
  <c r="M332" i="88"/>
  <c r="M332" i="156"/>
  <c r="C332" i="156"/>
  <c r="C332" i="88"/>
  <c r="O331" i="154"/>
  <c r="L26" i="154" s="1"/>
  <c r="G333" i="88"/>
  <c r="G333" i="156"/>
  <c r="D332" i="156"/>
  <c r="D332" i="88"/>
  <c r="K332" i="156"/>
  <c r="K332" i="88"/>
  <c r="J333" i="156"/>
  <c r="J333" i="88"/>
  <c r="L333" i="156"/>
  <c r="L333" i="88"/>
  <c r="L332" i="156"/>
  <c r="L332" i="88"/>
  <c r="M333" i="88"/>
  <c r="M333" i="156"/>
  <c r="C333" i="156"/>
  <c r="C333" i="88"/>
  <c r="O332" i="154"/>
  <c r="L27" i="154" s="1"/>
  <c r="H333" i="156"/>
  <c r="H333" i="88"/>
  <c r="E332" i="156"/>
  <c r="E332" i="88"/>
  <c r="O93" i="155"/>
  <c r="E94" i="155" s="1"/>
  <c r="H44" i="155"/>
  <c r="G46" i="155"/>
  <c r="G47" i="155" s="1"/>
  <c r="G49" i="155" s="1"/>
  <c r="G50" i="155" s="1"/>
  <c r="W43" i="155"/>
  <c r="L100" i="169" l="1"/>
  <c r="L100" i="173"/>
  <c r="L105" i="169"/>
  <c r="M105" i="169" s="1"/>
  <c r="L105" i="173"/>
  <c r="M100" i="169"/>
  <c r="L146" i="169"/>
  <c r="L147" i="169"/>
  <c r="O333" i="156"/>
  <c r="L27" i="156" s="1"/>
  <c r="O332" i="88"/>
  <c r="L26" i="88" s="1"/>
  <c r="O332" i="156"/>
  <c r="L26" i="156" s="1"/>
  <c r="O333" i="88"/>
  <c r="L27" i="88" s="1"/>
  <c r="W45" i="155"/>
  <c r="X43" i="155"/>
  <c r="X45" i="155" s="1"/>
  <c r="I44" i="155"/>
  <c r="H46" i="155"/>
  <c r="H47" i="155" s="1"/>
  <c r="H49" i="155" s="1"/>
  <c r="H50" i="155" s="1"/>
  <c r="L146" i="173" l="1"/>
  <c r="M100" i="173"/>
  <c r="M105" i="173"/>
  <c r="L147" i="173"/>
  <c r="M103" i="169"/>
  <c r="Q103" i="169" s="1"/>
  <c r="P100" i="169"/>
  <c r="P146" i="169" s="1"/>
  <c r="M146" i="169"/>
  <c r="M104" i="169"/>
  <c r="Q104" i="169" s="1"/>
  <c r="M102" i="169"/>
  <c r="Q102" i="169" s="1"/>
  <c r="M101" i="169"/>
  <c r="Q101" i="169" s="1"/>
  <c r="R100" i="169"/>
  <c r="R146" i="169" s="1"/>
  <c r="M109" i="169"/>
  <c r="Q109" i="169" s="1"/>
  <c r="P105" i="169"/>
  <c r="M107" i="169"/>
  <c r="Q107" i="169" s="1"/>
  <c r="M108" i="169"/>
  <c r="Q108" i="169" s="1"/>
  <c r="M106" i="169"/>
  <c r="Q106" i="169" s="1"/>
  <c r="M147" i="169"/>
  <c r="R105" i="169"/>
  <c r="R147" i="169" s="1"/>
  <c r="J44" i="155"/>
  <c r="Y43" i="155"/>
  <c r="Y45" i="155" s="1"/>
  <c r="I46" i="155"/>
  <c r="I47" i="155" s="1"/>
  <c r="I49" i="155" s="1"/>
  <c r="I50" i="155" s="1"/>
  <c r="Q100" i="169" l="1"/>
  <c r="M109" i="173"/>
  <c r="Q109" i="173" s="1"/>
  <c r="M107" i="173"/>
  <c r="Q107" i="173" s="1"/>
  <c r="M106" i="173"/>
  <c r="Q106" i="173" s="1"/>
  <c r="R105" i="173"/>
  <c r="R147" i="173" s="1"/>
  <c r="P105" i="173"/>
  <c r="M108" i="173"/>
  <c r="Q108" i="173" s="1"/>
  <c r="M147" i="173"/>
  <c r="M102" i="173"/>
  <c r="Q102" i="173" s="1"/>
  <c r="R100" i="173"/>
  <c r="R146" i="173" s="1"/>
  <c r="M104" i="173"/>
  <c r="Q104" i="173" s="1"/>
  <c r="M146" i="173"/>
  <c r="P100" i="173"/>
  <c r="M103" i="173"/>
  <c r="Q103" i="173" s="1"/>
  <c r="M101" i="173"/>
  <c r="Q101" i="173" s="1"/>
  <c r="P147" i="169"/>
  <c r="U100" i="169"/>
  <c r="W100" i="169" s="1"/>
  <c r="X100" i="169" s="1"/>
  <c r="Q146" i="169"/>
  <c r="U146" i="169" s="1"/>
  <c r="W146" i="169" s="1"/>
  <c r="X146" i="169" s="1"/>
  <c r="Q105" i="169"/>
  <c r="Q147" i="169" s="1"/>
  <c r="U147" i="169" s="1"/>
  <c r="W147" i="169" s="1"/>
  <c r="X147" i="169" s="1"/>
  <c r="Z43" i="155"/>
  <c r="K44" i="155"/>
  <c r="J46" i="155"/>
  <c r="J47" i="155" s="1"/>
  <c r="J49" i="155" s="1"/>
  <c r="J50" i="155" s="1"/>
  <c r="P147" i="173" l="1"/>
  <c r="P146" i="173"/>
  <c r="Q105" i="173"/>
  <c r="Q147" i="173" s="1"/>
  <c r="Q100" i="173"/>
  <c r="Q98" i="169"/>
  <c r="U105" i="169"/>
  <c r="W105" i="169" s="1"/>
  <c r="X105" i="169" s="1"/>
  <c r="AA43" i="155"/>
  <c r="AA45" i="155" s="1"/>
  <c r="L44" i="155"/>
  <c r="K46" i="155"/>
  <c r="K47" i="155" s="1"/>
  <c r="K49" i="155" s="1"/>
  <c r="K50" i="155" s="1"/>
  <c r="Z45" i="155"/>
  <c r="Q146" i="173" l="1"/>
  <c r="U146" i="173" s="1"/>
  <c r="W146" i="173" s="1"/>
  <c r="X146" i="173" s="1"/>
  <c r="Q98" i="173"/>
  <c r="U100" i="173"/>
  <c r="W100" i="173" s="1"/>
  <c r="X100" i="173" s="1"/>
  <c r="U105" i="173"/>
  <c r="W105" i="173" s="1"/>
  <c r="X105" i="173" s="1"/>
  <c r="U147" i="173"/>
  <c r="W147" i="173" s="1"/>
  <c r="X147" i="173" s="1"/>
  <c r="M44" i="155"/>
  <c r="AB43" i="155"/>
  <c r="AB45" i="155" s="1"/>
  <c r="L46" i="155"/>
  <c r="L47" i="155" s="1"/>
  <c r="L49" i="155" s="1"/>
  <c r="L50" i="155" s="1"/>
  <c r="N44" i="155" l="1"/>
  <c r="M46" i="155"/>
  <c r="M47" i="155" s="1"/>
  <c r="M49" i="155" s="1"/>
  <c r="M50" i="155" s="1"/>
  <c r="AC43" i="155"/>
  <c r="AC45" i="155" s="1"/>
  <c r="AD43" i="155" l="1"/>
  <c r="C57" i="155"/>
  <c r="N46" i="155"/>
  <c r="N47" i="155" s="1"/>
  <c r="N49" i="155" s="1"/>
  <c r="N50" i="155" s="1"/>
  <c r="S56" i="155" l="1"/>
  <c r="D57" i="155"/>
  <c r="C59" i="155"/>
  <c r="AD45" i="155"/>
  <c r="AE45" i="155" s="1"/>
  <c r="AF42" i="155" s="1"/>
  <c r="AE43" i="155"/>
  <c r="F66" i="155" s="1"/>
  <c r="F90" i="155" l="1"/>
  <c r="F87" i="155"/>
  <c r="F84" i="155"/>
  <c r="F81" i="155"/>
  <c r="F78" i="155"/>
  <c r="F72" i="155"/>
  <c r="F88" i="155"/>
  <c r="F85" i="155"/>
  <c r="F82" i="155"/>
  <c r="F79" i="155"/>
  <c r="F73" i="155"/>
  <c r="F89" i="155"/>
  <c r="F86" i="155"/>
  <c r="F83" i="155"/>
  <c r="F80" i="155"/>
  <c r="F74" i="155"/>
  <c r="C63" i="155"/>
  <c r="C60" i="155"/>
  <c r="C62" i="155" s="1"/>
  <c r="E57" i="155"/>
  <c r="T56" i="155"/>
  <c r="T58" i="155" s="1"/>
  <c r="D59" i="155"/>
  <c r="D60" i="155" s="1"/>
  <c r="D62" i="155" s="1"/>
  <c r="S58" i="155"/>
  <c r="K89" i="155" l="1"/>
  <c r="P89" i="155"/>
  <c r="P363" i="154" s="1"/>
  <c r="P82" i="155"/>
  <c r="P356" i="154" s="1"/>
  <c r="K82" i="155"/>
  <c r="P83" i="155"/>
  <c r="P357" i="154" s="1"/>
  <c r="K83" i="155"/>
  <c r="K79" i="155"/>
  <c r="P79" i="155"/>
  <c r="P353" i="154" s="1"/>
  <c r="P85" i="155"/>
  <c r="P359" i="154" s="1"/>
  <c r="K85" i="155"/>
  <c r="K78" i="155"/>
  <c r="P78" i="155"/>
  <c r="P352" i="154" s="1"/>
  <c r="K87" i="155"/>
  <c r="P87" i="155"/>
  <c r="P361" i="154" s="1"/>
  <c r="K88" i="155"/>
  <c r="P362" i="153" s="1"/>
  <c r="P88" i="155"/>
  <c r="P362" i="154" s="1"/>
  <c r="P72" i="155"/>
  <c r="K72" i="155"/>
  <c r="K81" i="155"/>
  <c r="P81" i="155"/>
  <c r="P355" i="154" s="1"/>
  <c r="K80" i="155"/>
  <c r="P80" i="155"/>
  <c r="P354" i="154" s="1"/>
  <c r="P84" i="155"/>
  <c r="P358" i="154" s="1"/>
  <c r="K84" i="155"/>
  <c r="K86" i="155"/>
  <c r="P86" i="155"/>
  <c r="P360" i="154" s="1"/>
  <c r="K90" i="155"/>
  <c r="P90" i="155"/>
  <c r="P364" i="154" s="1"/>
  <c r="F91" i="155"/>
  <c r="F75" i="155"/>
  <c r="E59" i="155"/>
  <c r="E60" i="155" s="1"/>
  <c r="E62" i="155" s="1"/>
  <c r="F57" i="155"/>
  <c r="U56" i="155"/>
  <c r="D63" i="155"/>
  <c r="E63" i="155" s="1"/>
  <c r="N359" i="154" l="1"/>
  <c r="M359" i="154"/>
  <c r="L359" i="154"/>
  <c r="K359" i="154"/>
  <c r="J359" i="154"/>
  <c r="I359" i="154"/>
  <c r="H359" i="154"/>
  <c r="F359" i="154"/>
  <c r="G359" i="154"/>
  <c r="E359" i="154"/>
  <c r="D359" i="154"/>
  <c r="C359" i="154"/>
  <c r="P75" i="155"/>
  <c r="P346" i="154"/>
  <c r="N360" i="154"/>
  <c r="M360" i="154"/>
  <c r="L360" i="154"/>
  <c r="K360" i="154"/>
  <c r="J360" i="154"/>
  <c r="I360" i="154"/>
  <c r="H360" i="154"/>
  <c r="F360" i="154"/>
  <c r="E360" i="154"/>
  <c r="D360" i="154"/>
  <c r="C360" i="154"/>
  <c r="G360" i="154"/>
  <c r="P346" i="153"/>
  <c r="K75" i="155"/>
  <c r="P91" i="155"/>
  <c r="P93" i="155" s="1"/>
  <c r="K91" i="155"/>
  <c r="K93" i="155" s="1"/>
  <c r="F93" i="155"/>
  <c r="U58" i="155"/>
  <c r="V56" i="155"/>
  <c r="V58" i="155" s="1"/>
  <c r="G57" i="155"/>
  <c r="F59" i="155"/>
  <c r="F60" i="155" s="1"/>
  <c r="F62" i="155" s="1"/>
  <c r="F63" i="155" s="1"/>
  <c r="E360" i="156" l="1"/>
  <c r="E360" i="88"/>
  <c r="I360" i="88"/>
  <c r="I360" i="156"/>
  <c r="O359" i="154"/>
  <c r="M26" i="154" s="1"/>
  <c r="C360" i="156"/>
  <c r="C360" i="88"/>
  <c r="F361" i="156"/>
  <c r="F361" i="88"/>
  <c r="K360" i="156"/>
  <c r="K360" i="88"/>
  <c r="N361" i="156"/>
  <c r="N361" i="88"/>
  <c r="L360" i="88"/>
  <c r="L360" i="156"/>
  <c r="D360" i="156"/>
  <c r="D360" i="88"/>
  <c r="I361" i="88"/>
  <c r="I361" i="156"/>
  <c r="M360" i="156"/>
  <c r="M360" i="88"/>
  <c r="D361" i="88"/>
  <c r="D361" i="156"/>
  <c r="E361" i="156"/>
  <c r="E361" i="88"/>
  <c r="H361" i="156"/>
  <c r="H361" i="88"/>
  <c r="G360" i="156"/>
  <c r="G360" i="88"/>
  <c r="F360" i="156"/>
  <c r="F360" i="88"/>
  <c r="J361" i="88"/>
  <c r="J361" i="156"/>
  <c r="H360" i="156"/>
  <c r="H360" i="88"/>
  <c r="K361" i="156"/>
  <c r="K361" i="88"/>
  <c r="L361" i="88"/>
  <c r="L361" i="156"/>
  <c r="J360" i="156"/>
  <c r="J360" i="88"/>
  <c r="M361" i="156"/>
  <c r="M361" i="88"/>
  <c r="G361" i="88"/>
  <c r="G361" i="156"/>
  <c r="O360" i="154"/>
  <c r="M27" i="154" s="1"/>
  <c r="C361" i="88"/>
  <c r="C361" i="156"/>
  <c r="N360" i="88"/>
  <c r="N360" i="156"/>
  <c r="F94" i="155"/>
  <c r="H57" i="155"/>
  <c r="W56" i="155"/>
  <c r="W58" i="155" s="1"/>
  <c r="G59" i="155"/>
  <c r="G60" i="155" s="1"/>
  <c r="G62" i="155" s="1"/>
  <c r="G63" i="155" s="1"/>
  <c r="L100" i="170" l="1"/>
  <c r="M100" i="170" s="1"/>
  <c r="L100" i="174"/>
  <c r="L105" i="170"/>
  <c r="L105" i="174"/>
  <c r="M105" i="170"/>
  <c r="L147" i="170"/>
  <c r="L146" i="170"/>
  <c r="O361" i="88"/>
  <c r="M27" i="88" s="1"/>
  <c r="O361" i="156"/>
  <c r="M27" i="156" s="1"/>
  <c r="O360" i="156"/>
  <c r="M26" i="156" s="1"/>
  <c r="O360" i="88"/>
  <c r="M26" i="88" s="1"/>
  <c r="I57" i="155"/>
  <c r="X56" i="155"/>
  <c r="H59" i="155"/>
  <c r="H60" i="155" s="1"/>
  <c r="H62" i="155" s="1"/>
  <c r="H63" i="155" s="1"/>
  <c r="L147" i="174" l="1"/>
  <c r="M105" i="174"/>
  <c r="M100" i="174"/>
  <c r="L146" i="174"/>
  <c r="M146" i="170"/>
  <c r="M104" i="170"/>
  <c r="Q104" i="170" s="1"/>
  <c r="M103" i="170"/>
  <c r="Q103" i="170" s="1"/>
  <c r="M101" i="170"/>
  <c r="Q101" i="170" s="1"/>
  <c r="P100" i="170"/>
  <c r="R100" i="170"/>
  <c r="R146" i="170" s="1"/>
  <c r="M102" i="170"/>
  <c r="Q102" i="170" s="1"/>
  <c r="M109" i="170"/>
  <c r="Q109" i="170" s="1"/>
  <c r="M147" i="170"/>
  <c r="M106" i="170"/>
  <c r="Q106" i="170" s="1"/>
  <c r="P105" i="170"/>
  <c r="R105" i="170"/>
  <c r="R147" i="170" s="1"/>
  <c r="M107" i="170"/>
  <c r="Q107" i="170" s="1"/>
  <c r="M108" i="170"/>
  <c r="Q108" i="170" s="1"/>
  <c r="X58" i="155"/>
  <c r="Y56" i="155"/>
  <c r="Y58" i="155" s="1"/>
  <c r="J57" i="155"/>
  <c r="I59" i="155"/>
  <c r="I60" i="155" s="1"/>
  <c r="I62" i="155" s="1"/>
  <c r="I63" i="155" s="1"/>
  <c r="M104" i="174" l="1"/>
  <c r="Q104" i="174" s="1"/>
  <c r="M146" i="174"/>
  <c r="P100" i="174"/>
  <c r="M102" i="174"/>
  <c r="Q102" i="174" s="1"/>
  <c r="M101" i="174"/>
  <c r="Q101" i="174" s="1"/>
  <c r="R100" i="174"/>
  <c r="R146" i="174" s="1"/>
  <c r="M103" i="174"/>
  <c r="Q103" i="174" s="1"/>
  <c r="Q105" i="170"/>
  <c r="Q147" i="170" s="1"/>
  <c r="M108" i="174"/>
  <c r="Q108" i="174" s="1"/>
  <c r="M107" i="174"/>
  <c r="Q107" i="174" s="1"/>
  <c r="M109" i="174"/>
  <c r="Q109" i="174" s="1"/>
  <c r="M147" i="174"/>
  <c r="P105" i="174"/>
  <c r="R105" i="174"/>
  <c r="R147" i="174" s="1"/>
  <c r="M106" i="174"/>
  <c r="Q106" i="174" s="1"/>
  <c r="P146" i="170"/>
  <c r="P147" i="170"/>
  <c r="Q100" i="170"/>
  <c r="Z56" i="155"/>
  <c r="Z58" i="155" s="1"/>
  <c r="K57" i="155"/>
  <c r="J59" i="155"/>
  <c r="J60" i="155" s="1"/>
  <c r="J62" i="155" s="1"/>
  <c r="J63" i="155" s="1"/>
  <c r="U105" i="170" l="1"/>
  <c r="W105" i="170" s="1"/>
  <c r="X105" i="170" s="1"/>
  <c r="Q100" i="174"/>
  <c r="U100" i="174" s="1"/>
  <c r="W100" i="174" s="1"/>
  <c r="X100" i="174" s="1"/>
  <c r="P146" i="174"/>
  <c r="U147" i="170"/>
  <c r="W147" i="170" s="1"/>
  <c r="X147" i="170" s="1"/>
  <c r="Q105" i="174"/>
  <c r="Q147" i="174" s="1"/>
  <c r="P147" i="174"/>
  <c r="Q146" i="170"/>
  <c r="U146" i="170" s="1"/>
  <c r="W146" i="170" s="1"/>
  <c r="X146" i="170" s="1"/>
  <c r="Q98" i="170"/>
  <c r="U100" i="170"/>
  <c r="W100" i="170" s="1"/>
  <c r="X100" i="170" s="1"/>
  <c r="AA56" i="155"/>
  <c r="AA58" i="155" s="1"/>
  <c r="L57" i="155"/>
  <c r="K59" i="155"/>
  <c r="K60" i="155" s="1"/>
  <c r="K62" i="155" s="1"/>
  <c r="K63" i="155" s="1"/>
  <c r="U105" i="174" l="1"/>
  <c r="W105" i="174" s="1"/>
  <c r="X105" i="174" s="1"/>
  <c r="U147" i="174"/>
  <c r="W147" i="174" s="1"/>
  <c r="X147" i="174" s="1"/>
  <c r="Q98" i="174"/>
  <c r="Q146" i="174"/>
  <c r="U146" i="174" s="1"/>
  <c r="W146" i="174" s="1"/>
  <c r="X146" i="174" s="1"/>
  <c r="M57" i="155"/>
  <c r="AB56" i="155"/>
  <c r="AB58" i="155" s="1"/>
  <c r="L59" i="155"/>
  <c r="L60" i="155" s="1"/>
  <c r="L62" i="155" s="1"/>
  <c r="L63" i="155" s="1"/>
  <c r="N57" i="155" l="1"/>
  <c r="AC56" i="155"/>
  <c r="AC58" i="155" s="1"/>
  <c r="M59" i="155"/>
  <c r="M60" i="155" s="1"/>
  <c r="M62" i="155" s="1"/>
  <c r="M63" i="155" s="1"/>
  <c r="AD56" i="155" l="1"/>
  <c r="N59" i="155"/>
  <c r="N60" i="155" s="1"/>
  <c r="N62" i="155" s="1"/>
  <c r="N63" i="155" s="1"/>
  <c r="AD58" i="155" l="1"/>
  <c r="AE58" i="155" s="1"/>
  <c r="AF55" i="155" s="1"/>
  <c r="AE56" i="155"/>
  <c r="G66" i="155" s="1"/>
  <c r="G90" i="155" l="1"/>
  <c r="G87" i="155"/>
  <c r="G84" i="155"/>
  <c r="G81" i="155"/>
  <c r="G78" i="155"/>
  <c r="G72" i="155"/>
  <c r="G88" i="155"/>
  <c r="G85" i="155"/>
  <c r="G82" i="155"/>
  <c r="G79" i="155"/>
  <c r="G73" i="155"/>
  <c r="G89" i="155"/>
  <c r="G86" i="155"/>
  <c r="G83" i="155"/>
  <c r="G80" i="155"/>
  <c r="G74" i="155"/>
  <c r="Q83" i="155" l="1"/>
  <c r="P385" i="154" s="1"/>
  <c r="L83" i="155"/>
  <c r="Q89" i="155"/>
  <c r="P391" i="154" s="1"/>
  <c r="L89" i="155"/>
  <c r="L82" i="155"/>
  <c r="Q82" i="155"/>
  <c r="P384" i="154" s="1"/>
  <c r="Q79" i="155"/>
  <c r="P381" i="154" s="1"/>
  <c r="L79" i="155"/>
  <c r="L85" i="155"/>
  <c r="Q85" i="155"/>
  <c r="P387" i="154" s="1"/>
  <c r="Q72" i="155"/>
  <c r="L72" i="155"/>
  <c r="L88" i="155"/>
  <c r="P390" i="153" s="1"/>
  <c r="Q88" i="155"/>
  <c r="P390" i="154" s="1"/>
  <c r="Q80" i="155"/>
  <c r="P382" i="154" s="1"/>
  <c r="L80" i="155"/>
  <c r="L78" i="155"/>
  <c r="Q78" i="155"/>
  <c r="L81" i="155"/>
  <c r="Q81" i="155"/>
  <c r="P383" i="154" s="1"/>
  <c r="Q84" i="155"/>
  <c r="P386" i="154" s="1"/>
  <c r="L84" i="155"/>
  <c r="L87" i="155"/>
  <c r="Q87" i="155"/>
  <c r="P389" i="154" s="1"/>
  <c r="L86" i="155"/>
  <c r="Q86" i="155"/>
  <c r="P388" i="154" s="1"/>
  <c r="L90" i="155"/>
  <c r="Q90" i="155"/>
  <c r="P392" i="154" s="1"/>
  <c r="G75" i="155"/>
  <c r="G91" i="155"/>
  <c r="Q75" i="155" l="1"/>
  <c r="P374" i="154"/>
  <c r="L91" i="155"/>
  <c r="M387" i="154"/>
  <c r="L387" i="154"/>
  <c r="K387" i="154"/>
  <c r="G387" i="154"/>
  <c r="F387" i="154"/>
  <c r="E387" i="154"/>
  <c r="D387" i="154"/>
  <c r="N387" i="154"/>
  <c r="J387" i="154"/>
  <c r="I387" i="154"/>
  <c r="H387" i="154"/>
  <c r="C387" i="154"/>
  <c r="Q91" i="155"/>
  <c r="Q93" i="155" s="1"/>
  <c r="P380" i="154"/>
  <c r="M388" i="154"/>
  <c r="L388" i="154"/>
  <c r="K388" i="154"/>
  <c r="J388" i="154"/>
  <c r="I388" i="154"/>
  <c r="H388" i="154"/>
  <c r="G388" i="154"/>
  <c r="N388" i="154"/>
  <c r="F388" i="154"/>
  <c r="E388" i="154"/>
  <c r="C388" i="154"/>
  <c r="D388" i="154"/>
  <c r="L75" i="155"/>
  <c r="L93" i="155" s="1"/>
  <c r="P374" i="153"/>
  <c r="G93" i="155"/>
  <c r="N388" i="156" l="1"/>
  <c r="N388" i="88"/>
  <c r="K389" i="88"/>
  <c r="K389" i="156"/>
  <c r="J389" i="88"/>
  <c r="J389" i="156"/>
  <c r="F388" i="88"/>
  <c r="F388" i="156"/>
  <c r="D389" i="156"/>
  <c r="D389" i="88"/>
  <c r="G389" i="156"/>
  <c r="G389" i="88"/>
  <c r="D388" i="88"/>
  <c r="D388" i="156"/>
  <c r="L389" i="156"/>
  <c r="L389" i="88"/>
  <c r="G388" i="88"/>
  <c r="G388" i="156"/>
  <c r="M389" i="88"/>
  <c r="M389" i="156"/>
  <c r="K388" i="88"/>
  <c r="K388" i="156"/>
  <c r="O388" i="154"/>
  <c r="N27" i="154" s="1"/>
  <c r="C389" i="156"/>
  <c r="C389" i="88"/>
  <c r="O387" i="154"/>
  <c r="N26" i="154" s="1"/>
  <c r="C388" i="156"/>
  <c r="C388" i="88"/>
  <c r="H389" i="88"/>
  <c r="H389" i="156"/>
  <c r="I389" i="88"/>
  <c r="I389" i="156"/>
  <c r="E388" i="156"/>
  <c r="E388" i="88"/>
  <c r="L388" i="156"/>
  <c r="L388" i="88"/>
  <c r="E389" i="156"/>
  <c r="E389" i="88"/>
  <c r="F389" i="156"/>
  <c r="F389" i="88"/>
  <c r="H388" i="88"/>
  <c r="H388" i="156"/>
  <c r="J388" i="88"/>
  <c r="J388" i="156"/>
  <c r="M388" i="88"/>
  <c r="M388" i="156"/>
  <c r="N389" i="156"/>
  <c r="N389" i="88"/>
  <c r="I388" i="88"/>
  <c r="I388" i="156"/>
  <c r="G94" i="155"/>
  <c r="L105" i="171" l="1"/>
  <c r="L105" i="175"/>
  <c r="L100" i="171"/>
  <c r="L100" i="175"/>
  <c r="M105" i="171"/>
  <c r="L147" i="171"/>
  <c r="L146" i="171"/>
  <c r="M100" i="171"/>
  <c r="O389" i="156"/>
  <c r="N27" i="156" s="1"/>
  <c r="O388" i="88"/>
  <c r="N26" i="88" s="1"/>
  <c r="O388" i="156"/>
  <c r="N26" i="156" s="1"/>
  <c r="O389" i="88"/>
  <c r="N27" i="88" s="1"/>
  <c r="M100" i="175" l="1"/>
  <c r="L146" i="175"/>
  <c r="M105" i="175"/>
  <c r="L147" i="175"/>
  <c r="M146" i="171"/>
  <c r="M102" i="171"/>
  <c r="Q102" i="171" s="1"/>
  <c r="R100" i="171"/>
  <c r="R146" i="171" s="1"/>
  <c r="M103" i="171"/>
  <c r="Q103" i="171" s="1"/>
  <c r="M101" i="171"/>
  <c r="Q101" i="171" s="1"/>
  <c r="P100" i="171"/>
  <c r="M104" i="171"/>
  <c r="Q104" i="171" s="1"/>
  <c r="M106" i="171"/>
  <c r="Q106" i="171" s="1"/>
  <c r="M109" i="171"/>
  <c r="Q109" i="171" s="1"/>
  <c r="P105" i="171"/>
  <c r="M107" i="171"/>
  <c r="Q107" i="171" s="1"/>
  <c r="M108" i="171"/>
  <c r="Q108" i="171" s="1"/>
  <c r="M147" i="171"/>
  <c r="R105" i="171"/>
  <c r="R147" i="171" s="1"/>
  <c r="N249" i="88"/>
  <c r="M249" i="88"/>
  <c r="L249" i="88"/>
  <c r="K249" i="88"/>
  <c r="J249" i="88"/>
  <c r="I249" i="88"/>
  <c r="H249" i="88"/>
  <c r="G249" i="88"/>
  <c r="F249" i="88"/>
  <c r="E249" i="88"/>
  <c r="D249" i="88"/>
  <c r="C249" i="88"/>
  <c r="N248" i="88"/>
  <c r="M248" i="88"/>
  <c r="L248" i="88"/>
  <c r="K248" i="88"/>
  <c r="J248" i="88"/>
  <c r="I248" i="88"/>
  <c r="H248" i="88"/>
  <c r="G248" i="88"/>
  <c r="F248" i="88"/>
  <c r="E248" i="88"/>
  <c r="D248" i="88"/>
  <c r="C248" i="88"/>
  <c r="N247" i="88"/>
  <c r="M247" i="88"/>
  <c r="L247" i="88"/>
  <c r="K247" i="88"/>
  <c r="J247" i="88"/>
  <c r="I247" i="88"/>
  <c r="H247" i="88"/>
  <c r="G247" i="88"/>
  <c r="F247" i="88"/>
  <c r="E247" i="88"/>
  <c r="D247" i="88"/>
  <c r="C247" i="88"/>
  <c r="N246" i="88"/>
  <c r="M246" i="88"/>
  <c r="L246" i="88"/>
  <c r="K246" i="88"/>
  <c r="J246" i="88"/>
  <c r="I246" i="88"/>
  <c r="H246" i="88"/>
  <c r="G246" i="88"/>
  <c r="F246" i="88"/>
  <c r="E246" i="88"/>
  <c r="D246" i="88"/>
  <c r="C246" i="88"/>
  <c r="N245" i="88"/>
  <c r="M245" i="88"/>
  <c r="L245" i="88"/>
  <c r="K245" i="88"/>
  <c r="J245" i="88"/>
  <c r="I245" i="88"/>
  <c r="H245" i="88"/>
  <c r="G245" i="88"/>
  <c r="F245" i="88"/>
  <c r="E245" i="88"/>
  <c r="D245" i="88"/>
  <c r="C245" i="88"/>
  <c r="N244" i="88"/>
  <c r="M244" i="88"/>
  <c r="L244" i="88"/>
  <c r="K244" i="88"/>
  <c r="J244" i="88"/>
  <c r="I244" i="88"/>
  <c r="H244" i="88"/>
  <c r="G244" i="88"/>
  <c r="F244" i="88"/>
  <c r="E244" i="88"/>
  <c r="D244" i="88"/>
  <c r="C244" i="88"/>
  <c r="N243" i="88"/>
  <c r="M243" i="88"/>
  <c r="L243" i="88"/>
  <c r="K243" i="88"/>
  <c r="J243" i="88"/>
  <c r="I243" i="88"/>
  <c r="H243" i="88"/>
  <c r="G243" i="88"/>
  <c r="F243" i="88"/>
  <c r="E243" i="88"/>
  <c r="D243" i="88"/>
  <c r="C243" i="88"/>
  <c r="N242" i="88"/>
  <c r="M242" i="88"/>
  <c r="L242" i="88"/>
  <c r="K242" i="88"/>
  <c r="J242" i="88"/>
  <c r="I242" i="88"/>
  <c r="H242" i="88"/>
  <c r="G242" i="88"/>
  <c r="F242" i="88"/>
  <c r="E242" i="88"/>
  <c r="D242" i="88"/>
  <c r="C242" i="88"/>
  <c r="N241" i="88"/>
  <c r="M241" i="88"/>
  <c r="L241" i="88"/>
  <c r="K241" i="88"/>
  <c r="J241" i="88"/>
  <c r="I241" i="88"/>
  <c r="H241" i="88"/>
  <c r="G241" i="88"/>
  <c r="F241" i="88"/>
  <c r="E241" i="88"/>
  <c r="D241" i="88"/>
  <c r="C241" i="88"/>
  <c r="N240" i="88"/>
  <c r="M240" i="88"/>
  <c r="L240" i="88"/>
  <c r="K240" i="88"/>
  <c r="J240" i="88"/>
  <c r="I240" i="88"/>
  <c r="H240" i="88"/>
  <c r="G240" i="88"/>
  <c r="F240" i="88"/>
  <c r="E240" i="88"/>
  <c r="D240" i="88"/>
  <c r="C240" i="88"/>
  <c r="N239" i="88"/>
  <c r="M239" i="88"/>
  <c r="L239" i="88"/>
  <c r="K239" i="88"/>
  <c r="J239" i="88"/>
  <c r="I239" i="88"/>
  <c r="H239" i="88"/>
  <c r="G239" i="88"/>
  <c r="F239" i="88"/>
  <c r="E239" i="88"/>
  <c r="D239" i="88"/>
  <c r="C239" i="88"/>
  <c r="N238" i="88"/>
  <c r="M238" i="88"/>
  <c r="L238" i="88"/>
  <c r="K238" i="88"/>
  <c r="J238" i="88"/>
  <c r="I238" i="88"/>
  <c r="H238" i="88"/>
  <c r="G238" i="88"/>
  <c r="F238" i="88"/>
  <c r="E238" i="88"/>
  <c r="D238" i="88"/>
  <c r="C238" i="88"/>
  <c r="N237" i="88"/>
  <c r="M237" i="88"/>
  <c r="M250" i="88" s="1"/>
  <c r="L237" i="88"/>
  <c r="L250" i="88" s="1"/>
  <c r="K237" i="88"/>
  <c r="K250" i="88" s="1"/>
  <c r="J237" i="88"/>
  <c r="J250" i="88" s="1"/>
  <c r="I237" i="88"/>
  <c r="I250" i="88" s="1"/>
  <c r="H237" i="88"/>
  <c r="H250" i="88" s="1"/>
  <c r="G237" i="88"/>
  <c r="G250" i="88" s="1"/>
  <c r="F237" i="88"/>
  <c r="F250" i="88" s="1"/>
  <c r="E237" i="88"/>
  <c r="D237" i="88"/>
  <c r="D250" i="88" s="1"/>
  <c r="C237" i="88"/>
  <c r="C250" i="88" s="1"/>
  <c r="O236" i="88"/>
  <c r="N233" i="88"/>
  <c r="M233" i="88"/>
  <c r="L233" i="88"/>
  <c r="K233" i="88"/>
  <c r="J233" i="88"/>
  <c r="I233" i="88"/>
  <c r="H233" i="88"/>
  <c r="G233" i="88"/>
  <c r="F233" i="88"/>
  <c r="E233" i="88"/>
  <c r="D233" i="88"/>
  <c r="C233" i="88"/>
  <c r="N232" i="88"/>
  <c r="M232" i="88"/>
  <c r="L232" i="88"/>
  <c r="K232" i="88"/>
  <c r="J232" i="88"/>
  <c r="I232" i="88"/>
  <c r="H232" i="88"/>
  <c r="G232" i="88"/>
  <c r="F232" i="88"/>
  <c r="E232" i="88"/>
  <c r="D232" i="88"/>
  <c r="C232" i="88"/>
  <c r="N231" i="88"/>
  <c r="M231" i="88"/>
  <c r="L231" i="88"/>
  <c r="K231" i="88"/>
  <c r="J231" i="88"/>
  <c r="I231" i="88"/>
  <c r="H231" i="88"/>
  <c r="G231" i="88"/>
  <c r="F231" i="88"/>
  <c r="E231" i="88"/>
  <c r="D231" i="88"/>
  <c r="C231" i="88"/>
  <c r="N230" i="88"/>
  <c r="N234" i="88" s="1"/>
  <c r="M230" i="88"/>
  <c r="M234" i="88" s="1"/>
  <c r="L230" i="88"/>
  <c r="L234" i="88" s="1"/>
  <c r="K230" i="88"/>
  <c r="J230" i="88"/>
  <c r="I230" i="88"/>
  <c r="H230" i="88"/>
  <c r="G230" i="88"/>
  <c r="G234" i="88" s="1"/>
  <c r="F230" i="88"/>
  <c r="F234" i="88" s="1"/>
  <c r="E230" i="88"/>
  <c r="D230" i="88"/>
  <c r="D234" i="88" s="1"/>
  <c r="C230" i="88"/>
  <c r="C234" i="88" s="1"/>
  <c r="I31" i="154"/>
  <c r="I30" i="154"/>
  <c r="I29" i="154"/>
  <c r="I28" i="154"/>
  <c r="I27" i="154"/>
  <c r="I26" i="154"/>
  <c r="I25" i="154"/>
  <c r="I24" i="154"/>
  <c r="I23" i="154"/>
  <c r="I22" i="154"/>
  <c r="I21" i="154"/>
  <c r="I20" i="154"/>
  <c r="I19" i="154"/>
  <c r="I15" i="154"/>
  <c r="I14" i="154"/>
  <c r="I13" i="154"/>
  <c r="I12" i="154"/>
  <c r="O244" i="154"/>
  <c r="O243" i="154"/>
  <c r="I31" i="153"/>
  <c r="I30" i="153"/>
  <c r="I29" i="153"/>
  <c r="I28" i="153"/>
  <c r="I27" i="153"/>
  <c r="I26" i="153"/>
  <c r="I25" i="153"/>
  <c r="I24" i="153"/>
  <c r="I23" i="153"/>
  <c r="I22" i="153"/>
  <c r="I21" i="153"/>
  <c r="I20" i="153"/>
  <c r="I19" i="153"/>
  <c r="I15" i="153"/>
  <c r="I14" i="153"/>
  <c r="I13" i="153"/>
  <c r="I12" i="153"/>
  <c r="M108" i="175" l="1"/>
  <c r="Q108" i="175" s="1"/>
  <c r="P105" i="175"/>
  <c r="M106" i="175"/>
  <c r="Q106" i="175" s="1"/>
  <c r="R105" i="175"/>
  <c r="R147" i="175" s="1"/>
  <c r="M147" i="175"/>
  <c r="M107" i="175"/>
  <c r="Q107" i="175" s="1"/>
  <c r="M109" i="175"/>
  <c r="Q109" i="175" s="1"/>
  <c r="M103" i="175"/>
  <c r="Q103" i="175" s="1"/>
  <c r="M101" i="175"/>
  <c r="Q101" i="175" s="1"/>
  <c r="M102" i="175"/>
  <c r="Q102" i="175" s="1"/>
  <c r="M146" i="175"/>
  <c r="R100" i="175"/>
  <c r="R146" i="175" s="1"/>
  <c r="M104" i="175"/>
  <c r="Q104" i="175" s="1"/>
  <c r="P100" i="175"/>
  <c r="P147" i="171"/>
  <c r="Q100" i="171"/>
  <c r="U100" i="171" s="1"/>
  <c r="W100" i="171" s="1"/>
  <c r="X100" i="171" s="1"/>
  <c r="P146" i="171"/>
  <c r="Q105" i="171"/>
  <c r="Q147" i="171" s="1"/>
  <c r="U147" i="171" s="1"/>
  <c r="W147" i="171" s="1"/>
  <c r="X147" i="171" s="1"/>
  <c r="O247" i="88"/>
  <c r="I29" i="88" s="1"/>
  <c r="I419" i="88" s="1"/>
  <c r="J234" i="88"/>
  <c r="K234" i="88"/>
  <c r="H234" i="88"/>
  <c r="J252" i="88"/>
  <c r="O244" i="88"/>
  <c r="I26" i="88" s="1"/>
  <c r="I416" i="88" s="1"/>
  <c r="O231" i="88"/>
  <c r="I13" i="88" s="1"/>
  <c r="I403" i="88" s="1"/>
  <c r="O232" i="88"/>
  <c r="I14" i="88" s="1"/>
  <c r="I404" i="88" s="1"/>
  <c r="O233" i="88"/>
  <c r="I15" i="88" s="1"/>
  <c r="I405" i="88" s="1"/>
  <c r="N250" i="88"/>
  <c r="N252" i="88" s="1"/>
  <c r="H252" i="88"/>
  <c r="C252" i="88"/>
  <c r="O238" i="88"/>
  <c r="I20" i="88" s="1"/>
  <c r="I410" i="88" s="1"/>
  <c r="O239" i="88"/>
  <c r="I21" i="88" s="1"/>
  <c r="I411" i="88" s="1"/>
  <c r="O240" i="88"/>
  <c r="I22" i="88" s="1"/>
  <c r="I412" i="88" s="1"/>
  <c r="O241" i="88"/>
  <c r="I23" i="88" s="1"/>
  <c r="I413" i="88" s="1"/>
  <c r="O242" i="88"/>
  <c r="I24" i="88" s="1"/>
  <c r="I414" i="88" s="1"/>
  <c r="O243" i="88"/>
  <c r="I25" i="88" s="1"/>
  <c r="I415" i="88" s="1"/>
  <c r="O245" i="88"/>
  <c r="I27" i="88" s="1"/>
  <c r="I417" i="88" s="1"/>
  <c r="O246" i="88"/>
  <c r="I28" i="88" s="1"/>
  <c r="I418" i="88" s="1"/>
  <c r="O248" i="88"/>
  <c r="I30" i="88" s="1"/>
  <c r="I420" i="88" s="1"/>
  <c r="O249" i="88"/>
  <c r="I31" i="88" s="1"/>
  <c r="D252" i="88"/>
  <c r="K252" i="88"/>
  <c r="E250" i="88"/>
  <c r="E234" i="88"/>
  <c r="I234" i="88"/>
  <c r="I252" i="88" s="1"/>
  <c r="F252" i="88"/>
  <c r="G252" i="88"/>
  <c r="L252" i="88"/>
  <c r="M252" i="88"/>
  <c r="O230" i="88"/>
  <c r="O237" i="88"/>
  <c r="Q100" i="175" l="1"/>
  <c r="Q105" i="175"/>
  <c r="Q147" i="175" s="1"/>
  <c r="Q146" i="175"/>
  <c r="P147" i="175"/>
  <c r="U147" i="175" s="1"/>
  <c r="W147" i="175" s="1"/>
  <c r="X147" i="175" s="1"/>
  <c r="P146" i="175"/>
  <c r="U100" i="175"/>
  <c r="W100" i="175" s="1"/>
  <c r="X100" i="175" s="1"/>
  <c r="Q98" i="171"/>
  <c r="Q146" i="171"/>
  <c r="U146" i="171" s="1"/>
  <c r="W146" i="171" s="1"/>
  <c r="X146" i="171" s="1"/>
  <c r="U105" i="171"/>
  <c r="W105" i="171" s="1"/>
  <c r="X105" i="171" s="1"/>
  <c r="O250" i="88"/>
  <c r="I19" i="88"/>
  <c r="I409" i="88" s="1"/>
  <c r="O234" i="88"/>
  <c r="I12" i="88"/>
  <c r="I402" i="88" s="1"/>
  <c r="I406" i="88" s="1"/>
  <c r="E252" i="88"/>
  <c r="N216" i="88"/>
  <c r="M216" i="88"/>
  <c r="L216" i="88"/>
  <c r="K216" i="88"/>
  <c r="J216" i="88"/>
  <c r="I216" i="88"/>
  <c r="H216" i="88"/>
  <c r="G216" i="88"/>
  <c r="F216" i="88"/>
  <c r="E216" i="88"/>
  <c r="D216" i="88"/>
  <c r="C216" i="88"/>
  <c r="N215" i="88"/>
  <c r="M215" i="88"/>
  <c r="L215" i="88"/>
  <c r="K215" i="88"/>
  <c r="J215" i="88"/>
  <c r="I215" i="88"/>
  <c r="H215" i="88"/>
  <c r="G215" i="88"/>
  <c r="F215" i="88"/>
  <c r="E215" i="88"/>
  <c r="D215" i="88"/>
  <c r="C215" i="88"/>
  <c r="N214" i="88"/>
  <c r="M214" i="88"/>
  <c r="L214" i="88"/>
  <c r="K214" i="88"/>
  <c r="J214" i="88"/>
  <c r="I214" i="88"/>
  <c r="H214" i="88"/>
  <c r="G214" i="88"/>
  <c r="F214" i="88"/>
  <c r="E214" i="88"/>
  <c r="D214" i="88"/>
  <c r="C214" i="88"/>
  <c r="N213" i="88"/>
  <c r="M213" i="88"/>
  <c r="L213" i="88"/>
  <c r="K213" i="88"/>
  <c r="J213" i="88"/>
  <c r="I213" i="88"/>
  <c r="H213" i="88"/>
  <c r="G213" i="88"/>
  <c r="F213" i="88"/>
  <c r="E213" i="88"/>
  <c r="D213" i="88"/>
  <c r="C213" i="88"/>
  <c r="N212" i="88"/>
  <c r="M212" i="88"/>
  <c r="L212" i="88"/>
  <c r="K212" i="88"/>
  <c r="J212" i="88"/>
  <c r="I212" i="88"/>
  <c r="H212" i="88"/>
  <c r="G212" i="88"/>
  <c r="F212" i="88"/>
  <c r="E212" i="88"/>
  <c r="D212" i="88"/>
  <c r="C212" i="88"/>
  <c r="N211" i="88"/>
  <c r="M211" i="88"/>
  <c r="L211" i="88"/>
  <c r="K211" i="88"/>
  <c r="J211" i="88"/>
  <c r="I211" i="88"/>
  <c r="H211" i="88"/>
  <c r="G211" i="88"/>
  <c r="F211" i="88"/>
  <c r="E211" i="88"/>
  <c r="D211" i="88"/>
  <c r="C211" i="88"/>
  <c r="N210" i="88"/>
  <c r="M210" i="88"/>
  <c r="L210" i="88"/>
  <c r="K210" i="88"/>
  <c r="J210" i="88"/>
  <c r="I210" i="88"/>
  <c r="H210" i="88"/>
  <c r="G210" i="88"/>
  <c r="F210" i="88"/>
  <c r="E210" i="88"/>
  <c r="D210" i="88"/>
  <c r="C210" i="88"/>
  <c r="N209" i="88"/>
  <c r="M209" i="88"/>
  <c r="L209" i="88"/>
  <c r="K209" i="88"/>
  <c r="J209" i="88"/>
  <c r="I209" i="88"/>
  <c r="H209" i="88"/>
  <c r="G209" i="88"/>
  <c r="F209" i="88"/>
  <c r="E209" i="88"/>
  <c r="D209" i="88"/>
  <c r="C209" i="88"/>
  <c r="N208" i="88"/>
  <c r="M208" i="88"/>
  <c r="L208" i="88"/>
  <c r="K208" i="88"/>
  <c r="J208" i="88"/>
  <c r="I208" i="88"/>
  <c r="H208" i="88"/>
  <c r="G208" i="88"/>
  <c r="F208" i="88"/>
  <c r="E208" i="88"/>
  <c r="D208" i="88"/>
  <c r="C208" i="88"/>
  <c r="N207" i="88"/>
  <c r="M207" i="88"/>
  <c r="L207" i="88"/>
  <c r="K207" i="88"/>
  <c r="J207" i="88"/>
  <c r="I207" i="88"/>
  <c r="H207" i="88"/>
  <c r="G207" i="88"/>
  <c r="F207" i="88"/>
  <c r="E207" i="88"/>
  <c r="D207" i="88"/>
  <c r="C207" i="88"/>
  <c r="N206" i="88"/>
  <c r="M206" i="88"/>
  <c r="L206" i="88"/>
  <c r="K206" i="88"/>
  <c r="J206" i="88"/>
  <c r="I206" i="88"/>
  <c r="H206" i="88"/>
  <c r="G206" i="88"/>
  <c r="F206" i="88"/>
  <c r="E206" i="88"/>
  <c r="D206" i="88"/>
  <c r="C206" i="88"/>
  <c r="N205" i="88"/>
  <c r="M205" i="88"/>
  <c r="L205" i="88"/>
  <c r="K205" i="88"/>
  <c r="J205" i="88"/>
  <c r="I205" i="88"/>
  <c r="H205" i="88"/>
  <c r="G205" i="88"/>
  <c r="F205" i="88"/>
  <c r="E205" i="88"/>
  <c r="D205" i="88"/>
  <c r="C205" i="88"/>
  <c r="N204" i="88"/>
  <c r="N217" i="88" s="1"/>
  <c r="M204" i="88"/>
  <c r="L204" i="88"/>
  <c r="L217" i="88" s="1"/>
  <c r="K204" i="88"/>
  <c r="K217" i="88" s="1"/>
  <c r="J204" i="88"/>
  <c r="J217" i="88" s="1"/>
  <c r="I204" i="88"/>
  <c r="I217" i="88" s="1"/>
  <c r="H204" i="88"/>
  <c r="H217" i="88" s="1"/>
  <c r="G204" i="88"/>
  <c r="G217" i="88" s="1"/>
  <c r="F204" i="88"/>
  <c r="F217" i="88" s="1"/>
  <c r="E204" i="88"/>
  <c r="D204" i="88"/>
  <c r="D217" i="88" s="1"/>
  <c r="C204" i="88"/>
  <c r="O203" i="88"/>
  <c r="N200" i="88"/>
  <c r="M200" i="88"/>
  <c r="L200" i="88"/>
  <c r="K200" i="88"/>
  <c r="J200" i="88"/>
  <c r="I200" i="88"/>
  <c r="H200" i="88"/>
  <c r="G200" i="88"/>
  <c r="F200" i="88"/>
  <c r="E200" i="88"/>
  <c r="D200" i="88"/>
  <c r="C200" i="88"/>
  <c r="N199" i="88"/>
  <c r="M199" i="88"/>
  <c r="L199" i="88"/>
  <c r="K199" i="88"/>
  <c r="J199" i="88"/>
  <c r="I199" i="88"/>
  <c r="H199" i="88"/>
  <c r="G199" i="88"/>
  <c r="F199" i="88"/>
  <c r="E199" i="88"/>
  <c r="D199" i="88"/>
  <c r="C199" i="88"/>
  <c r="N198" i="88"/>
  <c r="M198" i="88"/>
  <c r="L198" i="88"/>
  <c r="K198" i="88"/>
  <c r="J198" i="88"/>
  <c r="I198" i="88"/>
  <c r="H198" i="88"/>
  <c r="G198" i="88"/>
  <c r="F198" i="88"/>
  <c r="E198" i="88"/>
  <c r="D198" i="88"/>
  <c r="C198" i="88"/>
  <c r="N197" i="88"/>
  <c r="N201" i="88" s="1"/>
  <c r="M197" i="88"/>
  <c r="M201" i="88" s="1"/>
  <c r="L197" i="88"/>
  <c r="L201" i="88" s="1"/>
  <c r="K197" i="88"/>
  <c r="J197" i="88"/>
  <c r="I197" i="88"/>
  <c r="H197" i="88"/>
  <c r="H201" i="88" s="1"/>
  <c r="G197" i="88"/>
  <c r="G201" i="88" s="1"/>
  <c r="F197" i="88"/>
  <c r="F201" i="88" s="1"/>
  <c r="E197" i="88"/>
  <c r="E201" i="88" s="1"/>
  <c r="D197" i="88"/>
  <c r="C197" i="88"/>
  <c r="H31" i="153"/>
  <c r="H30" i="153"/>
  <c r="H29" i="153"/>
  <c r="H28" i="153"/>
  <c r="H27" i="153"/>
  <c r="H26" i="153"/>
  <c r="H25" i="153"/>
  <c r="H24" i="153"/>
  <c r="H23" i="153"/>
  <c r="H22" i="153"/>
  <c r="H21" i="153"/>
  <c r="H20" i="153"/>
  <c r="H19" i="153"/>
  <c r="H15" i="153"/>
  <c r="H14" i="153"/>
  <c r="H13" i="153"/>
  <c r="H12" i="153"/>
  <c r="H31" i="154"/>
  <c r="H30" i="154"/>
  <c r="H29" i="154"/>
  <c r="H28" i="154"/>
  <c r="H27" i="154"/>
  <c r="H26" i="154"/>
  <c r="H25" i="154"/>
  <c r="H24" i="154"/>
  <c r="H23" i="154"/>
  <c r="H22" i="154"/>
  <c r="H21" i="154"/>
  <c r="H20" i="154"/>
  <c r="H19" i="154"/>
  <c r="H15" i="154"/>
  <c r="H14" i="154"/>
  <c r="H13" i="154"/>
  <c r="H12" i="154"/>
  <c r="O211" i="154"/>
  <c r="O210" i="154"/>
  <c r="Q98" i="175" l="1"/>
  <c r="U146" i="175"/>
  <c r="W146" i="175" s="1"/>
  <c r="X146" i="175" s="1"/>
  <c r="U105" i="175"/>
  <c r="W105" i="175" s="1"/>
  <c r="X105" i="175" s="1"/>
  <c r="D201" i="88"/>
  <c r="O252" i="88"/>
  <c r="O204" i="88"/>
  <c r="H19" i="88" s="1"/>
  <c r="H409" i="88" s="1"/>
  <c r="O205" i="88"/>
  <c r="H20" i="88" s="1"/>
  <c r="H410" i="88" s="1"/>
  <c r="O206" i="88"/>
  <c r="H21" i="88" s="1"/>
  <c r="H411" i="88" s="1"/>
  <c r="O207" i="88"/>
  <c r="H22" i="88" s="1"/>
  <c r="H412" i="88" s="1"/>
  <c r="O208" i="88"/>
  <c r="H23" i="88" s="1"/>
  <c r="H413" i="88" s="1"/>
  <c r="O209" i="88"/>
  <c r="H24" i="88" s="1"/>
  <c r="H414" i="88" s="1"/>
  <c r="O211" i="88"/>
  <c r="H26" i="88" s="1"/>
  <c r="H416" i="88" s="1"/>
  <c r="O212" i="88"/>
  <c r="H27" i="88" s="1"/>
  <c r="H417" i="88" s="1"/>
  <c r="O213" i="88"/>
  <c r="H28" i="88" s="1"/>
  <c r="H418" i="88" s="1"/>
  <c r="O214" i="88"/>
  <c r="H29" i="88" s="1"/>
  <c r="H419" i="88" s="1"/>
  <c r="O215" i="88"/>
  <c r="H30" i="88" s="1"/>
  <c r="H420" i="88" s="1"/>
  <c r="O216" i="88"/>
  <c r="H31" i="88" s="1"/>
  <c r="E217" i="88"/>
  <c r="E219" i="88" s="1"/>
  <c r="D219" i="88"/>
  <c r="K201" i="88"/>
  <c r="L219" i="88"/>
  <c r="M217" i="88"/>
  <c r="M219" i="88" s="1"/>
  <c r="J201" i="88"/>
  <c r="J219" i="88" s="1"/>
  <c r="I201" i="88"/>
  <c r="I219" i="88" s="1"/>
  <c r="H219" i="88"/>
  <c r="K219" i="88"/>
  <c r="O197" i="88"/>
  <c r="H12" i="88" s="1"/>
  <c r="O200" i="88"/>
  <c r="H15" i="88" s="1"/>
  <c r="H405" i="88" s="1"/>
  <c r="O210" i="88"/>
  <c r="H25" i="88" s="1"/>
  <c r="H415" i="88" s="1"/>
  <c r="O198" i="88"/>
  <c r="H13" i="88" s="1"/>
  <c r="H403" i="88" s="1"/>
  <c r="O199" i="88"/>
  <c r="H14" i="88" s="1"/>
  <c r="H404" i="88" s="1"/>
  <c r="G219" i="88"/>
  <c r="F219" i="88"/>
  <c r="N219" i="88"/>
  <c r="C201" i="88"/>
  <c r="C217" i="88"/>
  <c r="C219" i="88" s="1"/>
  <c r="H16" i="88" l="1"/>
  <c r="H402" i="88"/>
  <c r="H406" i="88" s="1"/>
  <c r="H32" i="88"/>
  <c r="O217" i="88"/>
  <c r="O201" i="88"/>
  <c r="O219" i="88" s="1"/>
  <c r="H34" i="88" l="1"/>
  <c r="G31" i="154"/>
  <c r="G30" i="154"/>
  <c r="G29" i="154"/>
  <c r="G28" i="154"/>
  <c r="G27" i="154"/>
  <c r="G26" i="154"/>
  <c r="G25" i="154"/>
  <c r="G24" i="154"/>
  <c r="G23" i="154"/>
  <c r="G22" i="154"/>
  <c r="G21" i="154"/>
  <c r="G20" i="154"/>
  <c r="G19" i="154"/>
  <c r="G15" i="154"/>
  <c r="G14" i="154"/>
  <c r="G13" i="154"/>
  <c r="G12" i="154"/>
  <c r="O179" i="153"/>
  <c r="O178" i="153"/>
  <c r="G27" i="153"/>
  <c r="N184" i="88"/>
  <c r="M184" i="88"/>
  <c r="L184" i="88"/>
  <c r="K184" i="88"/>
  <c r="J184" i="88"/>
  <c r="I184" i="88"/>
  <c r="H184" i="88"/>
  <c r="G184" i="88"/>
  <c r="F184" i="88"/>
  <c r="E184" i="88"/>
  <c r="D184" i="88"/>
  <c r="C184" i="88"/>
  <c r="N183" i="88"/>
  <c r="M183" i="88"/>
  <c r="L183" i="88"/>
  <c r="K183" i="88"/>
  <c r="J183" i="88"/>
  <c r="I183" i="88"/>
  <c r="H183" i="88"/>
  <c r="G183" i="88"/>
  <c r="F183" i="88"/>
  <c r="E183" i="88"/>
  <c r="D183" i="88"/>
  <c r="C183" i="88"/>
  <c r="N182" i="88"/>
  <c r="M182" i="88"/>
  <c r="L182" i="88"/>
  <c r="K182" i="88"/>
  <c r="J182" i="88"/>
  <c r="I182" i="88"/>
  <c r="H182" i="88"/>
  <c r="G182" i="88"/>
  <c r="F182" i="88"/>
  <c r="E182" i="88"/>
  <c r="D182" i="88"/>
  <c r="C182" i="88"/>
  <c r="N181" i="88"/>
  <c r="M181" i="88"/>
  <c r="L181" i="88"/>
  <c r="K181" i="88"/>
  <c r="J181" i="88"/>
  <c r="I181" i="88"/>
  <c r="H181" i="88"/>
  <c r="G181" i="88"/>
  <c r="F181" i="88"/>
  <c r="E181" i="88"/>
  <c r="D181" i="88"/>
  <c r="C181" i="88"/>
  <c r="N180" i="88"/>
  <c r="M180" i="88"/>
  <c r="L180" i="88"/>
  <c r="K180" i="88"/>
  <c r="J180" i="88"/>
  <c r="I180" i="88"/>
  <c r="H180" i="88"/>
  <c r="G180" i="88"/>
  <c r="F180" i="88"/>
  <c r="E180" i="88"/>
  <c r="D180" i="88"/>
  <c r="C180" i="88"/>
  <c r="N179" i="88"/>
  <c r="M179" i="88"/>
  <c r="L179" i="88"/>
  <c r="K179" i="88"/>
  <c r="J179" i="88"/>
  <c r="I179" i="88"/>
  <c r="H179" i="88"/>
  <c r="G179" i="88"/>
  <c r="F179" i="88"/>
  <c r="E179" i="88"/>
  <c r="D179" i="88"/>
  <c r="C179" i="88"/>
  <c r="N178" i="88"/>
  <c r="M178" i="88"/>
  <c r="L178" i="88"/>
  <c r="K178" i="88"/>
  <c r="J178" i="88"/>
  <c r="I178" i="88"/>
  <c r="H178" i="88"/>
  <c r="G178" i="88"/>
  <c r="F178" i="88"/>
  <c r="E178" i="88"/>
  <c r="D178" i="88"/>
  <c r="C178" i="88"/>
  <c r="N177" i="88"/>
  <c r="M177" i="88"/>
  <c r="L177" i="88"/>
  <c r="K177" i="88"/>
  <c r="J177" i="88"/>
  <c r="I177" i="88"/>
  <c r="H177" i="88"/>
  <c r="G177" i="88"/>
  <c r="F177" i="88"/>
  <c r="E177" i="88"/>
  <c r="D177" i="88"/>
  <c r="C177" i="88"/>
  <c r="N176" i="88"/>
  <c r="M176" i="88"/>
  <c r="L176" i="88"/>
  <c r="K176" i="88"/>
  <c r="J176" i="88"/>
  <c r="I176" i="88"/>
  <c r="H176" i="88"/>
  <c r="G176" i="88"/>
  <c r="F176" i="88"/>
  <c r="E176" i="88"/>
  <c r="D176" i="88"/>
  <c r="C176" i="88"/>
  <c r="N175" i="88"/>
  <c r="M175" i="88"/>
  <c r="L175" i="88"/>
  <c r="K175" i="88"/>
  <c r="J175" i="88"/>
  <c r="I175" i="88"/>
  <c r="H175" i="88"/>
  <c r="G175" i="88"/>
  <c r="F175" i="88"/>
  <c r="E175" i="88"/>
  <c r="D175" i="88"/>
  <c r="C175" i="88"/>
  <c r="N174" i="88"/>
  <c r="M174" i="88"/>
  <c r="L174" i="88"/>
  <c r="K174" i="88"/>
  <c r="J174" i="88"/>
  <c r="I174" i="88"/>
  <c r="H174" i="88"/>
  <c r="G174" i="88"/>
  <c r="F174" i="88"/>
  <c r="E174" i="88"/>
  <c r="D174" i="88"/>
  <c r="C174" i="88"/>
  <c r="N173" i="88"/>
  <c r="M173" i="88"/>
  <c r="L173" i="88"/>
  <c r="K173" i="88"/>
  <c r="J173" i="88"/>
  <c r="I173" i="88"/>
  <c r="H173" i="88"/>
  <c r="G173" i="88"/>
  <c r="F173" i="88"/>
  <c r="E173" i="88"/>
  <c r="D173" i="88"/>
  <c r="C173" i="88"/>
  <c r="N172" i="88"/>
  <c r="N185" i="88" s="1"/>
  <c r="M172" i="88"/>
  <c r="M185" i="88" s="1"/>
  <c r="L172" i="88"/>
  <c r="K172" i="88"/>
  <c r="J172" i="88"/>
  <c r="J185" i="88" s="1"/>
  <c r="I172" i="88"/>
  <c r="I185" i="88" s="1"/>
  <c r="H172" i="88"/>
  <c r="H185" i="88" s="1"/>
  <c r="G172" i="88"/>
  <c r="G185" i="88" s="1"/>
  <c r="F172" i="88"/>
  <c r="E172" i="88"/>
  <c r="E185" i="88" s="1"/>
  <c r="D172" i="88"/>
  <c r="D185" i="88" s="1"/>
  <c r="C172" i="88"/>
  <c r="O171" i="88"/>
  <c r="N168" i="88"/>
  <c r="M168" i="88"/>
  <c r="L168" i="88"/>
  <c r="K168" i="88"/>
  <c r="J168" i="88"/>
  <c r="I168" i="88"/>
  <c r="H168" i="88"/>
  <c r="G168" i="88"/>
  <c r="F168" i="88"/>
  <c r="E168" i="88"/>
  <c r="D168" i="88"/>
  <c r="C168" i="88"/>
  <c r="N167" i="88"/>
  <c r="M167" i="88"/>
  <c r="L167" i="88"/>
  <c r="K167" i="88"/>
  <c r="J167" i="88"/>
  <c r="I167" i="88"/>
  <c r="H167" i="88"/>
  <c r="G167" i="88"/>
  <c r="F167" i="88"/>
  <c r="E167" i="88"/>
  <c r="D167" i="88"/>
  <c r="C167" i="88"/>
  <c r="N166" i="88"/>
  <c r="M166" i="88"/>
  <c r="L166" i="88"/>
  <c r="K166" i="88"/>
  <c r="J166" i="88"/>
  <c r="I166" i="88"/>
  <c r="H166" i="88"/>
  <c r="G166" i="88"/>
  <c r="F166" i="88"/>
  <c r="E166" i="88"/>
  <c r="D166" i="88"/>
  <c r="C166" i="88"/>
  <c r="N165" i="88"/>
  <c r="M165" i="88"/>
  <c r="M169" i="88" s="1"/>
  <c r="L165" i="88"/>
  <c r="L169" i="88" s="1"/>
  <c r="K165" i="88"/>
  <c r="K169" i="88" s="1"/>
  <c r="J165" i="88"/>
  <c r="I165" i="88"/>
  <c r="I169" i="88" s="1"/>
  <c r="H165" i="88"/>
  <c r="H169" i="88" s="1"/>
  <c r="G165" i="88"/>
  <c r="F165" i="88"/>
  <c r="E165" i="88"/>
  <c r="D165" i="88"/>
  <c r="C165" i="88"/>
  <c r="C169" i="88" s="1"/>
  <c r="O179" i="154"/>
  <c r="O178" i="154"/>
  <c r="F31" i="153"/>
  <c r="G31" i="153"/>
  <c r="G26" i="153"/>
  <c r="K185" i="88" l="1"/>
  <c r="L185" i="88"/>
  <c r="L187" i="88" s="1"/>
  <c r="M187" i="88"/>
  <c r="D169" i="88"/>
  <c r="F185" i="88"/>
  <c r="H187" i="88"/>
  <c r="I187" i="88"/>
  <c r="K187" i="88"/>
  <c r="D187" i="88"/>
  <c r="G187" i="88"/>
  <c r="O166" i="88"/>
  <c r="G13" i="88" s="1"/>
  <c r="G403" i="88" s="1"/>
  <c r="O167" i="88"/>
  <c r="G14" i="88" s="1"/>
  <c r="G404" i="88" s="1"/>
  <c r="O168" i="88"/>
  <c r="G15" i="88" s="1"/>
  <c r="G405" i="88" s="1"/>
  <c r="J169" i="88"/>
  <c r="J187" i="88" s="1"/>
  <c r="N169" i="88"/>
  <c r="N187" i="88" s="1"/>
  <c r="E169" i="88"/>
  <c r="E187" i="88" s="1"/>
  <c r="O172" i="88"/>
  <c r="O173" i="88"/>
  <c r="G20" i="88" s="1"/>
  <c r="G410" i="88" s="1"/>
  <c r="O174" i="88"/>
  <c r="G21" i="88" s="1"/>
  <c r="G411" i="88" s="1"/>
  <c r="O175" i="88"/>
  <c r="G22" i="88" s="1"/>
  <c r="G412" i="88" s="1"/>
  <c r="O176" i="88"/>
  <c r="G23" i="88" s="1"/>
  <c r="G413" i="88" s="1"/>
  <c r="O177" i="88"/>
  <c r="G24" i="88" s="1"/>
  <c r="G414" i="88" s="1"/>
  <c r="O178" i="88"/>
  <c r="G25" i="88" s="1"/>
  <c r="G415" i="88" s="1"/>
  <c r="O179" i="88"/>
  <c r="G26" i="88" s="1"/>
  <c r="G416" i="88" s="1"/>
  <c r="O180" i="88"/>
  <c r="G27" i="88" s="1"/>
  <c r="G417" i="88" s="1"/>
  <c r="O181" i="88"/>
  <c r="G28" i="88" s="1"/>
  <c r="G418" i="88" s="1"/>
  <c r="O182" i="88"/>
  <c r="G29" i="88" s="1"/>
  <c r="G419" i="88" s="1"/>
  <c r="O183" i="88"/>
  <c r="G30" i="88" s="1"/>
  <c r="G420" i="88" s="1"/>
  <c r="O184" i="88"/>
  <c r="G31" i="88" s="1"/>
  <c r="C185" i="88"/>
  <c r="C187" i="88" s="1"/>
  <c r="F169" i="88"/>
  <c r="F187" i="88" s="1"/>
  <c r="G169" i="88"/>
  <c r="O165" i="88"/>
  <c r="O169" i="88" l="1"/>
  <c r="G12" i="88"/>
  <c r="G402" i="88" s="1"/>
  <c r="G406" i="88" s="1"/>
  <c r="G19" i="88"/>
  <c r="G409" i="88" s="1"/>
  <c r="O185" i="88"/>
  <c r="O187" i="88" s="1"/>
  <c r="J32" i="88"/>
  <c r="I32" i="88"/>
  <c r="G32" i="88"/>
  <c r="O147" i="154"/>
  <c r="F26" i="154" s="1"/>
  <c r="P139" i="88"/>
  <c r="N152" i="88"/>
  <c r="M152" i="88"/>
  <c r="L152" i="88"/>
  <c r="K152" i="88"/>
  <c r="J152" i="88"/>
  <c r="I152" i="88"/>
  <c r="H152" i="88"/>
  <c r="G152" i="88"/>
  <c r="F152" i="88"/>
  <c r="E152" i="88"/>
  <c r="D152" i="88"/>
  <c r="C152" i="88"/>
  <c r="N151" i="88"/>
  <c r="M151" i="88"/>
  <c r="L151" i="88"/>
  <c r="K151" i="88"/>
  <c r="J151" i="88"/>
  <c r="I151" i="88"/>
  <c r="H151" i="88"/>
  <c r="G151" i="88"/>
  <c r="F151" i="88"/>
  <c r="E151" i="88"/>
  <c r="D151" i="88"/>
  <c r="C151" i="88"/>
  <c r="N150" i="88"/>
  <c r="M150" i="88"/>
  <c r="L150" i="88"/>
  <c r="K150" i="88"/>
  <c r="J150" i="88"/>
  <c r="I150" i="88"/>
  <c r="H150" i="88"/>
  <c r="G150" i="88"/>
  <c r="F150" i="88"/>
  <c r="E150" i="88"/>
  <c r="D150" i="88"/>
  <c r="C150" i="88"/>
  <c r="N149" i="88"/>
  <c r="M149" i="88"/>
  <c r="L149" i="88"/>
  <c r="K149" i="88"/>
  <c r="J149" i="88"/>
  <c r="I149" i="88"/>
  <c r="H149" i="88"/>
  <c r="G149" i="88"/>
  <c r="F149" i="88"/>
  <c r="E149" i="88"/>
  <c r="D149" i="88"/>
  <c r="C149" i="88"/>
  <c r="N148" i="88"/>
  <c r="M148" i="88"/>
  <c r="L148" i="88"/>
  <c r="K148" i="88"/>
  <c r="J148" i="88"/>
  <c r="I148" i="88"/>
  <c r="H148" i="88"/>
  <c r="G148" i="88"/>
  <c r="F148" i="88"/>
  <c r="E148" i="88"/>
  <c r="D148" i="88"/>
  <c r="C148" i="88"/>
  <c r="N147" i="88"/>
  <c r="M147" i="88"/>
  <c r="L147" i="88"/>
  <c r="K147" i="88"/>
  <c r="J147" i="88"/>
  <c r="I147" i="88"/>
  <c r="H147" i="88"/>
  <c r="G147" i="88"/>
  <c r="F147" i="88"/>
  <c r="E147" i="88"/>
  <c r="D147" i="88"/>
  <c r="C147" i="88"/>
  <c r="N146" i="88"/>
  <c r="M146" i="88"/>
  <c r="L146" i="88"/>
  <c r="K146" i="88"/>
  <c r="J146" i="88"/>
  <c r="I146" i="88"/>
  <c r="H146" i="88"/>
  <c r="G146" i="88"/>
  <c r="F146" i="88"/>
  <c r="E146" i="88"/>
  <c r="D146" i="88"/>
  <c r="C146" i="88"/>
  <c r="N145" i="88"/>
  <c r="M145" i="88"/>
  <c r="L145" i="88"/>
  <c r="K145" i="88"/>
  <c r="J145" i="88"/>
  <c r="I145" i="88"/>
  <c r="H145" i="88"/>
  <c r="G145" i="88"/>
  <c r="F145" i="88"/>
  <c r="E145" i="88"/>
  <c r="D145" i="88"/>
  <c r="C145" i="88"/>
  <c r="N144" i="88"/>
  <c r="M144" i="88"/>
  <c r="L144" i="88"/>
  <c r="K144" i="88"/>
  <c r="J144" i="88"/>
  <c r="I144" i="88"/>
  <c r="H144" i="88"/>
  <c r="G144" i="88"/>
  <c r="F144" i="88"/>
  <c r="E144" i="88"/>
  <c r="D144" i="88"/>
  <c r="C144" i="88"/>
  <c r="N143" i="88"/>
  <c r="M143" i="88"/>
  <c r="L143" i="88"/>
  <c r="K143" i="88"/>
  <c r="J143" i="88"/>
  <c r="I143" i="88"/>
  <c r="H143" i="88"/>
  <c r="G143" i="88"/>
  <c r="F143" i="88"/>
  <c r="E143" i="88"/>
  <c r="D143" i="88"/>
  <c r="C143" i="88"/>
  <c r="N142" i="88"/>
  <c r="M142" i="88"/>
  <c r="L142" i="88"/>
  <c r="K142" i="88"/>
  <c r="J142" i="88"/>
  <c r="I142" i="88"/>
  <c r="H142" i="88"/>
  <c r="G142" i="88"/>
  <c r="F142" i="88"/>
  <c r="E142" i="88"/>
  <c r="D142" i="88"/>
  <c r="C142" i="88"/>
  <c r="N141" i="88"/>
  <c r="N153" i="88" s="1"/>
  <c r="M141" i="88"/>
  <c r="M153" i="88" s="1"/>
  <c r="L141" i="88"/>
  <c r="K141" i="88"/>
  <c r="J141" i="88"/>
  <c r="I141" i="88"/>
  <c r="H141" i="88"/>
  <c r="G141" i="88"/>
  <c r="F141" i="88"/>
  <c r="E141" i="88"/>
  <c r="D141" i="88"/>
  <c r="C141" i="88"/>
  <c r="O140" i="88"/>
  <c r="N137" i="88"/>
  <c r="M137" i="88"/>
  <c r="L137" i="88"/>
  <c r="K137" i="88"/>
  <c r="J137" i="88"/>
  <c r="I137" i="88"/>
  <c r="H137" i="88"/>
  <c r="G137" i="88"/>
  <c r="F137" i="88"/>
  <c r="E137" i="88"/>
  <c r="D137" i="88"/>
  <c r="C137" i="88"/>
  <c r="N136" i="88"/>
  <c r="M136" i="88"/>
  <c r="L136" i="88"/>
  <c r="K136" i="88"/>
  <c r="J136" i="88"/>
  <c r="I136" i="88"/>
  <c r="H136" i="88"/>
  <c r="G136" i="88"/>
  <c r="F136" i="88"/>
  <c r="E136" i="88"/>
  <c r="D136" i="88"/>
  <c r="C136" i="88"/>
  <c r="N135" i="88"/>
  <c r="M135" i="88"/>
  <c r="L135" i="88"/>
  <c r="K135" i="88"/>
  <c r="J135" i="88"/>
  <c r="I135" i="88"/>
  <c r="H135" i="88"/>
  <c r="G135" i="88"/>
  <c r="F135" i="88"/>
  <c r="E135" i="88"/>
  <c r="D135" i="88"/>
  <c r="C135" i="88"/>
  <c r="N134" i="88"/>
  <c r="N138" i="88" s="1"/>
  <c r="M134" i="88"/>
  <c r="L134" i="88"/>
  <c r="K134" i="88"/>
  <c r="J134" i="88"/>
  <c r="I134" i="88"/>
  <c r="H134" i="88"/>
  <c r="G134" i="88"/>
  <c r="F134" i="88"/>
  <c r="E134" i="88"/>
  <c r="D134" i="88"/>
  <c r="C134" i="88"/>
  <c r="C138" i="88" s="1"/>
  <c r="N281" i="154"/>
  <c r="M281" i="154"/>
  <c r="L281" i="154"/>
  <c r="K281" i="154"/>
  <c r="J281" i="154"/>
  <c r="I281" i="154"/>
  <c r="H281" i="154"/>
  <c r="G281" i="154"/>
  <c r="F281" i="154"/>
  <c r="E281" i="154"/>
  <c r="D281" i="154"/>
  <c r="C281" i="154"/>
  <c r="O280" i="154"/>
  <c r="N249" i="154"/>
  <c r="M249" i="154"/>
  <c r="L249" i="154"/>
  <c r="K249" i="154"/>
  <c r="J249" i="154"/>
  <c r="I249" i="154"/>
  <c r="H249" i="154"/>
  <c r="G249" i="154"/>
  <c r="F249" i="154"/>
  <c r="E249" i="154"/>
  <c r="D249" i="154"/>
  <c r="C249" i="154"/>
  <c r="O248" i="154"/>
  <c r="N216" i="154"/>
  <c r="M216" i="154"/>
  <c r="L216" i="154"/>
  <c r="K216" i="154"/>
  <c r="J216" i="154"/>
  <c r="I216" i="154"/>
  <c r="H216" i="154"/>
  <c r="G216" i="154"/>
  <c r="F216" i="154"/>
  <c r="E216" i="154"/>
  <c r="D216" i="154"/>
  <c r="C216" i="154"/>
  <c r="O215" i="154"/>
  <c r="O183" i="154"/>
  <c r="N184" i="154"/>
  <c r="M184" i="154"/>
  <c r="L184" i="154"/>
  <c r="K184" i="154"/>
  <c r="J184" i="154"/>
  <c r="I184" i="154"/>
  <c r="H184" i="154"/>
  <c r="G184" i="154"/>
  <c r="F184" i="154"/>
  <c r="E184" i="154"/>
  <c r="D184" i="154"/>
  <c r="C184" i="154"/>
  <c r="N309" i="153"/>
  <c r="M309" i="153"/>
  <c r="L309" i="153"/>
  <c r="K309" i="153"/>
  <c r="J309" i="153"/>
  <c r="I309" i="153"/>
  <c r="H309" i="153"/>
  <c r="G309" i="153"/>
  <c r="F309" i="153"/>
  <c r="E309" i="153"/>
  <c r="D309" i="153"/>
  <c r="C309" i="153"/>
  <c r="N281" i="153"/>
  <c r="M281" i="153"/>
  <c r="L281" i="153"/>
  <c r="K281" i="153"/>
  <c r="J281" i="153"/>
  <c r="I281" i="153"/>
  <c r="H281" i="153"/>
  <c r="G281" i="153"/>
  <c r="F281" i="153"/>
  <c r="E281" i="153"/>
  <c r="D281" i="153"/>
  <c r="C281" i="153"/>
  <c r="N249" i="153"/>
  <c r="M249" i="153"/>
  <c r="L249" i="153"/>
  <c r="K249" i="153"/>
  <c r="J249" i="153"/>
  <c r="I249" i="153"/>
  <c r="H249" i="153"/>
  <c r="G249" i="153"/>
  <c r="F249" i="153"/>
  <c r="E249" i="153"/>
  <c r="D249" i="153"/>
  <c r="C249" i="153"/>
  <c r="N216" i="153"/>
  <c r="M216" i="153"/>
  <c r="L216" i="153"/>
  <c r="K216" i="153"/>
  <c r="J216" i="153"/>
  <c r="I216" i="153"/>
  <c r="H216" i="153"/>
  <c r="G216" i="153"/>
  <c r="F216" i="153"/>
  <c r="E216" i="153"/>
  <c r="D216" i="153"/>
  <c r="C216" i="153"/>
  <c r="N184" i="153"/>
  <c r="M184" i="153"/>
  <c r="L184" i="153"/>
  <c r="K184" i="153"/>
  <c r="J184" i="153"/>
  <c r="I184" i="153"/>
  <c r="H184" i="153"/>
  <c r="G184" i="153"/>
  <c r="F184" i="153"/>
  <c r="E184" i="153"/>
  <c r="D184" i="153"/>
  <c r="C184" i="153"/>
  <c r="N152" i="153"/>
  <c r="M152" i="153"/>
  <c r="L152" i="153"/>
  <c r="K152" i="153"/>
  <c r="J152" i="153"/>
  <c r="I152" i="153"/>
  <c r="H152" i="153"/>
  <c r="G152" i="153"/>
  <c r="F152" i="153"/>
  <c r="E152" i="153"/>
  <c r="D152" i="153"/>
  <c r="C152" i="153"/>
  <c r="I32" i="154"/>
  <c r="H32" i="154"/>
  <c r="G32" i="154"/>
  <c r="N152" i="154"/>
  <c r="M152" i="154"/>
  <c r="L152" i="154"/>
  <c r="K152" i="154"/>
  <c r="J152" i="154"/>
  <c r="I152" i="154"/>
  <c r="H152" i="154"/>
  <c r="G152" i="154"/>
  <c r="F152" i="154"/>
  <c r="E152" i="154"/>
  <c r="D152" i="154"/>
  <c r="C152" i="154"/>
  <c r="O151" i="154"/>
  <c r="F31" i="154" s="1"/>
  <c r="O141" i="154"/>
  <c r="F20" i="154" s="1"/>
  <c r="F26" i="153"/>
  <c r="O335" i="154"/>
  <c r="O329" i="154"/>
  <c r="O328" i="154"/>
  <c r="O323" i="154"/>
  <c r="O320" i="154"/>
  <c r="O319" i="154"/>
  <c r="O317" i="154"/>
  <c r="O307" i="154"/>
  <c r="O295" i="154"/>
  <c r="O292" i="154"/>
  <c r="O291" i="154"/>
  <c r="O289" i="154"/>
  <c r="O279" i="154"/>
  <c r="O278" i="154"/>
  <c r="O277" i="154"/>
  <c r="O274" i="154"/>
  <c r="O271" i="154"/>
  <c r="O270" i="154"/>
  <c r="O269" i="154"/>
  <c r="O268" i="154"/>
  <c r="O267" i="154"/>
  <c r="N265" i="154"/>
  <c r="M265" i="154"/>
  <c r="L265" i="154"/>
  <c r="K265" i="154"/>
  <c r="J265" i="154"/>
  <c r="I265" i="154"/>
  <c r="H265" i="154"/>
  <c r="G265" i="154"/>
  <c r="F265" i="154"/>
  <c r="E265" i="154"/>
  <c r="D265" i="154"/>
  <c r="C265" i="154"/>
  <c r="O264" i="154"/>
  <c r="O263" i="154"/>
  <c r="O262" i="154"/>
  <c r="O261" i="154"/>
  <c r="O247" i="154"/>
  <c r="O246" i="154"/>
  <c r="O245" i="154"/>
  <c r="O242" i="154"/>
  <c r="O241" i="154"/>
  <c r="O240" i="154"/>
  <c r="O239" i="154"/>
  <c r="O238" i="154"/>
  <c r="O237" i="154"/>
  <c r="O236" i="154"/>
  <c r="O235" i="154"/>
  <c r="N233" i="154"/>
  <c r="M233" i="154"/>
  <c r="L233" i="154"/>
  <c r="K233" i="154"/>
  <c r="J233" i="154"/>
  <c r="I233" i="154"/>
  <c r="H233" i="154"/>
  <c r="G233" i="154"/>
  <c r="F233" i="154"/>
  <c r="E233" i="154"/>
  <c r="D233" i="154"/>
  <c r="C233" i="154"/>
  <c r="O232" i="154"/>
  <c r="O231" i="154"/>
  <c r="O230" i="154"/>
  <c r="O229" i="154"/>
  <c r="O214" i="154"/>
  <c r="O213" i="154"/>
  <c r="O212" i="154"/>
  <c r="O209" i="154"/>
  <c r="O208" i="154"/>
  <c r="O207" i="154"/>
  <c r="O206" i="154"/>
  <c r="O205" i="154"/>
  <c r="O204" i="154"/>
  <c r="O203" i="154"/>
  <c r="O202" i="154"/>
  <c r="N200" i="154"/>
  <c r="M200" i="154"/>
  <c r="L200" i="154"/>
  <c r="K200" i="154"/>
  <c r="J200" i="154"/>
  <c r="I200" i="154"/>
  <c r="H200" i="154"/>
  <c r="G200" i="154"/>
  <c r="F200" i="154"/>
  <c r="E200" i="154"/>
  <c r="D200" i="154"/>
  <c r="C200" i="154"/>
  <c r="O199" i="154"/>
  <c r="O198" i="154"/>
  <c r="O197" i="154"/>
  <c r="O196" i="154"/>
  <c r="O182" i="154"/>
  <c r="O181" i="154"/>
  <c r="O180" i="154"/>
  <c r="O177" i="154"/>
  <c r="O176" i="154"/>
  <c r="O175" i="154"/>
  <c r="O174" i="154"/>
  <c r="O173" i="154"/>
  <c r="O172" i="154"/>
  <c r="O171" i="154"/>
  <c r="O170" i="154"/>
  <c r="N168" i="154"/>
  <c r="M168" i="154"/>
  <c r="L168" i="154"/>
  <c r="K168" i="154"/>
  <c r="J168" i="154"/>
  <c r="I168" i="154"/>
  <c r="H168" i="154"/>
  <c r="G168" i="154"/>
  <c r="F168" i="154"/>
  <c r="E168" i="154"/>
  <c r="D168" i="154"/>
  <c r="C168" i="154"/>
  <c r="O167" i="154"/>
  <c r="O166" i="154"/>
  <c r="O165" i="154"/>
  <c r="O164" i="154"/>
  <c r="O150" i="154"/>
  <c r="F30" i="154" s="1"/>
  <c r="O149" i="154"/>
  <c r="F29" i="154" s="1"/>
  <c r="O148" i="154"/>
  <c r="F28" i="154" s="1"/>
  <c r="O146" i="154"/>
  <c r="F25" i="154" s="1"/>
  <c r="O145" i="154"/>
  <c r="F24" i="154" s="1"/>
  <c r="O144" i="154"/>
  <c r="F23" i="154" s="1"/>
  <c r="O143" i="154"/>
  <c r="F22" i="154" s="1"/>
  <c r="O142" i="154"/>
  <c r="F21" i="154" s="1"/>
  <c r="O139" i="154"/>
  <c r="N137" i="154"/>
  <c r="M137" i="154"/>
  <c r="L137" i="154"/>
  <c r="K137" i="154"/>
  <c r="J137" i="154"/>
  <c r="I137" i="154"/>
  <c r="H137" i="154"/>
  <c r="G137" i="154"/>
  <c r="F137" i="154"/>
  <c r="E137" i="154"/>
  <c r="D137" i="154"/>
  <c r="C137" i="154"/>
  <c r="O136" i="154"/>
  <c r="F15" i="154" s="1"/>
  <c r="O135" i="154"/>
  <c r="F14" i="154" s="1"/>
  <c r="O134" i="154"/>
  <c r="F13" i="154" s="1"/>
  <c r="O133" i="154"/>
  <c r="F12" i="154" s="1"/>
  <c r="E23" i="154"/>
  <c r="E26" i="153"/>
  <c r="O391" i="153"/>
  <c r="O389" i="153"/>
  <c r="O386" i="153"/>
  <c r="O385" i="153"/>
  <c r="O384" i="153"/>
  <c r="O383" i="153"/>
  <c r="O382" i="153"/>
  <c r="O381" i="153"/>
  <c r="O380" i="153"/>
  <c r="O379" i="153"/>
  <c r="O376" i="153"/>
  <c r="O375" i="153"/>
  <c r="O373" i="153"/>
  <c r="N12" i="153" s="1"/>
  <c r="O363" i="153"/>
  <c r="O361" i="153"/>
  <c r="O358" i="153"/>
  <c r="O357" i="153"/>
  <c r="O356" i="153"/>
  <c r="O355" i="153"/>
  <c r="O354" i="153"/>
  <c r="O353" i="153"/>
  <c r="O352" i="153"/>
  <c r="O351" i="153"/>
  <c r="O348" i="153"/>
  <c r="O347" i="153"/>
  <c r="O345" i="153"/>
  <c r="M12" i="153" s="1"/>
  <c r="O335" i="153"/>
  <c r="O333" i="153"/>
  <c r="O330" i="153"/>
  <c r="O329" i="153"/>
  <c r="O328" i="153"/>
  <c r="O327" i="153"/>
  <c r="O326" i="153"/>
  <c r="O325" i="153"/>
  <c r="O324" i="153"/>
  <c r="O323" i="153"/>
  <c r="O320" i="153"/>
  <c r="O319" i="153"/>
  <c r="O317" i="153"/>
  <c r="L12" i="153" s="1"/>
  <c r="O307" i="153"/>
  <c r="O306" i="153"/>
  <c r="O305" i="153"/>
  <c r="O302" i="153"/>
  <c r="O301" i="153"/>
  <c r="O300" i="153"/>
  <c r="O299" i="153"/>
  <c r="O298" i="153"/>
  <c r="O297" i="153"/>
  <c r="O296" i="153"/>
  <c r="O295" i="153"/>
  <c r="N293" i="153"/>
  <c r="M293" i="153"/>
  <c r="L293" i="153"/>
  <c r="K293" i="153"/>
  <c r="J293" i="153"/>
  <c r="I293" i="153"/>
  <c r="H293" i="153"/>
  <c r="G293" i="153"/>
  <c r="F293" i="153"/>
  <c r="E293" i="153"/>
  <c r="D293" i="153"/>
  <c r="C293" i="153"/>
  <c r="O292" i="153"/>
  <c r="O291" i="153"/>
  <c r="O290" i="153"/>
  <c r="O289" i="153"/>
  <c r="K12" i="153" s="1"/>
  <c r="O279" i="153"/>
  <c r="O278" i="153"/>
  <c r="O277" i="153"/>
  <c r="O274" i="153"/>
  <c r="O273" i="153"/>
  <c r="O272" i="153"/>
  <c r="O271" i="153"/>
  <c r="O270" i="153"/>
  <c r="O269" i="153"/>
  <c r="O268" i="153"/>
  <c r="O267" i="153"/>
  <c r="N265" i="153"/>
  <c r="M265" i="153"/>
  <c r="L265" i="153"/>
  <c r="K265" i="153"/>
  <c r="J265" i="153"/>
  <c r="I265" i="153"/>
  <c r="H265" i="153"/>
  <c r="G265" i="153"/>
  <c r="F265" i="153"/>
  <c r="E265" i="153"/>
  <c r="D265" i="153"/>
  <c r="C265" i="153"/>
  <c r="O264" i="153"/>
  <c r="O263" i="153"/>
  <c r="O262" i="153"/>
  <c r="O261" i="153"/>
  <c r="J12" i="153" s="1"/>
  <c r="O247" i="153"/>
  <c r="O246" i="153"/>
  <c r="O245" i="153"/>
  <c r="O242" i="153"/>
  <c r="O241" i="153"/>
  <c r="O240" i="153"/>
  <c r="O239" i="153"/>
  <c r="O238" i="153"/>
  <c r="O237" i="153"/>
  <c r="O236" i="153"/>
  <c r="O235" i="153"/>
  <c r="N233" i="153"/>
  <c r="M233" i="153"/>
  <c r="L233" i="153"/>
  <c r="K233" i="153"/>
  <c r="J233" i="153"/>
  <c r="I233" i="153"/>
  <c r="H233" i="153"/>
  <c r="G233" i="153"/>
  <c r="F233" i="153"/>
  <c r="E233" i="153"/>
  <c r="D233" i="153"/>
  <c r="C233" i="153"/>
  <c r="O232" i="153"/>
  <c r="O231" i="153"/>
  <c r="O230" i="153"/>
  <c r="O229" i="153"/>
  <c r="O214" i="153"/>
  <c r="O213" i="153"/>
  <c r="O212" i="153"/>
  <c r="O209" i="153"/>
  <c r="O208" i="153"/>
  <c r="O207" i="153"/>
  <c r="O206" i="153"/>
  <c r="O205" i="153"/>
  <c r="O204" i="153"/>
  <c r="O203" i="153"/>
  <c r="O202" i="153"/>
  <c r="N200" i="153"/>
  <c r="M200" i="153"/>
  <c r="L200" i="153"/>
  <c r="K200" i="153"/>
  <c r="J200" i="153"/>
  <c r="I200" i="153"/>
  <c r="H200" i="153"/>
  <c r="G200" i="153"/>
  <c r="F200" i="153"/>
  <c r="E200" i="153"/>
  <c r="D200" i="153"/>
  <c r="C200" i="153"/>
  <c r="O199" i="153"/>
  <c r="O198" i="153"/>
  <c r="O197" i="153"/>
  <c r="O196" i="153"/>
  <c r="O182" i="153"/>
  <c r="G30" i="153" s="1"/>
  <c r="O181" i="153"/>
  <c r="G29" i="153" s="1"/>
  <c r="O180" i="153"/>
  <c r="G28" i="153" s="1"/>
  <c r="O177" i="153"/>
  <c r="G25" i="153" s="1"/>
  <c r="O176" i="153"/>
  <c r="G24" i="153" s="1"/>
  <c r="O175" i="153"/>
  <c r="G23" i="153" s="1"/>
  <c r="O174" i="153"/>
  <c r="G22" i="153" s="1"/>
  <c r="O173" i="153"/>
  <c r="G21" i="153" s="1"/>
  <c r="O172" i="153"/>
  <c r="G20" i="153" s="1"/>
  <c r="O171" i="153"/>
  <c r="G19" i="153" s="1"/>
  <c r="O170" i="153"/>
  <c r="N168" i="153"/>
  <c r="M168" i="153"/>
  <c r="L168" i="153"/>
  <c r="K168" i="153"/>
  <c r="J168" i="153"/>
  <c r="I168" i="153"/>
  <c r="H168" i="153"/>
  <c r="G168" i="153"/>
  <c r="F168" i="153"/>
  <c r="E168" i="153"/>
  <c r="D168" i="153"/>
  <c r="C168" i="153"/>
  <c r="O167" i="153"/>
  <c r="G15" i="153" s="1"/>
  <c r="O166" i="153"/>
  <c r="G14" i="153" s="1"/>
  <c r="O165" i="153"/>
  <c r="G13" i="153" s="1"/>
  <c r="O164" i="153"/>
  <c r="G12" i="153" s="1"/>
  <c r="O150" i="153"/>
  <c r="F30" i="153" s="1"/>
  <c r="O149" i="153"/>
  <c r="F29" i="153" s="1"/>
  <c r="O148" i="153"/>
  <c r="F28" i="153" s="1"/>
  <c r="O146" i="153"/>
  <c r="F25" i="153" s="1"/>
  <c r="O145" i="153"/>
  <c r="F24" i="153" s="1"/>
  <c r="O144" i="153"/>
  <c r="F23" i="153" s="1"/>
  <c r="O143" i="153"/>
  <c r="F22" i="153" s="1"/>
  <c r="O142" i="153"/>
  <c r="F21" i="153" s="1"/>
  <c r="O141" i="153"/>
  <c r="F20" i="153" s="1"/>
  <c r="O140" i="153"/>
  <c r="F19" i="153" s="1"/>
  <c r="O139" i="153"/>
  <c r="O136" i="153"/>
  <c r="F15" i="153" s="1"/>
  <c r="O135" i="153"/>
  <c r="F14" i="153" s="1"/>
  <c r="O134" i="153"/>
  <c r="F13" i="153" s="1"/>
  <c r="O133" i="153"/>
  <c r="F12" i="153" s="1"/>
  <c r="O114" i="153"/>
  <c r="N137" i="153"/>
  <c r="M137" i="153"/>
  <c r="L137" i="153"/>
  <c r="K137" i="153"/>
  <c r="J137" i="153"/>
  <c r="I137" i="153"/>
  <c r="H137" i="153"/>
  <c r="G137" i="153"/>
  <c r="F137" i="153"/>
  <c r="E137" i="153"/>
  <c r="D137" i="153"/>
  <c r="C137" i="153"/>
  <c r="J17" i="121" l="1"/>
  <c r="K53" i="122"/>
  <c r="K52" i="122" s="1"/>
  <c r="J20" i="154"/>
  <c r="L56" i="73" s="1"/>
  <c r="C297" i="154"/>
  <c r="K297" i="154"/>
  <c r="I297" i="154"/>
  <c r="E297" i="154"/>
  <c r="N297" i="154"/>
  <c r="L297" i="154"/>
  <c r="J297" i="154"/>
  <c r="M297" i="154"/>
  <c r="H297" i="154"/>
  <c r="D297" i="154"/>
  <c r="G297" i="154"/>
  <c r="F297" i="154"/>
  <c r="J21" i="154"/>
  <c r="L57" i="73" s="1"/>
  <c r="H298" i="154"/>
  <c r="F298" i="154"/>
  <c r="C298" i="154"/>
  <c r="N298" i="154"/>
  <c r="M298" i="154"/>
  <c r="G298" i="154"/>
  <c r="D298" i="154"/>
  <c r="I298" i="154"/>
  <c r="J298" i="154"/>
  <c r="E298" i="154"/>
  <c r="L298" i="154"/>
  <c r="K298" i="154"/>
  <c r="J31" i="154"/>
  <c r="L67" i="73" s="1"/>
  <c r="M308" i="154"/>
  <c r="J308" i="154"/>
  <c r="G308" i="154"/>
  <c r="H308" i="154"/>
  <c r="K308" i="154"/>
  <c r="E308" i="154"/>
  <c r="N308" i="154"/>
  <c r="L308" i="154"/>
  <c r="C308" i="154"/>
  <c r="F308" i="154"/>
  <c r="D308" i="154"/>
  <c r="I308" i="154"/>
  <c r="J22" i="154"/>
  <c r="L58" i="73" s="1"/>
  <c r="C299" i="154"/>
  <c r="E299" i="154"/>
  <c r="N299" i="154"/>
  <c r="L299" i="154"/>
  <c r="J299" i="154"/>
  <c r="M299" i="154"/>
  <c r="K299" i="154"/>
  <c r="G299" i="154"/>
  <c r="H299" i="154"/>
  <c r="F299" i="154"/>
  <c r="D299" i="154"/>
  <c r="I299" i="154"/>
  <c r="J13" i="154"/>
  <c r="L49" i="73" s="1"/>
  <c r="C290" i="154"/>
  <c r="N290" i="154"/>
  <c r="F290" i="154"/>
  <c r="K290" i="154"/>
  <c r="L290" i="154"/>
  <c r="M290" i="154"/>
  <c r="I290" i="154"/>
  <c r="G290" i="154"/>
  <c r="H290" i="154"/>
  <c r="D290" i="154"/>
  <c r="J290" i="154"/>
  <c r="E290" i="154"/>
  <c r="J25" i="154"/>
  <c r="L61" i="73" s="1"/>
  <c r="D302" i="154"/>
  <c r="C302" i="154"/>
  <c r="N302" i="154"/>
  <c r="G302" i="154"/>
  <c r="E302" i="154"/>
  <c r="J302" i="154"/>
  <c r="F302" i="154"/>
  <c r="L302" i="154"/>
  <c r="M302" i="154"/>
  <c r="I302" i="154"/>
  <c r="K302" i="154"/>
  <c r="H302" i="154"/>
  <c r="J19" i="154"/>
  <c r="L55" i="73" s="1"/>
  <c r="C296" i="154"/>
  <c r="G296" i="154"/>
  <c r="H296" i="154"/>
  <c r="N296" i="154"/>
  <c r="M296" i="154"/>
  <c r="J296" i="154"/>
  <c r="K296" i="154"/>
  <c r="I296" i="154"/>
  <c r="F296" i="154"/>
  <c r="E296" i="154"/>
  <c r="D296" i="154"/>
  <c r="L296" i="154"/>
  <c r="J28" i="154"/>
  <c r="L64" i="73" s="1"/>
  <c r="E305" i="154"/>
  <c r="C305" i="154"/>
  <c r="H305" i="154"/>
  <c r="D305" i="154"/>
  <c r="M305" i="154"/>
  <c r="N305" i="154"/>
  <c r="L305" i="154"/>
  <c r="K305" i="154"/>
  <c r="F305" i="154"/>
  <c r="G305" i="154"/>
  <c r="I305" i="154"/>
  <c r="J305" i="154"/>
  <c r="J29" i="154"/>
  <c r="L65" i="73" s="1"/>
  <c r="W65" i="73" s="1"/>
  <c r="L306" i="154"/>
  <c r="D306" i="154"/>
  <c r="C306" i="154"/>
  <c r="F306" i="154"/>
  <c r="K306" i="154"/>
  <c r="G306" i="154"/>
  <c r="I306" i="154"/>
  <c r="J306" i="154"/>
  <c r="E306" i="154"/>
  <c r="N306" i="154"/>
  <c r="H306" i="154"/>
  <c r="M306" i="154"/>
  <c r="K13" i="153"/>
  <c r="J346" i="153"/>
  <c r="I346" i="153"/>
  <c r="D346" i="153"/>
  <c r="K346" i="153"/>
  <c r="F346" i="153"/>
  <c r="N346" i="153"/>
  <c r="E346" i="153"/>
  <c r="M346" i="153"/>
  <c r="L346" i="153"/>
  <c r="G346" i="153"/>
  <c r="C346" i="153"/>
  <c r="H346" i="153"/>
  <c r="K29" i="153"/>
  <c r="I362" i="153"/>
  <c r="J362" i="153"/>
  <c r="N362" i="153"/>
  <c r="L362" i="153"/>
  <c r="K362" i="153"/>
  <c r="M362" i="153"/>
  <c r="F362" i="153"/>
  <c r="E362" i="153"/>
  <c r="H362" i="153"/>
  <c r="G362" i="153"/>
  <c r="C362" i="153"/>
  <c r="D362" i="153"/>
  <c r="J13" i="153"/>
  <c r="L14" i="73" s="1"/>
  <c r="C318" i="153"/>
  <c r="E318" i="153"/>
  <c r="N318" i="153"/>
  <c r="D318" i="153"/>
  <c r="L318" i="153"/>
  <c r="G318" i="153"/>
  <c r="M318" i="153"/>
  <c r="H318" i="153"/>
  <c r="K318" i="153"/>
  <c r="F318" i="153"/>
  <c r="I318" i="153"/>
  <c r="J318" i="153"/>
  <c r="J29" i="153"/>
  <c r="L30" i="73" s="1"/>
  <c r="M334" i="153"/>
  <c r="N334" i="153"/>
  <c r="D334" i="153"/>
  <c r="L334" i="153"/>
  <c r="G334" i="153"/>
  <c r="C334" i="153"/>
  <c r="K334" i="153"/>
  <c r="E334" i="153"/>
  <c r="F334" i="153"/>
  <c r="J334" i="153"/>
  <c r="H334" i="153"/>
  <c r="I334" i="153"/>
  <c r="I138" i="88"/>
  <c r="K153" i="88"/>
  <c r="M138" i="88"/>
  <c r="H153" i="88"/>
  <c r="I153" i="88"/>
  <c r="H138" i="88"/>
  <c r="G153" i="88"/>
  <c r="P140" i="88"/>
  <c r="O309" i="153"/>
  <c r="J153" i="88"/>
  <c r="L153" i="88"/>
  <c r="J138" i="88"/>
  <c r="F153" i="88"/>
  <c r="D153" i="88"/>
  <c r="D138" i="88"/>
  <c r="C153" i="88"/>
  <c r="C155" i="88" s="1"/>
  <c r="E153" i="88"/>
  <c r="I155" i="88"/>
  <c r="K138" i="88"/>
  <c r="K155" i="88" s="1"/>
  <c r="M155" i="88"/>
  <c r="N155" i="88"/>
  <c r="O135" i="88"/>
  <c r="O136" i="88"/>
  <c r="F14" i="88" s="1"/>
  <c r="F404" i="88" s="1"/>
  <c r="O137" i="88"/>
  <c r="F15" i="88" s="1"/>
  <c r="F405" i="88" s="1"/>
  <c r="E138" i="88"/>
  <c r="O142" i="88"/>
  <c r="F20" i="88" s="1"/>
  <c r="F410" i="88" s="1"/>
  <c r="O144" i="88"/>
  <c r="O146" i="88"/>
  <c r="O148" i="88"/>
  <c r="O149" i="88"/>
  <c r="F28" i="88" s="1"/>
  <c r="F418" i="88" s="1"/>
  <c r="O151" i="88"/>
  <c r="F138" i="88"/>
  <c r="L138" i="88"/>
  <c r="O141" i="88"/>
  <c r="O143" i="88"/>
  <c r="O145" i="88"/>
  <c r="O147" i="88"/>
  <c r="O150" i="88"/>
  <c r="F29" i="88" s="1"/>
  <c r="F419" i="88" s="1"/>
  <c r="O152" i="88"/>
  <c r="F31" i="88" s="1"/>
  <c r="G138" i="88"/>
  <c r="O184" i="153"/>
  <c r="O134" i="88"/>
  <c r="D218" i="154"/>
  <c r="O281" i="154"/>
  <c r="O249" i="154"/>
  <c r="O216" i="154"/>
  <c r="N251" i="154"/>
  <c r="K283" i="154"/>
  <c r="O200" i="154"/>
  <c r="O184" i="154"/>
  <c r="D283" i="154"/>
  <c r="O233" i="154"/>
  <c r="G218" i="154"/>
  <c r="C251" i="154"/>
  <c r="L283" i="154"/>
  <c r="H218" i="154"/>
  <c r="D251" i="154"/>
  <c r="L186" i="154"/>
  <c r="O249" i="153"/>
  <c r="O216" i="153"/>
  <c r="O281" i="153"/>
  <c r="D251" i="153"/>
  <c r="O265" i="153"/>
  <c r="D186" i="153"/>
  <c r="O152" i="153"/>
  <c r="D154" i="153"/>
  <c r="L186" i="153"/>
  <c r="D283" i="153"/>
  <c r="D154" i="154"/>
  <c r="I218" i="154"/>
  <c r="J218" i="154"/>
  <c r="L251" i="154"/>
  <c r="I283" i="154"/>
  <c r="D186" i="154"/>
  <c r="J283" i="154"/>
  <c r="M186" i="154"/>
  <c r="E251" i="154"/>
  <c r="N186" i="154"/>
  <c r="L218" i="154"/>
  <c r="O137" i="154"/>
  <c r="C186" i="154"/>
  <c r="O168" i="154"/>
  <c r="M283" i="154"/>
  <c r="N283" i="154"/>
  <c r="C283" i="154"/>
  <c r="N218" i="154"/>
  <c r="I251" i="154"/>
  <c r="K218" i="154"/>
  <c r="G186" i="154"/>
  <c r="J251" i="154"/>
  <c r="F283" i="154"/>
  <c r="E218" i="154"/>
  <c r="K186" i="154"/>
  <c r="F218" i="154"/>
  <c r="M251" i="154"/>
  <c r="H283" i="154"/>
  <c r="E186" i="154"/>
  <c r="G251" i="154"/>
  <c r="F186" i="154"/>
  <c r="H251" i="154"/>
  <c r="E283" i="154"/>
  <c r="I186" i="154"/>
  <c r="J186" i="154"/>
  <c r="G283" i="154"/>
  <c r="M218" i="154"/>
  <c r="H186" i="154"/>
  <c r="K251" i="154"/>
  <c r="F251" i="154"/>
  <c r="C218" i="154"/>
  <c r="O265" i="154"/>
  <c r="F154" i="154"/>
  <c r="G154" i="154"/>
  <c r="J154" i="154"/>
  <c r="K154" i="154"/>
  <c r="L154" i="154"/>
  <c r="N154" i="154"/>
  <c r="O140" i="154"/>
  <c r="H154" i="154"/>
  <c r="I154" i="154"/>
  <c r="M154" i="154"/>
  <c r="C154" i="154"/>
  <c r="E154" i="154"/>
  <c r="H283" i="153"/>
  <c r="H186" i="153"/>
  <c r="M251" i="153"/>
  <c r="I283" i="153"/>
  <c r="I186" i="153"/>
  <c r="J186" i="153"/>
  <c r="O168" i="153"/>
  <c r="L283" i="153"/>
  <c r="C311" i="153"/>
  <c r="L251" i="153"/>
  <c r="D311" i="153"/>
  <c r="D218" i="153"/>
  <c r="C218" i="153"/>
  <c r="O200" i="153"/>
  <c r="L311" i="153"/>
  <c r="E218" i="153"/>
  <c r="O293" i="153"/>
  <c r="J283" i="153"/>
  <c r="K283" i="153"/>
  <c r="F311" i="153"/>
  <c r="M186" i="153"/>
  <c r="G311" i="153"/>
  <c r="N186" i="153"/>
  <c r="M283" i="153"/>
  <c r="C186" i="153"/>
  <c r="J218" i="153"/>
  <c r="K218" i="153"/>
  <c r="G251" i="153"/>
  <c r="C283" i="153"/>
  <c r="J311" i="153"/>
  <c r="E186" i="153"/>
  <c r="L218" i="153"/>
  <c r="K311" i="153"/>
  <c r="M218" i="153"/>
  <c r="E283" i="153"/>
  <c r="G186" i="153"/>
  <c r="N218" i="153"/>
  <c r="J251" i="153"/>
  <c r="F283" i="153"/>
  <c r="M311" i="153"/>
  <c r="F218" i="153"/>
  <c r="N251" i="153"/>
  <c r="C251" i="153"/>
  <c r="H218" i="153"/>
  <c r="I218" i="153"/>
  <c r="F251" i="153"/>
  <c r="N283" i="153"/>
  <c r="H251" i="153"/>
  <c r="F186" i="153"/>
  <c r="I251" i="153"/>
  <c r="O233" i="153"/>
  <c r="K251" i="153"/>
  <c r="G283" i="153"/>
  <c r="N311" i="153"/>
  <c r="K186" i="153"/>
  <c r="E311" i="153"/>
  <c r="G218" i="153"/>
  <c r="E251" i="153"/>
  <c r="H311" i="153"/>
  <c r="I311" i="153"/>
  <c r="N154" i="153"/>
  <c r="I154" i="153"/>
  <c r="C154" i="153"/>
  <c r="J154" i="153"/>
  <c r="K154" i="153"/>
  <c r="M154" i="153"/>
  <c r="L154" i="153"/>
  <c r="E154" i="153"/>
  <c r="F154" i="153"/>
  <c r="H154" i="153"/>
  <c r="O137" i="153"/>
  <c r="G154" i="153"/>
  <c r="L18" i="168" l="1"/>
  <c r="L18" i="172"/>
  <c r="L51" i="168"/>
  <c r="R51" i="168" s="1"/>
  <c r="L51" i="172"/>
  <c r="L94" i="73"/>
  <c r="W94" i="73" s="1"/>
  <c r="W64" i="73"/>
  <c r="L88" i="73"/>
  <c r="P58" i="73"/>
  <c r="L91" i="73"/>
  <c r="W91" i="73" s="1"/>
  <c r="W61" i="73"/>
  <c r="L97" i="73"/>
  <c r="W97" i="73" s="1"/>
  <c r="W67" i="73"/>
  <c r="L68" i="73"/>
  <c r="L85" i="73"/>
  <c r="P55" i="73"/>
  <c r="L87" i="73"/>
  <c r="P57" i="73"/>
  <c r="L52" i="73"/>
  <c r="W52" i="73" s="1"/>
  <c r="W49" i="73"/>
  <c r="L95" i="73"/>
  <c r="W95" i="73" s="1"/>
  <c r="L86" i="73"/>
  <c r="P56" i="73"/>
  <c r="M18" i="168"/>
  <c r="L25" i="168"/>
  <c r="L79" i="73"/>
  <c r="L33" i="73"/>
  <c r="W30" i="73"/>
  <c r="L17" i="73"/>
  <c r="W17" i="73" s="1"/>
  <c r="W14" i="73"/>
  <c r="E303" i="156"/>
  <c r="E303" i="88"/>
  <c r="L307" i="156"/>
  <c r="L307" i="88"/>
  <c r="L291" i="88"/>
  <c r="L294" i="88" s="1"/>
  <c r="L291" i="156"/>
  <c r="L294" i="156" s="1"/>
  <c r="L293" i="154"/>
  <c r="H298" i="156"/>
  <c r="H298" i="88"/>
  <c r="G365" i="153"/>
  <c r="N303" i="156"/>
  <c r="N303" i="88"/>
  <c r="H365" i="153"/>
  <c r="J306" i="156"/>
  <c r="J306" i="88"/>
  <c r="C297" i="156"/>
  <c r="C297" i="88"/>
  <c r="C309" i="154"/>
  <c r="O296" i="154"/>
  <c r="I324" i="154" s="1"/>
  <c r="L300" i="156"/>
  <c r="L300" i="88"/>
  <c r="K309" i="156"/>
  <c r="K309" i="88"/>
  <c r="G299" i="88"/>
  <c r="G299" i="156"/>
  <c r="J298" i="156"/>
  <c r="J298" i="88"/>
  <c r="E365" i="153"/>
  <c r="L349" i="153"/>
  <c r="N307" i="88"/>
  <c r="N307" i="156"/>
  <c r="I306" i="156"/>
  <c r="I306" i="88"/>
  <c r="L297" i="156"/>
  <c r="L297" i="88"/>
  <c r="L309" i="154"/>
  <c r="J32" i="154"/>
  <c r="F95" i="90" s="1"/>
  <c r="D303" i="156"/>
  <c r="D303" i="88"/>
  <c r="N291" i="156"/>
  <c r="N294" i="156" s="1"/>
  <c r="N291" i="88"/>
  <c r="N294" i="88" s="1"/>
  <c r="N293" i="154"/>
  <c r="N300" i="156"/>
  <c r="N300" i="88"/>
  <c r="H309" i="88"/>
  <c r="H309" i="156"/>
  <c r="M299" i="156"/>
  <c r="M299" i="88"/>
  <c r="L298" i="156"/>
  <c r="L298" i="88"/>
  <c r="D365" i="153"/>
  <c r="H306" i="88"/>
  <c r="H306" i="156"/>
  <c r="D298" i="156"/>
  <c r="D298" i="88"/>
  <c r="H349" i="153"/>
  <c r="I299" i="156"/>
  <c r="I299" i="88"/>
  <c r="J300" i="156"/>
  <c r="J300" i="88"/>
  <c r="F365" i="153"/>
  <c r="E307" i="88"/>
  <c r="E307" i="156"/>
  <c r="G306" i="156"/>
  <c r="G306" i="88"/>
  <c r="D297" i="156"/>
  <c r="D297" i="88"/>
  <c r="D309" i="154"/>
  <c r="H303" i="156"/>
  <c r="H303" i="88"/>
  <c r="C291" i="156"/>
  <c r="C291" i="88"/>
  <c r="C293" i="154"/>
  <c r="O290" i="154"/>
  <c r="L318" i="154" s="1"/>
  <c r="N298" i="156"/>
  <c r="N298" i="88"/>
  <c r="M365" i="153"/>
  <c r="E349" i="153"/>
  <c r="J307" i="156"/>
  <c r="J307" i="88"/>
  <c r="F306" i="156"/>
  <c r="F306" i="88"/>
  <c r="E297" i="156"/>
  <c r="E297" i="88"/>
  <c r="E309" i="154"/>
  <c r="K303" i="88"/>
  <c r="K303" i="156"/>
  <c r="E291" i="156"/>
  <c r="E294" i="156" s="1"/>
  <c r="E291" i="88"/>
  <c r="E294" i="88" s="1"/>
  <c r="E293" i="154"/>
  <c r="C300" i="156"/>
  <c r="C300" i="88"/>
  <c r="O299" i="154"/>
  <c r="K22" i="154" s="1"/>
  <c r="J309" i="156"/>
  <c r="J309" i="88"/>
  <c r="C299" i="156"/>
  <c r="C299" i="88"/>
  <c r="O298" i="154"/>
  <c r="K21" i="154" s="1"/>
  <c r="E298" i="156"/>
  <c r="E298" i="88"/>
  <c r="K300" i="156"/>
  <c r="K300" i="88"/>
  <c r="N309" i="156"/>
  <c r="N309" i="88"/>
  <c r="M307" i="156"/>
  <c r="M307" i="88"/>
  <c r="K291" i="156"/>
  <c r="K294" i="156" s="1"/>
  <c r="K291" i="88"/>
  <c r="K294" i="88" s="1"/>
  <c r="K293" i="154"/>
  <c r="F291" i="88"/>
  <c r="F294" i="88" s="1"/>
  <c r="F291" i="156"/>
  <c r="F294" i="156" s="1"/>
  <c r="F293" i="154"/>
  <c r="M349" i="153"/>
  <c r="G309" i="88"/>
  <c r="G309" i="156"/>
  <c r="K365" i="153"/>
  <c r="N349" i="153"/>
  <c r="I307" i="156"/>
  <c r="I307" i="88"/>
  <c r="K306" i="156"/>
  <c r="K306" i="88"/>
  <c r="F297" i="88"/>
  <c r="F297" i="156"/>
  <c r="F309" i="154"/>
  <c r="I303" i="156"/>
  <c r="I303" i="88"/>
  <c r="J291" i="156"/>
  <c r="J294" i="156" s="1"/>
  <c r="J291" i="88"/>
  <c r="J294" i="88" s="1"/>
  <c r="J293" i="154"/>
  <c r="I300" i="156"/>
  <c r="I300" i="88"/>
  <c r="M309" i="156"/>
  <c r="M309" i="88"/>
  <c r="F299" i="88"/>
  <c r="F299" i="156"/>
  <c r="I298" i="88"/>
  <c r="I298" i="156"/>
  <c r="L309" i="156"/>
  <c r="L309" i="88"/>
  <c r="M300" i="156"/>
  <c r="M300" i="88"/>
  <c r="G297" i="156"/>
  <c r="G297" i="88"/>
  <c r="G309" i="154"/>
  <c r="H307" i="88"/>
  <c r="H307" i="156"/>
  <c r="L365" i="153"/>
  <c r="F349" i="153"/>
  <c r="G307" i="88"/>
  <c r="G307" i="156"/>
  <c r="L306" i="156"/>
  <c r="L306" i="88"/>
  <c r="I297" i="156"/>
  <c r="I297" i="88"/>
  <c r="I309" i="154"/>
  <c r="M303" i="156"/>
  <c r="M303" i="88"/>
  <c r="D291" i="156"/>
  <c r="D294" i="156" s="1"/>
  <c r="D291" i="88"/>
  <c r="D294" i="88" s="1"/>
  <c r="D293" i="154"/>
  <c r="D300" i="156"/>
  <c r="D300" i="88"/>
  <c r="I309" i="156"/>
  <c r="I309" i="88"/>
  <c r="H299" i="88"/>
  <c r="H299" i="156"/>
  <c r="K298" i="156"/>
  <c r="K298" i="88"/>
  <c r="D307" i="156"/>
  <c r="D307" i="88"/>
  <c r="J299" i="156"/>
  <c r="J299" i="88"/>
  <c r="G303" i="156"/>
  <c r="G303" i="88"/>
  <c r="E309" i="156"/>
  <c r="E309" i="88"/>
  <c r="G349" i="153"/>
  <c r="E300" i="156"/>
  <c r="E300" i="88"/>
  <c r="N365" i="153"/>
  <c r="K349" i="153"/>
  <c r="K307" i="156"/>
  <c r="K307" i="88"/>
  <c r="N306" i="156"/>
  <c r="N306" i="88"/>
  <c r="K297" i="156"/>
  <c r="K297" i="88"/>
  <c r="K309" i="154"/>
  <c r="L303" i="88"/>
  <c r="L303" i="156"/>
  <c r="H291" i="156"/>
  <c r="H294" i="156" s="1"/>
  <c r="H291" i="88"/>
  <c r="H294" i="88" s="1"/>
  <c r="H293" i="154"/>
  <c r="F300" i="156"/>
  <c r="F300" i="88"/>
  <c r="D309" i="88"/>
  <c r="D309" i="156"/>
  <c r="K299" i="156"/>
  <c r="K299" i="88"/>
  <c r="C298" i="156"/>
  <c r="C298" i="88"/>
  <c r="O297" i="154"/>
  <c r="K20" i="154" s="1"/>
  <c r="J349" i="153"/>
  <c r="M291" i="156"/>
  <c r="M294" i="156" s="1"/>
  <c r="M291" i="88"/>
  <c r="M294" i="88" s="1"/>
  <c r="M293" i="154"/>
  <c r="C306" i="156"/>
  <c r="C306" i="88"/>
  <c r="O305" i="154"/>
  <c r="K28" i="154" s="1"/>
  <c r="D299" i="88"/>
  <c r="D299" i="156"/>
  <c r="J365" i="153"/>
  <c r="D349" i="153"/>
  <c r="F307" i="88"/>
  <c r="F307" i="156"/>
  <c r="M306" i="156"/>
  <c r="M306" i="88"/>
  <c r="J297" i="156"/>
  <c r="J297" i="88"/>
  <c r="J309" i="154"/>
  <c r="F303" i="88"/>
  <c r="F303" i="156"/>
  <c r="G291" i="156"/>
  <c r="G294" i="156" s="1"/>
  <c r="G291" i="88"/>
  <c r="G294" i="88" s="1"/>
  <c r="G293" i="154"/>
  <c r="H300" i="88"/>
  <c r="H300" i="156"/>
  <c r="F309" i="88"/>
  <c r="F309" i="156"/>
  <c r="L299" i="156"/>
  <c r="L299" i="88"/>
  <c r="F298" i="88"/>
  <c r="F298" i="156"/>
  <c r="N297" i="156"/>
  <c r="N297" i="88"/>
  <c r="N309" i="154"/>
  <c r="H297" i="156"/>
  <c r="H297" i="88"/>
  <c r="H309" i="154"/>
  <c r="E306" i="156"/>
  <c r="E306" i="88"/>
  <c r="M298" i="156"/>
  <c r="M298" i="88"/>
  <c r="C303" i="156"/>
  <c r="C303" i="88"/>
  <c r="O302" i="154"/>
  <c r="K25" i="154" s="1"/>
  <c r="N299" i="156"/>
  <c r="N299" i="88"/>
  <c r="I365" i="153"/>
  <c r="I349" i="153"/>
  <c r="C307" i="88"/>
  <c r="C307" i="156"/>
  <c r="O306" i="154"/>
  <c r="K29" i="154" s="1"/>
  <c r="D306" i="156"/>
  <c r="D306" i="88"/>
  <c r="M297" i="156"/>
  <c r="M297" i="88"/>
  <c r="M309" i="154"/>
  <c r="J303" i="156"/>
  <c r="J303" i="88"/>
  <c r="I291" i="156"/>
  <c r="I294" i="156" s="1"/>
  <c r="I291" i="88"/>
  <c r="I294" i="88" s="1"/>
  <c r="I293" i="154"/>
  <c r="G300" i="156"/>
  <c r="G300" i="88"/>
  <c r="C309" i="156"/>
  <c r="C309" i="88"/>
  <c r="O308" i="154"/>
  <c r="K31" i="154" s="1"/>
  <c r="E299" i="156"/>
  <c r="E299" i="88"/>
  <c r="G298" i="88"/>
  <c r="G298" i="156"/>
  <c r="L337" i="153"/>
  <c r="L321" i="153"/>
  <c r="G321" i="153"/>
  <c r="D321" i="153"/>
  <c r="C349" i="153"/>
  <c r="O346" i="153"/>
  <c r="C337" i="153"/>
  <c r="O334" i="153"/>
  <c r="N390" i="153" s="1"/>
  <c r="G337" i="153"/>
  <c r="N337" i="153"/>
  <c r="N321" i="153"/>
  <c r="K321" i="153"/>
  <c r="K337" i="153"/>
  <c r="M337" i="153"/>
  <c r="E321" i="153"/>
  <c r="I337" i="153"/>
  <c r="O318" i="153"/>
  <c r="G374" i="153" s="1"/>
  <c r="C321" i="153"/>
  <c r="H321" i="153"/>
  <c r="H337" i="153"/>
  <c r="J321" i="153"/>
  <c r="D337" i="153"/>
  <c r="J337" i="153"/>
  <c r="I321" i="153"/>
  <c r="E337" i="153"/>
  <c r="M321" i="153"/>
  <c r="F337" i="153"/>
  <c r="F321" i="153"/>
  <c r="O362" i="153"/>
  <c r="C365" i="153"/>
  <c r="H155" i="88"/>
  <c r="G155" i="88"/>
  <c r="J155" i="88"/>
  <c r="L155" i="88"/>
  <c r="E155" i="88"/>
  <c r="P141" i="88"/>
  <c r="F155" i="88"/>
  <c r="D155" i="88"/>
  <c r="O283" i="154"/>
  <c r="P152" i="88"/>
  <c r="P149" i="88"/>
  <c r="P150" i="88"/>
  <c r="F21" i="88"/>
  <c r="F411" i="88" s="1"/>
  <c r="P143" i="88"/>
  <c r="O153" i="88"/>
  <c r="F19" i="88"/>
  <c r="F409" i="88" s="1"/>
  <c r="F30" i="88"/>
  <c r="F420" i="88" s="1"/>
  <c r="P151" i="88"/>
  <c r="F26" i="88"/>
  <c r="F416" i="88" s="1"/>
  <c r="P148" i="88"/>
  <c r="P135" i="88"/>
  <c r="F13" i="88"/>
  <c r="F403" i="88" s="1"/>
  <c r="O138" i="88"/>
  <c r="P138" i="88" s="1"/>
  <c r="F12" i="88"/>
  <c r="F402" i="88" s="1"/>
  <c r="P134" i="88"/>
  <c r="P137" i="88"/>
  <c r="P142" i="88"/>
  <c r="P136" i="88"/>
  <c r="F24" i="88"/>
  <c r="F414" i="88" s="1"/>
  <c r="P146" i="88"/>
  <c r="P144" i="88"/>
  <c r="F22" i="88"/>
  <c r="F412" i="88" s="1"/>
  <c r="F25" i="88"/>
  <c r="F415" i="88" s="1"/>
  <c r="P147" i="88"/>
  <c r="P145" i="88"/>
  <c r="F23" i="88"/>
  <c r="F413" i="88" s="1"/>
  <c r="O218" i="154"/>
  <c r="O186" i="154"/>
  <c r="O251" i="154"/>
  <c r="O311" i="153"/>
  <c r="O283" i="153"/>
  <c r="O251" i="153"/>
  <c r="O152" i="154"/>
  <c r="F19" i="154"/>
  <c r="F32" i="154" s="1"/>
  <c r="O218" i="153"/>
  <c r="O186" i="153"/>
  <c r="O154" i="153"/>
  <c r="L63" i="168" l="1"/>
  <c r="M51" i="168"/>
  <c r="P51" i="168"/>
  <c r="P63" i="168" s="1"/>
  <c r="L94" i="168"/>
  <c r="R94" i="168" s="1"/>
  <c r="R140" i="168" s="1"/>
  <c r="L94" i="172"/>
  <c r="P51" i="172"/>
  <c r="M51" i="172"/>
  <c r="L63" i="172"/>
  <c r="L65" i="172" s="1"/>
  <c r="L115" i="168"/>
  <c r="P115" i="168" s="1"/>
  <c r="P149" i="168" s="1"/>
  <c r="L115" i="172"/>
  <c r="L149" i="172" s="1"/>
  <c r="L99" i="168"/>
  <c r="R99" i="168" s="1"/>
  <c r="L99" i="172"/>
  <c r="L95" i="168"/>
  <c r="M95" i="168" s="1"/>
  <c r="M141" i="168" s="1"/>
  <c r="L95" i="172"/>
  <c r="L110" i="168"/>
  <c r="L148" i="168" s="1"/>
  <c r="L110" i="172"/>
  <c r="L25" i="172"/>
  <c r="M18" i="172"/>
  <c r="L96" i="168"/>
  <c r="Q96" i="168" s="1"/>
  <c r="Q142" i="168" s="1"/>
  <c r="L96" i="172"/>
  <c r="L117" i="168"/>
  <c r="M117" i="168" s="1"/>
  <c r="L117" i="172"/>
  <c r="L70" i="73"/>
  <c r="M318" i="154"/>
  <c r="M319" i="88" s="1"/>
  <c r="M322" i="88" s="1"/>
  <c r="P86" i="73"/>
  <c r="T86" i="73" s="1"/>
  <c r="V86" i="73" s="1"/>
  <c r="W86" i="73" s="1"/>
  <c r="T56" i="73"/>
  <c r="V56" i="73" s="1"/>
  <c r="W56" i="73" s="1"/>
  <c r="L82" i="73"/>
  <c r="W82" i="73" s="1"/>
  <c r="W79" i="73"/>
  <c r="R63" i="168"/>
  <c r="R18" i="168"/>
  <c r="Q55" i="168"/>
  <c r="Q39" i="168"/>
  <c r="Q50" i="168"/>
  <c r="Q49" i="168"/>
  <c r="Q61" i="168"/>
  <c r="Q62" i="168"/>
  <c r="Q44" i="168"/>
  <c r="Q40" i="168"/>
  <c r="P18" i="168"/>
  <c r="Q53" i="168"/>
  <c r="Q37" i="168"/>
  <c r="M20" i="168"/>
  <c r="Q20" i="168" s="1"/>
  <c r="Q60" i="168"/>
  <c r="Q56" i="168"/>
  <c r="Q48" i="168"/>
  <c r="Q38" i="168"/>
  <c r="M22" i="168"/>
  <c r="Q22" i="168" s="1"/>
  <c r="Q45" i="168"/>
  <c r="Q42" i="168"/>
  <c r="Q47" i="168"/>
  <c r="M21" i="168"/>
  <c r="Q21" i="168" s="1"/>
  <c r="M19" i="168"/>
  <c r="Q19" i="168" s="1"/>
  <c r="Q59" i="168"/>
  <c r="Q43" i="168"/>
  <c r="Q54" i="168"/>
  <c r="M25" i="168"/>
  <c r="P88" i="73"/>
  <c r="T88" i="73" s="1"/>
  <c r="V88" i="73" s="1"/>
  <c r="W88" i="73" s="1"/>
  <c r="T58" i="73"/>
  <c r="V58" i="73" s="1"/>
  <c r="W58" i="73" s="1"/>
  <c r="P85" i="73"/>
  <c r="P68" i="73"/>
  <c r="P70" i="73" s="1"/>
  <c r="T55" i="73"/>
  <c r="L65" i="168"/>
  <c r="L98" i="73"/>
  <c r="M110" i="168"/>
  <c r="E311" i="154"/>
  <c r="M63" i="168"/>
  <c r="P87" i="73"/>
  <c r="T87" i="73" s="1"/>
  <c r="V87" i="73" s="1"/>
  <c r="W87" i="73" s="1"/>
  <c r="T57" i="73"/>
  <c r="V57" i="73" s="1"/>
  <c r="W57" i="73" s="1"/>
  <c r="I318" i="154"/>
  <c r="I319" i="156" s="1"/>
  <c r="I322" i="156" s="1"/>
  <c r="N326" i="154"/>
  <c r="N327" i="88" s="1"/>
  <c r="K326" i="154"/>
  <c r="K327" i="88" s="1"/>
  <c r="J318" i="154"/>
  <c r="J319" i="88" s="1"/>
  <c r="J322" i="88" s="1"/>
  <c r="L35" i="73"/>
  <c r="W35" i="73" s="1"/>
  <c r="K19" i="178" s="1"/>
  <c r="W33" i="73"/>
  <c r="K318" i="154"/>
  <c r="K319" i="156" s="1"/>
  <c r="K322" i="156" s="1"/>
  <c r="D311" i="154"/>
  <c r="D318" i="154"/>
  <c r="D319" i="88" s="1"/>
  <c r="D322" i="88" s="1"/>
  <c r="E318" i="154"/>
  <c r="E319" i="88" s="1"/>
  <c r="E322" i="88" s="1"/>
  <c r="H318" i="154"/>
  <c r="H319" i="88" s="1"/>
  <c r="H322" i="88" s="1"/>
  <c r="G318" i="154"/>
  <c r="G319" i="156" s="1"/>
  <c r="G322" i="156" s="1"/>
  <c r="F326" i="154"/>
  <c r="F327" i="88" s="1"/>
  <c r="D367" i="153"/>
  <c r="H326" i="154"/>
  <c r="H327" i="156" s="1"/>
  <c r="L326" i="154"/>
  <c r="L327" i="88" s="1"/>
  <c r="M324" i="154"/>
  <c r="M325" i="88" s="1"/>
  <c r="G324" i="154"/>
  <c r="G325" i="88" s="1"/>
  <c r="F325" i="154"/>
  <c r="F326" i="156" s="1"/>
  <c r="L311" i="154"/>
  <c r="D325" i="154"/>
  <c r="D326" i="156" s="1"/>
  <c r="H327" i="154"/>
  <c r="H328" i="156" s="1"/>
  <c r="K327" i="154"/>
  <c r="K328" i="88" s="1"/>
  <c r="H374" i="153"/>
  <c r="H377" i="153" s="1"/>
  <c r="C336" i="154"/>
  <c r="C337" i="156" s="1"/>
  <c r="F327" i="154"/>
  <c r="F328" i="156" s="1"/>
  <c r="F324" i="154"/>
  <c r="F325" i="88" s="1"/>
  <c r="L327" i="154"/>
  <c r="L328" i="156" s="1"/>
  <c r="I327" i="154"/>
  <c r="I328" i="156" s="1"/>
  <c r="E325" i="154"/>
  <c r="E326" i="156" s="1"/>
  <c r="G327" i="154"/>
  <c r="G328" i="88" s="1"/>
  <c r="I311" i="154"/>
  <c r="E327" i="154"/>
  <c r="E328" i="156" s="1"/>
  <c r="I325" i="154"/>
  <c r="I326" i="156" s="1"/>
  <c r="D327" i="154"/>
  <c r="D328" i="88" s="1"/>
  <c r="J390" i="153"/>
  <c r="J393" i="153" s="1"/>
  <c r="M327" i="154"/>
  <c r="M328" i="88" s="1"/>
  <c r="I367" i="153"/>
  <c r="J324" i="154"/>
  <c r="J325" i="88" s="1"/>
  <c r="N367" i="153"/>
  <c r="G367" i="153"/>
  <c r="M334" i="154"/>
  <c r="M335" i="88" s="1"/>
  <c r="O309" i="156"/>
  <c r="K31" i="156" s="1"/>
  <c r="L325" i="154"/>
  <c r="L326" i="156" s="1"/>
  <c r="L333" i="154"/>
  <c r="L334" i="156" s="1"/>
  <c r="F311" i="154"/>
  <c r="L339" i="153"/>
  <c r="F318" i="154"/>
  <c r="F321" i="154" s="1"/>
  <c r="C327" i="154"/>
  <c r="C328" i="88" s="1"/>
  <c r="M374" i="153"/>
  <c r="M377" i="153" s="1"/>
  <c r="G311" i="154"/>
  <c r="F334" i="154"/>
  <c r="F335" i="88" s="1"/>
  <c r="K324" i="154"/>
  <c r="K325" i="156" s="1"/>
  <c r="J311" i="154"/>
  <c r="O300" i="88"/>
  <c r="K22" i="88" s="1"/>
  <c r="F333" i="154"/>
  <c r="F334" i="88" s="1"/>
  <c r="N318" i="154"/>
  <c r="N334" i="154"/>
  <c r="O309" i="88"/>
  <c r="K31" i="88" s="1"/>
  <c r="J334" i="154"/>
  <c r="J335" i="156" s="1"/>
  <c r="M326" i="154"/>
  <c r="M327" i="156" s="1"/>
  <c r="K374" i="153"/>
  <c r="K377" i="153" s="1"/>
  <c r="D326" i="154"/>
  <c r="D327" i="88" s="1"/>
  <c r="C325" i="154"/>
  <c r="C326" i="156" s="1"/>
  <c r="H311" i="154"/>
  <c r="K325" i="154"/>
  <c r="K326" i="156" s="1"/>
  <c r="G334" i="154"/>
  <c r="C326" i="154"/>
  <c r="C327" i="156" s="1"/>
  <c r="D324" i="154"/>
  <c r="D325" i="88" s="1"/>
  <c r="N339" i="153"/>
  <c r="G325" i="154"/>
  <c r="G326" i="88" s="1"/>
  <c r="H324" i="154"/>
  <c r="H325" i="156" s="1"/>
  <c r="M367" i="153"/>
  <c r="N336" i="154"/>
  <c r="N337" i="156" s="1"/>
  <c r="E326" i="154"/>
  <c r="E327" i="156" s="1"/>
  <c r="E324" i="154"/>
  <c r="E325" i="156" s="1"/>
  <c r="I333" i="154"/>
  <c r="I334" i="156" s="1"/>
  <c r="C334" i="154"/>
  <c r="M325" i="154"/>
  <c r="M326" i="156" s="1"/>
  <c r="N324" i="154"/>
  <c r="N325" i="156" s="1"/>
  <c r="L336" i="154"/>
  <c r="L337" i="156" s="1"/>
  <c r="E334" i="154"/>
  <c r="E310" i="156"/>
  <c r="E312" i="156" s="1"/>
  <c r="D336" i="154"/>
  <c r="D337" i="156" s="1"/>
  <c r="J326" i="154"/>
  <c r="J327" i="88" s="1"/>
  <c r="N311" i="154"/>
  <c r="M311" i="154"/>
  <c r="L330" i="154"/>
  <c r="G330" i="154"/>
  <c r="E310" i="88"/>
  <c r="E312" i="88" s="1"/>
  <c r="G228" i="117" s="1"/>
  <c r="G231" i="117" s="1"/>
  <c r="G230" i="117" s="1"/>
  <c r="C294" i="88"/>
  <c r="O291" i="88"/>
  <c r="L321" i="154"/>
  <c r="N330" i="154"/>
  <c r="F339" i="153"/>
  <c r="D333" i="154"/>
  <c r="O303" i="88"/>
  <c r="K25" i="88" s="1"/>
  <c r="F330" i="154"/>
  <c r="H334" i="154"/>
  <c r="K333" i="154"/>
  <c r="D330" i="154"/>
  <c r="J325" i="154"/>
  <c r="K19" i="154"/>
  <c r="L93" i="172" s="1"/>
  <c r="O309" i="154"/>
  <c r="L334" i="154"/>
  <c r="M310" i="88"/>
  <c r="M312" i="88" s="1"/>
  <c r="O228" i="117" s="1"/>
  <c r="O231" i="117" s="1"/>
  <c r="O230" i="117" s="1"/>
  <c r="O300" i="156"/>
  <c r="K22" i="156" s="1"/>
  <c r="L319" i="88"/>
  <c r="L322" i="88" s="1"/>
  <c r="H367" i="153"/>
  <c r="M310" i="156"/>
  <c r="M312" i="156" s="1"/>
  <c r="K367" i="153"/>
  <c r="L319" i="156"/>
  <c r="L322" i="156" s="1"/>
  <c r="O291" i="156"/>
  <c r="C294" i="156"/>
  <c r="F310" i="156"/>
  <c r="F312" i="156" s="1"/>
  <c r="H330" i="154"/>
  <c r="C330" i="154"/>
  <c r="F310" i="88"/>
  <c r="F312" i="88" s="1"/>
  <c r="H228" i="117" s="1"/>
  <c r="H231" i="117" s="1"/>
  <c r="H230" i="117" s="1"/>
  <c r="G390" i="153"/>
  <c r="H310" i="88"/>
  <c r="H312" i="88" s="1"/>
  <c r="J228" i="117" s="1"/>
  <c r="J231" i="117" s="1"/>
  <c r="J230" i="117" s="1"/>
  <c r="F336" i="154"/>
  <c r="J367" i="153"/>
  <c r="K310" i="156"/>
  <c r="K312" i="156" s="1"/>
  <c r="O299" i="88"/>
  <c r="K21" i="88" s="1"/>
  <c r="N325" i="154"/>
  <c r="J327" i="154"/>
  <c r="H333" i="154"/>
  <c r="H336" i="154"/>
  <c r="C324" i="154"/>
  <c r="G377" i="153"/>
  <c r="N393" i="153"/>
  <c r="N333" i="154"/>
  <c r="E336" i="154"/>
  <c r="I336" i="154"/>
  <c r="I334" i="154"/>
  <c r="O299" i="156"/>
  <c r="K21" i="156" s="1"/>
  <c r="K330" i="154"/>
  <c r="D310" i="88"/>
  <c r="D312" i="88" s="1"/>
  <c r="F228" i="117" s="1"/>
  <c r="F231" i="117" s="1"/>
  <c r="F230" i="117" s="1"/>
  <c r="G326" i="154"/>
  <c r="C310" i="88"/>
  <c r="O297" i="88"/>
  <c r="G336" i="154"/>
  <c r="K311" i="154"/>
  <c r="J336" i="154"/>
  <c r="D310" i="156"/>
  <c r="D312" i="156" s="1"/>
  <c r="L367" i="153"/>
  <c r="G310" i="156"/>
  <c r="G312" i="156" s="1"/>
  <c r="O297" i="156"/>
  <c r="C310" i="156"/>
  <c r="K310" i="88"/>
  <c r="K312" i="88" s="1"/>
  <c r="M228" i="117" s="1"/>
  <c r="M231" i="117" s="1"/>
  <c r="M230" i="117" s="1"/>
  <c r="D334" i="154"/>
  <c r="F367" i="153"/>
  <c r="I390" i="153"/>
  <c r="J330" i="154"/>
  <c r="O307" i="156"/>
  <c r="K29" i="156" s="1"/>
  <c r="J310" i="88"/>
  <c r="J312" i="88" s="1"/>
  <c r="L228" i="117" s="1"/>
  <c r="L231" i="117" s="1"/>
  <c r="L230" i="117" s="1"/>
  <c r="C333" i="154"/>
  <c r="O298" i="88"/>
  <c r="K20" i="88" s="1"/>
  <c r="I325" i="156"/>
  <c r="I325" i="88"/>
  <c r="G310" i="88"/>
  <c r="G312" i="88" s="1"/>
  <c r="I228" i="117" s="1"/>
  <c r="I231" i="117" s="1"/>
  <c r="I230" i="117" s="1"/>
  <c r="I330" i="154"/>
  <c r="K13" i="154"/>
  <c r="O293" i="154"/>
  <c r="G333" i="154"/>
  <c r="I326" i="154"/>
  <c r="N327" i="154"/>
  <c r="L324" i="154"/>
  <c r="J333" i="154"/>
  <c r="H325" i="154"/>
  <c r="E330" i="154"/>
  <c r="M330" i="154"/>
  <c r="I374" i="153"/>
  <c r="O307" i="88"/>
  <c r="K29" i="88" s="1"/>
  <c r="N310" i="88"/>
  <c r="N312" i="88" s="1"/>
  <c r="P228" i="117" s="1"/>
  <c r="P231" i="117" s="1"/>
  <c r="P230" i="117" s="1"/>
  <c r="J310" i="156"/>
  <c r="J312" i="156" s="1"/>
  <c r="O306" i="88"/>
  <c r="K28" i="88" s="1"/>
  <c r="O298" i="156"/>
  <c r="K20" i="156" s="1"/>
  <c r="K334" i="154"/>
  <c r="I310" i="88"/>
  <c r="I312" i="88" s="1"/>
  <c r="K228" i="117" s="1"/>
  <c r="K231" i="117" s="1"/>
  <c r="K230" i="117" s="1"/>
  <c r="C311" i="154"/>
  <c r="L310" i="88"/>
  <c r="L312" i="88" s="1"/>
  <c r="N228" i="117" s="1"/>
  <c r="N231" i="117" s="1"/>
  <c r="N230" i="117" s="1"/>
  <c r="K336" i="154"/>
  <c r="O303" i="156"/>
  <c r="K25" i="156" s="1"/>
  <c r="E333" i="154"/>
  <c r="N310" i="156"/>
  <c r="N312" i="156" s="1"/>
  <c r="M333" i="154"/>
  <c r="O306" i="156"/>
  <c r="K28" i="156" s="1"/>
  <c r="I310" i="156"/>
  <c r="I312" i="156" s="1"/>
  <c r="M336" i="154"/>
  <c r="C318" i="154"/>
  <c r="L310" i="156"/>
  <c r="L312" i="156" s="1"/>
  <c r="E367" i="153"/>
  <c r="H310" i="156"/>
  <c r="H312" i="156" s="1"/>
  <c r="F406" i="88"/>
  <c r="M390" i="153"/>
  <c r="K390" i="153"/>
  <c r="C367" i="153"/>
  <c r="H390" i="153"/>
  <c r="D339" i="153"/>
  <c r="C390" i="153"/>
  <c r="C393" i="153" s="1"/>
  <c r="G339" i="153"/>
  <c r="F390" i="153"/>
  <c r="M339" i="153"/>
  <c r="E390" i="153"/>
  <c r="D390" i="153"/>
  <c r="I339" i="153"/>
  <c r="M13" i="153"/>
  <c r="O349" i="153"/>
  <c r="C339" i="153"/>
  <c r="H339" i="153"/>
  <c r="L13" i="153"/>
  <c r="O321" i="153"/>
  <c r="N374" i="153"/>
  <c r="F374" i="153"/>
  <c r="E339" i="153"/>
  <c r="L374" i="153"/>
  <c r="K339" i="153"/>
  <c r="C374" i="153"/>
  <c r="M29" i="153"/>
  <c r="O365" i="153"/>
  <c r="J339" i="153"/>
  <c r="E374" i="153"/>
  <c r="D374" i="153"/>
  <c r="J374" i="153"/>
  <c r="L29" i="153"/>
  <c r="O337" i="153"/>
  <c r="L390" i="153"/>
  <c r="F32" i="88"/>
  <c r="O155" i="88"/>
  <c r="O154" i="154"/>
  <c r="P153" i="88"/>
  <c r="I321" i="154" l="1"/>
  <c r="N327" i="156"/>
  <c r="J319" i="156"/>
  <c r="J322" i="156" s="1"/>
  <c r="N127" i="178"/>
  <c r="M127" i="178"/>
  <c r="L127" i="178"/>
  <c r="K127" i="178"/>
  <c r="U51" i="168"/>
  <c r="W51" i="168" s="1"/>
  <c r="L100" i="73"/>
  <c r="L140" i="168"/>
  <c r="M94" i="168"/>
  <c r="M140" i="168" s="1"/>
  <c r="P94" i="168"/>
  <c r="P140" i="168" s="1"/>
  <c r="Q94" i="168"/>
  <c r="Q140" i="168" s="1"/>
  <c r="I319" i="88"/>
  <c r="I322" i="88" s="1"/>
  <c r="P96" i="168"/>
  <c r="P142" i="168" s="1"/>
  <c r="P99" i="168"/>
  <c r="P98" i="168" s="1"/>
  <c r="L98" i="168"/>
  <c r="L142" i="168"/>
  <c r="M96" i="168"/>
  <c r="M142" i="168" s="1"/>
  <c r="R96" i="168"/>
  <c r="R142" i="168" s="1"/>
  <c r="L141" i="168"/>
  <c r="Q95" i="168"/>
  <c r="Q141" i="168" s="1"/>
  <c r="R96" i="172"/>
  <c r="R142" i="172" s="1"/>
  <c r="Q96" i="172"/>
  <c r="Q142" i="172" s="1"/>
  <c r="L142" i="172"/>
  <c r="P96" i="172"/>
  <c r="M96" i="172"/>
  <c r="M142" i="172" s="1"/>
  <c r="K327" i="156"/>
  <c r="M321" i="154"/>
  <c r="P95" i="168"/>
  <c r="P141" i="168" s="1"/>
  <c r="L83" i="168"/>
  <c r="M83" i="168" s="1"/>
  <c r="L83" i="172"/>
  <c r="L151" i="172"/>
  <c r="M117" i="172"/>
  <c r="R95" i="168"/>
  <c r="R141" i="168" s="1"/>
  <c r="M25" i="172"/>
  <c r="Q42" i="172"/>
  <c r="Q45" i="172"/>
  <c r="Q44" i="172"/>
  <c r="P18" i="172"/>
  <c r="M22" i="172"/>
  <c r="Q22" i="172" s="1"/>
  <c r="Q62" i="172"/>
  <c r="Q54" i="172"/>
  <c r="Q40" i="172"/>
  <c r="Q55" i="172"/>
  <c r="M20" i="172"/>
  <c r="Q20" i="172" s="1"/>
  <c r="Q59" i="172"/>
  <c r="Q37" i="172"/>
  <c r="Q61" i="172"/>
  <c r="Q53" i="172"/>
  <c r="M21" i="172"/>
  <c r="Q21" i="172" s="1"/>
  <c r="Q39" i="172"/>
  <c r="Q43" i="172"/>
  <c r="Q56" i="172"/>
  <c r="Q50" i="172"/>
  <c r="Q60" i="172"/>
  <c r="M19" i="172"/>
  <c r="Q19" i="172" s="1"/>
  <c r="Q49" i="172"/>
  <c r="Q38" i="172"/>
  <c r="Q47" i="172"/>
  <c r="Q48" i="172"/>
  <c r="L51" i="170"/>
  <c r="R51" i="170" s="1"/>
  <c r="L51" i="174"/>
  <c r="L63" i="174" s="1"/>
  <c r="L18" i="170"/>
  <c r="M18" i="170" s="1"/>
  <c r="Q40" i="170" s="1"/>
  <c r="L18" i="174"/>
  <c r="M319" i="156"/>
  <c r="M322" i="156" s="1"/>
  <c r="M63" i="172"/>
  <c r="P115" i="172"/>
  <c r="P149" i="172" s="1"/>
  <c r="R115" i="172"/>
  <c r="M115" i="172"/>
  <c r="M149" i="172" s="1"/>
  <c r="L145" i="168"/>
  <c r="M115" i="168"/>
  <c r="M149" i="168" s="1"/>
  <c r="M110" i="172"/>
  <c r="L148" i="172"/>
  <c r="P63" i="172"/>
  <c r="L51" i="169"/>
  <c r="M51" i="169" s="1"/>
  <c r="L51" i="173"/>
  <c r="M99" i="168"/>
  <c r="M145" i="168" s="1"/>
  <c r="L149" i="168"/>
  <c r="R115" i="168"/>
  <c r="R149" i="168" s="1"/>
  <c r="U149" i="168" s="1"/>
  <c r="W149" i="168" s="1"/>
  <c r="L151" i="168"/>
  <c r="L140" i="172"/>
  <c r="Q94" i="172"/>
  <c r="Q140" i="172" s="1"/>
  <c r="R94" i="172"/>
  <c r="R140" i="172" s="1"/>
  <c r="P94" i="172"/>
  <c r="M94" i="172"/>
  <c r="M140" i="172" s="1"/>
  <c r="L98" i="172"/>
  <c r="R99" i="172"/>
  <c r="L145" i="172"/>
  <c r="P99" i="172"/>
  <c r="M99" i="172"/>
  <c r="L18" i="169"/>
  <c r="M18" i="169" s="1"/>
  <c r="L18" i="173"/>
  <c r="R93" i="172"/>
  <c r="L139" i="172"/>
  <c r="L138" i="172" s="1"/>
  <c r="M93" i="172"/>
  <c r="P93" i="172"/>
  <c r="Q93" i="172"/>
  <c r="L92" i="172"/>
  <c r="L122" i="172" s="1"/>
  <c r="M95" i="172"/>
  <c r="M141" i="172" s="1"/>
  <c r="R95" i="172"/>
  <c r="R141" i="172" s="1"/>
  <c r="P95" i="172"/>
  <c r="Q95" i="172"/>
  <c r="Q141" i="172" s="1"/>
  <c r="L141" i="172"/>
  <c r="M65" i="168"/>
  <c r="U63" i="168"/>
  <c r="V55" i="73"/>
  <c r="W55" i="73" s="1"/>
  <c r="T68" i="73"/>
  <c r="P98" i="73"/>
  <c r="P100" i="73" s="1"/>
  <c r="P101" i="73" s="1"/>
  <c r="T85" i="73"/>
  <c r="R25" i="168"/>
  <c r="R65" i="168" s="1"/>
  <c r="AB39" i="58" s="1"/>
  <c r="K37" i="178" s="1"/>
  <c r="K58" i="178" s="1"/>
  <c r="M148" i="168"/>
  <c r="M114" i="168"/>
  <c r="Q114" i="168" s="1"/>
  <c r="M111" i="168"/>
  <c r="Q111" i="168" s="1"/>
  <c r="M113" i="168"/>
  <c r="Q113" i="168" s="1"/>
  <c r="P110" i="168"/>
  <c r="R110" i="168"/>
  <c r="R148" i="168" s="1"/>
  <c r="M112" i="168"/>
  <c r="Q112" i="168" s="1"/>
  <c r="Q45" i="170"/>
  <c r="Q38" i="170"/>
  <c r="Q59" i="170"/>
  <c r="Q62" i="170"/>
  <c r="Q60" i="170"/>
  <c r="Q44" i="170"/>
  <c r="Q50" i="170"/>
  <c r="Q53" i="170"/>
  <c r="Q37" i="170"/>
  <c r="Q39" i="170"/>
  <c r="Q43" i="170"/>
  <c r="Q48" i="170"/>
  <c r="Q56" i="170"/>
  <c r="Q54" i="170"/>
  <c r="K32" i="154"/>
  <c r="F106" i="90" s="1"/>
  <c r="L93" i="168"/>
  <c r="Q18" i="168"/>
  <c r="J321" i="154"/>
  <c r="P25" i="168"/>
  <c r="P65" i="168" s="1"/>
  <c r="R98" i="168"/>
  <c r="R145" i="168"/>
  <c r="U99" i="168"/>
  <c r="M151" i="168"/>
  <c r="M121" i="168"/>
  <c r="Q121" i="168" s="1"/>
  <c r="M120" i="168"/>
  <c r="Q120" i="168" s="1"/>
  <c r="M119" i="168"/>
  <c r="Q119" i="168" s="1"/>
  <c r="M118" i="168"/>
  <c r="Q118" i="168" s="1"/>
  <c r="P117" i="168"/>
  <c r="R117" i="168"/>
  <c r="R151" i="168" s="1"/>
  <c r="K319" i="88"/>
  <c r="K322" i="88" s="1"/>
  <c r="K321" i="154"/>
  <c r="E321" i="154"/>
  <c r="D319" i="156"/>
  <c r="D322" i="156" s="1"/>
  <c r="H319" i="156"/>
  <c r="H322" i="156" s="1"/>
  <c r="D321" i="154"/>
  <c r="G319" i="88"/>
  <c r="G322" i="88" s="1"/>
  <c r="H321" i="154"/>
  <c r="G321" i="154"/>
  <c r="E319" i="156"/>
  <c r="E322" i="156" s="1"/>
  <c r="M325" i="156"/>
  <c r="F327" i="156"/>
  <c r="M335" i="156"/>
  <c r="G325" i="156"/>
  <c r="L327" i="156"/>
  <c r="H327" i="88"/>
  <c r="G328" i="156"/>
  <c r="F326" i="88"/>
  <c r="K328" i="156"/>
  <c r="K325" i="88"/>
  <c r="E325" i="88"/>
  <c r="D328" i="156"/>
  <c r="M326" i="88"/>
  <c r="L233" i="117"/>
  <c r="L248" i="117" s="1"/>
  <c r="J233" i="117"/>
  <c r="J248" i="117" s="1"/>
  <c r="N233" i="117"/>
  <c r="N248" i="117" s="1"/>
  <c r="I326" i="88"/>
  <c r="H233" i="117"/>
  <c r="H248" i="117" s="1"/>
  <c r="P233" i="117"/>
  <c r="P248" i="117" s="1"/>
  <c r="P249" i="117" s="1"/>
  <c r="K233" i="117"/>
  <c r="K248" i="117" s="1"/>
  <c r="I233" i="117"/>
  <c r="I248" i="117" s="1"/>
  <c r="F233" i="117"/>
  <c r="F248" i="117" s="1"/>
  <c r="O233" i="117"/>
  <c r="O248" i="117" s="1"/>
  <c r="M233" i="117"/>
  <c r="M248" i="117" s="1"/>
  <c r="G233" i="117"/>
  <c r="G248" i="117" s="1"/>
  <c r="M328" i="156"/>
  <c r="D325" i="156"/>
  <c r="D337" i="88"/>
  <c r="D326" i="88"/>
  <c r="D327" i="156"/>
  <c r="H328" i="88"/>
  <c r="N337" i="88"/>
  <c r="E327" i="88"/>
  <c r="J327" i="156"/>
  <c r="F319" i="88"/>
  <c r="F322" i="88" s="1"/>
  <c r="I328" i="88"/>
  <c r="J325" i="156"/>
  <c r="F328" i="88"/>
  <c r="F325" i="156"/>
  <c r="C312" i="88"/>
  <c r="E228" i="117" s="1"/>
  <c r="E231" i="117" s="1"/>
  <c r="E230" i="117" s="1"/>
  <c r="L334" i="88"/>
  <c r="C337" i="88"/>
  <c r="I334" i="88"/>
  <c r="L328" i="88"/>
  <c r="E328" i="88"/>
  <c r="C326" i="88"/>
  <c r="F335" i="156"/>
  <c r="E326" i="88"/>
  <c r="H325" i="88"/>
  <c r="M327" i="88"/>
  <c r="C327" i="88"/>
  <c r="F334" i="156"/>
  <c r="G337" i="154"/>
  <c r="N337" i="154"/>
  <c r="L326" i="88"/>
  <c r="C328" i="156"/>
  <c r="F319" i="156"/>
  <c r="F322" i="156" s="1"/>
  <c r="E335" i="156"/>
  <c r="E335" i="88"/>
  <c r="N325" i="88"/>
  <c r="K326" i="88"/>
  <c r="G326" i="156"/>
  <c r="L337" i="88"/>
  <c r="N335" i="88"/>
  <c r="N335" i="156"/>
  <c r="O326" i="154"/>
  <c r="K354" i="154" s="1"/>
  <c r="C335" i="156"/>
  <c r="C335" i="88"/>
  <c r="O334" i="154"/>
  <c r="F362" i="154" s="1"/>
  <c r="N319" i="88"/>
  <c r="N322" i="88" s="1"/>
  <c r="N319" i="156"/>
  <c r="N322" i="156" s="1"/>
  <c r="J335" i="88"/>
  <c r="N321" i="154"/>
  <c r="G335" i="88"/>
  <c r="G335" i="156"/>
  <c r="O339" i="153"/>
  <c r="I337" i="154"/>
  <c r="I339" i="154" s="1"/>
  <c r="C312" i="156"/>
  <c r="D337" i="154"/>
  <c r="I335" i="156"/>
  <c r="I335" i="88"/>
  <c r="H326" i="88"/>
  <c r="H326" i="156"/>
  <c r="K393" i="153"/>
  <c r="K395" i="153" s="1"/>
  <c r="D331" i="88"/>
  <c r="D331" i="156"/>
  <c r="F331" i="88"/>
  <c r="F331" i="156"/>
  <c r="F377" i="153"/>
  <c r="M393" i="153"/>
  <c r="M395" i="153" s="1"/>
  <c r="M334" i="156"/>
  <c r="M334" i="88"/>
  <c r="L325" i="156"/>
  <c r="L325" i="88"/>
  <c r="L337" i="154"/>
  <c r="L339" i="154" s="1"/>
  <c r="N334" i="156"/>
  <c r="N334" i="88"/>
  <c r="L377" i="153"/>
  <c r="J334" i="156"/>
  <c r="J334" i="88"/>
  <c r="E331" i="88"/>
  <c r="E331" i="156"/>
  <c r="I337" i="156"/>
  <c r="I337" i="88"/>
  <c r="J337" i="156"/>
  <c r="J337" i="88"/>
  <c r="J377" i="153"/>
  <c r="J395" i="153" s="1"/>
  <c r="D393" i="153"/>
  <c r="E334" i="156"/>
  <c r="E334" i="88"/>
  <c r="K337" i="156"/>
  <c r="K337" i="88"/>
  <c r="I327" i="156"/>
  <c r="I327" i="88"/>
  <c r="K19" i="88"/>
  <c r="O310" i="88"/>
  <c r="K334" i="156"/>
  <c r="K334" i="88"/>
  <c r="H393" i="153"/>
  <c r="H395" i="153" s="1"/>
  <c r="M337" i="88"/>
  <c r="M337" i="156"/>
  <c r="E337" i="156"/>
  <c r="E337" i="88"/>
  <c r="N328" i="156"/>
  <c r="N328" i="88"/>
  <c r="N326" i="156"/>
  <c r="N326" i="88"/>
  <c r="D377" i="153"/>
  <c r="E393" i="153"/>
  <c r="O336" i="154"/>
  <c r="H364" i="154" s="1"/>
  <c r="G334" i="88"/>
  <c r="G334" i="156"/>
  <c r="H335" i="88"/>
  <c r="H335" i="156"/>
  <c r="I393" i="153"/>
  <c r="F337" i="88"/>
  <c r="F337" i="156"/>
  <c r="J326" i="156"/>
  <c r="J326" i="88"/>
  <c r="M331" i="156"/>
  <c r="M331" i="88"/>
  <c r="O311" i="154"/>
  <c r="G327" i="88"/>
  <c r="G327" i="156"/>
  <c r="M337" i="154"/>
  <c r="I331" i="156"/>
  <c r="I331" i="88"/>
  <c r="K19" i="156"/>
  <c r="K32" i="156" s="1"/>
  <c r="O310" i="156"/>
  <c r="D335" i="88"/>
  <c r="D335" i="156"/>
  <c r="I377" i="153"/>
  <c r="H337" i="154"/>
  <c r="C325" i="88"/>
  <c r="C325" i="156"/>
  <c r="C337" i="154"/>
  <c r="O324" i="154"/>
  <c r="K13" i="156"/>
  <c r="K16" i="156" s="1"/>
  <c r="O294" i="156"/>
  <c r="G331" i="88"/>
  <c r="G331" i="156"/>
  <c r="J328" i="156"/>
  <c r="J328" i="88"/>
  <c r="O327" i="154"/>
  <c r="N355" i="154" s="1"/>
  <c r="L393" i="153"/>
  <c r="K335" i="156"/>
  <c r="K335" i="88"/>
  <c r="J337" i="154"/>
  <c r="N377" i="153"/>
  <c r="N395" i="153" s="1"/>
  <c r="G393" i="153"/>
  <c r="G395" i="153" s="1"/>
  <c r="F393" i="153"/>
  <c r="E337" i="154"/>
  <c r="O325" i="154"/>
  <c r="H353" i="154" s="1"/>
  <c r="C334" i="156"/>
  <c r="C334" i="88"/>
  <c r="O333" i="154"/>
  <c r="D361" i="154" s="1"/>
  <c r="G337" i="88"/>
  <c r="G337" i="156"/>
  <c r="K331" i="156"/>
  <c r="K331" i="88"/>
  <c r="H337" i="156"/>
  <c r="H337" i="88"/>
  <c r="C331" i="88"/>
  <c r="C331" i="156"/>
  <c r="O330" i="154"/>
  <c r="L25" i="154" s="1"/>
  <c r="F337" i="154"/>
  <c r="F339" i="154" s="1"/>
  <c r="N331" i="156"/>
  <c r="N331" i="88"/>
  <c r="K13" i="88"/>
  <c r="O294" i="88"/>
  <c r="L331" i="156"/>
  <c r="L331" i="88"/>
  <c r="D334" i="88"/>
  <c r="D334" i="156"/>
  <c r="E377" i="153"/>
  <c r="C321" i="154"/>
  <c r="O318" i="154"/>
  <c r="C319" i="88"/>
  <c r="C319" i="156"/>
  <c r="J331" i="156"/>
  <c r="J331" i="88"/>
  <c r="H334" i="156"/>
  <c r="H334" i="88"/>
  <c r="H331" i="156"/>
  <c r="H331" i="88"/>
  <c r="L335" i="156"/>
  <c r="L335" i="88"/>
  <c r="K337" i="154"/>
  <c r="O390" i="153"/>
  <c r="N29" i="153" s="1"/>
  <c r="O367" i="153"/>
  <c r="O374" i="153"/>
  <c r="C377" i="153"/>
  <c r="C395" i="153" s="1"/>
  <c r="C26" i="88"/>
  <c r="C416" i="88" s="1"/>
  <c r="N121" i="88"/>
  <c r="M121" i="88"/>
  <c r="L121" i="88"/>
  <c r="K121" i="88"/>
  <c r="J121" i="88"/>
  <c r="I121" i="88"/>
  <c r="H121" i="88"/>
  <c r="G121" i="88"/>
  <c r="F121" i="88"/>
  <c r="E121" i="88"/>
  <c r="D121" i="88"/>
  <c r="C121" i="88"/>
  <c r="N120" i="88"/>
  <c r="M120" i="88"/>
  <c r="L120" i="88"/>
  <c r="K120" i="88"/>
  <c r="J120" i="88"/>
  <c r="I120" i="88"/>
  <c r="H120" i="88"/>
  <c r="G120" i="88"/>
  <c r="F120" i="88"/>
  <c r="E120" i="88"/>
  <c r="D120" i="88"/>
  <c r="C120" i="88"/>
  <c r="N119" i="88"/>
  <c r="M119" i="88"/>
  <c r="L119" i="88"/>
  <c r="K119" i="88"/>
  <c r="J119" i="88"/>
  <c r="I119" i="88"/>
  <c r="H119" i="88"/>
  <c r="G119" i="88"/>
  <c r="F119" i="88"/>
  <c r="E119" i="88"/>
  <c r="D119" i="88"/>
  <c r="C119" i="88"/>
  <c r="N118" i="88"/>
  <c r="M118" i="88"/>
  <c r="L118" i="88"/>
  <c r="K118" i="88"/>
  <c r="J118" i="88"/>
  <c r="I118" i="88"/>
  <c r="H118" i="88"/>
  <c r="G118" i="88"/>
  <c r="F118" i="88"/>
  <c r="E118" i="88"/>
  <c r="D118" i="88"/>
  <c r="C118" i="88"/>
  <c r="N117" i="88"/>
  <c r="M117" i="88"/>
  <c r="L117" i="88"/>
  <c r="K117" i="88"/>
  <c r="J117" i="88"/>
  <c r="I117" i="88"/>
  <c r="H117" i="88"/>
  <c r="G117" i="88"/>
  <c r="F117" i="88"/>
  <c r="E117" i="88"/>
  <c r="D117" i="88"/>
  <c r="C117" i="88"/>
  <c r="N116" i="88"/>
  <c r="M116" i="88"/>
  <c r="L116" i="88"/>
  <c r="K116" i="88"/>
  <c r="J116" i="88"/>
  <c r="I116" i="88"/>
  <c r="H116" i="88"/>
  <c r="G116" i="88"/>
  <c r="F116" i="88"/>
  <c r="E116" i="88"/>
  <c r="D116" i="88"/>
  <c r="C116" i="88"/>
  <c r="N115" i="88"/>
  <c r="M115" i="88"/>
  <c r="L115" i="88"/>
  <c r="K115" i="88"/>
  <c r="J115" i="88"/>
  <c r="I115" i="88"/>
  <c r="H115" i="88"/>
  <c r="G115" i="88"/>
  <c r="F115" i="88"/>
  <c r="E115" i="88"/>
  <c r="D115" i="88"/>
  <c r="C115" i="88"/>
  <c r="N114" i="88"/>
  <c r="M114" i="88"/>
  <c r="L114" i="88"/>
  <c r="K114" i="88"/>
  <c r="J114" i="88"/>
  <c r="I114" i="88"/>
  <c r="H114" i="88"/>
  <c r="G114" i="88"/>
  <c r="F114" i="88"/>
  <c r="E114" i="88"/>
  <c r="D114" i="88"/>
  <c r="C114" i="88"/>
  <c r="N113" i="88"/>
  <c r="M113" i="88"/>
  <c r="L113" i="88"/>
  <c r="K113" i="88"/>
  <c r="J113" i="88"/>
  <c r="I113" i="88"/>
  <c r="H113" i="88"/>
  <c r="G113" i="88"/>
  <c r="F113" i="88"/>
  <c r="E113" i="88"/>
  <c r="D113" i="88"/>
  <c r="C113" i="88"/>
  <c r="N112" i="88"/>
  <c r="M112" i="88"/>
  <c r="L112" i="88"/>
  <c r="K112" i="88"/>
  <c r="J112" i="88"/>
  <c r="I112" i="88"/>
  <c r="H112" i="88"/>
  <c r="G112" i="88"/>
  <c r="F112" i="88"/>
  <c r="E112" i="88"/>
  <c r="D112" i="88"/>
  <c r="C112" i="88"/>
  <c r="N111" i="88"/>
  <c r="M111" i="88"/>
  <c r="L111" i="88"/>
  <c r="K111" i="88"/>
  <c r="J111" i="88"/>
  <c r="I111" i="88"/>
  <c r="H111" i="88"/>
  <c r="G111" i="88"/>
  <c r="F111" i="88"/>
  <c r="E111" i="88"/>
  <c r="D111" i="88"/>
  <c r="C111" i="88"/>
  <c r="N107" i="88"/>
  <c r="M107" i="88"/>
  <c r="L107" i="88"/>
  <c r="K107" i="88"/>
  <c r="J107" i="88"/>
  <c r="I107" i="88"/>
  <c r="H107" i="88"/>
  <c r="G107" i="88"/>
  <c r="F107" i="88"/>
  <c r="E107" i="88"/>
  <c r="D107" i="88"/>
  <c r="C107" i="88"/>
  <c r="N106" i="88"/>
  <c r="M106" i="88"/>
  <c r="L106" i="88"/>
  <c r="K106" i="88"/>
  <c r="J106" i="88"/>
  <c r="I106" i="88"/>
  <c r="H106" i="88"/>
  <c r="G106" i="88"/>
  <c r="F106" i="88"/>
  <c r="E106" i="88"/>
  <c r="D106" i="88"/>
  <c r="C106" i="88"/>
  <c r="N105" i="88"/>
  <c r="M105" i="88"/>
  <c r="L105" i="88"/>
  <c r="K105" i="88"/>
  <c r="J105" i="88"/>
  <c r="I105" i="88"/>
  <c r="H105" i="88"/>
  <c r="G105" i="88"/>
  <c r="F105" i="88"/>
  <c r="E105" i="88"/>
  <c r="D105" i="88"/>
  <c r="C105" i="88"/>
  <c r="N104" i="88"/>
  <c r="M104" i="88"/>
  <c r="L104" i="88"/>
  <c r="K104" i="88"/>
  <c r="J104" i="88"/>
  <c r="I104" i="88"/>
  <c r="H104" i="88"/>
  <c r="G104" i="88"/>
  <c r="F104" i="88"/>
  <c r="E104" i="88"/>
  <c r="D104" i="88"/>
  <c r="C104" i="88"/>
  <c r="E26" i="154"/>
  <c r="O116" i="154"/>
  <c r="E25" i="154" s="1"/>
  <c r="O116" i="153"/>
  <c r="E25" i="153" s="1"/>
  <c r="N121" i="153"/>
  <c r="M121" i="153"/>
  <c r="L121" i="153"/>
  <c r="K121" i="153"/>
  <c r="J121" i="153"/>
  <c r="I121" i="153"/>
  <c r="H121" i="153"/>
  <c r="G121" i="153"/>
  <c r="F121" i="153"/>
  <c r="E121" i="153"/>
  <c r="D121" i="153"/>
  <c r="C121" i="153"/>
  <c r="N107" i="153"/>
  <c r="M107" i="153"/>
  <c r="L107" i="153"/>
  <c r="K107" i="153"/>
  <c r="J107" i="153"/>
  <c r="I107" i="153"/>
  <c r="H107" i="153"/>
  <c r="G107" i="153"/>
  <c r="F107" i="153"/>
  <c r="E107" i="153"/>
  <c r="D107" i="153"/>
  <c r="C107" i="153"/>
  <c r="K32" i="88" l="1"/>
  <c r="M19" i="170"/>
  <c r="Q19" i="170" s="1"/>
  <c r="U94" i="168"/>
  <c r="W94" i="168" s="1"/>
  <c r="X94" i="168" s="1"/>
  <c r="D96" i="164"/>
  <c r="E414" i="154"/>
  <c r="D97" i="164"/>
  <c r="E415" i="154"/>
  <c r="O118" i="88"/>
  <c r="P145" i="168"/>
  <c r="U145" i="168" s="1"/>
  <c r="W145" i="168" s="1"/>
  <c r="X145" i="168" s="1"/>
  <c r="U140" i="168"/>
  <c r="W140" i="168" s="1"/>
  <c r="X140" i="168" s="1"/>
  <c r="L25" i="170"/>
  <c r="R51" i="169"/>
  <c r="R63" i="169" s="1"/>
  <c r="P51" i="169"/>
  <c r="P63" i="169" s="1"/>
  <c r="X149" i="168"/>
  <c r="L63" i="169"/>
  <c r="M25" i="170"/>
  <c r="R18" i="170"/>
  <c r="M20" i="170"/>
  <c r="Q20" i="170" s="1"/>
  <c r="Q49" i="170"/>
  <c r="Q47" i="170"/>
  <c r="Q42" i="170"/>
  <c r="P18" i="170"/>
  <c r="P25" i="170" s="1"/>
  <c r="M21" i="170"/>
  <c r="Q21" i="170" s="1"/>
  <c r="Q61" i="170"/>
  <c r="Q55" i="170"/>
  <c r="M22" i="170"/>
  <c r="Q22" i="170" s="1"/>
  <c r="U142" i="168"/>
  <c r="W142" i="168" s="1"/>
  <c r="X142" i="168" s="1"/>
  <c r="U96" i="168"/>
  <c r="W96" i="168" s="1"/>
  <c r="X96" i="168" s="1"/>
  <c r="L133" i="168"/>
  <c r="L136" i="168" s="1"/>
  <c r="L90" i="168"/>
  <c r="Q117" i="168"/>
  <c r="Q151" i="168" s="1"/>
  <c r="M51" i="170"/>
  <c r="L63" i="170" s="1"/>
  <c r="L152" i="172"/>
  <c r="P51" i="170"/>
  <c r="P63" i="170" s="1"/>
  <c r="M65" i="172"/>
  <c r="U141" i="168"/>
  <c r="W141" i="168" s="1"/>
  <c r="X141" i="168" s="1"/>
  <c r="P51" i="174"/>
  <c r="M51" i="174"/>
  <c r="M113" i="172"/>
  <c r="Q113" i="172" s="1"/>
  <c r="R110" i="172"/>
  <c r="R148" i="172" s="1"/>
  <c r="P110" i="172"/>
  <c r="M148" i="172"/>
  <c r="M112" i="172"/>
  <c r="Q112" i="172" s="1"/>
  <c r="M111" i="172"/>
  <c r="Q111" i="172" s="1"/>
  <c r="M114" i="172"/>
  <c r="Q114" i="172" s="1"/>
  <c r="K48" i="107"/>
  <c r="K49" i="107" s="1"/>
  <c r="K53" i="107" s="1"/>
  <c r="K249" i="117"/>
  <c r="M98" i="172"/>
  <c r="M145" i="172"/>
  <c r="U115" i="172"/>
  <c r="W115" i="172" s="1"/>
  <c r="X115" i="172" s="1"/>
  <c r="P142" i="172"/>
  <c r="U142" i="172" s="1"/>
  <c r="W142" i="172" s="1"/>
  <c r="X142" i="172" s="1"/>
  <c r="U96" i="172"/>
  <c r="W96" i="172" s="1"/>
  <c r="X96" i="172" s="1"/>
  <c r="N48" i="107"/>
  <c r="N49" i="107" s="1"/>
  <c r="N53" i="107" s="1"/>
  <c r="N249" i="117"/>
  <c r="J48" i="107"/>
  <c r="J49" i="107" s="1"/>
  <c r="J53" i="107" s="1"/>
  <c r="J249" i="117"/>
  <c r="R139" i="172"/>
  <c r="R92" i="172"/>
  <c r="P145" i="172"/>
  <c r="U99" i="172"/>
  <c r="P98" i="172"/>
  <c r="Q18" i="172"/>
  <c r="M339" i="154"/>
  <c r="G48" i="107"/>
  <c r="G49" i="107" s="1"/>
  <c r="G53" i="107" s="1"/>
  <c r="G249" i="117"/>
  <c r="L25" i="169"/>
  <c r="L65" i="169" s="1"/>
  <c r="M51" i="173"/>
  <c r="P51" i="173"/>
  <c r="L63" i="173"/>
  <c r="M151" i="172"/>
  <c r="R117" i="172"/>
  <c r="R151" i="172" s="1"/>
  <c r="P117" i="172"/>
  <c r="M118" i="172"/>
  <c r="Q118" i="172" s="1"/>
  <c r="M120" i="172"/>
  <c r="Q120" i="172" s="1"/>
  <c r="M121" i="172"/>
  <c r="Q121" i="172" s="1"/>
  <c r="M119" i="172"/>
  <c r="Q119" i="172" s="1"/>
  <c r="M92" i="172"/>
  <c r="M122" i="172" s="1"/>
  <c r="M139" i="172"/>
  <c r="M138" i="172" s="1"/>
  <c r="L51" i="171"/>
  <c r="M51" i="171" s="1"/>
  <c r="L51" i="175"/>
  <c r="M98" i="168"/>
  <c r="R98" i="172"/>
  <c r="R145" i="172"/>
  <c r="M18" i="173"/>
  <c r="L25" i="173"/>
  <c r="H48" i="107"/>
  <c r="H49" i="107" s="1"/>
  <c r="H53" i="107" s="1"/>
  <c r="H249" i="117"/>
  <c r="U115" i="168"/>
  <c r="W115" i="168" s="1"/>
  <c r="X115" i="168" s="1"/>
  <c r="M83" i="172"/>
  <c r="L90" i="172"/>
  <c r="L124" i="172" s="1"/>
  <c r="L133" i="172"/>
  <c r="L136" i="172" s="1"/>
  <c r="F48" i="107"/>
  <c r="F49" i="107" s="1"/>
  <c r="F53" i="107" s="1"/>
  <c r="F249" i="117"/>
  <c r="L99" i="169"/>
  <c r="M99" i="169" s="1"/>
  <c r="L99" i="173"/>
  <c r="M48" i="107"/>
  <c r="M49" i="107" s="1"/>
  <c r="M53" i="107" s="1"/>
  <c r="M249" i="117"/>
  <c r="Q139" i="172"/>
  <c r="Q92" i="172"/>
  <c r="M18" i="174"/>
  <c r="U95" i="168"/>
  <c r="W95" i="168" s="1"/>
  <c r="X95" i="168" s="1"/>
  <c r="I48" i="107"/>
  <c r="I49" i="107" s="1"/>
  <c r="I53" i="107" s="1"/>
  <c r="I249" i="117"/>
  <c r="L48" i="107"/>
  <c r="L49" i="107" s="1"/>
  <c r="L53" i="107" s="1"/>
  <c r="L249" i="117"/>
  <c r="P141" i="172"/>
  <c r="U141" i="172" s="1"/>
  <c r="W141" i="172" s="1"/>
  <c r="X141" i="172" s="1"/>
  <c r="U95" i="172"/>
  <c r="W95" i="172" s="1"/>
  <c r="X95" i="172" s="1"/>
  <c r="O48" i="107"/>
  <c r="O49" i="107" s="1"/>
  <c r="O53" i="107" s="1"/>
  <c r="O249" i="117"/>
  <c r="U93" i="172"/>
  <c r="P92" i="172"/>
  <c r="P139" i="172"/>
  <c r="P140" i="172"/>
  <c r="U140" i="172" s="1"/>
  <c r="W140" i="172" s="1"/>
  <c r="X140" i="172" s="1"/>
  <c r="U94" i="172"/>
  <c r="W94" i="172" s="1"/>
  <c r="X94" i="172" s="1"/>
  <c r="P25" i="172"/>
  <c r="P65" i="172" s="1"/>
  <c r="K339" i="154"/>
  <c r="E339" i="154"/>
  <c r="R25" i="170"/>
  <c r="P151" i="168"/>
  <c r="U18" i="168"/>
  <c r="Q25" i="168"/>
  <c r="Q65" i="168" s="1"/>
  <c r="R83" i="168"/>
  <c r="M87" i="168"/>
  <c r="Q87" i="168" s="1"/>
  <c r="M86" i="168"/>
  <c r="Q86" i="168" s="1"/>
  <c r="P83" i="168"/>
  <c r="M85" i="168"/>
  <c r="Q85" i="168" s="1"/>
  <c r="M84" i="168"/>
  <c r="Q84" i="168" s="1"/>
  <c r="M133" i="168"/>
  <c r="W99" i="168"/>
  <c r="U98" i="168"/>
  <c r="M63" i="169"/>
  <c r="P148" i="168"/>
  <c r="V68" i="73"/>
  <c r="T70" i="73"/>
  <c r="J339" i="154"/>
  <c r="P93" i="168"/>
  <c r="L92" i="168"/>
  <c r="L122" i="168" s="1"/>
  <c r="Q93" i="168"/>
  <c r="R93" i="168"/>
  <c r="M93" i="168"/>
  <c r="L139" i="168"/>
  <c r="L152" i="168" s="1"/>
  <c r="L154" i="168" s="1"/>
  <c r="X51" i="168"/>
  <c r="D41" i="106" s="1"/>
  <c r="W63" i="168"/>
  <c r="D339" i="154"/>
  <c r="R63" i="170"/>
  <c r="P18" i="169"/>
  <c r="M22" i="169"/>
  <c r="Q22" i="169" s="1"/>
  <c r="Q61" i="169"/>
  <c r="M21" i="169"/>
  <c r="Q21" i="169" s="1"/>
  <c r="M19" i="169"/>
  <c r="Q19" i="169" s="1"/>
  <c r="Q43" i="169"/>
  <c r="M20" i="169"/>
  <c r="Q20" i="169" s="1"/>
  <c r="Q50" i="169"/>
  <c r="Q48" i="169"/>
  <c r="Q49" i="169"/>
  <c r="Q53" i="169"/>
  <c r="Q62" i="169"/>
  <c r="Q39" i="169"/>
  <c r="Q47" i="169"/>
  <c r="Q56" i="169"/>
  <c r="Q40" i="169"/>
  <c r="Q54" i="169"/>
  <c r="Q60" i="169"/>
  <c r="Q59" i="169"/>
  <c r="Q37" i="169"/>
  <c r="Q45" i="169"/>
  <c r="Q44" i="169"/>
  <c r="R18" i="169"/>
  <c r="Q42" i="169"/>
  <c r="Q55" i="169"/>
  <c r="Q38" i="169"/>
  <c r="M25" i="169"/>
  <c r="Q110" i="168"/>
  <c r="Q148" i="168" s="1"/>
  <c r="T98" i="73"/>
  <c r="V85" i="73"/>
  <c r="W85" i="73" s="1"/>
  <c r="H339" i="154"/>
  <c r="G339" i="154"/>
  <c r="Q228" i="117"/>
  <c r="O393" i="153"/>
  <c r="N339" i="154"/>
  <c r="O327" i="88"/>
  <c r="L21" i="88" s="1"/>
  <c r="K17" i="121"/>
  <c r="L53" i="122"/>
  <c r="L52" i="122" s="1"/>
  <c r="F338" i="88"/>
  <c r="F340" i="88" s="1"/>
  <c r="H257" i="117" s="1"/>
  <c r="H260" i="117" s="1"/>
  <c r="H259" i="117" s="1"/>
  <c r="K338" i="88"/>
  <c r="K340" i="88" s="1"/>
  <c r="M257" i="117" s="1"/>
  <c r="M260" i="117" s="1"/>
  <c r="M259" i="117" s="1"/>
  <c r="D395" i="153"/>
  <c r="M338" i="88"/>
  <c r="M340" i="88" s="1"/>
  <c r="O257" i="117" s="1"/>
  <c r="O260" i="117" s="1"/>
  <c r="O259" i="117" s="1"/>
  <c r="E338" i="156"/>
  <c r="E340" i="156" s="1"/>
  <c r="E362" i="154"/>
  <c r="E363" i="156" s="1"/>
  <c r="G362" i="154"/>
  <c r="G363" i="156" s="1"/>
  <c r="J364" i="154"/>
  <c r="J365" i="156" s="1"/>
  <c r="M362" i="154"/>
  <c r="M363" i="88" s="1"/>
  <c r="K338" i="156"/>
  <c r="K340" i="156" s="1"/>
  <c r="F364" i="154"/>
  <c r="F365" i="156" s="1"/>
  <c r="C362" i="154"/>
  <c r="C363" i="156" s="1"/>
  <c r="K362" i="154"/>
  <c r="K363" i="88" s="1"/>
  <c r="I338" i="88"/>
  <c r="I340" i="88" s="1"/>
  <c r="K257" i="117" s="1"/>
  <c r="K260" i="117" s="1"/>
  <c r="K259" i="117" s="1"/>
  <c r="L29" i="154"/>
  <c r="K364" i="154"/>
  <c r="K365" i="88" s="1"/>
  <c r="E338" i="88"/>
  <c r="E340" i="88" s="1"/>
  <c r="G257" i="117" s="1"/>
  <c r="G260" i="117" s="1"/>
  <c r="G259" i="117" s="1"/>
  <c r="D354" i="154"/>
  <c r="D355" i="88" s="1"/>
  <c r="O328" i="88"/>
  <c r="L22" i="88" s="1"/>
  <c r="H362" i="154"/>
  <c r="H363" i="88" s="1"/>
  <c r="F395" i="153"/>
  <c r="C354" i="154"/>
  <c r="C355" i="156" s="1"/>
  <c r="O335" i="156"/>
  <c r="L29" i="156" s="1"/>
  <c r="F338" i="156"/>
  <c r="F340" i="156" s="1"/>
  <c r="L354" i="154"/>
  <c r="L355" i="88" s="1"/>
  <c r="N358" i="154"/>
  <c r="N359" i="156" s="1"/>
  <c r="L362" i="154"/>
  <c r="E395" i="153"/>
  <c r="L358" i="154"/>
  <c r="L359" i="88" s="1"/>
  <c r="D338" i="88"/>
  <c r="D340" i="88" s="1"/>
  <c r="F257" i="117" s="1"/>
  <c r="F260" i="117" s="1"/>
  <c r="F259" i="117" s="1"/>
  <c r="H354" i="154"/>
  <c r="H355" i="156" s="1"/>
  <c r="I338" i="156"/>
  <c r="I340" i="156" s="1"/>
  <c r="J358" i="154"/>
  <c r="J359" i="88" s="1"/>
  <c r="D362" i="154"/>
  <c r="D363" i="88" s="1"/>
  <c r="N362" i="154"/>
  <c r="N363" i="156" s="1"/>
  <c r="O337" i="156"/>
  <c r="L31" i="156" s="1"/>
  <c r="M354" i="154"/>
  <c r="M355" i="156" s="1"/>
  <c r="N338" i="88"/>
  <c r="N340" i="88" s="1"/>
  <c r="P257" i="117" s="1"/>
  <c r="P260" i="117" s="1"/>
  <c r="P259" i="117" s="1"/>
  <c r="E354" i="154"/>
  <c r="E355" i="156" s="1"/>
  <c r="K358" i="154"/>
  <c r="K359" i="88" s="1"/>
  <c r="O328" i="156"/>
  <c r="L22" i="156" s="1"/>
  <c r="N354" i="154"/>
  <c r="N355" i="156" s="1"/>
  <c r="C339" i="154"/>
  <c r="F354" i="154"/>
  <c r="F355" i="88" s="1"/>
  <c r="H338" i="88"/>
  <c r="H340" i="88" s="1"/>
  <c r="J257" i="117" s="1"/>
  <c r="J260" i="117" s="1"/>
  <c r="J259" i="117" s="1"/>
  <c r="O326" i="88"/>
  <c r="L20" i="88" s="1"/>
  <c r="M338" i="156"/>
  <c r="M340" i="156" s="1"/>
  <c r="L21" i="154"/>
  <c r="G338" i="88"/>
  <c r="G340" i="88" s="1"/>
  <c r="I257" i="117" s="1"/>
  <c r="I260" i="117" s="1"/>
  <c r="I259" i="117" s="1"/>
  <c r="O337" i="88"/>
  <c r="L31" i="88" s="1"/>
  <c r="H338" i="156"/>
  <c r="H340" i="156" s="1"/>
  <c r="O334" i="88"/>
  <c r="L28" i="88" s="1"/>
  <c r="J338" i="156"/>
  <c r="J340" i="156" s="1"/>
  <c r="I362" i="154"/>
  <c r="I363" i="88" s="1"/>
  <c r="J362" i="154"/>
  <c r="N353" i="154"/>
  <c r="N354" i="88" s="1"/>
  <c r="G354" i="154"/>
  <c r="G355" i="88" s="1"/>
  <c r="N338" i="156"/>
  <c r="N340" i="156" s="1"/>
  <c r="D338" i="156"/>
  <c r="D340" i="156" s="1"/>
  <c r="J354" i="154"/>
  <c r="J355" i="156" s="1"/>
  <c r="I395" i="153"/>
  <c r="O327" i="156"/>
  <c r="L21" i="156" s="1"/>
  <c r="I354" i="154"/>
  <c r="I355" i="156" s="1"/>
  <c r="D362" i="156"/>
  <c r="D362" i="88"/>
  <c r="H354" i="156"/>
  <c r="H354" i="88"/>
  <c r="L13" i="154"/>
  <c r="O321" i="154"/>
  <c r="K346" i="154"/>
  <c r="J346" i="154"/>
  <c r="F346" i="154"/>
  <c r="L346" i="154"/>
  <c r="H346" i="154"/>
  <c r="M346" i="154"/>
  <c r="N346" i="154"/>
  <c r="G346" i="154"/>
  <c r="E346" i="154"/>
  <c r="D346" i="154"/>
  <c r="I346" i="154"/>
  <c r="G361" i="154"/>
  <c r="K361" i="154"/>
  <c r="E361" i="154"/>
  <c r="G338" i="156"/>
  <c r="G340" i="156" s="1"/>
  <c r="H361" i="154"/>
  <c r="L19" i="154"/>
  <c r="O337" i="154"/>
  <c r="F352" i="154"/>
  <c r="E352" i="154"/>
  <c r="H352" i="154"/>
  <c r="M352" i="154"/>
  <c r="I352" i="154"/>
  <c r="D352" i="154"/>
  <c r="K352" i="154"/>
  <c r="G352" i="154"/>
  <c r="J352" i="154"/>
  <c r="N352" i="154"/>
  <c r="O335" i="88"/>
  <c r="L29" i="88" s="1"/>
  <c r="O326" i="156"/>
  <c r="L20" i="156" s="1"/>
  <c r="L31" i="154"/>
  <c r="C364" i="154"/>
  <c r="N364" i="154"/>
  <c r="D364" i="154"/>
  <c r="L364" i="154"/>
  <c r="H365" i="156"/>
  <c r="H365" i="88"/>
  <c r="L22" i="154"/>
  <c r="I355" i="154"/>
  <c r="F355" i="154"/>
  <c r="D355" i="154"/>
  <c r="E355" i="154"/>
  <c r="C355" i="154"/>
  <c r="L355" i="154"/>
  <c r="H355" i="154"/>
  <c r="G355" i="154"/>
  <c r="K355" i="154"/>
  <c r="M355" i="154"/>
  <c r="E364" i="154"/>
  <c r="O312" i="88"/>
  <c r="I364" i="154"/>
  <c r="J338" i="88"/>
  <c r="J340" i="88" s="1"/>
  <c r="L257" i="117" s="1"/>
  <c r="L260" i="117" s="1"/>
  <c r="L259" i="117" s="1"/>
  <c r="O334" i="156"/>
  <c r="L28" i="156" s="1"/>
  <c r="L20" i="154"/>
  <c r="C353" i="154"/>
  <c r="I353" i="154"/>
  <c r="D353" i="154"/>
  <c r="M353" i="154"/>
  <c r="K353" i="154"/>
  <c r="L353" i="154"/>
  <c r="G353" i="154"/>
  <c r="F353" i="154"/>
  <c r="E353" i="154"/>
  <c r="J355" i="154"/>
  <c r="C352" i="154"/>
  <c r="L352" i="154"/>
  <c r="K355" i="156"/>
  <c r="K355" i="88"/>
  <c r="F363" i="88"/>
  <c r="F363" i="156"/>
  <c r="N361" i="154"/>
  <c r="C338" i="156"/>
  <c r="O325" i="156"/>
  <c r="O312" i="156"/>
  <c r="M358" i="154"/>
  <c r="L395" i="153"/>
  <c r="L338" i="88"/>
  <c r="L340" i="88" s="1"/>
  <c r="N257" i="117" s="1"/>
  <c r="N260" i="117" s="1"/>
  <c r="N259" i="117" s="1"/>
  <c r="F358" i="154"/>
  <c r="O319" i="156"/>
  <c r="C322" i="156"/>
  <c r="O331" i="88"/>
  <c r="L25" i="88" s="1"/>
  <c r="C346" i="154"/>
  <c r="G364" i="154"/>
  <c r="C338" i="88"/>
  <c r="O325" i="88"/>
  <c r="K34" i="156"/>
  <c r="M364" i="154"/>
  <c r="E358" i="154"/>
  <c r="L338" i="156"/>
  <c r="L340" i="156" s="1"/>
  <c r="L28" i="154"/>
  <c r="L361" i="154"/>
  <c r="I361" i="154"/>
  <c r="F361" i="154"/>
  <c r="C322" i="88"/>
  <c r="O319" i="88"/>
  <c r="I358" i="154"/>
  <c r="M361" i="154"/>
  <c r="O331" i="156"/>
  <c r="L25" i="156" s="1"/>
  <c r="C361" i="154"/>
  <c r="N356" i="156"/>
  <c r="N356" i="88"/>
  <c r="J361" i="154"/>
  <c r="H358" i="154"/>
  <c r="C358" i="154"/>
  <c r="G358" i="154"/>
  <c r="J353" i="154"/>
  <c r="D358" i="154"/>
  <c r="N13" i="153"/>
  <c r="O377" i="153"/>
  <c r="M123" i="153"/>
  <c r="J123" i="153"/>
  <c r="N123" i="153"/>
  <c r="K123" i="153"/>
  <c r="O115" i="88"/>
  <c r="E23" i="88" s="1"/>
  <c r="E413" i="88" s="1"/>
  <c r="O117" i="88"/>
  <c r="E25" i="88" s="1"/>
  <c r="E415" i="88" s="1"/>
  <c r="O119" i="88"/>
  <c r="E28" i="88" s="1"/>
  <c r="E418" i="88" s="1"/>
  <c r="O116" i="88"/>
  <c r="E24" i="88" s="1"/>
  <c r="E414" i="88" s="1"/>
  <c r="L123" i="153"/>
  <c r="E26" i="88"/>
  <c r="E416" i="88" s="1"/>
  <c r="H123" i="153"/>
  <c r="I123" i="153"/>
  <c r="G123" i="153"/>
  <c r="D123" i="153"/>
  <c r="C123" i="153"/>
  <c r="F123" i="153"/>
  <c r="E123" i="153"/>
  <c r="M136" i="168" l="1"/>
  <c r="U51" i="169"/>
  <c r="D96" i="72"/>
  <c r="P96" i="164"/>
  <c r="D97" i="72"/>
  <c r="P97" i="164"/>
  <c r="U117" i="168"/>
  <c r="W117" i="168" s="1"/>
  <c r="X117" i="168" s="1"/>
  <c r="L124" i="168"/>
  <c r="L154" i="172"/>
  <c r="Q18" i="170"/>
  <c r="U18" i="170" s="1"/>
  <c r="U151" i="168"/>
  <c r="W151" i="168" s="1"/>
  <c r="X151" i="168" s="1"/>
  <c r="U51" i="170"/>
  <c r="W51" i="170" s="1"/>
  <c r="M63" i="170"/>
  <c r="M65" i="170" s="1"/>
  <c r="R51" i="171"/>
  <c r="L63" i="171"/>
  <c r="C355" i="88"/>
  <c r="P51" i="171"/>
  <c r="M152" i="172"/>
  <c r="P99" i="173"/>
  <c r="M99" i="173"/>
  <c r="L145" i="173"/>
  <c r="R99" i="173"/>
  <c r="L98" i="173"/>
  <c r="G55" i="107"/>
  <c r="G57" i="107" s="1"/>
  <c r="P148" i="172"/>
  <c r="L94" i="169"/>
  <c r="L94" i="173"/>
  <c r="L115" i="169"/>
  <c r="M115" i="169" s="1"/>
  <c r="M149" i="169" s="1"/>
  <c r="L115" i="173"/>
  <c r="I55" i="107"/>
  <c r="I57" i="107" s="1"/>
  <c r="Q117" i="172"/>
  <c r="Q151" i="172" s="1"/>
  <c r="M63" i="173"/>
  <c r="J55" i="107"/>
  <c r="J57" i="107" s="1"/>
  <c r="N55" i="107"/>
  <c r="Q45" i="173"/>
  <c r="M20" i="173"/>
  <c r="Q20" i="173" s="1"/>
  <c r="Q62" i="173"/>
  <c r="Q49" i="173"/>
  <c r="Q56" i="173"/>
  <c r="M19" i="173"/>
  <c r="Q19" i="173" s="1"/>
  <c r="Q50" i="173"/>
  <c r="M25" i="173"/>
  <c r="Q39" i="173"/>
  <c r="Q61" i="173"/>
  <c r="Q44" i="173"/>
  <c r="P18" i="173"/>
  <c r="M21" i="173"/>
  <c r="Q21" i="173" s="1"/>
  <c r="Q47" i="173"/>
  <c r="Q54" i="173"/>
  <c r="Q42" i="173"/>
  <c r="Q53" i="173"/>
  <c r="Q37" i="173"/>
  <c r="M22" i="173"/>
  <c r="Q22" i="173" s="1"/>
  <c r="Q59" i="173"/>
  <c r="Q60" i="173"/>
  <c r="Q55" i="173"/>
  <c r="Q38" i="173"/>
  <c r="Q43" i="173"/>
  <c r="Q48" i="173"/>
  <c r="Q40" i="173"/>
  <c r="L98" i="169"/>
  <c r="U139" i="172"/>
  <c r="U138" i="172" s="1"/>
  <c r="M63" i="174"/>
  <c r="H55" i="107"/>
  <c r="H57" i="107" s="1"/>
  <c r="L95" i="169"/>
  <c r="M95" i="169" s="1"/>
  <c r="M141" i="169" s="1"/>
  <c r="L95" i="173"/>
  <c r="L145" i="169"/>
  <c r="P122" i="172"/>
  <c r="W99" i="172"/>
  <c r="U98" i="172"/>
  <c r="P63" i="174"/>
  <c r="F55" i="107"/>
  <c r="F57" i="107" s="1"/>
  <c r="P151" i="172"/>
  <c r="L96" i="169"/>
  <c r="P96" i="169" s="1"/>
  <c r="L96" i="173"/>
  <c r="P99" i="169"/>
  <c r="P145" i="169" s="1"/>
  <c r="W93" i="172"/>
  <c r="U92" i="172"/>
  <c r="Q39" i="174"/>
  <c r="Q44" i="174"/>
  <c r="M22" i="174"/>
  <c r="Q22" i="174" s="1"/>
  <c r="Q43" i="174"/>
  <c r="Q42" i="174"/>
  <c r="Q47" i="174"/>
  <c r="Q38" i="174"/>
  <c r="Q59" i="174"/>
  <c r="Q61" i="174"/>
  <c r="M21" i="174"/>
  <c r="Q21" i="174" s="1"/>
  <c r="P18" i="174"/>
  <c r="Q55" i="174"/>
  <c r="Q49" i="174"/>
  <c r="M19" i="174"/>
  <c r="Q19" i="174" s="1"/>
  <c r="Q50" i="174"/>
  <c r="Q40" i="174"/>
  <c r="Q37" i="174"/>
  <c r="Q62" i="174"/>
  <c r="Q54" i="174"/>
  <c r="Q56" i="174"/>
  <c r="Q53" i="174"/>
  <c r="M20" i="174"/>
  <c r="Q20" i="174" s="1"/>
  <c r="Q45" i="174"/>
  <c r="Q60" i="174"/>
  <c r="Q48" i="174"/>
  <c r="L25" i="174"/>
  <c r="M25" i="174"/>
  <c r="M84" i="172"/>
  <c r="Q84" i="172" s="1"/>
  <c r="M87" i="172"/>
  <c r="Q87" i="172" s="1"/>
  <c r="M86" i="172"/>
  <c r="Q86" i="172" s="1"/>
  <c r="M85" i="172"/>
  <c r="Q85" i="172" s="1"/>
  <c r="R83" i="172"/>
  <c r="P83" i="172"/>
  <c r="M133" i="172"/>
  <c r="M136" i="172" s="1"/>
  <c r="L65" i="173"/>
  <c r="U145" i="172"/>
  <c r="W145" i="172" s="1"/>
  <c r="X145" i="172" s="1"/>
  <c r="L83" i="169"/>
  <c r="M83" i="169" s="1"/>
  <c r="L83" i="173"/>
  <c r="Q110" i="172"/>
  <c r="Q148" i="172" s="1"/>
  <c r="M55" i="107"/>
  <c r="L55" i="107"/>
  <c r="L110" i="169"/>
  <c r="M110" i="169" s="1"/>
  <c r="L110" i="173"/>
  <c r="L117" i="169"/>
  <c r="L151" i="169" s="1"/>
  <c r="L117" i="173"/>
  <c r="Q25" i="172"/>
  <c r="Q65" i="172" s="1"/>
  <c r="O395" i="153"/>
  <c r="L18" i="171"/>
  <c r="L25" i="171" s="1"/>
  <c r="L18" i="175"/>
  <c r="R99" i="169"/>
  <c r="R145" i="169" s="1"/>
  <c r="M51" i="175"/>
  <c r="L63" i="175"/>
  <c r="P51" i="175"/>
  <c r="R122" i="172"/>
  <c r="L93" i="169"/>
  <c r="P93" i="169" s="1"/>
  <c r="L93" i="173"/>
  <c r="O55" i="107"/>
  <c r="P63" i="173"/>
  <c r="K55" i="107"/>
  <c r="G262" i="117"/>
  <c r="G275" i="117" s="1"/>
  <c r="G534" i="117"/>
  <c r="L262" i="117"/>
  <c r="L275" i="117" s="1"/>
  <c r="L534" i="117"/>
  <c r="I262" i="117"/>
  <c r="I275" i="117" s="1"/>
  <c r="I534" i="117"/>
  <c r="H534" i="117"/>
  <c r="F262" i="117"/>
  <c r="F275" i="117" s="1"/>
  <c r="F534" i="117"/>
  <c r="P262" i="117"/>
  <c r="P275" i="117" s="1"/>
  <c r="P534" i="117"/>
  <c r="O262" i="117"/>
  <c r="O275" i="117" s="1"/>
  <c r="O534" i="117"/>
  <c r="M534" i="117"/>
  <c r="J534" i="117"/>
  <c r="N534" i="117"/>
  <c r="K534" i="117"/>
  <c r="M65" i="169"/>
  <c r="R65" i="170"/>
  <c r="AD39" i="58" s="1"/>
  <c r="M37" i="178" s="1"/>
  <c r="M58" i="178" s="1"/>
  <c r="T100" i="73"/>
  <c r="V98" i="73"/>
  <c r="M145" i="169"/>
  <c r="M98" i="169"/>
  <c r="Q18" i="169"/>
  <c r="U18" i="169" s="1"/>
  <c r="U110" i="168"/>
  <c r="W110" i="168" s="1"/>
  <c r="X110" i="168" s="1"/>
  <c r="V70" i="73"/>
  <c r="W68" i="73"/>
  <c r="X63" i="168"/>
  <c r="U148" i="168"/>
  <c r="W148" i="168" s="1"/>
  <c r="X148" i="168" s="1"/>
  <c r="R92" i="168"/>
  <c r="R122" i="168" s="1"/>
  <c r="R139" i="168"/>
  <c r="R152" i="168" s="1"/>
  <c r="W18" i="168"/>
  <c r="U25" i="168"/>
  <c r="U65" i="168" s="1"/>
  <c r="AB83" i="58" s="1"/>
  <c r="Q92" i="168"/>
  <c r="Q122" i="168" s="1"/>
  <c r="Q139" i="168"/>
  <c r="Q152" i="168" s="1"/>
  <c r="M90" i="168"/>
  <c r="R90" i="168"/>
  <c r="R133" i="168"/>
  <c r="R136" i="168" s="1"/>
  <c r="P25" i="169"/>
  <c r="P65" i="169" s="1"/>
  <c r="Q83" i="168"/>
  <c r="U83" i="168" s="1"/>
  <c r="M63" i="171"/>
  <c r="W51" i="169"/>
  <c r="U63" i="169"/>
  <c r="X99" i="168"/>
  <c r="W98" i="168"/>
  <c r="X98" i="168" s="1"/>
  <c r="R25" i="169"/>
  <c r="R65" i="169" s="1"/>
  <c r="AC39" i="58" s="1"/>
  <c r="L37" i="178" s="1"/>
  <c r="L58" i="178" s="1"/>
  <c r="P92" i="168"/>
  <c r="P122" i="168" s="1"/>
  <c r="P139" i="168"/>
  <c r="U93" i="168"/>
  <c r="P65" i="170"/>
  <c r="R63" i="171"/>
  <c r="M139" i="168"/>
  <c r="M92" i="168"/>
  <c r="M122" i="168" s="1"/>
  <c r="P90" i="168"/>
  <c r="P133" i="168"/>
  <c r="P136" i="168" s="1"/>
  <c r="N354" i="156"/>
  <c r="L355" i="156"/>
  <c r="C363" i="88"/>
  <c r="N359" i="88"/>
  <c r="E233" i="117"/>
  <c r="E248" i="117" s="1"/>
  <c r="Q230" i="117"/>
  <c r="Q231" i="117"/>
  <c r="L42" i="122" s="1"/>
  <c r="E107" i="90" s="1"/>
  <c r="J365" i="88"/>
  <c r="H363" i="156"/>
  <c r="F355" i="156"/>
  <c r="M363" i="156"/>
  <c r="H355" i="88"/>
  <c r="J359" i="156"/>
  <c r="E363" i="88"/>
  <c r="G363" i="88"/>
  <c r="D363" i="156"/>
  <c r="K363" i="156"/>
  <c r="F365" i="88"/>
  <c r="N363" i="88"/>
  <c r="M355" i="88"/>
  <c r="K365" i="156"/>
  <c r="K359" i="156"/>
  <c r="O362" i="154"/>
  <c r="F390" i="154" s="1"/>
  <c r="I363" i="156"/>
  <c r="L363" i="156"/>
  <c r="L359" i="156"/>
  <c r="J355" i="88"/>
  <c r="E355" i="88"/>
  <c r="D355" i="156"/>
  <c r="L363" i="88"/>
  <c r="N355" i="88"/>
  <c r="G355" i="156"/>
  <c r="O354" i="154"/>
  <c r="D382" i="154" s="1"/>
  <c r="J363" i="88"/>
  <c r="I355" i="88"/>
  <c r="J363" i="156"/>
  <c r="C340" i="88"/>
  <c r="E257" i="117" s="1"/>
  <c r="E260" i="117" s="1"/>
  <c r="F353" i="156"/>
  <c r="F353" i="88"/>
  <c r="F365" i="154"/>
  <c r="G365" i="88"/>
  <c r="G365" i="156"/>
  <c r="D349" i="154"/>
  <c r="D347" i="88"/>
  <c r="D350" i="88" s="1"/>
  <c r="D347" i="156"/>
  <c r="D350" i="156" s="1"/>
  <c r="O338" i="156"/>
  <c r="L19" i="156"/>
  <c r="L32" i="156" s="1"/>
  <c r="N362" i="156"/>
  <c r="N362" i="88"/>
  <c r="F354" i="156"/>
  <c r="F354" i="88"/>
  <c r="E356" i="156"/>
  <c r="E356" i="88"/>
  <c r="K353" i="156"/>
  <c r="K353" i="88"/>
  <c r="K365" i="154"/>
  <c r="N349" i="154"/>
  <c r="N347" i="88"/>
  <c r="N350" i="88" s="1"/>
  <c r="N347" i="156"/>
  <c r="N350" i="156" s="1"/>
  <c r="H362" i="156"/>
  <c r="H362" i="88"/>
  <c r="O338" i="88"/>
  <c r="L19" i="88"/>
  <c r="L32" i="154"/>
  <c r="F115" i="90" s="1"/>
  <c r="J362" i="156"/>
  <c r="J362" i="88"/>
  <c r="L13" i="156"/>
  <c r="L16" i="156" s="1"/>
  <c r="O322" i="156"/>
  <c r="C340" i="156"/>
  <c r="O346" i="154"/>
  <c r="N374" i="154" s="1"/>
  <c r="C349" i="154"/>
  <c r="C347" i="88"/>
  <c r="C347" i="156"/>
  <c r="G354" i="156"/>
  <c r="G354" i="88"/>
  <c r="D353" i="88"/>
  <c r="D353" i="156"/>
  <c r="D365" i="154"/>
  <c r="M349" i="154"/>
  <c r="M347" i="156"/>
  <c r="M350" i="156" s="1"/>
  <c r="M347" i="88"/>
  <c r="M350" i="88" s="1"/>
  <c r="I354" i="156"/>
  <c r="I354" i="88"/>
  <c r="K349" i="154"/>
  <c r="K347" i="156"/>
  <c r="K350" i="156" s="1"/>
  <c r="K347" i="88"/>
  <c r="K350" i="88" s="1"/>
  <c r="O358" i="154"/>
  <c r="H386" i="154" s="1"/>
  <c r="C359" i="88"/>
  <c r="C359" i="156"/>
  <c r="O361" i="154"/>
  <c r="L389" i="154" s="1"/>
  <c r="C362" i="156"/>
  <c r="C362" i="88"/>
  <c r="L353" i="156"/>
  <c r="L353" i="88"/>
  <c r="L365" i="154"/>
  <c r="I349" i="154"/>
  <c r="I347" i="88"/>
  <c r="I350" i="88" s="1"/>
  <c r="I347" i="156"/>
  <c r="I350" i="156" s="1"/>
  <c r="O352" i="154"/>
  <c r="F380" i="154" s="1"/>
  <c r="C353" i="88"/>
  <c r="C353" i="156"/>
  <c r="C365" i="154"/>
  <c r="L356" i="88"/>
  <c r="L356" i="156"/>
  <c r="G353" i="156"/>
  <c r="G353" i="88"/>
  <c r="G365" i="154"/>
  <c r="L354" i="156"/>
  <c r="L354" i="88"/>
  <c r="F356" i="156"/>
  <c r="F356" i="88"/>
  <c r="L365" i="88"/>
  <c r="L365" i="156"/>
  <c r="I353" i="156"/>
  <c r="I353" i="88"/>
  <c r="I365" i="154"/>
  <c r="E362" i="156"/>
  <c r="E362" i="88"/>
  <c r="H349" i="154"/>
  <c r="H347" i="156"/>
  <c r="H350" i="156" s="1"/>
  <c r="H347" i="88"/>
  <c r="H350" i="88" s="1"/>
  <c r="I359" i="88"/>
  <c r="I359" i="156"/>
  <c r="K356" i="156"/>
  <c r="K356" i="88"/>
  <c r="G362" i="156"/>
  <c r="G362" i="88"/>
  <c r="G356" i="88"/>
  <c r="G356" i="156"/>
  <c r="H356" i="156"/>
  <c r="H356" i="88"/>
  <c r="J356" i="88"/>
  <c r="J356" i="156"/>
  <c r="E349" i="154"/>
  <c r="E347" i="156"/>
  <c r="E350" i="156" s="1"/>
  <c r="E347" i="88"/>
  <c r="E350" i="88" s="1"/>
  <c r="L13" i="88"/>
  <c r="O322" i="88"/>
  <c r="M362" i="88"/>
  <c r="M362" i="156"/>
  <c r="K354" i="156"/>
  <c r="K354" i="88"/>
  <c r="I356" i="88"/>
  <c r="I356" i="156"/>
  <c r="D365" i="156"/>
  <c r="D365" i="88"/>
  <c r="M353" i="88"/>
  <c r="M353" i="156"/>
  <c r="M365" i="154"/>
  <c r="K362" i="156"/>
  <c r="K362" i="88"/>
  <c r="L349" i="154"/>
  <c r="L347" i="88"/>
  <c r="L350" i="88" s="1"/>
  <c r="L347" i="156"/>
  <c r="L350" i="156" s="1"/>
  <c r="M356" i="88"/>
  <c r="M356" i="156"/>
  <c r="I365" i="88"/>
  <c r="I365" i="156"/>
  <c r="J353" i="156"/>
  <c r="J353" i="88"/>
  <c r="J365" i="154"/>
  <c r="E365" i="156"/>
  <c r="E365" i="88"/>
  <c r="F362" i="156"/>
  <c r="F362" i="88"/>
  <c r="E359" i="156"/>
  <c r="E359" i="88"/>
  <c r="M354" i="156"/>
  <c r="M354" i="88"/>
  <c r="N365" i="156"/>
  <c r="N365" i="88"/>
  <c r="H353" i="156"/>
  <c r="H353" i="88"/>
  <c r="H365" i="154"/>
  <c r="F349" i="154"/>
  <c r="F347" i="156"/>
  <c r="F350" i="156" s="1"/>
  <c r="F347" i="88"/>
  <c r="F350" i="88" s="1"/>
  <c r="G359" i="156"/>
  <c r="G359" i="88"/>
  <c r="L362" i="88"/>
  <c r="L362" i="156"/>
  <c r="O353" i="154"/>
  <c r="M381" i="154" s="1"/>
  <c r="C354" i="88"/>
  <c r="C354" i="156"/>
  <c r="O339" i="154"/>
  <c r="H359" i="156"/>
  <c r="H359" i="88"/>
  <c r="M359" i="156"/>
  <c r="M359" i="88"/>
  <c r="N353" i="156"/>
  <c r="N353" i="88"/>
  <c r="N365" i="154"/>
  <c r="E354" i="156"/>
  <c r="E354" i="88"/>
  <c r="O355" i="154"/>
  <c r="H383" i="154" s="1"/>
  <c r="C356" i="156"/>
  <c r="C356" i="88"/>
  <c r="G349" i="154"/>
  <c r="G347" i="156"/>
  <c r="G350" i="156" s="1"/>
  <c r="G347" i="88"/>
  <c r="G350" i="88" s="1"/>
  <c r="D356" i="156"/>
  <c r="D356" i="88"/>
  <c r="D359" i="156"/>
  <c r="D359" i="88"/>
  <c r="J354" i="156"/>
  <c r="J354" i="88"/>
  <c r="I362" i="88"/>
  <c r="I362" i="156"/>
  <c r="M365" i="156"/>
  <c r="M365" i="88"/>
  <c r="F359" i="156"/>
  <c r="F359" i="88"/>
  <c r="D354" i="88"/>
  <c r="D354" i="156"/>
  <c r="O364" i="154"/>
  <c r="C365" i="88"/>
  <c r="C365" i="156"/>
  <c r="E353" i="156"/>
  <c r="E353" i="88"/>
  <c r="E365" i="154"/>
  <c r="J349" i="154"/>
  <c r="J347" i="88"/>
  <c r="J350" i="88" s="1"/>
  <c r="J347" i="156"/>
  <c r="J350" i="156" s="1"/>
  <c r="N90" i="88"/>
  <c r="M90" i="88"/>
  <c r="L90" i="88"/>
  <c r="K90" i="88"/>
  <c r="J90" i="88"/>
  <c r="I90" i="88"/>
  <c r="H90" i="88"/>
  <c r="G90" i="88"/>
  <c r="F90" i="88"/>
  <c r="E90" i="88"/>
  <c r="D90" i="88"/>
  <c r="C90" i="88"/>
  <c r="N89" i="88"/>
  <c r="M89" i="88"/>
  <c r="L89" i="88"/>
  <c r="K89" i="88"/>
  <c r="J89" i="88"/>
  <c r="I89" i="88"/>
  <c r="H89" i="88"/>
  <c r="G89" i="88"/>
  <c r="F89" i="88"/>
  <c r="E89" i="88"/>
  <c r="D89" i="88"/>
  <c r="C89" i="88"/>
  <c r="N88" i="88"/>
  <c r="M88" i="88"/>
  <c r="L88" i="88"/>
  <c r="K88" i="88"/>
  <c r="J88" i="88"/>
  <c r="I88" i="88"/>
  <c r="H88" i="88"/>
  <c r="G88" i="88"/>
  <c r="F88" i="88"/>
  <c r="E88" i="88"/>
  <c r="D88" i="88"/>
  <c r="C88" i="88"/>
  <c r="N87" i="88"/>
  <c r="M87" i="88"/>
  <c r="L87" i="88"/>
  <c r="K87" i="88"/>
  <c r="J87" i="88"/>
  <c r="I87" i="88"/>
  <c r="H87" i="88"/>
  <c r="G87" i="88"/>
  <c r="F87" i="88"/>
  <c r="E87" i="88"/>
  <c r="D87" i="88"/>
  <c r="C87" i="88"/>
  <c r="N86" i="88"/>
  <c r="M86" i="88"/>
  <c r="L86" i="88"/>
  <c r="K86" i="88"/>
  <c r="J86" i="88"/>
  <c r="I86" i="88"/>
  <c r="H86" i="88"/>
  <c r="G86" i="88"/>
  <c r="F86" i="88"/>
  <c r="E86" i="88"/>
  <c r="D86" i="88"/>
  <c r="C86" i="88"/>
  <c r="N85" i="88"/>
  <c r="M85" i="88"/>
  <c r="L85" i="88"/>
  <c r="K85" i="88"/>
  <c r="J85" i="88"/>
  <c r="I85" i="88"/>
  <c r="H85" i="88"/>
  <c r="G85" i="88"/>
  <c r="F85" i="88"/>
  <c r="E85" i="88"/>
  <c r="D85" i="88"/>
  <c r="C85" i="88"/>
  <c r="N84" i="88"/>
  <c r="M84" i="88"/>
  <c r="L84" i="88"/>
  <c r="K84" i="88"/>
  <c r="J84" i="88"/>
  <c r="I84" i="88"/>
  <c r="H84" i="88"/>
  <c r="G84" i="88"/>
  <c r="F84" i="88"/>
  <c r="E84" i="88"/>
  <c r="D84" i="88"/>
  <c r="C84" i="88"/>
  <c r="N83" i="88"/>
  <c r="M83" i="88"/>
  <c r="L83" i="88"/>
  <c r="K83" i="88"/>
  <c r="J83" i="88"/>
  <c r="I83" i="88"/>
  <c r="H83" i="88"/>
  <c r="G83" i="88"/>
  <c r="F83" i="88"/>
  <c r="E83" i="88"/>
  <c r="D83" i="88"/>
  <c r="C83" i="88"/>
  <c r="N82" i="88"/>
  <c r="M82" i="88"/>
  <c r="L82" i="88"/>
  <c r="K82" i="88"/>
  <c r="J82" i="88"/>
  <c r="I82" i="88"/>
  <c r="H82" i="88"/>
  <c r="G82" i="88"/>
  <c r="F82" i="88"/>
  <c r="E82" i="88"/>
  <c r="D82" i="88"/>
  <c r="C82" i="88"/>
  <c r="N78" i="88"/>
  <c r="M78" i="88"/>
  <c r="L78" i="88"/>
  <c r="K78" i="88"/>
  <c r="J78" i="88"/>
  <c r="I78" i="88"/>
  <c r="H78" i="88"/>
  <c r="G78" i="88"/>
  <c r="F78" i="88"/>
  <c r="E78" i="88"/>
  <c r="D78" i="88"/>
  <c r="C78" i="88"/>
  <c r="N77" i="88"/>
  <c r="M77" i="88"/>
  <c r="L77" i="88"/>
  <c r="K77" i="88"/>
  <c r="J77" i="88"/>
  <c r="I77" i="88"/>
  <c r="H77" i="88"/>
  <c r="G77" i="88"/>
  <c r="F77" i="88"/>
  <c r="E77" i="88"/>
  <c r="D77" i="88"/>
  <c r="C77" i="88"/>
  <c r="N76" i="88"/>
  <c r="M76" i="88"/>
  <c r="L76" i="88"/>
  <c r="K76" i="88"/>
  <c r="J76" i="88"/>
  <c r="I76" i="88"/>
  <c r="H76" i="88"/>
  <c r="G76" i="88"/>
  <c r="F76" i="88"/>
  <c r="E76" i="88"/>
  <c r="D76" i="88"/>
  <c r="C76" i="88"/>
  <c r="N75" i="88"/>
  <c r="M75" i="88"/>
  <c r="L75" i="88"/>
  <c r="K75" i="88"/>
  <c r="J75" i="88"/>
  <c r="I75" i="88"/>
  <c r="H75" i="88"/>
  <c r="G75" i="88"/>
  <c r="F75" i="88"/>
  <c r="E75" i="88"/>
  <c r="D75" i="88"/>
  <c r="C75" i="88"/>
  <c r="O88" i="154"/>
  <c r="O78" i="154"/>
  <c r="P96" i="72" l="1"/>
  <c r="G65" i="113"/>
  <c r="I65" i="113" s="1"/>
  <c r="K65" i="113" s="1"/>
  <c r="L32" i="88"/>
  <c r="M152" i="168"/>
  <c r="M154" i="168" s="1"/>
  <c r="Q25" i="170"/>
  <c r="Q65" i="170" s="1"/>
  <c r="E259" i="117"/>
  <c r="Q259" i="117" s="1"/>
  <c r="Q260" i="117"/>
  <c r="L60" i="122"/>
  <c r="AB126" i="58"/>
  <c r="K43" i="178"/>
  <c r="AO83" i="58"/>
  <c r="K82" i="122"/>
  <c r="K80" i="122" s="1"/>
  <c r="P97" i="72"/>
  <c r="U63" i="170"/>
  <c r="M65" i="173"/>
  <c r="L65" i="171"/>
  <c r="U117" i="172"/>
  <c r="W117" i="172" s="1"/>
  <c r="X117" i="172" s="1"/>
  <c r="U51" i="171"/>
  <c r="U63" i="171" s="1"/>
  <c r="Q152" i="172"/>
  <c r="L65" i="170"/>
  <c r="P98" i="169"/>
  <c r="U151" i="172"/>
  <c r="W151" i="172" s="1"/>
  <c r="X151" i="172" s="1"/>
  <c r="P63" i="171"/>
  <c r="L142" i="169"/>
  <c r="R96" i="169"/>
  <c r="R142" i="169" s="1"/>
  <c r="L133" i="169"/>
  <c r="L136" i="169" s="1"/>
  <c r="Q95" i="169"/>
  <c r="Q141" i="169" s="1"/>
  <c r="Q96" i="169"/>
  <c r="Q142" i="169" s="1"/>
  <c r="L90" i="169"/>
  <c r="M154" i="172"/>
  <c r="U110" i="172"/>
  <c r="W110" i="172" s="1"/>
  <c r="X110" i="172" s="1"/>
  <c r="M90" i="172"/>
  <c r="M124" i="172" s="1"/>
  <c r="U148" i="172"/>
  <c r="W148" i="172" s="1"/>
  <c r="X148" i="172" s="1"/>
  <c r="Q122" i="172"/>
  <c r="R124" i="168"/>
  <c r="AP39" i="58" s="1"/>
  <c r="R37" i="178" s="1"/>
  <c r="R58" i="178" s="1"/>
  <c r="M18" i="171"/>
  <c r="M19" i="171" s="1"/>
  <c r="Q19" i="171" s="1"/>
  <c r="L149" i="169"/>
  <c r="R93" i="169"/>
  <c r="R139" i="169" s="1"/>
  <c r="Q18" i="174"/>
  <c r="L92" i="169"/>
  <c r="L122" i="169" s="1"/>
  <c r="L124" i="169" s="1"/>
  <c r="M96" i="169"/>
  <c r="M142" i="169" s="1"/>
  <c r="R94" i="169"/>
  <c r="R140" i="169" s="1"/>
  <c r="L139" i="169"/>
  <c r="Q93" i="169"/>
  <c r="U99" i="169"/>
  <c r="W99" i="169" s="1"/>
  <c r="M93" i="169"/>
  <c r="P115" i="169"/>
  <c r="P149" i="169" s="1"/>
  <c r="R115" i="169"/>
  <c r="R149" i="169" s="1"/>
  <c r="I276" i="117"/>
  <c r="I68" i="107"/>
  <c r="I69" i="107" s="1"/>
  <c r="I73" i="107" s="1"/>
  <c r="I75" i="107" s="1"/>
  <c r="I77" i="107" s="1"/>
  <c r="L276" i="117"/>
  <c r="L68" i="107"/>
  <c r="L69" i="107" s="1"/>
  <c r="L73" i="107" s="1"/>
  <c r="L75" i="107" s="1"/>
  <c r="L77" i="107" s="1"/>
  <c r="M117" i="173"/>
  <c r="L151" i="173"/>
  <c r="M110" i="173"/>
  <c r="L148" i="173"/>
  <c r="N57" i="107"/>
  <c r="T101" i="73"/>
  <c r="E87" i="61"/>
  <c r="P25" i="174"/>
  <c r="P65" i="174" s="1"/>
  <c r="L65" i="174"/>
  <c r="M65" i="174"/>
  <c r="Q248" i="117"/>
  <c r="J147" i="82" s="1"/>
  <c r="E48" i="107"/>
  <c r="E49" i="107" s="1"/>
  <c r="E249" i="117"/>
  <c r="M117" i="169"/>
  <c r="M121" i="169" s="1"/>
  <c r="Q121" i="169" s="1"/>
  <c r="O57" i="107"/>
  <c r="L57" i="107"/>
  <c r="P90" i="172"/>
  <c r="P124" i="172" s="1"/>
  <c r="P133" i="172"/>
  <c r="P136" i="172" s="1"/>
  <c r="X93" i="172"/>
  <c r="W92" i="172"/>
  <c r="Q94" i="173"/>
  <c r="Q140" i="173" s="1"/>
  <c r="L140" i="173"/>
  <c r="M94" i="173"/>
  <c r="M140" i="173" s="1"/>
  <c r="R94" i="173"/>
  <c r="R140" i="173" s="1"/>
  <c r="P94" i="173"/>
  <c r="H262" i="117"/>
  <c r="H275" i="117" s="1"/>
  <c r="P152" i="172"/>
  <c r="R98" i="169"/>
  <c r="L25" i="175"/>
  <c r="L65" i="175" s="1"/>
  <c r="M18" i="175"/>
  <c r="M57" i="107"/>
  <c r="Q83" i="172"/>
  <c r="L142" i="173"/>
  <c r="Q96" i="173"/>
  <c r="Q142" i="173" s="1"/>
  <c r="P96" i="173"/>
  <c r="R96" i="173"/>
  <c r="R142" i="173" s="1"/>
  <c r="M96" i="173"/>
  <c r="M142" i="173" s="1"/>
  <c r="W139" i="172"/>
  <c r="R98" i="173"/>
  <c r="R145" i="173"/>
  <c r="O276" i="117"/>
  <c r="O68" i="107"/>
  <c r="O69" i="107" s="1"/>
  <c r="O73" i="107" s="1"/>
  <c r="O75" i="107" s="1"/>
  <c r="O77" i="107" s="1"/>
  <c r="M262" i="117"/>
  <c r="M275" i="117" s="1"/>
  <c r="P94" i="169"/>
  <c r="L141" i="169"/>
  <c r="P276" i="117"/>
  <c r="P68" i="107"/>
  <c r="P69" i="107" s="1"/>
  <c r="P73" i="107" s="1"/>
  <c r="P75" i="107" s="1"/>
  <c r="P77" i="107" s="1"/>
  <c r="K57" i="107"/>
  <c r="X99" i="172"/>
  <c r="W98" i="172"/>
  <c r="X98" i="172" s="1"/>
  <c r="P63" i="175"/>
  <c r="Q93" i="173"/>
  <c r="L92" i="173"/>
  <c r="L122" i="173" s="1"/>
  <c r="L139" i="173"/>
  <c r="P93" i="173"/>
  <c r="R93" i="173"/>
  <c r="M93" i="173"/>
  <c r="L148" i="169"/>
  <c r="Q94" i="169"/>
  <c r="Q140" i="169" s="1"/>
  <c r="P95" i="169"/>
  <c r="L90" i="173"/>
  <c r="M83" i="173"/>
  <c r="L133" i="173"/>
  <c r="L136" i="173" s="1"/>
  <c r="M98" i="173"/>
  <c r="M145" i="173"/>
  <c r="R90" i="172"/>
  <c r="R124" i="172" s="1"/>
  <c r="R81" i="178" s="1"/>
  <c r="M94" i="169"/>
  <c r="M140" i="169" s="1"/>
  <c r="R95" i="169"/>
  <c r="R141" i="169" s="1"/>
  <c r="F276" i="117"/>
  <c r="F68" i="107"/>
  <c r="F69" i="107" s="1"/>
  <c r="F73" i="107" s="1"/>
  <c r="F75" i="107" s="1"/>
  <c r="F77" i="107" s="1"/>
  <c r="R115" i="173"/>
  <c r="P115" i="173"/>
  <c r="M115" i="173"/>
  <c r="M149" i="173" s="1"/>
  <c r="L149" i="173"/>
  <c r="P145" i="173"/>
  <c r="P98" i="173"/>
  <c r="U99" i="173"/>
  <c r="P25" i="173"/>
  <c r="P65" i="173" s="1"/>
  <c r="G276" i="117"/>
  <c r="G68" i="107"/>
  <c r="G69" i="107" s="1"/>
  <c r="G73" i="107" s="1"/>
  <c r="G75" i="107" s="1"/>
  <c r="G77" i="107" s="1"/>
  <c r="M63" i="175"/>
  <c r="L140" i="169"/>
  <c r="R154" i="168"/>
  <c r="M39" i="58" s="1"/>
  <c r="R95" i="173"/>
  <c r="R141" i="173" s="1"/>
  <c r="M95" i="173"/>
  <c r="M141" i="173" s="1"/>
  <c r="P95" i="173"/>
  <c r="L141" i="173"/>
  <c r="Q95" i="173"/>
  <c r="Q141" i="173" s="1"/>
  <c r="Q18" i="173"/>
  <c r="E534" i="117"/>
  <c r="Q522" i="117"/>
  <c r="Q534" i="117" s="1"/>
  <c r="N262" i="117"/>
  <c r="N275" i="117" s="1"/>
  <c r="K262" i="117"/>
  <c r="K275" i="117" s="1"/>
  <c r="J262" i="117"/>
  <c r="J275" i="117" s="1"/>
  <c r="W63" i="169"/>
  <c r="X51" i="169"/>
  <c r="D53" i="106" s="1"/>
  <c r="W70" i="73"/>
  <c r="R19" i="178" s="1"/>
  <c r="W18" i="169"/>
  <c r="U25" i="169"/>
  <c r="U65" i="169" s="1"/>
  <c r="AC83" i="58" s="1"/>
  <c r="W63" i="170"/>
  <c r="X51" i="170"/>
  <c r="D65" i="106" s="1"/>
  <c r="M124" i="168"/>
  <c r="W93" i="168"/>
  <c r="U92" i="168"/>
  <c r="U122" i="168" s="1"/>
  <c r="R110" i="169"/>
  <c r="R148" i="169" s="1"/>
  <c r="M148" i="169"/>
  <c r="M113" i="169"/>
  <c r="Q113" i="169" s="1"/>
  <c r="P110" i="169"/>
  <c r="M111" i="169"/>
  <c r="Q111" i="169" s="1"/>
  <c r="M112" i="169"/>
  <c r="Q112" i="169" s="1"/>
  <c r="M114" i="169"/>
  <c r="Q114" i="169" s="1"/>
  <c r="W98" i="73"/>
  <c r="V100" i="73"/>
  <c r="U139" i="168"/>
  <c r="P152" i="168"/>
  <c r="P154" i="168" s="1"/>
  <c r="W83" i="168"/>
  <c r="U90" i="168"/>
  <c r="W18" i="170"/>
  <c r="U25" i="170"/>
  <c r="P124" i="168"/>
  <c r="Q25" i="169"/>
  <c r="Q65" i="169" s="1"/>
  <c r="P142" i="169"/>
  <c r="U145" i="169"/>
  <c r="W145" i="169" s="1"/>
  <c r="X145" i="169" s="1"/>
  <c r="Q90" i="168"/>
  <c r="Q124" i="168" s="1"/>
  <c r="Q133" i="168"/>
  <c r="P139" i="169"/>
  <c r="W25" i="168"/>
  <c r="X18" i="168"/>
  <c r="D39" i="106" s="1"/>
  <c r="Q37" i="171"/>
  <c r="Q48" i="171"/>
  <c r="Q53" i="171"/>
  <c r="Q60" i="171"/>
  <c r="Q40" i="171"/>
  <c r="Q61" i="171"/>
  <c r="Q50" i="171"/>
  <c r="Q62" i="171"/>
  <c r="Q54" i="171"/>
  <c r="Q45" i="171"/>
  <c r="Q49" i="171"/>
  <c r="Q39" i="171"/>
  <c r="Q55" i="171"/>
  <c r="Q44" i="171"/>
  <c r="Q59" i="171"/>
  <c r="Q47" i="171"/>
  <c r="Q42" i="171"/>
  <c r="Q56" i="171"/>
  <c r="Q38" i="171"/>
  <c r="Q43" i="171"/>
  <c r="M84" i="169"/>
  <c r="Q84" i="169" s="1"/>
  <c r="M87" i="169"/>
  <c r="Q87" i="169" s="1"/>
  <c r="R83" i="169"/>
  <c r="P83" i="169"/>
  <c r="M86" i="169"/>
  <c r="Q86" i="169" s="1"/>
  <c r="M85" i="169"/>
  <c r="Q85" i="169" s="1"/>
  <c r="M133" i="169"/>
  <c r="I390" i="154"/>
  <c r="I391" i="156" s="1"/>
  <c r="R230" i="117"/>
  <c r="Q233" i="117"/>
  <c r="Q257" i="117"/>
  <c r="K390" i="154"/>
  <c r="K391" i="88" s="1"/>
  <c r="C383" i="154"/>
  <c r="C384" i="88" s="1"/>
  <c r="E386" i="154"/>
  <c r="E387" i="88" s="1"/>
  <c r="L367" i="154"/>
  <c r="D381" i="154"/>
  <c r="D382" i="156" s="1"/>
  <c r="M386" i="154"/>
  <c r="M387" i="88" s="1"/>
  <c r="J381" i="154"/>
  <c r="J382" i="156" s="1"/>
  <c r="C380" i="154"/>
  <c r="C381" i="88" s="1"/>
  <c r="O355" i="156"/>
  <c r="M21" i="156" s="1"/>
  <c r="L17" i="121"/>
  <c r="M53" i="122"/>
  <c r="M52" i="122" s="1"/>
  <c r="K382" i="154"/>
  <c r="K383" i="88" s="1"/>
  <c r="F367" i="154"/>
  <c r="I382" i="154"/>
  <c r="I383" i="156" s="1"/>
  <c r="M390" i="154"/>
  <c r="F391" i="156"/>
  <c r="F391" i="88"/>
  <c r="G374" i="154"/>
  <c r="G375" i="156" s="1"/>
  <c r="G378" i="156" s="1"/>
  <c r="H374" i="154"/>
  <c r="H377" i="154" s="1"/>
  <c r="N382" i="154"/>
  <c r="N383" i="156" s="1"/>
  <c r="O363" i="88"/>
  <c r="M29" i="88" s="1"/>
  <c r="C374" i="154"/>
  <c r="C377" i="154" s="1"/>
  <c r="O363" i="156"/>
  <c r="M29" i="156" s="1"/>
  <c r="O355" i="88"/>
  <c r="M21" i="88" s="1"/>
  <c r="J380" i="154"/>
  <c r="J381" i="88" s="1"/>
  <c r="M374" i="154"/>
  <c r="M375" i="88" s="1"/>
  <c r="M378" i="88" s="1"/>
  <c r="D366" i="88"/>
  <c r="D368" i="88" s="1"/>
  <c r="F284" i="117" s="1"/>
  <c r="F287" i="117" s="1"/>
  <c r="F286" i="117" s="1"/>
  <c r="E374" i="154"/>
  <c r="E375" i="156" s="1"/>
  <c r="E378" i="156" s="1"/>
  <c r="I374" i="154"/>
  <c r="I377" i="154" s="1"/>
  <c r="M29" i="154"/>
  <c r="N390" i="154"/>
  <c r="E390" i="154"/>
  <c r="H390" i="154"/>
  <c r="G390" i="154"/>
  <c r="C390" i="154"/>
  <c r="F374" i="154"/>
  <c r="F375" i="88" s="1"/>
  <c r="F378" i="88" s="1"/>
  <c r="K374" i="154"/>
  <c r="K375" i="156" s="1"/>
  <c r="K378" i="156" s="1"/>
  <c r="D390" i="154"/>
  <c r="N366" i="156"/>
  <c r="N368" i="156" s="1"/>
  <c r="O365" i="88"/>
  <c r="M31" i="88" s="1"/>
  <c r="F383" i="154"/>
  <c r="F384" i="88" s="1"/>
  <c r="L374" i="154"/>
  <c r="L377" i="154" s="1"/>
  <c r="D374" i="154"/>
  <c r="D377" i="154" s="1"/>
  <c r="J374" i="154"/>
  <c r="J375" i="156" s="1"/>
  <c r="J378" i="156" s="1"/>
  <c r="J390" i="154"/>
  <c r="L390" i="154"/>
  <c r="G389" i="154"/>
  <c r="G390" i="156" s="1"/>
  <c r="E367" i="154"/>
  <c r="N380" i="154"/>
  <c r="N381" i="156" s="1"/>
  <c r="C381" i="154"/>
  <c r="C382" i="156" s="1"/>
  <c r="I386" i="154"/>
  <c r="I387" i="156" s="1"/>
  <c r="C389" i="154"/>
  <c r="C390" i="88" s="1"/>
  <c r="I381" i="154"/>
  <c r="I382" i="156" s="1"/>
  <c r="J366" i="88"/>
  <c r="J368" i="88" s="1"/>
  <c r="L284" i="117" s="1"/>
  <c r="L287" i="117" s="1"/>
  <c r="L286" i="117" s="1"/>
  <c r="J366" i="156"/>
  <c r="J368" i="156" s="1"/>
  <c r="D386" i="154"/>
  <c r="D387" i="156" s="1"/>
  <c r="K389" i="154"/>
  <c r="K390" i="88" s="1"/>
  <c r="F381" i="154"/>
  <c r="F382" i="88" s="1"/>
  <c r="D367" i="154"/>
  <c r="O340" i="88"/>
  <c r="C386" i="154"/>
  <c r="C387" i="156" s="1"/>
  <c r="F386" i="154"/>
  <c r="F387" i="88" s="1"/>
  <c r="G386" i="154"/>
  <c r="G387" i="88" s="1"/>
  <c r="J367" i="154"/>
  <c r="M21" i="154"/>
  <c r="G382" i="154"/>
  <c r="L382" i="154"/>
  <c r="H382" i="154"/>
  <c r="M382" i="154"/>
  <c r="C382" i="154"/>
  <c r="J382" i="154"/>
  <c r="E382" i="154"/>
  <c r="F382" i="154"/>
  <c r="J383" i="154"/>
  <c r="J384" i="88" s="1"/>
  <c r="G381" i="154"/>
  <c r="G382" i="156" s="1"/>
  <c r="M366" i="88"/>
  <c r="M368" i="88" s="1"/>
  <c r="O284" i="117" s="1"/>
  <c r="O287" i="117" s="1"/>
  <c r="O286" i="117" s="1"/>
  <c r="M389" i="154"/>
  <c r="M390" i="88" s="1"/>
  <c r="K367" i="154"/>
  <c r="L390" i="156"/>
  <c r="L390" i="88"/>
  <c r="H384" i="88"/>
  <c r="H384" i="156"/>
  <c r="F381" i="88"/>
  <c r="F381" i="156"/>
  <c r="M31" i="154"/>
  <c r="H392" i="154"/>
  <c r="K392" i="154"/>
  <c r="F392" i="154"/>
  <c r="J392" i="154"/>
  <c r="D392" i="154"/>
  <c r="D366" i="156"/>
  <c r="D368" i="156" s="1"/>
  <c r="H367" i="154"/>
  <c r="O353" i="156"/>
  <c r="O362" i="88"/>
  <c r="M28" i="88" s="1"/>
  <c r="J389" i="154"/>
  <c r="G392" i="154"/>
  <c r="G367" i="154"/>
  <c r="N366" i="88"/>
  <c r="N368" i="88" s="1"/>
  <c r="P284" i="117" s="1"/>
  <c r="P287" i="117" s="1"/>
  <c r="P286" i="117" s="1"/>
  <c r="O354" i="156"/>
  <c r="M20" i="156" s="1"/>
  <c r="C366" i="156"/>
  <c r="I383" i="154"/>
  <c r="K383" i="154"/>
  <c r="E389" i="154"/>
  <c r="C366" i="88"/>
  <c r="O353" i="88"/>
  <c r="O362" i="156"/>
  <c r="M28" i="156" s="1"/>
  <c r="N377" i="154"/>
  <c r="N375" i="156"/>
  <c r="N378" i="156" s="1"/>
  <c r="N375" i="88"/>
  <c r="N378" i="88" s="1"/>
  <c r="N389" i="154"/>
  <c r="L366" i="88"/>
  <c r="L368" i="88" s="1"/>
  <c r="N284" i="117" s="1"/>
  <c r="N287" i="117" s="1"/>
  <c r="N286" i="117" s="1"/>
  <c r="E392" i="154"/>
  <c r="M20" i="154"/>
  <c r="N381" i="154"/>
  <c r="H381" i="154"/>
  <c r="E380" i="154"/>
  <c r="O356" i="156"/>
  <c r="M22" i="156" s="1"/>
  <c r="H366" i="88"/>
  <c r="H368" i="88" s="1"/>
  <c r="J284" i="117" s="1"/>
  <c r="J287" i="117" s="1"/>
  <c r="J286" i="117" s="1"/>
  <c r="I392" i="154"/>
  <c r="G380" i="154"/>
  <c r="O359" i="156"/>
  <c r="M25" i="156" s="1"/>
  <c r="K380" i="154"/>
  <c r="M28" i="154"/>
  <c r="D389" i="154"/>
  <c r="N367" i="154"/>
  <c r="C350" i="88"/>
  <c r="O347" i="88"/>
  <c r="H366" i="156"/>
  <c r="H368" i="156" s="1"/>
  <c r="D383" i="156"/>
  <c r="D383" i="88"/>
  <c r="K381" i="154"/>
  <c r="I380" i="154"/>
  <c r="L381" i="154"/>
  <c r="G366" i="88"/>
  <c r="G368" i="88" s="1"/>
  <c r="I284" i="117" s="1"/>
  <c r="I287" i="117" s="1"/>
  <c r="I286" i="117" s="1"/>
  <c r="O359" i="88"/>
  <c r="M25" i="88" s="1"/>
  <c r="C367" i="154"/>
  <c r="K366" i="88"/>
  <c r="K368" i="88" s="1"/>
  <c r="M284" i="117" s="1"/>
  <c r="M287" i="117" s="1"/>
  <c r="M286" i="117" s="1"/>
  <c r="L366" i="156"/>
  <c r="L368" i="156" s="1"/>
  <c r="M22" i="154"/>
  <c r="N383" i="154"/>
  <c r="E381" i="154"/>
  <c r="N392" i="154"/>
  <c r="I366" i="88"/>
  <c r="I368" i="88" s="1"/>
  <c r="K284" i="117" s="1"/>
  <c r="K287" i="117" s="1"/>
  <c r="K286" i="117" s="1"/>
  <c r="G366" i="156"/>
  <c r="G368" i="156" s="1"/>
  <c r="I367" i="154"/>
  <c r="M25" i="154"/>
  <c r="K386" i="154"/>
  <c r="L386" i="154"/>
  <c r="N386" i="154"/>
  <c r="J386" i="154"/>
  <c r="M367" i="154"/>
  <c r="M13" i="154"/>
  <c r="L83" i="174" s="1"/>
  <c r="O349" i="154"/>
  <c r="H389" i="154"/>
  <c r="L34" i="156"/>
  <c r="O354" i="88"/>
  <c r="M20" i="88" s="1"/>
  <c r="M19" i="154"/>
  <c r="O365" i="154"/>
  <c r="O356" i="88"/>
  <c r="M22" i="88" s="1"/>
  <c r="E366" i="88"/>
  <c r="E368" i="88" s="1"/>
  <c r="G284" i="117" s="1"/>
  <c r="G287" i="117" s="1"/>
  <c r="G286" i="117" s="1"/>
  <c r="F389" i="154"/>
  <c r="M383" i="154"/>
  <c r="M380" i="154"/>
  <c r="K366" i="156"/>
  <c r="K368" i="156" s="1"/>
  <c r="G383" i="154"/>
  <c r="I366" i="156"/>
  <c r="I368" i="156" s="1"/>
  <c r="L383" i="154"/>
  <c r="E383" i="154"/>
  <c r="O340" i="156"/>
  <c r="F366" i="88"/>
  <c r="F368" i="88" s="1"/>
  <c r="H284" i="117" s="1"/>
  <c r="H287" i="117" s="1"/>
  <c r="H286" i="117" s="1"/>
  <c r="M382" i="88"/>
  <c r="M382" i="156"/>
  <c r="O347" i="156"/>
  <c r="C350" i="156"/>
  <c r="H380" i="154"/>
  <c r="M392" i="154"/>
  <c r="E366" i="156"/>
  <c r="E368" i="156" s="1"/>
  <c r="D383" i="154"/>
  <c r="C392" i="154"/>
  <c r="O365" i="156"/>
  <c r="M31" i="156" s="1"/>
  <c r="I389" i="154"/>
  <c r="H387" i="88"/>
  <c r="H387" i="156"/>
  <c r="M366" i="156"/>
  <c r="M368" i="156" s="1"/>
  <c r="L392" i="154"/>
  <c r="L380" i="154"/>
  <c r="D380" i="154"/>
  <c r="F366" i="156"/>
  <c r="F368" i="156" s="1"/>
  <c r="O88" i="88"/>
  <c r="D26" i="88" s="1"/>
  <c r="D416" i="88" s="1"/>
  <c r="O78" i="88"/>
  <c r="D15" i="88" s="1"/>
  <c r="D405" i="88" s="1"/>
  <c r="N121" i="154"/>
  <c r="M121" i="154"/>
  <c r="L121" i="154"/>
  <c r="K121" i="154"/>
  <c r="J121" i="154"/>
  <c r="I121" i="154"/>
  <c r="H121" i="154"/>
  <c r="G121" i="154"/>
  <c r="F121" i="154"/>
  <c r="E121" i="154"/>
  <c r="D121" i="154"/>
  <c r="C121" i="154"/>
  <c r="O120" i="154"/>
  <c r="E30" i="154" s="1"/>
  <c r="O119" i="154"/>
  <c r="E29" i="154" s="1"/>
  <c r="O118" i="154"/>
  <c r="E28" i="154" s="1"/>
  <c r="O115" i="154"/>
  <c r="E24" i="154" s="1"/>
  <c r="O113" i="154"/>
  <c r="E22" i="154" s="1"/>
  <c r="O112" i="154"/>
  <c r="E21" i="154" s="1"/>
  <c r="O111" i="154"/>
  <c r="E20" i="154" s="1"/>
  <c r="O110" i="154"/>
  <c r="O109" i="154"/>
  <c r="N107" i="154"/>
  <c r="M107" i="154"/>
  <c r="L107" i="154"/>
  <c r="K107" i="154"/>
  <c r="J107" i="154"/>
  <c r="I107" i="154"/>
  <c r="H107" i="154"/>
  <c r="G107" i="154"/>
  <c r="F107" i="154"/>
  <c r="E107" i="154"/>
  <c r="D107" i="154"/>
  <c r="C107" i="154"/>
  <c r="O106" i="154"/>
  <c r="E15" i="154" s="1"/>
  <c r="O105" i="154"/>
  <c r="E14" i="154" s="1"/>
  <c r="O104" i="154"/>
  <c r="E13" i="154" s="1"/>
  <c r="O103" i="154"/>
  <c r="E12" i="154" s="1"/>
  <c r="N91" i="154"/>
  <c r="M91" i="154"/>
  <c r="L91" i="154"/>
  <c r="K91" i="154"/>
  <c r="J91" i="154"/>
  <c r="I91" i="154"/>
  <c r="H91" i="154"/>
  <c r="H93" i="154" s="1"/>
  <c r="G91" i="154"/>
  <c r="F91" i="154"/>
  <c r="E91" i="154"/>
  <c r="D91" i="154"/>
  <c r="C91" i="154"/>
  <c r="O90" i="154"/>
  <c r="O89" i="154"/>
  <c r="D29" i="154" s="1"/>
  <c r="O87" i="154"/>
  <c r="O86" i="154"/>
  <c r="D23" i="154" s="1"/>
  <c r="O85" i="154"/>
  <c r="D22" i="154" s="1"/>
  <c r="O84" i="154"/>
  <c r="D21" i="154" s="1"/>
  <c r="O83" i="154"/>
  <c r="D20" i="154" s="1"/>
  <c r="O82" i="154"/>
  <c r="D19" i="154" s="1"/>
  <c r="N79" i="154"/>
  <c r="M79" i="154"/>
  <c r="L79" i="154"/>
  <c r="K79" i="154"/>
  <c r="J79" i="154"/>
  <c r="I79" i="154"/>
  <c r="H79" i="154"/>
  <c r="G79" i="154"/>
  <c r="F79" i="154"/>
  <c r="E79" i="154"/>
  <c r="D79" i="154"/>
  <c r="C79" i="154"/>
  <c r="O77" i="154"/>
  <c r="D14" i="154" s="1"/>
  <c r="O76" i="154"/>
  <c r="D13" i="154" s="1"/>
  <c r="O75" i="154"/>
  <c r="N65" i="154"/>
  <c r="M65" i="154"/>
  <c r="L65" i="154"/>
  <c r="K65" i="154"/>
  <c r="J65" i="154"/>
  <c r="I65" i="154"/>
  <c r="D28" i="154"/>
  <c r="L16" i="154"/>
  <c r="G115" i="90" s="1"/>
  <c r="H115" i="90" s="1"/>
  <c r="I115" i="90" s="1"/>
  <c r="K16" i="154"/>
  <c r="G106" i="90" s="1"/>
  <c r="H106" i="90" s="1"/>
  <c r="I106" i="90" s="1"/>
  <c r="J16" i="154"/>
  <c r="G95" i="90" s="1"/>
  <c r="H95" i="90" s="1"/>
  <c r="I95" i="90" s="1"/>
  <c r="I16" i="154"/>
  <c r="H16" i="154"/>
  <c r="G16" i="154"/>
  <c r="F16" i="154"/>
  <c r="D15" i="154"/>
  <c r="C12" i="154"/>
  <c r="B2" i="154"/>
  <c r="O120" i="153"/>
  <c r="E30" i="153" s="1"/>
  <c r="O119" i="153"/>
  <c r="E29" i="153" s="1"/>
  <c r="O118" i="153"/>
  <c r="E28" i="153" s="1"/>
  <c r="O115" i="153"/>
  <c r="E24" i="153" s="1"/>
  <c r="O113" i="153"/>
  <c r="E22" i="153" s="1"/>
  <c r="O112" i="153"/>
  <c r="E21" i="153" s="1"/>
  <c r="O111" i="153"/>
  <c r="E20" i="153" s="1"/>
  <c r="O110" i="153"/>
  <c r="O109" i="153"/>
  <c r="O106" i="153"/>
  <c r="E15" i="153" s="1"/>
  <c r="O105" i="153"/>
  <c r="E14" i="153" s="1"/>
  <c r="O104" i="153"/>
  <c r="E13" i="153" s="1"/>
  <c r="O103" i="153"/>
  <c r="N91" i="153"/>
  <c r="M91" i="153"/>
  <c r="L91" i="153"/>
  <c r="K91" i="153"/>
  <c r="J91" i="153"/>
  <c r="I91" i="153"/>
  <c r="H91" i="153"/>
  <c r="G91" i="153"/>
  <c r="F91" i="153"/>
  <c r="E91" i="153"/>
  <c r="D91" i="153"/>
  <c r="C91" i="153"/>
  <c r="O90" i="153"/>
  <c r="D30" i="153" s="1"/>
  <c r="O89" i="153"/>
  <c r="D29" i="153" s="1"/>
  <c r="O87" i="153"/>
  <c r="D24" i="153" s="1"/>
  <c r="O86" i="153"/>
  <c r="D23" i="153" s="1"/>
  <c r="O85" i="153"/>
  <c r="D22" i="153" s="1"/>
  <c r="O84" i="153"/>
  <c r="O83" i="153"/>
  <c r="D20" i="153" s="1"/>
  <c r="O82" i="153"/>
  <c r="D19" i="153" s="1"/>
  <c r="N79" i="153"/>
  <c r="M79" i="153"/>
  <c r="L79" i="153"/>
  <c r="K79" i="153"/>
  <c r="J79" i="153"/>
  <c r="I79" i="153"/>
  <c r="H79" i="153"/>
  <c r="G79" i="153"/>
  <c r="F79" i="153"/>
  <c r="E79" i="153"/>
  <c r="D79" i="153"/>
  <c r="C79" i="153"/>
  <c r="O77" i="153"/>
  <c r="D14" i="153" s="1"/>
  <c r="O76" i="153"/>
  <c r="D13" i="153" s="1"/>
  <c r="O75" i="153"/>
  <c r="N65" i="153"/>
  <c r="M65" i="153"/>
  <c r="L65" i="153"/>
  <c r="K65" i="153"/>
  <c r="J65" i="153"/>
  <c r="I65" i="153"/>
  <c r="N32" i="153"/>
  <c r="F132" i="90" s="1"/>
  <c r="M32" i="153"/>
  <c r="F123" i="90" s="1"/>
  <c r="L32" i="153"/>
  <c r="F114" i="90" s="1"/>
  <c r="K32" i="153"/>
  <c r="F105" i="90" s="1"/>
  <c r="J32" i="153"/>
  <c r="F94" i="90" s="1"/>
  <c r="I32" i="153"/>
  <c r="H32" i="153"/>
  <c r="G32" i="153"/>
  <c r="F32" i="153"/>
  <c r="D28" i="153"/>
  <c r="E23" i="153"/>
  <c r="N16" i="153"/>
  <c r="G132" i="90" s="1"/>
  <c r="M16" i="153"/>
  <c r="G123" i="90" s="1"/>
  <c r="L16" i="153"/>
  <c r="G114" i="90" s="1"/>
  <c r="K16" i="153"/>
  <c r="G105" i="90" s="1"/>
  <c r="J16" i="153"/>
  <c r="G94" i="90" s="1"/>
  <c r="I16" i="153"/>
  <c r="H16" i="153"/>
  <c r="G16" i="153"/>
  <c r="F16" i="153"/>
  <c r="D15" i="153"/>
  <c r="B2" i="153"/>
  <c r="B2" i="88"/>
  <c r="B2" i="58"/>
  <c r="N122" i="88"/>
  <c r="M122" i="88"/>
  <c r="L122" i="88"/>
  <c r="K122" i="88"/>
  <c r="J122" i="88"/>
  <c r="I122" i="88"/>
  <c r="H122" i="88"/>
  <c r="G122" i="88"/>
  <c r="F122" i="88"/>
  <c r="E122" i="88"/>
  <c r="D122" i="88"/>
  <c r="C122" i="88"/>
  <c r="O121" i="88"/>
  <c r="E30" i="88" s="1"/>
  <c r="E420" i="88" s="1"/>
  <c r="O120" i="88"/>
  <c r="E29" i="88" s="1"/>
  <c r="E419" i="88" s="1"/>
  <c r="O114" i="88"/>
  <c r="E22" i="88" s="1"/>
  <c r="E412" i="88" s="1"/>
  <c r="O113" i="88"/>
  <c r="E21" i="88" s="1"/>
  <c r="E411" i="88" s="1"/>
  <c r="O112" i="88"/>
  <c r="E20" i="88" s="1"/>
  <c r="E410" i="88" s="1"/>
  <c r="O111" i="88"/>
  <c r="O110" i="88"/>
  <c r="N108" i="88"/>
  <c r="M108" i="88"/>
  <c r="L108" i="88"/>
  <c r="K108" i="88"/>
  <c r="J108" i="88"/>
  <c r="I108" i="88"/>
  <c r="H108" i="88"/>
  <c r="G108" i="88"/>
  <c r="F108" i="88"/>
  <c r="E108" i="88"/>
  <c r="D108" i="88"/>
  <c r="C108" i="88"/>
  <c r="O107" i="88"/>
  <c r="E15" i="88" s="1"/>
  <c r="E405" i="88" s="1"/>
  <c r="O106" i="88"/>
  <c r="O105" i="88"/>
  <c r="O104" i="88"/>
  <c r="N79" i="88"/>
  <c r="M79" i="88"/>
  <c r="L79" i="88"/>
  <c r="K79" i="88"/>
  <c r="J79" i="88"/>
  <c r="I79" i="88"/>
  <c r="H79" i="88"/>
  <c r="G79" i="88"/>
  <c r="F79" i="88"/>
  <c r="E79" i="88"/>
  <c r="D79" i="88"/>
  <c r="C79" i="88"/>
  <c r="N92" i="88"/>
  <c r="M92" i="88"/>
  <c r="L92" i="88"/>
  <c r="K92" i="88"/>
  <c r="J92" i="88"/>
  <c r="I92" i="88"/>
  <c r="H92" i="88"/>
  <c r="G92" i="88"/>
  <c r="F92" i="88"/>
  <c r="E92" i="88"/>
  <c r="D92" i="88"/>
  <c r="C92" i="88"/>
  <c r="O90" i="88"/>
  <c r="D30" i="88" s="1"/>
  <c r="D420" i="88" s="1"/>
  <c r="O89" i="88"/>
  <c r="D29" i="88" s="1"/>
  <c r="D419" i="88" s="1"/>
  <c r="O87" i="88"/>
  <c r="D25" i="88" s="1"/>
  <c r="D415" i="88" s="1"/>
  <c r="O86" i="88"/>
  <c r="D23" i="88" s="1"/>
  <c r="D413" i="88" s="1"/>
  <c r="O85" i="88"/>
  <c r="D22" i="88" s="1"/>
  <c r="D412" i="88" s="1"/>
  <c r="O84" i="88"/>
  <c r="D21" i="88" s="1"/>
  <c r="D411" i="88" s="1"/>
  <c r="O83" i="88"/>
  <c r="D20" i="88" s="1"/>
  <c r="D410" i="88" s="1"/>
  <c r="O82" i="88"/>
  <c r="D19" i="88" s="1"/>
  <c r="D409" i="88" s="1"/>
  <c r="O77" i="88"/>
  <c r="D14" i="88" s="1"/>
  <c r="D404" i="88" s="1"/>
  <c r="O76" i="88"/>
  <c r="D13" i="88" s="1"/>
  <c r="D403" i="88" s="1"/>
  <c r="O75" i="88"/>
  <c r="C28" i="88"/>
  <c r="C418" i="88" s="1"/>
  <c r="L16" i="88"/>
  <c r="K16" i="88"/>
  <c r="J16" i="88"/>
  <c r="I16" i="88"/>
  <c r="G16" i="88"/>
  <c r="G34" i="88" s="1"/>
  <c r="F16" i="88"/>
  <c r="F34" i="88" s="1"/>
  <c r="C15" i="88"/>
  <c r="C405" i="88" s="1"/>
  <c r="N63" i="88"/>
  <c r="M63" i="88"/>
  <c r="L63" i="88"/>
  <c r="K63" i="88"/>
  <c r="J63" i="88"/>
  <c r="N51" i="88"/>
  <c r="M51" i="88"/>
  <c r="L51" i="88"/>
  <c r="K51" i="88"/>
  <c r="J51" i="88"/>
  <c r="I51" i="88"/>
  <c r="I63" i="88"/>
  <c r="C30" i="88"/>
  <c r="C29" i="88"/>
  <c r="C25" i="88"/>
  <c r="C23" i="88"/>
  <c r="C22" i="88"/>
  <c r="C21" i="88"/>
  <c r="C20" i="88"/>
  <c r="C19" i="88"/>
  <c r="O49" i="88"/>
  <c r="C14" i="88" s="1"/>
  <c r="C404" i="88" s="1"/>
  <c r="O48" i="88"/>
  <c r="C13" i="88" s="1"/>
  <c r="C403" i="88" s="1"/>
  <c r="O47" i="88"/>
  <c r="C12" i="88" s="1"/>
  <c r="C402" i="88" s="1"/>
  <c r="E53" i="107" l="1"/>
  <c r="M136" i="169"/>
  <c r="D37" i="178"/>
  <c r="D58" i="178" s="1"/>
  <c r="AO126" i="58"/>
  <c r="K49" i="178"/>
  <c r="K64" i="178"/>
  <c r="K70" i="178" s="1"/>
  <c r="X139" i="172"/>
  <c r="W138" i="172"/>
  <c r="X138" i="172" s="1"/>
  <c r="W51" i="171"/>
  <c r="AC126" i="58"/>
  <c r="L43" i="178"/>
  <c r="U65" i="170"/>
  <c r="AD83" i="58" s="1"/>
  <c r="M43" i="178" s="1"/>
  <c r="U127" i="178"/>
  <c r="T127" i="178"/>
  <c r="S127" i="178"/>
  <c r="R127" i="178"/>
  <c r="K86" i="122"/>
  <c r="V152" i="151" s="1"/>
  <c r="K85" i="122"/>
  <c r="K152" i="151" s="1"/>
  <c r="D99" i="164"/>
  <c r="E417" i="154"/>
  <c r="D101" i="164"/>
  <c r="E419" i="154"/>
  <c r="D100" i="164"/>
  <c r="E418" i="154"/>
  <c r="D92" i="164"/>
  <c r="E410" i="154"/>
  <c r="D93" i="164"/>
  <c r="E411" i="154"/>
  <c r="D91" i="164"/>
  <c r="E409" i="154"/>
  <c r="D83" i="164"/>
  <c r="E401" i="154"/>
  <c r="D84" i="164"/>
  <c r="E402" i="154"/>
  <c r="F123" i="154"/>
  <c r="G123" i="154"/>
  <c r="M25" i="171"/>
  <c r="M65" i="171" s="1"/>
  <c r="M21" i="171"/>
  <c r="Q21" i="171" s="1"/>
  <c r="M20" i="171"/>
  <c r="Q20" i="171" s="1"/>
  <c r="M22" i="171"/>
  <c r="Q22" i="171" s="1"/>
  <c r="U96" i="169"/>
  <c r="W96" i="169" s="1"/>
  <c r="X96" i="169" s="1"/>
  <c r="R18" i="171"/>
  <c r="R25" i="171" s="1"/>
  <c r="R65" i="171" s="1"/>
  <c r="AE39" i="58" s="1"/>
  <c r="U142" i="169"/>
  <c r="W142" i="169" s="1"/>
  <c r="X142" i="169" s="1"/>
  <c r="P18" i="171"/>
  <c r="P25" i="171" s="1"/>
  <c r="P65" i="171" s="1"/>
  <c r="P154" i="172"/>
  <c r="P155" i="172" s="1"/>
  <c r="U93" i="169"/>
  <c r="W93" i="169" s="1"/>
  <c r="U149" i="169"/>
  <c r="W149" i="169" s="1"/>
  <c r="X149" i="169" s="1"/>
  <c r="U122" i="172"/>
  <c r="Q25" i="174"/>
  <c r="Q65" i="174" s="1"/>
  <c r="M92" i="169"/>
  <c r="M122" i="169" s="1"/>
  <c r="L124" i="173"/>
  <c r="V101" i="73"/>
  <c r="I391" i="88"/>
  <c r="U98" i="169"/>
  <c r="P92" i="169"/>
  <c r="U115" i="169"/>
  <c r="W115" i="169" s="1"/>
  <c r="X115" i="169" s="1"/>
  <c r="P140" i="169"/>
  <c r="U140" i="169" s="1"/>
  <c r="W140" i="169" s="1"/>
  <c r="X140" i="169" s="1"/>
  <c r="M139" i="169"/>
  <c r="P155" i="168"/>
  <c r="U95" i="169"/>
  <c r="W95" i="169" s="1"/>
  <c r="X95" i="169" s="1"/>
  <c r="L152" i="173"/>
  <c r="L154" i="173" s="1"/>
  <c r="M118" i="169"/>
  <c r="Q118" i="169" s="1"/>
  <c r="Q92" i="169"/>
  <c r="Q139" i="169"/>
  <c r="U139" i="169" s="1"/>
  <c r="R92" i="169"/>
  <c r="L152" i="169"/>
  <c r="L154" i="169" s="1"/>
  <c r="L117" i="170"/>
  <c r="L151" i="170" s="1"/>
  <c r="L117" i="174"/>
  <c r="N276" i="117"/>
  <c r="N68" i="107"/>
  <c r="N69" i="107" s="1"/>
  <c r="N73" i="107" s="1"/>
  <c r="N75" i="107" s="1"/>
  <c r="N77" i="107" s="1"/>
  <c r="M276" i="117"/>
  <c r="M68" i="107"/>
  <c r="M69" i="107" s="1"/>
  <c r="M73" i="107" s="1"/>
  <c r="M75" i="107" s="1"/>
  <c r="M77" i="107" s="1"/>
  <c r="H276" i="117"/>
  <c r="H68" i="107"/>
  <c r="H69" i="107" s="1"/>
  <c r="H73" i="107" s="1"/>
  <c r="H75" i="107" s="1"/>
  <c r="H77" i="107" s="1"/>
  <c r="R139" i="173"/>
  <c r="R92" i="173"/>
  <c r="L96" i="170"/>
  <c r="R96" i="170" s="1"/>
  <c r="R142" i="170" s="1"/>
  <c r="L96" i="174"/>
  <c r="P141" i="169"/>
  <c r="U141" i="169" s="1"/>
  <c r="W141" i="169" s="1"/>
  <c r="X141" i="169" s="1"/>
  <c r="P139" i="173"/>
  <c r="U93" i="173"/>
  <c r="P92" i="173"/>
  <c r="Q43" i="175"/>
  <c r="Q54" i="175"/>
  <c r="M20" i="175"/>
  <c r="Q20" i="175" s="1"/>
  <c r="Q55" i="175"/>
  <c r="Q44" i="175"/>
  <c r="P18" i="175"/>
  <c r="Q49" i="175"/>
  <c r="M22" i="175"/>
  <c r="Q22" i="175" s="1"/>
  <c r="Q47" i="175"/>
  <c r="Q50" i="175"/>
  <c r="Q45" i="175"/>
  <c r="Q40" i="175"/>
  <c r="M25" i="175"/>
  <c r="M65" i="175" s="1"/>
  <c r="Q53" i="175"/>
  <c r="Q48" i="175"/>
  <c r="Q60" i="175"/>
  <c r="Q59" i="175"/>
  <c r="Q38" i="175"/>
  <c r="Q39" i="175"/>
  <c r="M21" i="175"/>
  <c r="Q21" i="175" s="1"/>
  <c r="Q37" i="175"/>
  <c r="Q56" i="175"/>
  <c r="Q62" i="175"/>
  <c r="Q42" i="175"/>
  <c r="Q61" i="175"/>
  <c r="M19" i="175"/>
  <c r="Q19" i="175" s="1"/>
  <c r="P140" i="173"/>
  <c r="U140" i="173" s="1"/>
  <c r="W140" i="173" s="1"/>
  <c r="X140" i="173" s="1"/>
  <c r="U94" i="173"/>
  <c r="W94" i="173" s="1"/>
  <c r="X94" i="173" s="1"/>
  <c r="L93" i="170"/>
  <c r="Q93" i="170" s="1"/>
  <c r="L93" i="174"/>
  <c r="R117" i="169"/>
  <c r="R151" i="169" s="1"/>
  <c r="R152" i="169" s="1"/>
  <c r="L27" i="122"/>
  <c r="N147" i="82"/>
  <c r="Q147" i="82" s="1"/>
  <c r="F207" i="82"/>
  <c r="Q232" i="117"/>
  <c r="L36" i="122"/>
  <c r="L115" i="170"/>
  <c r="P115" i="170" s="1"/>
  <c r="L115" i="174"/>
  <c r="P117" i="173"/>
  <c r="M118" i="173"/>
  <c r="Q118" i="173" s="1"/>
  <c r="M120" i="173"/>
  <c r="Q120" i="173" s="1"/>
  <c r="M119" i="173"/>
  <c r="Q119" i="173" s="1"/>
  <c r="M151" i="173"/>
  <c r="R117" i="173"/>
  <c r="R151" i="173" s="1"/>
  <c r="M121" i="173"/>
  <c r="Q121" i="173" s="1"/>
  <c r="P142" i="173"/>
  <c r="U142" i="173" s="1"/>
  <c r="W142" i="173" s="1"/>
  <c r="X142" i="173" s="1"/>
  <c r="U96" i="173"/>
  <c r="W96" i="173" s="1"/>
  <c r="X96" i="173" s="1"/>
  <c r="U83" i="172"/>
  <c r="Q90" i="172"/>
  <c r="Q124" i="172" s="1"/>
  <c r="Q133" i="172"/>
  <c r="M120" i="169"/>
  <c r="Q120" i="169" s="1"/>
  <c r="X92" i="172"/>
  <c r="W122" i="172"/>
  <c r="Q25" i="173"/>
  <c r="Q65" i="173" s="1"/>
  <c r="L94" i="170"/>
  <c r="P94" i="170" s="1"/>
  <c r="L94" i="174"/>
  <c r="L95" i="170"/>
  <c r="L141" i="170" s="1"/>
  <c r="L95" i="174"/>
  <c r="P141" i="173"/>
  <c r="U141" i="173" s="1"/>
  <c r="W141" i="173" s="1"/>
  <c r="X141" i="173" s="1"/>
  <c r="U95" i="173"/>
  <c r="W95" i="173" s="1"/>
  <c r="X95" i="173" s="1"/>
  <c r="M119" i="169"/>
  <c r="Q119" i="169" s="1"/>
  <c r="M112" i="173"/>
  <c r="Q112" i="173" s="1"/>
  <c r="P110" i="173"/>
  <c r="M148" i="173"/>
  <c r="M113" i="173"/>
  <c r="Q113" i="173" s="1"/>
  <c r="M111" i="173"/>
  <c r="Q111" i="173" s="1"/>
  <c r="R110" i="173"/>
  <c r="R148" i="173" s="1"/>
  <c r="M114" i="173"/>
  <c r="Q114" i="173" s="1"/>
  <c r="R155" i="168"/>
  <c r="W99" i="173"/>
  <c r="U98" i="173"/>
  <c r="M85" i="173"/>
  <c r="Q85" i="173" s="1"/>
  <c r="R83" i="173"/>
  <c r="M87" i="173"/>
  <c r="Q87" i="173" s="1"/>
  <c r="M86" i="173"/>
  <c r="Q86" i="173" s="1"/>
  <c r="P83" i="173"/>
  <c r="M84" i="173"/>
  <c r="M133" i="173"/>
  <c r="M136" i="173" s="1"/>
  <c r="Q139" i="173"/>
  <c r="Q92" i="173"/>
  <c r="M151" i="169"/>
  <c r="E55" i="107"/>
  <c r="E57" i="107" s="1"/>
  <c r="L14" i="107" s="1"/>
  <c r="T10" i="179" s="1"/>
  <c r="M83" i="174"/>
  <c r="L133" i="174"/>
  <c r="L136" i="174" s="1"/>
  <c r="P117" i="169"/>
  <c r="P151" i="169" s="1"/>
  <c r="L110" i="170"/>
  <c r="L148" i="170" s="1"/>
  <c r="L110" i="174"/>
  <c r="J276" i="117"/>
  <c r="J68" i="107"/>
  <c r="J69" i="107" s="1"/>
  <c r="J73" i="107" s="1"/>
  <c r="J75" i="107" s="1"/>
  <c r="J77" i="107" s="1"/>
  <c r="U94" i="169"/>
  <c r="W94" i="169" s="1"/>
  <c r="X94" i="169" s="1"/>
  <c r="U115" i="173"/>
  <c r="W115" i="173" s="1"/>
  <c r="X115" i="173" s="1"/>
  <c r="P149" i="173"/>
  <c r="M139" i="173"/>
  <c r="M92" i="173"/>
  <c r="M122" i="173" s="1"/>
  <c r="L99" i="170"/>
  <c r="R99" i="170" s="1"/>
  <c r="L99" i="174"/>
  <c r="K276" i="117"/>
  <c r="K68" i="107"/>
  <c r="K69" i="107" s="1"/>
  <c r="K73" i="107" s="1"/>
  <c r="K75" i="107" s="1"/>
  <c r="K77" i="107" s="1"/>
  <c r="U145" i="173"/>
  <c r="W145" i="173" s="1"/>
  <c r="X145" i="173" s="1"/>
  <c r="M90" i="169"/>
  <c r="X63" i="170"/>
  <c r="X18" i="169"/>
  <c r="D51" i="106" s="1"/>
  <c r="W25" i="169"/>
  <c r="X25" i="169" s="1"/>
  <c r="P90" i="169"/>
  <c r="P133" i="169"/>
  <c r="W139" i="168"/>
  <c r="X139" i="168" s="1"/>
  <c r="U152" i="168"/>
  <c r="Q110" i="169"/>
  <c r="Q148" i="169" s="1"/>
  <c r="X83" i="168"/>
  <c r="W90" i="168"/>
  <c r="X90" i="168" s="1"/>
  <c r="U133" i="168"/>
  <c r="Q136" i="168"/>
  <c r="Q154" i="168" s="1"/>
  <c r="Q155" i="168" s="1"/>
  <c r="X25" i="168"/>
  <c r="W65" i="168"/>
  <c r="Q83" i="169"/>
  <c r="L83" i="58"/>
  <c r="W100" i="73"/>
  <c r="D19" i="178" s="1"/>
  <c r="R90" i="169"/>
  <c r="R133" i="169"/>
  <c r="R136" i="169" s="1"/>
  <c r="P148" i="169"/>
  <c r="M16" i="154"/>
  <c r="G124" i="90" s="1"/>
  <c r="G125" i="90" s="1"/>
  <c r="L83" i="170"/>
  <c r="X63" i="169"/>
  <c r="X51" i="171"/>
  <c r="D77" i="106" s="1"/>
  <c r="W63" i="171"/>
  <c r="X18" i="170"/>
  <c r="D63" i="106" s="1"/>
  <c r="W25" i="170"/>
  <c r="X25" i="170" s="1"/>
  <c r="U124" i="168"/>
  <c r="AP83" i="58" s="1"/>
  <c r="R43" i="178" s="1"/>
  <c r="X99" i="169"/>
  <c r="W98" i="169"/>
  <c r="X98" i="169" s="1"/>
  <c r="X93" i="168"/>
  <c r="W92" i="168"/>
  <c r="C420" i="88"/>
  <c r="D29" i="72"/>
  <c r="P29" i="72" s="1"/>
  <c r="C419" i="88"/>
  <c r="D28" i="72"/>
  <c r="P28" i="72" s="1"/>
  <c r="C411" i="88"/>
  <c r="D20" i="72"/>
  <c r="P20" i="72" s="1"/>
  <c r="C412" i="88"/>
  <c r="D21" i="72"/>
  <c r="P21" i="72" s="1"/>
  <c r="C413" i="88"/>
  <c r="D22" i="72"/>
  <c r="P22" i="72" s="1"/>
  <c r="C415" i="88"/>
  <c r="D24" i="72"/>
  <c r="P24" i="72" s="1"/>
  <c r="C410" i="88"/>
  <c r="D19" i="72"/>
  <c r="P19" i="72" s="1"/>
  <c r="C409" i="88"/>
  <c r="C422" i="88" s="1"/>
  <c r="C424" i="88" s="1"/>
  <c r="D18" i="72"/>
  <c r="P18" i="72" s="1"/>
  <c r="E377" i="154"/>
  <c r="E387" i="156"/>
  <c r="K391" i="156"/>
  <c r="D382" i="88"/>
  <c r="C384" i="156"/>
  <c r="F289" i="117"/>
  <c r="F302" i="117" s="1"/>
  <c r="O289" i="117"/>
  <c r="O302" i="117" s="1"/>
  <c r="P289" i="117"/>
  <c r="P302" i="117" s="1"/>
  <c r="J289" i="117"/>
  <c r="J302" i="117" s="1"/>
  <c r="M289" i="117"/>
  <c r="M302" i="117" s="1"/>
  <c r="K289" i="117"/>
  <c r="K302" i="117" s="1"/>
  <c r="J382" i="88"/>
  <c r="H289" i="117"/>
  <c r="H302" i="117" s="1"/>
  <c r="M42" i="122"/>
  <c r="E262" i="117"/>
  <c r="N289" i="117"/>
  <c r="N302" i="117" s="1"/>
  <c r="G289" i="117"/>
  <c r="G302" i="117" s="1"/>
  <c r="L289" i="117"/>
  <c r="L302" i="117" s="1"/>
  <c r="I289" i="117"/>
  <c r="I302" i="117" s="1"/>
  <c r="G375" i="88"/>
  <c r="G378" i="88" s="1"/>
  <c r="Q246" i="117"/>
  <c r="G377" i="154"/>
  <c r="E375" i="88"/>
  <c r="E378" i="88" s="1"/>
  <c r="M387" i="156"/>
  <c r="G96" i="90"/>
  <c r="C375" i="88"/>
  <c r="C378" i="88" s="1"/>
  <c r="G107" i="90"/>
  <c r="C381" i="156"/>
  <c r="J375" i="88"/>
  <c r="J378" i="88" s="1"/>
  <c r="N383" i="88"/>
  <c r="K377" i="154"/>
  <c r="J381" i="156"/>
  <c r="M375" i="156"/>
  <c r="M378" i="156" s="1"/>
  <c r="G116" i="90"/>
  <c r="K383" i="156"/>
  <c r="M377" i="154"/>
  <c r="K375" i="88"/>
  <c r="K378" i="88" s="1"/>
  <c r="I383" i="88"/>
  <c r="C390" i="156"/>
  <c r="M391" i="156"/>
  <c r="M391" i="88"/>
  <c r="H123" i="90"/>
  <c r="I123" i="90" s="1"/>
  <c r="F384" i="156"/>
  <c r="F116" i="90"/>
  <c r="H114" i="90"/>
  <c r="I114" i="90" s="1"/>
  <c r="H132" i="90"/>
  <c r="I132" i="90" s="1"/>
  <c r="H375" i="156"/>
  <c r="H378" i="156" s="1"/>
  <c r="G382" i="88"/>
  <c r="I375" i="88"/>
  <c r="I378" i="88" s="1"/>
  <c r="I387" i="88"/>
  <c r="L15" i="121"/>
  <c r="L16" i="121" s="1"/>
  <c r="L18" i="121" s="1"/>
  <c r="M48" i="122"/>
  <c r="M47" i="122" s="1"/>
  <c r="M45" i="122" s="1"/>
  <c r="H375" i="88"/>
  <c r="H378" i="88" s="1"/>
  <c r="G387" i="156"/>
  <c r="D375" i="88"/>
  <c r="D378" i="88" s="1"/>
  <c r="I375" i="156"/>
  <c r="I378" i="156" s="1"/>
  <c r="D375" i="156"/>
  <c r="D378" i="156" s="1"/>
  <c r="H94" i="90"/>
  <c r="I94" i="90" s="1"/>
  <c r="F96" i="90"/>
  <c r="K15" i="121"/>
  <c r="K16" i="121" s="1"/>
  <c r="K18" i="121" s="1"/>
  <c r="L48" i="122"/>
  <c r="L47" i="122" s="1"/>
  <c r="L45" i="122" s="1"/>
  <c r="L44" i="122" s="1"/>
  <c r="F107" i="90"/>
  <c r="H105" i="90"/>
  <c r="I105" i="90" s="1"/>
  <c r="J15" i="121"/>
  <c r="J16" i="121" s="1"/>
  <c r="J18" i="121" s="1"/>
  <c r="K48" i="122"/>
  <c r="K47" i="122" s="1"/>
  <c r="K45" i="122" s="1"/>
  <c r="K44" i="122" s="1"/>
  <c r="J384" i="156"/>
  <c r="C375" i="156"/>
  <c r="C378" i="156" s="1"/>
  <c r="F375" i="156"/>
  <c r="F378" i="156" s="1"/>
  <c r="F377" i="154"/>
  <c r="F387" i="156"/>
  <c r="O374" i="154"/>
  <c r="N13" i="154" s="1"/>
  <c r="L83" i="175" s="1"/>
  <c r="N381" i="88"/>
  <c r="J377" i="154"/>
  <c r="C382" i="88"/>
  <c r="G390" i="88"/>
  <c r="F382" i="156"/>
  <c r="E391" i="156"/>
  <c r="E391" i="88"/>
  <c r="I382" i="88"/>
  <c r="K390" i="156"/>
  <c r="N391" i="156"/>
  <c r="N391" i="88"/>
  <c r="C391" i="88"/>
  <c r="C391" i="156"/>
  <c r="O380" i="154"/>
  <c r="N19" i="154" s="1"/>
  <c r="G391" i="156"/>
  <c r="G391" i="88"/>
  <c r="H391" i="88"/>
  <c r="H391" i="156"/>
  <c r="O383" i="154"/>
  <c r="N22" i="154" s="1"/>
  <c r="O390" i="154"/>
  <c r="N29" i="154" s="1"/>
  <c r="L375" i="156"/>
  <c r="L378" i="156" s="1"/>
  <c r="L375" i="88"/>
  <c r="L378" i="88" s="1"/>
  <c r="O382" i="154"/>
  <c r="N21" i="154" s="1"/>
  <c r="D391" i="88"/>
  <c r="D391" i="156"/>
  <c r="L391" i="88"/>
  <c r="L391" i="156"/>
  <c r="J391" i="156"/>
  <c r="J391" i="88"/>
  <c r="O386" i="154"/>
  <c r="N25" i="154" s="1"/>
  <c r="O381" i="154"/>
  <c r="N20" i="154" s="1"/>
  <c r="L383" i="156"/>
  <c r="L383" i="88"/>
  <c r="M390" i="156"/>
  <c r="C387" i="88"/>
  <c r="D387" i="88"/>
  <c r="G383" i="88"/>
  <c r="G383" i="156"/>
  <c r="F383" i="156"/>
  <c r="F383" i="88"/>
  <c r="J383" i="156"/>
  <c r="J383" i="88"/>
  <c r="F393" i="154"/>
  <c r="C383" i="156"/>
  <c r="C383" i="88"/>
  <c r="M383" i="156"/>
  <c r="M383" i="88"/>
  <c r="E383" i="156"/>
  <c r="E383" i="88"/>
  <c r="H383" i="88"/>
  <c r="H383" i="156"/>
  <c r="F393" i="88"/>
  <c r="F393" i="156"/>
  <c r="L381" i="156"/>
  <c r="L381" i="88"/>
  <c r="L393" i="154"/>
  <c r="L395" i="154" s="1"/>
  <c r="G384" i="156"/>
  <c r="G384" i="88"/>
  <c r="D384" i="88"/>
  <c r="D384" i="156"/>
  <c r="M393" i="88"/>
  <c r="M393" i="156"/>
  <c r="L393" i="156"/>
  <c r="L393" i="88"/>
  <c r="M32" i="154"/>
  <c r="F124" i="90" s="1"/>
  <c r="O366" i="88"/>
  <c r="M19" i="88"/>
  <c r="G393" i="88"/>
  <c r="G393" i="156"/>
  <c r="L387" i="156"/>
  <c r="L387" i="88"/>
  <c r="D381" i="156"/>
  <c r="D381" i="88"/>
  <c r="D393" i="154"/>
  <c r="D395" i="154" s="1"/>
  <c r="E384" i="88"/>
  <c r="E384" i="156"/>
  <c r="L382" i="156"/>
  <c r="L382" i="88"/>
  <c r="K393" i="88"/>
  <c r="K393" i="156"/>
  <c r="H381" i="88"/>
  <c r="H381" i="156"/>
  <c r="H393" i="154"/>
  <c r="H395" i="154" s="1"/>
  <c r="M381" i="88"/>
  <c r="M381" i="156"/>
  <c r="M393" i="154"/>
  <c r="H390" i="88"/>
  <c r="H390" i="156"/>
  <c r="E381" i="156"/>
  <c r="E381" i="88"/>
  <c r="E393" i="154"/>
  <c r="C368" i="88"/>
  <c r="E284" i="117" s="1"/>
  <c r="E287" i="117" s="1"/>
  <c r="J390" i="88"/>
  <c r="J390" i="156"/>
  <c r="O392" i="154"/>
  <c r="N31" i="154" s="1"/>
  <c r="C393" i="156"/>
  <c r="C393" i="88"/>
  <c r="N387" i="156"/>
  <c r="N387" i="88"/>
  <c r="D390" i="156"/>
  <c r="D390" i="88"/>
  <c r="C393" i="154"/>
  <c r="C395" i="154" s="1"/>
  <c r="M384" i="156"/>
  <c r="M384" i="88"/>
  <c r="N393" i="154"/>
  <c r="N395" i="154" s="1"/>
  <c r="O367" i="154"/>
  <c r="N393" i="156"/>
  <c r="N393" i="88"/>
  <c r="H382" i="88"/>
  <c r="H382" i="156"/>
  <c r="E390" i="156"/>
  <c r="E390" i="88"/>
  <c r="J393" i="156"/>
  <c r="J393" i="88"/>
  <c r="J393" i="154"/>
  <c r="N390" i="156"/>
  <c r="N390" i="88"/>
  <c r="L384" i="156"/>
  <c r="L384" i="88"/>
  <c r="M13" i="156"/>
  <c r="M16" i="156" s="1"/>
  <c r="O350" i="156"/>
  <c r="E382" i="88"/>
  <c r="E382" i="156"/>
  <c r="M13" i="88"/>
  <c r="O350" i="88"/>
  <c r="N382" i="156"/>
  <c r="N382" i="88"/>
  <c r="K384" i="88"/>
  <c r="K384" i="156"/>
  <c r="M19" i="156"/>
  <c r="M32" i="156" s="1"/>
  <c r="O366" i="156"/>
  <c r="E393" i="88"/>
  <c r="E393" i="156"/>
  <c r="I393" i="88"/>
  <c r="I393" i="156"/>
  <c r="K381" i="88"/>
  <c r="K381" i="156"/>
  <c r="K393" i="154"/>
  <c r="K382" i="88"/>
  <c r="K382" i="156"/>
  <c r="I390" i="88"/>
  <c r="I390" i="156"/>
  <c r="F390" i="156"/>
  <c r="F390" i="88"/>
  <c r="N384" i="156"/>
  <c r="N384" i="88"/>
  <c r="I384" i="156"/>
  <c r="I384" i="88"/>
  <c r="O389" i="154"/>
  <c r="N28" i="154" s="1"/>
  <c r="K387" i="88"/>
  <c r="K387" i="156"/>
  <c r="I381" i="156"/>
  <c r="I381" i="88"/>
  <c r="I393" i="154"/>
  <c r="I395" i="154" s="1"/>
  <c r="H393" i="88"/>
  <c r="H393" i="156"/>
  <c r="J387" i="156"/>
  <c r="J387" i="88"/>
  <c r="G381" i="156"/>
  <c r="G381" i="88"/>
  <c r="G393" i="154"/>
  <c r="C368" i="156"/>
  <c r="D393" i="88"/>
  <c r="D393" i="156"/>
  <c r="C32" i="88"/>
  <c r="I65" i="88"/>
  <c r="C16" i="88"/>
  <c r="E93" i="154"/>
  <c r="M65" i="88"/>
  <c r="I34" i="88"/>
  <c r="O51" i="88"/>
  <c r="D28" i="88"/>
  <c r="K34" i="154"/>
  <c r="E123" i="154"/>
  <c r="D124" i="88"/>
  <c r="F65" i="117" s="1"/>
  <c r="F67" i="117" s="1"/>
  <c r="H34" i="154"/>
  <c r="L34" i="154"/>
  <c r="I34" i="154"/>
  <c r="G34" i="154"/>
  <c r="F124" i="88"/>
  <c r="H65" i="117" s="1"/>
  <c r="H67" i="117" s="1"/>
  <c r="H94" i="88"/>
  <c r="O79" i="153"/>
  <c r="L124" i="88"/>
  <c r="N65" i="117" s="1"/>
  <c r="N67" i="117" s="1"/>
  <c r="G124" i="88"/>
  <c r="I65" i="117" s="1"/>
  <c r="I67" i="117" s="1"/>
  <c r="G94" i="88"/>
  <c r="H34" i="153"/>
  <c r="H124" i="88"/>
  <c r="J65" i="117" s="1"/>
  <c r="J67" i="117" s="1"/>
  <c r="N34" i="153"/>
  <c r="G34" i="153"/>
  <c r="N93" i="153"/>
  <c r="J34" i="88"/>
  <c r="J65" i="88"/>
  <c r="K34" i="88"/>
  <c r="D17" i="178" s="1"/>
  <c r="L34" i="88"/>
  <c r="E17" i="178" s="1"/>
  <c r="K65" i="88"/>
  <c r="L65" i="88"/>
  <c r="N65" i="88"/>
  <c r="K124" i="88"/>
  <c r="M65" i="117" s="1"/>
  <c r="M67" i="117" s="1"/>
  <c r="M124" i="88"/>
  <c r="O65" i="117" s="1"/>
  <c r="O67" i="117" s="1"/>
  <c r="C124" i="88"/>
  <c r="E65" i="117" s="1"/>
  <c r="E67" i="117" s="1"/>
  <c r="E13" i="88"/>
  <c r="E403" i="88" s="1"/>
  <c r="O108" i="88"/>
  <c r="N124" i="88"/>
  <c r="P65" i="117" s="1"/>
  <c r="P67" i="117" s="1"/>
  <c r="E124" i="88"/>
  <c r="G65" i="117" s="1"/>
  <c r="G67" i="117" s="1"/>
  <c r="E12" i="88"/>
  <c r="E402" i="88" s="1"/>
  <c r="O122" i="88"/>
  <c r="E14" i="88"/>
  <c r="E404" i="88" s="1"/>
  <c r="O63" i="88"/>
  <c r="I124" i="88"/>
  <c r="K65" i="117" s="1"/>
  <c r="K67" i="117" s="1"/>
  <c r="E19" i="88"/>
  <c r="J124" i="88"/>
  <c r="L65" i="117" s="1"/>
  <c r="L67" i="117" s="1"/>
  <c r="L34" i="153"/>
  <c r="M34" i="153"/>
  <c r="I34" i="153"/>
  <c r="J34" i="153"/>
  <c r="K65" i="122" s="1"/>
  <c r="G93" i="153"/>
  <c r="K34" i="153"/>
  <c r="H93" i="153"/>
  <c r="L93" i="153"/>
  <c r="F34" i="153"/>
  <c r="M93" i="153"/>
  <c r="P75" i="88"/>
  <c r="Q75" i="88" s="1"/>
  <c r="H123" i="154"/>
  <c r="F34" i="154"/>
  <c r="D93" i="154"/>
  <c r="E94" i="88"/>
  <c r="C93" i="154"/>
  <c r="J34" i="154"/>
  <c r="K66" i="122" s="1"/>
  <c r="K123" i="154"/>
  <c r="O107" i="153"/>
  <c r="E12" i="153"/>
  <c r="E16" i="153" s="1"/>
  <c r="O121" i="153"/>
  <c r="D123" i="154"/>
  <c r="E16" i="154"/>
  <c r="G37" i="90" s="1"/>
  <c r="G38" i="90" s="1"/>
  <c r="C94" i="88"/>
  <c r="N94" i="88"/>
  <c r="O92" i="88"/>
  <c r="M94" i="88"/>
  <c r="F94" i="88"/>
  <c r="O79" i="88"/>
  <c r="D12" i="88"/>
  <c r="D30" i="154"/>
  <c r="D32" i="154" s="1"/>
  <c r="G25" i="90" s="1"/>
  <c r="O79" i="154"/>
  <c r="I93" i="154"/>
  <c r="J93" i="154"/>
  <c r="L123" i="154"/>
  <c r="M123" i="154"/>
  <c r="N123" i="154"/>
  <c r="O121" i="154"/>
  <c r="C123" i="154"/>
  <c r="O107" i="154"/>
  <c r="I123" i="154"/>
  <c r="J123" i="154"/>
  <c r="F93" i="154"/>
  <c r="G93" i="154"/>
  <c r="L93" i="154"/>
  <c r="M93" i="154"/>
  <c r="K93" i="154"/>
  <c r="N93" i="154"/>
  <c r="F93" i="153"/>
  <c r="D93" i="153"/>
  <c r="C93" i="153"/>
  <c r="E93" i="153"/>
  <c r="O91" i="153"/>
  <c r="J93" i="153"/>
  <c r="I93" i="153"/>
  <c r="K93" i="153"/>
  <c r="O65" i="154"/>
  <c r="O91" i="154"/>
  <c r="D12" i="154"/>
  <c r="D16" i="154" s="1"/>
  <c r="E19" i="154"/>
  <c r="O65" i="153"/>
  <c r="D21" i="153"/>
  <c r="D32" i="153" s="1"/>
  <c r="D12" i="153"/>
  <c r="D16" i="153" s="1"/>
  <c r="E19" i="153"/>
  <c r="E32" i="153" s="1"/>
  <c r="I94" i="88"/>
  <c r="L94" i="88"/>
  <c r="D94" i="88"/>
  <c r="J94" i="88"/>
  <c r="K94" i="88"/>
  <c r="T12" i="179" l="1"/>
  <c r="M16" i="88"/>
  <c r="M44" i="122"/>
  <c r="N17" i="178"/>
  <c r="N123" i="178" s="1"/>
  <c r="W12" i="179"/>
  <c r="W15" i="179" s="1"/>
  <c r="M17" i="178"/>
  <c r="M27" i="178" s="1"/>
  <c r="V12" i="179"/>
  <c r="M32" i="88"/>
  <c r="T13" i="179"/>
  <c r="L17" i="178"/>
  <c r="L27" i="178" s="1"/>
  <c r="U12" i="179"/>
  <c r="R49" i="178"/>
  <c r="R64" i="178"/>
  <c r="R70" i="178" s="1"/>
  <c r="M49" i="178"/>
  <c r="M64" i="178"/>
  <c r="M70" i="178" s="1"/>
  <c r="L49" i="178"/>
  <c r="L64" i="178"/>
  <c r="L70" i="178" s="1"/>
  <c r="M66" i="122"/>
  <c r="S17" i="178"/>
  <c r="L66" i="122"/>
  <c r="R17" i="178"/>
  <c r="M123" i="178"/>
  <c r="E27" i="178"/>
  <c r="E123" i="178"/>
  <c r="L65" i="122"/>
  <c r="K17" i="178"/>
  <c r="D27" i="178"/>
  <c r="D123" i="178"/>
  <c r="E286" i="117"/>
  <c r="Q286" i="117" s="1"/>
  <c r="Q287" i="117"/>
  <c r="M60" i="122"/>
  <c r="AD126" i="58"/>
  <c r="AV39" i="58"/>
  <c r="N37" i="178"/>
  <c r="N58" i="178" s="1"/>
  <c r="G127" i="178"/>
  <c r="D127" i="178"/>
  <c r="F127" i="178"/>
  <c r="E127" i="178"/>
  <c r="D99" i="72"/>
  <c r="P99" i="164"/>
  <c r="D101" i="72"/>
  <c r="P101" i="164"/>
  <c r="D100" i="72"/>
  <c r="P100" i="164"/>
  <c r="D91" i="72"/>
  <c r="P91" i="72" s="1"/>
  <c r="P91" i="164"/>
  <c r="D93" i="72"/>
  <c r="P93" i="72" s="1"/>
  <c r="P93" i="164"/>
  <c r="E32" i="154"/>
  <c r="F37" i="90" s="1"/>
  <c r="F38" i="90" s="1"/>
  <c r="H38" i="90" s="1"/>
  <c r="D90" i="164"/>
  <c r="E408" i="154"/>
  <c r="E421" i="154" s="1"/>
  <c r="D92" i="72"/>
  <c r="P92" i="72" s="1"/>
  <c r="P92" i="164"/>
  <c r="D84" i="72"/>
  <c r="P84" i="164"/>
  <c r="E405" i="154"/>
  <c r="D83" i="72"/>
  <c r="G58" i="113" s="1"/>
  <c r="D87" i="164"/>
  <c r="P83" i="164"/>
  <c r="Q67" i="117"/>
  <c r="R67" i="117" s="1"/>
  <c r="Q65" i="117"/>
  <c r="H37" i="90"/>
  <c r="I37" i="90" s="1"/>
  <c r="Q18" i="171"/>
  <c r="U18" i="171" s="1"/>
  <c r="M124" i="169"/>
  <c r="R115" i="170"/>
  <c r="R149" i="170" s="1"/>
  <c r="AP126" i="58"/>
  <c r="L126" i="58"/>
  <c r="M152" i="173"/>
  <c r="M154" i="173" s="1"/>
  <c r="M95" i="170"/>
  <c r="M141" i="170" s="1"/>
  <c r="M117" i="170"/>
  <c r="M121" i="170" s="1"/>
  <c r="Q121" i="170" s="1"/>
  <c r="Q95" i="170"/>
  <c r="Q141" i="170" s="1"/>
  <c r="P95" i="170"/>
  <c r="P141" i="170" s="1"/>
  <c r="M152" i="169"/>
  <c r="M154" i="169" s="1"/>
  <c r="L140" i="170"/>
  <c r="R95" i="170"/>
  <c r="R141" i="170" s="1"/>
  <c r="R94" i="170"/>
  <c r="R140" i="170" s="1"/>
  <c r="P122" i="169"/>
  <c r="P124" i="169" s="1"/>
  <c r="Q117" i="169"/>
  <c r="Q151" i="169" s="1"/>
  <c r="U151" i="169" s="1"/>
  <c r="W151" i="169" s="1"/>
  <c r="X151" i="169" s="1"/>
  <c r="M94" i="170"/>
  <c r="M140" i="170" s="1"/>
  <c r="R154" i="169"/>
  <c r="N39" i="58" s="1"/>
  <c r="U92" i="169"/>
  <c r="Q94" i="170"/>
  <c r="Q140" i="170" s="1"/>
  <c r="R122" i="169"/>
  <c r="R124" i="169" s="1"/>
  <c r="AQ39" i="58" s="1"/>
  <c r="S37" i="178" s="1"/>
  <c r="S58" i="178" s="1"/>
  <c r="L149" i="170"/>
  <c r="M110" i="170"/>
  <c r="M112" i="170" s="1"/>
  <c r="Q112" i="170" s="1"/>
  <c r="M115" i="170"/>
  <c r="M149" i="170" s="1"/>
  <c r="Q18" i="175"/>
  <c r="Q25" i="175" s="1"/>
  <c r="Q65" i="175" s="1"/>
  <c r="Q96" i="170"/>
  <c r="Q142" i="170" s="1"/>
  <c r="L145" i="170"/>
  <c r="M93" i="170"/>
  <c r="M139" i="170" s="1"/>
  <c r="P122" i="173"/>
  <c r="P96" i="170"/>
  <c r="P142" i="170" s="1"/>
  <c r="P93" i="170"/>
  <c r="L142" i="170"/>
  <c r="R93" i="170"/>
  <c r="L139" i="170"/>
  <c r="L155" i="169"/>
  <c r="U139" i="173"/>
  <c r="W139" i="173" s="1"/>
  <c r="X139" i="173" s="1"/>
  <c r="M96" i="170"/>
  <c r="M142" i="170" s="1"/>
  <c r="Q110" i="173"/>
  <c r="Q148" i="173" s="1"/>
  <c r="L101" i="73"/>
  <c r="L155" i="168"/>
  <c r="L155" i="172"/>
  <c r="I303" i="117"/>
  <c r="I88" i="107"/>
  <c r="I89" i="107" s="1"/>
  <c r="I93" i="107" s="1"/>
  <c r="I95" i="107" s="1"/>
  <c r="I97" i="107" s="1"/>
  <c r="M110" i="174"/>
  <c r="L148" i="174"/>
  <c r="L95" i="171"/>
  <c r="L141" i="171" s="1"/>
  <c r="L95" i="175"/>
  <c r="Q136" i="172"/>
  <c r="Q154" i="172" s="1"/>
  <c r="Q155" i="172" s="1"/>
  <c r="Q117" i="173"/>
  <c r="Q151" i="173" s="1"/>
  <c r="W93" i="173"/>
  <c r="U92" i="173"/>
  <c r="H303" i="117"/>
  <c r="H88" i="107"/>
  <c r="H89" i="107" s="1"/>
  <c r="H93" i="107" s="1"/>
  <c r="H95" i="107" s="1"/>
  <c r="H97" i="107" s="1"/>
  <c r="F303" i="117"/>
  <c r="F88" i="107"/>
  <c r="F89" i="107" s="1"/>
  <c r="F93" i="107" s="1"/>
  <c r="F95" i="107" s="1"/>
  <c r="F97" i="107" s="1"/>
  <c r="X122" i="172"/>
  <c r="L43" i="122"/>
  <c r="L64" i="122"/>
  <c r="L68" i="122" s="1"/>
  <c r="U110" i="169"/>
  <c r="W110" i="169" s="1"/>
  <c r="X110" i="169" s="1"/>
  <c r="K94" i="155"/>
  <c r="N65" i="122"/>
  <c r="L115" i="171"/>
  <c r="R115" i="171" s="1"/>
  <c r="R149" i="171" s="1"/>
  <c r="L115" i="175"/>
  <c r="M85" i="174"/>
  <c r="Q85" i="174" s="1"/>
  <c r="M84" i="174"/>
  <c r="Q84" i="174" s="1"/>
  <c r="M87" i="174"/>
  <c r="Q87" i="174" s="1"/>
  <c r="M86" i="174"/>
  <c r="Q86" i="174" s="1"/>
  <c r="R83" i="174"/>
  <c r="P83" i="174"/>
  <c r="M133" i="174"/>
  <c r="M136" i="174" s="1"/>
  <c r="M90" i="173"/>
  <c r="M124" i="173" s="1"/>
  <c r="Q84" i="173"/>
  <c r="Q83" i="173" s="1"/>
  <c r="U83" i="173" s="1"/>
  <c r="W83" i="172"/>
  <c r="U90" i="172"/>
  <c r="U124" i="172" s="1"/>
  <c r="R89" i="178" s="1"/>
  <c r="R97" i="178" s="1"/>
  <c r="M93" i="174"/>
  <c r="Q93" i="174"/>
  <c r="P93" i="174"/>
  <c r="L139" i="174"/>
  <c r="R93" i="174"/>
  <c r="M117" i="174"/>
  <c r="L151" i="174"/>
  <c r="M57" i="58"/>
  <c r="G209" i="82"/>
  <c r="H209" i="82" s="1"/>
  <c r="R147" i="82"/>
  <c r="G207" i="82"/>
  <c r="H207" i="82" s="1"/>
  <c r="M83" i="175"/>
  <c r="L90" i="175"/>
  <c r="L133" i="175"/>
  <c r="L136" i="175" s="1"/>
  <c r="K303" i="117"/>
  <c r="K88" i="107"/>
  <c r="K89" i="107" s="1"/>
  <c r="K93" i="107" s="1"/>
  <c r="K95" i="107" s="1"/>
  <c r="K97" i="107" s="1"/>
  <c r="L117" i="171"/>
  <c r="L151" i="171" s="1"/>
  <c r="L117" i="175"/>
  <c r="M303" i="117"/>
  <c r="M88" i="107"/>
  <c r="M89" i="107" s="1"/>
  <c r="M93" i="107" s="1"/>
  <c r="M95" i="107" s="1"/>
  <c r="M97" i="107" s="1"/>
  <c r="L94" i="171"/>
  <c r="L140" i="171" s="1"/>
  <c r="L94" i="175"/>
  <c r="L96" i="171"/>
  <c r="M96" i="171" s="1"/>
  <c r="M142" i="171" s="1"/>
  <c r="L96" i="175"/>
  <c r="N303" i="117"/>
  <c r="N88" i="107"/>
  <c r="N89" i="107" s="1"/>
  <c r="N93" i="107" s="1"/>
  <c r="N95" i="107" s="1"/>
  <c r="N97" i="107" s="1"/>
  <c r="J303" i="117"/>
  <c r="J88" i="107"/>
  <c r="J89" i="107" s="1"/>
  <c r="J93" i="107" s="1"/>
  <c r="J95" i="107" s="1"/>
  <c r="J97" i="107" s="1"/>
  <c r="P133" i="173"/>
  <c r="P136" i="173" s="1"/>
  <c r="P90" i="173"/>
  <c r="L141" i="174"/>
  <c r="M95" i="174"/>
  <c r="M141" i="174" s="1"/>
  <c r="Q95" i="174"/>
  <c r="Q141" i="174" s="1"/>
  <c r="P95" i="174"/>
  <c r="R95" i="174"/>
  <c r="R141" i="174" s="1"/>
  <c r="R115" i="174"/>
  <c r="M115" i="174"/>
  <c r="M149" i="174" s="1"/>
  <c r="P115" i="174"/>
  <c r="P149" i="174" s="1"/>
  <c r="L149" i="174"/>
  <c r="M96" i="174"/>
  <c r="M142" i="174" s="1"/>
  <c r="P96" i="174"/>
  <c r="R96" i="174"/>
  <c r="R142" i="174" s="1"/>
  <c r="L142" i="174"/>
  <c r="Q96" i="174"/>
  <c r="Q142" i="174" s="1"/>
  <c r="O303" i="117"/>
  <c r="O88" i="107"/>
  <c r="O89" i="107" s="1"/>
  <c r="O93" i="107" s="1"/>
  <c r="O95" i="107" s="1"/>
  <c r="O97" i="107" s="1"/>
  <c r="R99" i="174"/>
  <c r="P99" i="174"/>
  <c r="M99" i="174"/>
  <c r="L145" i="174"/>
  <c r="L303" i="117"/>
  <c r="L88" i="107"/>
  <c r="L89" i="107" s="1"/>
  <c r="L93" i="107" s="1"/>
  <c r="L95" i="107" s="1"/>
  <c r="L97" i="107" s="1"/>
  <c r="L94" i="155"/>
  <c r="O65" i="122"/>
  <c r="L99" i="171"/>
  <c r="R99" i="171" s="1"/>
  <c r="L99" i="175"/>
  <c r="K43" i="122"/>
  <c r="K64" i="122"/>
  <c r="K68" i="122" s="1"/>
  <c r="P303" i="117"/>
  <c r="P88" i="107"/>
  <c r="P89" i="107" s="1"/>
  <c r="P93" i="107" s="1"/>
  <c r="P95" i="107" s="1"/>
  <c r="P97" i="107" s="1"/>
  <c r="P99" i="170"/>
  <c r="P98" i="170" s="1"/>
  <c r="M43" i="122"/>
  <c r="E116" i="90" s="1"/>
  <c r="M64" i="122"/>
  <c r="M68" i="122" s="1"/>
  <c r="X99" i="173"/>
  <c r="W98" i="173"/>
  <c r="X98" i="173" s="1"/>
  <c r="G303" i="117"/>
  <c r="G88" i="107"/>
  <c r="G89" i="107" s="1"/>
  <c r="G93" i="107" s="1"/>
  <c r="G95" i="107" s="1"/>
  <c r="G97" i="107" s="1"/>
  <c r="L110" i="171"/>
  <c r="M110" i="171" s="1"/>
  <c r="L110" i="175"/>
  <c r="M99" i="170"/>
  <c r="M98" i="170" s="1"/>
  <c r="P148" i="173"/>
  <c r="R94" i="174"/>
  <c r="R140" i="174" s="1"/>
  <c r="L140" i="174"/>
  <c r="Q94" i="174"/>
  <c r="Q140" i="174" s="1"/>
  <c r="M94" i="174"/>
  <c r="M140" i="174" s="1"/>
  <c r="P94" i="174"/>
  <c r="P25" i="175"/>
  <c r="P65" i="175" s="1"/>
  <c r="R122" i="173"/>
  <c r="L93" i="171"/>
  <c r="L139" i="171" s="1"/>
  <c r="L93" i="175"/>
  <c r="P151" i="173"/>
  <c r="J94" i="155"/>
  <c r="M65" i="122"/>
  <c r="J145" i="82"/>
  <c r="Q249" i="117"/>
  <c r="R90" i="173"/>
  <c r="L34" i="122"/>
  <c r="L35" i="122" s="1"/>
  <c r="L155" i="173"/>
  <c r="R259" i="117"/>
  <c r="U148" i="169"/>
  <c r="W148" i="169" s="1"/>
  <c r="X148" i="169" s="1"/>
  <c r="U83" i="169"/>
  <c r="Q90" i="169"/>
  <c r="Q133" i="169"/>
  <c r="Q136" i="169" s="1"/>
  <c r="Q139" i="170"/>
  <c r="P152" i="169"/>
  <c r="W139" i="169"/>
  <c r="X139" i="169" s="1"/>
  <c r="L133" i="170"/>
  <c r="L136" i="170" s="1"/>
  <c r="M83" i="170"/>
  <c r="X65" i="168"/>
  <c r="X92" i="168"/>
  <c r="W122" i="168"/>
  <c r="P140" i="170"/>
  <c r="X63" i="171"/>
  <c r="W65" i="170"/>
  <c r="P136" i="169"/>
  <c r="N16" i="154"/>
  <c r="G133" i="90" s="1"/>
  <c r="G134" i="90" s="1"/>
  <c r="L83" i="171"/>
  <c r="R145" i="170"/>
  <c r="R98" i="170"/>
  <c r="P149" i="170"/>
  <c r="W65" i="169"/>
  <c r="H124" i="90"/>
  <c r="I124" i="90" s="1"/>
  <c r="W152" i="168"/>
  <c r="W133" i="168"/>
  <c r="U136" i="168"/>
  <c r="U154" i="168" s="1"/>
  <c r="X93" i="169"/>
  <c r="W92" i="169"/>
  <c r="E395" i="154"/>
  <c r="H25" i="90"/>
  <c r="I25" i="90" s="1"/>
  <c r="G26" i="90"/>
  <c r="H26" i="90" s="1"/>
  <c r="I26" i="90" s="1"/>
  <c r="D31" i="72"/>
  <c r="C34" i="88"/>
  <c r="D53" i="122"/>
  <c r="D52" i="122" s="1"/>
  <c r="F14" i="90"/>
  <c r="H14" i="90" s="1"/>
  <c r="I14" i="90" s="1"/>
  <c r="C17" i="121"/>
  <c r="C18" i="121" s="1"/>
  <c r="G395" i="154"/>
  <c r="H96" i="90"/>
  <c r="H116" i="90"/>
  <c r="H107" i="90"/>
  <c r="I107" i="90" s="1"/>
  <c r="K107" i="90" s="1"/>
  <c r="L107" i="90" s="1"/>
  <c r="E275" i="117"/>
  <c r="E68" i="107" s="1"/>
  <c r="E69" i="107" s="1"/>
  <c r="Q262" i="117"/>
  <c r="Q284" i="117"/>
  <c r="O375" i="156"/>
  <c r="N13" i="156" s="1"/>
  <c r="N16" i="156" s="1"/>
  <c r="K395" i="154"/>
  <c r="F395" i="154"/>
  <c r="M395" i="154"/>
  <c r="M34" i="154"/>
  <c r="M15" i="121"/>
  <c r="M16" i="121" s="1"/>
  <c r="N48" i="122"/>
  <c r="N47" i="122" s="1"/>
  <c r="J395" i="154"/>
  <c r="O375" i="88"/>
  <c r="O378" i="88" s="1"/>
  <c r="M17" i="121"/>
  <c r="N53" i="122"/>
  <c r="N52" i="122" s="1"/>
  <c r="F125" i="90"/>
  <c r="H125" i="90" s="1"/>
  <c r="O377" i="154"/>
  <c r="O391" i="156"/>
  <c r="N29" i="156" s="1"/>
  <c r="O387" i="88"/>
  <c r="N25" i="88" s="1"/>
  <c r="J394" i="156"/>
  <c r="J396" i="156" s="1"/>
  <c r="F394" i="88"/>
  <c r="F396" i="88" s="1"/>
  <c r="H311" i="117" s="1"/>
  <c r="H314" i="117" s="1"/>
  <c r="H313" i="117" s="1"/>
  <c r="F394" i="156"/>
  <c r="F396" i="156" s="1"/>
  <c r="M34" i="156"/>
  <c r="O383" i="156"/>
  <c r="N21" i="156" s="1"/>
  <c r="I394" i="88"/>
  <c r="I396" i="88" s="1"/>
  <c r="K311" i="117" s="1"/>
  <c r="K314" i="117" s="1"/>
  <c r="K313" i="117" s="1"/>
  <c r="O387" i="156"/>
  <c r="N25" i="156" s="1"/>
  <c r="O391" i="88"/>
  <c r="N29" i="88" s="1"/>
  <c r="O383" i="88"/>
  <c r="N21" i="88" s="1"/>
  <c r="J394" i="88"/>
  <c r="J396" i="88" s="1"/>
  <c r="L311" i="117" s="1"/>
  <c r="L314" i="117" s="1"/>
  <c r="L313" i="117" s="1"/>
  <c r="K394" i="156"/>
  <c r="K396" i="156" s="1"/>
  <c r="C394" i="156"/>
  <c r="C396" i="156" s="1"/>
  <c r="O382" i="88"/>
  <c r="N20" i="88" s="1"/>
  <c r="N394" i="88"/>
  <c r="N396" i="88" s="1"/>
  <c r="P311" i="117" s="1"/>
  <c r="P314" i="117" s="1"/>
  <c r="P313" i="117" s="1"/>
  <c r="N394" i="156"/>
  <c r="N396" i="156" s="1"/>
  <c r="O384" i="156"/>
  <c r="N22" i="156" s="1"/>
  <c r="G394" i="88"/>
  <c r="G396" i="88" s="1"/>
  <c r="I311" i="117" s="1"/>
  <c r="I314" i="117" s="1"/>
  <c r="I313" i="117" s="1"/>
  <c r="K394" i="88"/>
  <c r="K396" i="88" s="1"/>
  <c r="M311" i="117" s="1"/>
  <c r="M314" i="117" s="1"/>
  <c r="M313" i="117" s="1"/>
  <c r="D394" i="156"/>
  <c r="D396" i="156" s="1"/>
  <c r="O390" i="88"/>
  <c r="N28" i="88" s="1"/>
  <c r="E394" i="88"/>
  <c r="E396" i="88" s="1"/>
  <c r="G311" i="117" s="1"/>
  <c r="G314" i="117" s="1"/>
  <c r="G313" i="117" s="1"/>
  <c r="O384" i="88"/>
  <c r="N22" i="88" s="1"/>
  <c r="O390" i="156"/>
  <c r="N28" i="156" s="1"/>
  <c r="E394" i="156"/>
  <c r="E396" i="156" s="1"/>
  <c r="O393" i="88"/>
  <c r="N31" i="88" s="1"/>
  <c r="O382" i="156"/>
  <c r="N20" i="156" s="1"/>
  <c r="I94" i="155"/>
  <c r="K35" i="156"/>
  <c r="G394" i="156"/>
  <c r="G396" i="156" s="1"/>
  <c r="H394" i="88"/>
  <c r="H396" i="88" s="1"/>
  <c r="J311" i="117" s="1"/>
  <c r="J314" i="117" s="1"/>
  <c r="J313" i="117" s="1"/>
  <c r="O368" i="156"/>
  <c r="L394" i="156"/>
  <c r="L396" i="156" s="1"/>
  <c r="O368" i="88"/>
  <c r="M394" i="156"/>
  <c r="M396" i="156" s="1"/>
  <c r="I394" i="156"/>
  <c r="I396" i="156" s="1"/>
  <c r="H94" i="155"/>
  <c r="J35" i="156"/>
  <c r="O381" i="88"/>
  <c r="O381" i="156"/>
  <c r="M394" i="88"/>
  <c r="M396" i="88" s="1"/>
  <c r="O311" i="117" s="1"/>
  <c r="O314" i="117" s="1"/>
  <c r="O313" i="117" s="1"/>
  <c r="L35" i="156"/>
  <c r="L394" i="88"/>
  <c r="L396" i="88" s="1"/>
  <c r="N311" i="117" s="1"/>
  <c r="N314" i="117" s="1"/>
  <c r="N313" i="117" s="1"/>
  <c r="M34" i="88"/>
  <c r="F17" i="178" s="1"/>
  <c r="C394" i="88"/>
  <c r="C396" i="88" s="1"/>
  <c r="E311" i="117" s="1"/>
  <c r="E314" i="117" s="1"/>
  <c r="O393" i="154"/>
  <c r="O393" i="156"/>
  <c r="N31" i="156" s="1"/>
  <c r="H394" i="156"/>
  <c r="H396" i="156" s="1"/>
  <c r="D394" i="88"/>
  <c r="D396" i="88" s="1"/>
  <c r="F311" i="117" s="1"/>
  <c r="F314" i="117" s="1"/>
  <c r="F313" i="117" s="1"/>
  <c r="N32" i="154"/>
  <c r="D16" i="88"/>
  <c r="D402" i="88"/>
  <c r="D406" i="88" s="1"/>
  <c r="E406" i="88"/>
  <c r="D32" i="88"/>
  <c r="D418" i="88"/>
  <c r="E32" i="88"/>
  <c r="E409" i="88"/>
  <c r="E422" i="88" s="1"/>
  <c r="O65" i="88"/>
  <c r="F35" i="88"/>
  <c r="G35" i="88"/>
  <c r="L35" i="88"/>
  <c r="J35" i="88"/>
  <c r="H35" i="88"/>
  <c r="K35" i="88"/>
  <c r="I35" i="88"/>
  <c r="O93" i="153"/>
  <c r="O94" i="88"/>
  <c r="O123" i="153"/>
  <c r="D34" i="88"/>
  <c r="E16" i="88"/>
  <c r="O124" i="88"/>
  <c r="E34" i="153"/>
  <c r="O93" i="154"/>
  <c r="O123" i="154"/>
  <c r="D34" i="153"/>
  <c r="D34" i="154"/>
  <c r="D35" i="156" s="1"/>
  <c r="P99" i="72" l="1"/>
  <c r="G66" i="113"/>
  <c r="I66" i="113" s="1"/>
  <c r="I58" i="113"/>
  <c r="P100" i="72"/>
  <c r="G67" i="113"/>
  <c r="I67" i="113" s="1"/>
  <c r="K67" i="113" s="1"/>
  <c r="P84" i="72"/>
  <c r="G59" i="113"/>
  <c r="I59" i="113" s="1"/>
  <c r="K59" i="113" s="1"/>
  <c r="P101" i="72"/>
  <c r="G68" i="113"/>
  <c r="I68" i="113" s="1"/>
  <c r="K68" i="113" s="1"/>
  <c r="N27" i="178"/>
  <c r="J10" i="179"/>
  <c r="J8" i="179"/>
  <c r="J7" i="179"/>
  <c r="E73" i="107"/>
  <c r="E75" i="107" s="1"/>
  <c r="E77" i="107" s="1"/>
  <c r="M14" i="107" s="1"/>
  <c r="U10" i="179" s="1"/>
  <c r="U13" i="179" s="1"/>
  <c r="L123" i="178"/>
  <c r="E96" i="90"/>
  <c r="I116" i="90"/>
  <c r="K116" i="90" s="1"/>
  <c r="L116" i="90" s="1"/>
  <c r="I96" i="90"/>
  <c r="K96" i="90" s="1"/>
  <c r="L96" i="90" s="1"/>
  <c r="T8" i="179"/>
  <c r="U8" i="179"/>
  <c r="K31" i="179"/>
  <c r="K32" i="179"/>
  <c r="K34" i="179"/>
  <c r="T9" i="179"/>
  <c r="E37" i="178"/>
  <c r="E58" i="178" s="1"/>
  <c r="R27" i="178"/>
  <c r="R123" i="178"/>
  <c r="E313" i="117"/>
  <c r="Q313" i="117" s="1"/>
  <c r="Q314" i="117"/>
  <c r="F27" i="178"/>
  <c r="F123" i="178"/>
  <c r="N45" i="122"/>
  <c r="S27" i="178"/>
  <c r="S123" i="178"/>
  <c r="N66" i="122"/>
  <c r="T17" i="178"/>
  <c r="K27" i="178"/>
  <c r="K123" i="178"/>
  <c r="R286" i="117"/>
  <c r="Q25" i="171"/>
  <c r="Q65" i="171" s="1"/>
  <c r="U149" i="170"/>
  <c r="W149" i="170" s="1"/>
  <c r="X149" i="170" s="1"/>
  <c r="U115" i="170"/>
  <c r="W115" i="170" s="1"/>
  <c r="X115" i="170" s="1"/>
  <c r="E34" i="154"/>
  <c r="E424" i="88"/>
  <c r="E423" i="154"/>
  <c r="D90" i="72"/>
  <c r="G64" i="113" s="1"/>
  <c r="P90" i="164"/>
  <c r="D103" i="164"/>
  <c r="P103" i="164" s="1"/>
  <c r="P87" i="164"/>
  <c r="D105" i="164"/>
  <c r="F48" i="122"/>
  <c r="F47" i="122" s="1"/>
  <c r="E15" i="121"/>
  <c r="E16" i="121" s="1"/>
  <c r="D87" i="72"/>
  <c r="P83" i="72"/>
  <c r="F66" i="122"/>
  <c r="E35" i="156"/>
  <c r="E34" i="88"/>
  <c r="G130" i="58" s="1"/>
  <c r="F53" i="122"/>
  <c r="F52" i="122" s="1"/>
  <c r="E17" i="121"/>
  <c r="R117" i="170"/>
  <c r="R151" i="170" s="1"/>
  <c r="Q96" i="171"/>
  <c r="Q142" i="171" s="1"/>
  <c r="M151" i="170"/>
  <c r="P117" i="170"/>
  <c r="P151" i="170" s="1"/>
  <c r="M118" i="170"/>
  <c r="Q118" i="170" s="1"/>
  <c r="M120" i="170"/>
  <c r="Q120" i="170" s="1"/>
  <c r="M119" i="170"/>
  <c r="Q119" i="170" s="1"/>
  <c r="L61" i="122"/>
  <c r="L73" i="122" s="1"/>
  <c r="L132" i="151" s="1"/>
  <c r="L77" i="122"/>
  <c r="L145" i="151" s="1"/>
  <c r="K61" i="122"/>
  <c r="K73" i="122" s="1"/>
  <c r="K132" i="151" s="1"/>
  <c r="AA80" i="58" s="1"/>
  <c r="K78" i="122"/>
  <c r="V145" i="151" s="1"/>
  <c r="AO20" i="58" s="1"/>
  <c r="AO105" i="58" s="1"/>
  <c r="K77" i="122"/>
  <c r="M62" i="122"/>
  <c r="M78" i="122"/>
  <c r="X145" i="151" s="1"/>
  <c r="AQ20" i="58" s="1"/>
  <c r="AQ105" i="58" s="1"/>
  <c r="M77" i="122"/>
  <c r="M145" i="151" s="1"/>
  <c r="AC20" i="58" s="1"/>
  <c r="AC105" i="58" s="1"/>
  <c r="M61" i="122"/>
  <c r="K62" i="122"/>
  <c r="P110" i="170"/>
  <c r="P148" i="170" s="1"/>
  <c r="M90" i="174"/>
  <c r="L62" i="122"/>
  <c r="M148" i="170"/>
  <c r="L78" i="122"/>
  <c r="W145" i="151" s="1"/>
  <c r="AP20" i="58" s="1"/>
  <c r="AP105" i="58" s="1"/>
  <c r="M100" i="58"/>
  <c r="U93" i="170"/>
  <c r="W93" i="170" s="1"/>
  <c r="M111" i="170"/>
  <c r="Q111" i="170" s="1"/>
  <c r="R110" i="170"/>
  <c r="R148" i="170" s="1"/>
  <c r="M113" i="170"/>
  <c r="Q113" i="170" s="1"/>
  <c r="Q152" i="169"/>
  <c r="Q154" i="169" s="1"/>
  <c r="U96" i="170"/>
  <c r="W96" i="170" s="1"/>
  <c r="X96" i="170" s="1"/>
  <c r="U142" i="170"/>
  <c r="W142" i="170" s="1"/>
  <c r="X142" i="170" s="1"/>
  <c r="P96" i="171"/>
  <c r="P142" i="171" s="1"/>
  <c r="U95" i="170"/>
  <c r="W95" i="170" s="1"/>
  <c r="X95" i="170" s="1"/>
  <c r="L142" i="171"/>
  <c r="U141" i="170"/>
  <c r="W141" i="170" s="1"/>
  <c r="X141" i="170" s="1"/>
  <c r="M114" i="170"/>
  <c r="Q114" i="170" s="1"/>
  <c r="R96" i="171"/>
  <c r="R142" i="171" s="1"/>
  <c r="R124" i="173"/>
  <c r="S81" i="178" s="1"/>
  <c r="U94" i="170"/>
  <c r="W94" i="170" s="1"/>
  <c r="X94" i="170" s="1"/>
  <c r="U140" i="170"/>
  <c r="W140" i="170" s="1"/>
  <c r="X140" i="170" s="1"/>
  <c r="Q122" i="169"/>
  <c r="Q124" i="169" s="1"/>
  <c r="L152" i="170"/>
  <c r="L154" i="170" s="1"/>
  <c r="L155" i="170" s="1"/>
  <c r="R155" i="169"/>
  <c r="U117" i="169"/>
  <c r="W117" i="169" s="1"/>
  <c r="X117" i="169" s="1"/>
  <c r="U110" i="173"/>
  <c r="W110" i="173" s="1"/>
  <c r="X110" i="173" s="1"/>
  <c r="U148" i="173"/>
  <c r="W148" i="173" s="1"/>
  <c r="X148" i="173" s="1"/>
  <c r="P92" i="170"/>
  <c r="L90" i="174"/>
  <c r="P124" i="173"/>
  <c r="P139" i="170"/>
  <c r="L145" i="171"/>
  <c r="R139" i="170"/>
  <c r="U139" i="170" s="1"/>
  <c r="Q92" i="170"/>
  <c r="U152" i="169"/>
  <c r="W152" i="169" s="1"/>
  <c r="R92" i="170"/>
  <c r="M94" i="171"/>
  <c r="M140" i="171" s="1"/>
  <c r="L92" i="170"/>
  <c r="L98" i="170"/>
  <c r="R95" i="171"/>
  <c r="R141" i="171" s="1"/>
  <c r="P95" i="171"/>
  <c r="P141" i="171" s="1"/>
  <c r="M145" i="170"/>
  <c r="R94" i="171"/>
  <c r="R140" i="171" s="1"/>
  <c r="Q95" i="171"/>
  <c r="Q141" i="171" s="1"/>
  <c r="P94" i="171"/>
  <c r="Q94" i="171"/>
  <c r="Q140" i="171" s="1"/>
  <c r="P99" i="171"/>
  <c r="U99" i="171" s="1"/>
  <c r="Q93" i="171"/>
  <c r="Q139" i="171" s="1"/>
  <c r="L148" i="171"/>
  <c r="P152" i="173"/>
  <c r="P154" i="173" s="1"/>
  <c r="M99" i="171"/>
  <c r="M145" i="171" s="1"/>
  <c r="M93" i="171"/>
  <c r="M139" i="171" s="1"/>
  <c r="M95" i="171"/>
  <c r="M141" i="171" s="1"/>
  <c r="M92" i="170"/>
  <c r="L122" i="170" s="1"/>
  <c r="U117" i="173"/>
  <c r="W117" i="173" s="1"/>
  <c r="X117" i="173" s="1"/>
  <c r="Q122" i="173"/>
  <c r="W83" i="173"/>
  <c r="U90" i="173"/>
  <c r="P145" i="174"/>
  <c r="U99" i="174"/>
  <c r="P98" i="174"/>
  <c r="N57" i="58"/>
  <c r="J209" i="82"/>
  <c r="P95" i="175"/>
  <c r="M95" i="175"/>
  <c r="M141" i="175" s="1"/>
  <c r="R95" i="175"/>
  <c r="R141" i="175" s="1"/>
  <c r="Q95" i="175"/>
  <c r="Q141" i="175" s="1"/>
  <c r="L141" i="175"/>
  <c r="R92" i="174"/>
  <c r="R139" i="174"/>
  <c r="P90" i="174"/>
  <c r="P133" i="174"/>
  <c r="W92" i="173"/>
  <c r="X93" i="173"/>
  <c r="N64" i="122"/>
  <c r="N78" i="122" s="1"/>
  <c r="Y145" i="151" s="1"/>
  <c r="AR20" i="58" s="1"/>
  <c r="AR105" i="58" s="1"/>
  <c r="R93" i="175"/>
  <c r="Q93" i="175"/>
  <c r="P93" i="175"/>
  <c r="L92" i="175"/>
  <c r="L122" i="175" s="1"/>
  <c r="L124" i="175" s="1"/>
  <c r="M93" i="175"/>
  <c r="L139" i="175"/>
  <c r="P99" i="175"/>
  <c r="L145" i="175"/>
  <c r="R99" i="175"/>
  <c r="M99" i="175"/>
  <c r="L152" i="174"/>
  <c r="L154" i="174" s="1"/>
  <c r="L155" i="174" s="1"/>
  <c r="R90" i="174"/>
  <c r="U151" i="173"/>
  <c r="W151" i="173" s="1"/>
  <c r="X151" i="173" s="1"/>
  <c r="U99" i="170"/>
  <c r="W99" i="170" s="1"/>
  <c r="P140" i="174"/>
  <c r="U140" i="174" s="1"/>
  <c r="W140" i="174" s="1"/>
  <c r="X140" i="174" s="1"/>
  <c r="U94" i="174"/>
  <c r="W94" i="174" s="1"/>
  <c r="X94" i="174" s="1"/>
  <c r="P141" i="174"/>
  <c r="U141" i="174" s="1"/>
  <c r="W141" i="174" s="1"/>
  <c r="X141" i="174" s="1"/>
  <c r="U95" i="174"/>
  <c r="W95" i="174" s="1"/>
  <c r="X95" i="174" s="1"/>
  <c r="P139" i="174"/>
  <c r="P92" i="174"/>
  <c r="U93" i="174"/>
  <c r="P110" i="174"/>
  <c r="M113" i="174"/>
  <c r="Q113" i="174" s="1"/>
  <c r="M148" i="174"/>
  <c r="R110" i="174"/>
  <c r="R148" i="174" s="1"/>
  <c r="M112" i="174"/>
  <c r="Q112" i="174" s="1"/>
  <c r="M111" i="174"/>
  <c r="Q111" i="174" s="1"/>
  <c r="M114" i="174"/>
  <c r="Q114" i="174" s="1"/>
  <c r="M117" i="171"/>
  <c r="R117" i="171" s="1"/>
  <c r="R151" i="171" s="1"/>
  <c r="L149" i="171"/>
  <c r="R93" i="171"/>
  <c r="Q139" i="174"/>
  <c r="Q92" i="174"/>
  <c r="Q90" i="173"/>
  <c r="Q133" i="173"/>
  <c r="R145" i="174"/>
  <c r="R98" i="174"/>
  <c r="M117" i="175"/>
  <c r="L151" i="175"/>
  <c r="P145" i="170"/>
  <c r="U145" i="170" s="1"/>
  <c r="W145" i="170" s="1"/>
  <c r="X145" i="170" s="1"/>
  <c r="P96" i="175"/>
  <c r="L142" i="175"/>
  <c r="R96" i="175"/>
  <c r="R142" i="175" s="1"/>
  <c r="M96" i="175"/>
  <c r="M142" i="175" s="1"/>
  <c r="Q96" i="175"/>
  <c r="Q142" i="175" s="1"/>
  <c r="P115" i="171"/>
  <c r="U115" i="171" s="1"/>
  <c r="W115" i="171" s="1"/>
  <c r="X115" i="171" s="1"/>
  <c r="P93" i="171"/>
  <c r="P139" i="171" s="1"/>
  <c r="P142" i="174"/>
  <c r="U142" i="174" s="1"/>
  <c r="W142" i="174" s="1"/>
  <c r="X142" i="174" s="1"/>
  <c r="U96" i="174"/>
  <c r="W96" i="174" s="1"/>
  <c r="X96" i="174" s="1"/>
  <c r="Q94" i="175"/>
  <c r="Q140" i="175" s="1"/>
  <c r="P94" i="175"/>
  <c r="R94" i="175"/>
  <c r="R140" i="175" s="1"/>
  <c r="M94" i="175"/>
  <c r="M140" i="175" s="1"/>
  <c r="L140" i="175"/>
  <c r="M139" i="174"/>
  <c r="M92" i="174"/>
  <c r="L92" i="174"/>
  <c r="Q83" i="174"/>
  <c r="M98" i="174"/>
  <c r="M145" i="174"/>
  <c r="L98" i="174"/>
  <c r="M115" i="171"/>
  <c r="M149" i="171" s="1"/>
  <c r="L92" i="171"/>
  <c r="L122" i="171" s="1"/>
  <c r="M87" i="175"/>
  <c r="Q87" i="175" s="1"/>
  <c r="M85" i="175"/>
  <c r="Q85" i="175" s="1"/>
  <c r="P83" i="175"/>
  <c r="M84" i="175"/>
  <c r="Q84" i="175" s="1"/>
  <c r="M90" i="175"/>
  <c r="R83" i="175"/>
  <c r="M86" i="175"/>
  <c r="Q86" i="175" s="1"/>
  <c r="M133" i="175"/>
  <c r="M136" i="175" s="1"/>
  <c r="U115" i="174"/>
  <c r="W115" i="174" s="1"/>
  <c r="X115" i="174" s="1"/>
  <c r="Q261" i="117"/>
  <c r="M36" i="122"/>
  <c r="R117" i="174"/>
  <c r="R151" i="174" s="1"/>
  <c r="M120" i="174"/>
  <c r="Q120" i="174" s="1"/>
  <c r="M121" i="174"/>
  <c r="Q121" i="174" s="1"/>
  <c r="M118" i="174"/>
  <c r="Q118" i="174" s="1"/>
  <c r="P117" i="174"/>
  <c r="M151" i="174"/>
  <c r="M119" i="174"/>
  <c r="Q119" i="174" s="1"/>
  <c r="L25" i="122"/>
  <c r="L29" i="122" s="1"/>
  <c r="N145" i="82"/>
  <c r="Q145" i="82" s="1"/>
  <c r="J154" i="82"/>
  <c r="J155" i="82" s="1"/>
  <c r="M110" i="175"/>
  <c r="L148" i="175"/>
  <c r="X83" i="172"/>
  <c r="W90" i="172"/>
  <c r="R115" i="175"/>
  <c r="M115" i="175"/>
  <c r="M149" i="175" s="1"/>
  <c r="P115" i="175"/>
  <c r="L149" i="175"/>
  <c r="Q152" i="173"/>
  <c r="D43" i="122"/>
  <c r="E40" i="151" s="1"/>
  <c r="D13" i="98" s="1"/>
  <c r="D64" i="122"/>
  <c r="D68" i="122" s="1"/>
  <c r="M83" i="58"/>
  <c r="U155" i="168"/>
  <c r="X65" i="170"/>
  <c r="X65" i="169"/>
  <c r="W83" i="169"/>
  <c r="U90" i="169"/>
  <c r="X152" i="168"/>
  <c r="W18" i="171"/>
  <c r="U25" i="171"/>
  <c r="U65" i="171" s="1"/>
  <c r="AE83" i="58" s="1"/>
  <c r="N43" i="178" s="1"/>
  <c r="L90" i="171"/>
  <c r="M83" i="171"/>
  <c r="L133" i="171"/>
  <c r="L136" i="171" s="1"/>
  <c r="X133" i="168"/>
  <c r="W136" i="168"/>
  <c r="X136" i="168" s="1"/>
  <c r="M86" i="170"/>
  <c r="Q86" i="170" s="1"/>
  <c r="M85" i="170"/>
  <c r="Q85" i="170" s="1"/>
  <c r="M87" i="170"/>
  <c r="Q87" i="170" s="1"/>
  <c r="R83" i="170"/>
  <c r="P83" i="170"/>
  <c r="M84" i="170"/>
  <c r="Q84" i="170" s="1"/>
  <c r="M133" i="170"/>
  <c r="M114" i="171"/>
  <c r="Q114" i="171" s="1"/>
  <c r="M148" i="171"/>
  <c r="R110" i="171"/>
  <c r="R148" i="171" s="1"/>
  <c r="M111" i="171"/>
  <c r="Q111" i="171" s="1"/>
  <c r="M113" i="171"/>
  <c r="Q113" i="171" s="1"/>
  <c r="P110" i="171"/>
  <c r="M112" i="171"/>
  <c r="Q112" i="171" s="1"/>
  <c r="X92" i="169"/>
  <c r="P154" i="169"/>
  <c r="P155" i="169" s="1"/>
  <c r="W124" i="168"/>
  <c r="X122" i="168"/>
  <c r="R98" i="171"/>
  <c r="R145" i="171"/>
  <c r="U133" i="169"/>
  <c r="J107" i="90"/>
  <c r="K26" i="90"/>
  <c r="L26" i="90" s="1"/>
  <c r="J26" i="90"/>
  <c r="D33" i="72"/>
  <c r="P33" i="72" s="1"/>
  <c r="P31" i="72"/>
  <c r="K14" i="90"/>
  <c r="L14" i="90" s="1"/>
  <c r="J14" i="90"/>
  <c r="J96" i="90"/>
  <c r="J116" i="90"/>
  <c r="J316" i="117"/>
  <c r="J329" i="117" s="1"/>
  <c r="O316" i="117"/>
  <c r="O329" i="117" s="1"/>
  <c r="N316" i="117"/>
  <c r="N329" i="117" s="1"/>
  <c r="I316" i="117"/>
  <c r="I329" i="117" s="1"/>
  <c r="H316" i="117"/>
  <c r="H329" i="117" s="1"/>
  <c r="G316" i="117"/>
  <c r="G329" i="117" s="1"/>
  <c r="M316" i="117"/>
  <c r="M329" i="117" s="1"/>
  <c r="Q311" i="117"/>
  <c r="K316" i="117"/>
  <c r="K329" i="117" s="1"/>
  <c r="Q275" i="117"/>
  <c r="E276" i="117"/>
  <c r="N42" i="122"/>
  <c r="E289" i="117"/>
  <c r="O378" i="156"/>
  <c r="E316" i="117"/>
  <c r="P316" i="117"/>
  <c r="P329" i="117" s="1"/>
  <c r="L316" i="117"/>
  <c r="L329" i="117" s="1"/>
  <c r="M35" i="88"/>
  <c r="M35" i="156"/>
  <c r="N13" i="88"/>
  <c r="M18" i="121"/>
  <c r="O395" i="154"/>
  <c r="N34" i="154"/>
  <c r="F133" i="90"/>
  <c r="N19" i="88"/>
  <c r="O394" i="88"/>
  <c r="O396" i="88" s="1"/>
  <c r="O394" i="156"/>
  <c r="N19" i="156"/>
  <c r="N32" i="156" s="1"/>
  <c r="N34" i="156" s="1"/>
  <c r="D35" i="88"/>
  <c r="B38" i="78"/>
  <c r="B39" i="78" s="1"/>
  <c r="B40" i="78" s="1"/>
  <c r="B41" i="78" s="1"/>
  <c r="B42" i="78" s="1"/>
  <c r="B43" i="78" s="1"/>
  <c r="B44" i="78" s="1"/>
  <c r="B45" i="78" s="1"/>
  <c r="B46" i="78" s="1"/>
  <c r="B47" i="78" s="1"/>
  <c r="B48" i="78" s="1"/>
  <c r="B49" i="78" s="1"/>
  <c r="B11" i="78"/>
  <c r="B12" i="78" s="1"/>
  <c r="B13" i="78" s="1"/>
  <c r="B14" i="78" s="1"/>
  <c r="B15" i="78" s="1"/>
  <c r="B16" i="78" s="1"/>
  <c r="B17" i="78" s="1"/>
  <c r="B18" i="78" s="1"/>
  <c r="B19" i="78" s="1"/>
  <c r="B20" i="78" s="1"/>
  <c r="B21" i="78" s="1"/>
  <c r="B22" i="78" s="1"/>
  <c r="E105" i="112"/>
  <c r="D105" i="112"/>
  <c r="G105" i="112" s="1"/>
  <c r="H105" i="112" s="1"/>
  <c r="E104" i="112"/>
  <c r="D104" i="112"/>
  <c r="G104" i="112" s="1"/>
  <c r="H104" i="112" s="1"/>
  <c r="E103" i="112"/>
  <c r="D103" i="112"/>
  <c r="E102" i="112"/>
  <c r="D102" i="112"/>
  <c r="G102" i="112" s="1"/>
  <c r="H102" i="112" s="1"/>
  <c r="E101" i="112"/>
  <c r="D101" i="112"/>
  <c r="E100" i="112"/>
  <c r="D100" i="112"/>
  <c r="G100" i="112" s="1"/>
  <c r="H100" i="112" s="1"/>
  <c r="E99" i="112"/>
  <c r="D99" i="112"/>
  <c r="G99" i="112" s="1"/>
  <c r="H99" i="112" s="1"/>
  <c r="E98" i="112"/>
  <c r="D98" i="112"/>
  <c r="E97" i="112"/>
  <c r="D97" i="112"/>
  <c r="G97" i="112" s="1"/>
  <c r="J97" i="112" s="1"/>
  <c r="E96" i="112"/>
  <c r="D96" i="112"/>
  <c r="E95" i="112"/>
  <c r="D95" i="112"/>
  <c r="G95" i="112" s="1"/>
  <c r="E94" i="112"/>
  <c r="D94" i="112"/>
  <c r="G91" i="112"/>
  <c r="G90" i="112"/>
  <c r="J90" i="112" s="1"/>
  <c r="G89" i="112"/>
  <c r="H89" i="112" s="1"/>
  <c r="G88" i="112"/>
  <c r="J88" i="112" s="1"/>
  <c r="G87" i="112"/>
  <c r="G86" i="112"/>
  <c r="J86" i="112" s="1"/>
  <c r="G85" i="112"/>
  <c r="H85" i="112" s="1"/>
  <c r="G84" i="112"/>
  <c r="J84" i="112" s="1"/>
  <c r="G83" i="112"/>
  <c r="G82" i="112"/>
  <c r="J82" i="112" s="1"/>
  <c r="G81" i="112"/>
  <c r="H81" i="112" s="1"/>
  <c r="G80" i="112"/>
  <c r="J80" i="112" s="1"/>
  <c r="G79" i="112"/>
  <c r="D69" i="112"/>
  <c r="G66" i="112"/>
  <c r="J66" i="112" s="1"/>
  <c r="E66" i="112"/>
  <c r="G65" i="112"/>
  <c r="J65" i="112" s="1"/>
  <c r="E65" i="112"/>
  <c r="G64" i="112"/>
  <c r="H64" i="112" s="1"/>
  <c r="E64" i="112"/>
  <c r="G63" i="112"/>
  <c r="J63" i="112" s="1"/>
  <c r="E63" i="112"/>
  <c r="G62" i="112"/>
  <c r="J62" i="112" s="1"/>
  <c r="E62" i="112"/>
  <c r="G61" i="112"/>
  <c r="J61" i="112" s="1"/>
  <c r="E61" i="112"/>
  <c r="G60" i="112"/>
  <c r="J60" i="112" s="1"/>
  <c r="E60" i="112"/>
  <c r="G59" i="112"/>
  <c r="J59" i="112" s="1"/>
  <c r="E59" i="112"/>
  <c r="G58" i="112"/>
  <c r="J58" i="112" s="1"/>
  <c r="E58" i="112"/>
  <c r="G57" i="112"/>
  <c r="J57" i="112" s="1"/>
  <c r="E57" i="112"/>
  <c r="G56" i="112"/>
  <c r="J56" i="112" s="1"/>
  <c r="E56" i="112"/>
  <c r="G55" i="112"/>
  <c r="J55" i="112" s="1"/>
  <c r="E55" i="112"/>
  <c r="G52" i="112"/>
  <c r="J52" i="112" s="1"/>
  <c r="E52" i="112"/>
  <c r="G51" i="112"/>
  <c r="J51" i="112" s="1"/>
  <c r="E51" i="112"/>
  <c r="G50" i="112"/>
  <c r="J50" i="112" s="1"/>
  <c r="E50" i="112"/>
  <c r="G49" i="112"/>
  <c r="J49" i="112" s="1"/>
  <c r="E49" i="112"/>
  <c r="G48" i="112"/>
  <c r="J48" i="112" s="1"/>
  <c r="E48" i="112"/>
  <c r="G47" i="112"/>
  <c r="J47" i="112" s="1"/>
  <c r="E47" i="112"/>
  <c r="G46" i="112"/>
  <c r="J46" i="112" s="1"/>
  <c r="E46" i="112"/>
  <c r="G45" i="112"/>
  <c r="J45" i="112" s="1"/>
  <c r="E45" i="112"/>
  <c r="G44" i="112"/>
  <c r="H44" i="112" s="1"/>
  <c r="E44" i="112"/>
  <c r="G43" i="112"/>
  <c r="J43" i="112" s="1"/>
  <c r="E43" i="112"/>
  <c r="G42" i="112"/>
  <c r="J42" i="112" s="1"/>
  <c r="E42" i="112"/>
  <c r="G41" i="112"/>
  <c r="H41" i="112" s="1"/>
  <c r="E41" i="112"/>
  <c r="D32" i="112"/>
  <c r="G29" i="112"/>
  <c r="J29" i="112" s="1"/>
  <c r="E29" i="112"/>
  <c r="G28" i="112"/>
  <c r="J28" i="112" s="1"/>
  <c r="E28" i="112"/>
  <c r="G27" i="112"/>
  <c r="E27" i="112"/>
  <c r="G26" i="112"/>
  <c r="J26" i="112" s="1"/>
  <c r="E26" i="112"/>
  <c r="G25" i="112"/>
  <c r="J25" i="112" s="1"/>
  <c r="E25" i="112"/>
  <c r="G24" i="112"/>
  <c r="E24" i="112"/>
  <c r="G23" i="112"/>
  <c r="H23" i="112" s="1"/>
  <c r="E23" i="112"/>
  <c r="G20" i="112"/>
  <c r="J20" i="112" s="1"/>
  <c r="E20" i="112"/>
  <c r="G19" i="112"/>
  <c r="E19" i="112"/>
  <c r="G18" i="112"/>
  <c r="J18" i="112" s="1"/>
  <c r="E18" i="112"/>
  <c r="G17" i="112"/>
  <c r="J17" i="112" s="1"/>
  <c r="E17" i="112"/>
  <c r="G16" i="112"/>
  <c r="E16" i="112"/>
  <c r="G15" i="112"/>
  <c r="J15" i="112" s="1"/>
  <c r="E15" i="112"/>
  <c r="G14" i="112"/>
  <c r="J14" i="112" s="1"/>
  <c r="E14" i="112"/>
  <c r="E22" i="150"/>
  <c r="F22" i="150"/>
  <c r="B31" i="150"/>
  <c r="B32" i="150"/>
  <c r="B37" i="150"/>
  <c r="B38" i="150"/>
  <c r="B41" i="150"/>
  <c r="B42" i="150"/>
  <c r="B43" i="150"/>
  <c r="B44" i="150"/>
  <c r="B45" i="150"/>
  <c r="B46" i="150" s="1"/>
  <c r="B57" i="150"/>
  <c r="B61" i="150"/>
  <c r="B62" i="150" s="1"/>
  <c r="B65" i="150"/>
  <c r="B66" i="150"/>
  <c r="B67" i="150"/>
  <c r="B68" i="150"/>
  <c r="B69" i="150"/>
  <c r="B70" i="150"/>
  <c r="B73" i="150"/>
  <c r="B74" i="150"/>
  <c r="B75" i="150" s="1"/>
  <c r="B76" i="150" s="1"/>
  <c r="B77" i="150" s="1"/>
  <c r="B92" i="150"/>
  <c r="B93" i="150"/>
  <c r="E93" i="150"/>
  <c r="G61" i="113" l="1"/>
  <c r="K58" i="113"/>
  <c r="K61" i="113" s="1"/>
  <c r="I61" i="113"/>
  <c r="I64" i="113"/>
  <c r="G69" i="113"/>
  <c r="G70" i="113" s="1"/>
  <c r="R145" i="82"/>
  <c r="AB57" i="58"/>
  <c r="AB100" i="58" s="1"/>
  <c r="AB80" i="58"/>
  <c r="E18" i="179"/>
  <c r="E16" i="179"/>
  <c r="E15" i="179"/>
  <c r="N32" i="88"/>
  <c r="O53" i="122" s="1"/>
  <c r="O52" i="122" s="1"/>
  <c r="E8" i="179"/>
  <c r="E7" i="179"/>
  <c r="E10" i="179"/>
  <c r="J15" i="179"/>
  <c r="J18" i="179"/>
  <c r="J16" i="179"/>
  <c r="N16" i="88"/>
  <c r="N15" i="121" s="1"/>
  <c r="N16" i="121" s="1"/>
  <c r="M136" i="170"/>
  <c r="D43" i="178"/>
  <c r="D64" i="178" s="1"/>
  <c r="F10" i="179"/>
  <c r="G10" i="179" s="1"/>
  <c r="F8" i="179"/>
  <c r="G8" i="179" s="1"/>
  <c r="F7" i="179"/>
  <c r="G7" i="179" s="1"/>
  <c r="B50" i="78"/>
  <c r="B51" i="78" s="1"/>
  <c r="B52" i="78" s="1"/>
  <c r="B53" i="78" s="1"/>
  <c r="B54" i="78" s="1"/>
  <c r="B55" i="78" s="1"/>
  <c r="B56" i="78" s="1"/>
  <c r="B61" i="78" s="1"/>
  <c r="N49" i="178"/>
  <c r="N64" i="178"/>
  <c r="N70" i="178" s="1"/>
  <c r="O66" i="122"/>
  <c r="U17" i="178"/>
  <c r="R313" i="117"/>
  <c r="N44" i="122"/>
  <c r="L69" i="122"/>
  <c r="T27" i="178"/>
  <c r="T123" i="178"/>
  <c r="N60" i="122"/>
  <c r="N62" i="122" s="1"/>
  <c r="L146" i="151"/>
  <c r="L147" i="151" s="1"/>
  <c r="AB20" i="58"/>
  <c r="AB105" i="58" s="1"/>
  <c r="P90" i="72"/>
  <c r="D103" i="72"/>
  <c r="P103" i="72" s="1"/>
  <c r="P87" i="72"/>
  <c r="D105" i="72"/>
  <c r="P105" i="72" s="1"/>
  <c r="E18" i="121"/>
  <c r="P105" i="164"/>
  <c r="E35" i="88"/>
  <c r="F64" i="122"/>
  <c r="F43" i="122"/>
  <c r="AB55" i="58"/>
  <c r="AB98" i="58" s="1"/>
  <c r="R152" i="170"/>
  <c r="M120" i="171"/>
  <c r="Q120" i="171" s="1"/>
  <c r="Q117" i="170"/>
  <c r="Q151" i="170" s="1"/>
  <c r="U151" i="170" s="1"/>
  <c r="W151" i="170" s="1"/>
  <c r="X151" i="170" s="1"/>
  <c r="L152" i="171"/>
  <c r="L154" i="171" s="1"/>
  <c r="R122" i="170"/>
  <c r="N77" i="122"/>
  <c r="N145" i="151" s="1"/>
  <c r="M152" i="170"/>
  <c r="K69" i="122"/>
  <c r="AR17" i="58"/>
  <c r="Y146" i="151"/>
  <c r="Y147" i="151" s="1"/>
  <c r="AR55" i="58"/>
  <c r="AQ55" i="58"/>
  <c r="AQ17" i="58"/>
  <c r="X146" i="151"/>
  <c r="X147" i="151" s="1"/>
  <c r="K145" i="151"/>
  <c r="AA20" i="58" s="1"/>
  <c r="AA105" i="58" s="1"/>
  <c r="K149" i="151"/>
  <c r="AA59" i="58"/>
  <c r="AA58" i="58"/>
  <c r="AA57" i="58"/>
  <c r="L70" i="122"/>
  <c r="L74" i="122"/>
  <c r="W132" i="151" s="1"/>
  <c r="AP80" i="58" s="1"/>
  <c r="M74" i="122"/>
  <c r="X132" i="151" s="1"/>
  <c r="M70" i="122"/>
  <c r="U93" i="171"/>
  <c r="W93" i="171" s="1"/>
  <c r="K70" i="122"/>
  <c r="K74" i="122"/>
  <c r="V132" i="151" s="1"/>
  <c r="AO80" i="58" s="1"/>
  <c r="AO55" i="58"/>
  <c r="AO17" i="58"/>
  <c r="V146" i="151"/>
  <c r="V147" i="151" s="1"/>
  <c r="M73" i="122"/>
  <c r="M132" i="151" s="1"/>
  <c r="M69" i="122"/>
  <c r="AP55" i="58"/>
  <c r="AP17" i="58"/>
  <c r="W146" i="151"/>
  <c r="W147" i="151" s="1"/>
  <c r="N100" i="58"/>
  <c r="P122" i="170"/>
  <c r="Q110" i="170"/>
  <c r="Q148" i="170" s="1"/>
  <c r="L149" i="151"/>
  <c r="AB59" i="58"/>
  <c r="AB102" i="58" s="1"/>
  <c r="AB58" i="58"/>
  <c r="AB101" i="58" s="1"/>
  <c r="M146" i="151"/>
  <c r="M147" i="151" s="1"/>
  <c r="AC55" i="58"/>
  <c r="AC98" i="58" s="1"/>
  <c r="AE126" i="58"/>
  <c r="AV126" i="58" s="1"/>
  <c r="AV83" i="58"/>
  <c r="M126" i="58"/>
  <c r="U122" i="169"/>
  <c r="U124" i="169" s="1"/>
  <c r="AQ83" i="58" s="1"/>
  <c r="S43" i="178" s="1"/>
  <c r="W122" i="169"/>
  <c r="X122" i="169" s="1"/>
  <c r="N43" i="122"/>
  <c r="L124" i="171"/>
  <c r="U96" i="171"/>
  <c r="W96" i="171" s="1"/>
  <c r="X96" i="171" s="1"/>
  <c r="U92" i="170"/>
  <c r="U142" i="171"/>
  <c r="W142" i="171" s="1"/>
  <c r="X142" i="171" s="1"/>
  <c r="M98" i="171"/>
  <c r="P155" i="173"/>
  <c r="Q155" i="169"/>
  <c r="P92" i="171"/>
  <c r="R139" i="171"/>
  <c r="R152" i="171" s="1"/>
  <c r="R92" i="171"/>
  <c r="R122" i="171" s="1"/>
  <c r="Q124" i="173"/>
  <c r="P149" i="171"/>
  <c r="U149" i="171" s="1"/>
  <c r="W149" i="171" s="1"/>
  <c r="X149" i="171" s="1"/>
  <c r="M119" i="171"/>
  <c r="Q119" i="171" s="1"/>
  <c r="M121" i="171"/>
  <c r="Q121" i="171" s="1"/>
  <c r="Q92" i="171"/>
  <c r="U95" i="171"/>
  <c r="W95" i="171" s="1"/>
  <c r="X95" i="171" s="1"/>
  <c r="U94" i="171"/>
  <c r="W94" i="171" s="1"/>
  <c r="X94" i="171" s="1"/>
  <c r="M122" i="170"/>
  <c r="Q117" i="174"/>
  <c r="Q151" i="174" s="1"/>
  <c r="P98" i="171"/>
  <c r="U141" i="171"/>
  <c r="W141" i="171" s="1"/>
  <c r="X141" i="171" s="1"/>
  <c r="P140" i="171"/>
  <c r="U140" i="171" s="1"/>
  <c r="W140" i="171" s="1"/>
  <c r="X140" i="171" s="1"/>
  <c r="U98" i="170"/>
  <c r="U122" i="173"/>
  <c r="U124" i="173" s="1"/>
  <c r="S89" i="178" s="1"/>
  <c r="S97" i="178" s="1"/>
  <c r="P145" i="171"/>
  <c r="U145" i="171" s="1"/>
  <c r="W145" i="171" s="1"/>
  <c r="X145" i="171" s="1"/>
  <c r="M92" i="171"/>
  <c r="M122" i="171" s="1"/>
  <c r="L330" i="117"/>
  <c r="L107" i="107"/>
  <c r="L108" i="107" s="1"/>
  <c r="L112" i="107" s="1"/>
  <c r="L114" i="107" s="1"/>
  <c r="L116" i="107" s="1"/>
  <c r="P141" i="175"/>
  <c r="U141" i="175" s="1"/>
  <c r="W141" i="175" s="1"/>
  <c r="X141" i="175" s="1"/>
  <c r="U95" i="175"/>
  <c r="W95" i="175" s="1"/>
  <c r="X95" i="175" s="1"/>
  <c r="Q83" i="175"/>
  <c r="M34" i="122"/>
  <c r="M35" i="122" s="1"/>
  <c r="M145" i="175"/>
  <c r="M98" i="175"/>
  <c r="X92" i="173"/>
  <c r="W122" i="173"/>
  <c r="F205" i="82"/>
  <c r="F210" i="82" s="1"/>
  <c r="R117" i="175"/>
  <c r="R151" i="175" s="1"/>
  <c r="M118" i="175"/>
  <c r="Q118" i="175" s="1"/>
  <c r="M119" i="175"/>
  <c r="Q119" i="175" s="1"/>
  <c r="M151" i="175"/>
  <c r="M120" i="175"/>
  <c r="Q120" i="175" s="1"/>
  <c r="P117" i="175"/>
  <c r="M121" i="175"/>
  <c r="Q121" i="175" s="1"/>
  <c r="U99" i="175"/>
  <c r="R98" i="175"/>
  <c r="R145" i="175"/>
  <c r="P136" i="174"/>
  <c r="P139" i="175"/>
  <c r="U93" i="175"/>
  <c r="P92" i="175"/>
  <c r="J330" i="117"/>
  <c r="J107" i="107"/>
  <c r="J108" i="107" s="1"/>
  <c r="J112" i="107" s="1"/>
  <c r="J114" i="107" s="1"/>
  <c r="J116" i="107" s="1"/>
  <c r="P140" i="175"/>
  <c r="U140" i="175" s="1"/>
  <c r="W140" i="175" s="1"/>
  <c r="X140" i="175" s="1"/>
  <c r="U94" i="175"/>
  <c r="W94" i="175" s="1"/>
  <c r="X94" i="175" s="1"/>
  <c r="P148" i="174"/>
  <c r="M330" i="117"/>
  <c r="M107" i="107"/>
  <c r="M108" i="107" s="1"/>
  <c r="M112" i="107" s="1"/>
  <c r="M114" i="107" s="1"/>
  <c r="M116" i="107" s="1"/>
  <c r="G330" i="117"/>
  <c r="G107" i="107"/>
  <c r="G108" i="107" s="1"/>
  <c r="G112" i="107" s="1"/>
  <c r="G114" i="107" s="1"/>
  <c r="G116" i="107" s="1"/>
  <c r="P90" i="175"/>
  <c r="P133" i="175"/>
  <c r="U139" i="174"/>
  <c r="U145" i="174"/>
  <c r="W145" i="174" s="1"/>
  <c r="X145" i="174" s="1"/>
  <c r="N330" i="117"/>
  <c r="N107" i="107"/>
  <c r="N108" i="107" s="1"/>
  <c r="N112" i="107" s="1"/>
  <c r="N114" i="107" s="1"/>
  <c r="N116" i="107" s="1"/>
  <c r="P117" i="171"/>
  <c r="P151" i="171" s="1"/>
  <c r="U115" i="175"/>
  <c r="W115" i="175" s="1"/>
  <c r="X115" i="175" s="1"/>
  <c r="P149" i="175"/>
  <c r="M122" i="174"/>
  <c r="L122" i="174"/>
  <c r="Q136" i="173"/>
  <c r="Q154" i="173" s="1"/>
  <c r="Q110" i="174"/>
  <c r="Q148" i="174" s="1"/>
  <c r="O330" i="117"/>
  <c r="O107" i="107"/>
  <c r="O108" i="107" s="1"/>
  <c r="O112" i="107" s="1"/>
  <c r="O114" i="107" s="1"/>
  <c r="O116" i="107" s="1"/>
  <c r="X90" i="172"/>
  <c r="W124" i="172"/>
  <c r="L82" i="122" s="1"/>
  <c r="P142" i="175"/>
  <c r="U142" i="175" s="1"/>
  <c r="W142" i="175" s="1"/>
  <c r="X142" i="175" s="1"/>
  <c r="U96" i="175"/>
  <c r="W96" i="175" s="1"/>
  <c r="X96" i="175" s="1"/>
  <c r="W93" i="174"/>
  <c r="U92" i="174"/>
  <c r="P122" i="174"/>
  <c r="P124" i="174" s="1"/>
  <c r="H330" i="117"/>
  <c r="H107" i="107"/>
  <c r="H108" i="107" s="1"/>
  <c r="H112" i="107" s="1"/>
  <c r="H114" i="107" s="1"/>
  <c r="H116" i="107" s="1"/>
  <c r="Q90" i="174"/>
  <c r="Q133" i="174"/>
  <c r="Q136" i="174" s="1"/>
  <c r="M118" i="171"/>
  <c r="Q118" i="171" s="1"/>
  <c r="L30" i="122"/>
  <c r="L32" i="122"/>
  <c r="L6" i="122" s="1"/>
  <c r="P145" i="175"/>
  <c r="P98" i="175"/>
  <c r="Q276" i="117"/>
  <c r="J162" i="82"/>
  <c r="M151" i="171"/>
  <c r="M152" i="174"/>
  <c r="M154" i="174" s="1"/>
  <c r="M92" i="175"/>
  <c r="M122" i="175" s="1"/>
  <c r="M124" i="175" s="1"/>
  <c r="M139" i="175"/>
  <c r="R122" i="174"/>
  <c r="R124" i="174" s="1"/>
  <c r="T81" i="178" s="1"/>
  <c r="P151" i="174"/>
  <c r="Q139" i="175"/>
  <c r="Q92" i="175"/>
  <c r="P330" i="117"/>
  <c r="P107" i="107"/>
  <c r="P108" i="107" s="1"/>
  <c r="P112" i="107" s="1"/>
  <c r="P114" i="107" s="1"/>
  <c r="P116" i="107" s="1"/>
  <c r="R90" i="175"/>
  <c r="R139" i="175"/>
  <c r="R92" i="175"/>
  <c r="M114" i="175"/>
  <c r="Q114" i="175" s="1"/>
  <c r="R110" i="175"/>
  <c r="R148" i="175" s="1"/>
  <c r="M113" i="175"/>
  <c r="Q113" i="175" s="1"/>
  <c r="P110" i="175"/>
  <c r="M148" i="175"/>
  <c r="M112" i="175"/>
  <c r="Q112" i="175" s="1"/>
  <c r="M111" i="175"/>
  <c r="Q111" i="175" s="1"/>
  <c r="W99" i="174"/>
  <c r="U98" i="174"/>
  <c r="I330" i="117"/>
  <c r="I107" i="107"/>
  <c r="I108" i="107" s="1"/>
  <c r="I112" i="107" s="1"/>
  <c r="I114" i="107" s="1"/>
  <c r="I116" i="107" s="1"/>
  <c r="U83" i="174"/>
  <c r="K330" i="117"/>
  <c r="K107" i="107"/>
  <c r="K108" i="107" s="1"/>
  <c r="K112" i="107" s="1"/>
  <c r="K114" i="107" s="1"/>
  <c r="K116" i="107" s="1"/>
  <c r="L152" i="175"/>
  <c r="L154" i="175" s="1"/>
  <c r="X83" i="173"/>
  <c r="W90" i="173"/>
  <c r="X90" i="173" s="1"/>
  <c r="M90" i="170"/>
  <c r="L90" i="170"/>
  <c r="W99" i="171"/>
  <c r="U98" i="171"/>
  <c r="X99" i="170"/>
  <c r="W98" i="170"/>
  <c r="X98" i="170" s="1"/>
  <c r="X124" i="168"/>
  <c r="X83" i="169"/>
  <c r="W90" i="169"/>
  <c r="X90" i="169" s="1"/>
  <c r="Q110" i="171"/>
  <c r="Q148" i="171" s="1"/>
  <c r="P90" i="170"/>
  <c r="P133" i="170"/>
  <c r="W133" i="169"/>
  <c r="U136" i="169"/>
  <c r="U154" i="169" s="1"/>
  <c r="N83" i="58" s="1"/>
  <c r="P152" i="170"/>
  <c r="R90" i="170"/>
  <c r="R133" i="170"/>
  <c r="R136" i="170" s="1"/>
  <c r="W154" i="168"/>
  <c r="X154" i="168" s="1"/>
  <c r="W139" i="170"/>
  <c r="X139" i="170" s="1"/>
  <c r="Q83" i="170"/>
  <c r="U83" i="170" s="1"/>
  <c r="X93" i="170"/>
  <c r="W92" i="170"/>
  <c r="X18" i="171"/>
  <c r="D75" i="106" s="1"/>
  <c r="W25" i="171"/>
  <c r="P148" i="171"/>
  <c r="R83" i="171"/>
  <c r="M90" i="171"/>
  <c r="M85" i="171"/>
  <c r="Q85" i="171" s="1"/>
  <c r="P83" i="171"/>
  <c r="M84" i="171"/>
  <c r="Q84" i="171" s="1"/>
  <c r="M87" i="171"/>
  <c r="Q87" i="171" s="1"/>
  <c r="M86" i="171"/>
  <c r="Q86" i="171" s="1"/>
  <c r="M133" i="171"/>
  <c r="X152" i="169"/>
  <c r="O48" i="122"/>
  <c r="O47" i="122" s="1"/>
  <c r="O396" i="156"/>
  <c r="F316" i="117"/>
  <c r="F329" i="117" s="1"/>
  <c r="E302" i="117"/>
  <c r="E88" i="107" s="1"/>
  <c r="E89" i="107" s="1"/>
  <c r="Q289" i="117"/>
  <c r="O42" i="122"/>
  <c r="E329" i="117"/>
  <c r="E107" i="107" s="1"/>
  <c r="E108" i="107" s="1"/>
  <c r="N35" i="156"/>
  <c r="H133" i="90"/>
  <c r="I133" i="90" s="1"/>
  <c r="F134" i="90"/>
  <c r="H134" i="90" s="1"/>
  <c r="H55" i="112"/>
  <c r="J102" i="112"/>
  <c r="H50" i="112"/>
  <c r="H61" i="112"/>
  <c r="J41" i="112"/>
  <c r="J89" i="112"/>
  <c r="J44" i="112"/>
  <c r="J64" i="112"/>
  <c r="J99" i="112"/>
  <c r="J85" i="112"/>
  <c r="H47" i="112"/>
  <c r="H58" i="112"/>
  <c r="H86" i="112"/>
  <c r="J81" i="112"/>
  <c r="J95" i="112"/>
  <c r="H95" i="112"/>
  <c r="H15" i="112"/>
  <c r="H26" i="112"/>
  <c r="G103" i="112"/>
  <c r="H103" i="112" s="1"/>
  <c r="J16" i="112"/>
  <c r="H16" i="112"/>
  <c r="J27" i="112"/>
  <c r="H27" i="112"/>
  <c r="H48" i="112"/>
  <c r="J104" i="112"/>
  <c r="J23" i="112"/>
  <c r="H45" i="112"/>
  <c r="H59" i="112"/>
  <c r="H97" i="112"/>
  <c r="J19" i="112"/>
  <c r="H19" i="112"/>
  <c r="G32" i="112"/>
  <c r="H51" i="112"/>
  <c r="H65" i="112"/>
  <c r="H82" i="112"/>
  <c r="J100" i="112"/>
  <c r="H62" i="112"/>
  <c r="J83" i="112"/>
  <c r="H83" i="112"/>
  <c r="H90" i="112"/>
  <c r="G69" i="112"/>
  <c r="J91" i="112"/>
  <c r="H91" i="112"/>
  <c r="J105" i="112"/>
  <c r="J24" i="112"/>
  <c r="H24" i="112"/>
  <c r="H18" i="112"/>
  <c r="H29" i="112"/>
  <c r="J79" i="112"/>
  <c r="H79" i="112"/>
  <c r="G98" i="112"/>
  <c r="H98" i="112" s="1"/>
  <c r="H42" i="112"/>
  <c r="H56" i="112"/>
  <c r="J87" i="112"/>
  <c r="H87" i="112"/>
  <c r="G96" i="112"/>
  <c r="H96" i="112" s="1"/>
  <c r="D107" i="112"/>
  <c r="H43" i="112"/>
  <c r="H46" i="112"/>
  <c r="H49" i="112"/>
  <c r="H52" i="112"/>
  <c r="H57" i="112"/>
  <c r="H60" i="112"/>
  <c r="H63" i="112"/>
  <c r="H66" i="112"/>
  <c r="H80" i="112"/>
  <c r="H84" i="112"/>
  <c r="H88" i="112"/>
  <c r="G101" i="112"/>
  <c r="H101" i="112" s="1"/>
  <c r="G94" i="112"/>
  <c r="H94" i="112" s="1"/>
  <c r="H14" i="112"/>
  <c r="H17" i="112"/>
  <c r="H20" i="112"/>
  <c r="H25" i="112"/>
  <c r="H28" i="112"/>
  <c r="J94" i="112" l="1"/>
  <c r="K64" i="113"/>
  <c r="K69" i="113" s="1"/>
  <c r="K70" i="113" s="1"/>
  <c r="I69" i="113"/>
  <c r="I70" i="113" s="1"/>
  <c r="D107" i="72"/>
  <c r="J69" i="112"/>
  <c r="J101" i="112"/>
  <c r="D49" i="178"/>
  <c r="O45" i="122"/>
  <c r="M136" i="171"/>
  <c r="V8" i="179"/>
  <c r="G40" i="151"/>
  <c r="E38" i="90"/>
  <c r="M152" i="171"/>
  <c r="M154" i="171" s="1"/>
  <c r="AQ57" i="58"/>
  <c r="AQ100" i="58" s="1"/>
  <c r="AQ80" i="58"/>
  <c r="N34" i="88"/>
  <c r="N17" i="121"/>
  <c r="N18" i="121" s="1"/>
  <c r="O44" i="122"/>
  <c r="U9" i="179"/>
  <c r="E125" i="90"/>
  <c r="I125" i="90" s="1"/>
  <c r="M154" i="170"/>
  <c r="E112" i="107"/>
  <c r="E114" i="107" s="1"/>
  <c r="E116" i="107" s="1"/>
  <c r="E93" i="107"/>
  <c r="E95" i="107" s="1"/>
  <c r="E97" i="107" s="1"/>
  <c r="N14" i="107" s="1"/>
  <c r="V10" i="179" s="1"/>
  <c r="V13" i="179" s="1"/>
  <c r="AC57" i="58"/>
  <c r="AC100" i="58" s="1"/>
  <c r="AC80" i="58"/>
  <c r="S49" i="178"/>
  <c r="S64" i="178"/>
  <c r="S70" i="178" s="1"/>
  <c r="N61" i="122"/>
  <c r="N69" i="122" s="1"/>
  <c r="N68" i="122"/>
  <c r="N35" i="88"/>
  <c r="G17" i="178"/>
  <c r="U27" i="178"/>
  <c r="U123" i="178"/>
  <c r="O60" i="122"/>
  <c r="AD55" i="58"/>
  <c r="AD98" i="58" s="1"/>
  <c r="AD20" i="58"/>
  <c r="AD105" i="58" s="1"/>
  <c r="Q152" i="170"/>
  <c r="R124" i="170"/>
  <c r="AR39" i="58" s="1"/>
  <c r="T37" i="178" s="1"/>
  <c r="T58" i="178" s="1"/>
  <c r="R154" i="170"/>
  <c r="O39" i="58" s="1"/>
  <c r="N126" i="58"/>
  <c r="E43" i="178"/>
  <c r="E64" i="178" s="1"/>
  <c r="K150" i="151"/>
  <c r="K151" i="151" s="1"/>
  <c r="K157" i="151"/>
  <c r="L150" i="151"/>
  <c r="L151" i="151" s="1"/>
  <c r="L157" i="151"/>
  <c r="F77" i="122"/>
  <c r="F78" i="122"/>
  <c r="F62" i="122"/>
  <c r="F61" i="122"/>
  <c r="F68" i="122"/>
  <c r="U117" i="170"/>
  <c r="W117" i="170" s="1"/>
  <c r="X117" i="170" s="1"/>
  <c r="N146" i="151"/>
  <c r="N147" i="151" s="1"/>
  <c r="N73" i="122"/>
  <c r="N132" i="151" s="1"/>
  <c r="U148" i="170"/>
  <c r="W148" i="170" s="1"/>
  <c r="X148" i="170" s="1"/>
  <c r="U110" i="170"/>
  <c r="W110" i="170" s="1"/>
  <c r="X110" i="170" s="1"/>
  <c r="AQ98" i="58"/>
  <c r="Q122" i="170"/>
  <c r="U151" i="174"/>
  <c r="W151" i="174" s="1"/>
  <c r="X151" i="174" s="1"/>
  <c r="N74" i="122"/>
  <c r="Y132" i="151" s="1"/>
  <c r="AR80" i="58" s="1"/>
  <c r="N70" i="122"/>
  <c r="AA55" i="58"/>
  <c r="K146" i="151"/>
  <c r="K147" i="151" s="1"/>
  <c r="AO98" i="58"/>
  <c r="AA101" i="58"/>
  <c r="AA102" i="58"/>
  <c r="AP98" i="58"/>
  <c r="X149" i="151"/>
  <c r="AQ59" i="58"/>
  <c r="AQ102" i="58" s="1"/>
  <c r="AQ58" i="58"/>
  <c r="AQ101" i="58" s="1"/>
  <c r="AA100" i="58"/>
  <c r="V149" i="151"/>
  <c r="AO59" i="58"/>
  <c r="AO58" i="58"/>
  <c r="AO57" i="58"/>
  <c r="W149" i="151"/>
  <c r="AP59" i="58"/>
  <c r="AP102" i="58" s="1"/>
  <c r="AP58" i="58"/>
  <c r="AP101" i="58" s="1"/>
  <c r="AP57" i="58"/>
  <c r="AP100" i="58" s="1"/>
  <c r="AR98" i="58"/>
  <c r="M149" i="151"/>
  <c r="AC59" i="58"/>
  <c r="AC102" i="58" s="1"/>
  <c r="AC58" i="58"/>
  <c r="AC101" i="58" s="1"/>
  <c r="P124" i="170"/>
  <c r="AQ126" i="58"/>
  <c r="P152" i="174"/>
  <c r="P154" i="174" s="1"/>
  <c r="P155" i="174" s="1"/>
  <c r="U139" i="171"/>
  <c r="W139" i="171" s="1"/>
  <c r="X139" i="171" s="1"/>
  <c r="L124" i="170"/>
  <c r="U117" i="174"/>
  <c r="W117" i="174" s="1"/>
  <c r="X117" i="174" s="1"/>
  <c r="Q155" i="173"/>
  <c r="Q117" i="171"/>
  <c r="Q151" i="171" s="1"/>
  <c r="Q152" i="171" s="1"/>
  <c r="M124" i="170"/>
  <c r="U92" i="171"/>
  <c r="P122" i="171"/>
  <c r="U148" i="174"/>
  <c r="W148" i="174" s="1"/>
  <c r="X148" i="174" s="1"/>
  <c r="M124" i="171"/>
  <c r="U145" i="175"/>
  <c r="W145" i="175" s="1"/>
  <c r="X145" i="175" s="1"/>
  <c r="P152" i="171"/>
  <c r="M124" i="174"/>
  <c r="L124" i="174"/>
  <c r="M152" i="175"/>
  <c r="M154" i="175" s="1"/>
  <c r="U83" i="175"/>
  <c r="Q90" i="175"/>
  <c r="Q133" i="175"/>
  <c r="Q136" i="175" s="1"/>
  <c r="Q110" i="175"/>
  <c r="Q148" i="175" s="1"/>
  <c r="U139" i="175"/>
  <c r="Q117" i="175"/>
  <c r="Q151" i="175" s="1"/>
  <c r="W92" i="174"/>
  <c r="X93" i="174"/>
  <c r="W124" i="169"/>
  <c r="X124" i="169" s="1"/>
  <c r="Q122" i="174"/>
  <c r="Q124" i="174" s="1"/>
  <c r="O43" i="122"/>
  <c r="O64" i="122"/>
  <c r="N162" i="82"/>
  <c r="Q162" i="82" s="1"/>
  <c r="M27" i="122"/>
  <c r="M29" i="122" s="1"/>
  <c r="J167" i="82"/>
  <c r="W139" i="174"/>
  <c r="X139" i="174" s="1"/>
  <c r="R122" i="175"/>
  <c r="R124" i="175" s="1"/>
  <c r="U81" i="178" s="1"/>
  <c r="W93" i="175"/>
  <c r="U92" i="175"/>
  <c r="F330" i="117"/>
  <c r="F107" i="107"/>
  <c r="F108" i="107" s="1"/>
  <c r="F112" i="107" s="1"/>
  <c r="F114" i="107" s="1"/>
  <c r="F116" i="107" s="1"/>
  <c r="O14" i="107" s="1"/>
  <c r="W10" i="179" s="1"/>
  <c r="W13" i="179" s="1"/>
  <c r="L155" i="175"/>
  <c r="P148" i="175"/>
  <c r="Q152" i="174"/>
  <c r="Q154" i="174" s="1"/>
  <c r="X122" i="173"/>
  <c r="W124" i="173"/>
  <c r="M82" i="122" s="1"/>
  <c r="W83" i="174"/>
  <c r="U90" i="174"/>
  <c r="W99" i="175"/>
  <c r="U98" i="175"/>
  <c r="P136" i="175"/>
  <c r="P151" i="175"/>
  <c r="W98" i="174"/>
  <c r="X98" i="174" s="1"/>
  <c r="X99" i="174"/>
  <c r="P122" i="175"/>
  <c r="P124" i="175" s="1"/>
  <c r="Q288" i="117"/>
  <c r="N36" i="122"/>
  <c r="X124" i="172"/>
  <c r="U110" i="174"/>
  <c r="W110" i="174" s="1"/>
  <c r="X110" i="174" s="1"/>
  <c r="X93" i="171"/>
  <c r="W92" i="171"/>
  <c r="X92" i="170"/>
  <c r="U148" i="171"/>
  <c r="W148" i="171" s="1"/>
  <c r="X148" i="171" s="1"/>
  <c r="Q83" i="171"/>
  <c r="U83" i="171" s="1"/>
  <c r="L155" i="171"/>
  <c r="P90" i="171"/>
  <c r="P133" i="171"/>
  <c r="Q90" i="170"/>
  <c r="Q133" i="170"/>
  <c r="Q136" i="170" s="1"/>
  <c r="X25" i="171"/>
  <c r="W65" i="171"/>
  <c r="W155" i="168"/>
  <c r="W83" i="170"/>
  <c r="U90" i="170"/>
  <c r="U155" i="169"/>
  <c r="X133" i="169"/>
  <c r="W136" i="169"/>
  <c r="R90" i="171"/>
  <c r="R124" i="171" s="1"/>
  <c r="AS39" i="58" s="1"/>
  <c r="R133" i="171"/>
  <c r="R136" i="171" s="1"/>
  <c r="R154" i="171" s="1"/>
  <c r="P39" i="58" s="1"/>
  <c r="U110" i="171"/>
  <c r="W110" i="171" s="1"/>
  <c r="X110" i="171" s="1"/>
  <c r="Q316" i="117"/>
  <c r="P136" i="170"/>
  <c r="P154" i="170" s="1"/>
  <c r="W98" i="171"/>
  <c r="X98" i="171" s="1"/>
  <c r="X99" i="171"/>
  <c r="E330" i="117"/>
  <c r="Q329" i="117"/>
  <c r="E303" i="117"/>
  <c r="Q302" i="117"/>
  <c r="J96" i="112"/>
  <c r="J32" i="112"/>
  <c r="J103" i="112"/>
  <c r="J98" i="112"/>
  <c r="G107" i="112"/>
  <c r="AQ41" i="145"/>
  <c r="AP41" i="145"/>
  <c r="AK41" i="145"/>
  <c r="AI41" i="145"/>
  <c r="AH41" i="145"/>
  <c r="AC41" i="145"/>
  <c r="AA41" i="145"/>
  <c r="Z41" i="145"/>
  <c r="U41" i="145"/>
  <c r="S41" i="145"/>
  <c r="R41" i="145"/>
  <c r="M41" i="145"/>
  <c r="K41" i="145"/>
  <c r="J41" i="145"/>
  <c r="E41" i="145"/>
  <c r="AR40" i="145"/>
  <c r="AJ40" i="145"/>
  <c r="AB40" i="145"/>
  <c r="T40" i="145"/>
  <c r="L40" i="145"/>
  <c r="AR39" i="145"/>
  <c r="AJ39" i="145"/>
  <c r="AB39" i="145"/>
  <c r="T39" i="145"/>
  <c r="L39" i="145"/>
  <c r="AR38" i="145"/>
  <c r="AJ38" i="145"/>
  <c r="AB38" i="145"/>
  <c r="T38" i="145"/>
  <c r="L38" i="145"/>
  <c r="AR37" i="145"/>
  <c r="AJ37" i="145"/>
  <c r="AB37" i="145"/>
  <c r="T37" i="145"/>
  <c r="L37" i="145"/>
  <c r="AR36" i="145"/>
  <c r="AJ36" i="145"/>
  <c r="AB36" i="145"/>
  <c r="T36" i="145"/>
  <c r="L36" i="145"/>
  <c r="AR35" i="145"/>
  <c r="AJ35" i="145"/>
  <c r="AB35" i="145"/>
  <c r="T35" i="145"/>
  <c r="L35" i="145"/>
  <c r="AR34" i="145"/>
  <c r="AJ34" i="145"/>
  <c r="AB34" i="145"/>
  <c r="T34" i="145"/>
  <c r="L34" i="145"/>
  <c r="AR33" i="145"/>
  <c r="AJ33" i="145"/>
  <c r="AB33" i="145"/>
  <c r="T33" i="145"/>
  <c r="L33" i="145"/>
  <c r="AR32" i="145"/>
  <c r="AJ32" i="145"/>
  <c r="AB32" i="145"/>
  <c r="T32" i="145"/>
  <c r="L32" i="145"/>
  <c r="AR31" i="145"/>
  <c r="AJ31" i="145"/>
  <c r="AB31" i="145"/>
  <c r="T31" i="145"/>
  <c r="L31" i="145"/>
  <c r="AR30" i="145"/>
  <c r="AJ30" i="145"/>
  <c r="AB30" i="145"/>
  <c r="T30" i="145"/>
  <c r="L30" i="145"/>
  <c r="AR29" i="145"/>
  <c r="AJ29" i="145"/>
  <c r="AB29" i="145"/>
  <c r="T29" i="145"/>
  <c r="L29" i="145"/>
  <c r="AR28" i="145"/>
  <c r="AJ28" i="145"/>
  <c r="AB28" i="145"/>
  <c r="T28" i="145"/>
  <c r="L28" i="145"/>
  <c r="AR27" i="145"/>
  <c r="AJ27" i="145"/>
  <c r="AB27" i="145"/>
  <c r="T27" i="145"/>
  <c r="L27" i="145"/>
  <c r="AR26" i="145"/>
  <c r="AJ26" i="145"/>
  <c r="AB26" i="145"/>
  <c r="T26" i="145"/>
  <c r="L26" i="145"/>
  <c r="AR25" i="145"/>
  <c r="AJ25" i="145"/>
  <c r="AB25" i="145"/>
  <c r="T25" i="145"/>
  <c r="L25" i="145"/>
  <c r="AR24" i="145"/>
  <c r="AJ24" i="145"/>
  <c r="AB24" i="145"/>
  <c r="AR23" i="145"/>
  <c r="AJ23" i="145"/>
  <c r="AB23" i="145"/>
  <c r="AR22" i="145"/>
  <c r="AJ22" i="145"/>
  <c r="AB22" i="145"/>
  <c r="AR21" i="145"/>
  <c r="AJ21" i="145"/>
  <c r="AB21" i="145"/>
  <c r="AR4" i="145"/>
  <c r="AR41" i="145" s="1"/>
  <c r="AJ4" i="145"/>
  <c r="AB4" i="145"/>
  <c r="T4" i="145"/>
  <c r="T41" i="145" s="1"/>
  <c r="L4" i="145"/>
  <c r="L41" i="145" s="1"/>
  <c r="AQ41" i="144"/>
  <c r="AP41" i="144"/>
  <c r="AO41" i="144"/>
  <c r="AN41" i="144"/>
  <c r="AM41" i="144"/>
  <c r="AL41" i="144"/>
  <c r="AK41" i="144"/>
  <c r="AI41" i="144"/>
  <c r="AH41" i="144"/>
  <c r="AG41" i="144"/>
  <c r="AF41" i="144"/>
  <c r="AE41" i="144"/>
  <c r="AD41" i="144"/>
  <c r="AC41" i="144"/>
  <c r="AA41" i="144"/>
  <c r="Z41" i="144"/>
  <c r="Y41" i="144"/>
  <c r="X41" i="144"/>
  <c r="W41" i="144"/>
  <c r="V41" i="144"/>
  <c r="U41" i="144"/>
  <c r="S41" i="144"/>
  <c r="R41" i="144"/>
  <c r="Q41" i="144"/>
  <c r="P41" i="144"/>
  <c r="O41" i="144"/>
  <c r="N41" i="144"/>
  <c r="M41" i="144"/>
  <c r="K41" i="144"/>
  <c r="J41" i="144"/>
  <c r="I41" i="144"/>
  <c r="H41" i="144"/>
  <c r="G41" i="144"/>
  <c r="F41" i="144"/>
  <c r="E41" i="144"/>
  <c r="AR40" i="144"/>
  <c r="AJ40" i="144"/>
  <c r="AB40" i="144"/>
  <c r="T40" i="144"/>
  <c r="L40" i="144"/>
  <c r="AR39" i="144"/>
  <c r="AJ39" i="144"/>
  <c r="AB39" i="144"/>
  <c r="T39" i="144"/>
  <c r="L39" i="144"/>
  <c r="AR38" i="144"/>
  <c r="AJ38" i="144"/>
  <c r="AB38" i="144"/>
  <c r="T38" i="144"/>
  <c r="L38" i="144"/>
  <c r="AR37" i="144"/>
  <c r="AJ37" i="144"/>
  <c r="AB37" i="144"/>
  <c r="T37" i="144"/>
  <c r="L37" i="144"/>
  <c r="AR36" i="144"/>
  <c r="AJ36" i="144"/>
  <c r="AB36" i="144"/>
  <c r="T36" i="144"/>
  <c r="L36" i="144"/>
  <c r="AR35" i="144"/>
  <c r="AJ35" i="144"/>
  <c r="AB35" i="144"/>
  <c r="T35" i="144"/>
  <c r="L35" i="144"/>
  <c r="AR34" i="144"/>
  <c r="AJ34" i="144"/>
  <c r="AB34" i="144"/>
  <c r="T34" i="144"/>
  <c r="L34" i="144"/>
  <c r="AR33" i="144"/>
  <c r="AJ33" i="144"/>
  <c r="AB33" i="144"/>
  <c r="T33" i="144"/>
  <c r="L33" i="144"/>
  <c r="AR32" i="144"/>
  <c r="AJ32" i="144"/>
  <c r="AB32" i="144"/>
  <c r="T32" i="144"/>
  <c r="L32" i="144"/>
  <c r="AR31" i="144"/>
  <c r="AJ31" i="144"/>
  <c r="AB31" i="144"/>
  <c r="T31" i="144"/>
  <c r="L31" i="144"/>
  <c r="AR30" i="144"/>
  <c r="AJ30" i="144"/>
  <c r="AB30" i="144"/>
  <c r="T30" i="144"/>
  <c r="L30" i="144"/>
  <c r="AR29" i="144"/>
  <c r="AJ29" i="144"/>
  <c r="AB29" i="144"/>
  <c r="T29" i="144"/>
  <c r="L29" i="144"/>
  <c r="AR28" i="144"/>
  <c r="AJ28" i="144"/>
  <c r="AB28" i="144"/>
  <c r="T28" i="144"/>
  <c r="L28" i="144"/>
  <c r="AR27" i="144"/>
  <c r="AJ27" i="144"/>
  <c r="AB27" i="144"/>
  <c r="T27" i="144"/>
  <c r="L27" i="144"/>
  <c r="AR26" i="144"/>
  <c r="AJ26" i="144"/>
  <c r="AB26" i="144"/>
  <c r="T26" i="144"/>
  <c r="L26" i="144"/>
  <c r="AR25" i="144"/>
  <c r="AJ25" i="144"/>
  <c r="AB25" i="144"/>
  <c r="T25" i="144"/>
  <c r="L25" i="144"/>
  <c r="AR24" i="144"/>
  <c r="AJ24" i="144"/>
  <c r="AB24" i="144"/>
  <c r="T24" i="144"/>
  <c r="L24" i="144"/>
  <c r="AR23" i="144"/>
  <c r="AJ23" i="144"/>
  <c r="AB23" i="144"/>
  <c r="T23" i="144"/>
  <c r="L23" i="144"/>
  <c r="AR22" i="144"/>
  <c r="AJ22" i="144"/>
  <c r="AB22" i="144"/>
  <c r="T22" i="144"/>
  <c r="L22" i="144"/>
  <c r="AR21" i="144"/>
  <c r="AJ21" i="144"/>
  <c r="AB21" i="144"/>
  <c r="T21" i="144"/>
  <c r="L21" i="144"/>
  <c r="AR20" i="144"/>
  <c r="AJ20" i="144"/>
  <c r="AB20" i="144"/>
  <c r="T20" i="144"/>
  <c r="L20" i="144"/>
  <c r="AR19" i="144"/>
  <c r="AJ19" i="144"/>
  <c r="AB19" i="144"/>
  <c r="T19" i="144"/>
  <c r="L19" i="144"/>
  <c r="AR18" i="144"/>
  <c r="AJ18" i="144"/>
  <c r="AB18" i="144"/>
  <c r="T18" i="144"/>
  <c r="L18" i="144"/>
  <c r="AR17" i="144"/>
  <c r="AJ17" i="144"/>
  <c r="AB17" i="144"/>
  <c r="T17" i="144"/>
  <c r="L17" i="144"/>
  <c r="AR16" i="144"/>
  <c r="AJ16" i="144"/>
  <c r="AB16" i="144"/>
  <c r="T16" i="144"/>
  <c r="L16" i="144"/>
  <c r="AR15" i="144"/>
  <c r="AJ15" i="144"/>
  <c r="AB15" i="144"/>
  <c r="T15" i="144"/>
  <c r="L15" i="144"/>
  <c r="AR14" i="144"/>
  <c r="AJ14" i="144"/>
  <c r="AB14" i="144"/>
  <c r="T14" i="144"/>
  <c r="L14" i="144"/>
  <c r="AR13" i="144"/>
  <c r="AJ13" i="144"/>
  <c r="AB13" i="144"/>
  <c r="AB41" i="144" s="1"/>
  <c r="T13" i="144"/>
  <c r="L13" i="144"/>
  <c r="AR12" i="144"/>
  <c r="AJ12" i="144"/>
  <c r="AB12" i="144"/>
  <c r="T12" i="144"/>
  <c r="L12" i="144"/>
  <c r="AR4" i="144"/>
  <c r="AR41" i="144" s="1"/>
  <c r="AJ4" i="144"/>
  <c r="AB4" i="144"/>
  <c r="T4" i="144"/>
  <c r="T41" i="144" s="1"/>
  <c r="L4" i="144"/>
  <c r="L41" i="144" s="1"/>
  <c r="AQ41" i="143"/>
  <c r="AP41" i="143"/>
  <c r="AO41" i="143"/>
  <c r="AN41" i="143"/>
  <c r="AM41" i="143"/>
  <c r="AL41" i="143"/>
  <c r="AK41" i="143"/>
  <c r="AI41" i="143"/>
  <c r="AH41" i="143"/>
  <c r="AG41" i="143"/>
  <c r="AF41" i="143"/>
  <c r="AE41" i="143"/>
  <c r="AD41" i="143"/>
  <c r="AC41" i="143"/>
  <c r="AA41" i="143"/>
  <c r="Z41" i="143"/>
  <c r="Y41" i="143"/>
  <c r="X41" i="143"/>
  <c r="W41" i="143"/>
  <c r="V41" i="143"/>
  <c r="U41" i="143"/>
  <c r="S41" i="143"/>
  <c r="R41" i="143"/>
  <c r="Q41" i="143"/>
  <c r="P41" i="143"/>
  <c r="O41" i="143"/>
  <c r="N41" i="143"/>
  <c r="M41" i="143"/>
  <c r="K41" i="143"/>
  <c r="J41" i="143"/>
  <c r="I41" i="143"/>
  <c r="H41" i="143"/>
  <c r="G41" i="143"/>
  <c r="F41" i="143"/>
  <c r="E41" i="143"/>
  <c r="AR40" i="143"/>
  <c r="AJ40" i="143"/>
  <c r="AB40" i="143"/>
  <c r="T40" i="143"/>
  <c r="L40" i="143"/>
  <c r="AR39" i="143"/>
  <c r="AJ39" i="143"/>
  <c r="AB39" i="143"/>
  <c r="T39" i="143"/>
  <c r="L39" i="143"/>
  <c r="AR38" i="143"/>
  <c r="AJ38" i="143"/>
  <c r="AB38" i="143"/>
  <c r="T38" i="143"/>
  <c r="L38" i="143"/>
  <c r="AR37" i="143"/>
  <c r="AJ37" i="143"/>
  <c r="AB37" i="143"/>
  <c r="T37" i="143"/>
  <c r="L37" i="143"/>
  <c r="AR36" i="143"/>
  <c r="AJ36" i="143"/>
  <c r="AB36" i="143"/>
  <c r="T36" i="143"/>
  <c r="L36" i="143"/>
  <c r="AR35" i="143"/>
  <c r="AJ35" i="143"/>
  <c r="AB35" i="143"/>
  <c r="T35" i="143"/>
  <c r="L35" i="143"/>
  <c r="AR34" i="143"/>
  <c r="AJ34" i="143"/>
  <c r="AB34" i="143"/>
  <c r="T34" i="143"/>
  <c r="L34" i="143"/>
  <c r="AR33" i="143"/>
  <c r="AJ33" i="143"/>
  <c r="AB33" i="143"/>
  <c r="T33" i="143"/>
  <c r="L33" i="143"/>
  <c r="AR32" i="143"/>
  <c r="AJ32" i="143"/>
  <c r="AB32" i="143"/>
  <c r="T32" i="143"/>
  <c r="L32" i="143"/>
  <c r="AR31" i="143"/>
  <c r="AJ31" i="143"/>
  <c r="AB31" i="143"/>
  <c r="T31" i="143"/>
  <c r="L31" i="143"/>
  <c r="AR30" i="143"/>
  <c r="AJ30" i="143"/>
  <c r="AB30" i="143"/>
  <c r="T30" i="143"/>
  <c r="L30" i="143"/>
  <c r="AR29" i="143"/>
  <c r="AJ29" i="143"/>
  <c r="AB29" i="143"/>
  <c r="T29" i="143"/>
  <c r="L29" i="143"/>
  <c r="AR28" i="143"/>
  <c r="AJ28" i="143"/>
  <c r="AB28" i="143"/>
  <c r="T28" i="143"/>
  <c r="L28" i="143"/>
  <c r="AR27" i="143"/>
  <c r="AJ27" i="143"/>
  <c r="AB27" i="143"/>
  <c r="T27" i="143"/>
  <c r="L27" i="143"/>
  <c r="AR26" i="143"/>
  <c r="AJ26" i="143"/>
  <c r="AB26" i="143"/>
  <c r="T26" i="143"/>
  <c r="L26" i="143"/>
  <c r="AR25" i="143"/>
  <c r="AJ25" i="143"/>
  <c r="AB25" i="143"/>
  <c r="T25" i="143"/>
  <c r="L25" i="143"/>
  <c r="AR24" i="143"/>
  <c r="AJ24" i="143"/>
  <c r="AB24" i="143"/>
  <c r="T24" i="143"/>
  <c r="L24" i="143"/>
  <c r="AR23" i="143"/>
  <c r="AJ23" i="143"/>
  <c r="AB23" i="143"/>
  <c r="T23" i="143"/>
  <c r="L23" i="143"/>
  <c r="AR22" i="143"/>
  <c r="AJ22" i="143"/>
  <c r="AB22" i="143"/>
  <c r="T22" i="143"/>
  <c r="L22" i="143"/>
  <c r="AR21" i="143"/>
  <c r="AJ21" i="143"/>
  <c r="AB21" i="143"/>
  <c r="T21" i="143"/>
  <c r="L21" i="143"/>
  <c r="AR20" i="143"/>
  <c r="AJ20" i="143"/>
  <c r="AB20" i="143"/>
  <c r="T20" i="143"/>
  <c r="L20" i="143"/>
  <c r="AR19" i="143"/>
  <c r="AJ19" i="143"/>
  <c r="AB19" i="143"/>
  <c r="T19" i="143"/>
  <c r="L19" i="143"/>
  <c r="AR18" i="143"/>
  <c r="AJ18" i="143"/>
  <c r="AB18" i="143"/>
  <c r="T18" i="143"/>
  <c r="L18" i="143"/>
  <c r="AR17" i="143"/>
  <c r="AJ17" i="143"/>
  <c r="AB17" i="143"/>
  <c r="T17" i="143"/>
  <c r="L17" i="143"/>
  <c r="AR16" i="143"/>
  <c r="AJ16" i="143"/>
  <c r="AB16" i="143"/>
  <c r="T16" i="143"/>
  <c r="L16" i="143"/>
  <c r="AR15" i="143"/>
  <c r="AJ15" i="143"/>
  <c r="AB15" i="143"/>
  <c r="T15" i="143"/>
  <c r="L15" i="143"/>
  <c r="AR14" i="143"/>
  <c r="AJ14" i="143"/>
  <c r="AB14" i="143"/>
  <c r="T14" i="143"/>
  <c r="L14" i="143"/>
  <c r="AR13" i="143"/>
  <c r="AJ13" i="143"/>
  <c r="AB13" i="143"/>
  <c r="T13" i="143"/>
  <c r="L13" i="143"/>
  <c r="AR12" i="143"/>
  <c r="AJ12" i="143"/>
  <c r="AB12" i="143"/>
  <c r="T12" i="143"/>
  <c r="L12" i="143"/>
  <c r="AR11" i="143"/>
  <c r="AJ11" i="143"/>
  <c r="AB11" i="143"/>
  <c r="T11" i="143"/>
  <c r="L11" i="143"/>
  <c r="AR10" i="143"/>
  <c r="AJ10" i="143"/>
  <c r="AB10" i="143"/>
  <c r="T10" i="143"/>
  <c r="L10" i="143"/>
  <c r="AR9" i="143"/>
  <c r="AJ9" i="143"/>
  <c r="AB9" i="143"/>
  <c r="T9" i="143"/>
  <c r="L9" i="143"/>
  <c r="AR8" i="143"/>
  <c r="AJ8" i="143"/>
  <c r="AB8" i="143"/>
  <c r="T8" i="143"/>
  <c r="L8" i="143"/>
  <c r="AR7" i="143"/>
  <c r="AJ7" i="143"/>
  <c r="AB7" i="143"/>
  <c r="T7" i="143"/>
  <c r="T41" i="143" s="1"/>
  <c r="L7" i="143"/>
  <c r="AR4" i="143"/>
  <c r="AR41" i="143" s="1"/>
  <c r="AJ4" i="143"/>
  <c r="AJ41" i="143" s="1"/>
  <c r="AB4" i="143"/>
  <c r="AB41" i="143" s="1"/>
  <c r="T4" i="143"/>
  <c r="L4" i="143"/>
  <c r="L41" i="143" s="1"/>
  <c r="AR34" i="142"/>
  <c r="AQ34" i="142"/>
  <c r="AP34" i="142"/>
  <c r="AO34" i="142"/>
  <c r="AN34" i="142"/>
  <c r="AJ34" i="142"/>
  <c r="AI34" i="142"/>
  <c r="AH34" i="142"/>
  <c r="AG34" i="142"/>
  <c r="AF34" i="142"/>
  <c r="AB34" i="142"/>
  <c r="AA34" i="142"/>
  <c r="Z34" i="142"/>
  <c r="Y34" i="142"/>
  <c r="X34" i="142"/>
  <c r="P34" i="142"/>
  <c r="L33" i="142"/>
  <c r="AE32" i="142"/>
  <c r="V32" i="142"/>
  <c r="U32" i="142"/>
  <c r="Q32" i="142"/>
  <c r="O32" i="142"/>
  <c r="M32" i="142"/>
  <c r="J32" i="142"/>
  <c r="AK31" i="142"/>
  <c r="AC31" i="142"/>
  <c r="S31" i="142"/>
  <c r="P31" i="142"/>
  <c r="N31" i="142"/>
  <c r="K31" i="142"/>
  <c r="H31" i="142"/>
  <c r="H34" i="142" s="1"/>
  <c r="AL30" i="142"/>
  <c r="W30" i="142"/>
  <c r="Q30" i="142"/>
  <c r="Q34" i="142" s="1"/>
  <c r="P30" i="142"/>
  <c r="O30" i="142"/>
  <c r="O34" i="142" s="1"/>
  <c r="H30" i="142"/>
  <c r="L29" i="142"/>
  <c r="AP26" i="142"/>
  <c r="AN26" i="142"/>
  <c r="AF26" i="142"/>
  <c r="X26" i="142"/>
  <c r="P26" i="142"/>
  <c r="J26" i="142"/>
  <c r="H26" i="142"/>
  <c r="AR25" i="142"/>
  <c r="AJ25" i="142"/>
  <c r="AB25" i="142"/>
  <c r="T25" i="142"/>
  <c r="L25" i="142"/>
  <c r="AQ24" i="142"/>
  <c r="AP24" i="142"/>
  <c r="AO24" i="142"/>
  <c r="AN24" i="142"/>
  <c r="AM24" i="142"/>
  <c r="AM32" i="142" s="1"/>
  <c r="AL24" i="142"/>
  <c r="AL32" i="142" s="1"/>
  <c r="AK24" i="142"/>
  <c r="AR24" i="142" s="1"/>
  <c r="AI24" i="142"/>
  <c r="AH24" i="142"/>
  <c r="AG24" i="142"/>
  <c r="AF24" i="142"/>
  <c r="AE24" i="142"/>
  <c r="AD24" i="142"/>
  <c r="AD32" i="142" s="1"/>
  <c r="AC24" i="142"/>
  <c r="AA24" i="142"/>
  <c r="Z24" i="142"/>
  <c r="Y24" i="142"/>
  <c r="X24" i="142"/>
  <c r="W24" i="142"/>
  <c r="W32" i="142" s="1"/>
  <c r="V24" i="142"/>
  <c r="U24" i="142"/>
  <c r="S24" i="142"/>
  <c r="S32" i="142" s="1"/>
  <c r="R24" i="142"/>
  <c r="R32" i="142" s="1"/>
  <c r="Q24" i="142"/>
  <c r="P24" i="142"/>
  <c r="P32" i="142" s="1"/>
  <c r="O24" i="142"/>
  <c r="N24" i="142"/>
  <c r="N32" i="142" s="1"/>
  <c r="M24" i="142"/>
  <c r="K24" i="142"/>
  <c r="K32" i="142" s="1"/>
  <c r="J24" i="142"/>
  <c r="I24" i="142"/>
  <c r="I32" i="142" s="1"/>
  <c r="H24" i="142"/>
  <c r="H32" i="142" s="1"/>
  <c r="G24" i="142"/>
  <c r="G32" i="142" s="1"/>
  <c r="F24" i="142"/>
  <c r="F32" i="142" s="1"/>
  <c r="E24" i="142"/>
  <c r="L24" i="142" s="1"/>
  <c r="AQ23" i="142"/>
  <c r="AP23" i="142"/>
  <c r="AO23" i="142"/>
  <c r="AN23" i="142"/>
  <c r="AM23" i="142"/>
  <c r="AM31" i="142" s="1"/>
  <c r="AL23" i="142"/>
  <c r="AL31" i="142" s="1"/>
  <c r="AK23" i="142"/>
  <c r="AI23" i="142"/>
  <c r="AH23" i="142"/>
  <c r="AG23" i="142"/>
  <c r="AF23" i="142"/>
  <c r="AE23" i="142"/>
  <c r="AE31" i="142" s="1"/>
  <c r="AD23" i="142"/>
  <c r="AD31" i="142" s="1"/>
  <c r="AC23" i="142"/>
  <c r="AA23" i="142"/>
  <c r="Z23" i="142"/>
  <c r="Z26" i="142" s="1"/>
  <c r="Y23" i="142"/>
  <c r="X23" i="142"/>
  <c r="W23" i="142"/>
  <c r="W31" i="142" s="1"/>
  <c r="V23" i="142"/>
  <c r="V31" i="142" s="1"/>
  <c r="U23" i="142"/>
  <c r="S23" i="142"/>
  <c r="R23" i="142"/>
  <c r="R31" i="142" s="1"/>
  <c r="Q23" i="142"/>
  <c r="Q31" i="142" s="1"/>
  <c r="P23" i="142"/>
  <c r="O23" i="142"/>
  <c r="O31" i="142" s="1"/>
  <c r="N23" i="142"/>
  <c r="M23" i="142"/>
  <c r="K23" i="142"/>
  <c r="J23" i="142"/>
  <c r="J31" i="142" s="1"/>
  <c r="I23" i="142"/>
  <c r="I31" i="142" s="1"/>
  <c r="H23" i="142"/>
  <c r="G23" i="142"/>
  <c r="G31" i="142" s="1"/>
  <c r="F23" i="142"/>
  <c r="F31" i="142" s="1"/>
  <c r="E23" i="142"/>
  <c r="AQ22" i="142"/>
  <c r="AQ26" i="142" s="1"/>
  <c r="AP22" i="142"/>
  <c r="AO22" i="142"/>
  <c r="AO26" i="142" s="1"/>
  <c r="AN22" i="142"/>
  <c r="AM22" i="142"/>
  <c r="AM26" i="142" s="1"/>
  <c r="AL22" i="142"/>
  <c r="AL26" i="142" s="1"/>
  <c r="AK22" i="142"/>
  <c r="AI22" i="142"/>
  <c r="AH22" i="142"/>
  <c r="AH26" i="142" s="1"/>
  <c r="AG22" i="142"/>
  <c r="AG26" i="142" s="1"/>
  <c r="AF22" i="142"/>
  <c r="AE22" i="142"/>
  <c r="AD22" i="142"/>
  <c r="AD26" i="142" s="1"/>
  <c r="AC22" i="142"/>
  <c r="AC30" i="142" s="1"/>
  <c r="AA22" i="142"/>
  <c r="Z22" i="142"/>
  <c r="Y22" i="142"/>
  <c r="Y26" i="142" s="1"/>
  <c r="X22" i="142"/>
  <c r="W22" i="142"/>
  <c r="V22" i="142"/>
  <c r="V30" i="142" s="1"/>
  <c r="U22" i="142"/>
  <c r="S22" i="142"/>
  <c r="S30" i="142" s="1"/>
  <c r="R22" i="142"/>
  <c r="R30" i="142" s="1"/>
  <c r="Q22" i="142"/>
  <c r="Q26" i="142" s="1"/>
  <c r="P22" i="142"/>
  <c r="O22" i="142"/>
  <c r="N22" i="142"/>
  <c r="N30" i="142" s="1"/>
  <c r="M22" i="142"/>
  <c r="K22" i="142"/>
  <c r="K26" i="142" s="1"/>
  <c r="J22" i="142"/>
  <c r="J30" i="142" s="1"/>
  <c r="I22" i="142"/>
  <c r="I26" i="142" s="1"/>
  <c r="H22" i="142"/>
  <c r="G22" i="142"/>
  <c r="G26" i="142" s="1"/>
  <c r="F22" i="142"/>
  <c r="F30" i="142" s="1"/>
  <c r="E22" i="142"/>
  <c r="AR21" i="142"/>
  <c r="AJ21" i="142"/>
  <c r="AB21" i="142"/>
  <c r="T21" i="142"/>
  <c r="L21" i="142"/>
  <c r="AR18" i="142"/>
  <c r="AQ18" i="142"/>
  <c r="AP18" i="142"/>
  <c r="AO18" i="142"/>
  <c r="AN18" i="142"/>
  <c r="AM18" i="142"/>
  <c r="AL18" i="142"/>
  <c r="AK18" i="142"/>
  <c r="AJ18" i="142"/>
  <c r="AI18" i="142"/>
  <c r="AH18" i="142"/>
  <c r="AG18" i="142"/>
  <c r="AF18" i="142"/>
  <c r="AE18" i="142"/>
  <c r="AD18" i="142"/>
  <c r="AC18" i="142"/>
  <c r="AB18" i="142"/>
  <c r="AA18" i="142"/>
  <c r="Z18" i="142"/>
  <c r="Y18" i="142"/>
  <c r="X18" i="142"/>
  <c r="W18" i="142"/>
  <c r="V18" i="142"/>
  <c r="U18" i="142"/>
  <c r="T18" i="142"/>
  <c r="S18" i="142"/>
  <c r="R18" i="142"/>
  <c r="Q18" i="142"/>
  <c r="P18" i="142"/>
  <c r="O18" i="142"/>
  <c r="N18" i="142"/>
  <c r="M18" i="142"/>
  <c r="K18" i="142"/>
  <c r="J18" i="142"/>
  <c r="I18" i="142"/>
  <c r="H18" i="142"/>
  <c r="G18" i="142"/>
  <c r="F18" i="142"/>
  <c r="E18" i="142"/>
  <c r="AR17" i="142"/>
  <c r="AJ17" i="142"/>
  <c r="AB17" i="142"/>
  <c r="T13" i="142"/>
  <c r="L13" i="142"/>
  <c r="L18" i="142" s="1"/>
  <c r="AQ10" i="142"/>
  <c r="AP10" i="142"/>
  <c r="AO10" i="142"/>
  <c r="AN10" i="142"/>
  <c r="AM10" i="142"/>
  <c r="AL10" i="142"/>
  <c r="AK10" i="142"/>
  <c r="AI10" i="142"/>
  <c r="AH10" i="142"/>
  <c r="AG10" i="142"/>
  <c r="AF10" i="142"/>
  <c r="AE10" i="142"/>
  <c r="AD10" i="142"/>
  <c r="AC10" i="142"/>
  <c r="AB10" i="142"/>
  <c r="AA10" i="142"/>
  <c r="Z10" i="142"/>
  <c r="Y10" i="142"/>
  <c r="X10" i="142"/>
  <c r="W10" i="142"/>
  <c r="V10" i="142"/>
  <c r="U10" i="142"/>
  <c r="S10" i="142"/>
  <c r="R10" i="142"/>
  <c r="Q10" i="142"/>
  <c r="P10" i="142"/>
  <c r="O10" i="142"/>
  <c r="N10" i="142"/>
  <c r="M10" i="142"/>
  <c r="K10" i="142"/>
  <c r="J10" i="142"/>
  <c r="I10" i="142"/>
  <c r="H10" i="142"/>
  <c r="G10" i="142"/>
  <c r="F10" i="142"/>
  <c r="E10" i="142"/>
  <c r="AR5" i="142"/>
  <c r="AR10" i="142" s="1"/>
  <c r="AJ5" i="142"/>
  <c r="AJ10" i="142" s="1"/>
  <c r="AB5" i="142"/>
  <c r="T5" i="142"/>
  <c r="T10" i="142" s="1"/>
  <c r="L5" i="142"/>
  <c r="L10" i="142" s="1"/>
  <c r="AX44" i="141"/>
  <c r="AW44" i="141"/>
  <c r="AS42" i="141"/>
  <c r="AK42" i="141"/>
  <c r="AC42" i="141"/>
  <c r="U42" i="141"/>
  <c r="M42" i="141"/>
  <c r="AS41" i="141"/>
  <c r="AK41" i="141"/>
  <c r="AC41" i="141"/>
  <c r="U41" i="141"/>
  <c r="M41" i="141"/>
  <c r="AS40" i="141"/>
  <c r="AK40" i="141"/>
  <c r="AC40" i="141"/>
  <c r="U40" i="141"/>
  <c r="M40" i="141"/>
  <c r="AS39" i="141"/>
  <c r="AK39" i="141"/>
  <c r="AC39" i="141"/>
  <c r="U39" i="141"/>
  <c r="M39" i="141"/>
  <c r="AS38" i="141"/>
  <c r="AK38" i="141"/>
  <c r="AC38" i="141"/>
  <c r="U38" i="141"/>
  <c r="M38" i="141"/>
  <c r="AS37" i="141"/>
  <c r="AK37" i="141"/>
  <c r="AC37" i="141"/>
  <c r="U37" i="141"/>
  <c r="M37" i="141"/>
  <c r="AS36" i="141"/>
  <c r="AK36" i="141"/>
  <c r="AC36" i="141"/>
  <c r="U36" i="141"/>
  <c r="M36" i="141"/>
  <c r="AS35" i="141"/>
  <c r="AK35" i="141"/>
  <c r="AC35" i="141"/>
  <c r="U35" i="141"/>
  <c r="M35" i="141"/>
  <c r="AS34" i="141"/>
  <c r="AK34" i="141"/>
  <c r="AC34" i="141"/>
  <c r="U34" i="141"/>
  <c r="M34" i="141"/>
  <c r="AS33" i="141"/>
  <c r="AK33" i="141"/>
  <c r="AC33" i="141"/>
  <c r="U33" i="141"/>
  <c r="M33" i="141"/>
  <c r="AS32" i="141"/>
  <c r="AK32" i="141"/>
  <c r="AC32" i="141"/>
  <c r="U32" i="141"/>
  <c r="M32" i="141"/>
  <c r="AS31" i="141"/>
  <c r="AK31" i="141"/>
  <c r="AC31" i="141"/>
  <c r="U31" i="141"/>
  <c r="M31" i="141"/>
  <c r="AS30" i="141"/>
  <c r="AK30" i="141"/>
  <c r="AC30" i="141"/>
  <c r="U30" i="141"/>
  <c r="M30" i="141"/>
  <c r="AS29" i="141"/>
  <c r="AK29" i="141"/>
  <c r="AC29" i="141"/>
  <c r="U29" i="141"/>
  <c r="M29" i="141"/>
  <c r="AS28" i="141"/>
  <c r="AK28" i="141"/>
  <c r="AC28" i="141"/>
  <c r="U28" i="141"/>
  <c r="M28" i="141"/>
  <c r="AS27" i="141"/>
  <c r="AK27" i="141"/>
  <c r="AC27" i="141"/>
  <c r="U27" i="141"/>
  <c r="M27" i="141"/>
  <c r="AS26" i="141"/>
  <c r="AK26" i="141"/>
  <c r="AC26" i="141"/>
  <c r="U26" i="141"/>
  <c r="M26" i="141"/>
  <c r="AS25" i="141"/>
  <c r="AK25" i="141"/>
  <c r="AC25" i="141"/>
  <c r="U25" i="141"/>
  <c r="M25" i="141"/>
  <c r="AS24" i="141"/>
  <c r="AK24" i="141"/>
  <c r="AC24" i="141"/>
  <c r="U24" i="141"/>
  <c r="M24" i="141"/>
  <c r="AS23" i="141"/>
  <c r="AK23" i="141"/>
  <c r="AC23" i="141"/>
  <c r="U23" i="141"/>
  <c r="M23" i="141"/>
  <c r="AS22" i="141"/>
  <c r="AK22" i="141"/>
  <c r="AC22" i="141"/>
  <c r="U22" i="141"/>
  <c r="M22" i="141"/>
  <c r="AS21" i="141"/>
  <c r="AK21" i="141"/>
  <c r="AC21" i="141"/>
  <c r="U21" i="141"/>
  <c r="M21" i="141"/>
  <c r="AS20" i="141"/>
  <c r="AK20" i="141"/>
  <c r="AC20" i="141"/>
  <c r="U20" i="141"/>
  <c r="M20" i="141"/>
  <c r="AS19" i="141"/>
  <c r="AK19" i="141"/>
  <c r="AC19" i="141"/>
  <c r="U19" i="141"/>
  <c r="M19" i="141"/>
  <c r="AS18" i="141"/>
  <c r="AK18" i="141"/>
  <c r="AC18" i="141"/>
  <c r="U18" i="141"/>
  <c r="M18" i="141"/>
  <c r="AS17" i="141"/>
  <c r="AK17" i="141"/>
  <c r="AC17" i="141"/>
  <c r="U17" i="141"/>
  <c r="M17" i="141"/>
  <c r="AS16" i="141"/>
  <c r="AK16" i="141"/>
  <c r="AC16" i="141"/>
  <c r="U16" i="141"/>
  <c r="M16" i="141"/>
  <c r="AS15" i="141"/>
  <c r="AK15" i="141"/>
  <c r="AC15" i="141"/>
  <c r="U15" i="141"/>
  <c r="M15" i="141"/>
  <c r="AS14" i="141"/>
  <c r="AK14" i="141"/>
  <c r="AC14" i="141"/>
  <c r="U14" i="141"/>
  <c r="M14" i="141"/>
  <c r="AS13" i="141"/>
  <c r="AK13" i="141"/>
  <c r="AC13" i="141"/>
  <c r="U13" i="141"/>
  <c r="M13" i="141"/>
  <c r="AS12" i="141"/>
  <c r="AK12" i="141"/>
  <c r="AC12" i="141"/>
  <c r="U12" i="141"/>
  <c r="M12" i="141"/>
  <c r="AS11" i="141"/>
  <c r="AK11" i="141"/>
  <c r="AC11" i="141"/>
  <c r="U11" i="141"/>
  <c r="M11" i="141"/>
  <c r="AS10" i="141"/>
  <c r="AK10" i="141"/>
  <c r="AC10" i="141"/>
  <c r="U10" i="141"/>
  <c r="M10" i="141"/>
  <c r="AS9" i="141"/>
  <c r="AK9" i="141"/>
  <c r="AC9" i="141"/>
  <c r="U9" i="141"/>
  <c r="M9" i="141"/>
  <c r="AS8" i="141"/>
  <c r="AK8" i="141"/>
  <c r="AC8" i="141"/>
  <c r="AC44" i="141" s="1"/>
  <c r="U8" i="141"/>
  <c r="M8" i="141"/>
  <c r="AS7" i="141"/>
  <c r="AK7" i="141"/>
  <c r="AC7" i="141"/>
  <c r="U7" i="141"/>
  <c r="M7" i="141"/>
  <c r="AS6" i="141"/>
  <c r="AS44" i="141" s="1"/>
  <c r="AK6" i="141"/>
  <c r="AK44" i="141" s="1"/>
  <c r="AC6" i="141"/>
  <c r="U6" i="141"/>
  <c r="M6" i="141"/>
  <c r="M44" i="141" s="1"/>
  <c r="K30" i="140"/>
  <c r="I30" i="140"/>
  <c r="H30" i="140"/>
  <c r="F30" i="140"/>
  <c r="BA27" i="139"/>
  <c r="AZ27" i="139"/>
  <c r="AY27" i="139"/>
  <c r="AW27" i="139"/>
  <c r="AV27" i="139"/>
  <c r="AU27" i="139"/>
  <c r="AM27" i="139"/>
  <c r="AL27" i="139"/>
  <c r="AI27" i="139"/>
  <c r="AH27" i="139"/>
  <c r="AG27" i="139"/>
  <c r="AE27" i="139"/>
  <c r="AD27" i="139"/>
  <c r="AC27" i="139"/>
  <c r="AA27" i="139"/>
  <c r="Z27" i="139"/>
  <c r="Y27" i="139"/>
  <c r="W27" i="139"/>
  <c r="V27" i="139"/>
  <c r="S27" i="139"/>
  <c r="Q27" i="139"/>
  <c r="BB25" i="139"/>
  <c r="AN25" i="139"/>
  <c r="AF25" i="139"/>
  <c r="X25" i="139"/>
  <c r="BB24" i="139"/>
  <c r="AN24" i="139"/>
  <c r="AF24" i="139"/>
  <c r="X24" i="139"/>
  <c r="BB23" i="139"/>
  <c r="AN23" i="139"/>
  <c r="AF23" i="139"/>
  <c r="X23" i="139"/>
  <c r="BB22" i="139"/>
  <c r="AN22" i="139"/>
  <c r="AF22" i="139"/>
  <c r="X22" i="139"/>
  <c r="BB21" i="139"/>
  <c r="AN21" i="139"/>
  <c r="AF21" i="139"/>
  <c r="X21" i="139"/>
  <c r="BB20" i="139"/>
  <c r="AN20" i="139"/>
  <c r="AF20" i="139"/>
  <c r="X20" i="139"/>
  <c r="BB19" i="139"/>
  <c r="AN19" i="139"/>
  <c r="AF19" i="139"/>
  <c r="X19" i="139"/>
  <c r="AK27" i="139"/>
  <c r="U27" i="139"/>
  <c r="BB18" i="139"/>
  <c r="AN18" i="139"/>
  <c r="AF18" i="139"/>
  <c r="X18" i="139"/>
  <c r="BB17" i="139"/>
  <c r="AN17" i="139"/>
  <c r="AF17" i="139"/>
  <c r="R17" i="139"/>
  <c r="X17" i="139" s="1"/>
  <c r="BB16" i="139"/>
  <c r="AN16" i="139"/>
  <c r="AF16" i="139"/>
  <c r="X16" i="139"/>
  <c r="BB15" i="139"/>
  <c r="AN15" i="139"/>
  <c r="AF15" i="139"/>
  <c r="X15" i="139"/>
  <c r="BB6" i="139"/>
  <c r="AN6" i="139"/>
  <c r="AF6" i="139"/>
  <c r="X6" i="139"/>
  <c r="AX5" i="139"/>
  <c r="BB5" i="139" s="1"/>
  <c r="AJ5" i="139"/>
  <c r="AJ27" i="139" s="1"/>
  <c r="AB5" i="139"/>
  <c r="AF5" i="139" s="1"/>
  <c r="T5" i="139"/>
  <c r="T27" i="139" s="1"/>
  <c r="M17" i="138"/>
  <c r="K17" i="138"/>
  <c r="F27" i="136" s="1"/>
  <c r="J17" i="138"/>
  <c r="I17" i="138"/>
  <c r="H17" i="138"/>
  <c r="G17" i="138"/>
  <c r="F17" i="138"/>
  <c r="B9" i="135"/>
  <c r="B10" i="135" s="1"/>
  <c r="B11" i="135" s="1"/>
  <c r="B12" i="135" s="1"/>
  <c r="B13" i="135" s="1"/>
  <c r="B14" i="135" s="1"/>
  <c r="B15" i="135" s="1"/>
  <c r="B16" i="135" s="1"/>
  <c r="B17" i="135" s="1"/>
  <c r="B18" i="135" s="1"/>
  <c r="B7" i="135"/>
  <c r="B8" i="135" s="1"/>
  <c r="J107" i="112" l="1"/>
  <c r="I37" i="136"/>
  <c r="I27" i="136"/>
  <c r="X5" i="139"/>
  <c r="BB27" i="139"/>
  <c r="AF27" i="139"/>
  <c r="R162" i="82"/>
  <c r="G37" i="178"/>
  <c r="G58" i="178" s="1"/>
  <c r="W8" i="179"/>
  <c r="J34" i="179"/>
  <c r="J32" i="179"/>
  <c r="J31" i="179"/>
  <c r="K125" i="90"/>
  <c r="L125" i="90" s="1"/>
  <c r="J125" i="90"/>
  <c r="F57" i="113"/>
  <c r="I38" i="90"/>
  <c r="O57" i="58"/>
  <c r="O100" i="58" s="1"/>
  <c r="F37" i="178"/>
  <c r="F58" i="178" s="1"/>
  <c r="F18" i="179"/>
  <c r="G18" i="179" s="1"/>
  <c r="F16" i="179"/>
  <c r="G16" i="179" s="1"/>
  <c r="F15" i="179"/>
  <c r="G15" i="179" s="1"/>
  <c r="M209" i="82"/>
  <c r="F13" i="98"/>
  <c r="E134" i="90"/>
  <c r="I134" i="90" s="1"/>
  <c r="E23" i="179"/>
  <c r="E26" i="179"/>
  <c r="E24" i="179"/>
  <c r="J23" i="179"/>
  <c r="J26" i="179"/>
  <c r="J24" i="179"/>
  <c r="AD58" i="58"/>
  <c r="AD101" i="58" s="1"/>
  <c r="AD80" i="58"/>
  <c r="Q154" i="170"/>
  <c r="G123" i="178"/>
  <c r="W123" i="178" s="1"/>
  <c r="G27" i="178"/>
  <c r="W17" i="178"/>
  <c r="R155" i="170"/>
  <c r="I205" i="82"/>
  <c r="I210" i="82" s="1"/>
  <c r="J168" i="82"/>
  <c r="E49" i="178"/>
  <c r="AW39" i="58"/>
  <c r="U37" i="178"/>
  <c r="V150" i="151"/>
  <c r="V151" i="151" s="1"/>
  <c r="V157" i="151"/>
  <c r="M150" i="151"/>
  <c r="M151" i="151" s="1"/>
  <c r="M157" i="151"/>
  <c r="X150" i="151"/>
  <c r="X151" i="151" s="1"/>
  <c r="X157" i="151"/>
  <c r="W150" i="151"/>
  <c r="W151" i="151" s="1"/>
  <c r="W157" i="151"/>
  <c r="F73" i="122"/>
  <c r="F132" i="151" s="1"/>
  <c r="V80" i="58" s="1"/>
  <c r="F69" i="122"/>
  <c r="F74" i="122"/>
  <c r="Q132" i="151" s="1"/>
  <c r="AJ80" i="58" s="1"/>
  <c r="F70" i="122"/>
  <c r="Q145" i="151"/>
  <c r="F145" i="151"/>
  <c r="AD59" i="58"/>
  <c r="AD102" i="58" s="1"/>
  <c r="Q124" i="170"/>
  <c r="N149" i="151"/>
  <c r="P155" i="170"/>
  <c r="U152" i="170"/>
  <c r="W152" i="170" s="1"/>
  <c r="X152" i="170" s="1"/>
  <c r="W122" i="170"/>
  <c r="X122" i="170" s="1"/>
  <c r="U122" i="170"/>
  <c r="U124" i="170" s="1"/>
  <c r="AR83" i="58" s="1"/>
  <c r="Y149" i="151"/>
  <c r="AR59" i="58"/>
  <c r="AR102" i="58" s="1"/>
  <c r="AR58" i="58"/>
  <c r="AR101" i="58" s="1"/>
  <c r="AA98" i="58"/>
  <c r="O68" i="122"/>
  <c r="O77" i="122"/>
  <c r="O145" i="151" s="1"/>
  <c r="AE20" i="58" s="1"/>
  <c r="AE105" i="58" s="1"/>
  <c r="O61" i="122"/>
  <c r="O78" i="122"/>
  <c r="Z145" i="151" s="1"/>
  <c r="AS20" i="58" s="1"/>
  <c r="AS105" i="58" s="1"/>
  <c r="O62" i="122"/>
  <c r="AO100" i="58"/>
  <c r="AU39" i="58"/>
  <c r="AO101" i="58"/>
  <c r="AO102" i="58"/>
  <c r="P152" i="175"/>
  <c r="P154" i="175" s="1"/>
  <c r="P155" i="175" s="1"/>
  <c r="U151" i="171"/>
  <c r="W151" i="171" s="1"/>
  <c r="X151" i="171" s="1"/>
  <c r="P124" i="171"/>
  <c r="Q152" i="175"/>
  <c r="Q154" i="175" s="1"/>
  <c r="Q122" i="171"/>
  <c r="U117" i="171"/>
  <c r="W117" i="171" s="1"/>
  <c r="X117" i="171" s="1"/>
  <c r="U110" i="175"/>
  <c r="W110" i="175" s="1"/>
  <c r="X110" i="175" s="1"/>
  <c r="U117" i="175"/>
  <c r="W117" i="175" s="1"/>
  <c r="X117" i="175" s="1"/>
  <c r="U122" i="174"/>
  <c r="U124" i="174" s="1"/>
  <c r="T89" i="178" s="1"/>
  <c r="T97" i="178" s="1"/>
  <c r="Q155" i="174"/>
  <c r="W122" i="174"/>
  <c r="X92" i="174"/>
  <c r="U151" i="175"/>
  <c r="W151" i="175" s="1"/>
  <c r="X151" i="175" s="1"/>
  <c r="X124" i="173"/>
  <c r="W83" i="175"/>
  <c r="U90" i="175"/>
  <c r="Q303" i="117"/>
  <c r="J175" i="82"/>
  <c r="P57" i="58"/>
  <c r="P209" i="82"/>
  <c r="Q315" i="117"/>
  <c r="O36" i="122"/>
  <c r="O34" i="122" s="1"/>
  <c r="O35" i="122" s="1"/>
  <c r="M32" i="122"/>
  <c r="M6" i="122" s="1"/>
  <c r="M30" i="122"/>
  <c r="X99" i="175"/>
  <c r="W98" i="175"/>
  <c r="X98" i="175" s="1"/>
  <c r="Q122" i="175"/>
  <c r="Q124" i="175" s="1"/>
  <c r="Q330" i="117"/>
  <c r="J187" i="82"/>
  <c r="N34" i="122"/>
  <c r="N35" i="122" s="1"/>
  <c r="W139" i="175"/>
  <c r="X139" i="175" s="1"/>
  <c r="X83" i="174"/>
  <c r="W90" i="174"/>
  <c r="X90" i="174" s="1"/>
  <c r="X93" i="175"/>
  <c r="W92" i="175"/>
  <c r="U148" i="175"/>
  <c r="W148" i="175" s="1"/>
  <c r="X148" i="175" s="1"/>
  <c r="R155" i="171"/>
  <c r="X83" i="170"/>
  <c r="W90" i="170"/>
  <c r="X90" i="170" s="1"/>
  <c r="P136" i="171"/>
  <c r="P154" i="171" s="1"/>
  <c r="W83" i="171"/>
  <c r="U90" i="171"/>
  <c r="U133" i="170"/>
  <c r="X65" i="171"/>
  <c r="X92" i="171"/>
  <c r="X136" i="169"/>
  <c r="W154" i="169"/>
  <c r="Q90" i="171"/>
  <c r="Q133" i="171"/>
  <c r="Q136" i="171" s="1"/>
  <c r="Q154" i="171" s="1"/>
  <c r="W34" i="142"/>
  <c r="X27" i="139"/>
  <c r="S34" i="142"/>
  <c r="AC34" i="142"/>
  <c r="AB22" i="142"/>
  <c r="AB26" i="142" s="1"/>
  <c r="M31" i="142"/>
  <c r="T31" i="142" s="1"/>
  <c r="T23" i="142"/>
  <c r="E26" i="142"/>
  <c r="U26" i="142"/>
  <c r="AK26" i="142"/>
  <c r="G30" i="142"/>
  <c r="G34" i="142" s="1"/>
  <c r="AL34" i="142"/>
  <c r="E32" i="142"/>
  <c r="L32" i="142" s="1"/>
  <c r="R27" i="139"/>
  <c r="U44" i="141"/>
  <c r="T22" i="142"/>
  <c r="T26" i="142" s="1"/>
  <c r="V34" i="142"/>
  <c r="AE30" i="142"/>
  <c r="AE34" i="142" s="1"/>
  <c r="AE26" i="142"/>
  <c r="AI26" i="142"/>
  <c r="E31" i="142"/>
  <c r="L31" i="142" s="1"/>
  <c r="L23" i="142"/>
  <c r="AR23" i="142"/>
  <c r="AC32" i="142"/>
  <c r="AJ24" i="142"/>
  <c r="F26" i="142"/>
  <c r="V26" i="142"/>
  <c r="M30" i="142"/>
  <c r="AM30" i="142"/>
  <c r="AM34" i="142" s="1"/>
  <c r="AK32" i="142"/>
  <c r="AB41" i="145"/>
  <c r="L22" i="142"/>
  <c r="N34" i="142"/>
  <c r="R34" i="142"/>
  <c r="W26" i="142"/>
  <c r="AA26" i="142"/>
  <c r="AR22" i="142"/>
  <c r="AR26" i="142" s="1"/>
  <c r="AJ23" i="142"/>
  <c r="AB24" i="142"/>
  <c r="M26" i="142"/>
  <c r="R26" i="142"/>
  <c r="AC26" i="142"/>
  <c r="I30" i="142"/>
  <c r="I34" i="142" s="1"/>
  <c r="AD30" i="142"/>
  <c r="AD34" i="142" s="1"/>
  <c r="T32" i="142"/>
  <c r="AN5" i="139"/>
  <c r="AB27" i="139"/>
  <c r="AX27" i="139"/>
  <c r="F34" i="142"/>
  <c r="J34" i="142"/>
  <c r="O26" i="142"/>
  <c r="S26" i="142"/>
  <c r="AJ22" i="142"/>
  <c r="AJ26" i="142" s="1"/>
  <c r="U31" i="142"/>
  <c r="AB23" i="142"/>
  <c r="T24" i="142"/>
  <c r="N26" i="142"/>
  <c r="E30" i="142"/>
  <c r="K30" i="142"/>
  <c r="K34" i="142" s="1"/>
  <c r="U30" i="142"/>
  <c r="AK30" i="142"/>
  <c r="AJ41" i="144"/>
  <c r="AJ41" i="145"/>
  <c r="I28" i="136" l="1"/>
  <c r="E28" i="136"/>
  <c r="G28" i="136"/>
  <c r="H28" i="136"/>
  <c r="F28" i="136"/>
  <c r="H37" i="136"/>
  <c r="I38" i="136"/>
  <c r="AN27" i="139"/>
  <c r="AR57" i="58"/>
  <c r="AR100" i="58" s="1"/>
  <c r="AD57" i="58"/>
  <c r="AD100" i="58" s="1"/>
  <c r="AC57" i="113"/>
  <c r="AA57" i="113"/>
  <c r="K134" i="90"/>
  <c r="L134" i="90" s="1"/>
  <c r="J134" i="90"/>
  <c r="W37" i="178"/>
  <c r="U58" i="178"/>
  <c r="E34" i="179"/>
  <c r="E32" i="179"/>
  <c r="E31" i="179"/>
  <c r="Q155" i="170"/>
  <c r="W9" i="179"/>
  <c r="V9" i="179"/>
  <c r="J38" i="90"/>
  <c r="K38" i="90"/>
  <c r="L38" i="90" s="1"/>
  <c r="W27" i="178"/>
  <c r="AX39" i="58"/>
  <c r="AR126" i="58"/>
  <c r="T43" i="178"/>
  <c r="N150" i="151"/>
  <c r="N151" i="151" s="1"/>
  <c r="N157" i="151"/>
  <c r="Y150" i="151"/>
  <c r="Y151" i="151" s="1"/>
  <c r="Y157" i="151"/>
  <c r="Q146" i="151"/>
  <c r="Q147" i="151" s="1"/>
  <c r="AJ55" i="58"/>
  <c r="AJ17" i="58"/>
  <c r="AJ98" i="58" s="1"/>
  <c r="AJ16" i="58"/>
  <c r="AJ54" i="58"/>
  <c r="AJ20" i="58"/>
  <c r="AJ15" i="58"/>
  <c r="AJ53" i="58"/>
  <c r="V55" i="58"/>
  <c r="V98" i="58" s="1"/>
  <c r="F146" i="151"/>
  <c r="F147" i="151" s="1"/>
  <c r="V16" i="58"/>
  <c r="V54" i="58"/>
  <c r="V20" i="58"/>
  <c r="V15" i="58"/>
  <c r="V53" i="58"/>
  <c r="AJ58" i="58"/>
  <c r="AJ101" i="58" s="1"/>
  <c r="AJ57" i="58"/>
  <c r="AJ100" i="58" s="1"/>
  <c r="AJ49" i="58"/>
  <c r="AJ92" i="58" s="1"/>
  <c r="AJ59" i="58"/>
  <c r="AJ102" i="58" s="1"/>
  <c r="Q149" i="151"/>
  <c r="M101" i="176"/>
  <c r="M94" i="176"/>
  <c r="M52" i="176"/>
  <c r="Q62" i="176"/>
  <c r="M11" i="176"/>
  <c r="Q11" i="176" s="1"/>
  <c r="M139" i="176"/>
  <c r="M117" i="176"/>
  <c r="M16" i="176"/>
  <c r="Q16" i="176" s="1"/>
  <c r="U83" i="176"/>
  <c r="M149" i="176"/>
  <c r="U19" i="176"/>
  <c r="M106" i="176"/>
  <c r="U105" i="176"/>
  <c r="M7" i="176"/>
  <c r="Q7" i="176" s="1"/>
  <c r="M148" i="176"/>
  <c r="M61" i="176"/>
  <c r="M125" i="176"/>
  <c r="M115" i="176"/>
  <c r="M73" i="176"/>
  <c r="M9" i="176"/>
  <c r="Q9" i="176" s="1"/>
  <c r="M34" i="176"/>
  <c r="M150" i="176"/>
  <c r="M75" i="176"/>
  <c r="M21" i="176"/>
  <c r="Q21" i="176" s="1"/>
  <c r="M108" i="176"/>
  <c r="M123" i="176"/>
  <c r="M28" i="176"/>
  <c r="U128" i="176"/>
  <c r="M85" i="176"/>
  <c r="M13" i="176"/>
  <c r="U13" i="176" s="1"/>
  <c r="M127" i="176"/>
  <c r="U17" i="176"/>
  <c r="Q83" i="176"/>
  <c r="M152" i="176"/>
  <c r="Q39" i="176"/>
  <c r="M15" i="176"/>
  <c r="M41" i="176"/>
  <c r="M63" i="176"/>
  <c r="Q19" i="176"/>
  <c r="M118" i="176"/>
  <c r="M59" i="176"/>
  <c r="M74" i="176"/>
  <c r="M77" i="176"/>
  <c r="M33" i="176"/>
  <c r="Q18" i="176"/>
  <c r="M144" i="176"/>
  <c r="U149" i="176"/>
  <c r="M40" i="176"/>
  <c r="M62" i="176"/>
  <c r="M122" i="176"/>
  <c r="M83" i="176"/>
  <c r="M98" i="176"/>
  <c r="M97" i="176"/>
  <c r="M31" i="176"/>
  <c r="M128" i="176"/>
  <c r="M137" i="176"/>
  <c r="U40" i="176"/>
  <c r="Q128" i="176"/>
  <c r="M145" i="176"/>
  <c r="U39" i="176"/>
  <c r="Q105" i="176"/>
  <c r="Q38" i="176"/>
  <c r="M12" i="176"/>
  <c r="Q12" i="176" s="1"/>
  <c r="M8" i="176"/>
  <c r="Q8" i="176" s="1"/>
  <c r="U150" i="176"/>
  <c r="M95" i="176"/>
  <c r="Q60" i="176"/>
  <c r="M20" i="176"/>
  <c r="U20" i="176" s="1"/>
  <c r="M138" i="176"/>
  <c r="M82" i="176"/>
  <c r="M130" i="176"/>
  <c r="M99" i="176"/>
  <c r="M93" i="176"/>
  <c r="M49" i="176"/>
  <c r="U18" i="176"/>
  <c r="Q82" i="176"/>
  <c r="M151" i="176"/>
  <c r="M120" i="176"/>
  <c r="M64" i="176"/>
  <c r="M17" i="176"/>
  <c r="M143" i="176"/>
  <c r="M32" i="176"/>
  <c r="Q40" i="176"/>
  <c r="M37" i="176"/>
  <c r="M39" i="176"/>
  <c r="M76" i="176"/>
  <c r="M79" i="176"/>
  <c r="M119" i="176"/>
  <c r="M84" i="176"/>
  <c r="U126" i="176"/>
  <c r="M121" i="176"/>
  <c r="M35" i="176"/>
  <c r="M116" i="176"/>
  <c r="U82" i="176"/>
  <c r="U38" i="176"/>
  <c r="M126" i="176"/>
  <c r="M56" i="176"/>
  <c r="M105" i="176"/>
  <c r="Q84" i="176"/>
  <c r="M30" i="176"/>
  <c r="M142" i="176"/>
  <c r="M55" i="176"/>
  <c r="M72" i="176"/>
  <c r="M71" i="176"/>
  <c r="Q126" i="176"/>
  <c r="M107" i="176"/>
  <c r="M96" i="176"/>
  <c r="M19" i="176"/>
  <c r="M42" i="176"/>
  <c r="Q148" i="176"/>
  <c r="M78" i="176"/>
  <c r="Q104" i="176"/>
  <c r="U104" i="176"/>
  <c r="M54" i="176"/>
  <c r="M81" i="176"/>
  <c r="M57" i="176"/>
  <c r="M129" i="176"/>
  <c r="Q106" i="176"/>
  <c r="M29" i="176"/>
  <c r="M18" i="176"/>
  <c r="U62" i="176"/>
  <c r="Q15" i="176"/>
  <c r="Q17" i="176"/>
  <c r="U15" i="176"/>
  <c r="M100" i="176"/>
  <c r="M86" i="176"/>
  <c r="Q127" i="176"/>
  <c r="U60" i="176"/>
  <c r="U84" i="176"/>
  <c r="M103" i="176"/>
  <c r="M53" i="176"/>
  <c r="M147" i="176"/>
  <c r="M10" i="176"/>
  <c r="Q10" i="176" s="1"/>
  <c r="M141" i="176"/>
  <c r="M6" i="176"/>
  <c r="U106" i="176"/>
  <c r="M60" i="176"/>
  <c r="M14" i="176"/>
  <c r="Q14" i="176" s="1"/>
  <c r="M27" i="176"/>
  <c r="Q149" i="176"/>
  <c r="M50" i="176"/>
  <c r="M104" i="176"/>
  <c r="Q150" i="176"/>
  <c r="M51" i="176"/>
  <c r="Q61" i="176"/>
  <c r="U127" i="176"/>
  <c r="M140" i="176"/>
  <c r="M38" i="176"/>
  <c r="U148" i="176"/>
  <c r="U61" i="176"/>
  <c r="N57" i="176"/>
  <c r="R57" i="176" s="1"/>
  <c r="R128" i="176"/>
  <c r="V150" i="176"/>
  <c r="N125" i="176"/>
  <c r="R125" i="176" s="1"/>
  <c r="N61" i="176"/>
  <c r="V61" i="176"/>
  <c r="N123" i="176"/>
  <c r="R123" i="176" s="1"/>
  <c r="V128" i="176"/>
  <c r="N116" i="176"/>
  <c r="R116" i="176" s="1"/>
  <c r="N85" i="176"/>
  <c r="V85" i="176" s="1"/>
  <c r="V148" i="176"/>
  <c r="N128" i="176"/>
  <c r="N141" i="176"/>
  <c r="R141" i="176" s="1"/>
  <c r="N120" i="176"/>
  <c r="R120" i="176" s="1"/>
  <c r="N108" i="176"/>
  <c r="R108" i="176" s="1"/>
  <c r="V149" i="176"/>
  <c r="N37" i="176"/>
  <c r="R37" i="176" s="1"/>
  <c r="N152" i="176"/>
  <c r="R152" i="176" s="1"/>
  <c r="N122" i="176"/>
  <c r="V122" i="176" s="1"/>
  <c r="N77" i="176"/>
  <c r="R77" i="176" s="1"/>
  <c r="R83" i="176"/>
  <c r="N63" i="176"/>
  <c r="V63" i="176" s="1"/>
  <c r="N29" i="176"/>
  <c r="R29" i="176" s="1"/>
  <c r="N104" i="176"/>
  <c r="N143" i="176"/>
  <c r="R143" i="176" s="1"/>
  <c r="N79" i="176"/>
  <c r="R79" i="176" s="1"/>
  <c r="N145" i="176"/>
  <c r="R145" i="176" s="1"/>
  <c r="N78" i="176"/>
  <c r="V78" i="176" s="1"/>
  <c r="R15" i="176"/>
  <c r="Z36" i="176" s="1"/>
  <c r="Z58" i="176" s="1"/>
  <c r="Z80" i="176" s="1"/>
  <c r="Z102" i="176" s="1"/>
  <c r="Z124" i="176" s="1"/>
  <c r="Z146" i="176" s="1"/>
  <c r="V127" i="176"/>
  <c r="N96" i="176"/>
  <c r="R96" i="176" s="1"/>
  <c r="N55" i="176"/>
  <c r="R55" i="176" s="1"/>
  <c r="N52" i="176"/>
  <c r="R52" i="176" s="1"/>
  <c r="N49" i="176"/>
  <c r="N12" i="176"/>
  <c r="R12" i="176" s="1"/>
  <c r="N15" i="176"/>
  <c r="N103" i="176"/>
  <c r="R103" i="176" s="1"/>
  <c r="N107" i="176"/>
  <c r="V107" i="176" s="1"/>
  <c r="N105" i="176"/>
  <c r="R104" i="176"/>
  <c r="V15" i="176"/>
  <c r="AD36" i="176" s="1"/>
  <c r="AD58" i="176" s="1"/>
  <c r="AD80" i="176" s="1"/>
  <c r="AD102" i="176" s="1"/>
  <c r="AD124" i="176" s="1"/>
  <c r="AD146" i="176" s="1"/>
  <c r="R84" i="176"/>
  <c r="N28" i="176"/>
  <c r="R28" i="176" s="1"/>
  <c r="N56" i="176"/>
  <c r="V56" i="176" s="1"/>
  <c r="N75" i="176"/>
  <c r="R75" i="176" s="1"/>
  <c r="N138" i="176"/>
  <c r="R138" i="176" s="1"/>
  <c r="V62" i="176"/>
  <c r="N119" i="176"/>
  <c r="R119" i="176" s="1"/>
  <c r="N13" i="176"/>
  <c r="V13" i="176" s="1"/>
  <c r="N117" i="176"/>
  <c r="R117" i="176" s="1"/>
  <c r="R126" i="176"/>
  <c r="N18" i="176"/>
  <c r="V84" i="176"/>
  <c r="R40" i="176"/>
  <c r="R17" i="176"/>
  <c r="N144" i="176"/>
  <c r="V144" i="176" s="1"/>
  <c r="N27" i="176"/>
  <c r="N53" i="176"/>
  <c r="R53" i="176" s="1"/>
  <c r="R18" i="176"/>
  <c r="V39" i="176"/>
  <c r="N98" i="176"/>
  <c r="R98" i="176" s="1"/>
  <c r="N142" i="176"/>
  <c r="R142" i="176" s="1"/>
  <c r="V105" i="176"/>
  <c r="N72" i="176"/>
  <c r="R72" i="176" s="1"/>
  <c r="R127" i="176"/>
  <c r="N81" i="176"/>
  <c r="R81" i="176" s="1"/>
  <c r="R106" i="176"/>
  <c r="V83" i="176"/>
  <c r="N16" i="176"/>
  <c r="R16" i="176" s="1"/>
  <c r="N94" i="176"/>
  <c r="R94" i="176" s="1"/>
  <c r="N139" i="176"/>
  <c r="R139" i="176" s="1"/>
  <c r="N84" i="176"/>
  <c r="N51" i="176"/>
  <c r="R51" i="176" s="1"/>
  <c r="V19" i="176"/>
  <c r="R39" i="176"/>
  <c r="N147" i="176"/>
  <c r="R147" i="176" s="1"/>
  <c r="N32" i="176"/>
  <c r="R32" i="176" s="1"/>
  <c r="V106" i="176"/>
  <c r="N35" i="176"/>
  <c r="R35" i="176" s="1"/>
  <c r="R62" i="176"/>
  <c r="R148" i="176"/>
  <c r="N127" i="176"/>
  <c r="R60" i="176"/>
  <c r="N19" i="176"/>
  <c r="N14" i="176"/>
  <c r="R14" i="176" s="1"/>
  <c r="N121" i="176"/>
  <c r="R121" i="176" s="1"/>
  <c r="R61" i="176"/>
  <c r="N8" i="176"/>
  <c r="R8" i="176" s="1"/>
  <c r="V18" i="176"/>
  <c r="N115" i="176"/>
  <c r="N97" i="176"/>
  <c r="R97" i="176" s="1"/>
  <c r="N148" i="176"/>
  <c r="N64" i="176"/>
  <c r="R64" i="176" s="1"/>
  <c r="N129" i="176"/>
  <c r="V129" i="176" s="1"/>
  <c r="N21" i="176"/>
  <c r="R21" i="176" s="1"/>
  <c r="V126" i="176"/>
  <c r="N6" i="176"/>
  <c r="N73" i="176"/>
  <c r="R73" i="176" s="1"/>
  <c r="N42" i="176"/>
  <c r="R42" i="176" s="1"/>
  <c r="N39" i="176"/>
  <c r="N10" i="176"/>
  <c r="R10" i="176" s="1"/>
  <c r="R149" i="176"/>
  <c r="N106" i="176"/>
  <c r="N137" i="176"/>
  <c r="R82" i="176"/>
  <c r="N76" i="176"/>
  <c r="R76" i="176" s="1"/>
  <c r="V60" i="176"/>
  <c r="N86" i="176"/>
  <c r="R86" i="176" s="1"/>
  <c r="N9" i="176"/>
  <c r="R9" i="176" s="1"/>
  <c r="N71" i="176"/>
  <c r="N101" i="176"/>
  <c r="R101" i="176" s="1"/>
  <c r="N50" i="176"/>
  <c r="R50" i="176" s="1"/>
  <c r="N149" i="176"/>
  <c r="N7" i="176"/>
  <c r="R7" i="176" s="1"/>
  <c r="N17" i="176"/>
  <c r="N93" i="176"/>
  <c r="N31" i="176"/>
  <c r="R31" i="176" s="1"/>
  <c r="V82" i="176"/>
  <c r="V104" i="176"/>
  <c r="V40" i="176"/>
  <c r="N130" i="176"/>
  <c r="R130" i="176" s="1"/>
  <c r="N82" i="176"/>
  <c r="N33" i="176"/>
  <c r="R33" i="176" s="1"/>
  <c r="R19" i="176"/>
  <c r="N140" i="176"/>
  <c r="R140" i="176" s="1"/>
  <c r="N118" i="176"/>
  <c r="R118" i="176" s="1"/>
  <c r="N20" i="176"/>
  <c r="V20" i="176" s="1"/>
  <c r="N126" i="176"/>
  <c r="N34" i="176"/>
  <c r="V34" i="176" s="1"/>
  <c r="R38" i="176"/>
  <c r="N62" i="176"/>
  <c r="N99" i="176"/>
  <c r="R99" i="176" s="1"/>
  <c r="V17" i="176"/>
  <c r="N95" i="176"/>
  <c r="R95" i="176" s="1"/>
  <c r="N54" i="176"/>
  <c r="R54" i="176" s="1"/>
  <c r="N60" i="176"/>
  <c r="N11" i="176"/>
  <c r="R11" i="176" s="1"/>
  <c r="Z32" i="176" s="1"/>
  <c r="N100" i="176"/>
  <c r="V100" i="176" s="1"/>
  <c r="N41" i="176"/>
  <c r="V41" i="176" s="1"/>
  <c r="N38" i="176"/>
  <c r="N30" i="176"/>
  <c r="R30" i="176" s="1"/>
  <c r="R150" i="176"/>
  <c r="R105" i="176"/>
  <c r="N40" i="176"/>
  <c r="N59" i="176"/>
  <c r="R59" i="176" s="1"/>
  <c r="N74" i="176"/>
  <c r="R74" i="176" s="1"/>
  <c r="V38" i="176"/>
  <c r="N150" i="176"/>
  <c r="N83" i="176"/>
  <c r="N151" i="176"/>
  <c r="V151" i="176" s="1"/>
  <c r="V49" i="58"/>
  <c r="V92" i="58" s="1"/>
  <c r="F149" i="151"/>
  <c r="V58" i="58"/>
  <c r="V101" i="58" s="1"/>
  <c r="V59" i="58"/>
  <c r="V102" i="58" s="1"/>
  <c r="V57" i="58"/>
  <c r="V100" i="58" s="1"/>
  <c r="U152" i="171"/>
  <c r="W152" i="171" s="1"/>
  <c r="P155" i="171"/>
  <c r="U122" i="171"/>
  <c r="U124" i="171" s="1"/>
  <c r="AS83" i="58" s="1"/>
  <c r="U43" i="178" s="1"/>
  <c r="W122" i="171"/>
  <c r="X122" i="171" s="1"/>
  <c r="U122" i="175"/>
  <c r="U124" i="175" s="1"/>
  <c r="U89" i="178" s="1"/>
  <c r="U97" i="178" s="1"/>
  <c r="P100" i="58"/>
  <c r="O74" i="122"/>
  <c r="Z132" i="151" s="1"/>
  <c r="O70" i="122"/>
  <c r="AS55" i="58"/>
  <c r="AS17" i="58"/>
  <c r="Z146" i="151"/>
  <c r="Z147" i="151" s="1"/>
  <c r="O69" i="122"/>
  <c r="O73" i="122"/>
  <c r="O132" i="151" s="1"/>
  <c r="O146" i="151"/>
  <c r="O147" i="151" s="1"/>
  <c r="AE55" i="58"/>
  <c r="Q124" i="171"/>
  <c r="Q155" i="171" s="1"/>
  <c r="Q155" i="175"/>
  <c r="X83" i="175"/>
  <c r="W90" i="175"/>
  <c r="X90" i="175" s="1"/>
  <c r="X92" i="175"/>
  <c r="W122" i="175"/>
  <c r="N27" i="122"/>
  <c r="N29" i="122" s="1"/>
  <c r="N175" i="82"/>
  <c r="Q175" i="82" s="1"/>
  <c r="J179" i="82"/>
  <c r="J180" i="82" s="1"/>
  <c r="J192" i="82"/>
  <c r="O27" i="122"/>
  <c r="O29" i="122" s="1"/>
  <c r="N187" i="82"/>
  <c r="Q187" i="82" s="1"/>
  <c r="X122" i="174"/>
  <c r="W124" i="174"/>
  <c r="N82" i="122" s="1"/>
  <c r="U133" i="171"/>
  <c r="X83" i="171"/>
  <c r="W90" i="171"/>
  <c r="X90" i="171" s="1"/>
  <c r="X154" i="169"/>
  <c r="W155" i="169"/>
  <c r="W124" i="170"/>
  <c r="W133" i="170"/>
  <c r="U136" i="170"/>
  <c r="U154" i="170" s="1"/>
  <c r="AK34" i="142"/>
  <c r="U34" i="142"/>
  <c r="L26" i="142"/>
  <c r="M34" i="142"/>
  <c r="T30" i="142"/>
  <c r="T34" i="142" s="1"/>
  <c r="E34" i="142"/>
  <c r="L30" i="142"/>
  <c r="L34" i="142" s="1"/>
  <c r="X29" i="139"/>
  <c r="J37" i="136" l="1"/>
  <c r="J38" i="136" s="1"/>
  <c r="J39" i="136" s="1"/>
  <c r="H38" i="136"/>
  <c r="H39" i="136" s="1"/>
  <c r="R187" i="82"/>
  <c r="AE57" i="58"/>
  <c r="AE80" i="58"/>
  <c r="F23" i="179"/>
  <c r="G23" i="179" s="1"/>
  <c r="F24" i="179"/>
  <c r="G24" i="179" s="1"/>
  <c r="F26" i="179"/>
  <c r="G26" i="179" s="1"/>
  <c r="R175" i="82"/>
  <c r="F34" i="179"/>
  <c r="G34" i="179" s="1"/>
  <c r="F32" i="179"/>
  <c r="G32" i="179" s="1"/>
  <c r="F31" i="179"/>
  <c r="G31" i="179" s="1"/>
  <c r="AS57" i="58"/>
  <c r="AS80" i="58"/>
  <c r="Z54" i="176"/>
  <c r="Z29" i="176"/>
  <c r="AD39" i="176"/>
  <c r="U49" i="178"/>
  <c r="U64" i="178"/>
  <c r="U70" i="178" s="1"/>
  <c r="T49" i="178"/>
  <c r="T64" i="178"/>
  <c r="T70" i="178" s="1"/>
  <c r="O205" i="82"/>
  <c r="O210" i="82" s="1"/>
  <c r="J193" i="82"/>
  <c r="L205" i="82"/>
  <c r="L210" i="82" s="1"/>
  <c r="AW55" i="58"/>
  <c r="Z30" i="176"/>
  <c r="Z52" i="176" s="1"/>
  <c r="Z74" i="176" s="1"/>
  <c r="Z96" i="176" s="1"/>
  <c r="Z118" i="176" s="1"/>
  <c r="Z140" i="176" s="1"/>
  <c r="S61" i="176"/>
  <c r="S10" i="176"/>
  <c r="W62" i="176"/>
  <c r="O39" i="176"/>
  <c r="O62" i="176"/>
  <c r="V110" i="176"/>
  <c r="S105" i="176"/>
  <c r="W105" i="176"/>
  <c r="O38" i="176"/>
  <c r="W106" i="176"/>
  <c r="S104" i="176"/>
  <c r="S82" i="176"/>
  <c r="S8" i="176"/>
  <c r="W128" i="176"/>
  <c r="O61" i="176"/>
  <c r="S62" i="176"/>
  <c r="Z37" i="176"/>
  <c r="Z59" i="176" s="1"/>
  <c r="Z81" i="176" s="1"/>
  <c r="Z103" i="176" s="1"/>
  <c r="Z125" i="176" s="1"/>
  <c r="Z147" i="176" s="1"/>
  <c r="S84" i="176"/>
  <c r="S12" i="176"/>
  <c r="O83" i="176"/>
  <c r="O148" i="176"/>
  <c r="W127" i="176"/>
  <c r="O105" i="176"/>
  <c r="W39" i="176"/>
  <c r="O40" i="176"/>
  <c r="S21" i="176"/>
  <c r="AJ96" i="58"/>
  <c r="W38" i="176"/>
  <c r="W149" i="176"/>
  <c r="S39" i="176"/>
  <c r="Z51" i="176"/>
  <c r="Z73" i="176" s="1"/>
  <c r="Z95" i="176" s="1"/>
  <c r="Z117" i="176" s="1"/>
  <c r="Z139" i="176" s="1"/>
  <c r="O104" i="176"/>
  <c r="O82" i="176"/>
  <c r="S128" i="176"/>
  <c r="W40" i="176"/>
  <c r="AD40" i="176"/>
  <c r="AD62" i="176" s="1"/>
  <c r="AD84" i="176" s="1"/>
  <c r="AD106" i="176" s="1"/>
  <c r="AD128" i="176" s="1"/>
  <c r="AD150" i="176" s="1"/>
  <c r="W60" i="176"/>
  <c r="O128" i="176"/>
  <c r="Q30" i="176"/>
  <c r="O30" i="176"/>
  <c r="Q6" i="176"/>
  <c r="M23" i="176"/>
  <c r="O6" i="176"/>
  <c r="V97" i="58"/>
  <c r="R93" i="176"/>
  <c r="R110" i="176" s="1"/>
  <c r="N110" i="176"/>
  <c r="Q49" i="176"/>
  <c r="O49" i="176"/>
  <c r="M66" i="176"/>
  <c r="S38" i="176"/>
  <c r="U63" i="176"/>
  <c r="W63" i="176" s="1"/>
  <c r="O63" i="176"/>
  <c r="O94" i="176"/>
  <c r="Q94" i="176"/>
  <c r="S94" i="176" s="1"/>
  <c r="AD41" i="176"/>
  <c r="AD63" i="176" s="1"/>
  <c r="AD85" i="176" s="1"/>
  <c r="AD107" i="176" s="1"/>
  <c r="AD129" i="176" s="1"/>
  <c r="AD151" i="176" s="1"/>
  <c r="Z38" i="176"/>
  <c r="Z60" i="176" s="1"/>
  <c r="Z82" i="176" s="1"/>
  <c r="Z104" i="176" s="1"/>
  <c r="Z126" i="176" s="1"/>
  <c r="Z148" i="176" s="1"/>
  <c r="Q42" i="176"/>
  <c r="S42" i="176" s="1"/>
  <c r="O42" i="176"/>
  <c r="O126" i="176"/>
  <c r="O106" i="176"/>
  <c r="S40" i="176"/>
  <c r="U107" i="176"/>
  <c r="W107" i="176" s="1"/>
  <c r="O107" i="176"/>
  <c r="O150" i="176"/>
  <c r="V44" i="176"/>
  <c r="Q50" i="176"/>
  <c r="S50" i="176" s="1"/>
  <c r="O50" i="176"/>
  <c r="U129" i="176"/>
  <c r="W129" i="176" s="1"/>
  <c r="O129" i="176"/>
  <c r="Q116" i="176"/>
  <c r="S116" i="176" s="1"/>
  <c r="O116" i="176"/>
  <c r="O138" i="176"/>
  <c r="Q138" i="176"/>
  <c r="S138" i="176" s="1"/>
  <c r="S83" i="176"/>
  <c r="R71" i="176"/>
  <c r="R88" i="176" s="1"/>
  <c r="N88" i="176"/>
  <c r="S149" i="176"/>
  <c r="Q57" i="176"/>
  <c r="S57" i="176" s="1"/>
  <c r="O57" i="176"/>
  <c r="O71" i="176"/>
  <c r="Q71" i="176"/>
  <c r="M88" i="176"/>
  <c r="Q35" i="176"/>
  <c r="O35" i="176"/>
  <c r="W20" i="176"/>
  <c r="Q137" i="176"/>
  <c r="O137" i="176"/>
  <c r="M154" i="176"/>
  <c r="Q33" i="176"/>
  <c r="S33" i="176" s="1"/>
  <c r="O33" i="176"/>
  <c r="AC38" i="176"/>
  <c r="W17" i="176"/>
  <c r="S9" i="176"/>
  <c r="S16" i="176"/>
  <c r="AJ97" i="58"/>
  <c r="N66" i="176"/>
  <c r="R49" i="176"/>
  <c r="R66" i="176" s="1"/>
  <c r="O119" i="176"/>
  <c r="Q119" i="176"/>
  <c r="S119" i="176" s="1"/>
  <c r="Q98" i="176"/>
  <c r="S98" i="176" s="1"/>
  <c r="O98" i="176"/>
  <c r="Q118" i="176"/>
  <c r="S118" i="176" s="1"/>
  <c r="O118" i="176"/>
  <c r="Q140" i="176"/>
  <c r="S140" i="176" s="1"/>
  <c r="O140" i="176"/>
  <c r="Y38" i="176"/>
  <c r="S17" i="176"/>
  <c r="Q79" i="176"/>
  <c r="S79" i="176" s="1"/>
  <c r="O79" i="176"/>
  <c r="Q52" i="176"/>
  <c r="S52" i="176" s="1"/>
  <c r="O52" i="176"/>
  <c r="Y36" i="176"/>
  <c r="S15" i="176"/>
  <c r="O123" i="176"/>
  <c r="Q123" i="176"/>
  <c r="S123" i="176" s="1"/>
  <c r="V132" i="176"/>
  <c r="U56" i="176"/>
  <c r="O56" i="176"/>
  <c r="O41" i="176"/>
  <c r="U41" i="176"/>
  <c r="Q101" i="176"/>
  <c r="S101" i="176" s="1"/>
  <c r="O101" i="176"/>
  <c r="Z28" i="176"/>
  <c r="Z50" i="176" s="1"/>
  <c r="Z72" i="176" s="1"/>
  <c r="Z94" i="176" s="1"/>
  <c r="Z116" i="176" s="1"/>
  <c r="Z138" i="176" s="1"/>
  <c r="O51" i="176"/>
  <c r="Q51" i="176"/>
  <c r="S51" i="176" s="1"/>
  <c r="Q147" i="176"/>
  <c r="S147" i="176" s="1"/>
  <c r="O147" i="176"/>
  <c r="O99" i="176"/>
  <c r="Q99" i="176"/>
  <c r="S99" i="176" s="1"/>
  <c r="Q150" i="151"/>
  <c r="Q151" i="151" s="1"/>
  <c r="Q157" i="151"/>
  <c r="Q53" i="176"/>
  <c r="S53" i="176" s="1"/>
  <c r="O53" i="176"/>
  <c r="Q96" i="176"/>
  <c r="S96" i="176" s="1"/>
  <c r="O96" i="176"/>
  <c r="AC40" i="176"/>
  <c r="W19" i="176"/>
  <c r="O103" i="176"/>
  <c r="Q103" i="176"/>
  <c r="S103" i="176" s="1"/>
  <c r="O144" i="176"/>
  <c r="U144" i="176"/>
  <c r="O149" i="176"/>
  <c r="S126" i="176"/>
  <c r="Q143" i="176"/>
  <c r="S143" i="176" s="1"/>
  <c r="O143" i="176"/>
  <c r="Y39" i="176"/>
  <c r="S18" i="176"/>
  <c r="AD38" i="176"/>
  <c r="AD60" i="176" s="1"/>
  <c r="AD82" i="176" s="1"/>
  <c r="AD104" i="176" s="1"/>
  <c r="AD126" i="176" s="1"/>
  <c r="AD148" i="176" s="1"/>
  <c r="R6" i="176"/>
  <c r="N23" i="176"/>
  <c r="Z35" i="176"/>
  <c r="Z57" i="176" s="1"/>
  <c r="Z79" i="176" s="1"/>
  <c r="Z101" i="176" s="1"/>
  <c r="Z123" i="176" s="1"/>
  <c r="Z145" i="176" s="1"/>
  <c r="AD34" i="176"/>
  <c r="V23" i="176"/>
  <c r="Q27" i="176"/>
  <c r="O27" i="176"/>
  <c r="M44" i="176"/>
  <c r="S127" i="176"/>
  <c r="O81" i="176"/>
  <c r="Q81" i="176"/>
  <c r="S81" i="176" s="1"/>
  <c r="O72" i="176"/>
  <c r="Q72" i="176"/>
  <c r="S72" i="176" s="1"/>
  <c r="O121" i="176"/>
  <c r="Q121" i="176"/>
  <c r="S121" i="176" s="1"/>
  <c r="Q64" i="176"/>
  <c r="S64" i="176" s="1"/>
  <c r="O64" i="176"/>
  <c r="S60" i="176"/>
  <c r="Q77" i="176"/>
  <c r="S77" i="176" s="1"/>
  <c r="O77" i="176"/>
  <c r="O127" i="176"/>
  <c r="Q73" i="176"/>
  <c r="S73" i="176" s="1"/>
  <c r="O73" i="176"/>
  <c r="O117" i="176"/>
  <c r="Q117" i="176"/>
  <c r="S117" i="176" s="1"/>
  <c r="W15" i="176"/>
  <c r="AC36" i="176"/>
  <c r="R27" i="176"/>
  <c r="R44" i="176" s="1"/>
  <c r="N44" i="176"/>
  <c r="S19" i="176"/>
  <c r="Y40" i="176"/>
  <c r="V66" i="176"/>
  <c r="S148" i="176"/>
  <c r="S7" i="176"/>
  <c r="O93" i="176"/>
  <c r="M110" i="176"/>
  <c r="Q93" i="176"/>
  <c r="R115" i="176"/>
  <c r="R132" i="176" s="1"/>
  <c r="N132" i="176"/>
  <c r="Z76" i="176"/>
  <c r="Z98" i="176" s="1"/>
  <c r="Z120" i="176" s="1"/>
  <c r="Z142" i="176" s="1"/>
  <c r="AD61" i="176"/>
  <c r="AD83" i="176" s="1"/>
  <c r="AD105" i="176" s="1"/>
  <c r="AD127" i="176" s="1"/>
  <c r="AD149" i="176" s="1"/>
  <c r="Q29" i="176"/>
  <c r="S29" i="176" s="1"/>
  <c r="O29" i="176"/>
  <c r="O130" i="176"/>
  <c r="Q130" i="176"/>
  <c r="S130" i="176" s="1"/>
  <c r="Q75" i="176"/>
  <c r="S75" i="176" s="1"/>
  <c r="O75" i="176"/>
  <c r="S106" i="176"/>
  <c r="Q32" i="176"/>
  <c r="O32" i="176"/>
  <c r="O152" i="176"/>
  <c r="Q152" i="176"/>
  <c r="S152" i="176" s="1"/>
  <c r="AJ105" i="58"/>
  <c r="W84" i="176"/>
  <c r="O34" i="176"/>
  <c r="U34" i="176"/>
  <c r="W61" i="176"/>
  <c r="S14" i="176"/>
  <c r="Q86" i="176"/>
  <c r="S86" i="176" s="1"/>
  <c r="O86" i="176"/>
  <c r="Q54" i="176"/>
  <c r="S54" i="176" s="1"/>
  <c r="O54" i="176"/>
  <c r="Q55" i="176"/>
  <c r="S55" i="176" s="1"/>
  <c r="O55" i="176"/>
  <c r="W126" i="176"/>
  <c r="O120" i="176"/>
  <c r="Q120" i="176"/>
  <c r="S120" i="176" s="1"/>
  <c r="Q95" i="176"/>
  <c r="S95" i="176" s="1"/>
  <c r="O95" i="176"/>
  <c r="Q31" i="176"/>
  <c r="S31" i="176" s="1"/>
  <c r="O31" i="176"/>
  <c r="O74" i="176"/>
  <c r="Q74" i="176"/>
  <c r="S74" i="176" s="1"/>
  <c r="U23" i="176"/>
  <c r="W13" i="176"/>
  <c r="Q115" i="176"/>
  <c r="O115" i="176"/>
  <c r="M132" i="176"/>
  <c r="Q139" i="176"/>
  <c r="S139" i="176" s="1"/>
  <c r="O139" i="176"/>
  <c r="V96" i="58"/>
  <c r="U78" i="176"/>
  <c r="O78" i="176"/>
  <c r="AC39" i="176"/>
  <c r="W18" i="176"/>
  <c r="Q28" i="176"/>
  <c r="S28" i="176" s="1"/>
  <c r="O28" i="176"/>
  <c r="F150" i="151"/>
  <c r="F151" i="151" s="1"/>
  <c r="F157" i="151"/>
  <c r="N154" i="176"/>
  <c r="R137" i="176"/>
  <c r="R154" i="176" s="1"/>
  <c r="Q141" i="176"/>
  <c r="S141" i="176" s="1"/>
  <c r="O141" i="176"/>
  <c r="Q76" i="176"/>
  <c r="S76" i="176" s="1"/>
  <c r="O76" i="176"/>
  <c r="O122" i="176"/>
  <c r="U122" i="176"/>
  <c r="Q108" i="176"/>
  <c r="S108" i="176" s="1"/>
  <c r="O108" i="176"/>
  <c r="V154" i="176"/>
  <c r="O37" i="176"/>
  <c r="Q37" i="176"/>
  <c r="Z31" i="176"/>
  <c r="Z53" i="176" s="1"/>
  <c r="Z75" i="176" s="1"/>
  <c r="Z97" i="176" s="1"/>
  <c r="Z119" i="176" s="1"/>
  <c r="Z141" i="176" s="1"/>
  <c r="S150" i="176"/>
  <c r="Q145" i="176"/>
  <c r="S145" i="176" s="1"/>
  <c r="O145" i="176"/>
  <c r="Z40" i="176"/>
  <c r="Z62" i="176" s="1"/>
  <c r="Z84" i="176" s="1"/>
  <c r="Z106" i="176" s="1"/>
  <c r="Z128" i="176" s="1"/>
  <c r="Z150" i="176" s="1"/>
  <c r="V88" i="176"/>
  <c r="W82" i="176"/>
  <c r="W83" i="176"/>
  <c r="Z42" i="176"/>
  <c r="Z64" i="176" s="1"/>
  <c r="Z86" i="176" s="1"/>
  <c r="Z108" i="176" s="1"/>
  <c r="Z130" i="176" s="1"/>
  <c r="Z152" i="176" s="1"/>
  <c r="Z39" i="176"/>
  <c r="Z61" i="176" s="1"/>
  <c r="Z83" i="176" s="1"/>
  <c r="Z105" i="176" s="1"/>
  <c r="Z127" i="176" s="1"/>
  <c r="Z149" i="176" s="1"/>
  <c r="Z33" i="176"/>
  <c r="Z55" i="176" s="1"/>
  <c r="Z77" i="176" s="1"/>
  <c r="Z99" i="176" s="1"/>
  <c r="Z121" i="176" s="1"/>
  <c r="Z143" i="176" s="1"/>
  <c r="W148" i="176"/>
  <c r="O60" i="176"/>
  <c r="O100" i="176"/>
  <c r="U100" i="176"/>
  <c r="W104" i="176"/>
  <c r="O142" i="176"/>
  <c r="Q142" i="176"/>
  <c r="S142" i="176" s="1"/>
  <c r="O84" i="176"/>
  <c r="U151" i="176"/>
  <c r="W151" i="176" s="1"/>
  <c r="O151" i="176"/>
  <c r="W150" i="176"/>
  <c r="Q97" i="176"/>
  <c r="S97" i="176" s="1"/>
  <c r="O97" i="176"/>
  <c r="Q59" i="176"/>
  <c r="S59" i="176" s="1"/>
  <c r="O59" i="176"/>
  <c r="O85" i="176"/>
  <c r="U85" i="176"/>
  <c r="W85" i="176" s="1"/>
  <c r="O125" i="176"/>
  <c r="Q125" i="176"/>
  <c r="S125" i="176" s="1"/>
  <c r="S11" i="176"/>
  <c r="V105" i="58"/>
  <c r="AE100" i="58"/>
  <c r="AS100" i="58"/>
  <c r="AE98" i="58"/>
  <c r="AV98" i="58" s="1"/>
  <c r="AV55" i="58"/>
  <c r="AX55" i="58" s="1"/>
  <c r="O149" i="151"/>
  <c r="AE59" i="58"/>
  <c r="AE58" i="58"/>
  <c r="Z149" i="151"/>
  <c r="AS59" i="58"/>
  <c r="AS58" i="58"/>
  <c r="AS98" i="58"/>
  <c r="AW98" i="58" s="1"/>
  <c r="AW17" i="58"/>
  <c r="AX17" i="58" s="1"/>
  <c r="AS126" i="58"/>
  <c r="AW126" i="58" s="1"/>
  <c r="AW83" i="58"/>
  <c r="W124" i="171"/>
  <c r="X124" i="171" s="1"/>
  <c r="X122" i="175"/>
  <c r="W124" i="175"/>
  <c r="O82" i="122" s="1"/>
  <c r="X124" i="174"/>
  <c r="O30" i="122"/>
  <c r="O32" i="122"/>
  <c r="O6" i="122" s="1"/>
  <c r="N30" i="122"/>
  <c r="N32" i="122"/>
  <c r="N6" i="122" s="1"/>
  <c r="X152" i="171"/>
  <c r="X133" i="170"/>
  <c r="W136" i="170"/>
  <c r="U155" i="170"/>
  <c r="O83" i="58"/>
  <c r="X124" i="170"/>
  <c r="W133" i="171"/>
  <c r="U136" i="171"/>
  <c r="U154" i="171" s="1"/>
  <c r="U155" i="171" s="1"/>
  <c r="B43" i="66"/>
  <c r="B44" i="66" s="1"/>
  <c r="B45" i="66" s="1"/>
  <c r="B46" i="66" s="1"/>
  <c r="B47" i="66" s="1"/>
  <c r="I39" i="136" l="1"/>
  <c r="F43" i="178"/>
  <c r="F64" i="178" s="1"/>
  <c r="Z150" i="151"/>
  <c r="Z151" i="151" s="1"/>
  <c r="Z157" i="151"/>
  <c r="O150" i="151"/>
  <c r="O151" i="151" s="1"/>
  <c r="O157" i="151"/>
  <c r="W23" i="176"/>
  <c r="R111" i="176"/>
  <c r="R155" i="176"/>
  <c r="O44" i="176"/>
  <c r="O45" i="176" s="1"/>
  <c r="S27" i="176"/>
  <c r="Q44" i="176"/>
  <c r="Y60" i="176"/>
  <c r="AA38" i="176"/>
  <c r="U154" i="176"/>
  <c r="W144" i="176"/>
  <c r="W154" i="176" s="1"/>
  <c r="Q88" i="176"/>
  <c r="S71" i="176"/>
  <c r="S88" i="176" s="1"/>
  <c r="AC61" i="176"/>
  <c r="AE39" i="176"/>
  <c r="O88" i="176"/>
  <c r="O89" i="176" s="1"/>
  <c r="S32" i="176"/>
  <c r="Y32" i="176"/>
  <c r="S37" i="176"/>
  <c r="Y37" i="176"/>
  <c r="AC34" i="176"/>
  <c r="U44" i="176"/>
  <c r="W34" i="176"/>
  <c r="O154" i="176"/>
  <c r="O155" i="176" s="1"/>
  <c r="Y62" i="176"/>
  <c r="AA40" i="176"/>
  <c r="O66" i="176"/>
  <c r="O67" i="176" s="1"/>
  <c r="U110" i="176"/>
  <c r="W100" i="176"/>
  <c r="W110" i="176" s="1"/>
  <c r="AD56" i="176"/>
  <c r="AD44" i="176"/>
  <c r="S49" i="176"/>
  <c r="S66" i="176" s="1"/>
  <c r="Q66" i="176"/>
  <c r="AC60" i="176"/>
  <c r="AE38" i="176"/>
  <c r="U88" i="176"/>
  <c r="W78" i="176"/>
  <c r="W88" i="176" s="1"/>
  <c r="O110" i="176"/>
  <c r="O111" i="176" s="1"/>
  <c r="AC62" i="176"/>
  <c r="AE40" i="176"/>
  <c r="Y58" i="176"/>
  <c r="AA36" i="176"/>
  <c r="V24" i="58"/>
  <c r="V66" i="58"/>
  <c r="Y28" i="176"/>
  <c r="Y61" i="176"/>
  <c r="AA39" i="176"/>
  <c r="Q154" i="176"/>
  <c r="S137" i="176"/>
  <c r="S154" i="176" s="1"/>
  <c r="R89" i="176"/>
  <c r="Q23" i="176"/>
  <c r="Q24" i="176" s="1"/>
  <c r="S6" i="176"/>
  <c r="S23" i="176" s="1"/>
  <c r="Y27" i="176"/>
  <c r="S35" i="176"/>
  <c r="Y35" i="176"/>
  <c r="W122" i="176"/>
  <c r="W132" i="176" s="1"/>
  <c r="U132" i="176"/>
  <c r="Y29" i="176"/>
  <c r="W56" i="176"/>
  <c r="W66" i="176" s="1"/>
  <c r="U66" i="176"/>
  <c r="R45" i="176"/>
  <c r="R133" i="176"/>
  <c r="O132" i="176"/>
  <c r="O133" i="176" s="1"/>
  <c r="R67" i="176"/>
  <c r="Y42" i="176"/>
  <c r="AJ24" i="58"/>
  <c r="AJ66" i="58"/>
  <c r="AE36" i="176"/>
  <c r="AC58" i="176"/>
  <c r="Q110" i="176"/>
  <c r="S93" i="176"/>
  <c r="S110" i="176" s="1"/>
  <c r="R23" i="176"/>
  <c r="R24" i="176" s="1"/>
  <c r="Z27" i="176"/>
  <c r="Y31" i="176"/>
  <c r="Q132" i="176"/>
  <c r="S115" i="176"/>
  <c r="S132" i="176" s="1"/>
  <c r="Y33" i="176"/>
  <c r="W41" i="176"/>
  <c r="AC41" i="176"/>
  <c r="S30" i="176"/>
  <c r="Y30" i="176"/>
  <c r="AX98" i="58"/>
  <c r="AS101" i="58"/>
  <c r="AS102" i="58"/>
  <c r="AW102" i="58" s="1"/>
  <c r="AW59" i="58"/>
  <c r="AE102" i="58"/>
  <c r="AV102" i="58" s="1"/>
  <c r="AV59" i="58"/>
  <c r="AE101" i="58"/>
  <c r="O126" i="58"/>
  <c r="X124" i="175"/>
  <c r="X136" i="170"/>
  <c r="W154" i="170"/>
  <c r="X133" i="171"/>
  <c r="W136" i="171"/>
  <c r="B13" i="66"/>
  <c r="B14" i="66" s="1"/>
  <c r="B15" i="66" s="1"/>
  <c r="B16" i="66" s="1"/>
  <c r="B17" i="66" s="1"/>
  <c r="F49" i="178" l="1"/>
  <c r="W44" i="176"/>
  <c r="Q111" i="176"/>
  <c r="Q155" i="176"/>
  <c r="S111" i="176"/>
  <c r="S155" i="176"/>
  <c r="AA62" i="176"/>
  <c r="Y84" i="176"/>
  <c r="Y83" i="176"/>
  <c r="AA61" i="176"/>
  <c r="AJ109" i="58"/>
  <c r="AA33" i="176"/>
  <c r="Y55" i="176"/>
  <c r="AA42" i="176"/>
  <c r="Y64" i="176"/>
  <c r="Y57" i="176"/>
  <c r="AA35" i="176"/>
  <c r="Y59" i="176"/>
  <c r="AA37" i="176"/>
  <c r="S133" i="176"/>
  <c r="AA60" i="176"/>
  <c r="Y82" i="176"/>
  <c r="S89" i="176"/>
  <c r="AC82" i="176"/>
  <c r="AE60" i="176"/>
  <c r="Q67" i="176"/>
  <c r="V109" i="58"/>
  <c r="Q133" i="176"/>
  <c r="Y49" i="176"/>
  <c r="Y44" i="176"/>
  <c r="AA27" i="176"/>
  <c r="AD78" i="176"/>
  <c r="AD66" i="176"/>
  <c r="Q45" i="176"/>
  <c r="AE61" i="176"/>
  <c r="AC83" i="176"/>
  <c r="Y51" i="176"/>
  <c r="AA29" i="176"/>
  <c r="Q89" i="176"/>
  <c r="AA28" i="176"/>
  <c r="Y50" i="176"/>
  <c r="S67" i="176"/>
  <c r="AA31" i="176"/>
  <c r="Y53" i="176"/>
  <c r="Y80" i="176"/>
  <c r="AA58" i="176"/>
  <c r="Y54" i="176"/>
  <c r="AA32" i="176"/>
  <c r="S44" i="176"/>
  <c r="AC84" i="176"/>
  <c r="AE62" i="176"/>
  <c r="Y52" i="176"/>
  <c r="AA30" i="176"/>
  <c r="AC80" i="176"/>
  <c r="AE58" i="176"/>
  <c r="AC44" i="176"/>
  <c r="AC63" i="176"/>
  <c r="AE41" i="176"/>
  <c r="AC56" i="176"/>
  <c r="AE34" i="176"/>
  <c r="Z44" i="176"/>
  <c r="Z49" i="176"/>
  <c r="AX102" i="58"/>
  <c r="AX59" i="58"/>
  <c r="X136" i="171"/>
  <c r="W154" i="171"/>
  <c r="X154" i="170"/>
  <c r="W155" i="170"/>
  <c r="B8" i="76"/>
  <c r="B9" i="76" s="1"/>
  <c r="S45" i="176" l="1"/>
  <c r="AE44" i="176"/>
  <c r="AE45" i="176" s="1"/>
  <c r="Z71" i="176"/>
  <c r="Z66" i="176"/>
  <c r="Y86" i="176"/>
  <c r="AA64" i="176"/>
  <c r="AA51" i="176"/>
  <c r="Y73" i="176"/>
  <c r="AC105" i="176"/>
  <c r="AE83" i="176"/>
  <c r="AA53" i="176"/>
  <c r="Y75" i="176"/>
  <c r="Y104" i="176"/>
  <c r="AA82" i="176"/>
  <c r="AC106" i="176"/>
  <c r="AE84" i="176"/>
  <c r="Y79" i="176"/>
  <c r="AA57" i="176"/>
  <c r="Y76" i="176"/>
  <c r="AA54" i="176"/>
  <c r="AA55" i="176"/>
  <c r="Y77" i="176"/>
  <c r="AE63" i="176"/>
  <c r="AC85" i="176"/>
  <c r="AA44" i="176"/>
  <c r="AA83" i="176"/>
  <c r="Y105" i="176"/>
  <c r="AC104" i="176"/>
  <c r="AE82" i="176"/>
  <c r="AA80" i="176"/>
  <c r="Y102" i="176"/>
  <c r="AC102" i="176"/>
  <c r="AE80" i="176"/>
  <c r="AA84" i="176"/>
  <c r="Y106" i="176"/>
  <c r="AC66" i="176"/>
  <c r="AE56" i="176"/>
  <c r="AC78" i="176"/>
  <c r="AD88" i="176"/>
  <c r="AD100" i="176"/>
  <c r="Y74" i="176"/>
  <c r="AA52" i="176"/>
  <c r="AA50" i="176"/>
  <c r="Y72" i="176"/>
  <c r="Y71" i="176"/>
  <c r="AA49" i="176"/>
  <c r="Y66" i="176"/>
  <c r="Y81" i="176"/>
  <c r="AA59" i="176"/>
  <c r="AE147" i="176"/>
  <c r="X154" i="171"/>
  <c r="P83" i="58"/>
  <c r="W155" i="171"/>
  <c r="B70" i="55"/>
  <c r="B57" i="55"/>
  <c r="B50" i="55"/>
  <c r="B51" i="55" s="1"/>
  <c r="B52" i="55" s="1"/>
  <c r="B53" i="55" s="1"/>
  <c r="B35" i="55"/>
  <c r="G43" i="178" l="1"/>
  <c r="G64" i="178" s="1"/>
  <c r="W64" i="178" s="1"/>
  <c r="D159" i="176"/>
  <c r="E138" i="151" s="1"/>
  <c r="O159" i="176"/>
  <c r="P138" i="151" s="1"/>
  <c r="P141" i="151" s="1"/>
  <c r="AA102" i="176"/>
  <c r="Y124" i="176"/>
  <c r="AA74" i="176"/>
  <c r="Y96" i="176"/>
  <c r="F66" i="65"/>
  <c r="F70" i="65" s="1"/>
  <c r="AI50" i="58" s="1"/>
  <c r="Y127" i="176"/>
  <c r="AA105" i="176"/>
  <c r="AE106" i="176"/>
  <c r="AC128" i="176"/>
  <c r="AA66" i="176"/>
  <c r="AA67" i="176" s="1"/>
  <c r="Y99" i="176"/>
  <c r="AA77" i="176"/>
  <c r="AA71" i="176"/>
  <c r="Y88" i="176"/>
  <c r="Y93" i="176"/>
  <c r="Y94" i="176"/>
  <c r="AA72" i="176"/>
  <c r="Y95" i="176"/>
  <c r="AA73" i="176"/>
  <c r="Y108" i="176"/>
  <c r="AA86" i="176"/>
  <c r="AD122" i="176"/>
  <c r="AD110" i="176"/>
  <c r="AC88" i="176"/>
  <c r="AE78" i="176"/>
  <c r="AC100" i="176"/>
  <c r="E141" i="151"/>
  <c r="F65" i="65"/>
  <c r="F69" i="65" s="1"/>
  <c r="U50" i="58" s="1"/>
  <c r="Y128" i="176"/>
  <c r="AA106" i="176"/>
  <c r="AE102" i="176"/>
  <c r="AC124" i="176"/>
  <c r="Y98" i="176"/>
  <c r="AA76" i="176"/>
  <c r="Y101" i="176"/>
  <c r="AA79" i="176"/>
  <c r="AE104" i="176"/>
  <c r="AC126" i="176"/>
  <c r="AE66" i="176"/>
  <c r="D158" i="176"/>
  <c r="E137" i="151" s="1"/>
  <c r="AA45" i="176"/>
  <c r="O158" i="176"/>
  <c r="P137" i="151" s="1"/>
  <c r="AA104" i="176"/>
  <c r="Y126" i="176"/>
  <c r="AE105" i="176"/>
  <c r="AC127" i="176"/>
  <c r="Y103" i="176"/>
  <c r="AA81" i="176"/>
  <c r="AC107" i="176"/>
  <c r="AE85" i="176"/>
  <c r="AA75" i="176"/>
  <c r="Y97" i="176"/>
  <c r="Z93" i="176"/>
  <c r="Z88" i="176"/>
  <c r="AE153" i="176"/>
  <c r="P126" i="58"/>
  <c r="AU126" i="58" s="1"/>
  <c r="AX126" i="58" s="1"/>
  <c r="AU83" i="58"/>
  <c r="AX83" i="58" s="1"/>
  <c r="B12" i="109"/>
  <c r="B13" i="109" s="1"/>
  <c r="B14" i="109" s="1"/>
  <c r="B15" i="109" s="1"/>
  <c r="B124" i="55"/>
  <c r="B125" i="55" s="1"/>
  <c r="B115" i="55"/>
  <c r="B116" i="55" s="1"/>
  <c r="B117" i="55" s="1"/>
  <c r="B118" i="55" s="1"/>
  <c r="B105" i="55"/>
  <c r="B106" i="55" s="1"/>
  <c r="B96" i="55"/>
  <c r="B97" i="55" s="1"/>
  <c r="B98" i="55" s="1"/>
  <c r="B99" i="55" s="1"/>
  <c r="G49" i="178" l="1"/>
  <c r="W49" i="178" s="1"/>
  <c r="W43" i="178"/>
  <c r="AE88" i="176"/>
  <c r="AA98" i="176"/>
  <c r="Y120" i="176"/>
  <c r="Y130" i="176"/>
  <c r="AA108" i="176"/>
  <c r="AA95" i="176"/>
  <c r="Y117" i="176"/>
  <c r="AA94" i="176"/>
  <c r="Y116" i="176"/>
  <c r="E159" i="176"/>
  <c r="F138" i="151" s="1"/>
  <c r="P159" i="176"/>
  <c r="Q138" i="151" s="1"/>
  <c r="AE67" i="176"/>
  <c r="E144" i="151"/>
  <c r="E156" i="151" s="1"/>
  <c r="U56" i="58"/>
  <c r="U51" i="58"/>
  <c r="Y110" i="176"/>
  <c r="Y115" i="176"/>
  <c r="AA93" i="176"/>
  <c r="Y118" i="176"/>
  <c r="AA96" i="176"/>
  <c r="AA126" i="176"/>
  <c r="Y148" i="176"/>
  <c r="AA148" i="176" s="1"/>
  <c r="P140" i="151"/>
  <c r="F49" i="65"/>
  <c r="F53" i="65" s="1"/>
  <c r="AI12" i="58" s="1"/>
  <c r="Y149" i="176"/>
  <c r="AA149" i="176" s="1"/>
  <c r="AA127" i="176"/>
  <c r="AA97" i="176"/>
  <c r="Y119" i="176"/>
  <c r="AA128" i="176"/>
  <c r="Y150" i="176"/>
  <c r="AA150" i="176" s="1"/>
  <c r="E140" i="151"/>
  <c r="F48" i="65"/>
  <c r="F52" i="65" s="1"/>
  <c r="U12" i="58" s="1"/>
  <c r="AI51" i="58"/>
  <c r="AI56" i="58"/>
  <c r="P144" i="151"/>
  <c r="P156" i="151" s="1"/>
  <c r="AE107" i="176"/>
  <c r="AC129" i="176"/>
  <c r="AC148" i="176"/>
  <c r="AE148" i="176" s="1"/>
  <c r="AE126" i="176"/>
  <c r="AE100" i="176"/>
  <c r="AC110" i="176"/>
  <c r="AC122" i="176"/>
  <c r="AD144" i="176"/>
  <c r="AD154" i="176" s="1"/>
  <c r="AD132" i="176"/>
  <c r="P158" i="176"/>
  <c r="Q137" i="151" s="1"/>
  <c r="AC150" i="176"/>
  <c r="AE150" i="176" s="1"/>
  <c r="AE128" i="176"/>
  <c r="AE124" i="176"/>
  <c r="AC146" i="176"/>
  <c r="AE146" i="176" s="1"/>
  <c r="F159" i="176"/>
  <c r="G138" i="151" s="1"/>
  <c r="AE89" i="176"/>
  <c r="Q159" i="176"/>
  <c r="R138" i="151" s="1"/>
  <c r="Y146" i="176"/>
  <c r="AA146" i="176" s="1"/>
  <c r="AA124" i="176"/>
  <c r="AA103" i="176"/>
  <c r="Y125" i="176"/>
  <c r="Z110" i="176"/>
  <c r="Z115" i="176"/>
  <c r="AA88" i="176"/>
  <c r="AC149" i="176"/>
  <c r="AE149" i="176" s="1"/>
  <c r="AE127" i="176"/>
  <c r="AA101" i="176"/>
  <c r="Y123" i="176"/>
  <c r="AA99" i="176"/>
  <c r="Y121" i="176"/>
  <c r="E158" i="176"/>
  <c r="F137" i="151" s="1"/>
  <c r="AA153" i="176"/>
  <c r="A53" i="122"/>
  <c r="A54" i="122" s="1"/>
  <c r="A55" i="122" s="1"/>
  <c r="A48" i="122"/>
  <c r="A49" i="122" s="1"/>
  <c r="A50" i="122" s="1"/>
  <c r="A51" i="122" s="1"/>
  <c r="A38" i="122"/>
  <c r="A39" i="122" s="1"/>
  <c r="A40" i="122" s="1"/>
  <c r="AE110" i="176" l="1"/>
  <c r="G159" i="176" s="1"/>
  <c r="H138" i="151" s="1"/>
  <c r="Z132" i="176"/>
  <c r="Z137" i="176"/>
  <c r="Z154" i="176" s="1"/>
  <c r="U93" i="58"/>
  <c r="Y138" i="176"/>
  <c r="AA138" i="176" s="1"/>
  <c r="AA116" i="176"/>
  <c r="R141" i="151"/>
  <c r="H66" i="65"/>
  <c r="H70" i="65" s="1"/>
  <c r="AK50" i="58" s="1"/>
  <c r="Y139" i="176"/>
  <c r="AA139" i="176" s="1"/>
  <c r="AA117" i="176"/>
  <c r="G141" i="151"/>
  <c r="H65" i="65"/>
  <c r="H69" i="65" s="1"/>
  <c r="W50" i="58" s="1"/>
  <c r="Y143" i="176"/>
  <c r="AA143" i="176" s="1"/>
  <c r="AA121" i="176"/>
  <c r="AE122" i="176"/>
  <c r="AC132" i="176"/>
  <c r="AC144" i="176"/>
  <c r="AA123" i="176"/>
  <c r="Y145" i="176"/>
  <c r="AA145" i="176" s="1"/>
  <c r="Y137" i="176"/>
  <c r="Y132" i="176"/>
  <c r="AA115" i="176"/>
  <c r="Y141" i="176"/>
  <c r="AA141" i="176" s="1"/>
  <c r="AA119" i="176"/>
  <c r="AE129" i="176"/>
  <c r="AC151" i="176"/>
  <c r="AE151" i="176" s="1"/>
  <c r="Y152" i="176"/>
  <c r="AA152" i="176" s="1"/>
  <c r="AA130" i="176"/>
  <c r="Q140" i="151"/>
  <c r="G49" i="65"/>
  <c r="G53" i="65" s="1"/>
  <c r="AJ12" i="58" s="1"/>
  <c r="F141" i="151"/>
  <c r="G65" i="65"/>
  <c r="G69" i="65" s="1"/>
  <c r="V50" i="58" s="1"/>
  <c r="F140" i="151"/>
  <c r="G48" i="65"/>
  <c r="G52" i="65" s="1"/>
  <c r="V12" i="58" s="1"/>
  <c r="Y140" i="176"/>
  <c r="AA140" i="176" s="1"/>
  <c r="AA118" i="176"/>
  <c r="AA110" i="176"/>
  <c r="R158" i="176" s="1"/>
  <c r="S137" i="151" s="1"/>
  <c r="F158" i="176"/>
  <c r="G137" i="151" s="1"/>
  <c r="AA89" i="176"/>
  <c r="Q158" i="176"/>
  <c r="R137" i="151" s="1"/>
  <c r="Y142" i="176"/>
  <c r="AA142" i="176" s="1"/>
  <c r="AA120" i="176"/>
  <c r="P143" i="151"/>
  <c r="P155" i="151" s="1"/>
  <c r="AI22" i="58"/>
  <c r="AI14" i="58"/>
  <c r="AI13" i="58"/>
  <c r="AI94" i="58" s="1"/>
  <c r="AI18" i="58"/>
  <c r="AI99" i="58" s="1"/>
  <c r="Q141" i="151"/>
  <c r="G66" i="65"/>
  <c r="G70" i="65" s="1"/>
  <c r="AJ50" i="58" s="1"/>
  <c r="AA125" i="176"/>
  <c r="Y147" i="176"/>
  <c r="AA147" i="176" s="1"/>
  <c r="U18" i="58"/>
  <c r="U99" i="58" s="1"/>
  <c r="U22" i="58"/>
  <c r="U13" i="58"/>
  <c r="U94" i="58" s="1"/>
  <c r="E143" i="151"/>
  <c r="E155" i="151" s="1"/>
  <c r="U14" i="58"/>
  <c r="AI93" i="58"/>
  <c r="B28" i="114"/>
  <c r="B29" i="114" s="1"/>
  <c r="B30" i="114" s="1"/>
  <c r="B31" i="114" s="1"/>
  <c r="B32" i="114" s="1"/>
  <c r="B33" i="114" s="1"/>
  <c r="R159" i="176" l="1"/>
  <c r="S138" i="151" s="1"/>
  <c r="AE111" i="176"/>
  <c r="AE132" i="176"/>
  <c r="S159" i="176" s="1"/>
  <c r="T138" i="151" s="1"/>
  <c r="AI21" i="58"/>
  <c r="AI23" i="58" s="1"/>
  <c r="AI26" i="58" s="1"/>
  <c r="V13" i="58"/>
  <c r="V14" i="58"/>
  <c r="F143" i="151"/>
  <c r="F155" i="151" s="1"/>
  <c r="V18" i="58"/>
  <c r="V22" i="58"/>
  <c r="V56" i="58"/>
  <c r="V51" i="58"/>
  <c r="F144" i="151"/>
  <c r="F156" i="151" s="1"/>
  <c r="G158" i="176"/>
  <c r="H137" i="151" s="1"/>
  <c r="AA111" i="176"/>
  <c r="R140" i="151"/>
  <c r="H49" i="65"/>
  <c r="H53" i="65" s="1"/>
  <c r="AK12" i="58" s="1"/>
  <c r="G140" i="151"/>
  <c r="H48" i="65"/>
  <c r="H52" i="65" s="1"/>
  <c r="W12" i="58" s="1"/>
  <c r="S140" i="151"/>
  <c r="I49" i="65"/>
  <c r="I53" i="65" s="1"/>
  <c r="AL12" i="58" s="1"/>
  <c r="Y154" i="176"/>
  <c r="AA137" i="176"/>
  <c r="AA154" i="176" s="1"/>
  <c r="AK56" i="58"/>
  <c r="AK51" i="58"/>
  <c r="R144" i="151"/>
  <c r="R156" i="151" s="1"/>
  <c r="AE144" i="176"/>
  <c r="AE154" i="176" s="1"/>
  <c r="AC154" i="176"/>
  <c r="S141" i="151"/>
  <c r="I66" i="65"/>
  <c r="I70" i="65" s="1"/>
  <c r="AL50" i="58" s="1"/>
  <c r="U21" i="58"/>
  <c r="U23" i="58" s="1"/>
  <c r="U26" i="58" s="1"/>
  <c r="H141" i="151"/>
  <c r="I65" i="65"/>
  <c r="I69" i="65" s="1"/>
  <c r="X50" i="58" s="1"/>
  <c r="AJ93" i="58"/>
  <c r="Q143" i="151"/>
  <c r="Q155" i="151" s="1"/>
  <c r="AJ14" i="58"/>
  <c r="AJ18" i="58"/>
  <c r="AJ22" i="58"/>
  <c r="AJ13" i="58"/>
  <c r="AJ51" i="58"/>
  <c r="AJ56" i="58"/>
  <c r="Q144" i="151"/>
  <c r="Q156" i="151" s="1"/>
  <c r="H159" i="176"/>
  <c r="I138" i="151" s="1"/>
  <c r="AE133" i="176"/>
  <c r="V93" i="58"/>
  <c r="AA132" i="176"/>
  <c r="H158" i="176" s="1"/>
  <c r="I137" i="151" s="1"/>
  <c r="W51" i="58"/>
  <c r="G144" i="151"/>
  <c r="G156" i="151" s="1"/>
  <c r="W56" i="58"/>
  <c r="B26" i="120"/>
  <c r="B27" i="120" s="1"/>
  <c r="B28" i="120" s="1"/>
  <c r="B13" i="120"/>
  <c r="B14" i="120" s="1"/>
  <c r="B15" i="120" s="1"/>
  <c r="B25" i="65"/>
  <c r="B26" i="65" s="1"/>
  <c r="B27" i="65" s="1"/>
  <c r="U38" i="58" l="1"/>
  <c r="U40" i="58" s="1"/>
  <c r="AI38" i="58"/>
  <c r="V21" i="58"/>
  <c r="V23" i="58" s="1"/>
  <c r="V26" i="58" s="1"/>
  <c r="U130" i="58"/>
  <c r="I159" i="176"/>
  <c r="J159" i="176" s="1"/>
  <c r="H140" i="151"/>
  <c r="I48" i="65"/>
  <c r="I52" i="65" s="1"/>
  <c r="X12" i="58" s="1"/>
  <c r="X51" i="58"/>
  <c r="X56" i="58"/>
  <c r="H144" i="151"/>
  <c r="H156" i="151" s="1"/>
  <c r="AJ94" i="58"/>
  <c r="G143" i="151"/>
  <c r="G155" i="151" s="1"/>
  <c r="W22" i="58"/>
  <c r="W14" i="58"/>
  <c r="W18" i="58"/>
  <c r="W99" i="58" s="1"/>
  <c r="W13" i="58"/>
  <c r="W94" i="58" s="1"/>
  <c r="AK93" i="58"/>
  <c r="AA155" i="176"/>
  <c r="T158" i="176"/>
  <c r="W93" i="58"/>
  <c r="AL56" i="58"/>
  <c r="AL51" i="58"/>
  <c r="S144" i="151"/>
  <c r="S156" i="151" s="1"/>
  <c r="AA133" i="176"/>
  <c r="S158" i="176"/>
  <c r="T137" i="151" s="1"/>
  <c r="AJ99" i="58"/>
  <c r="AE155" i="176"/>
  <c r="T159" i="176"/>
  <c r="AK13" i="58"/>
  <c r="AK94" i="58" s="1"/>
  <c r="R143" i="151"/>
  <c r="R155" i="151" s="1"/>
  <c r="AK18" i="58"/>
  <c r="AK99" i="58" s="1"/>
  <c r="AK22" i="58"/>
  <c r="AK14" i="58"/>
  <c r="V99" i="58"/>
  <c r="I141" i="151"/>
  <c r="J65" i="65"/>
  <c r="J69" i="65" s="1"/>
  <c r="Y50" i="58" s="1"/>
  <c r="I158" i="176"/>
  <c r="T141" i="151"/>
  <c r="J66" i="65"/>
  <c r="J70" i="65" s="1"/>
  <c r="AM50" i="58" s="1"/>
  <c r="AL22" i="58"/>
  <c r="S143" i="151"/>
  <c r="S155" i="151" s="1"/>
  <c r="AL18" i="58"/>
  <c r="AL14" i="58"/>
  <c r="AL13" i="58"/>
  <c r="I140" i="151"/>
  <c r="J48" i="65"/>
  <c r="J52" i="65" s="1"/>
  <c r="Y12" i="58" s="1"/>
  <c r="AL93" i="58"/>
  <c r="AJ21" i="58"/>
  <c r="AJ23" i="58" s="1"/>
  <c r="AJ26" i="58" s="1"/>
  <c r="V94" i="58"/>
  <c r="U136" i="58"/>
  <c r="U138" i="58" s="1"/>
  <c r="B26" i="96"/>
  <c r="B27" i="96" s="1"/>
  <c r="B28" i="96" s="1"/>
  <c r="B29" i="96" s="1"/>
  <c r="B30" i="96" s="1"/>
  <c r="B12" i="96"/>
  <c r="B13" i="96" s="1"/>
  <c r="B14" i="96" s="1"/>
  <c r="B15" i="96" s="1"/>
  <c r="B16" i="96" s="1"/>
  <c r="B11" i="114"/>
  <c r="B12" i="114" s="1"/>
  <c r="B13" i="114" s="1"/>
  <c r="B14" i="114" s="1"/>
  <c r="B15" i="114" s="1"/>
  <c r="B16" i="114" s="1"/>
  <c r="V38" i="58" l="1"/>
  <c r="V40" i="58" s="1"/>
  <c r="AI130" i="58"/>
  <c r="AI40" i="58"/>
  <c r="AJ38" i="58"/>
  <c r="AJ40" i="58" s="1"/>
  <c r="J138" i="151"/>
  <c r="J141" i="151" s="1"/>
  <c r="AL99" i="58"/>
  <c r="W21" i="58"/>
  <c r="W23" i="58" s="1"/>
  <c r="W26" i="58" s="1"/>
  <c r="T140" i="151"/>
  <c r="J49" i="65"/>
  <c r="J53" i="65" s="1"/>
  <c r="AM12" i="58" s="1"/>
  <c r="I144" i="151"/>
  <c r="I156" i="151" s="1"/>
  <c r="Y56" i="58"/>
  <c r="Y51" i="58"/>
  <c r="Y93" i="58"/>
  <c r="X93" i="58"/>
  <c r="AM56" i="58"/>
  <c r="AM51" i="58"/>
  <c r="T144" i="151"/>
  <c r="T156" i="151" s="1"/>
  <c r="AK21" i="58"/>
  <c r="AK23" i="58" s="1"/>
  <c r="AK26" i="58" s="1"/>
  <c r="K159" i="176"/>
  <c r="K138" i="151"/>
  <c r="U159" i="176"/>
  <c r="U138" i="151"/>
  <c r="U137" i="151"/>
  <c r="U158" i="176"/>
  <c r="AL21" i="58"/>
  <c r="AL23" i="58" s="1"/>
  <c r="AL26" i="58" s="1"/>
  <c r="I143" i="151"/>
  <c r="I155" i="151" s="1"/>
  <c r="Y13" i="58"/>
  <c r="Y18" i="58"/>
  <c r="Y22" i="58"/>
  <c r="Y14" i="58"/>
  <c r="X13" i="58"/>
  <c r="X94" i="58" s="1"/>
  <c r="H143" i="151"/>
  <c r="H155" i="151" s="1"/>
  <c r="X18" i="58"/>
  <c r="X99" i="58" s="1"/>
  <c r="X22" i="58"/>
  <c r="X14" i="58"/>
  <c r="AL94" i="58"/>
  <c r="J137" i="151"/>
  <c r="J158" i="176"/>
  <c r="V135" i="58"/>
  <c r="U139" i="58"/>
  <c r="U141" i="58" s="1"/>
  <c r="B214" i="54"/>
  <c r="B215" i="54" s="1"/>
  <c r="B216" i="54" s="1"/>
  <c r="B217" i="54" s="1"/>
  <c r="B218" i="54" s="1"/>
  <c r="B219" i="54" s="1"/>
  <c r="B220" i="54" s="1"/>
  <c r="B200" i="54"/>
  <c r="B201" i="54" s="1"/>
  <c r="B202" i="54" s="1"/>
  <c r="B203" i="54" s="1"/>
  <c r="B204" i="54" s="1"/>
  <c r="B205" i="54" s="1"/>
  <c r="B206" i="54" s="1"/>
  <c r="B191" i="54"/>
  <c r="B192" i="54" s="1"/>
  <c r="B193" i="54" s="1"/>
  <c r="B194" i="54" s="1"/>
  <c r="B195" i="54" s="1"/>
  <c r="B196" i="54" s="1"/>
  <c r="B197" i="54" s="1"/>
  <c r="B168" i="54"/>
  <c r="B169" i="54" s="1"/>
  <c r="B170" i="54" s="1"/>
  <c r="B171" i="54" s="1"/>
  <c r="B172" i="54" s="1"/>
  <c r="B173" i="54" s="1"/>
  <c r="B174" i="54" s="1"/>
  <c r="B154" i="54"/>
  <c r="B155" i="54" s="1"/>
  <c r="B156" i="54" s="1"/>
  <c r="B157" i="54" s="1"/>
  <c r="B158" i="54" s="1"/>
  <c r="B159" i="54" s="1"/>
  <c r="B160" i="54" s="1"/>
  <c r="B145" i="54"/>
  <c r="B146" i="54" s="1"/>
  <c r="B147" i="54" s="1"/>
  <c r="B148" i="54" s="1"/>
  <c r="B149" i="54" s="1"/>
  <c r="B150" i="54" s="1"/>
  <c r="B151" i="54" s="1"/>
  <c r="B126" i="54"/>
  <c r="B127" i="54" s="1"/>
  <c r="B128" i="54" s="1"/>
  <c r="B129" i="54" s="1"/>
  <c r="B130" i="54" s="1"/>
  <c r="B131" i="54" s="1"/>
  <c r="B132" i="54" s="1"/>
  <c r="B101" i="54"/>
  <c r="B102" i="54" s="1"/>
  <c r="B103" i="54" s="1"/>
  <c r="B104" i="54" s="1"/>
  <c r="B105" i="54" s="1"/>
  <c r="B106" i="54" s="1"/>
  <c r="B107" i="54" s="1"/>
  <c r="B87" i="54"/>
  <c r="B88" i="54" s="1"/>
  <c r="B89" i="54" s="1"/>
  <c r="B90" i="54" s="1"/>
  <c r="B91" i="54" s="1"/>
  <c r="B92" i="54" s="1"/>
  <c r="B93" i="54" s="1"/>
  <c r="B78" i="54"/>
  <c r="B79" i="54" s="1"/>
  <c r="B80" i="54" s="1"/>
  <c r="B81" i="54" s="1"/>
  <c r="B82" i="54" s="1"/>
  <c r="B83" i="54" s="1"/>
  <c r="B84" i="54" s="1"/>
  <c r="B55" i="54"/>
  <c r="B56" i="54" s="1"/>
  <c r="B57" i="54" s="1"/>
  <c r="B58" i="54" s="1"/>
  <c r="B59" i="54" s="1"/>
  <c r="B60" i="54" s="1"/>
  <c r="B61" i="54" s="1"/>
  <c r="B41" i="54"/>
  <c r="B42" i="54" s="1"/>
  <c r="B43" i="54" s="1"/>
  <c r="B44" i="54" s="1"/>
  <c r="B45" i="54" s="1"/>
  <c r="B46" i="54" s="1"/>
  <c r="B47" i="54" s="1"/>
  <c r="B32" i="54"/>
  <c r="B33" i="54" s="1"/>
  <c r="B34" i="54" s="1"/>
  <c r="B35" i="54" s="1"/>
  <c r="B36" i="54" s="1"/>
  <c r="B37" i="54" s="1"/>
  <c r="B38" i="54" s="1"/>
  <c r="B13" i="54"/>
  <c r="B14" i="54" s="1"/>
  <c r="B15" i="54" s="1"/>
  <c r="B16" i="54" s="1"/>
  <c r="B17" i="54" s="1"/>
  <c r="B18" i="54" s="1"/>
  <c r="B19" i="54" s="1"/>
  <c r="V130" i="58" l="1"/>
  <c r="AJ136" i="58"/>
  <c r="AK38" i="58"/>
  <c r="AK40" i="58" s="1"/>
  <c r="AJ130" i="58"/>
  <c r="AI136" i="58"/>
  <c r="AI138" i="58" s="1"/>
  <c r="W38" i="58"/>
  <c r="W40" i="58" s="1"/>
  <c r="AL38" i="58"/>
  <c r="AL40" i="58" s="1"/>
  <c r="U140" i="151"/>
  <c r="L138" i="151"/>
  <c r="L159" i="176"/>
  <c r="Y94" i="58"/>
  <c r="AM93" i="58"/>
  <c r="J140" i="151"/>
  <c r="X21" i="58"/>
  <c r="X23" i="58" s="1"/>
  <c r="X26" i="58" s="1"/>
  <c r="U141" i="151"/>
  <c r="AM13" i="58"/>
  <c r="AM94" i="58" s="1"/>
  <c r="T143" i="151"/>
  <c r="T155" i="151" s="1"/>
  <c r="AM22" i="58"/>
  <c r="AM14" i="58"/>
  <c r="AM18" i="58"/>
  <c r="AM99" i="58" s="1"/>
  <c r="V138" i="151"/>
  <c r="V159" i="176"/>
  <c r="Z51" i="58"/>
  <c r="J144" i="151"/>
  <c r="J156" i="151" s="1"/>
  <c r="Z56" i="58"/>
  <c r="Y99" i="58"/>
  <c r="K137" i="151"/>
  <c r="K158" i="176"/>
  <c r="V137" i="151"/>
  <c r="V158" i="176"/>
  <c r="K141" i="151"/>
  <c r="Y21" i="58"/>
  <c r="Y23" i="58" s="1"/>
  <c r="Y26" i="58" s="1"/>
  <c r="V136" i="58"/>
  <c r="V138" i="58" s="1"/>
  <c r="W135" i="58" s="1"/>
  <c r="B36" i="109"/>
  <c r="B37" i="109" s="1"/>
  <c r="B38" i="109" s="1"/>
  <c r="B39" i="109" s="1"/>
  <c r="B24" i="109"/>
  <c r="B25" i="109" s="1"/>
  <c r="B26" i="109" s="1"/>
  <c r="B27" i="109" s="1"/>
  <c r="B9" i="57"/>
  <c r="B10" i="57" s="1"/>
  <c r="B93" i="61"/>
  <c r="B94" i="61" s="1"/>
  <c r="B97" i="61" s="1"/>
  <c r="B98" i="61" s="1"/>
  <c r="B86" i="61"/>
  <c r="B87" i="61" s="1"/>
  <c r="B88" i="61" s="1"/>
  <c r="B89" i="61" s="1"/>
  <c r="B90" i="61" s="1"/>
  <c r="B73" i="61"/>
  <c r="B74" i="61" s="1"/>
  <c r="B77" i="61" s="1"/>
  <c r="B78" i="61" s="1"/>
  <c r="B67" i="61"/>
  <c r="B68" i="61" s="1"/>
  <c r="B69" i="61" s="1"/>
  <c r="B70" i="61" s="1"/>
  <c r="B52" i="61"/>
  <c r="B53" i="61" s="1"/>
  <c r="B27" i="61"/>
  <c r="B28" i="61" s="1"/>
  <c r="B11" i="69"/>
  <c r="B12" i="69" s="1"/>
  <c r="B13" i="69" s="1"/>
  <c r="B14" i="69" s="1"/>
  <c r="B15" i="69" s="1"/>
  <c r="B16" i="69" s="1"/>
  <c r="B17" i="69" s="1"/>
  <c r="B18" i="69" s="1"/>
  <c r="B19" i="69" s="1"/>
  <c r="B20" i="69" s="1"/>
  <c r="B21" i="69" s="1"/>
  <c r="B29" i="69"/>
  <c r="B30" i="69" s="1"/>
  <c r="B31" i="69" s="1"/>
  <c r="B32" i="69" s="1"/>
  <c r="B33" i="69" s="1"/>
  <c r="B34" i="69" s="1"/>
  <c r="B35" i="69" s="1"/>
  <c r="B36" i="69" s="1"/>
  <c r="B37" i="69" s="1"/>
  <c r="AL130" i="58" l="1"/>
  <c r="W130" i="58"/>
  <c r="AJ135" i="58"/>
  <c r="AJ138" i="58" s="1"/>
  <c r="AK135" i="58" s="1"/>
  <c r="AI139" i="58"/>
  <c r="AI141" i="58" s="1"/>
  <c r="X38" i="58"/>
  <c r="X130" i="58" s="1"/>
  <c r="AK136" i="58"/>
  <c r="W136" i="58"/>
  <c r="W138" i="58" s="1"/>
  <c r="X135" i="58" s="1"/>
  <c r="AL136" i="58"/>
  <c r="AK130" i="58"/>
  <c r="Y38" i="58"/>
  <c r="Y130" i="58" s="1"/>
  <c r="AM21" i="58"/>
  <c r="AM23" i="58" s="1"/>
  <c r="AM26" i="58" s="1"/>
  <c r="K140" i="151"/>
  <c r="L141" i="151"/>
  <c r="AA56" i="58"/>
  <c r="K144" i="151"/>
  <c r="K156" i="151" s="1"/>
  <c r="AA51" i="58"/>
  <c r="M159" i="176"/>
  <c r="M138" i="151"/>
  <c r="AN22" i="58"/>
  <c r="U143" i="151"/>
  <c r="U155" i="151" s="1"/>
  <c r="AN13" i="58"/>
  <c r="AN18" i="58"/>
  <c r="AN14" i="58"/>
  <c r="W138" i="151"/>
  <c r="W159" i="176"/>
  <c r="V141" i="151"/>
  <c r="W158" i="176"/>
  <c r="W137" i="151"/>
  <c r="L158" i="176"/>
  <c r="L137" i="151"/>
  <c r="AN51" i="58"/>
  <c r="AN56" i="58"/>
  <c r="U144" i="151"/>
  <c r="U156" i="151" s="1"/>
  <c r="Z22" i="58"/>
  <c r="Z18" i="58"/>
  <c r="Z99" i="58" s="1"/>
  <c r="Z14" i="58"/>
  <c r="Z13" i="58"/>
  <c r="Z94" i="58" s="1"/>
  <c r="J143" i="151"/>
  <c r="J155" i="151" s="1"/>
  <c r="V140" i="151"/>
  <c r="V139" i="58"/>
  <c r="V141" i="58" s="1"/>
  <c r="B11" i="57"/>
  <c r="B38" i="69"/>
  <c r="B39" i="69" s="1"/>
  <c r="AK138" i="58" l="1"/>
  <c r="AL135" i="58" s="1"/>
  <c r="AJ139" i="58"/>
  <c r="AJ141" i="58" s="1"/>
  <c r="Y40" i="58"/>
  <c r="X40" i="58"/>
  <c r="AM38" i="58"/>
  <c r="AK139" i="58"/>
  <c r="AK141" i="58" s="1"/>
  <c r="AO51" i="58"/>
  <c r="V144" i="151"/>
  <c r="V156" i="151" s="1"/>
  <c r="AO56" i="58"/>
  <c r="X159" i="176"/>
  <c r="X138" i="151"/>
  <c r="W140" i="151"/>
  <c r="W141" i="151"/>
  <c r="L144" i="151"/>
  <c r="L156" i="151" s="1"/>
  <c r="AB56" i="58"/>
  <c r="AB51" i="58"/>
  <c r="N159" i="176"/>
  <c r="O138" i="151" s="1"/>
  <c r="N138" i="151"/>
  <c r="AN99" i="58"/>
  <c r="AA18" i="58"/>
  <c r="AA99" i="58" s="1"/>
  <c r="AA22" i="58"/>
  <c r="K143" i="151"/>
  <c r="K155" i="151" s="1"/>
  <c r="AA14" i="58"/>
  <c r="AA13" i="58"/>
  <c r="AA94" i="58" s="1"/>
  <c r="AO22" i="58"/>
  <c r="AO14" i="58"/>
  <c r="V143" i="151"/>
  <c r="V155" i="151" s="1"/>
  <c r="AO18" i="58"/>
  <c r="AO13" i="58"/>
  <c r="L140" i="151"/>
  <c r="X158" i="176"/>
  <c r="X137" i="151"/>
  <c r="AN94" i="58"/>
  <c r="M158" i="176"/>
  <c r="M137" i="151"/>
  <c r="M141" i="151"/>
  <c r="W139" i="58"/>
  <c r="W141" i="58" s="1"/>
  <c r="AL138" i="58"/>
  <c r="AM135" i="58" s="1"/>
  <c r="Y136" i="58"/>
  <c r="B12" i="57"/>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2" i="57" s="1"/>
  <c r="B43" i="57" s="1"/>
  <c r="B44" i="57" s="1"/>
  <c r="B45" i="57" s="1"/>
  <c r="B46" i="57" s="1"/>
  <c r="B47" i="57" s="1"/>
  <c r="B48" i="57" s="1"/>
  <c r="B49" i="57" s="1"/>
  <c r="B50" i="57" s="1"/>
  <c r="B51" i="57" s="1"/>
  <c r="B52" i="57" s="1"/>
  <c r="B53" i="57" s="1"/>
  <c r="B54" i="57" s="1"/>
  <c r="B55" i="57" s="1"/>
  <c r="B56" i="57" s="1"/>
  <c r="B57" i="57" s="1"/>
  <c r="B58" i="57" s="1"/>
  <c r="B13" i="58"/>
  <c r="B14" i="58" s="1"/>
  <c r="B15" i="58" s="1"/>
  <c r="B16" i="58" s="1"/>
  <c r="B17" i="58" s="1"/>
  <c r="B18" i="58" s="1"/>
  <c r="B50" i="58"/>
  <c r="B51" i="58" s="1"/>
  <c r="B52" i="58" s="1"/>
  <c r="B53" i="58" s="1"/>
  <c r="B54" i="58" s="1"/>
  <c r="B55" i="58" s="1"/>
  <c r="B56" i="58" s="1"/>
  <c r="B57" i="58" s="1"/>
  <c r="B58" i="58" s="1"/>
  <c r="B59" i="58" s="1"/>
  <c r="X136" i="58" l="1"/>
  <c r="X138" i="58" s="1"/>
  <c r="Y135" i="58" s="1"/>
  <c r="Y138" i="58" s="1"/>
  <c r="Z135" i="58" s="1"/>
  <c r="AM130" i="58"/>
  <c r="AM40" i="58"/>
  <c r="AO94" i="58"/>
  <c r="AO99" i="58"/>
  <c r="AW30" i="58"/>
  <c r="W144" i="151"/>
  <c r="W156" i="151" s="1"/>
  <c r="AP56" i="58"/>
  <c r="AP51" i="58"/>
  <c r="L143" i="151"/>
  <c r="L155" i="151" s="1"/>
  <c r="AB13" i="58"/>
  <c r="AB94" i="58" s="1"/>
  <c r="AB18" i="58"/>
  <c r="AB99" i="58" s="1"/>
  <c r="AB22" i="58"/>
  <c r="AB14" i="58"/>
  <c r="O141" i="151"/>
  <c r="AC51" i="58"/>
  <c r="M144" i="151"/>
  <c r="M156" i="151" s="1"/>
  <c r="AC56" i="58"/>
  <c r="N158" i="176"/>
  <c r="O137" i="151" s="1"/>
  <c r="N137" i="151"/>
  <c r="N141" i="151"/>
  <c r="AP22" i="58"/>
  <c r="AP14" i="58"/>
  <c r="AP18" i="58"/>
  <c r="AP13" i="58"/>
  <c r="W143" i="151"/>
  <c r="W155" i="151" s="1"/>
  <c r="X141" i="151"/>
  <c r="Y138" i="151"/>
  <c r="Y159" i="176"/>
  <c r="Z138" i="151" s="1"/>
  <c r="Y137" i="151"/>
  <c r="Y158" i="176"/>
  <c r="Z137" i="151" s="1"/>
  <c r="M140" i="151"/>
  <c r="X140" i="151"/>
  <c r="AL139" i="58"/>
  <c r="AL141" i="58" s="1"/>
  <c r="B19" i="58"/>
  <c r="B60" i="58"/>
  <c r="B40" i="61"/>
  <c r="B41" i="61" s="1"/>
  <c r="X139" i="58" l="1"/>
  <c r="X141" i="58" s="1"/>
  <c r="AM136" i="58"/>
  <c r="AM138" i="58" s="1"/>
  <c r="AN135" i="58" s="1"/>
  <c r="Y139" i="58"/>
  <c r="Y141" i="58" s="1"/>
  <c r="AW32" i="58"/>
  <c r="AW28" i="58"/>
  <c r="AW29" i="58"/>
  <c r="AW33" i="58"/>
  <c r="AW31" i="58"/>
  <c r="AP94" i="58"/>
  <c r="AP99" i="58"/>
  <c r="AD51" i="58"/>
  <c r="N144" i="151"/>
  <c r="N156" i="151" s="1"/>
  <c r="AD56" i="58"/>
  <c r="Z141" i="151"/>
  <c r="Y141" i="151"/>
  <c r="N140" i="151"/>
  <c r="O140" i="151"/>
  <c r="AQ56" i="58"/>
  <c r="X144" i="151"/>
  <c r="X156" i="151" s="1"/>
  <c r="AQ51" i="58"/>
  <c r="AQ13" i="58"/>
  <c r="AQ18" i="58"/>
  <c r="X143" i="151"/>
  <c r="X155" i="151" s="1"/>
  <c r="AQ22" i="58"/>
  <c r="AQ14" i="58"/>
  <c r="Z140" i="151"/>
  <c r="Y140" i="151"/>
  <c r="M143" i="151"/>
  <c r="M155" i="151" s="1"/>
  <c r="AC22" i="58"/>
  <c r="AC13" i="58"/>
  <c r="AC94" i="58" s="1"/>
  <c r="AC14" i="58"/>
  <c r="AC18" i="58"/>
  <c r="AC99" i="58" s="1"/>
  <c r="AE56" i="58"/>
  <c r="O144" i="151"/>
  <c r="O156" i="151" s="1"/>
  <c r="AE51" i="58"/>
  <c r="AW27" i="58"/>
  <c r="B20" i="58"/>
  <c r="B21" i="58" s="1"/>
  <c r="B22" i="58" s="1"/>
  <c r="B23" i="58" s="1"/>
  <c r="B24" i="58" s="1"/>
  <c r="B25" i="58" s="1"/>
  <c r="B26" i="58" s="1"/>
  <c r="B27" i="58" s="1"/>
  <c r="B28" i="58" s="1"/>
  <c r="B29" i="58" s="1"/>
  <c r="B30" i="58" s="1"/>
  <c r="B31" i="58" s="1"/>
  <c r="B32" i="58" s="1"/>
  <c r="B33" i="58" s="1"/>
  <c r="B34" i="58" s="1"/>
  <c r="B61" i="58"/>
  <c r="B62" i="58" s="1"/>
  <c r="B63" i="58" s="1"/>
  <c r="B64" i="58" s="1"/>
  <c r="B65" i="58" s="1"/>
  <c r="B66" i="58" s="1"/>
  <c r="B67" i="58" s="1"/>
  <c r="B68" i="58" s="1"/>
  <c r="B69" i="58" s="1"/>
  <c r="B42" i="61"/>
  <c r="B43" i="61" s="1"/>
  <c r="B21" i="55"/>
  <c r="B14" i="55"/>
  <c r="B15" i="55" s="1"/>
  <c r="B16" i="55" s="1"/>
  <c r="B17" i="55" s="1"/>
  <c r="AM139" i="58" l="1"/>
  <c r="AM141" i="58" s="1"/>
  <c r="AW35" i="58"/>
  <c r="AV56" i="58"/>
  <c r="AS51" i="58"/>
  <c r="Z144" i="151"/>
  <c r="Z156" i="151" s="1"/>
  <c r="AS56" i="58"/>
  <c r="AD18" i="58"/>
  <c r="AD99" i="58" s="1"/>
  <c r="AD22" i="58"/>
  <c r="N143" i="151"/>
  <c r="N155" i="151" s="1"/>
  <c r="AD14" i="58"/>
  <c r="AD13" i="58"/>
  <c r="AD94" i="58" s="1"/>
  <c r="AR18" i="58"/>
  <c r="Y143" i="151"/>
  <c r="Y155" i="151" s="1"/>
  <c r="AR22" i="58"/>
  <c r="AR13" i="58"/>
  <c r="AR14" i="58"/>
  <c r="AR56" i="58"/>
  <c r="AR51" i="58"/>
  <c r="Y144" i="151"/>
  <c r="Y156" i="151" s="1"/>
  <c r="AS18" i="58"/>
  <c r="AS14" i="58"/>
  <c r="AS13" i="58"/>
  <c r="AS22" i="58"/>
  <c r="Z143" i="151"/>
  <c r="Z155" i="151" s="1"/>
  <c r="AQ99" i="58"/>
  <c r="AV51" i="58"/>
  <c r="AQ94" i="58"/>
  <c r="AE18" i="58"/>
  <c r="AE99" i="58" s="1"/>
  <c r="O143" i="151"/>
  <c r="O155" i="151" s="1"/>
  <c r="AE13" i="58"/>
  <c r="AE94" i="58" s="1"/>
  <c r="AE14" i="58"/>
  <c r="AE22" i="58"/>
  <c r="B39" i="58"/>
  <c r="B40" i="58" s="1"/>
  <c r="B36" i="58"/>
  <c r="B37" i="58" s="1"/>
  <c r="B38" i="58" s="1"/>
  <c r="B70" i="58"/>
  <c r="B44" i="61"/>
  <c r="B47" i="61"/>
  <c r="B48" i="61" s="1"/>
  <c r="AW18" i="58" l="1"/>
  <c r="AW14" i="58"/>
  <c r="AW51" i="58"/>
  <c r="AX51" i="58" s="1"/>
  <c r="AV22" i="58"/>
  <c r="AV18" i="58"/>
  <c r="AV14" i="58"/>
  <c r="AR94" i="58"/>
  <c r="AW13" i="58"/>
  <c r="AS94" i="58"/>
  <c r="AR99" i="58"/>
  <c r="AW56" i="58"/>
  <c r="AX56" i="58" s="1"/>
  <c r="AV94" i="58"/>
  <c r="AS99" i="58"/>
  <c r="AW22" i="58"/>
  <c r="AV13" i="58"/>
  <c r="AV99" i="58"/>
  <c r="B71" i="58"/>
  <c r="B72" i="58" s="1"/>
  <c r="B73" i="58" s="1"/>
  <c r="B74" i="58" s="1"/>
  <c r="B75" i="58" s="1"/>
  <c r="B76" i="58" s="1"/>
  <c r="B77" i="58" s="1"/>
  <c r="B78" i="58" s="1"/>
  <c r="B79" i="58" s="1"/>
  <c r="B80" i="58" s="1"/>
  <c r="B81" i="58" s="1"/>
  <c r="B82" i="58" s="1"/>
  <c r="B83" i="58" s="1"/>
  <c r="B84" i="58" s="1"/>
  <c r="B12" i="65"/>
  <c r="B13" i="65" s="1"/>
  <c r="B14" i="65" s="1"/>
  <c r="B122" i="67"/>
  <c r="B123" i="67" s="1"/>
  <c r="B124" i="67" s="1"/>
  <c r="B125" i="67" s="1"/>
  <c r="B128" i="67"/>
  <c r="B129" i="67" s="1"/>
  <c r="B130" i="67" s="1"/>
  <c r="B131" i="67" s="1"/>
  <c r="B134" i="67"/>
  <c r="B135" i="67" s="1"/>
  <c r="B136" i="67" s="1"/>
  <c r="B137" i="67" s="1"/>
  <c r="B140" i="67"/>
  <c r="B141" i="67" s="1"/>
  <c r="B142" i="67" s="1"/>
  <c r="B143" i="67" s="1"/>
  <c r="B16" i="61"/>
  <c r="B17" i="61" s="1"/>
  <c r="B18" i="61" s="1"/>
  <c r="B19" i="61" s="1"/>
  <c r="B23" i="61" s="1"/>
  <c r="K96" i="117"/>
  <c r="K109" i="117" s="1"/>
  <c r="K426" i="117" s="1"/>
  <c r="Q64" i="82"/>
  <c r="M65" i="82"/>
  <c r="Q65" i="82"/>
  <c r="R65" i="82" s="1"/>
  <c r="N69" i="82"/>
  <c r="AX18" i="58" l="1"/>
  <c r="AX14" i="58"/>
  <c r="AX22" i="58"/>
  <c r="AW34" i="58"/>
  <c r="AW94" i="58"/>
  <c r="AX94" i="58" s="1"/>
  <c r="AW99" i="58"/>
  <c r="AX99" i="58" s="1"/>
  <c r="AX13" i="58"/>
  <c r="K427" i="117"/>
  <c r="Q426" i="117"/>
  <c r="Q427" i="117" s="1"/>
  <c r="Q96" i="117"/>
  <c r="K110" i="117"/>
  <c r="Q109" i="117"/>
  <c r="Q69" i="82"/>
  <c r="Q95" i="117" l="1"/>
  <c r="R96" i="117"/>
  <c r="H49" i="58"/>
  <c r="O74" i="157"/>
  <c r="G36" i="122"/>
  <c r="G34" i="122" s="1"/>
  <c r="Q110" i="117"/>
  <c r="J64" i="82"/>
  <c r="G28" i="122"/>
  <c r="G29" i="122" s="1"/>
  <c r="H43" i="61" l="1"/>
  <c r="E223" i="78"/>
  <c r="J223" i="78" s="1"/>
  <c r="G35" i="122"/>
  <c r="G218" i="82"/>
  <c r="AK49" i="58"/>
  <c r="AK92" i="58" s="1"/>
  <c r="W49" i="58"/>
  <c r="W92" i="58" s="1"/>
  <c r="H44" i="61"/>
  <c r="H48" i="61" s="1"/>
  <c r="H53" i="58" s="1"/>
  <c r="E227" i="78" s="1"/>
  <c r="J227" i="78" s="1"/>
  <c r="H92" i="58"/>
  <c r="P74" i="157"/>
  <c r="O87" i="157"/>
  <c r="O15" i="157" s="1"/>
  <c r="G30" i="122"/>
  <c r="G32" i="122"/>
  <c r="G6" i="122" s="1"/>
  <c r="J69" i="82"/>
  <c r="J70" i="82" s="1"/>
  <c r="M64" i="82"/>
  <c r="R64" i="82"/>
  <c r="G221" i="82" l="1"/>
  <c r="G224" i="82" s="1"/>
  <c r="H224" i="82" s="1"/>
  <c r="G234" i="82"/>
  <c r="G236" i="82" s="1"/>
  <c r="G228" i="82"/>
  <c r="G230" i="82" s="1"/>
  <c r="H230" i="82" s="1"/>
  <c r="I230" i="82" s="1"/>
  <c r="P87" i="157"/>
  <c r="P88" i="157" s="1"/>
  <c r="P70" i="157"/>
  <c r="AK53" i="58"/>
  <c r="AK96" i="58" s="1"/>
  <c r="H62" i="58"/>
  <c r="H96" i="58"/>
  <c r="W53" i="58"/>
  <c r="P15" i="157"/>
  <c r="P21" i="157" s="1"/>
  <c r="O21" i="157"/>
  <c r="R69" i="82"/>
  <c r="M69" i="82"/>
  <c r="E220" i="117"/>
  <c r="Q219" i="117"/>
  <c r="K27" i="122" s="1"/>
  <c r="K29" i="122" s="1"/>
  <c r="F220" i="117"/>
  <c r="G220" i="117"/>
  <c r="H220" i="117"/>
  <c r="I220" i="117"/>
  <c r="J220" i="117"/>
  <c r="K220" i="117"/>
  <c r="L220" i="117"/>
  <c r="M220" i="117"/>
  <c r="N220" i="117"/>
  <c r="O220" i="117"/>
  <c r="P220" i="117"/>
  <c r="AR49" i="124"/>
  <c r="AR56" i="124" s="1"/>
  <c r="K255" i="125"/>
  <c r="H236" i="82" l="1"/>
  <c r="I236" i="82" s="1"/>
  <c r="E246" i="82" s="1"/>
  <c r="E248" i="82" s="1"/>
  <c r="D255" i="82"/>
  <c r="I224" i="82"/>
  <c r="G246" i="82"/>
  <c r="G248" i="82" s="1"/>
  <c r="H105" i="58"/>
  <c r="W96" i="58"/>
  <c r="K30" i="122"/>
  <c r="K32" i="122"/>
  <c r="K6" i="122" s="1"/>
  <c r="Q220" i="117"/>
  <c r="J129" i="82"/>
  <c r="AR58" i="124"/>
  <c r="D26" i="120"/>
  <c r="D262" i="82" l="1"/>
  <c r="D263" i="82" s="1"/>
  <c r="D265" i="82" s="1"/>
  <c r="D256" i="82"/>
  <c r="D258" i="82" s="1"/>
  <c r="E255" i="82" s="1"/>
  <c r="N129" i="82"/>
  <c r="Q129" i="82" s="1"/>
  <c r="J136" i="82"/>
  <c r="J137" i="82" s="1"/>
  <c r="N522" i="123"/>
  <c r="N523" i="123" s="1"/>
  <c r="D28" i="120"/>
  <c r="D50" i="55" s="1"/>
  <c r="D51" i="55" s="1"/>
  <c r="K261" i="125"/>
  <c r="N261" i="125"/>
  <c r="N381" i="125" s="1"/>
  <c r="E256" i="82" l="1"/>
  <c r="E258" i="82"/>
  <c r="R129" i="82"/>
  <c r="E262" i="82"/>
  <c r="E263" i="82" s="1"/>
  <c r="E265" i="82" s="1"/>
  <c r="E267" i="82" s="1"/>
  <c r="J80" i="58" s="1"/>
  <c r="D267" i="82"/>
  <c r="I80" i="58" s="1"/>
  <c r="D53" i="55"/>
  <c r="E49" i="55" s="1"/>
  <c r="D59" i="55"/>
  <c r="D60" i="55" s="1"/>
  <c r="E64" i="58" s="1"/>
  <c r="E51" i="78" s="1"/>
  <c r="J51" i="78" s="1"/>
  <c r="C205" i="82"/>
  <c r="C210" i="82" s="1"/>
  <c r="D129" i="54"/>
  <c r="D131" i="54" s="1"/>
  <c r="I275" i="125"/>
  <c r="O275" i="125" s="1"/>
  <c r="R49" i="124"/>
  <c r="R56" i="124" s="1"/>
  <c r="O255" i="125"/>
  <c r="I274" i="125" s="1"/>
  <c r="J261" i="125"/>
  <c r="X80" i="58" l="1"/>
  <c r="AL80" i="58"/>
  <c r="I123" i="58"/>
  <c r="AU80" i="58"/>
  <c r="E356" i="78"/>
  <c r="J356" i="78" s="1"/>
  <c r="AM80" i="58"/>
  <c r="Y80" i="58"/>
  <c r="J123" i="58"/>
  <c r="J274" i="125"/>
  <c r="O274" i="125" s="1"/>
  <c r="I294" i="125" s="1"/>
  <c r="O294" i="125" s="1"/>
  <c r="I314" i="125" s="1"/>
  <c r="O261" i="125"/>
  <c r="T64" i="58"/>
  <c r="E107" i="58"/>
  <c r="E53" i="55"/>
  <c r="F49" i="55" s="1"/>
  <c r="E58" i="55"/>
  <c r="E60" i="55" s="1"/>
  <c r="F64" i="58" s="1"/>
  <c r="E114" i="78" s="1"/>
  <c r="J114" i="78" s="1"/>
  <c r="E127" i="54"/>
  <c r="D133" i="54"/>
  <c r="D135" i="54" s="1"/>
  <c r="D137" i="54" s="1"/>
  <c r="I282" i="125"/>
  <c r="D24" i="120"/>
  <c r="AW80" i="58" l="1"/>
  <c r="AU123" i="58"/>
  <c r="AV80" i="58"/>
  <c r="AX80" i="58" s="1"/>
  <c r="E78" i="55"/>
  <c r="E80" i="55" s="1"/>
  <c r="F58" i="55"/>
  <c r="F60" i="55" s="1"/>
  <c r="F53" i="55"/>
  <c r="G49" i="55" s="1"/>
  <c r="F107" i="58"/>
  <c r="AI64" i="58"/>
  <c r="U64" i="58"/>
  <c r="U107" i="58" s="1"/>
  <c r="T107" i="58"/>
  <c r="E52" i="58"/>
  <c r="E131" i="54"/>
  <c r="F127" i="54" s="1"/>
  <c r="S49" i="124"/>
  <c r="S56" i="124" s="1"/>
  <c r="G64" i="58" l="1"/>
  <c r="E177" i="78" s="1"/>
  <c r="J177" i="78" s="1"/>
  <c r="E95" i="58"/>
  <c r="E40" i="78"/>
  <c r="T52" i="58"/>
  <c r="T95" i="58" s="1"/>
  <c r="AI107" i="58"/>
  <c r="G53" i="55"/>
  <c r="H49" i="55" s="1"/>
  <c r="F78" i="55"/>
  <c r="F80" i="55" s="1"/>
  <c r="G58" i="55"/>
  <c r="G60" i="55" s="1"/>
  <c r="E63" i="58"/>
  <c r="E65" i="58" s="1"/>
  <c r="E70" i="58" s="1"/>
  <c r="E82" i="58" s="1"/>
  <c r="E133" i="54"/>
  <c r="E135" i="54" s="1"/>
  <c r="E137" i="54" s="1"/>
  <c r="F131" i="54"/>
  <c r="G127" i="54" s="1"/>
  <c r="E24" i="120"/>
  <c r="I296" i="125"/>
  <c r="O296" i="125" s="1"/>
  <c r="I316" i="125" s="1"/>
  <c r="I299" i="125"/>
  <c r="J282" i="125"/>
  <c r="T51" i="124"/>
  <c r="I297" i="125"/>
  <c r="O297" i="125" s="1"/>
  <c r="I317" i="125" s="1"/>
  <c r="T52" i="124"/>
  <c r="I298" i="125"/>
  <c r="V64" i="58" l="1"/>
  <c r="AJ64" i="58"/>
  <c r="AJ107" i="58" s="1"/>
  <c r="G107" i="58"/>
  <c r="J40" i="78"/>
  <c r="J50" i="78" s="1"/>
  <c r="J52" i="78" s="1"/>
  <c r="J58" i="78" s="1"/>
  <c r="J63" i="78" s="1"/>
  <c r="E50" i="78"/>
  <c r="E52" i="78" s="1"/>
  <c r="E58" i="78" s="1"/>
  <c r="E63" i="78" s="1"/>
  <c r="T63" i="58"/>
  <c r="T65" i="58" s="1"/>
  <c r="T70" i="58" s="1"/>
  <c r="H64" i="58"/>
  <c r="E237" i="78" s="1"/>
  <c r="J237" i="78" s="1"/>
  <c r="E84" i="58"/>
  <c r="E146" i="58" s="1"/>
  <c r="E148" i="58" s="1"/>
  <c r="V107" i="58"/>
  <c r="G78" i="55"/>
  <c r="G80" i="55" s="1"/>
  <c r="H58" i="55"/>
  <c r="H60" i="55" s="1"/>
  <c r="H53" i="55"/>
  <c r="I49" i="55" s="1"/>
  <c r="F52" i="58"/>
  <c r="T106" i="58"/>
  <c r="T108" i="58" s="1"/>
  <c r="T113" i="58" s="1"/>
  <c r="T125" i="58" s="1"/>
  <c r="T53" i="124"/>
  <c r="O298" i="125"/>
  <c r="I318" i="125" s="1"/>
  <c r="F133" i="54"/>
  <c r="F135" i="54" s="1"/>
  <c r="F137" i="54" s="1"/>
  <c r="T54" i="124"/>
  <c r="O299" i="125"/>
  <c r="I319" i="125" s="1"/>
  <c r="G131" i="54"/>
  <c r="H127" i="54" s="1"/>
  <c r="O282" i="125"/>
  <c r="I295" i="125"/>
  <c r="O295" i="125" s="1"/>
  <c r="T82" i="58" l="1"/>
  <c r="T84" i="58" s="1"/>
  <c r="W64" i="58"/>
  <c r="W107" i="58" s="1"/>
  <c r="AK64" i="58"/>
  <c r="AK107" i="58" s="1"/>
  <c r="F63" i="58"/>
  <c r="F65" i="58" s="1"/>
  <c r="F70" i="58" s="1"/>
  <c r="F82" i="58" s="1"/>
  <c r="E103" i="78"/>
  <c r="H107" i="58"/>
  <c r="K63" i="78"/>
  <c r="I64" i="58"/>
  <c r="I53" i="55"/>
  <c r="J49" i="55" s="1"/>
  <c r="H78" i="55"/>
  <c r="H80" i="55" s="1"/>
  <c r="I58" i="55"/>
  <c r="I60" i="55" s="1"/>
  <c r="U52" i="58"/>
  <c r="U63" i="58" s="1"/>
  <c r="U65" i="58" s="1"/>
  <c r="U70" i="58" s="1"/>
  <c r="AI52" i="58"/>
  <c r="AI95" i="58" s="1"/>
  <c r="G52" i="58"/>
  <c r="F95" i="58"/>
  <c r="T128" i="58"/>
  <c r="T127" i="58"/>
  <c r="T132" i="58" s="1"/>
  <c r="T146" i="58"/>
  <c r="T148" i="58" s="1"/>
  <c r="E149" i="58"/>
  <c r="E151" i="58" s="1"/>
  <c r="F145" i="58"/>
  <c r="G133" i="54"/>
  <c r="G135" i="54" s="1"/>
  <c r="G137" i="54" s="1"/>
  <c r="I315" i="125"/>
  <c r="I321" i="125" s="1"/>
  <c r="O301" i="125"/>
  <c r="H131" i="54"/>
  <c r="I127" i="54" s="1"/>
  <c r="I301" i="125"/>
  <c r="F84" i="58" l="1"/>
  <c r="T131" i="58"/>
  <c r="I107" i="58"/>
  <c r="E296" i="78"/>
  <c r="J296" i="78" s="1"/>
  <c r="J103" i="78"/>
  <c r="J113" i="78" s="1"/>
  <c r="J115" i="78" s="1"/>
  <c r="J121" i="78" s="1"/>
  <c r="J126" i="78" s="1"/>
  <c r="K126" i="78" s="1"/>
  <c r="E113" i="78"/>
  <c r="E115" i="78" s="1"/>
  <c r="E121" i="78" s="1"/>
  <c r="E126" i="78" s="1"/>
  <c r="V52" i="58"/>
  <c r="V95" i="58" s="1"/>
  <c r="V106" i="58" s="1"/>
  <c r="V108" i="58" s="1"/>
  <c r="V113" i="58" s="1"/>
  <c r="V125" i="58" s="1"/>
  <c r="E166" i="78"/>
  <c r="U82" i="58"/>
  <c r="U84" i="58" s="1"/>
  <c r="U146" i="58" s="1"/>
  <c r="AL64" i="58"/>
  <c r="AL107" i="58" s="1"/>
  <c r="X64" i="58"/>
  <c r="X107" i="58" s="1"/>
  <c r="J64" i="58"/>
  <c r="J107" i="58" s="1"/>
  <c r="AJ52" i="58"/>
  <c r="AJ63" i="58" s="1"/>
  <c r="AJ65" i="58" s="1"/>
  <c r="AJ70" i="58" s="1"/>
  <c r="G95" i="58"/>
  <c r="G63" i="58"/>
  <c r="G65" i="58" s="1"/>
  <c r="G70" i="58" s="1"/>
  <c r="G82" i="58" s="1"/>
  <c r="AI63" i="58"/>
  <c r="AI65" i="58" s="1"/>
  <c r="AI70" i="58" s="1"/>
  <c r="U95" i="58"/>
  <c r="U106" i="58" s="1"/>
  <c r="U108" i="58" s="1"/>
  <c r="U113" i="58" s="1"/>
  <c r="U125" i="58" s="1"/>
  <c r="I78" i="55"/>
  <c r="I80" i="55" s="1"/>
  <c r="J58" i="55"/>
  <c r="J60" i="55" s="1"/>
  <c r="J53" i="55"/>
  <c r="D114" i="55" s="1"/>
  <c r="H52" i="58"/>
  <c r="AI106" i="58"/>
  <c r="AI108" i="58" s="1"/>
  <c r="AI113" i="58" s="1"/>
  <c r="AI125" i="58" s="1"/>
  <c r="T149" i="58"/>
  <c r="T151" i="58" s="1"/>
  <c r="U145" i="58"/>
  <c r="T156" i="58"/>
  <c r="T158" i="58" s="1"/>
  <c r="F146" i="58"/>
  <c r="F148" i="58" s="1"/>
  <c r="H133" i="54"/>
  <c r="H135" i="54" s="1"/>
  <c r="H137" i="54" s="1"/>
  <c r="I131" i="54"/>
  <c r="J127" i="54" s="1"/>
  <c r="T50" i="124"/>
  <c r="T56" i="124" s="1"/>
  <c r="J301" i="125"/>
  <c r="J381" i="125" s="1"/>
  <c r="V63" i="58" l="1"/>
  <c r="V65" i="58" s="1"/>
  <c r="V70" i="58" s="1"/>
  <c r="AK52" i="58"/>
  <c r="E226" i="78"/>
  <c r="J166" i="78"/>
  <c r="J176" i="78" s="1"/>
  <c r="J178" i="78" s="1"/>
  <c r="J184" i="78" s="1"/>
  <c r="J189" i="78" s="1"/>
  <c r="E176" i="78"/>
  <c r="E178" i="78" s="1"/>
  <c r="E184" i="78" s="1"/>
  <c r="E189" i="78" s="1"/>
  <c r="Y64" i="58"/>
  <c r="Y107" i="58" s="1"/>
  <c r="E358" i="78"/>
  <c r="J358" i="78" s="1"/>
  <c r="G84" i="58"/>
  <c r="G146" i="58" s="1"/>
  <c r="AI82" i="58"/>
  <c r="AI84" i="58" s="1"/>
  <c r="V82" i="58"/>
  <c r="V84" i="58" s="1"/>
  <c r="AJ82" i="58"/>
  <c r="AJ84" i="58" s="1"/>
  <c r="AJ95" i="58"/>
  <c r="AJ106" i="58" s="1"/>
  <c r="AJ108" i="58" s="1"/>
  <c r="AJ113" i="58" s="1"/>
  <c r="AJ125" i="58" s="1"/>
  <c r="AJ127" i="58" s="1"/>
  <c r="AJ156" i="58" s="1"/>
  <c r="AM64" i="58"/>
  <c r="AM107" i="58" s="1"/>
  <c r="K64" i="58"/>
  <c r="AN64" i="58" s="1"/>
  <c r="D123" i="55"/>
  <c r="D125" i="55" s="1"/>
  <c r="L64" i="58" s="1"/>
  <c r="D118" i="55"/>
  <c r="E114" i="55" s="1"/>
  <c r="H63" i="58"/>
  <c r="H65" i="58" s="1"/>
  <c r="H70" i="58" s="1"/>
  <c r="H82" i="58" s="1"/>
  <c r="H95" i="58"/>
  <c r="W52" i="58"/>
  <c r="W95" i="58" s="1"/>
  <c r="I52" i="58"/>
  <c r="V128" i="58"/>
  <c r="V127" i="58"/>
  <c r="V156" i="58" s="1"/>
  <c r="AK63" i="58"/>
  <c r="AK65" i="58" s="1"/>
  <c r="AK70" i="58" s="1"/>
  <c r="AK95" i="58"/>
  <c r="AK106" i="58" s="1"/>
  <c r="AK108" i="58" s="1"/>
  <c r="AK113" i="58" s="1"/>
  <c r="AK125" i="58" s="1"/>
  <c r="U131" i="58"/>
  <c r="U127" i="58"/>
  <c r="U128" i="58"/>
  <c r="AI128" i="58"/>
  <c r="AI127" i="58"/>
  <c r="U155" i="58"/>
  <c r="T159" i="58"/>
  <c r="T161" i="58" s="1"/>
  <c r="U148" i="58"/>
  <c r="V145" i="58" s="1"/>
  <c r="G145" i="58"/>
  <c r="F149" i="58"/>
  <c r="F151" i="58" s="1"/>
  <c r="I133" i="54"/>
  <c r="I135" i="54" s="1"/>
  <c r="I137" i="54" s="1"/>
  <c r="J131" i="54"/>
  <c r="K127" i="54" s="1"/>
  <c r="F24" i="120"/>
  <c r="AR57" i="124"/>
  <c r="K107" i="58" l="1"/>
  <c r="E419" i="78"/>
  <c r="J419" i="78" s="1"/>
  <c r="K189" i="78"/>
  <c r="I63" i="58"/>
  <c r="I65" i="58" s="1"/>
  <c r="I70" i="58" s="1"/>
  <c r="I82" i="58" s="1"/>
  <c r="E285" i="78"/>
  <c r="AI131" i="58"/>
  <c r="J226" i="78"/>
  <c r="J236" i="78" s="1"/>
  <c r="J238" i="78" s="1"/>
  <c r="J244" i="78" s="1"/>
  <c r="J249" i="78" s="1"/>
  <c r="K249" i="78" s="1"/>
  <c r="E236" i="78"/>
  <c r="E238" i="78" s="1"/>
  <c r="E244" i="78" s="1"/>
  <c r="E249" i="78" s="1"/>
  <c r="V131" i="58"/>
  <c r="AJ146" i="58"/>
  <c r="AJ128" i="58"/>
  <c r="AJ131" i="58"/>
  <c r="AI146" i="58"/>
  <c r="AI148" i="58" s="1"/>
  <c r="AK82" i="58"/>
  <c r="Z64" i="58"/>
  <c r="Z107" i="58" s="1"/>
  <c r="H84" i="58"/>
  <c r="H146" i="58" s="1"/>
  <c r="AJ132" i="58"/>
  <c r="W63" i="58"/>
  <c r="W65" i="58" s="1"/>
  <c r="W70" i="58" s="1"/>
  <c r="AN107" i="58"/>
  <c r="E123" i="55"/>
  <c r="E125" i="55" s="1"/>
  <c r="M64" i="58" s="1"/>
  <c r="E118" i="55"/>
  <c r="F114" i="55" s="1"/>
  <c r="L107" i="58"/>
  <c r="AA64" i="58"/>
  <c r="AO64" i="58"/>
  <c r="AO107" i="58" s="1"/>
  <c r="I95" i="58"/>
  <c r="J52" i="58"/>
  <c r="AL52" i="58"/>
  <c r="AL63" i="58" s="1"/>
  <c r="AL65" i="58" s="1"/>
  <c r="AL70" i="58" s="1"/>
  <c r="X52" i="58"/>
  <c r="X63" i="58" s="1"/>
  <c r="X65" i="58" s="1"/>
  <c r="X70" i="58" s="1"/>
  <c r="U156" i="58"/>
  <c r="U158" i="58" s="1"/>
  <c r="V155" i="58" s="1"/>
  <c r="U132" i="58"/>
  <c r="AK84" i="58"/>
  <c r="AK131" i="58"/>
  <c r="V146" i="58"/>
  <c r="V148" i="58" s="1"/>
  <c r="W145" i="58" s="1"/>
  <c r="V132" i="58"/>
  <c r="W106" i="58"/>
  <c r="W108" i="58" s="1"/>
  <c r="W113" i="58" s="1"/>
  <c r="W125" i="58" s="1"/>
  <c r="AK127" i="58"/>
  <c r="AK128" i="58"/>
  <c r="AI156" i="58"/>
  <c r="AI158" i="58" s="1"/>
  <c r="AI132" i="58"/>
  <c r="U149" i="58"/>
  <c r="U151" i="58" s="1"/>
  <c r="G148" i="58"/>
  <c r="H145" i="58" s="1"/>
  <c r="J133" i="54"/>
  <c r="J135" i="54" s="1"/>
  <c r="J137" i="54" s="1"/>
  <c r="K131" i="54"/>
  <c r="L127" i="54" s="1"/>
  <c r="I84" i="58" l="1"/>
  <c r="I146" i="58" s="1"/>
  <c r="J285" i="78"/>
  <c r="J295" i="78" s="1"/>
  <c r="J297" i="78" s="1"/>
  <c r="J303" i="78" s="1"/>
  <c r="J308" i="78" s="1"/>
  <c r="K308" i="78" s="1"/>
  <c r="E295" i="78"/>
  <c r="E297" i="78" s="1"/>
  <c r="E303" i="78" s="1"/>
  <c r="E308" i="78" s="1"/>
  <c r="J63" i="58"/>
  <c r="J65" i="58" s="1"/>
  <c r="J70" i="58" s="1"/>
  <c r="J82" i="58" s="1"/>
  <c r="E346" i="78"/>
  <c r="X82" i="58"/>
  <c r="X84" i="58" s="1"/>
  <c r="AJ145" i="58"/>
  <c r="AJ148" i="58" s="1"/>
  <c r="AK145" i="58" s="1"/>
  <c r="AI149" i="58"/>
  <c r="AI151" i="58" s="1"/>
  <c r="AL82" i="58"/>
  <c r="AL84" i="58" s="1"/>
  <c r="W82" i="58"/>
  <c r="W84" i="58" s="1"/>
  <c r="M107" i="58"/>
  <c r="AB64" i="58"/>
  <c r="AB107" i="58" s="1"/>
  <c r="AP64" i="58"/>
  <c r="AP107" i="58" s="1"/>
  <c r="AA107" i="58"/>
  <c r="F123" i="55"/>
  <c r="F125" i="55" s="1"/>
  <c r="N64" i="58" s="1"/>
  <c r="F118" i="55"/>
  <c r="G114" i="55" s="1"/>
  <c r="AL95" i="58"/>
  <c r="AL106" i="58" s="1"/>
  <c r="AL108" i="58" s="1"/>
  <c r="AL113" i="58" s="1"/>
  <c r="AL125" i="58" s="1"/>
  <c r="Y52" i="58"/>
  <c r="Y95" i="58" s="1"/>
  <c r="Y106" i="58" s="1"/>
  <c r="Y108" i="58" s="1"/>
  <c r="Y113" i="58" s="1"/>
  <c r="Y125" i="58" s="1"/>
  <c r="AM52" i="58"/>
  <c r="AM63" i="58" s="1"/>
  <c r="AM65" i="58" s="1"/>
  <c r="AM70" i="58" s="1"/>
  <c r="J95" i="58"/>
  <c r="X95" i="58"/>
  <c r="X106" i="58" s="1"/>
  <c r="X108" i="58" s="1"/>
  <c r="X113" i="58" s="1"/>
  <c r="X125" i="58" s="1"/>
  <c r="K52" i="58"/>
  <c r="AK156" i="58"/>
  <c r="G149" i="58"/>
  <c r="G151" i="58" s="1"/>
  <c r="AK146" i="58"/>
  <c r="AK132" i="58"/>
  <c r="W128" i="58"/>
  <c r="W127" i="58"/>
  <c r="AJ155" i="58"/>
  <c r="AI159" i="58"/>
  <c r="AI161" i="58" s="1"/>
  <c r="V149" i="58"/>
  <c r="V151" i="58" s="1"/>
  <c r="U159" i="58"/>
  <c r="U161" i="58" s="1"/>
  <c r="V158" i="58"/>
  <c r="W155" i="58" s="1"/>
  <c r="H148" i="58"/>
  <c r="I145" i="58" s="1"/>
  <c r="K133" i="54"/>
  <c r="K135" i="54" s="1"/>
  <c r="K137" i="54" s="1"/>
  <c r="L131" i="54"/>
  <c r="M127" i="54" s="1"/>
  <c r="W131" i="58" l="1"/>
  <c r="J84" i="58"/>
  <c r="J146" i="58" s="1"/>
  <c r="J346" i="78"/>
  <c r="J357" i="78" s="1"/>
  <c r="J359" i="78" s="1"/>
  <c r="J365" i="78" s="1"/>
  <c r="J370" i="78" s="1"/>
  <c r="E357" i="78"/>
  <c r="E359" i="78" s="1"/>
  <c r="E365" i="78" s="1"/>
  <c r="E370" i="78" s="1"/>
  <c r="Z52" i="58"/>
  <c r="Z95" i="58" s="1"/>
  <c r="E408" i="78"/>
  <c r="J408" i="78" s="1"/>
  <c r="X131" i="58"/>
  <c r="AJ149" i="58"/>
  <c r="AJ151" i="58" s="1"/>
  <c r="AL131" i="58"/>
  <c r="AK148" i="58"/>
  <c r="AK149" i="58" s="1"/>
  <c r="AK151" i="58" s="1"/>
  <c r="W146" i="58"/>
  <c r="W148" i="58" s="1"/>
  <c r="X145" i="58" s="1"/>
  <c r="AM82" i="58"/>
  <c r="AM84" i="58" s="1"/>
  <c r="AN52" i="58"/>
  <c r="K95" i="58"/>
  <c r="J106" i="58"/>
  <c r="J108" i="58" s="1"/>
  <c r="J113" i="58" s="1"/>
  <c r="J125" i="58" s="1"/>
  <c r="J131" i="58" s="1"/>
  <c r="AL128" i="58"/>
  <c r="G118" i="55"/>
  <c r="H114" i="55" s="1"/>
  <c r="G123" i="55"/>
  <c r="G125" i="55" s="1"/>
  <c r="O64" i="58" s="1"/>
  <c r="AL127" i="58"/>
  <c r="AL156" i="58" s="1"/>
  <c r="Y63" i="58"/>
  <c r="Y65" i="58" s="1"/>
  <c r="Y70" i="58" s="1"/>
  <c r="N107" i="58"/>
  <c r="AC64" i="58"/>
  <c r="AC107" i="58" s="1"/>
  <c r="AQ64" i="58"/>
  <c r="AQ107" i="58" s="1"/>
  <c r="X127" i="58"/>
  <c r="X156" i="58" s="1"/>
  <c r="X128" i="58"/>
  <c r="AM95" i="58"/>
  <c r="AM106" i="58" s="1"/>
  <c r="AM108" i="58" s="1"/>
  <c r="AM113" i="58" s="1"/>
  <c r="AM125" i="58" s="1"/>
  <c r="L52" i="58"/>
  <c r="L95" i="58" s="1"/>
  <c r="AJ158" i="58"/>
  <c r="AK155" i="58" s="1"/>
  <c r="W156" i="58"/>
  <c r="W158" i="58" s="1"/>
  <c r="X155" i="58" s="1"/>
  <c r="X146" i="58"/>
  <c r="Y128" i="58"/>
  <c r="Y127" i="58"/>
  <c r="Y156" i="58" s="1"/>
  <c r="W132" i="58"/>
  <c r="AL146" i="58"/>
  <c r="V159" i="58"/>
  <c r="V161" i="58" s="1"/>
  <c r="H149" i="58"/>
  <c r="H151" i="58" s="1"/>
  <c r="I148" i="58"/>
  <c r="J145" i="58" s="1"/>
  <c r="L133" i="54"/>
  <c r="L135" i="54" s="1"/>
  <c r="L137" i="54" s="1"/>
  <c r="M131" i="54"/>
  <c r="N127" i="54" s="1"/>
  <c r="K370" i="78" l="1"/>
  <c r="W149" i="58"/>
  <c r="W151" i="58" s="1"/>
  <c r="AL145" i="58"/>
  <c r="AL148" i="58" s="1"/>
  <c r="AM145" i="58" s="1"/>
  <c r="X148" i="58"/>
  <c r="X149" i="58" s="1"/>
  <c r="X151" i="58" s="1"/>
  <c r="Y82" i="58"/>
  <c r="Y84" i="58" s="1"/>
  <c r="AN95" i="58"/>
  <c r="J128" i="58"/>
  <c r="J127" i="58"/>
  <c r="AL132" i="58"/>
  <c r="X132" i="58"/>
  <c r="O107" i="58"/>
  <c r="AD64" i="58"/>
  <c r="AD107" i="58" s="1"/>
  <c r="AR64" i="58"/>
  <c r="AR107" i="58" s="1"/>
  <c r="H118" i="55"/>
  <c r="H123" i="55"/>
  <c r="H125" i="55" s="1"/>
  <c r="P64" i="58" s="1"/>
  <c r="AO52" i="58"/>
  <c r="AO95" i="58" s="1"/>
  <c r="AA52" i="58"/>
  <c r="AA95" i="58" s="1"/>
  <c r="M52" i="58"/>
  <c r="M95" i="58" s="1"/>
  <c r="AM127" i="58"/>
  <c r="AM128" i="58"/>
  <c r="AK158" i="58"/>
  <c r="AL155" i="58" s="1"/>
  <c r="AM131" i="58"/>
  <c r="AM146" i="58"/>
  <c r="AJ159" i="58"/>
  <c r="AJ161" i="58" s="1"/>
  <c r="W159" i="58"/>
  <c r="W161" i="58" s="1"/>
  <c r="X158" i="58"/>
  <c r="Y155" i="58" s="1"/>
  <c r="I149" i="58"/>
  <c r="I151" i="58" s="1"/>
  <c r="J148" i="58"/>
  <c r="K145" i="58" s="1"/>
  <c r="M133" i="54"/>
  <c r="M135" i="54" s="1"/>
  <c r="M137" i="54" s="1"/>
  <c r="N131" i="54"/>
  <c r="O127" i="54" s="1"/>
  <c r="O131" i="54" s="1"/>
  <c r="O133" i="54" s="1"/>
  <c r="O135" i="54" s="1"/>
  <c r="O137" i="54" s="1"/>
  <c r="Y145" i="58" l="1"/>
  <c r="Y131" i="58"/>
  <c r="Y132" i="58"/>
  <c r="Y146" i="58"/>
  <c r="J132" i="58"/>
  <c r="J156" i="58"/>
  <c r="P107" i="58"/>
  <c r="AU107" i="58" s="1"/>
  <c r="AE64" i="58"/>
  <c r="AS64" i="58"/>
  <c r="AU64" i="58"/>
  <c r="P52" i="58"/>
  <c r="AS52" i="58" s="1"/>
  <c r="AP52" i="58"/>
  <c r="AP95" i="58" s="1"/>
  <c r="AB52" i="58"/>
  <c r="AB95" i="58" s="1"/>
  <c r="N52" i="58"/>
  <c r="AQ52" i="58" s="1"/>
  <c r="AQ95" i="58" s="1"/>
  <c r="AW71" i="58"/>
  <c r="AW77" i="58"/>
  <c r="AW74" i="58"/>
  <c r="AW75" i="58"/>
  <c r="AW76" i="58"/>
  <c r="AW73" i="58"/>
  <c r="AL149" i="58"/>
  <c r="AL151" i="58" s="1"/>
  <c r="AK159" i="58"/>
  <c r="AK161" i="58" s="1"/>
  <c r="AM156" i="58"/>
  <c r="AL158" i="58"/>
  <c r="AM155" i="58" s="1"/>
  <c r="AM148" i="58"/>
  <c r="AN145" i="58" s="1"/>
  <c r="AW72" i="58"/>
  <c r="AM132" i="58"/>
  <c r="Y158" i="58"/>
  <c r="Z155" i="58" s="1"/>
  <c r="X159" i="58"/>
  <c r="X161" i="58" s="1"/>
  <c r="J149" i="58"/>
  <c r="J151" i="58" s="1"/>
  <c r="N133" i="54"/>
  <c r="N135" i="54" s="1"/>
  <c r="N137" i="54" s="1"/>
  <c r="R152" i="82"/>
  <c r="E106" i="58"/>
  <c r="E108" i="58" s="1"/>
  <c r="E113" i="58" s="1"/>
  <c r="E125" i="58" s="1"/>
  <c r="E131" i="58" s="1"/>
  <c r="F106" i="58"/>
  <c r="F108" i="58" s="1"/>
  <c r="F113" i="58" s="1"/>
  <c r="F125" i="58" s="1"/>
  <c r="F131" i="58" s="1"/>
  <c r="G106" i="58"/>
  <c r="G108" i="58" s="1"/>
  <c r="G113" i="58" s="1"/>
  <c r="G125" i="58" s="1"/>
  <c r="G131" i="58" s="1"/>
  <c r="H106" i="58"/>
  <c r="H108" i="58" s="1"/>
  <c r="H113" i="58" s="1"/>
  <c r="H125" i="58" s="1"/>
  <c r="H131" i="58" s="1"/>
  <c r="I106" i="58"/>
  <c r="I108" i="58" s="1"/>
  <c r="I113" i="58" s="1"/>
  <c r="I125" i="58" s="1"/>
  <c r="I131" i="58" s="1"/>
  <c r="Y148" i="58" l="1"/>
  <c r="Z145" i="58" s="1"/>
  <c r="P95" i="58"/>
  <c r="AC52" i="58"/>
  <c r="AC95" i="58" s="1"/>
  <c r="AS107" i="58"/>
  <c r="AW107" i="58" s="1"/>
  <c r="AW64" i="58"/>
  <c r="AE52" i="58"/>
  <c r="AE95" i="58" s="1"/>
  <c r="AE107" i="58"/>
  <c r="AV107" i="58" s="1"/>
  <c r="AV64" i="58"/>
  <c r="N95" i="58"/>
  <c r="O52" i="58"/>
  <c r="AD52" i="58" s="1"/>
  <c r="AD95" i="58" s="1"/>
  <c r="AW119" i="58"/>
  <c r="AW120" i="58"/>
  <c r="AW114" i="58"/>
  <c r="AW117" i="58"/>
  <c r="AW116" i="58"/>
  <c r="AM149" i="58"/>
  <c r="AM151" i="58" s="1"/>
  <c r="Y149" i="58"/>
  <c r="Y151" i="58" s="1"/>
  <c r="AL159" i="58"/>
  <c r="AL161" i="58" s="1"/>
  <c r="AM158" i="58"/>
  <c r="AN155" i="58" s="1"/>
  <c r="AS95" i="58"/>
  <c r="AW118" i="58"/>
  <c r="AW115" i="58"/>
  <c r="Y159" i="58"/>
  <c r="Y161" i="58" s="1"/>
  <c r="G127" i="58"/>
  <c r="G128" i="58"/>
  <c r="H127" i="58"/>
  <c r="H128" i="58"/>
  <c r="E127" i="58"/>
  <c r="E128" i="58"/>
  <c r="I127" i="58"/>
  <c r="I128" i="58"/>
  <c r="F127" i="58"/>
  <c r="F128" i="58"/>
  <c r="AU52" i="58" l="1"/>
  <c r="O95" i="58"/>
  <c r="AU95" i="58" s="1"/>
  <c r="AR52" i="58"/>
  <c r="AR95" i="58" s="1"/>
  <c r="AW95" i="58" s="1"/>
  <c r="AX107" i="58"/>
  <c r="AX64" i="58"/>
  <c r="AV52" i="58"/>
  <c r="AV95" i="58"/>
  <c r="AM159" i="58"/>
  <c r="AM161" i="58" s="1"/>
  <c r="E156" i="58"/>
  <c r="E158" i="58" s="1"/>
  <c r="E132" i="58"/>
  <c r="F156" i="58"/>
  <c r="F132" i="58"/>
  <c r="I156" i="58"/>
  <c r="I132" i="58"/>
  <c r="H156" i="58"/>
  <c r="H132" i="58"/>
  <c r="G156" i="58"/>
  <c r="G132" i="58"/>
  <c r="AW52" i="58" l="1"/>
  <c r="AX52" i="58" s="1"/>
  <c r="AX95" i="58"/>
  <c r="F155" i="58"/>
  <c r="E159" i="58"/>
  <c r="E161" i="58" s="1"/>
  <c r="AW78" i="58" l="1"/>
  <c r="F158" i="58"/>
  <c r="G155" i="58" s="1"/>
  <c r="AW121" i="58" l="1"/>
  <c r="G158" i="58"/>
  <c r="H155" i="58" s="1"/>
  <c r="F159" i="58"/>
  <c r="F161" i="58" s="1"/>
  <c r="G159" i="58" l="1"/>
  <c r="G161" i="58" s="1"/>
  <c r="H158" i="58"/>
  <c r="I155" i="58" s="1"/>
  <c r="H159" i="58" l="1"/>
  <c r="H161" i="58" s="1"/>
  <c r="I158" i="58"/>
  <c r="J155" i="58" s="1"/>
  <c r="J158" i="58" l="1"/>
  <c r="K155" i="58" s="1"/>
  <c r="I159" i="58"/>
  <c r="I161" i="58" s="1"/>
  <c r="J159" i="58" l="1"/>
  <c r="J161" i="58" s="1"/>
  <c r="O7" i="176" l="1"/>
  <c r="O8" i="176"/>
  <c r="O9" i="176"/>
  <c r="O10" i="176"/>
  <c r="O11" i="176"/>
  <c r="O12" i="176"/>
  <c r="O13" i="176"/>
  <c r="O14" i="176"/>
  <c r="O15" i="176"/>
  <c r="O16" i="176"/>
  <c r="O17" i="176"/>
  <c r="O18" i="176"/>
  <c r="O19" i="176"/>
  <c r="O20" i="176"/>
  <c r="O21" i="176"/>
  <c r="O23" i="176" l="1"/>
  <c r="O24" i="176" l="1"/>
  <c r="S24" i="176"/>
  <c r="AW123" i="58"/>
  <c r="AV123" i="58"/>
  <c r="AX123" i="58" s="1"/>
  <c r="K93" i="178"/>
  <c r="D93" i="178" l="1"/>
  <c r="W85" i="178" l="1"/>
  <c r="R93" i="178"/>
  <c r="W93" i="178"/>
  <c r="AW79" i="58"/>
  <c r="AP122" i="58"/>
  <c r="AW122" i="58" s="1"/>
  <c r="R11" i="178"/>
  <c r="R15" i="178" s="1"/>
  <c r="R41" i="178" l="1"/>
  <c r="R47" i="178" l="1"/>
  <c r="R112" i="178"/>
  <c r="D70" i="178" l="1"/>
  <c r="E70" i="178"/>
  <c r="F70" i="178"/>
  <c r="G70" i="178"/>
  <c r="W58" i="178"/>
  <c r="W70" i="178" l="1"/>
  <c r="Y38" i="157" l="1"/>
  <c r="W39" i="157" l="1"/>
  <c r="J64" i="75"/>
  <c r="K64" i="75" l="1"/>
  <c r="J18" i="75"/>
  <c r="J41" i="75" s="1"/>
  <c r="X39" i="157"/>
  <c r="X49" i="157" l="1"/>
  <c r="Y39" i="157"/>
  <c r="L64" i="75"/>
  <c r="K18" i="75"/>
  <c r="K41" i="75" s="1"/>
  <c r="J59" i="75"/>
  <c r="Y57" i="157"/>
  <c r="J13" i="75" l="1"/>
  <c r="J36" i="75" s="1"/>
  <c r="K59" i="75"/>
  <c r="L18" i="75"/>
  <c r="L41" i="75" s="1"/>
  <c r="M64" i="75"/>
  <c r="X8" i="157"/>
  <c r="L59" i="75" l="1"/>
  <c r="K13" i="75"/>
  <c r="K36" i="75" s="1"/>
  <c r="N64" i="75"/>
  <c r="M18" i="75"/>
  <c r="M41" i="75" s="1"/>
  <c r="O64" i="75" l="1"/>
  <c r="O18" i="75" s="1"/>
  <c r="O41" i="75" s="1"/>
  <c r="N18" i="75"/>
  <c r="N41" i="75" s="1"/>
  <c r="M59" i="75"/>
  <c r="L13" i="75"/>
  <c r="L36" i="75" s="1"/>
  <c r="N59" i="75" l="1"/>
  <c r="M13" i="75"/>
  <c r="M36" i="75" s="1"/>
  <c r="O59" i="75" l="1"/>
  <c r="O13" i="75" s="1"/>
  <c r="O36" i="75" s="1"/>
  <c r="N13" i="75"/>
  <c r="N36" i="75" s="1"/>
  <c r="K60" i="58" l="1"/>
  <c r="E416" i="78" l="1"/>
  <c r="J416" i="78" s="1"/>
  <c r="AN60" i="58"/>
  <c r="AN103" i="58" s="1"/>
  <c r="Z60" i="58"/>
  <c r="Z103" i="58" s="1"/>
  <c r="K103" i="58"/>
  <c r="X84" i="157" s="1"/>
  <c r="L51" i="151"/>
  <c r="J94" i="68"/>
  <c r="Y84" i="157" l="1"/>
  <c r="M51" i="151"/>
  <c r="N51" i="151" s="1"/>
  <c r="O51" i="151" s="1"/>
  <c r="P51" i="151" s="1"/>
  <c r="L60" i="58"/>
  <c r="L103" i="58" l="1"/>
  <c r="AA60" i="58"/>
  <c r="AA103" i="58" s="1"/>
  <c r="AO60" i="58"/>
  <c r="AO103" i="58" s="1"/>
  <c r="J115" i="68" l="1"/>
  <c r="J93" i="68"/>
  <c r="Y83" i="157" l="1"/>
  <c r="J100" i="68"/>
  <c r="J104" i="68"/>
  <c r="Y48" i="157"/>
  <c r="J52" i="69"/>
  <c r="J54" i="69" s="1"/>
  <c r="Y82" i="157"/>
  <c r="J99" i="68"/>
  <c r="J96" i="68"/>
  <c r="J116" i="68"/>
  <c r="J11" i="107"/>
  <c r="J37" i="69" l="1"/>
  <c r="J39" i="69" s="1"/>
  <c r="K27" i="65" s="1"/>
  <c r="J56" i="69"/>
  <c r="J19" i="69"/>
  <c r="J21" i="69" s="1"/>
  <c r="K14" i="65" s="1"/>
  <c r="K28" i="61"/>
  <c r="K53" i="61"/>
  <c r="W105" i="157"/>
  <c r="W108" i="157" s="1"/>
  <c r="W18" i="157" s="1"/>
  <c r="J91" i="68"/>
  <c r="J103" i="68"/>
  <c r="J12" i="107"/>
  <c r="J95" i="67"/>
  <c r="J102" i="67" s="1"/>
  <c r="J35" i="67" s="1"/>
  <c r="K57" i="58"/>
  <c r="E413" i="78" s="1"/>
  <c r="J413" i="78" s="1"/>
  <c r="X79" i="157"/>
  <c r="Y79" i="157" s="1"/>
  <c r="J107" i="68"/>
  <c r="J71" i="75"/>
  <c r="J48" i="75" s="1"/>
  <c r="Y64" i="157"/>
  <c r="Z74" i="157"/>
  <c r="AA74" i="157" s="1"/>
  <c r="Y74" i="157"/>
  <c r="Y70" i="157" s="1"/>
  <c r="W36" i="157"/>
  <c r="W49" i="157"/>
  <c r="Y37" i="157"/>
  <c r="Y85" i="157"/>
  <c r="J36" i="67"/>
  <c r="J70" i="67"/>
  <c r="Y17" i="157"/>
  <c r="J97" i="68"/>
  <c r="W94" i="157"/>
  <c r="W97" i="157" s="1"/>
  <c r="W16" i="157" s="1"/>
  <c r="K54" i="58" l="1"/>
  <c r="E410" i="78" s="1"/>
  <c r="J410" i="78" s="1"/>
  <c r="J105" i="67"/>
  <c r="J69" i="67"/>
  <c r="AN54" i="58"/>
  <c r="Z54" i="58"/>
  <c r="K16" i="58"/>
  <c r="E382" i="78" s="1"/>
  <c r="J382" i="78" s="1"/>
  <c r="X104" i="157"/>
  <c r="J92" i="68"/>
  <c r="J117" i="68"/>
  <c r="J95" i="68"/>
  <c r="K47" i="65"/>
  <c r="L14" i="65"/>
  <c r="K36" i="65"/>
  <c r="L36" i="65" s="1"/>
  <c r="I14" i="66"/>
  <c r="K100" i="58"/>
  <c r="Z57" i="58"/>
  <c r="AN57" i="58"/>
  <c r="AU57" i="58"/>
  <c r="J57" i="69"/>
  <c r="X76" i="157"/>
  <c r="X87" i="157" s="1"/>
  <c r="X15" i="157" s="1"/>
  <c r="K58" i="58"/>
  <c r="E414" i="78" s="1"/>
  <c r="J414" i="78" s="1"/>
  <c r="K64" i="65"/>
  <c r="L27" i="65"/>
  <c r="I44" i="66"/>
  <c r="W87" i="157"/>
  <c r="W15" i="157" s="1"/>
  <c r="W8" i="157"/>
  <c r="X50" i="157"/>
  <c r="Y49" i="157"/>
  <c r="Y8" i="157" s="1"/>
  <c r="J62" i="75"/>
  <c r="Y58" i="157"/>
  <c r="Y63" i="157"/>
  <c r="J68" i="75"/>
  <c r="J58" i="75"/>
  <c r="Y56" i="157"/>
  <c r="W65" i="157"/>
  <c r="W68" i="157" s="1"/>
  <c r="W9" i="157" s="1"/>
  <c r="Y32" i="157"/>
  <c r="Y36" i="157"/>
  <c r="K110" i="61"/>
  <c r="J38" i="67"/>
  <c r="K12" i="65" s="1"/>
  <c r="X93" i="157"/>
  <c r="J72" i="67"/>
  <c r="K25" i="65" s="1"/>
  <c r="AU100" i="58" l="1"/>
  <c r="K65" i="65"/>
  <c r="K66" i="65"/>
  <c r="AN100" i="58"/>
  <c r="AW100" i="58" s="1"/>
  <c r="AW57" i="58"/>
  <c r="Z100" i="58"/>
  <c r="AV100" i="58" s="1"/>
  <c r="AV57" i="58"/>
  <c r="Y104" i="157"/>
  <c r="X105" i="157"/>
  <c r="M27" i="65"/>
  <c r="L64" i="65"/>
  <c r="K49" i="65"/>
  <c r="K48" i="65"/>
  <c r="K101" i="58"/>
  <c r="AU101" i="58" s="1"/>
  <c r="AU58" i="58"/>
  <c r="AN58" i="58"/>
  <c r="Z58" i="58"/>
  <c r="Y76" i="157"/>
  <c r="Y87" i="157" s="1"/>
  <c r="K43" i="61"/>
  <c r="K97" i="58"/>
  <c r="Z16" i="58"/>
  <c r="Z97" i="58" s="1"/>
  <c r="AN16" i="58"/>
  <c r="AN97" i="58" s="1"/>
  <c r="L47" i="65"/>
  <c r="M14" i="65"/>
  <c r="Y15" i="157"/>
  <c r="J39" i="96"/>
  <c r="Y153" i="157"/>
  <c r="J106" i="67"/>
  <c r="K39" i="65"/>
  <c r="L12" i="65"/>
  <c r="K34" i="65"/>
  <c r="L34" i="65" s="1"/>
  <c r="I12" i="66"/>
  <c r="K62" i="75"/>
  <c r="J16" i="75"/>
  <c r="J39" i="75" s="1"/>
  <c r="W11" i="157"/>
  <c r="I7" i="76" s="1"/>
  <c r="I9" i="76" s="1"/>
  <c r="J22" i="75"/>
  <c r="J45" i="75" s="1"/>
  <c r="K68" i="75"/>
  <c r="X94" i="157"/>
  <c r="Y93" i="157"/>
  <c r="K56" i="65"/>
  <c r="L25" i="65"/>
  <c r="I42" i="66"/>
  <c r="K58" i="75"/>
  <c r="J12" i="75"/>
  <c r="J35" i="75" s="1"/>
  <c r="J72" i="75"/>
  <c r="E114" i="61"/>
  <c r="K18" i="61"/>
  <c r="K42" i="61"/>
  <c r="AX100" i="58" l="1"/>
  <c r="AX57" i="58"/>
  <c r="M47" i="65"/>
  <c r="N14" i="65"/>
  <c r="L48" i="65"/>
  <c r="L49" i="65"/>
  <c r="Z101" i="58"/>
  <c r="AV101" i="58" s="1"/>
  <c r="AV58" i="58"/>
  <c r="AN101" i="58"/>
  <c r="AW101" i="58" s="1"/>
  <c r="AW58" i="58"/>
  <c r="L65" i="65"/>
  <c r="L66" i="65"/>
  <c r="K39" i="96"/>
  <c r="J12" i="96"/>
  <c r="J13" i="96" s="1"/>
  <c r="J26" i="96"/>
  <c r="J27" i="96" s="1"/>
  <c r="N27" i="65"/>
  <c r="M64" i="65"/>
  <c r="X108" i="157"/>
  <c r="Y105" i="157"/>
  <c r="J49" i="75"/>
  <c r="K12" i="75"/>
  <c r="K35" i="75" s="1"/>
  <c r="K72" i="75"/>
  <c r="L58" i="75"/>
  <c r="M12" i="65"/>
  <c r="L39" i="65"/>
  <c r="K57" i="65"/>
  <c r="K58" i="65"/>
  <c r="I14" i="76"/>
  <c r="I19" i="76"/>
  <c r="K40" i="65"/>
  <c r="K41" i="65"/>
  <c r="J25" i="75"/>
  <c r="L62" i="75"/>
  <c r="K16" i="75"/>
  <c r="K39" i="75" s="1"/>
  <c r="X152" i="157"/>
  <c r="Y152" i="157" s="1"/>
  <c r="X97" i="157"/>
  <c r="X16" i="157" s="1"/>
  <c r="Y94" i="157"/>
  <c r="Y97" i="157" s="1"/>
  <c r="J102" i="68"/>
  <c r="J121" i="68" s="1"/>
  <c r="W141" i="157"/>
  <c r="W145" i="157" s="1"/>
  <c r="X65" i="157"/>
  <c r="L56" i="65"/>
  <c r="M25" i="65"/>
  <c r="E78" i="61"/>
  <c r="E88" i="61"/>
  <c r="E69" i="61"/>
  <c r="E98" i="61"/>
  <c r="F114" i="61"/>
  <c r="L68" i="75"/>
  <c r="K22" i="75"/>
  <c r="K45" i="75" s="1"/>
  <c r="W19" i="157" l="1"/>
  <c r="W21" i="157" s="1"/>
  <c r="L54" i="58"/>
  <c r="K24" i="58"/>
  <c r="L16" i="58"/>
  <c r="L97" i="58" s="1"/>
  <c r="K66" i="58"/>
  <c r="AX58" i="58"/>
  <c r="AX101" i="58"/>
  <c r="M65" i="65"/>
  <c r="M66" i="65"/>
  <c r="X18" i="157"/>
  <c r="Y18" i="157" s="1"/>
  <c r="Y108" i="157"/>
  <c r="O27" i="65"/>
  <c r="N64" i="65"/>
  <c r="K12" i="96"/>
  <c r="K13" i="96" s="1"/>
  <c r="L39" i="96"/>
  <c r="K26" i="96"/>
  <c r="K27" i="96" s="1"/>
  <c r="O14" i="65"/>
  <c r="N47" i="65"/>
  <c r="M48" i="65"/>
  <c r="M49" i="65"/>
  <c r="AN66" i="58"/>
  <c r="Y16" i="157"/>
  <c r="AO54" i="58"/>
  <c r="AA54" i="58"/>
  <c r="M62" i="75"/>
  <c r="L16" i="75"/>
  <c r="L39" i="75" s="1"/>
  <c r="K49" i="75"/>
  <c r="J73" i="75"/>
  <c r="X68" i="157"/>
  <c r="Y65" i="157"/>
  <c r="K25" i="75"/>
  <c r="M56" i="65"/>
  <c r="N25" i="65"/>
  <c r="L12" i="75"/>
  <c r="L35" i="75" s="1"/>
  <c r="M58" i="75"/>
  <c r="L72" i="75"/>
  <c r="M68" i="75"/>
  <c r="L22" i="75"/>
  <c r="L45" i="75" s="1"/>
  <c r="J124" i="68"/>
  <c r="J41" i="68"/>
  <c r="J44" i="68" s="1"/>
  <c r="K13" i="65" s="1"/>
  <c r="J81" i="68"/>
  <c r="J84" i="68" s="1"/>
  <c r="K26" i="65" s="1"/>
  <c r="X141" i="157"/>
  <c r="L40" i="65"/>
  <c r="L41" i="65"/>
  <c r="M39" i="65"/>
  <c r="N12" i="65"/>
  <c r="L57" i="65"/>
  <c r="L58" i="65"/>
  <c r="F88" i="61"/>
  <c r="F69" i="61"/>
  <c r="F98" i="61"/>
  <c r="G114" i="61"/>
  <c r="F78" i="61"/>
  <c r="AN24" i="58" l="1"/>
  <c r="E389" i="78"/>
  <c r="J389" i="78" s="1"/>
  <c r="Z66" i="58"/>
  <c r="E421" i="78"/>
  <c r="J421" i="78" s="1"/>
  <c r="K109" i="58"/>
  <c r="Z24" i="58"/>
  <c r="Z109" i="58" s="1"/>
  <c r="AA16" i="58"/>
  <c r="AA97" i="58" s="1"/>
  <c r="AO16" i="58"/>
  <c r="AO97" i="58" s="1"/>
  <c r="L66" i="58"/>
  <c r="AA66" i="58" s="1"/>
  <c r="M16" i="58"/>
  <c r="AP16" i="58" s="1"/>
  <c r="L24" i="58"/>
  <c r="AO24" i="58" s="1"/>
  <c r="M54" i="58"/>
  <c r="AB54" i="58" s="1"/>
  <c r="M39" i="96"/>
  <c r="L12" i="96"/>
  <c r="L13" i="96" s="1"/>
  <c r="L26" i="96"/>
  <c r="L27" i="96" s="1"/>
  <c r="P27" i="65"/>
  <c r="O64" i="65"/>
  <c r="P14" i="65"/>
  <c r="O47" i="65"/>
  <c r="N65" i="65"/>
  <c r="N66" i="65"/>
  <c r="N48" i="65"/>
  <c r="N49" i="65"/>
  <c r="AN109" i="58"/>
  <c r="N68" i="75"/>
  <c r="M22" i="75"/>
  <c r="M45" i="75" s="1"/>
  <c r="K43" i="65"/>
  <c r="I13" i="66"/>
  <c r="I15" i="66" s="1"/>
  <c r="I17" i="66" s="1"/>
  <c r="L13" i="65"/>
  <c r="K35" i="65"/>
  <c r="L35" i="65" s="1"/>
  <c r="K16" i="65"/>
  <c r="K12" i="58" s="1"/>
  <c r="E378" i="78" s="1"/>
  <c r="L49" i="75"/>
  <c r="X9" i="157"/>
  <c r="Y68" i="157"/>
  <c r="J125" i="68"/>
  <c r="K73" i="75"/>
  <c r="I43" i="66"/>
  <c r="I45" i="66" s="1"/>
  <c r="I47" i="66" s="1"/>
  <c r="K60" i="65"/>
  <c r="L26" i="65"/>
  <c r="K29" i="65"/>
  <c r="K50" i="58" s="1"/>
  <c r="E406" i="78" s="1"/>
  <c r="M16" i="75"/>
  <c r="M39" i="75" s="1"/>
  <c r="N62" i="75"/>
  <c r="G69" i="61"/>
  <c r="G78" i="61"/>
  <c r="H114" i="61"/>
  <c r="G88" i="61"/>
  <c r="G98" i="61"/>
  <c r="N58" i="75"/>
  <c r="M12" i="75"/>
  <c r="M35" i="75" s="1"/>
  <c r="M72" i="75"/>
  <c r="X145" i="157"/>
  <c r="X19" i="157" s="1"/>
  <c r="Y141" i="157"/>
  <c r="N56" i="65"/>
  <c r="O25" i="65"/>
  <c r="M58" i="65"/>
  <c r="M57" i="65"/>
  <c r="N39" i="65"/>
  <c r="O12" i="65"/>
  <c r="M40" i="65"/>
  <c r="M41" i="65"/>
  <c r="L25" i="75"/>
  <c r="AA24" i="58" l="1"/>
  <c r="J406" i="78"/>
  <c r="J378" i="78"/>
  <c r="AO66" i="58"/>
  <c r="L109" i="58"/>
  <c r="M97" i="58"/>
  <c r="M24" i="58"/>
  <c r="AB24" i="58" s="1"/>
  <c r="P47" i="65"/>
  <c r="P48" i="65" s="1"/>
  <c r="N16" i="58"/>
  <c r="AC16" i="58" s="1"/>
  <c r="N54" i="58"/>
  <c r="AQ54" i="58" s="1"/>
  <c r="AP54" i="58"/>
  <c r="AP97" i="58" s="1"/>
  <c r="P64" i="65"/>
  <c r="P65" i="65" s="1"/>
  <c r="M66" i="58"/>
  <c r="AB66" i="58" s="1"/>
  <c r="AB16" i="58"/>
  <c r="AB97" i="58" s="1"/>
  <c r="O48" i="65"/>
  <c r="O49" i="65"/>
  <c r="O65" i="65"/>
  <c r="O66" i="65"/>
  <c r="L73" i="75"/>
  <c r="AA109" i="58"/>
  <c r="M26" i="96"/>
  <c r="M27" i="96" s="1"/>
  <c r="N39" i="96"/>
  <c r="M12" i="96"/>
  <c r="M13" i="96" s="1"/>
  <c r="AO109" i="58"/>
  <c r="M49" i="75"/>
  <c r="O56" i="65"/>
  <c r="P25" i="65"/>
  <c r="O62" i="75"/>
  <c r="O16" i="75" s="1"/>
  <c r="O39" i="75" s="1"/>
  <c r="N16" i="75"/>
  <c r="N39" i="75" s="1"/>
  <c r="O39" i="65"/>
  <c r="P12" i="65"/>
  <c r="M26" i="65"/>
  <c r="L60" i="65"/>
  <c r="L29" i="65"/>
  <c r="L50" i="58" s="1"/>
  <c r="E85" i="61" s="1"/>
  <c r="H98" i="61"/>
  <c r="H78" i="61"/>
  <c r="I114" i="61"/>
  <c r="H88" i="61"/>
  <c r="H69" i="61"/>
  <c r="N58" i="65"/>
  <c r="N57" i="65"/>
  <c r="K39" i="61"/>
  <c r="M25" i="75"/>
  <c r="K62" i="65"/>
  <c r="K70" i="65" s="1"/>
  <c r="AN50" i="58" s="1"/>
  <c r="K61" i="65"/>
  <c r="K69" i="65" s="1"/>
  <c r="Z50" i="58" s="1"/>
  <c r="K68" i="65"/>
  <c r="Y145" i="157"/>
  <c r="Y88" i="157" s="1"/>
  <c r="Y146" i="157"/>
  <c r="M13" i="65"/>
  <c r="L43" i="65"/>
  <c r="L16" i="65"/>
  <c r="L12" i="58" s="1"/>
  <c r="Y19" i="157"/>
  <c r="Y21" i="157" s="1"/>
  <c r="X21" i="157"/>
  <c r="N41" i="65"/>
  <c r="N40" i="65"/>
  <c r="O68" i="75"/>
  <c r="O22" i="75" s="1"/>
  <c r="O45" i="75" s="1"/>
  <c r="N22" i="75"/>
  <c r="N45" i="75" s="1"/>
  <c r="N12" i="75"/>
  <c r="N35" i="75" s="1"/>
  <c r="N72" i="75"/>
  <c r="O58" i="75"/>
  <c r="X11" i="157"/>
  <c r="Y9" i="157"/>
  <c r="Y11" i="157" s="1"/>
  <c r="K15" i="61"/>
  <c r="K93" i="58"/>
  <c r="K45" i="65"/>
  <c r="K53" i="65" s="1"/>
  <c r="AN12" i="58" s="1"/>
  <c r="K44" i="65"/>
  <c r="K52" i="65" s="1"/>
  <c r="Z12" i="58" s="1"/>
  <c r="K51" i="65"/>
  <c r="AP24" i="58" l="1"/>
  <c r="M109" i="58"/>
  <c r="AP66" i="58"/>
  <c r="P49" i="65"/>
  <c r="AQ16" i="58"/>
  <c r="AQ97" i="58" s="1"/>
  <c r="P66" i="65"/>
  <c r="N97" i="58"/>
  <c r="N66" i="58"/>
  <c r="N109" i="58" s="1"/>
  <c r="O54" i="58"/>
  <c r="AD54" i="58" s="1"/>
  <c r="AC54" i="58"/>
  <c r="AC97" i="58" s="1"/>
  <c r="K19" i="61"/>
  <c r="K23" i="61" s="1"/>
  <c r="K15" i="58" s="1"/>
  <c r="O16" i="58"/>
  <c r="N49" i="75"/>
  <c r="N24" i="58"/>
  <c r="AQ24" i="58" s="1"/>
  <c r="K44" i="61"/>
  <c r="K48" i="61" s="1"/>
  <c r="K53" i="58" s="1"/>
  <c r="O39" i="96"/>
  <c r="N12" i="96"/>
  <c r="N13" i="96" s="1"/>
  <c r="N26" i="96"/>
  <c r="N27" i="96" s="1"/>
  <c r="AP109" i="58"/>
  <c r="M73" i="75"/>
  <c r="AB109" i="58"/>
  <c r="M29" i="65"/>
  <c r="M50" i="58" s="1"/>
  <c r="F85" i="61" s="1"/>
  <c r="N26" i="65"/>
  <c r="M60" i="65"/>
  <c r="P39" i="65"/>
  <c r="O40" i="65"/>
  <c r="O41" i="65"/>
  <c r="I88" i="61"/>
  <c r="I69" i="61"/>
  <c r="I78" i="61"/>
  <c r="I98" i="61"/>
  <c r="P56" i="65"/>
  <c r="O72" i="75"/>
  <c r="O12" i="75"/>
  <c r="O25" i="75" s="1"/>
  <c r="N25" i="75"/>
  <c r="O58" i="65"/>
  <c r="O57" i="65"/>
  <c r="Z93" i="58"/>
  <c r="E66" i="61"/>
  <c r="E70" i="61" s="1"/>
  <c r="E74" i="61" s="1"/>
  <c r="L15" i="58" s="1"/>
  <c r="L93" i="58"/>
  <c r="AN93" i="58"/>
  <c r="L44" i="65"/>
  <c r="L52" i="65" s="1"/>
  <c r="AA12" i="58" s="1"/>
  <c r="L45" i="65"/>
  <c r="L53" i="65" s="1"/>
  <c r="AO12" i="58" s="1"/>
  <c r="L51" i="65"/>
  <c r="N13" i="65"/>
  <c r="M43" i="65"/>
  <c r="M16" i="65"/>
  <c r="M12" i="58" s="1"/>
  <c r="L61" i="65"/>
  <c r="L69" i="65" s="1"/>
  <c r="AA50" i="58" s="1"/>
  <c r="L62" i="65"/>
  <c r="L70" i="65" s="1"/>
  <c r="AO50" i="58" s="1"/>
  <c r="L68" i="65"/>
  <c r="AR54" i="58" l="1"/>
  <c r="O97" i="58"/>
  <c r="K62" i="58"/>
  <c r="K63" i="58" s="1"/>
  <c r="K65" i="58" s="1"/>
  <c r="K70" i="58" s="1"/>
  <c r="K82" i="58" s="1"/>
  <c r="E409" i="78"/>
  <c r="K96" i="58"/>
  <c r="E381" i="78"/>
  <c r="AC24" i="58"/>
  <c r="AD16" i="58"/>
  <c r="AD97" i="58" s="1"/>
  <c r="AR16" i="58"/>
  <c r="AR97" i="58" s="1"/>
  <c r="P16" i="58"/>
  <c r="AE16" i="58" s="1"/>
  <c r="O24" i="58"/>
  <c r="AR24" i="58" s="1"/>
  <c r="P24" i="58"/>
  <c r="AE24" i="58" s="1"/>
  <c r="P54" i="58"/>
  <c r="Z15" i="58"/>
  <c r="AN15" i="58"/>
  <c r="AN53" i="58"/>
  <c r="AN63" i="58" s="1"/>
  <c r="AN65" i="58" s="1"/>
  <c r="AN70" i="58" s="1"/>
  <c r="O66" i="58"/>
  <c r="Z53" i="58"/>
  <c r="Z63" i="58" s="1"/>
  <c r="Z65" i="58" s="1"/>
  <c r="Z70" i="58" s="1"/>
  <c r="K20" i="58"/>
  <c r="K21" i="58" s="1"/>
  <c r="K23" i="58" s="1"/>
  <c r="K26" i="58" s="1"/>
  <c r="K38" i="58" s="1"/>
  <c r="AC66" i="58"/>
  <c r="AQ66" i="58"/>
  <c r="AQ109" i="58" s="1"/>
  <c r="AU62" i="58"/>
  <c r="AX62" i="58" s="1"/>
  <c r="O26" i="96"/>
  <c r="O27" i="96" s="1"/>
  <c r="O12" i="96"/>
  <c r="O13" i="96" s="1"/>
  <c r="O35" i="75"/>
  <c r="O49" i="75" s="1"/>
  <c r="O73" i="75" s="1"/>
  <c r="L21" i="58"/>
  <c r="L23" i="58" s="1"/>
  <c r="L26" i="58" s="1"/>
  <c r="AO15" i="58"/>
  <c r="AO21" i="58" s="1"/>
  <c r="AO23" i="58" s="1"/>
  <c r="AO26" i="58" s="1"/>
  <c r="AA15" i="58"/>
  <c r="AA21" i="58" s="1"/>
  <c r="AA23" i="58" s="1"/>
  <c r="AA26" i="58" s="1"/>
  <c r="N73" i="75"/>
  <c r="O13" i="65"/>
  <c r="N43" i="65"/>
  <c r="N16" i="65"/>
  <c r="N12" i="58" s="1"/>
  <c r="AO93" i="58"/>
  <c r="AA93" i="58"/>
  <c r="P41" i="65"/>
  <c r="P40" i="65"/>
  <c r="F66" i="61"/>
  <c r="M93" i="58"/>
  <c r="P57" i="65"/>
  <c r="P58" i="65"/>
  <c r="N60" i="65"/>
  <c r="O26" i="65"/>
  <c r="N29" i="65"/>
  <c r="N50" i="58" s="1"/>
  <c r="G85" i="61" s="1"/>
  <c r="M45" i="65"/>
  <c r="M53" i="65" s="1"/>
  <c r="AP12" i="58" s="1"/>
  <c r="M44" i="65"/>
  <c r="M52" i="65" s="1"/>
  <c r="AB12" i="58" s="1"/>
  <c r="M51" i="65"/>
  <c r="M61" i="65"/>
  <c r="M69" i="65" s="1"/>
  <c r="AB50" i="58" s="1"/>
  <c r="M62" i="65"/>
  <c r="M70" i="65" s="1"/>
  <c r="AP50" i="58" s="1"/>
  <c r="M68" i="65"/>
  <c r="Z82" i="58" l="1"/>
  <c r="Z84" i="58" s="1"/>
  <c r="AN82" i="58"/>
  <c r="AN84" i="58" s="1"/>
  <c r="AD24" i="58"/>
  <c r="P97" i="58"/>
  <c r="AU97" i="58" s="1"/>
  <c r="O109" i="58"/>
  <c r="AC109" i="58"/>
  <c r="AS16" i="58"/>
  <c r="AE54" i="58"/>
  <c r="AV54" i="58" s="1"/>
  <c r="K105" i="58"/>
  <c r="AU105" i="58" s="1"/>
  <c r="AU20" i="58"/>
  <c r="AN96" i="58"/>
  <c r="H381" i="78"/>
  <c r="J381" i="78" s="1"/>
  <c r="J386" i="78" s="1"/>
  <c r="J388" i="78" s="1"/>
  <c r="J392" i="78" s="1"/>
  <c r="J397" i="78" s="1"/>
  <c r="E386" i="78"/>
  <c r="E388" i="78" s="1"/>
  <c r="E392" i="78" s="1"/>
  <c r="E397" i="78" s="1"/>
  <c r="Z96" i="58"/>
  <c r="J409" i="78"/>
  <c r="J418" i="78" s="1"/>
  <c r="J420" i="78" s="1"/>
  <c r="J426" i="78" s="1"/>
  <c r="J431" i="78" s="1"/>
  <c r="E418" i="78"/>
  <c r="E420" i="78" s="1"/>
  <c r="E426" i="78" s="1"/>
  <c r="E431" i="78" s="1"/>
  <c r="AU16" i="58"/>
  <c r="AU54" i="58"/>
  <c r="AS54" i="58"/>
  <c r="AW54" i="58" s="1"/>
  <c r="AS24" i="58"/>
  <c r="AW24" i="58" s="1"/>
  <c r="AU24" i="58"/>
  <c r="AE97" i="58"/>
  <c r="AV97" i="58" s="1"/>
  <c r="K130" i="58"/>
  <c r="K40" i="58"/>
  <c r="K136" i="58" s="1"/>
  <c r="K138" i="58" s="1"/>
  <c r="Z20" i="58"/>
  <c r="AV20" i="58" s="1"/>
  <c r="AR66" i="58"/>
  <c r="AR109" i="58" s="1"/>
  <c r="AD66" i="58"/>
  <c r="AD109" i="58" s="1"/>
  <c r="AN20" i="58"/>
  <c r="AN105" i="58" s="1"/>
  <c r="P66" i="58"/>
  <c r="P109" i="58" s="1"/>
  <c r="AU109" i="58" s="1"/>
  <c r="AO38" i="58"/>
  <c r="K84" i="58"/>
  <c r="L38" i="58"/>
  <c r="L40" i="58" s="1"/>
  <c r="M35" i="58" s="1"/>
  <c r="AA38" i="58"/>
  <c r="Z146" i="58"/>
  <c r="Z148" i="58" s="1"/>
  <c r="AP93" i="58"/>
  <c r="O60" i="65"/>
  <c r="P26" i="65"/>
  <c r="O29" i="65"/>
  <c r="O50" i="58" s="1"/>
  <c r="H85" i="61" s="1"/>
  <c r="AB93" i="58"/>
  <c r="N44" i="65"/>
  <c r="N52" i="65" s="1"/>
  <c r="AC12" i="58" s="1"/>
  <c r="N45" i="65"/>
  <c r="N53" i="65" s="1"/>
  <c r="AQ12" i="58" s="1"/>
  <c r="N51" i="65"/>
  <c r="O43" i="65"/>
  <c r="P13" i="65"/>
  <c r="O16" i="65"/>
  <c r="O12" i="58" s="1"/>
  <c r="AV16" i="58"/>
  <c r="AW16" i="58"/>
  <c r="N61" i="65"/>
  <c r="N69" i="65" s="1"/>
  <c r="AC50" i="58" s="1"/>
  <c r="N62" i="65"/>
  <c r="N70" i="65" s="1"/>
  <c r="AQ50" i="58" s="1"/>
  <c r="N68" i="65"/>
  <c r="AV24" i="58"/>
  <c r="G66" i="61"/>
  <c r="N93" i="58"/>
  <c r="AN146" i="58" l="1"/>
  <c r="AN148" i="58" s="1"/>
  <c r="AN149" i="58" s="1"/>
  <c r="AN151" i="58" s="1"/>
  <c r="K106" i="58"/>
  <c r="K108" i="58" s="1"/>
  <c r="K113" i="58" s="1"/>
  <c r="K125" i="58" s="1"/>
  <c r="K131" i="58" s="1"/>
  <c r="AX54" i="58"/>
  <c r="K146" i="58"/>
  <c r="K148" i="58" s="1"/>
  <c r="L145" i="58" s="1"/>
  <c r="L148" i="58" s="1"/>
  <c r="M145" i="58" s="1"/>
  <c r="M147" i="58" s="1"/>
  <c r="M148" i="58" s="1"/>
  <c r="M149" i="58" s="1"/>
  <c r="M151" i="58" s="1"/>
  <c r="K431" i="78"/>
  <c r="AS97" i="58"/>
  <c r="AW97" i="58" s="1"/>
  <c r="AX97" i="58" s="1"/>
  <c r="K397" i="78"/>
  <c r="AN21" i="58"/>
  <c r="AN23" i="58" s="1"/>
  <c r="AN26" i="58" s="1"/>
  <c r="AW20" i="58"/>
  <c r="AX20" i="58" s="1"/>
  <c r="M71" i="58" a="1"/>
  <c r="M72" i="58" s="1"/>
  <c r="AU72" i="58" s="1"/>
  <c r="M27" i="58" a="1"/>
  <c r="M27" i="58" s="1"/>
  <c r="AA130" i="58"/>
  <c r="Z21" i="58"/>
  <c r="Z23" i="58" s="1"/>
  <c r="Z26" i="58" s="1"/>
  <c r="Z105" i="58"/>
  <c r="AV105" i="58" s="1"/>
  <c r="AU66" i="58"/>
  <c r="AE66" i="58"/>
  <c r="AS66" i="58"/>
  <c r="AO40" i="58"/>
  <c r="AO130" i="58"/>
  <c r="AO145" i="58"/>
  <c r="AO148" i="58" s="1"/>
  <c r="AP145" i="58" s="1"/>
  <c r="AP147" i="58" s="1"/>
  <c r="AP148" i="58" s="1"/>
  <c r="AP149" i="58" s="1"/>
  <c r="AP151" i="58" s="1"/>
  <c r="L130" i="58"/>
  <c r="Z149" i="58"/>
  <c r="Z151" i="58" s="1"/>
  <c r="AA145" i="58"/>
  <c r="AA148" i="58" s="1"/>
  <c r="AB145" i="58" s="1"/>
  <c r="AB147" i="58" s="1"/>
  <c r="AB148" i="58" s="1"/>
  <c r="AB149" i="58" s="1"/>
  <c r="AB151" i="58" s="1"/>
  <c r="AA40" i="58"/>
  <c r="AX16" i="58"/>
  <c r="AC93" i="58"/>
  <c r="AX24" i="58"/>
  <c r="O44" i="65"/>
  <c r="O52" i="65" s="1"/>
  <c r="AD12" i="58" s="1"/>
  <c r="O45" i="65"/>
  <c r="O53" i="65" s="1"/>
  <c r="AR12" i="58" s="1"/>
  <c r="O51" i="65"/>
  <c r="O62" i="65"/>
  <c r="O70" i="65" s="1"/>
  <c r="AR50" i="58" s="1"/>
  <c r="O61" i="65"/>
  <c r="O69" i="65" s="1"/>
  <c r="AD50" i="58" s="1"/>
  <c r="O68" i="65"/>
  <c r="AU35" i="58"/>
  <c r="AB35" i="58"/>
  <c r="AV35" i="58" s="1"/>
  <c r="P60" i="65"/>
  <c r="P29" i="65"/>
  <c r="P50" i="58" s="1"/>
  <c r="I85" i="61" s="1"/>
  <c r="AW105" i="58"/>
  <c r="AN106" i="58"/>
  <c r="AN108" i="58" s="1"/>
  <c r="AN113" i="58" s="1"/>
  <c r="AN125" i="58" s="1"/>
  <c r="L135" i="58"/>
  <c r="K139" i="58"/>
  <c r="K141" i="58" s="1"/>
  <c r="P43" i="65"/>
  <c r="P16" i="65"/>
  <c r="P12" i="58" s="1"/>
  <c r="H66" i="61"/>
  <c r="O93" i="58"/>
  <c r="AQ93" i="58"/>
  <c r="Z38" i="58" l="1"/>
  <c r="Z40" i="58" s="1"/>
  <c r="K128" i="58"/>
  <c r="K127" i="58"/>
  <c r="K149" i="58"/>
  <c r="K151" i="58" s="1"/>
  <c r="Z106" i="58"/>
  <c r="Z108" i="58" s="1"/>
  <c r="Z113" i="58" s="1"/>
  <c r="Z125" i="58" s="1"/>
  <c r="Z131" i="58" s="1"/>
  <c r="AN38" i="58"/>
  <c r="AN40" i="58" s="1"/>
  <c r="M29" i="58"/>
  <c r="AB29" i="58" s="1"/>
  <c r="AV29" i="58" s="1"/>
  <c r="M73" i="58"/>
  <c r="AB73" i="58" s="1"/>
  <c r="AV73" i="58" s="1"/>
  <c r="M76" i="58"/>
  <c r="AB76" i="58" s="1"/>
  <c r="AV76" i="58" s="1"/>
  <c r="M75" i="58"/>
  <c r="AU75" i="58" s="1"/>
  <c r="M74" i="58"/>
  <c r="AU74" i="58" s="1"/>
  <c r="AO149" i="58"/>
  <c r="AO151" i="58" s="1"/>
  <c r="AQ151" i="58" s="1"/>
  <c r="M31" i="58"/>
  <c r="AU31" i="58" s="1"/>
  <c r="M77" i="58"/>
  <c r="AB77" i="58" s="1"/>
  <c r="AV77" i="58" s="1"/>
  <c r="M32" i="58"/>
  <c r="AU32" i="58" s="1"/>
  <c r="M33" i="58"/>
  <c r="AB33" i="58" s="1"/>
  <c r="AV33" i="58" s="1"/>
  <c r="M71" i="58"/>
  <c r="AB71" i="58" s="1"/>
  <c r="AV71" i="58" s="1"/>
  <c r="AW66" i="58"/>
  <c r="AS109" i="58"/>
  <c r="AW109" i="58" s="1"/>
  <c r="Z130" i="58"/>
  <c r="M30" i="58"/>
  <c r="AU30" i="58" s="1"/>
  <c r="AV66" i="58"/>
  <c r="AE109" i="58"/>
  <c r="AV109" i="58" s="1"/>
  <c r="M28" i="58"/>
  <c r="AB28" i="58" s="1"/>
  <c r="AV28" i="58" s="1"/>
  <c r="AB72" i="58"/>
  <c r="AV72" i="58" s="1"/>
  <c r="AX72" i="58" s="1"/>
  <c r="AA149" i="58"/>
  <c r="AA151" i="58" s="1"/>
  <c r="AC151" i="58" s="1"/>
  <c r="AX105" i="58"/>
  <c r="L149" i="58"/>
  <c r="L151" i="58" s="1"/>
  <c r="AX35" i="58"/>
  <c r="P62" i="65"/>
  <c r="P70" i="65" s="1"/>
  <c r="AS50" i="58" s="1"/>
  <c r="AW50" i="58" s="1"/>
  <c r="P61" i="65"/>
  <c r="P69" i="65" s="1"/>
  <c r="AE50" i="58" s="1"/>
  <c r="AV50" i="58" s="1"/>
  <c r="P68" i="65"/>
  <c r="L138" i="58"/>
  <c r="M135" i="58" s="1"/>
  <c r="M137" i="58" s="1"/>
  <c r="M138" i="58" s="1"/>
  <c r="M139" i="58" s="1"/>
  <c r="M141" i="58" s="1"/>
  <c r="Z136" i="58"/>
  <c r="Z138" i="58" s="1"/>
  <c r="AU12" i="58"/>
  <c r="I66" i="61"/>
  <c r="P93" i="58"/>
  <c r="AU93" i="58" s="1"/>
  <c r="AR93" i="58"/>
  <c r="AD93" i="58"/>
  <c r="M114" i="58" a="1"/>
  <c r="K132" i="58"/>
  <c r="AU50" i="58"/>
  <c r="AN127" i="58"/>
  <c r="AN156" i="58" s="1"/>
  <c r="AN158" i="58" s="1"/>
  <c r="AN128" i="58"/>
  <c r="P45" i="65"/>
  <c r="P53" i="65" s="1"/>
  <c r="AS12" i="58" s="1"/>
  <c r="P44" i="65"/>
  <c r="P52" i="65" s="1"/>
  <c r="AE12" i="58" s="1"/>
  <c r="P51" i="65"/>
  <c r="AU27" i="58"/>
  <c r="AB27" i="58"/>
  <c r="AV27" i="58" s="1"/>
  <c r="AN131" i="58" l="1"/>
  <c r="AU29" i="58"/>
  <c r="Z127" i="58"/>
  <c r="Z156" i="58" s="1"/>
  <c r="Z158" i="58" s="1"/>
  <c r="N151" i="58"/>
  <c r="M78" i="58" s="1"/>
  <c r="AB78" i="58" s="1"/>
  <c r="AV78" i="58" s="1"/>
  <c r="K156" i="58"/>
  <c r="K158" i="58" s="1"/>
  <c r="L155" i="58" s="1"/>
  <c r="Z128" i="58"/>
  <c r="AN136" i="58"/>
  <c r="AN138" i="58" s="1"/>
  <c r="AO135" i="58" s="1"/>
  <c r="AN130" i="58"/>
  <c r="AU73" i="58"/>
  <c r="AX73" i="58" s="1"/>
  <c r="AU71" i="58"/>
  <c r="AX71" i="58" s="1"/>
  <c r="AB74" i="58"/>
  <c r="AV74" i="58" s="1"/>
  <c r="AX74" i="58" s="1"/>
  <c r="AB75" i="58"/>
  <c r="AV75" i="58" s="1"/>
  <c r="AX75" i="58" s="1"/>
  <c r="AU76" i="58"/>
  <c r="AX76" i="58" s="1"/>
  <c r="AB31" i="58"/>
  <c r="AV31" i="58" s="1"/>
  <c r="AX31" i="58" s="1"/>
  <c r="AU33" i="58"/>
  <c r="AX33" i="58" s="1"/>
  <c r="AB32" i="58"/>
  <c r="AV32" i="58" s="1"/>
  <c r="AX32" i="58" s="1"/>
  <c r="AU77" i="58"/>
  <c r="AX77" i="58" s="1"/>
  <c r="AU28" i="58"/>
  <c r="AX28" i="58" s="1"/>
  <c r="AB30" i="58"/>
  <c r="AV30" i="58" s="1"/>
  <c r="AX30" i="58" s="1"/>
  <c r="AX109" i="58"/>
  <c r="AX66" i="58"/>
  <c r="AX29" i="58"/>
  <c r="AX50" i="58"/>
  <c r="AX27" i="58"/>
  <c r="AB120" i="58"/>
  <c r="AV120" i="58" s="1"/>
  <c r="AO155" i="58"/>
  <c r="AN159" i="58"/>
  <c r="AN161" i="58" s="1"/>
  <c r="AN132" i="58"/>
  <c r="L139" i="58"/>
  <c r="L141" i="58" s="1"/>
  <c r="N141" i="58" s="1"/>
  <c r="AB114" i="58"/>
  <c r="AV114" i="58" s="1"/>
  <c r="AA155" i="58"/>
  <c r="Z159" i="58"/>
  <c r="Z161" i="58" s="1"/>
  <c r="AE93" i="58"/>
  <c r="AV93" i="58" s="1"/>
  <c r="AV12" i="58"/>
  <c r="AB115" i="58"/>
  <c r="AV115" i="58" s="1"/>
  <c r="AS93" i="58"/>
  <c r="AW93" i="58" s="1"/>
  <c r="AW12" i="58"/>
  <c r="M114" i="58"/>
  <c r="AU114" i="58" s="1"/>
  <c r="M119" i="58"/>
  <c r="AU119" i="58" s="1"/>
  <c r="M115" i="58"/>
  <c r="AU115" i="58" s="1"/>
  <c r="M116" i="58"/>
  <c r="AU116" i="58" s="1"/>
  <c r="M117" i="58"/>
  <c r="AU117" i="58" s="1"/>
  <c r="M120" i="58"/>
  <c r="AU120" i="58" s="1"/>
  <c r="M118" i="58"/>
  <c r="AU118" i="58" s="1"/>
  <c r="Z132" i="58"/>
  <c r="Z139" i="58"/>
  <c r="Z141" i="58" s="1"/>
  <c r="AA135" i="58"/>
  <c r="AB116" i="58"/>
  <c r="AV116" i="58" s="1"/>
  <c r="K159" i="58" l="1"/>
  <c r="K161" i="58" s="1"/>
  <c r="AN139" i="58"/>
  <c r="AN141" i="58" s="1"/>
  <c r="AB118" i="58"/>
  <c r="AV118" i="58" s="1"/>
  <c r="AX118" i="58" s="1"/>
  <c r="AB119" i="58"/>
  <c r="AV119" i="58" s="1"/>
  <c r="AX119" i="58" s="1"/>
  <c r="AB117" i="58"/>
  <c r="AV117" i="58" s="1"/>
  <c r="AX117" i="58" s="1"/>
  <c r="M34" i="58"/>
  <c r="AB34" i="58" s="1"/>
  <c r="AU78" i="58"/>
  <c r="AX78" i="58" s="1"/>
  <c r="AX120" i="58"/>
  <c r="AX12" i="58"/>
  <c r="AX93" i="58"/>
  <c r="AX115" i="58"/>
  <c r="AX114" i="58"/>
  <c r="AA158" i="58"/>
  <c r="AB155" i="58" s="1"/>
  <c r="AB157" i="58" s="1"/>
  <c r="AB158" i="58" s="1"/>
  <c r="AB159" i="58" s="1"/>
  <c r="AB161" i="58" s="1"/>
  <c r="AA138" i="58"/>
  <c r="AB135" i="58" s="1"/>
  <c r="AB137" i="58" s="1"/>
  <c r="AB138" i="58" s="1"/>
  <c r="AB139" i="58" s="1"/>
  <c r="AB141" i="58" s="1"/>
  <c r="AO158" i="58"/>
  <c r="AP155" i="58" s="1"/>
  <c r="AP157" i="58" s="1"/>
  <c r="AP158" i="58" s="1"/>
  <c r="AP159" i="58" s="1"/>
  <c r="AP161" i="58" s="1"/>
  <c r="AO138" i="58"/>
  <c r="AP135" i="58" s="1"/>
  <c r="AP137" i="58" s="1"/>
  <c r="AP138" i="58" s="1"/>
  <c r="AP139" i="58" s="1"/>
  <c r="AP141" i="58" s="1"/>
  <c r="D7" i="178"/>
  <c r="L158" i="58"/>
  <c r="M155" i="58" s="1"/>
  <c r="M157" i="58" s="1"/>
  <c r="M158" i="58" s="1"/>
  <c r="M159" i="58" s="1"/>
  <c r="M161" i="58" s="1"/>
  <c r="AX116" i="58"/>
  <c r="AU34" i="58" l="1"/>
  <c r="AA139" i="58"/>
  <c r="AA141" i="58" s="1"/>
  <c r="AC141" i="58" s="1"/>
  <c r="AO159" i="58"/>
  <c r="AO161" i="58" s="1"/>
  <c r="AQ161" i="58" s="1"/>
  <c r="AA159" i="58"/>
  <c r="AA161" i="58" s="1"/>
  <c r="AC161" i="58" s="1"/>
  <c r="D35" i="178"/>
  <c r="AV34" i="58"/>
  <c r="AB121" i="58"/>
  <c r="AV121" i="58" s="1"/>
  <c r="K7" i="178"/>
  <c r="AO139" i="58"/>
  <c r="AO141" i="58" s="1"/>
  <c r="AQ141" i="58" s="1"/>
  <c r="L159" i="58"/>
  <c r="L161" i="58" s="1"/>
  <c r="N161" i="58" s="1"/>
  <c r="M121" i="58" s="1"/>
  <c r="AX34" i="58" l="1"/>
  <c r="AU121" i="58"/>
  <c r="K35" i="178"/>
  <c r="W35" i="178" s="1"/>
  <c r="K104" i="178"/>
  <c r="W7" i="178"/>
  <c r="AX121" i="58"/>
  <c r="M105" i="178" l="1"/>
  <c r="N105" i="178"/>
  <c r="L105" i="178"/>
  <c r="K105" i="178"/>
  <c r="K78" i="178" s="1"/>
  <c r="K106" i="178" l="1"/>
  <c r="L104" i="178" s="1"/>
  <c r="L106" i="178" s="1"/>
  <c r="M104" i="178" s="1"/>
  <c r="M106" i="178" s="1"/>
  <c r="N104" i="178" s="1"/>
  <c r="N106" i="178" s="1"/>
  <c r="D78" i="178"/>
  <c r="L78" i="178"/>
  <c r="K108" i="178"/>
  <c r="K79" i="178" s="1"/>
  <c r="D79" i="178" s="1"/>
  <c r="M108" i="178"/>
  <c r="M79" i="178" s="1"/>
  <c r="F79" i="178" s="1"/>
  <c r="N78" i="178"/>
  <c r="M78" i="178"/>
  <c r="L108" i="178"/>
  <c r="L79" i="178" s="1"/>
  <c r="E79" i="178" s="1"/>
  <c r="N56" i="178" l="1"/>
  <c r="G78" i="178"/>
  <c r="G56" i="178" s="1"/>
  <c r="F78" i="178"/>
  <c r="F56" i="178" s="1"/>
  <c r="M56" i="178"/>
  <c r="E78" i="178"/>
  <c r="E56" i="178" s="1"/>
  <c r="L56" i="178"/>
  <c r="D56" i="178"/>
  <c r="K56" i="178"/>
  <c r="W56" i="178" l="1"/>
  <c r="R86" i="178"/>
  <c r="R94" i="178" s="1"/>
  <c r="R114" i="178"/>
  <c r="S112" i="178" s="1"/>
  <c r="S114" i="178" s="1"/>
  <c r="T112" i="178" s="1"/>
  <c r="T114" i="178" s="1"/>
  <c r="U112" i="178" s="1"/>
  <c r="U113" i="178" s="1"/>
  <c r="S86" i="178"/>
  <c r="S94" i="178" s="1"/>
  <c r="T86" i="178"/>
  <c r="T94" i="178" l="1"/>
  <c r="U86" i="178"/>
  <c r="U62" i="178" s="1"/>
  <c r="U68" i="178" s="1"/>
  <c r="U114" i="178"/>
  <c r="R116" i="178"/>
  <c r="R87" i="178" s="1"/>
  <c r="S116" i="178"/>
  <c r="S87" i="178" s="1"/>
  <c r="T116" i="178"/>
  <c r="T87" i="178" s="1"/>
  <c r="U94" i="178" l="1"/>
  <c r="T95" i="178"/>
  <c r="T62" i="178"/>
  <c r="T68" i="178" s="1"/>
  <c r="R95" i="178"/>
  <c r="R62" i="178"/>
  <c r="R68" i="178" s="1"/>
  <c r="S95" i="178"/>
  <c r="S62" i="178"/>
  <c r="S68" i="178" s="1"/>
  <c r="D48" i="136"/>
  <c r="E40" i="136" s="1"/>
  <c r="E37" i="136" s="1"/>
  <c r="E38" i="136" s="1"/>
  <c r="E39" i="136" s="1"/>
  <c r="E48" i="136"/>
  <c r="F40" i="136" s="1"/>
  <c r="F37" i="136" s="1"/>
  <c r="F38" i="136" s="1"/>
  <c r="F39" i="136" s="1"/>
  <c r="F48" i="136"/>
  <c r="G40" i="136" s="1"/>
  <c r="G37" i="136" s="1"/>
  <c r="G38" i="136" s="1"/>
  <c r="G39" i="136" s="1"/>
  <c r="J27" i="140" l="1"/>
  <c r="G18" i="136" s="1"/>
  <c r="J28" i="140"/>
  <c r="G19" i="136" s="1"/>
  <c r="J24" i="140"/>
  <c r="J26" i="140"/>
  <c r="G17" i="136" s="1"/>
  <c r="J25" i="140"/>
  <c r="G16" i="136" s="1"/>
  <c r="G25" i="140"/>
  <c r="D16" i="136" s="1"/>
  <c r="H16" i="136" s="1"/>
  <c r="K16" i="136" s="1"/>
  <c r="G26" i="140"/>
  <c r="D17" i="136" s="1"/>
  <c r="G24" i="140"/>
  <c r="G27" i="140"/>
  <c r="D18" i="136" s="1"/>
  <c r="H18" i="136" s="1"/>
  <c r="K18" i="136" s="1"/>
  <c r="G28" i="140"/>
  <c r="D19" i="136" s="1"/>
  <c r="H19" i="136" s="1"/>
  <c r="K19" i="136" s="1"/>
  <c r="G48" i="136"/>
  <c r="H17" i="136" l="1"/>
  <c r="K17" i="136" s="1"/>
  <c r="D15" i="136"/>
  <c r="G30" i="140"/>
  <c r="G15" i="136"/>
  <c r="G22" i="136" s="1"/>
  <c r="J30" i="140"/>
  <c r="H15" i="136" l="1"/>
  <c r="D22" i="136"/>
  <c r="K15" i="136" l="1"/>
  <c r="K22" i="136" s="1"/>
  <c r="H22" i="136"/>
  <c r="M15" i="58"/>
  <c r="N15" i="58"/>
  <c r="O15" i="58"/>
  <c r="P15" i="58"/>
  <c r="AB15" i="58"/>
  <c r="AC15" i="58"/>
  <c r="AD15" i="58"/>
  <c r="AE15" i="58"/>
  <c r="AP15" i="58"/>
  <c r="AQ15" i="58"/>
  <c r="AR15" i="58"/>
  <c r="AS15" i="58"/>
  <c r="AU15" i="58"/>
  <c r="AV15" i="58"/>
  <c r="AW15" i="58"/>
  <c r="AX15" i="58"/>
  <c r="M21" i="58"/>
  <c r="N21" i="58"/>
  <c r="O21" i="58"/>
  <c r="P21" i="58"/>
  <c r="AB21" i="58"/>
  <c r="AC21" i="58"/>
  <c r="AD21" i="58"/>
  <c r="AE21" i="58"/>
  <c r="AP21" i="58"/>
  <c r="AQ21" i="58"/>
  <c r="AR21" i="58"/>
  <c r="AS21" i="58"/>
  <c r="AU21" i="58"/>
  <c r="AV21" i="58"/>
  <c r="AW21" i="58"/>
  <c r="AX21" i="58"/>
  <c r="M23" i="58"/>
  <c r="N23" i="58"/>
  <c r="O23" i="58"/>
  <c r="P23" i="58"/>
  <c r="AB23" i="58"/>
  <c r="AC23" i="58"/>
  <c r="AD23" i="58"/>
  <c r="AE23" i="58"/>
  <c r="AP23" i="58"/>
  <c r="AQ23" i="58"/>
  <c r="AR23" i="58"/>
  <c r="AS23" i="58"/>
  <c r="AU23" i="58"/>
  <c r="AV23" i="58"/>
  <c r="AW23" i="58"/>
  <c r="AX23" i="58"/>
  <c r="M26" i="58"/>
  <c r="N26" i="58"/>
  <c r="O26" i="58"/>
  <c r="P26" i="58"/>
  <c r="AB26" i="58"/>
  <c r="AC26" i="58"/>
  <c r="AD26" i="58"/>
  <c r="AE26" i="58"/>
  <c r="AP26" i="58"/>
  <c r="AQ26" i="58"/>
  <c r="AR26" i="58"/>
  <c r="AS26" i="58"/>
  <c r="AU26" i="58"/>
  <c r="AV26" i="58"/>
  <c r="AW26" i="58"/>
  <c r="AX26" i="58"/>
  <c r="M38" i="58"/>
  <c r="N38" i="58"/>
  <c r="O38" i="58"/>
  <c r="P38" i="58"/>
  <c r="AB38" i="58"/>
  <c r="AC38" i="58"/>
  <c r="AD38" i="58"/>
  <c r="AE38" i="58"/>
  <c r="AP38" i="58"/>
  <c r="AQ38" i="58"/>
  <c r="AR38" i="58"/>
  <c r="AS38" i="58"/>
  <c r="AU38" i="58"/>
  <c r="AV38" i="58"/>
  <c r="AW38" i="58"/>
  <c r="AX38" i="58"/>
  <c r="M40" i="58"/>
  <c r="N40" i="58"/>
  <c r="O40" i="58"/>
  <c r="P40" i="58"/>
  <c r="AB40" i="58"/>
  <c r="AC40" i="58"/>
  <c r="AD40" i="58"/>
  <c r="AE40" i="58"/>
  <c r="AP40" i="58"/>
  <c r="AQ40" i="58"/>
  <c r="AR40" i="58"/>
  <c r="AS40" i="58"/>
  <c r="L49" i="58"/>
  <c r="M49" i="58"/>
  <c r="N49" i="58"/>
  <c r="O49" i="58"/>
  <c r="P49" i="58"/>
  <c r="AA49" i="58"/>
  <c r="AB49" i="58"/>
  <c r="AC49" i="58"/>
  <c r="AD49" i="58"/>
  <c r="AE49" i="58"/>
  <c r="AO49" i="58"/>
  <c r="AP49" i="58"/>
  <c r="AQ49" i="58"/>
  <c r="AR49" i="58"/>
  <c r="AS49" i="58"/>
  <c r="AU49" i="58"/>
  <c r="AV49" i="58"/>
  <c r="AW49" i="58"/>
  <c r="AX49" i="58"/>
  <c r="L53" i="58"/>
  <c r="M53" i="58"/>
  <c r="N53" i="58"/>
  <c r="O53" i="58"/>
  <c r="P53" i="58"/>
  <c r="AA53" i="58"/>
  <c r="AB53" i="58"/>
  <c r="AC53" i="58"/>
  <c r="AD53" i="58"/>
  <c r="AE53" i="58"/>
  <c r="AO53" i="58"/>
  <c r="AP53" i="58"/>
  <c r="AQ53" i="58"/>
  <c r="AR53" i="58"/>
  <c r="AS53" i="58"/>
  <c r="AU53" i="58"/>
  <c r="AV53" i="58"/>
  <c r="AW53" i="58"/>
  <c r="AX53" i="58"/>
  <c r="M60" i="58"/>
  <c r="N60" i="58"/>
  <c r="O60" i="58"/>
  <c r="P60" i="58"/>
  <c r="AB60" i="58"/>
  <c r="AC60" i="58"/>
  <c r="AD60" i="58"/>
  <c r="AE60" i="58"/>
  <c r="AP60" i="58"/>
  <c r="AQ60" i="58"/>
  <c r="AR60" i="58"/>
  <c r="AS60" i="58"/>
  <c r="AU60" i="58"/>
  <c r="AV60" i="58"/>
  <c r="AW60" i="58"/>
  <c r="AX60" i="58"/>
  <c r="L63" i="58"/>
  <c r="M63" i="58"/>
  <c r="N63" i="58"/>
  <c r="O63" i="58"/>
  <c r="P63" i="58"/>
  <c r="AA63" i="58"/>
  <c r="AB63" i="58"/>
  <c r="AC63" i="58"/>
  <c r="AD63" i="58"/>
  <c r="AE63" i="58"/>
  <c r="AO63" i="58"/>
  <c r="AP63" i="58"/>
  <c r="AQ63" i="58"/>
  <c r="AR63" i="58"/>
  <c r="AS63" i="58"/>
  <c r="AU63" i="58"/>
  <c r="AV63" i="58"/>
  <c r="AW63" i="58"/>
  <c r="AX63" i="58"/>
  <c r="L65" i="58"/>
  <c r="M65" i="58"/>
  <c r="N65" i="58"/>
  <c r="O65" i="58"/>
  <c r="P65" i="58"/>
  <c r="AA65" i="58"/>
  <c r="AB65" i="58"/>
  <c r="AC65" i="58"/>
  <c r="AD65" i="58"/>
  <c r="AE65" i="58"/>
  <c r="AO65" i="58"/>
  <c r="AP65" i="58"/>
  <c r="AQ65" i="58"/>
  <c r="AR65" i="58"/>
  <c r="AS65" i="58"/>
  <c r="AU65" i="58"/>
  <c r="AV65" i="58"/>
  <c r="AW65" i="58"/>
  <c r="AX65" i="58"/>
  <c r="L70" i="58"/>
  <c r="M70" i="58"/>
  <c r="N70" i="58"/>
  <c r="O70" i="58"/>
  <c r="P70" i="58"/>
  <c r="AA70" i="58"/>
  <c r="AB70" i="58"/>
  <c r="AC70" i="58"/>
  <c r="AD70" i="58"/>
  <c r="AE70" i="58"/>
  <c r="AO70" i="58"/>
  <c r="AP70" i="58"/>
  <c r="AQ70" i="58"/>
  <c r="AR70" i="58"/>
  <c r="AS70" i="58"/>
  <c r="AU70" i="58"/>
  <c r="AV70" i="58"/>
  <c r="AW70" i="58"/>
  <c r="AX70" i="58"/>
  <c r="M79" i="58"/>
  <c r="AB79" i="58"/>
  <c r="AU79" i="58"/>
  <c r="AV79" i="58"/>
  <c r="AX79" i="58"/>
  <c r="L82" i="58"/>
  <c r="M82" i="58"/>
  <c r="N82" i="58"/>
  <c r="O82" i="58"/>
  <c r="P82" i="58"/>
  <c r="AA82" i="58"/>
  <c r="AB82" i="58"/>
  <c r="AC82" i="58"/>
  <c r="AD82" i="58"/>
  <c r="AE82" i="58"/>
  <c r="AO82" i="58"/>
  <c r="AP82" i="58"/>
  <c r="AQ82" i="58"/>
  <c r="AR82" i="58"/>
  <c r="AS82" i="58"/>
  <c r="AU82" i="58"/>
  <c r="AV82" i="58"/>
  <c r="AW82" i="58"/>
  <c r="AX82" i="58"/>
  <c r="L84" i="58"/>
  <c r="M84" i="58"/>
  <c r="N84" i="58"/>
  <c r="O84" i="58"/>
  <c r="P84" i="58"/>
  <c r="AA84" i="58"/>
  <c r="AB84" i="58"/>
  <c r="AC84" i="58"/>
  <c r="AD84" i="58"/>
  <c r="AE84" i="58"/>
  <c r="AO84" i="58"/>
  <c r="AP84" i="58"/>
  <c r="AQ84" i="58"/>
  <c r="AR84" i="58"/>
  <c r="AS84" i="58"/>
  <c r="AU84" i="58"/>
  <c r="AV84" i="58"/>
  <c r="AW84" i="58"/>
  <c r="AX84" i="58"/>
  <c r="L92" i="58"/>
  <c r="M92" i="58"/>
  <c r="N92" i="58"/>
  <c r="O92" i="58"/>
  <c r="P92" i="58"/>
  <c r="AA92" i="58"/>
  <c r="AB92" i="58"/>
  <c r="AC92" i="58"/>
  <c r="AD92" i="58"/>
  <c r="AE92" i="58"/>
  <c r="AO92" i="58"/>
  <c r="AP92" i="58"/>
  <c r="AQ92" i="58"/>
  <c r="AR92" i="58"/>
  <c r="AS92" i="58"/>
  <c r="AU92" i="58"/>
  <c r="AV92" i="58"/>
  <c r="AW92" i="58"/>
  <c r="AX92" i="58"/>
  <c r="L96" i="58"/>
  <c r="M96" i="58"/>
  <c r="N96" i="58"/>
  <c r="O96" i="58"/>
  <c r="P96" i="58"/>
  <c r="AA96" i="58"/>
  <c r="AB96" i="58"/>
  <c r="AC96" i="58"/>
  <c r="AD96" i="58"/>
  <c r="AE96" i="58"/>
  <c r="AO96" i="58"/>
  <c r="AP96" i="58"/>
  <c r="AQ96" i="58"/>
  <c r="AR96" i="58"/>
  <c r="AS96" i="58"/>
  <c r="AU96" i="58"/>
  <c r="AV96" i="58"/>
  <c r="AW96" i="58"/>
  <c r="AX96" i="58"/>
  <c r="M103" i="58"/>
  <c r="N103" i="58"/>
  <c r="O103" i="58"/>
  <c r="P103" i="58"/>
  <c r="AB103" i="58"/>
  <c r="AC103" i="58"/>
  <c r="AD103" i="58"/>
  <c r="AE103" i="58"/>
  <c r="AP103" i="58"/>
  <c r="AQ103" i="58"/>
  <c r="AR103" i="58"/>
  <c r="AS103" i="58"/>
  <c r="AU103" i="58"/>
  <c r="AV103" i="58"/>
  <c r="AW103" i="58"/>
  <c r="AX103" i="58"/>
  <c r="L106" i="58"/>
  <c r="M106" i="58"/>
  <c r="N106" i="58"/>
  <c r="O106" i="58"/>
  <c r="P106" i="58"/>
  <c r="AA106" i="58"/>
  <c r="AB106" i="58"/>
  <c r="AC106" i="58"/>
  <c r="AD106" i="58"/>
  <c r="AE106" i="58"/>
  <c r="AO106" i="58"/>
  <c r="AP106" i="58"/>
  <c r="AQ106" i="58"/>
  <c r="AR106" i="58"/>
  <c r="AS106" i="58"/>
  <c r="AU106" i="58"/>
  <c r="AV106" i="58"/>
  <c r="AW106" i="58"/>
  <c r="AX106" i="58"/>
  <c r="L108" i="58"/>
  <c r="M108" i="58"/>
  <c r="N108" i="58"/>
  <c r="O108" i="58"/>
  <c r="P108" i="58"/>
  <c r="AA108" i="58"/>
  <c r="AB108" i="58"/>
  <c r="AC108" i="58"/>
  <c r="AD108" i="58"/>
  <c r="AE108" i="58"/>
  <c r="AO108" i="58"/>
  <c r="AP108" i="58"/>
  <c r="AQ108" i="58"/>
  <c r="AR108" i="58"/>
  <c r="AS108" i="58"/>
  <c r="AU108" i="58"/>
  <c r="AV108" i="58"/>
  <c r="AW108" i="58"/>
  <c r="AX108" i="58"/>
  <c r="L113" i="58"/>
  <c r="M113" i="58"/>
  <c r="N113" i="58"/>
  <c r="O113" i="58"/>
  <c r="P113" i="58"/>
  <c r="AA113" i="58"/>
  <c r="AB113" i="58"/>
  <c r="AC113" i="58"/>
  <c r="AD113" i="58"/>
  <c r="AE113" i="58"/>
  <c r="AO113" i="58"/>
  <c r="AP113" i="58"/>
  <c r="AQ113" i="58"/>
  <c r="AR113" i="58"/>
  <c r="AS113" i="58"/>
  <c r="AU113" i="58"/>
  <c r="AV113" i="58"/>
  <c r="AW113" i="58"/>
  <c r="AX113" i="58"/>
  <c r="M122" i="58"/>
  <c r="AB122" i="58"/>
  <c r="AU122" i="58"/>
  <c r="AV122" i="58"/>
  <c r="AX122" i="58"/>
  <c r="L125" i="58"/>
  <c r="M125" i="58"/>
  <c r="N125" i="58"/>
  <c r="O125" i="58"/>
  <c r="P125" i="58"/>
  <c r="AA125" i="58"/>
  <c r="AB125" i="58"/>
  <c r="AC125" i="58"/>
  <c r="AD125" i="58"/>
  <c r="AE125" i="58"/>
  <c r="AO125" i="58"/>
  <c r="AP125" i="58"/>
  <c r="AQ125" i="58"/>
  <c r="AR125" i="58"/>
  <c r="AS125" i="58"/>
  <c r="AU125" i="58"/>
  <c r="AV125" i="58"/>
  <c r="AW125" i="58"/>
  <c r="AX125" i="58"/>
  <c r="L127" i="58"/>
  <c r="M127" i="58"/>
  <c r="N127" i="58"/>
  <c r="O127" i="58"/>
  <c r="P127" i="58"/>
  <c r="AA127" i="58"/>
  <c r="AB127" i="58"/>
  <c r="AC127" i="58"/>
  <c r="AD127" i="58"/>
  <c r="AE127" i="58"/>
  <c r="AO127" i="58"/>
  <c r="AP127" i="58"/>
  <c r="AQ127" i="58"/>
  <c r="AR127" i="58"/>
  <c r="AS127" i="58"/>
  <c r="AU127" i="58"/>
  <c r="AV127" i="58"/>
  <c r="AW127" i="58"/>
  <c r="AX127" i="58"/>
  <c r="L128" i="58"/>
  <c r="M128" i="58"/>
  <c r="N128" i="58"/>
  <c r="O128" i="58"/>
  <c r="P128" i="58"/>
  <c r="AA128" i="58"/>
  <c r="AB128" i="58"/>
  <c r="AC128" i="58"/>
  <c r="AD128" i="58"/>
  <c r="AE128" i="58"/>
  <c r="AO128" i="58"/>
  <c r="AP128" i="58"/>
  <c r="AQ128" i="58"/>
  <c r="AR128" i="58"/>
  <c r="AS128" i="58"/>
  <c r="M129" i="58"/>
  <c r="N129" i="58"/>
  <c r="O129" i="58"/>
  <c r="P129" i="58"/>
  <c r="AB129" i="58"/>
  <c r="AC129" i="58"/>
  <c r="AD129" i="58"/>
  <c r="AE129" i="58"/>
  <c r="AP129" i="58"/>
  <c r="AQ129" i="58"/>
  <c r="AR129" i="58"/>
  <c r="AS129" i="58"/>
  <c r="M130" i="58"/>
  <c r="N130" i="58"/>
  <c r="O130" i="58"/>
  <c r="P130" i="58"/>
  <c r="AB130" i="58"/>
  <c r="AC130" i="58"/>
  <c r="AD130" i="58"/>
  <c r="AE130" i="58"/>
  <c r="AP130" i="58"/>
  <c r="AQ130" i="58"/>
  <c r="AR130" i="58"/>
  <c r="AS130" i="58"/>
  <c r="L131" i="58"/>
  <c r="M131" i="58"/>
  <c r="N131" i="58"/>
  <c r="O131" i="58"/>
  <c r="P131" i="58"/>
  <c r="AA131" i="58"/>
  <c r="AB131" i="58"/>
  <c r="AC131" i="58"/>
  <c r="AD131" i="58"/>
  <c r="AE131" i="58"/>
  <c r="AO131" i="58"/>
  <c r="AP131" i="58"/>
  <c r="AQ131" i="58"/>
  <c r="AR131" i="58"/>
  <c r="AS131" i="58"/>
  <c r="L132" i="58"/>
  <c r="M132" i="58"/>
  <c r="N132" i="58"/>
  <c r="O132" i="58"/>
  <c r="P132" i="58"/>
  <c r="AA132" i="58"/>
  <c r="AB132" i="58"/>
  <c r="AC132" i="58"/>
  <c r="AD132" i="58"/>
  <c r="AE132" i="58"/>
  <c r="AO132" i="58"/>
  <c r="AP132" i="58"/>
  <c r="AQ132" i="58"/>
  <c r="AR132" i="58"/>
  <c r="AS132" i="58"/>
  <c r="L152" i="151"/>
  <c r="M152" i="151"/>
  <c r="N152" i="151"/>
  <c r="O152" i="151"/>
  <c r="W152" i="151"/>
  <c r="X152" i="151"/>
  <c r="Y152" i="151"/>
  <c r="Z152" i="151"/>
  <c r="C7" i="179"/>
  <c r="D7" i="179"/>
  <c r="H7" i="179"/>
  <c r="I7" i="179"/>
  <c r="K7" i="179"/>
  <c r="L7" i="179"/>
  <c r="M7" i="179"/>
  <c r="N7" i="179"/>
  <c r="P7" i="179"/>
  <c r="C8" i="179"/>
  <c r="D8" i="179"/>
  <c r="H8" i="179"/>
  <c r="I8" i="179"/>
  <c r="K8" i="179"/>
  <c r="L8" i="179"/>
  <c r="M8" i="179"/>
  <c r="N8" i="179"/>
  <c r="P8" i="179"/>
  <c r="C10" i="179"/>
  <c r="D10" i="179"/>
  <c r="H10" i="179"/>
  <c r="I10" i="179"/>
  <c r="K10" i="179"/>
  <c r="L10" i="179"/>
  <c r="M10" i="179"/>
  <c r="N10" i="179"/>
  <c r="P10" i="179"/>
  <c r="T11" i="179"/>
  <c r="U11" i="179"/>
  <c r="V11" i="179"/>
  <c r="T14" i="179"/>
  <c r="U14" i="179"/>
  <c r="V14" i="179"/>
  <c r="W14" i="179"/>
  <c r="C15" i="179"/>
  <c r="D15" i="179"/>
  <c r="H15" i="179"/>
  <c r="I15" i="179"/>
  <c r="K15" i="179"/>
  <c r="L15" i="179"/>
  <c r="M15" i="179"/>
  <c r="N15" i="179"/>
  <c r="P15" i="179"/>
  <c r="T15" i="179"/>
  <c r="U15" i="179"/>
  <c r="V15" i="179"/>
  <c r="C16" i="179"/>
  <c r="D16" i="179"/>
  <c r="H16" i="179"/>
  <c r="I16" i="179"/>
  <c r="K16" i="179"/>
  <c r="L16" i="179"/>
  <c r="M16" i="179"/>
  <c r="N16" i="179"/>
  <c r="P16" i="179"/>
  <c r="T16" i="179"/>
  <c r="U16" i="179"/>
  <c r="V16" i="179"/>
  <c r="W16" i="179"/>
  <c r="T17" i="179"/>
  <c r="U17" i="179"/>
  <c r="V17" i="179"/>
  <c r="W17" i="179"/>
  <c r="C18" i="179"/>
  <c r="D18" i="179"/>
  <c r="H18" i="179"/>
  <c r="I18" i="179"/>
  <c r="K18" i="179"/>
  <c r="L18" i="179"/>
  <c r="M18" i="179"/>
  <c r="N18" i="179"/>
  <c r="P18" i="179"/>
  <c r="T18" i="179"/>
  <c r="U18" i="179"/>
  <c r="V18" i="179"/>
  <c r="W18" i="179"/>
  <c r="C23" i="179"/>
  <c r="D23" i="179"/>
  <c r="H23" i="179"/>
  <c r="I23" i="179"/>
  <c r="K23" i="179"/>
  <c r="L23" i="179"/>
  <c r="M23" i="179"/>
  <c r="N23" i="179"/>
  <c r="P23" i="179"/>
  <c r="C24" i="179"/>
  <c r="D24" i="179"/>
  <c r="H24" i="179"/>
  <c r="I24" i="179"/>
  <c r="K24" i="179"/>
  <c r="L24" i="179"/>
  <c r="M24" i="179"/>
  <c r="N24" i="179"/>
  <c r="P24" i="179"/>
  <c r="C26" i="179"/>
  <c r="D26" i="179"/>
  <c r="H26" i="179"/>
  <c r="I26" i="179"/>
  <c r="K26" i="179"/>
  <c r="L26" i="179"/>
  <c r="M26" i="179"/>
  <c r="N26" i="179"/>
  <c r="P26" i="179"/>
  <c r="C31" i="179"/>
  <c r="D31" i="179"/>
  <c r="H31" i="179"/>
  <c r="I31" i="179"/>
  <c r="L31" i="179"/>
  <c r="M31" i="179"/>
  <c r="N31" i="179"/>
  <c r="P31" i="179"/>
  <c r="C32" i="179"/>
  <c r="D32" i="179"/>
  <c r="H32" i="179"/>
  <c r="I32" i="179"/>
  <c r="L32" i="179"/>
  <c r="M32" i="179"/>
  <c r="N32" i="179"/>
  <c r="P32" i="179"/>
  <c r="C34" i="179"/>
  <c r="D34" i="179"/>
  <c r="H34" i="179"/>
  <c r="I34" i="179"/>
  <c r="L34" i="179"/>
  <c r="M34" i="179"/>
  <c r="N34" i="179"/>
  <c r="P34" i="179"/>
  <c r="L80" i="122"/>
  <c r="M80" i="122"/>
  <c r="N80" i="122"/>
  <c r="O80" i="122"/>
  <c r="L81" i="122"/>
  <c r="M81" i="122"/>
  <c r="N81" i="122"/>
  <c r="O81" i="122"/>
  <c r="L85" i="122"/>
  <c r="M85" i="122"/>
  <c r="N85" i="122"/>
  <c r="O85" i="122"/>
  <c r="L86" i="122"/>
  <c r="M86" i="122"/>
  <c r="N86" i="122"/>
  <c r="O86" i="122"/>
  <c r="H13" i="172"/>
  <c r="R13" i="172"/>
  <c r="U13" i="172"/>
  <c r="W13" i="172"/>
  <c r="X13" i="172"/>
  <c r="Y13" i="172"/>
  <c r="Z13" i="172"/>
  <c r="AA13" i="172"/>
  <c r="H18" i="172"/>
  <c r="R18" i="172"/>
  <c r="U18" i="172"/>
  <c r="W18" i="172"/>
  <c r="X18" i="172"/>
  <c r="Y18" i="172"/>
  <c r="Z18" i="172"/>
  <c r="AA18" i="172"/>
  <c r="R25" i="172"/>
  <c r="U25" i="172"/>
  <c r="W25" i="172"/>
  <c r="X25" i="172"/>
  <c r="Y25" i="172"/>
  <c r="Z25" i="172"/>
  <c r="AA25" i="172"/>
  <c r="H51" i="172"/>
  <c r="R51" i="172"/>
  <c r="U51" i="172"/>
  <c r="W51" i="172"/>
  <c r="X51" i="172"/>
  <c r="Y51" i="172"/>
  <c r="Z51" i="172"/>
  <c r="AA51" i="172"/>
  <c r="R63" i="172"/>
  <c r="U63" i="172"/>
  <c r="W63" i="172"/>
  <c r="X63" i="172"/>
  <c r="R65" i="172"/>
  <c r="U65" i="172"/>
  <c r="W65" i="172"/>
  <c r="X65" i="172"/>
  <c r="Y65" i="172"/>
  <c r="Z65" i="172"/>
  <c r="AA65" i="172"/>
  <c r="R67" i="172"/>
  <c r="W67" i="172"/>
  <c r="R132" i="172"/>
  <c r="U132" i="172"/>
  <c r="W132" i="172"/>
  <c r="X132" i="172"/>
  <c r="R133" i="172"/>
  <c r="U133" i="172"/>
  <c r="W133" i="172"/>
  <c r="X133" i="172"/>
  <c r="R136" i="172"/>
  <c r="U136" i="172"/>
  <c r="W136" i="172"/>
  <c r="X136" i="172"/>
  <c r="R149" i="172"/>
  <c r="U149" i="172"/>
  <c r="W149" i="172"/>
  <c r="X149" i="172"/>
  <c r="R152" i="172"/>
  <c r="U152" i="172"/>
  <c r="W152" i="172"/>
  <c r="X152" i="172"/>
  <c r="R154" i="172"/>
  <c r="U154" i="172"/>
  <c r="W154" i="172"/>
  <c r="X154" i="172"/>
  <c r="R155" i="172"/>
  <c r="U155" i="172"/>
  <c r="W155" i="172"/>
  <c r="H13" i="173"/>
  <c r="R13" i="173"/>
  <c r="U13" i="173"/>
  <c r="W13" i="173"/>
  <c r="X13" i="173"/>
  <c r="Y13" i="173"/>
  <c r="Z13" i="173"/>
  <c r="AA13" i="173"/>
  <c r="H18" i="173"/>
  <c r="R18" i="173"/>
  <c r="U18" i="173"/>
  <c r="W18" i="173"/>
  <c r="X18" i="173"/>
  <c r="Y18" i="173"/>
  <c r="Z18" i="173"/>
  <c r="AA18" i="173"/>
  <c r="R25" i="173"/>
  <c r="U25" i="173"/>
  <c r="W25" i="173"/>
  <c r="X25" i="173"/>
  <c r="Y25" i="173"/>
  <c r="Z25" i="173"/>
  <c r="AA25" i="173"/>
  <c r="H51" i="173"/>
  <c r="R51" i="173"/>
  <c r="U51" i="173"/>
  <c r="W51" i="173"/>
  <c r="X51" i="173"/>
  <c r="Y51" i="173"/>
  <c r="Z51" i="173"/>
  <c r="AA51" i="173"/>
  <c r="R63" i="173"/>
  <c r="U63" i="173"/>
  <c r="W63" i="173"/>
  <c r="X63" i="173"/>
  <c r="Y63" i="173"/>
  <c r="R65" i="173"/>
  <c r="U65" i="173"/>
  <c r="W65" i="173"/>
  <c r="X65" i="173"/>
  <c r="Y65" i="173"/>
  <c r="Z65" i="173"/>
  <c r="AA65" i="173"/>
  <c r="R67" i="173"/>
  <c r="W67" i="173"/>
  <c r="R132" i="173"/>
  <c r="U132" i="173"/>
  <c r="W132" i="173"/>
  <c r="X132" i="173"/>
  <c r="R133" i="173"/>
  <c r="U133" i="173"/>
  <c r="W133" i="173"/>
  <c r="X133" i="173"/>
  <c r="R136" i="173"/>
  <c r="U136" i="173"/>
  <c r="W136" i="173"/>
  <c r="X136" i="173"/>
  <c r="R149" i="173"/>
  <c r="U149" i="173"/>
  <c r="W149" i="173"/>
  <c r="X149" i="173"/>
  <c r="R152" i="173"/>
  <c r="U152" i="173"/>
  <c r="W152" i="173"/>
  <c r="X152" i="173"/>
  <c r="R154" i="173"/>
  <c r="U154" i="173"/>
  <c r="W154" i="173"/>
  <c r="X154" i="173"/>
  <c r="R155" i="173"/>
  <c r="U155" i="173"/>
  <c r="W155" i="173"/>
  <c r="H13" i="174"/>
  <c r="R13" i="174"/>
  <c r="U13" i="174"/>
  <c r="W13" i="174"/>
  <c r="X13" i="174"/>
  <c r="Y13" i="174"/>
  <c r="Z13" i="174"/>
  <c r="AA13" i="174"/>
  <c r="H18" i="174"/>
  <c r="R18" i="174"/>
  <c r="U18" i="174"/>
  <c r="W18" i="174"/>
  <c r="X18" i="174"/>
  <c r="Y18" i="174"/>
  <c r="Z18" i="174"/>
  <c r="AA18" i="174"/>
  <c r="R25" i="174"/>
  <c r="U25" i="174"/>
  <c r="W25" i="174"/>
  <c r="X25" i="174"/>
  <c r="Y25" i="174"/>
  <c r="Z25" i="174"/>
  <c r="AA25" i="174"/>
  <c r="H51" i="174"/>
  <c r="R51" i="174"/>
  <c r="U51" i="174"/>
  <c r="W51" i="174"/>
  <c r="X51" i="174"/>
  <c r="Y51" i="174"/>
  <c r="Z51" i="174"/>
  <c r="AA51" i="174"/>
  <c r="R63" i="174"/>
  <c r="U63" i="174"/>
  <c r="W63" i="174"/>
  <c r="X63" i="174"/>
  <c r="Y63" i="174"/>
  <c r="R65" i="174"/>
  <c r="U65" i="174"/>
  <c r="W65" i="174"/>
  <c r="X65" i="174"/>
  <c r="Y65" i="174"/>
  <c r="Z65" i="174"/>
  <c r="AA65" i="174"/>
  <c r="R67" i="174"/>
  <c r="W67" i="174"/>
  <c r="R132" i="174"/>
  <c r="U132" i="174"/>
  <c r="W132" i="174"/>
  <c r="X132" i="174"/>
  <c r="R133" i="174"/>
  <c r="U133" i="174"/>
  <c r="W133" i="174"/>
  <c r="X133" i="174"/>
  <c r="R136" i="174"/>
  <c r="U136" i="174"/>
  <c r="W136" i="174"/>
  <c r="X136" i="174"/>
  <c r="R149" i="174"/>
  <c r="U149" i="174"/>
  <c r="W149" i="174"/>
  <c r="X149" i="174"/>
  <c r="R152" i="174"/>
  <c r="U152" i="174"/>
  <c r="W152" i="174"/>
  <c r="X152" i="174"/>
  <c r="R154" i="174"/>
  <c r="U154" i="174"/>
  <c r="W154" i="174"/>
  <c r="X154" i="174"/>
  <c r="R155" i="174"/>
  <c r="U155" i="174"/>
  <c r="W155" i="174"/>
  <c r="H13" i="175"/>
  <c r="R13" i="175"/>
  <c r="U13" i="175"/>
  <c r="W13" i="175"/>
  <c r="X13" i="175"/>
  <c r="Y13" i="175"/>
  <c r="Z13" i="175"/>
  <c r="AA13" i="175"/>
  <c r="H18" i="175"/>
  <c r="R18" i="175"/>
  <c r="U18" i="175"/>
  <c r="W18" i="175"/>
  <c r="X18" i="175"/>
  <c r="Y18" i="175"/>
  <c r="Z18" i="175"/>
  <c r="AA18" i="175"/>
  <c r="R25" i="175"/>
  <c r="U25" i="175"/>
  <c r="W25" i="175"/>
  <c r="X25" i="175"/>
  <c r="Y25" i="175"/>
  <c r="Z25" i="175"/>
  <c r="AA25" i="175"/>
  <c r="H51" i="175"/>
  <c r="R51" i="175"/>
  <c r="U51" i="175"/>
  <c r="W51" i="175"/>
  <c r="X51" i="175"/>
  <c r="Y51" i="175"/>
  <c r="Z51" i="175"/>
  <c r="AA51" i="175"/>
  <c r="R63" i="175"/>
  <c r="U63" i="175"/>
  <c r="W63" i="175"/>
  <c r="X63" i="175"/>
  <c r="Y63" i="175"/>
  <c r="Z63" i="175"/>
  <c r="AA63" i="175"/>
  <c r="R65" i="175"/>
  <c r="U65" i="175"/>
  <c r="W65" i="175"/>
  <c r="X65" i="175"/>
  <c r="Y65" i="175"/>
  <c r="Z65" i="175"/>
  <c r="AA65" i="175"/>
  <c r="R67" i="175"/>
  <c r="W67" i="175"/>
  <c r="R132" i="175"/>
  <c r="U132" i="175"/>
  <c r="W132" i="175"/>
  <c r="X132" i="175"/>
  <c r="R133" i="175"/>
  <c r="U133" i="175"/>
  <c r="W133" i="175"/>
  <c r="X133" i="175"/>
  <c r="R136" i="175"/>
  <c r="U136" i="175"/>
  <c r="W136" i="175"/>
  <c r="X136" i="175"/>
  <c r="R149" i="175"/>
  <c r="U149" i="175"/>
  <c r="W149" i="175"/>
  <c r="X149" i="175"/>
  <c r="R152" i="175"/>
  <c r="U152" i="175"/>
  <c r="W152" i="175"/>
  <c r="X152" i="175"/>
  <c r="R154" i="175"/>
  <c r="U154" i="175"/>
  <c r="W154" i="175"/>
  <c r="X154" i="175"/>
  <c r="R155" i="175"/>
  <c r="U155" i="175"/>
  <c r="W155" i="175"/>
  <c r="F14" i="106"/>
  <c r="G14" i="106"/>
  <c r="H14" i="106"/>
  <c r="I14" i="106"/>
  <c r="F15" i="106"/>
  <c r="G15" i="106"/>
  <c r="H15" i="106"/>
  <c r="I15" i="106"/>
  <c r="F17" i="106"/>
  <c r="G17" i="106"/>
  <c r="H17" i="106"/>
  <c r="I17" i="106"/>
  <c r="C37" i="106"/>
  <c r="F38" i="106"/>
  <c r="G38" i="106"/>
  <c r="I38" i="106"/>
  <c r="J38" i="106"/>
  <c r="K38" i="106"/>
  <c r="F39" i="106"/>
  <c r="G39" i="106"/>
  <c r="I39" i="106"/>
  <c r="J39" i="106"/>
  <c r="K39" i="106"/>
  <c r="F41" i="106"/>
  <c r="G41" i="106"/>
  <c r="I41" i="106"/>
  <c r="J41" i="106"/>
  <c r="K41" i="106"/>
  <c r="C49" i="106"/>
  <c r="F50" i="106"/>
  <c r="G50" i="106"/>
  <c r="I50" i="106"/>
  <c r="J50" i="106"/>
  <c r="K50" i="106"/>
  <c r="F51" i="106"/>
  <c r="G51" i="106"/>
  <c r="I51" i="106"/>
  <c r="J51" i="106"/>
  <c r="K51" i="106"/>
  <c r="F53" i="106"/>
  <c r="G53" i="106"/>
  <c r="I53" i="106"/>
  <c r="J53" i="106"/>
  <c r="K53" i="106"/>
  <c r="C61" i="106"/>
  <c r="F62" i="106"/>
  <c r="G62" i="106"/>
  <c r="I62" i="106"/>
  <c r="J62" i="106"/>
  <c r="K62" i="106"/>
  <c r="F63" i="106"/>
  <c r="G63" i="106"/>
  <c r="I63" i="106"/>
  <c r="J63" i="106"/>
  <c r="K63" i="106"/>
  <c r="F65" i="106"/>
  <c r="G65" i="106"/>
  <c r="I65" i="106"/>
  <c r="J65" i="106"/>
  <c r="K65" i="106"/>
  <c r="C73" i="106"/>
  <c r="F74" i="106"/>
  <c r="G74" i="106"/>
  <c r="I74" i="106"/>
  <c r="J74" i="106"/>
  <c r="K74" i="106"/>
  <c r="F75" i="106"/>
  <c r="G75" i="106"/>
  <c r="I75" i="106"/>
  <c r="J75" i="106"/>
  <c r="K75" i="106"/>
  <c r="F77" i="106"/>
  <c r="G77" i="106"/>
  <c r="I77" i="106"/>
  <c r="J77" i="106"/>
  <c r="K77" i="106"/>
  <c r="M131" i="82"/>
  <c r="N131" i="82"/>
  <c r="Q131" i="82"/>
  <c r="R131" i="82"/>
  <c r="M136" i="82"/>
  <c r="N136" i="82"/>
  <c r="Q136" i="82"/>
  <c r="R136" i="82"/>
  <c r="M149" i="82"/>
  <c r="N149" i="82"/>
  <c r="Q149" i="82"/>
  <c r="R149" i="82"/>
  <c r="M154" i="82"/>
  <c r="N154" i="82"/>
  <c r="Q154" i="82"/>
  <c r="R154" i="82"/>
  <c r="M161" i="82"/>
  <c r="N161" i="82"/>
  <c r="Q161" i="82"/>
  <c r="R161" i="82"/>
  <c r="M167" i="82"/>
  <c r="N167" i="82"/>
  <c r="Q167" i="82"/>
  <c r="R167" i="82"/>
  <c r="M174" i="82"/>
  <c r="N174" i="82"/>
  <c r="Q174" i="82"/>
  <c r="R174" i="82"/>
  <c r="M179" i="82"/>
  <c r="N179" i="82"/>
  <c r="Q179" i="82"/>
  <c r="R179" i="82"/>
  <c r="M186" i="82"/>
  <c r="N186" i="82"/>
  <c r="Q186" i="82"/>
  <c r="R186" i="82"/>
  <c r="M192" i="82"/>
  <c r="N192" i="82"/>
  <c r="Q192" i="82"/>
  <c r="R192" i="82"/>
  <c r="D205" i="82"/>
  <c r="E205" i="82"/>
  <c r="G205" i="82"/>
  <c r="H205" i="82"/>
  <c r="J205" i="82"/>
  <c r="K205" i="82"/>
  <c r="M205" i="82"/>
  <c r="N205" i="82"/>
  <c r="P205" i="82"/>
  <c r="Q205" i="82"/>
  <c r="D208" i="82"/>
  <c r="E208" i="82"/>
  <c r="G208" i="82"/>
  <c r="H208" i="82"/>
  <c r="J208" i="82"/>
  <c r="K208" i="82"/>
  <c r="M208" i="82"/>
  <c r="N208" i="82"/>
  <c r="P208" i="82"/>
  <c r="Q208" i="82"/>
  <c r="D210" i="82"/>
  <c r="E210" i="82"/>
  <c r="G210" i="82"/>
  <c r="H210" i="82"/>
  <c r="J210" i="82"/>
  <c r="K210" i="82"/>
  <c r="M210" i="82"/>
  <c r="N210" i="82"/>
  <c r="P210" i="82"/>
  <c r="Q210" i="82"/>
  <c r="F68" i="61"/>
  <c r="G68" i="61"/>
  <c r="H68" i="61"/>
  <c r="I68" i="61"/>
  <c r="F70" i="61"/>
  <c r="G70" i="61"/>
  <c r="H70" i="61"/>
  <c r="I70" i="61"/>
  <c r="F74" i="61"/>
  <c r="G74" i="61"/>
  <c r="H74" i="61"/>
  <c r="I74" i="61"/>
  <c r="F87" i="61"/>
  <c r="G87" i="61"/>
  <c r="H87" i="61"/>
  <c r="I87" i="61"/>
  <c r="E89" i="61"/>
  <c r="F89" i="61"/>
  <c r="G89" i="61"/>
  <c r="H89" i="61"/>
  <c r="I89" i="61"/>
  <c r="E90" i="61"/>
  <c r="F90" i="61"/>
  <c r="G90" i="61"/>
  <c r="H90" i="61"/>
  <c r="I90" i="61"/>
  <c r="E94" i="61"/>
  <c r="F94" i="61"/>
  <c r="G94" i="61"/>
  <c r="H94" i="61"/>
  <c r="I94" i="61"/>
  <c r="D6" i="178"/>
  <c r="E6" i="178"/>
  <c r="F6" i="178"/>
  <c r="G6" i="178"/>
  <c r="K6" i="178"/>
  <c r="L6" i="178"/>
  <c r="M6" i="178"/>
  <c r="N6" i="178"/>
  <c r="R6" i="178"/>
  <c r="S6" i="178"/>
  <c r="T6" i="178"/>
  <c r="U6" i="178"/>
  <c r="W6" i="178"/>
  <c r="D8" i="178"/>
  <c r="E8" i="178"/>
  <c r="F8" i="178"/>
  <c r="G8" i="178"/>
  <c r="K8" i="178"/>
  <c r="L8" i="178"/>
  <c r="M8" i="178"/>
  <c r="N8" i="178"/>
  <c r="R8" i="178"/>
  <c r="S8" i="178"/>
  <c r="T8" i="178"/>
  <c r="U8" i="178"/>
  <c r="W8" i="178"/>
  <c r="D10" i="178"/>
  <c r="E10" i="178"/>
  <c r="F10" i="178"/>
  <c r="G10" i="178"/>
  <c r="K10" i="178"/>
  <c r="L10" i="178"/>
  <c r="M10" i="178"/>
  <c r="N10" i="178"/>
  <c r="R10" i="178"/>
  <c r="S10" i="178"/>
  <c r="T10" i="178"/>
  <c r="U10" i="178"/>
  <c r="W10" i="178"/>
  <c r="D11" i="178"/>
  <c r="K11" i="178"/>
  <c r="W11" i="178"/>
  <c r="D12" i="178"/>
  <c r="E12" i="178"/>
  <c r="F12" i="178"/>
  <c r="G12" i="178"/>
  <c r="K12" i="178"/>
  <c r="L12" i="178"/>
  <c r="M12" i="178"/>
  <c r="N12" i="178"/>
  <c r="R12" i="178"/>
  <c r="S12" i="178"/>
  <c r="T12" i="178"/>
  <c r="U12" i="178"/>
  <c r="W12" i="178"/>
  <c r="D14" i="178"/>
  <c r="E14" i="178"/>
  <c r="F14" i="178"/>
  <c r="G14" i="178"/>
  <c r="K14" i="178"/>
  <c r="L14" i="178"/>
  <c r="M14" i="178"/>
  <c r="N14" i="178"/>
  <c r="R14" i="178"/>
  <c r="S14" i="178"/>
  <c r="T14" i="178"/>
  <c r="U14" i="178"/>
  <c r="W14" i="178"/>
  <c r="D15" i="178"/>
  <c r="K15" i="178"/>
  <c r="W15" i="178"/>
  <c r="D16" i="178"/>
  <c r="E16" i="178"/>
  <c r="F16" i="178"/>
  <c r="G16" i="178"/>
  <c r="K16" i="178"/>
  <c r="L16" i="178"/>
  <c r="M16" i="178"/>
  <c r="N16" i="178"/>
  <c r="R16" i="178"/>
  <c r="S16" i="178"/>
  <c r="T16" i="178"/>
  <c r="U16" i="178"/>
  <c r="W16" i="178"/>
  <c r="D18" i="178"/>
  <c r="E18" i="178"/>
  <c r="F18" i="178"/>
  <c r="G18" i="178"/>
  <c r="K18" i="178"/>
  <c r="L18" i="178"/>
  <c r="M18" i="178"/>
  <c r="N18" i="178"/>
  <c r="R18" i="178"/>
  <c r="S18" i="178"/>
  <c r="T18" i="178"/>
  <c r="U18" i="178"/>
  <c r="D20" i="178"/>
  <c r="E20" i="178"/>
  <c r="F20" i="178"/>
  <c r="G20" i="178"/>
  <c r="K20" i="178"/>
  <c r="L20" i="178"/>
  <c r="M20" i="178"/>
  <c r="N20" i="178"/>
  <c r="R20" i="178"/>
  <c r="S20" i="178"/>
  <c r="T20" i="178"/>
  <c r="U20" i="178"/>
  <c r="E21" i="178"/>
  <c r="F21" i="178"/>
  <c r="G21" i="178"/>
  <c r="L21" i="178"/>
  <c r="M21" i="178"/>
  <c r="N21" i="178"/>
  <c r="S21" i="178"/>
  <c r="T21" i="178"/>
  <c r="U21" i="178"/>
  <c r="D26" i="178"/>
  <c r="E26" i="178"/>
  <c r="F26" i="178"/>
  <c r="G26" i="178"/>
  <c r="K26" i="178"/>
  <c r="L26" i="178"/>
  <c r="M26" i="178"/>
  <c r="N26" i="178"/>
  <c r="R26" i="178"/>
  <c r="S26" i="178"/>
  <c r="T26" i="178"/>
  <c r="U26" i="178"/>
  <c r="W26" i="178"/>
  <c r="D28" i="178"/>
  <c r="E28" i="178"/>
  <c r="F28" i="178"/>
  <c r="G28" i="178"/>
  <c r="K28" i="178"/>
  <c r="L28" i="178"/>
  <c r="M28" i="178"/>
  <c r="N28" i="178"/>
  <c r="R28" i="178"/>
  <c r="S28" i="178"/>
  <c r="T28" i="178"/>
  <c r="U28" i="178"/>
  <c r="D34" i="178"/>
  <c r="E34" i="178"/>
  <c r="F34" i="178"/>
  <c r="G34" i="178"/>
  <c r="K34" i="178"/>
  <c r="L34" i="178"/>
  <c r="M34" i="178"/>
  <c r="N34" i="178"/>
  <c r="R34" i="178"/>
  <c r="S34" i="178"/>
  <c r="T34" i="178"/>
  <c r="U34" i="178"/>
  <c r="W34" i="178"/>
  <c r="D36" i="178"/>
  <c r="E36" i="178"/>
  <c r="F36" i="178"/>
  <c r="G36" i="178"/>
  <c r="K36" i="178"/>
  <c r="L36" i="178"/>
  <c r="M36" i="178"/>
  <c r="N36" i="178"/>
  <c r="R36" i="178"/>
  <c r="S36" i="178"/>
  <c r="T36" i="178"/>
  <c r="U36" i="178"/>
  <c r="W36" i="178"/>
  <c r="D38" i="178"/>
  <c r="E38" i="178"/>
  <c r="F38" i="178"/>
  <c r="G38" i="178"/>
  <c r="K38" i="178"/>
  <c r="L38" i="178"/>
  <c r="M38" i="178"/>
  <c r="N38" i="178"/>
  <c r="R38" i="178"/>
  <c r="S38" i="178"/>
  <c r="T38" i="178"/>
  <c r="U38" i="178"/>
  <c r="W38" i="178"/>
  <c r="D40" i="178"/>
  <c r="E40" i="178"/>
  <c r="F40" i="178"/>
  <c r="G40" i="178"/>
  <c r="K40" i="178"/>
  <c r="L40" i="178"/>
  <c r="M40" i="178"/>
  <c r="N40" i="178"/>
  <c r="R40" i="178"/>
  <c r="S40" i="178"/>
  <c r="T40" i="178"/>
  <c r="U40" i="178"/>
  <c r="W40" i="178"/>
  <c r="D41" i="178"/>
  <c r="K41" i="178"/>
  <c r="W41" i="178"/>
  <c r="D42" i="178"/>
  <c r="E42" i="178"/>
  <c r="F42" i="178"/>
  <c r="G42" i="178"/>
  <c r="K42" i="178"/>
  <c r="L42" i="178"/>
  <c r="M42" i="178"/>
  <c r="N42" i="178"/>
  <c r="R42" i="178"/>
  <c r="S42" i="178"/>
  <c r="T42" i="178"/>
  <c r="U42" i="178"/>
  <c r="W42" i="178"/>
  <c r="D44" i="178"/>
  <c r="E44" i="178"/>
  <c r="F44" i="178"/>
  <c r="G44" i="178"/>
  <c r="K44" i="178"/>
  <c r="L44" i="178"/>
  <c r="M44" i="178"/>
  <c r="N44" i="178"/>
  <c r="R44" i="178"/>
  <c r="S44" i="178"/>
  <c r="T44" i="178"/>
  <c r="U44" i="178"/>
  <c r="W44" i="178"/>
  <c r="D46" i="178"/>
  <c r="E46" i="178"/>
  <c r="F46" i="178"/>
  <c r="G46" i="178"/>
  <c r="K46" i="178"/>
  <c r="L46" i="178"/>
  <c r="M46" i="178"/>
  <c r="N46" i="178"/>
  <c r="R46" i="178"/>
  <c r="S46" i="178"/>
  <c r="T46" i="178"/>
  <c r="U46" i="178"/>
  <c r="W46" i="178"/>
  <c r="D47" i="178"/>
  <c r="K47" i="178"/>
  <c r="W47" i="178"/>
  <c r="D48" i="178"/>
  <c r="E48" i="178"/>
  <c r="F48" i="178"/>
  <c r="G48" i="178"/>
  <c r="K48" i="178"/>
  <c r="L48" i="178"/>
  <c r="M48" i="178"/>
  <c r="N48" i="178"/>
  <c r="R48" i="178"/>
  <c r="S48" i="178"/>
  <c r="T48" i="178"/>
  <c r="U48" i="178"/>
  <c r="W48" i="178"/>
  <c r="D50" i="178"/>
  <c r="E50" i="178"/>
  <c r="F50" i="178"/>
  <c r="G50" i="178"/>
  <c r="K50" i="178"/>
  <c r="L50" i="178"/>
  <c r="M50" i="178"/>
  <c r="N50" i="178"/>
  <c r="R50" i="178"/>
  <c r="S50" i="178"/>
  <c r="T50" i="178"/>
  <c r="U50" i="178"/>
  <c r="W50" i="178"/>
  <c r="D55" i="178"/>
  <c r="E55" i="178"/>
  <c r="F55" i="178"/>
  <c r="G55" i="178"/>
  <c r="K55" i="178"/>
  <c r="L55" i="178"/>
  <c r="M55" i="178"/>
  <c r="N55" i="178"/>
  <c r="R55" i="178"/>
  <c r="S55" i="178"/>
  <c r="T55" i="178"/>
  <c r="U55" i="178"/>
  <c r="W55" i="178"/>
  <c r="D57" i="178"/>
  <c r="E57" i="178"/>
  <c r="F57" i="178"/>
  <c r="G57" i="178"/>
  <c r="K57" i="178"/>
  <c r="L57" i="178"/>
  <c r="M57" i="178"/>
  <c r="N57" i="178"/>
  <c r="R57" i="178"/>
  <c r="S57" i="178"/>
  <c r="T57" i="178"/>
  <c r="U57" i="178"/>
  <c r="W57" i="178"/>
  <c r="D59" i="178"/>
  <c r="E59" i="178"/>
  <c r="F59" i="178"/>
  <c r="G59" i="178"/>
  <c r="K59" i="178"/>
  <c r="L59" i="178"/>
  <c r="M59" i="178"/>
  <c r="N59" i="178"/>
  <c r="R59" i="178"/>
  <c r="S59" i="178"/>
  <c r="T59" i="178"/>
  <c r="U59" i="178"/>
  <c r="W59" i="178"/>
  <c r="D61" i="178"/>
  <c r="E61" i="178"/>
  <c r="F61" i="178"/>
  <c r="G61" i="178"/>
  <c r="K61" i="178"/>
  <c r="L61" i="178"/>
  <c r="M61" i="178"/>
  <c r="N61" i="178"/>
  <c r="R61" i="178"/>
  <c r="S61" i="178"/>
  <c r="T61" i="178"/>
  <c r="U61" i="178"/>
  <c r="W61" i="178"/>
  <c r="D62" i="178"/>
  <c r="E62" i="178"/>
  <c r="F62" i="178"/>
  <c r="G62" i="178"/>
  <c r="K62" i="178"/>
  <c r="L62" i="178"/>
  <c r="M62" i="178"/>
  <c r="N62" i="178"/>
  <c r="W62" i="178"/>
  <c r="D63" i="178"/>
  <c r="E63" i="178"/>
  <c r="F63" i="178"/>
  <c r="G63" i="178"/>
  <c r="K63" i="178"/>
  <c r="L63" i="178"/>
  <c r="M63" i="178"/>
  <c r="N63" i="178"/>
  <c r="R63" i="178"/>
  <c r="S63" i="178"/>
  <c r="T63" i="178"/>
  <c r="U63" i="178"/>
  <c r="W63" i="178"/>
  <c r="D65" i="178"/>
  <c r="E65" i="178"/>
  <c r="F65" i="178"/>
  <c r="G65" i="178"/>
  <c r="K65" i="178"/>
  <c r="L65" i="178"/>
  <c r="M65" i="178"/>
  <c r="N65" i="178"/>
  <c r="R65" i="178"/>
  <c r="S65" i="178"/>
  <c r="T65" i="178"/>
  <c r="U65" i="178"/>
  <c r="W65" i="178"/>
  <c r="D67" i="178"/>
  <c r="E67" i="178"/>
  <c r="F67" i="178"/>
  <c r="G67" i="178"/>
  <c r="K67" i="178"/>
  <c r="L67" i="178"/>
  <c r="M67" i="178"/>
  <c r="N67" i="178"/>
  <c r="R67" i="178"/>
  <c r="S67" i="178"/>
  <c r="T67" i="178"/>
  <c r="U67" i="178"/>
  <c r="W67" i="178"/>
  <c r="D68" i="178"/>
  <c r="E68" i="178"/>
  <c r="F68" i="178"/>
  <c r="G68" i="178"/>
  <c r="K68" i="178"/>
  <c r="L68" i="178"/>
  <c r="M68" i="178"/>
  <c r="N68" i="178"/>
  <c r="W68" i="178"/>
  <c r="D69" i="178"/>
  <c r="E69" i="178"/>
  <c r="F69" i="178"/>
  <c r="G69" i="178"/>
  <c r="K69" i="178"/>
  <c r="L69" i="178"/>
  <c r="M69" i="178"/>
  <c r="N69" i="178"/>
  <c r="R69" i="178"/>
  <c r="S69" i="178"/>
  <c r="T69" i="178"/>
  <c r="U69" i="178"/>
  <c r="W69" i="178"/>
  <c r="D71" i="178"/>
  <c r="E71" i="178"/>
  <c r="F71" i="178"/>
  <c r="G71" i="178"/>
  <c r="K71" i="178"/>
  <c r="L71" i="178"/>
  <c r="M71" i="178"/>
  <c r="N71" i="178"/>
  <c r="R71" i="178"/>
  <c r="S71" i="178"/>
  <c r="T71" i="178"/>
  <c r="U71" i="178"/>
  <c r="W71" i="178"/>
  <c r="D76" i="178"/>
  <c r="E76" i="178"/>
  <c r="F76" i="178"/>
  <c r="G76" i="178"/>
  <c r="K76" i="178"/>
  <c r="L76" i="178"/>
  <c r="M76" i="178"/>
  <c r="N76" i="178"/>
  <c r="R76" i="178"/>
  <c r="S76" i="178"/>
  <c r="T76" i="178"/>
  <c r="U76" i="178"/>
  <c r="W76" i="178"/>
  <c r="D80" i="178"/>
  <c r="E80" i="178"/>
  <c r="F80" i="178"/>
  <c r="G80" i="178"/>
  <c r="K80" i="178"/>
  <c r="L80" i="178"/>
  <c r="M80" i="178"/>
  <c r="N80" i="178"/>
  <c r="R80" i="178"/>
  <c r="S80" i="178"/>
  <c r="T80" i="178"/>
  <c r="U80" i="178"/>
  <c r="W80" i="178"/>
  <c r="D81" i="178"/>
  <c r="E81" i="178"/>
  <c r="F81" i="178"/>
  <c r="G81" i="178"/>
  <c r="K81" i="178"/>
  <c r="L81" i="178"/>
  <c r="M81" i="178"/>
  <c r="N81" i="178"/>
  <c r="W81" i="178"/>
  <c r="D82" i="178"/>
  <c r="E82" i="178"/>
  <c r="F82" i="178"/>
  <c r="G82" i="178"/>
  <c r="K82" i="178"/>
  <c r="L82" i="178"/>
  <c r="M82" i="178"/>
  <c r="N82" i="178"/>
  <c r="R82" i="178"/>
  <c r="S82" i="178"/>
  <c r="T82" i="178"/>
  <c r="U82" i="178"/>
  <c r="W82" i="178"/>
  <c r="D84" i="178"/>
  <c r="E84" i="178"/>
  <c r="F84" i="178"/>
  <c r="G84" i="178"/>
  <c r="K84" i="178"/>
  <c r="L84" i="178"/>
  <c r="M84" i="178"/>
  <c r="N84" i="178"/>
  <c r="R84" i="178"/>
  <c r="S84" i="178"/>
  <c r="T84" i="178"/>
  <c r="U84" i="178"/>
  <c r="W84" i="178"/>
  <c r="D86" i="178"/>
  <c r="E86" i="178"/>
  <c r="F86" i="178"/>
  <c r="G86" i="178"/>
  <c r="K86" i="178"/>
  <c r="L86" i="178"/>
  <c r="M86" i="178"/>
  <c r="N86" i="178"/>
  <c r="D87" i="178"/>
  <c r="E87" i="178"/>
  <c r="F87" i="178"/>
  <c r="K87" i="178"/>
  <c r="L87" i="178"/>
  <c r="M87" i="178"/>
  <c r="D88" i="178"/>
  <c r="E88" i="178"/>
  <c r="F88" i="178"/>
  <c r="G88" i="178"/>
  <c r="K88" i="178"/>
  <c r="L88" i="178"/>
  <c r="M88" i="178"/>
  <c r="N88" i="178"/>
  <c r="R88" i="178"/>
  <c r="S88" i="178"/>
  <c r="T88" i="178"/>
  <c r="U88" i="178"/>
  <c r="W88" i="178"/>
  <c r="D89" i="178"/>
  <c r="E89" i="178"/>
  <c r="F89" i="178"/>
  <c r="G89" i="178"/>
  <c r="K89" i="178"/>
  <c r="L89" i="178"/>
  <c r="M89" i="178"/>
  <c r="N89" i="178"/>
  <c r="W89" i="178"/>
  <c r="D90" i="178"/>
  <c r="E90" i="178"/>
  <c r="F90" i="178"/>
  <c r="G90" i="178"/>
  <c r="K90" i="178"/>
  <c r="L90" i="178"/>
  <c r="M90" i="178"/>
  <c r="N90" i="178"/>
  <c r="R90" i="178"/>
  <c r="S90" i="178"/>
  <c r="T90" i="178"/>
  <c r="U90" i="178"/>
  <c r="W90" i="178"/>
  <c r="D92" i="178"/>
  <c r="E92" i="178"/>
  <c r="F92" i="178"/>
  <c r="G92" i="178"/>
  <c r="K92" i="178"/>
  <c r="L92" i="178"/>
  <c r="M92" i="178"/>
  <c r="N92" i="178"/>
  <c r="R92" i="178"/>
  <c r="S92" i="178"/>
  <c r="T92" i="178"/>
  <c r="U92" i="178"/>
  <c r="W92" i="178"/>
  <c r="D94" i="178"/>
  <c r="E94" i="178"/>
  <c r="F94" i="178"/>
  <c r="G94" i="178"/>
  <c r="K94" i="178"/>
  <c r="L94" i="178"/>
  <c r="M94" i="178"/>
  <c r="N94" i="178"/>
  <c r="D95" i="178"/>
  <c r="E95" i="178"/>
  <c r="F95" i="178"/>
  <c r="K95" i="178"/>
  <c r="L95" i="178"/>
  <c r="M95" i="178"/>
  <c r="D96" i="178"/>
  <c r="E96" i="178"/>
  <c r="F96" i="178"/>
  <c r="G96" i="178"/>
  <c r="K96" i="178"/>
  <c r="L96" i="178"/>
  <c r="M96" i="178"/>
  <c r="N96" i="178"/>
  <c r="R96" i="178"/>
  <c r="S96" i="178"/>
  <c r="T96" i="178"/>
  <c r="U96" i="178"/>
  <c r="W96" i="178"/>
  <c r="D97" i="178"/>
  <c r="E97" i="178"/>
  <c r="F97" i="178"/>
  <c r="G97" i="178"/>
  <c r="K97" i="178"/>
  <c r="L97" i="178"/>
  <c r="M97" i="178"/>
  <c r="N97" i="178"/>
  <c r="W97" i="178"/>
  <c r="D98" i="178"/>
  <c r="E98" i="178"/>
  <c r="F98" i="178"/>
  <c r="G98" i="178"/>
  <c r="K98" i="178"/>
  <c r="L98" i="178"/>
  <c r="M98" i="178"/>
  <c r="N98" i="178"/>
  <c r="R98" i="178"/>
  <c r="S98" i="178"/>
  <c r="T98" i="178"/>
  <c r="U98" i="178"/>
  <c r="W98" i="178"/>
  <c r="K112" i="178"/>
  <c r="L112" i="178"/>
  <c r="M112" i="178"/>
  <c r="N112" i="178"/>
  <c r="K113" i="178"/>
  <c r="L113" i="178"/>
  <c r="M113" i="178"/>
  <c r="N113" i="178"/>
  <c r="W113" i="178"/>
  <c r="K114" i="178"/>
  <c r="L114" i="178"/>
  <c r="M114" i="178"/>
  <c r="N114" i="178"/>
  <c r="K116" i="178"/>
  <c r="L116" i="178"/>
  <c r="M116" i="178"/>
  <c r="D120" i="178"/>
  <c r="E120" i="178"/>
  <c r="F120" i="178"/>
  <c r="G120" i="178"/>
  <c r="K120" i="178"/>
  <c r="L120" i="178"/>
  <c r="M120" i="178"/>
  <c r="N120" i="178"/>
  <c r="R120" i="178"/>
  <c r="S120" i="178"/>
  <c r="T120" i="178"/>
  <c r="U120" i="178"/>
  <c r="W120" i="178"/>
  <c r="D121" i="178"/>
  <c r="E121" i="178"/>
  <c r="F121" i="178"/>
  <c r="G121" i="178"/>
  <c r="K121" i="178"/>
  <c r="L121" i="178"/>
  <c r="M121" i="178"/>
  <c r="N121" i="178"/>
  <c r="R121" i="178"/>
  <c r="S121" i="178"/>
  <c r="T121" i="178"/>
  <c r="U121" i="178"/>
  <c r="W121" i="178"/>
  <c r="D122" i="178"/>
  <c r="E122" i="178"/>
  <c r="F122" i="178"/>
  <c r="G122" i="178"/>
  <c r="K122" i="178"/>
  <c r="L122" i="178"/>
  <c r="M122" i="178"/>
  <c r="N122" i="178"/>
  <c r="R122" i="178"/>
  <c r="S122" i="178"/>
  <c r="T122" i="178"/>
  <c r="U122" i="178"/>
  <c r="W122" i="178"/>
  <c r="D124" i="178"/>
  <c r="E124" i="178"/>
  <c r="F124" i="178"/>
  <c r="G124" i="178"/>
  <c r="K124" i="178"/>
  <c r="L124" i="178"/>
  <c r="M124" i="178"/>
  <c r="N124" i="178"/>
  <c r="R124" i="178"/>
  <c r="S124" i="178"/>
  <c r="T124" i="178"/>
  <c r="U124" i="178"/>
  <c r="D125" i="178"/>
  <c r="E125" i="178"/>
  <c r="F125" i="178"/>
  <c r="G125" i="178"/>
  <c r="K125" i="178"/>
  <c r="L125" i="178"/>
  <c r="M125" i="178"/>
  <c r="N125" i="178"/>
  <c r="R125" i="178"/>
  <c r="S125" i="178"/>
  <c r="T125" i="178"/>
  <c r="U125" i="178"/>
  <c r="D126" i="178"/>
  <c r="E126" i="178"/>
  <c r="F126" i="178"/>
  <c r="G126" i="178"/>
  <c r="K126" i="178"/>
  <c r="L126" i="178"/>
  <c r="M126" i="178"/>
  <c r="N126" i="178"/>
  <c r="R126" i="178"/>
  <c r="S126" i="178"/>
  <c r="T126" i="178"/>
  <c r="U126" i="178"/>
  <c r="D128" i="178"/>
  <c r="E128" i="178"/>
  <c r="F128" i="178"/>
  <c r="G128" i="178"/>
  <c r="K128" i="178"/>
  <c r="L128" i="178"/>
  <c r="M128" i="178"/>
  <c r="N128" i="178"/>
  <c r="R128" i="178"/>
  <c r="S128" i="178"/>
  <c r="T128" i="178"/>
  <c r="U128" i="178"/>
  <c r="D129" i="178"/>
  <c r="E129" i="178"/>
  <c r="F129" i="178"/>
  <c r="G129" i="178"/>
  <c r="K129" i="178"/>
  <c r="L129" i="178"/>
  <c r="M129" i="178"/>
  <c r="N129" i="178"/>
  <c r="R129" i="178"/>
  <c r="S129" i="178"/>
  <c r="T129" i="178"/>
  <c r="U129" i="178"/>
  <c r="D130" i="178"/>
  <c r="E130" i="178"/>
  <c r="F130" i="178"/>
  <c r="G130" i="178"/>
  <c r="K130" i="178"/>
  <c r="L130" i="178"/>
  <c r="M130" i="178"/>
  <c r="N130" i="178"/>
  <c r="R130" i="178"/>
  <c r="S130" i="178"/>
  <c r="T130" i="178"/>
  <c r="U130" i="178"/>
  <c r="AA5" i="166"/>
  <c r="AB5" i="166"/>
  <c r="AC5" i="166"/>
  <c r="AD5" i="166"/>
  <c r="T7" i="166"/>
  <c r="U7" i="166"/>
  <c r="V7" i="166"/>
  <c r="W7" i="166"/>
  <c r="AA7" i="166"/>
  <c r="AB7" i="166"/>
  <c r="AC7" i="166"/>
  <c r="AD7" i="166"/>
  <c r="T8" i="166"/>
  <c r="U8" i="166"/>
  <c r="V8" i="166"/>
  <c r="W8" i="166"/>
  <c r="AA8" i="166"/>
  <c r="AB8" i="166"/>
  <c r="AC8" i="166"/>
  <c r="AD8" i="166"/>
  <c r="T10" i="166"/>
  <c r="U10" i="166"/>
  <c r="V10" i="166"/>
  <c r="W10" i="166"/>
  <c r="AA13" i="166"/>
  <c r="AB13" i="166"/>
  <c r="AC13" i="166"/>
  <c r="AD13"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tc={BDBE5402-44E5-4708-AC6D-63A8DD5B6094}</author>
    <author>tc={34B00D48-359A-4D06-B519-5BBB63E78357}</author>
    <author>tc={653AD718-FC3F-4723-92FF-F76131F95FC5}</author>
    <author>tc={AD6345EC-38CE-4A11-99A3-294A8354C101}</author>
    <author>tc={9EEAC596-E778-4EE3-98CC-B53581BA3669}</author>
    <author>tc={1121E6C3-718F-41D1-AD31-8C773B09983F}</author>
    <author>tc={19671768-0543-4B55-973E-BF3E27085EED}</author>
    <author>tc={662AC5D2-2E55-4667-8E07-82BDD06848BA}</author>
    <author>tc={EC0265A8-44AE-4D65-AAB7-2B5197315895}</author>
    <author>tc={D68C6399-4279-4720-9505-D7D84B71971D}</author>
    <author>tc={2DE22C96-2C21-4452-AC53-A75EEC65276F}</author>
    <author>tc={4D6B3DD6-828D-4EE0-AC93-7038E008B51D}</author>
    <author>tc={D046D9B6-E817-4283-8301-AEC0B789FE91}</author>
    <author>tc={8AD070D9-F6F0-45D3-9AB9-A4659806BEE0}</author>
    <author>tc={7769A1A9-07C1-4333-BBA4-A4CE0ECA9D11}</author>
    <author>tc={8FE8E979-7573-4D4D-B4E4-704427B8C7A9}</author>
    <author>tc={311D8EE8-3153-4D43-888A-893E704B1B60}</author>
    <author>tc={7252E4C8-101E-4A1E-AB83-6EC7C13A8E2D}</author>
    <author>tc={10D7A64F-9301-43C7-92D5-52F490F811FC}</author>
    <author>tc={BADCB751-10B7-4E3C-ABBB-05206DFDFA14}</author>
    <author>tc={BE8495A3-429D-4143-9E61-A752C1E37202}</author>
    <author>tc={390034F1-9455-42ED-9E3A-CF6C47ADABAE}</author>
    <author>tc={80ED0B40-258D-4613-A460-A226D79E9A6F}</author>
    <author>tc={F90A5447-6266-4BC9-94A8-11AF79BB009B}</author>
    <author>tc={0832C41F-44A9-47BA-AEDA-A7B35BAE945A}</author>
    <author>tc={655ADABC-C507-4C2B-AD64-139408F90F3E}</author>
    <author>tc={4C935C36-6B5A-4AA6-B19D-196AA80A545D}</author>
    <author>tc={E7F46AAF-7CA3-48DE-893A-EA60D6477B57}</author>
    <author>tc={B505447E-AC6C-4481-B829-00085AE32EFA}</author>
    <author>tc={A6FCD739-6696-454F-B88F-2C8FE5E34A5F}</author>
    <author>tc={2584EE02-CF2A-43FA-ADBB-EBDCC890F9F7}</author>
    <author>tc={167ED9D2-B59D-4A31-A154-5B61993FD1C1}</author>
    <author>tc={88B01597-0217-4DC6-B19E-BFF81486A8B7}</author>
    <author>tc={51FC8F23-B152-49F5-A930-C859647FB761}</author>
    <author>tc={921DAA6D-E6DE-4052-9687-3C58082D6B83}</author>
    <author>tc={68D00D5E-4453-4057-92B7-1743EFC6B902}</author>
    <author>tc={809AB655-0F6B-49C8-B1F8-D4E7FFC77C88}</author>
    <author>tc={E9D4FF8B-6AD4-40B4-8519-154015332FEE}</author>
    <author>tc={E6BA33F2-DE6B-4519-9181-07E60BD0BFB1}</author>
    <author>tc={4C7DC78F-1F47-4AC2-BF3F-94FC1D0D567E}</author>
    <author>tc={B5A6038B-EC8D-4CBE-91B8-8F3C7C1E11B5}</author>
    <author>tc={66D6B6F9-C117-4688-A930-E275A49329F0}</author>
    <author>tc={5C9CB8E4-C0A8-449C-AFA6-773BE7CBB7E5}</author>
    <author>tc={46202196-0233-44F4-95BC-5D84FD6B5517}</author>
    <author>tc={7A35137D-7BD0-4F2C-B457-3DEDC0F75349}</author>
    <author>tc={5F3A4167-7031-469D-BE0A-89DCC1387336}</author>
    <author>tc={EDCA7411-F725-45B9-B78B-990C9D15E202}</author>
    <author>tc={D0B5A43C-FBC3-449D-B443-AB6925899F91}</author>
    <author>tc={DDD275C0-EFD3-4BBF-9560-B8B2DFF1E77F}</author>
    <author>tc={37B235C8-14BD-4323-9782-501BD37F47F9}</author>
    <author>tc={8609563A-9EB4-4E78-BA28-A0B6BB186096}</author>
    <author>tc={84162EF1-4E86-4313-9248-4ED638220360}</author>
    <author>tc={1B69A527-6DE8-49FC-A4CD-EAB12EF71E39}</author>
    <author>tc={8B3432E9-EDB9-42A9-9F19-50DE5906BEA8}</author>
    <author>tc={1A273C0C-9B45-4877-9919-0B544B8C59EB}</author>
  </authors>
  <commentList>
    <comment ref="I37" authorId="0" shapeId="0" xr:uid="{BDBE5402-44E5-4708-AC6D-63A8DD5B6094}">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J37" authorId="1" shapeId="0" xr:uid="{34B00D48-359A-4D06-B519-5BBB63E78357}">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K37" authorId="2" shapeId="0" xr:uid="{653AD718-FC3F-4723-92FF-F76131F95FC5}">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L37" authorId="3" shapeId="0" xr:uid="{AD6345EC-38CE-4A11-99A3-294A8354C101}">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M37" authorId="4" shapeId="0" xr:uid="{9EEAC596-E778-4EE3-98CC-B53581BA3669}">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N37" authorId="5" shapeId="0" xr:uid="{1121E6C3-718F-41D1-AD31-8C773B09983F}">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O37" authorId="6" shapeId="0" xr:uid="{19671768-0543-4B55-973E-BF3E27085EED}">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D38" authorId="7" shapeId="0" xr:uid="{662AC5D2-2E55-4667-8E07-82BDD06848BA}">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E38" authorId="8" shapeId="0" xr:uid="{EC0265A8-44AE-4D65-AAB7-2B5197315895}">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F38" authorId="9" shapeId="0" xr:uid="{D68C6399-4279-4720-9505-D7D84B71971D}">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G38" authorId="10" shapeId="0" xr:uid="{2DE22C96-2C21-4452-AC53-A75EEC65276F}">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H38" authorId="11" shapeId="0" xr:uid="{4D6B3DD6-828D-4EE0-AC93-7038E008B51D}">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I38" authorId="12" shapeId="0" xr:uid="{D046D9B6-E817-4283-8301-AEC0B789FE91}">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J38" authorId="13" shapeId="0" xr:uid="{8AD070D9-F6F0-45D3-9AB9-A4659806BEE0}">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K38" authorId="14" shapeId="0" xr:uid="{7769A1A9-07C1-4333-BBA4-A4CE0ECA9D11}">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L38" authorId="15" shapeId="0" xr:uid="{8FE8E979-7573-4D4D-B4E4-704427B8C7A9}">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M38" authorId="16" shapeId="0" xr:uid="{311D8EE8-3153-4D43-888A-893E704B1B60}">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N38" authorId="17" shapeId="0" xr:uid="{7252E4C8-101E-4A1E-AB83-6EC7C13A8E2D}">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O38" authorId="18" shapeId="0" xr:uid="{10D7A64F-9301-43C7-92D5-52F490F811FC}">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D39" authorId="19" shapeId="0" xr:uid="{BADCB751-10B7-4E3C-ABBB-05206DFDFA14}">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E39" authorId="20" shapeId="0" xr:uid="{BE8495A3-429D-4143-9E61-A752C1E37202}">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F39" authorId="21" shapeId="0" xr:uid="{390034F1-9455-42ED-9E3A-CF6C47ADABAE}">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G39" authorId="22" shapeId="0" xr:uid="{80ED0B40-258D-4613-A460-A226D79E9A6F}">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H39" authorId="23" shapeId="0" xr:uid="{F90A5447-6266-4BC9-94A8-11AF79BB009B}">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I39" authorId="24" shapeId="0" xr:uid="{0832C41F-44A9-47BA-AEDA-A7B35BAE945A}">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J39" authorId="25" shapeId="0" xr:uid="{655ADABC-C507-4C2B-AD64-139408F90F3E}">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K39" authorId="26" shapeId="0" xr:uid="{4C935C36-6B5A-4AA6-B19D-196AA80A545D}">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L39" authorId="27" shapeId="0" xr:uid="{E7F46AAF-7CA3-48DE-893A-EA60D6477B57}">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M39" authorId="28" shapeId="0" xr:uid="{B505447E-AC6C-4481-B829-00085AE32EFA}">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N39" authorId="29" shapeId="0" xr:uid="{A6FCD739-6696-454F-B88F-2C8FE5E34A5F}">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O39" authorId="30" shapeId="0" xr:uid="{2584EE02-CF2A-43FA-ADBB-EBDCC890F9F7}">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D40" authorId="31" shapeId="0" xr:uid="{167ED9D2-B59D-4A31-A154-5B61993FD1C1}">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E40" authorId="32" shapeId="0" xr:uid="{88B01597-0217-4DC6-B19E-BFF81486A8B7}">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F40" authorId="33" shapeId="0" xr:uid="{51FC8F23-B152-49F5-A930-C859647FB761}">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G40" authorId="34" shapeId="0" xr:uid="{921DAA6D-E6DE-4052-9687-3C58082D6B83}">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H40" authorId="35" shapeId="0" xr:uid="{68D00D5E-4453-4057-92B7-1743EFC6B902}">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I40" authorId="36" shapeId="0" xr:uid="{809AB655-0F6B-49C8-B1F8-D4E7FFC77C88}">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J40" authorId="37" shapeId="0" xr:uid="{E9D4FF8B-6AD4-40B4-8519-154015332FEE}">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K40" authorId="38" shapeId="0" xr:uid="{E6BA33F2-DE6B-4519-9181-07E60BD0BFB1}">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L40" authorId="39" shapeId="0" xr:uid="{4C7DC78F-1F47-4AC2-BF3F-94FC1D0D567E}">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M40" authorId="40" shapeId="0" xr:uid="{B5A6038B-EC8D-4CBE-91B8-8F3C7C1E11B5}">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N40" authorId="41" shapeId="0" xr:uid="{66D6B6F9-C117-4688-A930-E275A49329F0}">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O40" authorId="42" shapeId="0" xr:uid="{5C9CB8E4-C0A8-449C-AFA6-773BE7CBB7E5}">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D41" authorId="43" shapeId="0" xr:uid="{46202196-0233-44F4-95BC-5D84FD6B5517}">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E41" authorId="44" shapeId="0" xr:uid="{7A35137D-7BD0-4F2C-B457-3DEDC0F75349}">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F41" authorId="45" shapeId="0" xr:uid="{5F3A4167-7031-469D-BE0A-89DCC1387336}">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G41" authorId="46" shapeId="0" xr:uid="{EDCA7411-F725-45B9-B78B-990C9D15E202}">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H41" authorId="47" shapeId="0" xr:uid="{D0B5A43C-FBC3-449D-B443-AB6925899F91}">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I41" authorId="48" shapeId="0" xr:uid="{DDD275C0-EFD3-4BBF-9560-B8B2DFF1E77F}">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J41" authorId="49" shapeId="0" xr:uid="{37B235C8-14BD-4323-9782-501BD37F47F9}">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K41" authorId="50" shapeId="0" xr:uid="{8609563A-9EB4-4E78-BA28-A0B6BB186096}">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L41" authorId="51" shapeId="0" xr:uid="{84162EF1-4E86-4313-9248-4ED638220360}">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M41" authorId="52" shapeId="0" xr:uid="{1B69A527-6DE8-49FC-A4CD-EAB12EF71E39}">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N41" authorId="53" shapeId="0" xr:uid="{8B3432E9-EDB9-42A9-9F19-50DE5906BEA8}">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 ref="O41" authorId="54" shapeId="0" xr:uid="{1A273C0C-9B45-4877-9919-0B544B8C59EB}">
      <text>
        <t>[Threaded comment]
Your version of Excel allows you to read this threaded comment; however, any edits to it will get removed if the file is opened in a newer version of Excel. Learn more: https://go.microsoft.com/fwlink/?linkid=870924
Comment:
    As per New Base of 2016 with base conversion factor of 2.88</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author>
    <author>tc={D42BD18A-879D-4186-BEA7-1F20FE13B7F6}</author>
    <author>tc={09908DA9-BC10-43D2-A104-A46FFE7F6D41}</author>
  </authors>
  <commentList>
    <comment ref="J8" authorId="0" shapeId="0" xr:uid="{9E085E74-2A19-450C-942E-F37AB1973590}">
      <text>
        <r>
          <rPr>
            <b/>
            <sz val="9"/>
            <color indexed="81"/>
            <rFont val="Tahoma"/>
            <family val="2"/>
          </rPr>
          <t>HP:</t>
        </r>
        <r>
          <rPr>
            <sz val="9"/>
            <color indexed="81"/>
            <rFont val="Tahoma"/>
            <family val="2"/>
          </rPr>
          <t xml:space="preserve">
DPC and Revenue from FMC
</t>
        </r>
      </text>
    </comment>
    <comment ref="M8" authorId="0" shapeId="0" xr:uid="{BB578F26-CF47-456C-B812-EC1BA7AD2049}">
      <text>
        <r>
          <rPr>
            <b/>
            <sz val="9"/>
            <color indexed="81"/>
            <rFont val="Tahoma"/>
            <family val="2"/>
          </rPr>
          <t>HP:</t>
        </r>
        <r>
          <rPr>
            <sz val="9"/>
            <color indexed="81"/>
            <rFont val="Tahoma"/>
            <family val="2"/>
          </rPr>
          <t xml:space="preserve">
difference of income from FMS</t>
        </r>
      </text>
    </comment>
    <comment ref="P8" authorId="0" shapeId="0" xr:uid="{940C42A1-B9AB-433D-9371-D402AB381C57}">
      <text>
        <r>
          <rPr>
            <b/>
            <sz val="9"/>
            <color indexed="81"/>
            <rFont val="Tahoma"/>
            <family val="2"/>
          </rPr>
          <t>HP:</t>
        </r>
        <r>
          <rPr>
            <sz val="9"/>
            <color indexed="81"/>
            <rFont val="Tahoma"/>
            <family val="2"/>
          </rPr>
          <t xml:space="preserve">
difference of income from FMS</t>
        </r>
      </text>
    </comment>
    <comment ref="S8" authorId="0" shapeId="0" xr:uid="{121ECCF8-CF77-4F58-9FC2-43B575C55865}">
      <text>
        <r>
          <rPr>
            <b/>
            <sz val="9"/>
            <color indexed="81"/>
            <rFont val="Tahoma"/>
            <family val="2"/>
          </rPr>
          <t>HP:</t>
        </r>
        <r>
          <rPr>
            <sz val="9"/>
            <color indexed="81"/>
            <rFont val="Tahoma"/>
            <family val="2"/>
          </rPr>
          <t xml:space="preserve">
difference of income from FMS</t>
        </r>
      </text>
    </comment>
    <comment ref="V8" authorId="0" shapeId="0" xr:uid="{6E67E781-67C2-4AE3-99E7-713C885E1F69}">
      <text>
        <r>
          <rPr>
            <b/>
            <sz val="9"/>
            <color indexed="81"/>
            <rFont val="Tahoma"/>
            <family val="2"/>
          </rPr>
          <t>HP:</t>
        </r>
        <r>
          <rPr>
            <sz val="9"/>
            <color indexed="81"/>
            <rFont val="Tahoma"/>
            <family val="2"/>
          </rPr>
          <t xml:space="preserve">
difference of income from FMS</t>
        </r>
      </text>
    </comment>
    <comment ref="Y8" authorId="0" shapeId="0" xr:uid="{3F4B90A0-B27A-47C2-8C65-E7B50CA0EFA0}">
      <text>
        <r>
          <rPr>
            <b/>
            <sz val="9"/>
            <color indexed="81"/>
            <rFont val="Tahoma"/>
            <family val="2"/>
          </rPr>
          <t>HP:</t>
        </r>
        <r>
          <rPr>
            <sz val="9"/>
            <color indexed="81"/>
            <rFont val="Tahoma"/>
            <family val="2"/>
          </rPr>
          <t xml:space="preserve">
difference of income from FMS</t>
        </r>
      </text>
    </comment>
    <comment ref="G17" authorId="0" shapeId="0" xr:uid="{C4664A13-27A3-4BCF-91F5-F7ABA9695CDE}">
      <text>
        <r>
          <rPr>
            <b/>
            <sz val="9"/>
            <color indexed="81"/>
            <rFont val="Tahoma"/>
            <family val="2"/>
          </rPr>
          <t>HP:</t>
        </r>
        <r>
          <rPr>
            <sz val="9"/>
            <color indexed="81"/>
            <rFont val="Tahoma"/>
            <family val="2"/>
          </rPr>
          <t xml:space="preserve">
Past year adjustment not considered as not claimed </t>
        </r>
      </text>
    </comment>
    <comment ref="H38" authorId="0" shapeId="0" xr:uid="{02631969-3331-488F-A502-C1D058F01A89}">
      <text>
        <r>
          <rPr>
            <b/>
            <sz val="9"/>
            <color indexed="81"/>
            <rFont val="Tahoma"/>
            <family val="2"/>
          </rPr>
          <t>HP:</t>
        </r>
        <r>
          <rPr>
            <sz val="9"/>
            <color indexed="81"/>
            <rFont val="Tahoma"/>
            <family val="2"/>
          </rPr>
          <t xml:space="preserve">
Not considerred as per Regulations</t>
        </r>
      </text>
    </comment>
    <comment ref="F80" authorId="0" shapeId="0" xr:uid="{73F9E049-D541-43EA-A079-763C7DDB6344}">
      <text>
        <r>
          <rPr>
            <b/>
            <sz val="9"/>
            <color indexed="81"/>
            <rFont val="Tahoma"/>
            <family val="2"/>
          </rPr>
          <t>HP:</t>
        </r>
        <r>
          <rPr>
            <sz val="9"/>
            <color indexed="81"/>
            <rFont val="Tahoma"/>
            <family val="2"/>
          </rPr>
          <t xml:space="preserve">
trsf to A&amp;G
</t>
        </r>
      </text>
    </comment>
    <comment ref="I80" authorId="0" shapeId="0" xr:uid="{84513126-6E46-428B-BA83-84F2B29072C5}">
      <text>
        <r>
          <rPr>
            <b/>
            <sz val="9"/>
            <color indexed="81"/>
            <rFont val="Tahoma"/>
            <family val="2"/>
          </rPr>
          <t>HP:</t>
        </r>
        <r>
          <rPr>
            <sz val="9"/>
            <color indexed="81"/>
            <rFont val="Tahoma"/>
            <family val="2"/>
          </rPr>
          <t xml:space="preserve">
trsf to A&amp;G
</t>
        </r>
      </text>
    </comment>
    <comment ref="L80" authorId="0" shapeId="0" xr:uid="{0163B004-CF73-46F4-906C-C4353D659BD3}">
      <text>
        <r>
          <rPr>
            <b/>
            <sz val="9"/>
            <color indexed="81"/>
            <rFont val="Tahoma"/>
            <family val="2"/>
          </rPr>
          <t>HP:</t>
        </r>
        <r>
          <rPr>
            <sz val="9"/>
            <color indexed="81"/>
            <rFont val="Tahoma"/>
            <family val="2"/>
          </rPr>
          <t xml:space="preserve">
trsf to A&amp;G
</t>
        </r>
      </text>
    </comment>
    <comment ref="O80" authorId="0" shapeId="0" xr:uid="{430CD32C-90CB-4B10-8B49-F25FAB2B4921}">
      <text>
        <r>
          <rPr>
            <b/>
            <sz val="9"/>
            <color indexed="81"/>
            <rFont val="Tahoma"/>
            <family val="2"/>
          </rPr>
          <t>HP:</t>
        </r>
        <r>
          <rPr>
            <sz val="9"/>
            <color indexed="81"/>
            <rFont val="Tahoma"/>
            <family val="2"/>
          </rPr>
          <t xml:space="preserve">
trsf to A&amp;G
</t>
        </r>
      </text>
    </comment>
    <comment ref="R80" authorId="0" shapeId="0" xr:uid="{84C4B041-47B8-4382-B9CB-773FA4BC9BF3}">
      <text>
        <r>
          <rPr>
            <b/>
            <sz val="9"/>
            <color indexed="81"/>
            <rFont val="Tahoma"/>
            <family val="2"/>
          </rPr>
          <t>HP:</t>
        </r>
        <r>
          <rPr>
            <sz val="9"/>
            <color indexed="81"/>
            <rFont val="Tahoma"/>
            <family val="2"/>
          </rPr>
          <t xml:space="preserve">
trsf to A&amp;G
</t>
        </r>
      </text>
    </comment>
    <comment ref="U80" authorId="0" shapeId="0" xr:uid="{08BF5D5F-6A4B-43D3-8A32-A38E5BDE7701}">
      <text>
        <r>
          <rPr>
            <b/>
            <sz val="9"/>
            <color indexed="81"/>
            <rFont val="Tahoma"/>
            <family val="2"/>
          </rPr>
          <t>HP:</t>
        </r>
        <r>
          <rPr>
            <sz val="9"/>
            <color indexed="81"/>
            <rFont val="Tahoma"/>
            <family val="2"/>
          </rPr>
          <t xml:space="preserve">
trsf to A&amp;G
</t>
        </r>
      </text>
    </comment>
    <comment ref="X80" authorId="0" shapeId="0" xr:uid="{A225BABB-354D-452D-B7F0-C500AB506A1A}">
      <text>
        <r>
          <rPr>
            <b/>
            <sz val="9"/>
            <color indexed="81"/>
            <rFont val="Tahoma"/>
            <family val="2"/>
          </rPr>
          <t>HP:</t>
        </r>
        <r>
          <rPr>
            <sz val="9"/>
            <color indexed="81"/>
            <rFont val="Tahoma"/>
            <family val="2"/>
          </rPr>
          <t xml:space="preserve">
trsf to A&amp;G
</t>
        </r>
      </text>
    </comment>
    <comment ref="F81" authorId="0" shapeId="0" xr:uid="{C6D0103D-8AB2-435A-8F84-6074AAA0D3F4}">
      <text>
        <r>
          <rPr>
            <b/>
            <sz val="9"/>
            <color indexed="81"/>
            <rFont val="Tahoma"/>
            <family val="2"/>
          </rPr>
          <t>HP:</t>
        </r>
        <r>
          <rPr>
            <sz val="9"/>
            <color indexed="81"/>
            <rFont val="Tahoma"/>
            <family val="2"/>
          </rPr>
          <t xml:space="preserve">
trsf to A&amp;G
</t>
        </r>
      </text>
    </comment>
    <comment ref="I81" authorId="0" shapeId="0" xr:uid="{2F0F7CED-9C83-48CA-A75D-3000B6DF855C}">
      <text>
        <r>
          <rPr>
            <b/>
            <sz val="9"/>
            <color indexed="81"/>
            <rFont val="Tahoma"/>
            <family val="2"/>
          </rPr>
          <t>HP:</t>
        </r>
        <r>
          <rPr>
            <sz val="9"/>
            <color indexed="81"/>
            <rFont val="Tahoma"/>
            <family val="2"/>
          </rPr>
          <t xml:space="preserve">
trsf to A&amp;G
</t>
        </r>
      </text>
    </comment>
    <comment ref="L81" authorId="0" shapeId="0" xr:uid="{127E53A8-1E6F-400A-86EF-AB4DFB5CD122}">
      <text>
        <r>
          <rPr>
            <b/>
            <sz val="9"/>
            <color indexed="81"/>
            <rFont val="Tahoma"/>
            <family val="2"/>
          </rPr>
          <t>HP:</t>
        </r>
        <r>
          <rPr>
            <sz val="9"/>
            <color indexed="81"/>
            <rFont val="Tahoma"/>
            <family val="2"/>
          </rPr>
          <t xml:space="preserve">
trsf to A&amp;G
</t>
        </r>
      </text>
    </comment>
    <comment ref="O81" authorId="0" shapeId="0" xr:uid="{48CDE10D-8C62-4CB6-9111-9FECB0F3792E}">
      <text>
        <r>
          <rPr>
            <b/>
            <sz val="9"/>
            <color indexed="81"/>
            <rFont val="Tahoma"/>
            <family val="2"/>
          </rPr>
          <t>HP:</t>
        </r>
        <r>
          <rPr>
            <sz val="9"/>
            <color indexed="81"/>
            <rFont val="Tahoma"/>
            <family val="2"/>
          </rPr>
          <t xml:space="preserve">
trsf to A&amp;G
</t>
        </r>
      </text>
    </comment>
    <comment ref="R81" authorId="0" shapeId="0" xr:uid="{CD1D3265-78CF-4B5A-9161-B0BA425A6849}">
      <text>
        <r>
          <rPr>
            <b/>
            <sz val="9"/>
            <color indexed="81"/>
            <rFont val="Tahoma"/>
            <family val="2"/>
          </rPr>
          <t>HP:</t>
        </r>
        <r>
          <rPr>
            <sz val="9"/>
            <color indexed="81"/>
            <rFont val="Tahoma"/>
            <family val="2"/>
          </rPr>
          <t xml:space="preserve">
trsf to A&amp;G
</t>
        </r>
      </text>
    </comment>
    <comment ref="U81" authorId="0" shapeId="0" xr:uid="{7C1FA76E-3849-4CA3-A77B-E2418FA431DF}">
      <text>
        <r>
          <rPr>
            <b/>
            <sz val="9"/>
            <color indexed="81"/>
            <rFont val="Tahoma"/>
            <family val="2"/>
          </rPr>
          <t>HP:</t>
        </r>
        <r>
          <rPr>
            <sz val="9"/>
            <color indexed="81"/>
            <rFont val="Tahoma"/>
            <family val="2"/>
          </rPr>
          <t xml:space="preserve">
trsf to A&amp;G
</t>
        </r>
      </text>
    </comment>
    <comment ref="X81" authorId="0" shapeId="0" xr:uid="{1F8E8568-CD7D-4390-8C56-E8608A2A6FB8}">
      <text>
        <r>
          <rPr>
            <b/>
            <sz val="9"/>
            <color indexed="81"/>
            <rFont val="Tahoma"/>
            <family val="2"/>
          </rPr>
          <t>HP:</t>
        </r>
        <r>
          <rPr>
            <sz val="9"/>
            <color indexed="81"/>
            <rFont val="Tahoma"/>
            <family val="2"/>
          </rPr>
          <t xml:space="preserve">
trsf to A&amp;G
</t>
        </r>
      </text>
    </comment>
    <comment ref="I82" authorId="0" shapeId="0" xr:uid="{9AE3F344-F552-451A-A43E-9ED7D162CE13}">
      <text>
        <r>
          <rPr>
            <b/>
            <sz val="9"/>
            <color indexed="81"/>
            <rFont val="Tahoma"/>
            <family val="2"/>
          </rPr>
          <t>HP:</t>
        </r>
        <r>
          <rPr>
            <sz val="9"/>
            <color indexed="81"/>
            <rFont val="Tahoma"/>
            <family val="2"/>
          </rPr>
          <t xml:space="preserve">
trsf to R&amp;M
</t>
        </r>
      </text>
    </comment>
    <comment ref="L82" authorId="0" shapeId="0" xr:uid="{F61510D5-4B41-495E-A12A-6AF58D3E8EF6}">
      <text>
        <r>
          <rPr>
            <b/>
            <sz val="9"/>
            <color indexed="81"/>
            <rFont val="Tahoma"/>
            <family val="2"/>
          </rPr>
          <t>HP:</t>
        </r>
        <r>
          <rPr>
            <sz val="9"/>
            <color indexed="81"/>
            <rFont val="Tahoma"/>
            <family val="2"/>
          </rPr>
          <t xml:space="preserve">
trsf to R&amp;M
</t>
        </r>
      </text>
    </comment>
    <comment ref="O82" authorId="0" shapeId="0" xr:uid="{2A261F26-0E91-4EB0-BFC9-88C24A3DCFBA}">
      <text>
        <r>
          <rPr>
            <b/>
            <sz val="9"/>
            <color indexed="81"/>
            <rFont val="Tahoma"/>
            <family val="2"/>
          </rPr>
          <t>HP:</t>
        </r>
        <r>
          <rPr>
            <sz val="9"/>
            <color indexed="81"/>
            <rFont val="Tahoma"/>
            <family val="2"/>
          </rPr>
          <t xml:space="preserve">
trsf to R&amp;M
</t>
        </r>
      </text>
    </comment>
    <comment ref="R82" authorId="0" shapeId="0" xr:uid="{43CD73DA-A8A1-4E0E-A9EA-845D90EDA766}">
      <text>
        <r>
          <rPr>
            <b/>
            <sz val="9"/>
            <color indexed="81"/>
            <rFont val="Tahoma"/>
            <family val="2"/>
          </rPr>
          <t>HP:</t>
        </r>
        <r>
          <rPr>
            <sz val="9"/>
            <color indexed="81"/>
            <rFont val="Tahoma"/>
            <family val="2"/>
          </rPr>
          <t xml:space="preserve">
trsf to R&amp;M
</t>
        </r>
      </text>
    </comment>
    <comment ref="U82" authorId="0" shapeId="0" xr:uid="{7FCE178E-6262-45BE-B55A-9AA19B9DBE6B}">
      <text>
        <r>
          <rPr>
            <b/>
            <sz val="9"/>
            <color indexed="81"/>
            <rFont val="Tahoma"/>
            <family val="2"/>
          </rPr>
          <t>HP:</t>
        </r>
        <r>
          <rPr>
            <sz val="9"/>
            <color indexed="81"/>
            <rFont val="Tahoma"/>
            <family val="2"/>
          </rPr>
          <t xml:space="preserve">
trsf to R&amp;M
</t>
        </r>
      </text>
    </comment>
    <comment ref="X82" authorId="0" shapeId="0" xr:uid="{DC45BBAC-E9FF-4957-9AD3-15E50E12ECFC}">
      <text>
        <r>
          <rPr>
            <b/>
            <sz val="9"/>
            <color indexed="81"/>
            <rFont val="Tahoma"/>
            <family val="2"/>
          </rPr>
          <t>HP:</t>
        </r>
        <r>
          <rPr>
            <sz val="9"/>
            <color indexed="81"/>
            <rFont val="Tahoma"/>
            <family val="2"/>
          </rPr>
          <t xml:space="preserve">
trsf to R&amp;M
</t>
        </r>
      </text>
    </comment>
    <comment ref="I83" authorId="0" shapeId="0" xr:uid="{24E81F3F-13BB-4E0F-9420-4AAF92B9EBF7}">
      <text>
        <r>
          <rPr>
            <b/>
            <sz val="9"/>
            <color indexed="81"/>
            <rFont val="Tahoma"/>
            <family val="2"/>
          </rPr>
          <t>HP:</t>
        </r>
        <r>
          <rPr>
            <sz val="9"/>
            <color indexed="81"/>
            <rFont val="Tahoma"/>
            <family val="2"/>
          </rPr>
          <t xml:space="preserve">
trsf to A&amp;G
</t>
        </r>
      </text>
    </comment>
    <comment ref="L83" authorId="0" shapeId="0" xr:uid="{C5630664-7DA7-4A51-95AD-E5FC0F30179B}">
      <text>
        <r>
          <rPr>
            <b/>
            <sz val="9"/>
            <color indexed="81"/>
            <rFont val="Tahoma"/>
            <family val="2"/>
          </rPr>
          <t>HP:</t>
        </r>
        <r>
          <rPr>
            <sz val="9"/>
            <color indexed="81"/>
            <rFont val="Tahoma"/>
            <family val="2"/>
          </rPr>
          <t xml:space="preserve">
trsf to A&amp;G
</t>
        </r>
      </text>
    </comment>
    <comment ref="O83" authorId="0" shapeId="0" xr:uid="{6377348C-B313-43D3-B7A2-03CBEF80677F}">
      <text>
        <r>
          <rPr>
            <b/>
            <sz val="9"/>
            <color indexed="81"/>
            <rFont val="Tahoma"/>
            <family val="2"/>
          </rPr>
          <t>HP:</t>
        </r>
        <r>
          <rPr>
            <sz val="9"/>
            <color indexed="81"/>
            <rFont val="Tahoma"/>
            <family val="2"/>
          </rPr>
          <t xml:space="preserve">
trsf to A&amp;G
</t>
        </r>
      </text>
    </comment>
    <comment ref="R83" authorId="0" shapeId="0" xr:uid="{F37C9550-5184-4145-9CCD-CB0D7DF268D1}">
      <text>
        <r>
          <rPr>
            <b/>
            <sz val="9"/>
            <color indexed="81"/>
            <rFont val="Tahoma"/>
            <family val="2"/>
          </rPr>
          <t>HP:</t>
        </r>
        <r>
          <rPr>
            <sz val="9"/>
            <color indexed="81"/>
            <rFont val="Tahoma"/>
            <family val="2"/>
          </rPr>
          <t xml:space="preserve">
trsf to A&amp;G
</t>
        </r>
      </text>
    </comment>
    <comment ref="U83" authorId="0" shapeId="0" xr:uid="{E2B7CDBD-88BD-46F6-8108-1754678F533F}">
      <text>
        <r>
          <rPr>
            <b/>
            <sz val="9"/>
            <color indexed="81"/>
            <rFont val="Tahoma"/>
            <family val="2"/>
          </rPr>
          <t>HP:</t>
        </r>
        <r>
          <rPr>
            <sz val="9"/>
            <color indexed="81"/>
            <rFont val="Tahoma"/>
            <family val="2"/>
          </rPr>
          <t xml:space="preserve">
trsf to A&amp;G
</t>
        </r>
      </text>
    </comment>
    <comment ref="X83" authorId="0" shapeId="0" xr:uid="{C405388C-A3BB-4B2A-B1D0-BD1343E6085C}">
      <text>
        <r>
          <rPr>
            <b/>
            <sz val="9"/>
            <color indexed="81"/>
            <rFont val="Tahoma"/>
            <family val="2"/>
          </rPr>
          <t>HP:</t>
        </r>
        <r>
          <rPr>
            <sz val="9"/>
            <color indexed="81"/>
            <rFont val="Tahoma"/>
            <family val="2"/>
          </rPr>
          <t xml:space="preserve">
trsf to A&amp;G
</t>
        </r>
      </text>
    </comment>
    <comment ref="T93" authorId="1" shapeId="0" xr:uid="{D42BD18A-879D-4186-BEA7-1F20FE13B7F6}">
      <text>
        <t xml:space="preserve">[Threaded comment]
Your version of Excel allows you to read this threaded comment; however, any edits to it will get removed if the file is opened in a newer version of Excel. Learn more: https://go.microsoft.com/fwlink/?linkid=870924
Comment:
    Wht is the reimbursement of expenses </t>
      </text>
    </comment>
    <comment ref="N134" authorId="2" shapeId="0" xr:uid="{09908DA9-BC10-43D2-A104-A46FFE7F6D41}">
      <text>
        <t>[Threaded comment]
Your version of Excel allows you to read this threaded comment; however, any edits to it will get removed if the file is opened in a newer version of Excel. Learn more: https://go.microsoft.com/fwlink/?linkid=870924
Comment:
    Trading margin included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L16" authorId="0" shapeId="0" xr:uid="{8053F4F1-FC49-41B8-967F-16A325A08833}">
      <text>
        <r>
          <rPr>
            <b/>
            <sz val="9"/>
            <color indexed="81"/>
            <rFont val="Tahoma"/>
            <family val="2"/>
          </rPr>
          <t>HP:</t>
        </r>
        <r>
          <rPr>
            <sz val="9"/>
            <color indexed="81"/>
            <rFont val="Tahoma"/>
            <family val="2"/>
          </rPr>
          <t xml:space="preserve">
Considered in CAM</t>
        </r>
      </text>
    </comment>
    <comment ref="L38" authorId="0" shapeId="0" xr:uid="{9D571F3A-D3D5-46D6-ADB0-0D57080C2A85}">
      <text>
        <r>
          <rPr>
            <b/>
            <sz val="9"/>
            <color indexed="81"/>
            <rFont val="Tahoma"/>
            <family val="2"/>
          </rPr>
          <t>HP:</t>
        </r>
        <r>
          <rPr>
            <sz val="9"/>
            <color indexed="81"/>
            <rFont val="Tahoma"/>
            <family val="2"/>
          </rPr>
          <t xml:space="preserve">
Depreciaiton on IT Equipment allocated to CAM adjusted</t>
        </r>
      </text>
    </comment>
    <comment ref="O38" authorId="0" shapeId="0" xr:uid="{2FB265B4-2540-46C8-BFB2-EEE87FABF5DA}">
      <text>
        <r>
          <rPr>
            <b/>
            <sz val="9"/>
            <color indexed="81"/>
            <rFont val="Tahoma"/>
            <family val="2"/>
          </rPr>
          <t>HP:</t>
        </r>
        <r>
          <rPr>
            <sz val="9"/>
            <color indexed="81"/>
            <rFont val="Tahoma"/>
            <family val="2"/>
          </rPr>
          <t xml:space="preserve">
Depreciation on IT equipment allotted to CAM adjusted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Q47" authorId="0" shapeId="0" xr:uid="{4C91BA86-A8C5-4367-AF68-F36E92C36560}">
      <text>
        <r>
          <rPr>
            <b/>
            <sz val="9"/>
            <color indexed="81"/>
            <rFont val="Tahoma"/>
            <family val="2"/>
          </rPr>
          <t>HP:</t>
        </r>
        <r>
          <rPr>
            <sz val="9"/>
            <color indexed="81"/>
            <rFont val="Tahoma"/>
            <family val="2"/>
          </rPr>
          <t xml:space="preserve">
IDC not considered under approval</t>
        </r>
      </text>
    </comment>
    <comment ref="R47" authorId="0" shapeId="0" xr:uid="{8A4FD40F-9F3F-4404-BBF5-D3596E8F37EB}">
      <text>
        <r>
          <rPr>
            <b/>
            <sz val="9"/>
            <color indexed="81"/>
            <rFont val="Tahoma"/>
            <family val="2"/>
          </rPr>
          <t>HP:</t>
        </r>
        <r>
          <rPr>
            <sz val="9"/>
            <color indexed="81"/>
            <rFont val="Tahoma"/>
            <family val="2"/>
          </rPr>
          <t xml:space="preserve">
Soft Cost not considered under approval</t>
        </r>
      </text>
    </comment>
    <comment ref="Q63" authorId="0" shapeId="0" xr:uid="{EB9D14F6-5927-4DD9-9069-1070A3268E6F}">
      <text>
        <r>
          <rPr>
            <b/>
            <sz val="9"/>
            <color indexed="81"/>
            <rFont val="Tahoma"/>
            <family val="2"/>
          </rPr>
          <t>HP:</t>
        </r>
        <r>
          <rPr>
            <sz val="9"/>
            <color indexed="81"/>
            <rFont val="Tahoma"/>
            <family val="2"/>
          </rPr>
          <t xml:space="preserve">
IDC not considered under approval</t>
        </r>
      </text>
    </comment>
    <comment ref="R63" authorId="0" shapeId="0" xr:uid="{56DA4F05-2261-4552-B156-0CF6FCD1FA1A}">
      <text>
        <r>
          <rPr>
            <b/>
            <sz val="9"/>
            <color indexed="81"/>
            <rFont val="Tahoma"/>
            <family val="2"/>
          </rPr>
          <t>HP:</t>
        </r>
        <r>
          <rPr>
            <sz val="9"/>
            <color indexed="81"/>
            <rFont val="Tahoma"/>
            <family val="2"/>
          </rPr>
          <t xml:space="preserve">
Soft Cost not considered</t>
        </r>
      </text>
    </comment>
    <comment ref="Q80" authorId="0" shapeId="0" xr:uid="{B16051B6-843D-463B-834A-015AD469ADB0}">
      <text>
        <r>
          <rPr>
            <b/>
            <sz val="9"/>
            <color indexed="81"/>
            <rFont val="Tahoma"/>
            <family val="2"/>
          </rPr>
          <t>HP:</t>
        </r>
        <r>
          <rPr>
            <sz val="9"/>
            <color indexed="81"/>
            <rFont val="Tahoma"/>
            <family val="2"/>
          </rPr>
          <t xml:space="preserve">
IDC not considered under approval</t>
        </r>
      </text>
    </comment>
    <comment ref="R80" authorId="0" shapeId="0" xr:uid="{93AD6891-011D-43DF-9C4A-FFAEB27BEBAA}">
      <text>
        <r>
          <rPr>
            <b/>
            <sz val="9"/>
            <color indexed="81"/>
            <rFont val="Tahoma"/>
            <family val="2"/>
          </rPr>
          <t>HP:</t>
        </r>
        <r>
          <rPr>
            <sz val="9"/>
            <color indexed="81"/>
            <rFont val="Tahoma"/>
            <family val="2"/>
          </rPr>
          <t xml:space="preserve">
Soft Cost not considered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L9" authorId="0" shapeId="0" xr:uid="{6A4A096D-94E9-4F3D-A6FD-19CF1F5A7306}">
      <text>
        <r>
          <rPr>
            <b/>
            <sz val="9"/>
            <color indexed="81"/>
            <rFont val="Tahoma"/>
            <family val="2"/>
          </rPr>
          <t>HP:</t>
        </r>
        <r>
          <rPr>
            <sz val="9"/>
            <color indexed="81"/>
            <rFont val="Tahoma"/>
            <family val="2"/>
          </rPr>
          <t xml:space="preserve">
Unbilled Revenue considdered alongwith the amount billed which includes ED / TOSE but doesn’t include NTI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tc={8F7426E7-8A54-404F-80E2-81B1E13FC767}</author>
    <author>tc={E9C54F85-15EF-4FC6-9982-8852D3F3A761}</author>
    <author>tc={C0744BEA-D62D-45D6-8483-015442989807}</author>
  </authors>
  <commentList>
    <comment ref="G201" authorId="0" shapeId="0" xr:uid="{8F7426E7-8A54-404F-80E2-81B1E13FC767}">
      <text>
        <t>[Threaded comment]
Your version of Excel allows you to read this threaded comment; however, any edits to it will get removed if the file is opened in a newer version of Excel. Learn more: https://go.microsoft.com/fwlink/?linkid=870924
Comment:
    Post rebate claimed</t>
      </text>
    </comment>
    <comment ref="G250" authorId="1" shapeId="0" xr:uid="{E9C54F85-15EF-4FC6-9982-8852D3F3A761}">
      <text>
        <t>[Threaded comment]
Your version of Excel allows you to read this threaded comment; however, any edits to it will get removed if the file is opened in a newer version of Excel. Learn more: https://go.microsoft.com/fwlink/?linkid=870924
Comment:
    Post rebate claimed</t>
      </text>
    </comment>
    <comment ref="G283" authorId="2" shapeId="0" xr:uid="{C0744BEA-D62D-45D6-8483-015442989807}">
      <text>
        <t>[Threaded comment]
Your version of Excel allows you to read this threaded comment; however, any edits to it will get removed if the file is opened in a newer version of Excel. Learn more: https://go.microsoft.com/fwlink/?linkid=870924
Comment:
    Post rebate claimed</t>
      </text>
    </comment>
  </commentList>
</comments>
</file>

<file path=xl/sharedStrings.xml><?xml version="1.0" encoding="utf-8"?>
<sst xmlns="http://schemas.openxmlformats.org/spreadsheetml/2006/main" count="19472" uniqueCount="1894">
  <si>
    <t xml:space="preserve"> MYT Petition Formats - Distribution Wires and Retail Supply</t>
  </si>
  <si>
    <t>Sr. No.</t>
  </si>
  <si>
    <t>Title</t>
  </si>
  <si>
    <t>Reference</t>
  </si>
  <si>
    <t>Customer Sales Forecast</t>
  </si>
  <si>
    <t>Form 1</t>
  </si>
  <si>
    <t>Wheeling Forecast</t>
  </si>
  <si>
    <t>Form 1.1</t>
  </si>
  <si>
    <t>Voltage wise Sales</t>
  </si>
  <si>
    <t>Form 1.2</t>
  </si>
  <si>
    <t>Distribution Losses</t>
  </si>
  <si>
    <t>Form 1.3</t>
  </si>
  <si>
    <t>Energy Balance</t>
  </si>
  <si>
    <t>Form 1.4</t>
  </si>
  <si>
    <t>Demand &amp; Supply Position</t>
  </si>
  <si>
    <t>Form 1.5</t>
  </si>
  <si>
    <t>Power Purchase Expenses</t>
  </si>
  <si>
    <t>Form 2</t>
  </si>
  <si>
    <t>Power Procurement Quantum</t>
  </si>
  <si>
    <t>Form 2.1</t>
  </si>
  <si>
    <t>Intra-State Transmission Charges and MSLDC Charges</t>
  </si>
  <si>
    <t>Form 2.2</t>
  </si>
  <si>
    <t>AT&amp;C Losses for 5th Control Period</t>
  </si>
  <si>
    <t>Form 2.3</t>
  </si>
  <si>
    <t>Summary of Operations and Maintenance Expenses</t>
  </si>
  <si>
    <t>Form 3</t>
  </si>
  <si>
    <t>Operation and Maintenance Expenses -Normative</t>
  </si>
  <si>
    <t>Form 3.1</t>
  </si>
  <si>
    <t>Employee Expenses</t>
  </si>
  <si>
    <t>Form 3.2</t>
  </si>
  <si>
    <t>Administration &amp; General Expenses</t>
  </si>
  <si>
    <t>Form 3.3</t>
  </si>
  <si>
    <t>Repair &amp; Maintenance Expenses</t>
  </si>
  <si>
    <t>Form 3.4</t>
  </si>
  <si>
    <t>Summary of Capital Expenditure and Capitalisation</t>
  </si>
  <si>
    <t>Form 4</t>
  </si>
  <si>
    <t xml:space="preserve">Capital Expenditure Plan </t>
  </si>
  <si>
    <t>Form 4.1</t>
  </si>
  <si>
    <t>Capitalisation Plan</t>
  </si>
  <si>
    <t>Form 4.2</t>
  </si>
  <si>
    <t>Capital Work-in-progress - Project-wise details</t>
  </si>
  <si>
    <t>Form 4.3</t>
  </si>
  <si>
    <t>Assets &amp; Depreciation (Distribution Wires + Retail Supply Business)</t>
  </si>
  <si>
    <t>Form 5</t>
  </si>
  <si>
    <t>Assets &amp; Depreciation (Distribution Wires Business) - Existing Schemes (CoD on or before the March 31, 2025 or Assets in-principally approved  before the notification of MERC MYT Regulations 2024)</t>
  </si>
  <si>
    <t xml:space="preserve">Form 5.1 (E) </t>
  </si>
  <si>
    <t>Assets &amp; Depreciation (Retail Supply Business) - Existing Schemes (CoD on or before the March 31, 2025 or Assets in-principally approved  before the notification of MERC MYT Regulations 2024)</t>
  </si>
  <si>
    <t xml:space="preserve">Form 5.2 (E) </t>
  </si>
  <si>
    <t>Assets &amp; Depreciation (Distribution Wires Business) - New Schemes (not covered under Existing Assets)</t>
  </si>
  <si>
    <t xml:space="preserve">Form 5.1 (N) </t>
  </si>
  <si>
    <t>Assets &amp; Depreciation (Retail Supply Business) - New Schemes ((not covered under Existing Assets)</t>
  </si>
  <si>
    <t xml:space="preserve">Form 5.2 (N) </t>
  </si>
  <si>
    <t>Interest on Loan Capital</t>
  </si>
  <si>
    <t>Form 6</t>
  </si>
  <si>
    <t>Interest on Working Capital and Interest on Consumer Security Deposit</t>
  </si>
  <si>
    <t>Form 7</t>
  </si>
  <si>
    <t>Return on Regulatory Equity Capital</t>
  </si>
  <si>
    <t>Form 8</t>
  </si>
  <si>
    <t>Non-Tariff Income</t>
  </si>
  <si>
    <t>Form 9</t>
  </si>
  <si>
    <t>Provision for bad and doubtful debts</t>
  </si>
  <si>
    <t>Form 10</t>
  </si>
  <si>
    <t>Contribution to Contingency Reserves</t>
  </si>
  <si>
    <t>Form 11</t>
  </si>
  <si>
    <t>Income Tax</t>
  </si>
  <si>
    <t>Form 12</t>
  </si>
  <si>
    <t>Revenue from Sale of Electricity for FY 2022-23, FY 2023-24 and FY 2024-25</t>
  </si>
  <si>
    <t>Form 13</t>
  </si>
  <si>
    <t>Expected Revenue at existing Tariff for FY 2025-26</t>
  </si>
  <si>
    <t>Form 13.1</t>
  </si>
  <si>
    <t>Expected Revenue at existing Tariff for FY 2026-27</t>
  </si>
  <si>
    <t>Form 13.2</t>
  </si>
  <si>
    <t>Expected Revenue at existing Tariff for FY 2027-28</t>
  </si>
  <si>
    <t>Form 13.3</t>
  </si>
  <si>
    <t>Expected Revenue at existing Tariff for FY 2028-29</t>
  </si>
  <si>
    <t>Form 13.4</t>
  </si>
  <si>
    <t>Expected Revenue at existing Tariff for FY 2029-30</t>
  </si>
  <si>
    <t>Form 13.5</t>
  </si>
  <si>
    <t>Expected Revenue at proposed Tariff for FY 2025-26</t>
  </si>
  <si>
    <t>Form 14.1</t>
  </si>
  <si>
    <t>Expected Revenue at proposed Tariff for FY 2026-27</t>
  </si>
  <si>
    <t>Form 14.2</t>
  </si>
  <si>
    <t>Expected Revenue at proposed Tariff for FY 2027-28</t>
  </si>
  <si>
    <t>Form 14.3</t>
  </si>
  <si>
    <t>Expected Revenue at proposed Tariff for FY 2028-29</t>
  </si>
  <si>
    <t>Form 14.4</t>
  </si>
  <si>
    <t>Expected Revenue at proposed Tariff for FY 2029-20</t>
  </si>
  <si>
    <t>Form 14.5</t>
  </si>
  <si>
    <t>Cross-subsidy Trajectory</t>
  </si>
  <si>
    <t>Form 15</t>
  </si>
  <si>
    <t>Billing Efficiency and Collection Efficiency</t>
  </si>
  <si>
    <t>Form 16</t>
  </si>
  <si>
    <t>Trajectory for Billing Efficiency and Collection Efficiency</t>
  </si>
  <si>
    <t>Form 17</t>
  </si>
  <si>
    <t>Payment Efficiency</t>
  </si>
  <si>
    <t>Form 18</t>
  </si>
  <si>
    <t>Rebate given to Consumer Category</t>
  </si>
  <si>
    <t>Form 19</t>
  </si>
  <si>
    <t>Truing-Up Summary</t>
  </si>
  <si>
    <t>Form 20</t>
  </si>
  <si>
    <t>Depreciation Schedule</t>
  </si>
  <si>
    <t>Form 21</t>
  </si>
  <si>
    <t xml:space="preserve">ToD Charges for 5th Control Period </t>
  </si>
  <si>
    <t>Form 22</t>
  </si>
  <si>
    <t xml:space="preserve">Voltage Wise Asset Details </t>
  </si>
  <si>
    <t xml:space="preserve">Annexure 1 </t>
  </si>
  <si>
    <t>&lt;Name of the Distribution Licensee&gt;</t>
  </si>
  <si>
    <t>MYT Petition Formats - Distribution Wires and Retail Supply</t>
  </si>
  <si>
    <t>Aggregate Revenue Requirement - Summary Sheet</t>
  </si>
  <si>
    <t>A) Distribution Wires Business</t>
  </si>
  <si>
    <t>(Rs. Crore)</t>
  </si>
  <si>
    <t>Particulars</t>
  </si>
  <si>
    <t>FY 2022-23</t>
  </si>
  <si>
    <t>FY 2023-24</t>
  </si>
  <si>
    <t>FY 2024-25</t>
  </si>
  <si>
    <t>Ensuing Years</t>
  </si>
  <si>
    <t>Remarks</t>
  </si>
  <si>
    <t>April-March      (Audited )</t>
  </si>
  <si>
    <t>True-Up requirement</t>
  </si>
  <si>
    <t>Apr-Sep    (Actual)</t>
  </si>
  <si>
    <t>Oct-Mar          (Estimated)</t>
  </si>
  <si>
    <t>April - March (Estimated)</t>
  </si>
  <si>
    <t>Provisional True-Up requirement</t>
  </si>
  <si>
    <t>FY 2025-26</t>
  </si>
  <si>
    <t>FY 2026-27</t>
  </si>
  <si>
    <t>FY 2027-28</t>
  </si>
  <si>
    <t>FY 2028-29</t>
  </si>
  <si>
    <t>FY 2029-30</t>
  </si>
  <si>
    <t>(a)</t>
  </si>
  <si>
    <t>(b)</t>
  </si>
  <si>
    <t>(d)</t>
  </si>
  <si>
    <t>(e)</t>
  </si>
  <si>
    <t>(g)</t>
  </si>
  <si>
    <t>(h)</t>
  </si>
  <si>
    <t>(k) = (j) - (g)</t>
  </si>
  <si>
    <t>Projected</t>
  </si>
  <si>
    <t>Operation &amp; Maintenance Expenses</t>
  </si>
  <si>
    <t xml:space="preserve">Depreciation </t>
  </si>
  <si>
    <t xml:space="preserve">F 5.1 ( E) + F 5.1 (N) </t>
  </si>
  <si>
    <t>Interest on Working Capital</t>
  </si>
  <si>
    <t>Interest on deposit from Consumers and Distribution System Users</t>
  </si>
  <si>
    <t>Contribution to contingency reserves</t>
  </si>
  <si>
    <t>Total Revenue Expenditure</t>
  </si>
  <si>
    <t>Add: Return on Equity Capital</t>
  </si>
  <si>
    <t>Aggregate Revenue Requirement</t>
  </si>
  <si>
    <t>Less: Non-Tariff Income</t>
  </si>
  <si>
    <t>Less: Income from other business</t>
  </si>
  <si>
    <t>Aggregate Revenue Requirement from Distribution Wires</t>
  </si>
  <si>
    <r>
      <rPr>
        <b/>
        <sz val="11"/>
        <rFont val="Times New Roman"/>
        <family val="1"/>
      </rPr>
      <t>Note</t>
    </r>
    <r>
      <rPr>
        <sz val="11"/>
        <rFont val="Times New Roman"/>
        <family val="1"/>
      </rPr>
      <t>: * - In case MTR Order is yet to be issued, then MYT Order values to be captured under this column</t>
    </r>
  </si>
  <si>
    <t>B) Retail Supply Business</t>
  </si>
  <si>
    <t>Power Purchase Expenses (including Inter-State Transmission Charges)</t>
  </si>
  <si>
    <t xml:space="preserve">F 5.2 ( E) + F 5.2 (N) </t>
  </si>
  <si>
    <t>Interest on Consumer Security Deposit</t>
  </si>
  <si>
    <t>Write-off of Provision for bad and doubtful debts</t>
  </si>
  <si>
    <t>Intra-State Transmission Charges</t>
  </si>
  <si>
    <t>MSLDC Fees &amp; Charges</t>
  </si>
  <si>
    <t>Less: Receipts on account of Cross-Subsidy Surcharge</t>
  </si>
  <si>
    <t>Less: Receipts on account of Additional Surcharge, if any</t>
  </si>
  <si>
    <t>Aggregate Revenue Requirement from Retail Supply</t>
  </si>
  <si>
    <t>A) Sales Forecast</t>
  </si>
  <si>
    <t>Consumer Category &amp; Consumption Slab</t>
  </si>
  <si>
    <t>HT Category</t>
  </si>
  <si>
    <t>Sub-total</t>
  </si>
  <si>
    <t>LT Category</t>
  </si>
  <si>
    <t>Total</t>
  </si>
  <si>
    <t>Notes -</t>
  </si>
  <si>
    <t>1) Licensees are required to provide the details for the customer categories applicable to their licence area</t>
  </si>
  <si>
    <t>2) *- In case MTR Order is yet to be issued, then MYT Order values to be captured under this column</t>
  </si>
  <si>
    <t>3) Licensees should submit separate data for all sub-categories and consumption slabs within each category</t>
  </si>
  <si>
    <t>B) Details of Sales</t>
  </si>
  <si>
    <t>FY 2022-23 - Actual$</t>
  </si>
  <si>
    <t>(MU)</t>
  </si>
  <si>
    <t>Apr</t>
  </si>
  <si>
    <t>May</t>
  </si>
  <si>
    <t>Jun</t>
  </si>
  <si>
    <t>Jul</t>
  </si>
  <si>
    <t>Aug</t>
  </si>
  <si>
    <t>Sep</t>
  </si>
  <si>
    <t>Oct</t>
  </si>
  <si>
    <t>Nov</t>
  </si>
  <si>
    <t>Dec</t>
  </si>
  <si>
    <t>Jan</t>
  </si>
  <si>
    <t>Feb</t>
  </si>
  <si>
    <t>Mar</t>
  </si>
  <si>
    <t>2) $- Seperate details of actual Sales for each Distribution Franchisee area, if any, shall be provided</t>
  </si>
  <si>
    <t>FY 2023-24 - Actual$</t>
  </si>
  <si>
    <t>Actual</t>
  </si>
  <si>
    <t>Estimated</t>
  </si>
  <si>
    <t xml:space="preserve"> Total                      (Estimated)</t>
  </si>
  <si>
    <t>FY 2025-26 - Projected</t>
  </si>
  <si>
    <t>FY 2026-27 - Projected</t>
  </si>
  <si>
    <t>FY 2027-28 - Projected</t>
  </si>
  <si>
    <t>FY 2028-29 - Projected</t>
  </si>
  <si>
    <t>FY 2029-30 - Projected</t>
  </si>
  <si>
    <t>Past Sales Data$</t>
  </si>
  <si>
    <t>FY 2017-18</t>
  </si>
  <si>
    <t>FY 2018-19</t>
  </si>
  <si>
    <t>FY 2019-20</t>
  </si>
  <si>
    <t>FY 2020-21</t>
  </si>
  <si>
    <t>FY 2021-22</t>
  </si>
  <si>
    <t>Form 1.1 : Wheeling Forecast</t>
  </si>
  <si>
    <t>Form 1.2 : Voltage Wise Sales</t>
  </si>
  <si>
    <t>Volatge Level</t>
  </si>
  <si>
    <t>Sales at 220 kV</t>
  </si>
  <si>
    <t>Sales at 110 kV/132 kV</t>
  </si>
  <si>
    <t>Sales at 66 kV</t>
  </si>
  <si>
    <t>Sales at 33 kV</t>
  </si>
  <si>
    <t>Sales at 11 kV</t>
  </si>
  <si>
    <t>Total Sales at HT level</t>
  </si>
  <si>
    <t>Sales at LT Level</t>
  </si>
  <si>
    <t>1) *- In case MTR Order is yet to be issued, then MYT Order values to be captured under this column</t>
  </si>
  <si>
    <t>MYT Petition Formats - Distribution &amp; Retail Supply</t>
  </si>
  <si>
    <t>Form 1.3 : Distribution Losses</t>
  </si>
  <si>
    <t>FY 2022-23 - Actual vs. Approved</t>
  </si>
  <si>
    <t>S.No.</t>
  </si>
  <si>
    <t>Voltage Level</t>
  </si>
  <si>
    <t>Energy Input</t>
  </si>
  <si>
    <t>Energy Sent to Lower network</t>
  </si>
  <si>
    <t xml:space="preserve">Direct Sale </t>
  </si>
  <si>
    <t>Total Output</t>
  </si>
  <si>
    <t>Total Losses</t>
  </si>
  <si>
    <t>Total Losses (% of Energy Input)</t>
  </si>
  <si>
    <t>Total Technical Loss</t>
  </si>
  <si>
    <t>Total Technical Losses (% of Energy Input)</t>
  </si>
  <si>
    <t>Total Commercial Loss</t>
  </si>
  <si>
    <t>Total Commercial Loss (% of Energy Input)</t>
  </si>
  <si>
    <t>A</t>
  </si>
  <si>
    <t>Actual Losses</t>
  </si>
  <si>
    <t>B</t>
  </si>
  <si>
    <t>Approved Losses</t>
  </si>
  <si>
    <t>FY 2023-24 - Actual vs. Approved</t>
  </si>
  <si>
    <t>FY 2024-25 - Estimated vs. Approved</t>
  </si>
  <si>
    <t>Form 1.4 : Energy Balance</t>
  </si>
  <si>
    <t>UoM</t>
  </si>
  <si>
    <t>Power Purchase outside State of Maharashtra</t>
  </si>
  <si>
    <t>Source 1</t>
  </si>
  <si>
    <t>MU</t>
  </si>
  <si>
    <t>Source 2</t>
  </si>
  <si>
    <t>..</t>
  </si>
  <si>
    <t>…</t>
  </si>
  <si>
    <t>1.n</t>
  </si>
  <si>
    <t>Total (A)</t>
  </si>
  <si>
    <t>Inter-State Transmission loss</t>
  </si>
  <si>
    <t>%</t>
  </si>
  <si>
    <t>Total Purchase at State of Maharashtra periphery (B)</t>
  </si>
  <si>
    <t>Power Purchase within Maharashtra</t>
  </si>
  <si>
    <t>4.n</t>
  </si>
  <si>
    <t>Total (C)</t>
  </si>
  <si>
    <t>Total Power Purchase Payable (A+C)</t>
  </si>
  <si>
    <t>Surplus Energy Traded (D)</t>
  </si>
  <si>
    <t>Total Power Purchase available at G&lt;&gt;T Periphery (B+C-D)</t>
  </si>
  <si>
    <t>Energy Requirement at G&lt;&gt;T Periphery</t>
  </si>
  <si>
    <t>Intra-State Transmission Loss</t>
  </si>
  <si>
    <t>Sales at 220 kV level</t>
  </si>
  <si>
    <t>Sales at 110 kV/132 kV level</t>
  </si>
  <si>
    <t>Sales at 66 kV level</t>
  </si>
  <si>
    <t>Energy Injected and drawn at 33kV</t>
  </si>
  <si>
    <t xml:space="preserve">Distribution Loss </t>
  </si>
  <si>
    <t>HT Sales</t>
  </si>
  <si>
    <t>Sales to Own Supply Consumers</t>
  </si>
  <si>
    <t>Sales by Licensee to Change-over consumers on other Licensee's network</t>
  </si>
  <si>
    <t>Sales by Other Licensee to consumers on Licensee's network</t>
  </si>
  <si>
    <t>Sales to Open Access Consumers</t>
  </si>
  <si>
    <t>LT Sales</t>
  </si>
  <si>
    <t>Form 1.5 : Demand &amp; Supply Position</t>
  </si>
  <si>
    <t>Demand (MW)</t>
  </si>
  <si>
    <t>Base Load</t>
  </si>
  <si>
    <t>Peak Load</t>
  </si>
  <si>
    <t>Supply (MW)</t>
  </si>
  <si>
    <t>Long Term Supply</t>
  </si>
  <si>
    <t>... ... ...</t>
  </si>
  <si>
    <t>Medium Term Supply</t>
  </si>
  <si>
    <t>Short Term Supply</t>
  </si>
  <si>
    <t>Total Supply</t>
  </si>
  <si>
    <t>C</t>
  </si>
  <si>
    <t>Demand-Supply Gap/(Surplus) (MW)</t>
  </si>
  <si>
    <t>MYT Petition Formats - Distribution and Retail Supply</t>
  </si>
  <si>
    <t>Form 2:  Power Purchase Expenses</t>
  </si>
  <si>
    <t>Retail Supply Business</t>
  </si>
  <si>
    <t>S. No.</t>
  </si>
  <si>
    <t>Source of Power (Station wise)</t>
  </si>
  <si>
    <t>Installed Capacity    (MW)</t>
  </si>
  <si>
    <t>Utility share (%)</t>
  </si>
  <si>
    <t>Utility share (MW)</t>
  </si>
  <si>
    <t>Total Energy Sent Out (ESO) from the station (MU)</t>
  </si>
  <si>
    <t>Energy Received (MU)</t>
  </si>
  <si>
    <t>External Losses (%)</t>
  </si>
  <si>
    <t>External Losses outside the State (%)</t>
  </si>
  <si>
    <t>Unit received at periphery (%)</t>
  </si>
  <si>
    <t>Total Annual Fixed charges (Rs Crore)</t>
  </si>
  <si>
    <t>Capacity Charges paid/ payable by Utility (Rs Crore)</t>
  </si>
  <si>
    <t>Variable Cost per unit including Fuel Price Adjustment (Rs/kWh)</t>
  </si>
  <si>
    <t>Total Variable Charges (Rs Crore)</t>
  </si>
  <si>
    <t>Incentive (Rs Crore)</t>
  </si>
  <si>
    <t>Any Other Charges (Please specify the type of charges)</t>
  </si>
  <si>
    <t>Total Cost of Power Purchase (Rs Crore)</t>
  </si>
  <si>
    <t>Average Cost of Power Purchase (Rs/kWh)</t>
  </si>
  <si>
    <t>Long term / Medium term Sources</t>
  </si>
  <si>
    <t>… … …</t>
  </si>
  <si>
    <t>Short term Sources</t>
  </si>
  <si>
    <t>FY 2023-24 -Actual</t>
  </si>
  <si>
    <t>FY 2024-25 - Estimated</t>
  </si>
  <si>
    <t>Form 2.1 : Power Procurement Quantum &amp; Energy Availability</t>
  </si>
  <si>
    <t>A) Power Procurement Quantum</t>
  </si>
  <si>
    <t>FY 2022-23 - Actual</t>
  </si>
  <si>
    <t>Energy Charge (Rs./kWh)</t>
  </si>
  <si>
    <t>A)</t>
  </si>
  <si>
    <t>Energy Requirement</t>
  </si>
  <si>
    <t>Energy Sales (MU)</t>
  </si>
  <si>
    <t>Power Purchase Requirement (MU)</t>
  </si>
  <si>
    <t xml:space="preserve">B) </t>
  </si>
  <si>
    <t>Energy Requirement met (MU)</t>
  </si>
  <si>
    <t>Total Energy Availability</t>
  </si>
  <si>
    <t>FY 2023-24 - Actual</t>
  </si>
  <si>
    <t>Energy requirement met/to be met (MU)</t>
  </si>
  <si>
    <t>Gap /(Surplus) (MU)</t>
  </si>
  <si>
    <t>Energy requirement to be met (MU)</t>
  </si>
  <si>
    <t>Notes</t>
  </si>
  <si>
    <t>Quantum of energy requirement to be met shall be considered on Merit Order principle.</t>
  </si>
  <si>
    <t>Assumptions considered for estimation of energy charges for different sources shall be submitted</t>
  </si>
  <si>
    <t>B) Energy Charge (Rs./kWh)</t>
  </si>
  <si>
    <t>C) Total Energy Availability from Sources</t>
  </si>
  <si>
    <t>Contracted Capacity (MW)</t>
  </si>
  <si>
    <t>Assumptions considered for estimation of complete energy availability shall be submitted along with documentary evidence, as applicable</t>
  </si>
  <si>
    <t>Form 2.2: Intra-State Transmission Charges and MSLDC Charges</t>
  </si>
  <si>
    <t>MSLDC Charges</t>
  </si>
  <si>
    <t>Form 2.3: AT&amp;C Losses for 5th Control Period</t>
  </si>
  <si>
    <t>AT&amp;C Losses (%)</t>
  </si>
  <si>
    <r>
      <rPr>
        <b/>
        <sz val="11"/>
        <rFont val="Times New Roman"/>
        <family val="1"/>
      </rPr>
      <t>Note</t>
    </r>
    <r>
      <rPr>
        <sz val="11"/>
        <rFont val="Times New Roman"/>
        <family val="1"/>
      </rPr>
      <t>: * - Proposed for the fifth Control Period along with Justifications</t>
    </r>
  </si>
  <si>
    <t xml:space="preserve"> MYT Petition Formats- Distribution &amp; Retail Supply</t>
  </si>
  <si>
    <t>Form 3:  Summary of Operations and Maintenance Expenses</t>
  </si>
  <si>
    <t>(f)</t>
  </si>
  <si>
    <t>(i)</t>
  </si>
  <si>
    <t>(j)</t>
  </si>
  <si>
    <t>(m)</t>
  </si>
  <si>
    <t>O&amp;M Expenses</t>
  </si>
  <si>
    <t xml:space="preserve">R&amp;M Expenses </t>
  </si>
  <si>
    <t xml:space="preserve">A&amp;G Expenses </t>
  </si>
  <si>
    <t>Opex Schemes</t>
  </si>
  <si>
    <t>Total Operation &amp; Maintenance Expenses</t>
  </si>
  <si>
    <t>MYT Petition Formats- Distribution &amp; Retail Supply</t>
  </si>
  <si>
    <t>Form 3.1: Operation and Maintenance Expenses -Normative</t>
  </si>
  <si>
    <t>I - True-up for FY 2022-23, FY 2023-24 &amp; Provisional True-up for FY 2024-25</t>
  </si>
  <si>
    <t>FY 2022-23*</t>
  </si>
  <si>
    <t>FY 2023-24*</t>
  </si>
  <si>
    <t>FY 2024-25*</t>
  </si>
  <si>
    <t>MTR Order</t>
  </si>
  <si>
    <t>Revised Normative#</t>
  </si>
  <si>
    <t xml:space="preserve">Employee Expenses </t>
  </si>
  <si>
    <t>A&amp;G Expenses</t>
  </si>
  <si>
    <t>R &amp; M Expenses</t>
  </si>
  <si>
    <t>Total O&amp;M Expenses</t>
  </si>
  <si>
    <t>Sharing of Gains/(Losses)</t>
  </si>
  <si>
    <t>Total O&amp;M Expenses after sharing of Gains/(losses)</t>
  </si>
  <si>
    <t>Notes:</t>
  </si>
  <si>
    <t xml:space="preserve">* - Truing Up to be done under MERC MYT Regulations 2019 </t>
  </si>
  <si>
    <t># Revised Normative O&amp;M expenses for each Year of the Control Period to be computed by escalating Trued-up O&amp;M expenses of FY 2019-20 by WPI (30%) &amp; CPI (70%) of respective past five financial years, reduced by efficiency factor of 1%</t>
  </si>
  <si>
    <t>Distribution Licensee shall submit documentary evidence and justification for impact of wage revision to be considered in the trued-up years</t>
  </si>
  <si>
    <t>MYT Order</t>
  </si>
  <si>
    <t>(c) = (b) - (a)</t>
  </si>
  <si>
    <t>(f) = (e) - (d)</t>
  </si>
  <si>
    <t>(j) = (h)+(i)</t>
  </si>
  <si>
    <t>System Automation</t>
  </si>
  <si>
    <t>New Technology</t>
  </si>
  <si>
    <t>I.T. Implementation</t>
  </si>
  <si>
    <t>….</t>
  </si>
  <si>
    <r>
      <rPr>
        <b/>
        <sz val="11"/>
        <rFont val="Times New Roman"/>
        <family val="1"/>
      </rPr>
      <t>Note</t>
    </r>
    <r>
      <rPr>
        <sz val="11"/>
        <rFont val="Times New Roman"/>
        <family val="1"/>
      </rPr>
      <t>: Distribution Licensee shall submit detailed justification, cost benefit analysis of opex schemes and savings in O&amp;M expenses, if any relating to Wires Business</t>
    </r>
  </si>
  <si>
    <r>
      <rPr>
        <b/>
        <sz val="11"/>
        <rFont val="Times New Roman"/>
        <family val="1"/>
      </rPr>
      <t>Note</t>
    </r>
    <r>
      <rPr>
        <sz val="11"/>
        <rFont val="Times New Roman"/>
        <family val="1"/>
      </rPr>
      <t>: Distribution Licensee shall submit detailed justification, cost benefit analysis of opex schemes and savings in O&amp;M expenses, if any relating to Retail Supply Business</t>
    </r>
  </si>
  <si>
    <t>II - O&amp;M Expenses for fifth Control Period</t>
  </si>
  <si>
    <r>
      <rPr>
        <sz val="11"/>
        <rFont val="Times New Roman"/>
        <family val="1"/>
      </rPr>
      <t>O&amp;M Norms (% of Average GFA - Wires) (a)</t>
    </r>
    <r>
      <rPr>
        <b/>
        <sz val="11"/>
        <rFont val="Times New Roman"/>
        <family val="1"/>
      </rPr>
      <t xml:space="preserve">
 (As per Regulation 93.2)</t>
    </r>
  </si>
  <si>
    <t>Average Wires GFA** (Form F5) (b)</t>
  </si>
  <si>
    <t>Normative O&amp;M Expenses (a) x (b)</t>
  </si>
  <si>
    <r>
      <t xml:space="preserve">** </t>
    </r>
    <r>
      <rPr>
        <sz val="11"/>
        <rFont val="Times New Roman"/>
        <family val="1"/>
      </rPr>
      <t>Distribution Licensee shall maintain separate GFA for Wires Business. In case the same is not maintained then 90% of the total Average GFA of a Distribution Licensee shall be considered for its Wires Business</t>
    </r>
    <r>
      <rPr>
        <b/>
        <sz val="11"/>
        <rFont val="Times New Roman"/>
        <family val="1"/>
      </rPr>
      <t>.</t>
    </r>
  </si>
  <si>
    <r>
      <rPr>
        <sz val="11"/>
        <rFont val="Times New Roman"/>
        <family val="1"/>
      </rPr>
      <t>O&amp;M Norms (% of Average GFA - Retail Supply) (a)</t>
    </r>
    <r>
      <rPr>
        <b/>
        <sz val="11"/>
        <rFont val="Times New Roman"/>
        <family val="1"/>
      </rPr>
      <t xml:space="preserve">
 (As per Regulation 93.2)</t>
    </r>
  </si>
  <si>
    <t>Average Retail Supply GFA** (Form F5) (b)</t>
  </si>
  <si>
    <r>
      <t xml:space="preserve">** </t>
    </r>
    <r>
      <rPr>
        <sz val="11"/>
        <rFont val="Times New Roman"/>
        <family val="1"/>
      </rPr>
      <t>Distribution Licensee shall maintain separate GFA for Retail Supply  Business. In case the same is not maintained then 10% of the total Average GFA of a Distribution Licensee shall be considered for its Retail Supply Business</t>
    </r>
    <r>
      <rPr>
        <b/>
        <sz val="11"/>
        <rFont val="Times New Roman"/>
        <family val="1"/>
      </rPr>
      <t>.</t>
    </r>
  </si>
  <si>
    <t>Form 3.2: Employee Expenses</t>
  </si>
  <si>
    <t>Basic Salary</t>
  </si>
  <si>
    <t>Dearness Allowance (DA)</t>
  </si>
  <si>
    <t>House Rent Allowance</t>
  </si>
  <si>
    <t>Conveyance Allowance</t>
  </si>
  <si>
    <t>Leave Travel Allowance</t>
  </si>
  <si>
    <t>Earned Leave Encashment</t>
  </si>
  <si>
    <t>Medical Reimbursement</t>
  </si>
  <si>
    <t>Bonus/Ex-Gratia Payments</t>
  </si>
  <si>
    <t xml:space="preserve">Interim Relief / Wage Revision </t>
  </si>
  <si>
    <t>Staff welfare expenses</t>
  </si>
  <si>
    <t>Commission to Directors</t>
  </si>
  <si>
    <t>Training Expenses</t>
  </si>
  <si>
    <t>Payment under Workmen's Compensation Act</t>
  </si>
  <si>
    <t>Net Employee Costs</t>
  </si>
  <si>
    <t>Terminal Benefits</t>
  </si>
  <si>
    <t>Provident Fund Contribution</t>
  </si>
  <si>
    <t>Provision for PF Fund</t>
  </si>
  <si>
    <t>Gratuity Payment</t>
  </si>
  <si>
    <t xml:space="preserve">Gross Employee Expenses </t>
  </si>
  <si>
    <t>Less: Expenses Capitalised</t>
  </si>
  <si>
    <t xml:space="preserve">Net Employee Expenses </t>
  </si>
  <si>
    <t>Details of number of employees</t>
  </si>
  <si>
    <t>(Numbers)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</si>
  <si>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</si>
  <si>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</si>
  <si>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</si>
  <si>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</si>
  <si>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</si>
  <si>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</si>
  <si>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</si>
  <si>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</si>
  <si>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</si>
  <si>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</si>
  <si>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</si>
  <si>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</si>
  <si>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&lt;Name of the Distribution Licensee &gt;</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</si>
  <si>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</si>
  <si>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</si>
  <si>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</si>
  <si>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</si>
  <si>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</si>
  <si>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</si>
  <si>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</si>
  <si>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</si>
  <si>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</si>
  <si>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</si>
  <si>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</si>
  <si>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</si>
  <si>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Printing &amp; Stationery</t>
  </si>
  <si>
    <t>Purchase Related Advertisement Expenses</t>
  </si>
  <si>
    <t>Contribution/Donations</t>
  </si>
  <si>
    <t>License Fee  and other related fee</t>
  </si>
  <si>
    <t>Vehicle Running Expenses Truck / Delivery Van</t>
  </si>
  <si>
    <t>Vehicle Hiring Expenses Truck / Delivery Van</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</si>
  <si>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</si>
  <si>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</si>
  <si>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</si>
  <si>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</si>
  <si>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</si>
  <si>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</si>
  <si>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</si>
  <si>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</si>
  <si>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</si>
  <si>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</si>
  <si>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Buildings</t>
  </si>
  <si>
    <t>Civil Works</t>
  </si>
  <si>
    <t>Hydraulic Works</t>
  </si>
  <si>
    <t>Lines &amp; Cable Networks</t>
  </si>
  <si>
    <t>Vehicles</t>
  </si>
  <si>
    <t>Furniture &amp; Fixtures</t>
  </si>
  <si>
    <t>Office Equipment</t>
  </si>
  <si>
    <t>Gross R&amp;M Expenses</t>
  </si>
  <si>
    <t>Less: R&amp;M Expenses Capitalised</t>
  </si>
  <si>
    <t>Net R&amp;M Expenses</t>
  </si>
  <si>
    <t>Form 4:  Summary of Capital Expenditure and Capitalisation</t>
  </si>
  <si>
    <t>Capital Expenditure</t>
  </si>
  <si>
    <t>Capitalisation</t>
  </si>
  <si>
    <t>IDC</t>
  </si>
  <si>
    <t>Capitalisation + IDC</t>
  </si>
  <si>
    <t>Detailed Justification shall be provided for variation in approved capital expenditure and capitalisation vis-a-vis actual capital expenditure and capitalisation</t>
  </si>
  <si>
    <t xml:space="preserve">Form 4.1: Capital Expenditure Plan </t>
  </si>
  <si>
    <t>Project Details</t>
  </si>
  <si>
    <t>Project Code</t>
  </si>
  <si>
    <t>Project Title</t>
  </si>
  <si>
    <t>MERC Approval No.</t>
  </si>
  <si>
    <t>MERC Approval Date</t>
  </si>
  <si>
    <t>Project Purpose</t>
  </si>
  <si>
    <t>Project Start Date</t>
  </si>
  <si>
    <t>Project Completion date 
(Scheduled)</t>
  </si>
  <si>
    <t>Capital Cost</t>
  </si>
  <si>
    <t>Original</t>
  </si>
  <si>
    <t>Revised</t>
  </si>
  <si>
    <t xml:space="preserve">Actual </t>
  </si>
  <si>
    <t xml:space="preserve">Deviation = Approved - Actual on account of </t>
  </si>
  <si>
    <t>Change in Scope of Work (a)</t>
  </si>
  <si>
    <t>Material Cost (b)</t>
  </si>
  <si>
    <t>IDC (c)</t>
  </si>
  <si>
    <t>Others (d)</t>
  </si>
  <si>
    <t>Total Deviation (a+b+c+d)</t>
  </si>
  <si>
    <t>a) DPR Schemes</t>
  </si>
  <si>
    <t>(i) In-principle approved by MERC</t>
  </si>
  <si>
    <t>(ii) Yet to receive in-principle MERC approval</t>
  </si>
  <si>
    <t>b) Non-DPR Schemes</t>
  </si>
  <si>
    <t>TOTAL</t>
  </si>
  <si>
    <t>Financing Plan</t>
  </si>
  <si>
    <t>Project Number</t>
  </si>
  <si>
    <t>Source of Financing for Capital Expenditure</t>
  </si>
  <si>
    <t>Internal Accruals</t>
  </si>
  <si>
    <t>Equity</t>
  </si>
  <si>
    <t>Debt</t>
  </si>
  <si>
    <t>Loan Amount</t>
  </si>
  <si>
    <t>Interest Rate (% p.a.)</t>
  </si>
  <si>
    <t>Tenure of Loan (years)</t>
  </si>
  <si>
    <t>Moratorium Period (years)</t>
  </si>
  <si>
    <t>Loan Source</t>
  </si>
  <si>
    <t xml:space="preserve">          1. Expenses that would be classified as O&amp;M expenses shall not be categorised under non-DPR schemes</t>
  </si>
  <si>
    <t xml:space="preserve">Form 4.2: Capitalisation Plan </t>
  </si>
  <si>
    <t>MERC Approved Cost</t>
  </si>
  <si>
    <t>Debt Equity Ratio</t>
  </si>
  <si>
    <t>Grant/Consumer Contribution</t>
  </si>
  <si>
    <t>Approved Start Date</t>
  </si>
  <si>
    <t>Actual Start Date</t>
  </si>
  <si>
    <t>Approved Date of Completion</t>
  </si>
  <si>
    <t>Actual Date of Completion</t>
  </si>
  <si>
    <t>Benefits in Quantified Terms</t>
  </si>
  <si>
    <t>Physical Progress (%)</t>
  </si>
  <si>
    <t>Reasons for Delay, if any</t>
  </si>
  <si>
    <t>Change in Scope of Work</t>
  </si>
  <si>
    <t>Any other reason</t>
  </si>
  <si>
    <t>Form 4.3:  Capital Work-in-progress - Project-wise details</t>
  </si>
  <si>
    <t>Approved Project Cost</t>
  </si>
  <si>
    <t>Cumulative Expenditure Incurred till beginning of the Year</t>
  </si>
  <si>
    <t>Capital Expenditure Capitalised</t>
  </si>
  <si>
    <t>Opening CWIP</t>
  </si>
  <si>
    <t>Investment during the year</t>
  </si>
  <si>
    <t>Capital Work in Progress</t>
  </si>
  <si>
    <t>Closing CWIP</t>
  </si>
  <si>
    <t>Works Capitalised</t>
  </si>
  <si>
    <t>Interest Capitalised</t>
  </si>
  <si>
    <t>Expenses Capitalised</t>
  </si>
  <si>
    <t>Total Capitalisation</t>
  </si>
  <si>
    <t xml:space="preserve">MYT Petition Formats- Distribution &amp; Retail Supply - Summary </t>
  </si>
  <si>
    <t>Form 5 (F 5.1 E + F 5.2 E + F 5.1 N + F 5.2 N) : Assets &amp; Depreciation</t>
  </si>
  <si>
    <t>For Distribution Wires and Retail Supply Business</t>
  </si>
  <si>
    <t xml:space="preserve">       </t>
  </si>
  <si>
    <t>(A) Gross Fixed Assets</t>
  </si>
  <si>
    <t>Balance at the beginning of the year</t>
  </si>
  <si>
    <t>Additions during the year</t>
  </si>
  <si>
    <t>Retirement of assets during the year</t>
  </si>
  <si>
    <t>Balance at the end of the year</t>
  </si>
  <si>
    <t>(c)</t>
  </si>
  <si>
    <t>(k)</t>
  </si>
  <si>
    <t>(l)</t>
  </si>
  <si>
    <t>(n)</t>
  </si>
  <si>
    <t>(o)</t>
  </si>
  <si>
    <t>(p)</t>
  </si>
  <si>
    <t>(q)</t>
  </si>
  <si>
    <t>(r)</t>
  </si>
  <si>
    <t>(s)</t>
  </si>
  <si>
    <t>(B) Depreciation</t>
  </si>
  <si>
    <t>Accumulated depreciation at the beginning of the year</t>
  </si>
  <si>
    <t>Withdrawals during the year</t>
  </si>
  <si>
    <t>Accumulated depreciation at the end of the year</t>
  </si>
  <si>
    <t>(C ) Net Fixed Assets</t>
  </si>
  <si>
    <t>Form 5.1 (E): Assets &amp; Depreciation - Existing Schemes (CoD on or before the March 31, 2025 or Assets in-principally approved  before the notification of MERC MYT Regulations 2024)</t>
  </si>
  <si>
    <t>For Distribution Wires Business</t>
  </si>
  <si>
    <t>Asset not in use</t>
  </si>
  <si>
    <t>(e) = (a)+(b)-(c)-(d)</t>
  </si>
  <si>
    <t>(j) = (f)+(g)-(h)-(i)</t>
  </si>
  <si>
    <t>(o) = (k)+(l)-(m)-(n)</t>
  </si>
  <si>
    <t>(t) = (p)+(q)-(r)-(s)</t>
  </si>
  <si>
    <t>Form 5.1 (N): Assets &amp; Depreciation - New Schemes  (not covered under Existing Assets)</t>
  </si>
  <si>
    <t>Form 5.2 (E): Assets &amp; Depreciation - Existing Schemes (CoD on or before the March 31, 2025 or Assets in-principally approved  before the notification of MERC MYT Regulations 2024)</t>
  </si>
  <si>
    <t>For Retail Supply Business</t>
  </si>
  <si>
    <t>Form 5.2 (N): Assets &amp; Depreciation - New Schemes  (not covered under Existing Assets)</t>
  </si>
  <si>
    <t>Form 6: Interest on Loan Capital</t>
  </si>
  <si>
    <t>Distribution Wires Business</t>
  </si>
  <si>
    <t>A) Normative Loan</t>
  </si>
  <si>
    <t xml:space="preserve">Sr. No. </t>
  </si>
  <si>
    <t>Source of Loan</t>
  </si>
  <si>
    <t>Ensuing Years (Projected)</t>
  </si>
  <si>
    <t>Opening Balance of Gross Normative Loan</t>
  </si>
  <si>
    <t>Cumulative Repayment till the year</t>
  </si>
  <si>
    <t>Opening Balance of Net Normative Loan</t>
  </si>
  <si>
    <t>Less: Reduction of Normative Loan due to retirement or replacement of assets</t>
  </si>
  <si>
    <t>Addition of Normative Loan due to capitalisation during the year</t>
  </si>
  <si>
    <t>Repayment of Normative loan during the year</t>
  </si>
  <si>
    <t>Closing Balance of Net Normative Loan</t>
  </si>
  <si>
    <t>Closing Balance of Gross Normative Loan</t>
  </si>
  <si>
    <t>Average Balance of Net Normative Loan</t>
  </si>
  <si>
    <t>Weighted average Rate of Interest on actual Loans (%)</t>
  </si>
  <si>
    <t>Interest Expenses</t>
  </si>
  <si>
    <t>Financing Charges</t>
  </si>
  <si>
    <t>Total Interest &amp; Financing Charges</t>
  </si>
  <si>
    <t>B) Existing Actual Long-term Loans</t>
  </si>
  <si>
    <t>Loan 1</t>
  </si>
  <si>
    <t>Opening Balance of Loan</t>
  </si>
  <si>
    <t>Addition of Loan during the year</t>
  </si>
  <si>
    <t>Loan Repayment during the year</t>
  </si>
  <si>
    <t>Closing Balance of Loan</t>
  </si>
  <si>
    <t>Average Loan Balance</t>
  </si>
  <si>
    <t>Applicable Interest Rate (%)</t>
  </si>
  <si>
    <t>Loan 2</t>
  </si>
  <si>
    <t>Loan 3</t>
  </si>
  <si>
    <t>Gross Interest Expenses</t>
  </si>
  <si>
    <t xml:space="preserve">Net Interest Expenses </t>
  </si>
  <si>
    <t>Note: * In case MTR Order is yet to be issued, MYT Order values are to be entered here</t>
  </si>
  <si>
    <t>Separate detailed computations for FERV component to be submitted</t>
  </si>
  <si>
    <t>C ) Actual Loans drawn during the year</t>
  </si>
  <si>
    <t>Form 7: Interest on Working Capital</t>
  </si>
  <si>
    <t>A) FY 2022-23, FY 2023-24 and FY 2024-25</t>
  </si>
  <si>
    <t>Norm</t>
  </si>
  <si>
    <t>O&amp;M expenses for a month</t>
  </si>
  <si>
    <t>Maintenance Spares at 1% of Opening GFA</t>
  </si>
  <si>
    <t xml:space="preserve">One and half months equivalent of the expected revenue from charges for use of Distribution Wires </t>
  </si>
  <si>
    <t>Less: Amount held as Security Deposit from Distribution System Users</t>
  </si>
  <si>
    <t>Total Working Capital Requirement</t>
  </si>
  <si>
    <t>Computation of Working Capital Interest</t>
  </si>
  <si>
    <t>Interest Rate (%) - SBI Base Rate +150 basis points</t>
  </si>
  <si>
    <t>Actual Working Capital Interest$</t>
  </si>
  <si>
    <t>Interest on Security Deposit</t>
  </si>
  <si>
    <t>Interest Rate (%) - Bank Rate</t>
  </si>
  <si>
    <t xml:space="preserve">Notes: </t>
  </si>
  <si>
    <t xml:space="preserve"> * - In case MTR Order is yet to be issued, then MYT Order values to be captured under this column</t>
  </si>
  <si>
    <t>Petitioner should submit documentary evidence for actual interest on working capital incurred</t>
  </si>
  <si>
    <t>Working Capital shall be computed based on revised normative O&amp;M expenses and actual revenue from sale of electricity excluding incentive</t>
  </si>
  <si>
    <t>One and half months equivalent of the expected revenue from sale of electricity including revenue from CSS and Additional Surcharge</t>
  </si>
  <si>
    <t>Less: Amount held as security deposit</t>
  </si>
  <si>
    <t>Less: One month equivalent of cost of power purchase, transmission charges and MSLDC Charges</t>
  </si>
  <si>
    <t>Actual Working Capital Interest</t>
  </si>
  <si>
    <t>B) Fifth Control Period</t>
  </si>
  <si>
    <t xml:space="preserve">Form 8: Return on Regulatory Equity </t>
  </si>
  <si>
    <t xml:space="preserve">Regulatory Equity at the beginning of the year </t>
  </si>
  <si>
    <t>Capitalisation during the year $</t>
  </si>
  <si>
    <t>Equity portion of capitalisation during the year #</t>
  </si>
  <si>
    <t>Reduction in Equity Capital on account of retirement / replacement of assets</t>
  </si>
  <si>
    <t>Regulatory Equity at the end of the year</t>
  </si>
  <si>
    <t>Return on Equity Computation</t>
  </si>
  <si>
    <t xml:space="preserve">Base Rate of Return on Equity </t>
  </si>
  <si>
    <t>Pretax Return on Equity after considering effective Tax rate $$</t>
  </si>
  <si>
    <t xml:space="preserve">Return on Regulatory Equity at the beginning of the year </t>
  </si>
  <si>
    <t xml:space="preserve">Return on Regulatory Equity addition during the year </t>
  </si>
  <si>
    <t>Total Return on Equity</t>
  </si>
  <si>
    <r>
      <rPr>
        <b/>
        <sz val="11"/>
        <rFont val="Times New Roman"/>
        <family val="1"/>
      </rPr>
      <t>Note</t>
    </r>
    <r>
      <rPr>
        <sz val="11"/>
        <rFont val="Times New Roman"/>
        <family val="1"/>
      </rPr>
      <t>: # Equity balance for the fourth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</si>
  <si>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 xml:space="preserve">$ Any additional capitalization after cut-off date excluding due to Change in Law shall be excluded for consideration on base rate of return on equity </t>
  </si>
  <si>
    <t>$$ Pre tax Retrun on Equity to be considered as computed in Form 12 based on effective tax rate</t>
  </si>
  <si>
    <t>Additional Return on Equity</t>
  </si>
  <si>
    <t>Unit</t>
  </si>
  <si>
    <t>Wires Availability above 98% (95% for MSEDCL)</t>
  </si>
  <si>
    <t>Additional Rate of Return on Equity for Wire Availability (a)</t>
  </si>
  <si>
    <t>Additional Return on Equity Computation</t>
  </si>
  <si>
    <t>Return on Regulatory Equity at the beginning of the year</t>
  </si>
  <si>
    <t>Rs. Crore</t>
  </si>
  <si>
    <t>Return on Regulatory Equity addition during the year</t>
  </si>
  <si>
    <t>Total Additional Return on Equity</t>
  </si>
  <si>
    <r>
      <t xml:space="preserve">Note: </t>
    </r>
    <r>
      <rPr>
        <sz val="11"/>
        <rFont val="Times New Roman"/>
        <family val="1"/>
      </rPr>
      <t xml:space="preserve">Distribution Licensee shall submit documentary evidence for the claim of wires availability </t>
    </r>
  </si>
  <si>
    <t>% of Assessed bills with respect total bills issued during the year</t>
  </si>
  <si>
    <t>Additional Rate of Return on Equity for Assesment of bills (a)</t>
  </si>
  <si>
    <t>Collection Efficiency for the year</t>
  </si>
  <si>
    <t>Additional Rate of Return for collection efficiency (b)</t>
  </si>
  <si>
    <t>Total Additional Return on Equity (c) = (a) + (b)</t>
  </si>
  <si>
    <r>
      <t xml:space="preserve">Note: </t>
    </r>
    <r>
      <rPr>
        <sz val="11"/>
        <rFont val="Times New Roman"/>
        <family val="1"/>
      </rPr>
      <t>Distribution Licensee shall submit documentary evidence for the claim of assesment of bills and collection efficiency during the year</t>
    </r>
  </si>
  <si>
    <t xml:space="preserve">Rate of Return on Equity </t>
  </si>
  <si>
    <t>Pretax Return on Equity after considering Income Tax rate approved $$</t>
  </si>
  <si>
    <r>
      <rPr>
        <b/>
        <sz val="11"/>
        <rFont val="Times New Roman"/>
        <family val="1"/>
      </rPr>
      <t>Note</t>
    </r>
    <r>
      <rPr>
        <sz val="11"/>
        <rFont val="Times New Roman"/>
        <family val="1"/>
      </rPr>
      <t>: # Equity balance for the fifth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</si>
  <si>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**Any additional capitalization after cut-off date excluding due to Change in Law shall be as per the second proviso of Regulation 29.1 of the MERC MYT Regulations, 2024</t>
  </si>
  <si>
    <t>$$ Pre tax Retrun on Equity to be considered as computed in Form 12 based on Income tax rate approved</t>
  </si>
  <si>
    <t>Form 9: Non-Tariff Income</t>
  </si>
  <si>
    <t>Rents of land or buildings</t>
  </si>
  <si>
    <t>Sale of Scrap</t>
  </si>
  <si>
    <t>Income from investments</t>
  </si>
  <si>
    <t>Interest on advances to suppliers/contractors</t>
  </si>
  <si>
    <t>Rental from staff quarters</t>
  </si>
  <si>
    <t>Rental from contractors</t>
  </si>
  <si>
    <t>Income from hire charges from contractors and others</t>
  </si>
  <si>
    <t>Supervision charges for capital works</t>
  </si>
  <si>
    <t>Income from consumer charges levied in accordance with Schedule of Charges approved by the Commission</t>
  </si>
  <si>
    <t>Income from advertisements</t>
  </si>
  <si>
    <t>Income from sale of tender documents</t>
  </si>
  <si>
    <t>Form 10: Write-off of Provision for Bad and doubtful Debts</t>
  </si>
  <si>
    <t>Opening Balance of Provision for bad and doubtful debts</t>
  </si>
  <si>
    <t>Receivables for the year</t>
  </si>
  <si>
    <t>Opening Balance of Provision of bad and doubtful debt as % of Receivables</t>
  </si>
  <si>
    <t>Provision for bad &amp; doubtful debts during the year</t>
  </si>
  <si>
    <t>Actual bad and doubtful debts written off</t>
  </si>
  <si>
    <t>Closing Balance of Provision for bad and doubtful debts</t>
  </si>
  <si>
    <r>
      <rPr>
        <b/>
        <sz val="11"/>
        <rFont val="Times New Roman"/>
        <family val="1"/>
      </rPr>
      <t>Note</t>
    </r>
    <r>
      <rPr>
        <sz val="11"/>
        <rFont val="Times New Roman"/>
        <family val="1"/>
      </rPr>
      <t>: 1. * - In case MTR Order is yet to be issued, then MYT Order values to be captured under this column</t>
    </r>
  </si>
  <si>
    <t>Documentary evidence towards actual debts written off should be submitted</t>
  </si>
  <si>
    <t>Form 11:  Contribution to Contingency Reserves</t>
  </si>
  <si>
    <t>Opening Balance of Contingency Reserves</t>
  </si>
  <si>
    <t>Opening Gross Fixed Assets</t>
  </si>
  <si>
    <t>Opening Balance of Contingency Reserves as % of Opening GFA</t>
  </si>
  <si>
    <t>Contribution to Contingency Reserves during the year</t>
  </si>
  <si>
    <t>Utilisation of Contingency Reserves during the year</t>
  </si>
  <si>
    <t>Closing Balance of Contingency Reserves</t>
  </si>
  <si>
    <t>Closing Balance of Contingency Reserves as % of Opening GFA</t>
  </si>
  <si>
    <t>Documentary evidence towards investment of amounts under Contingency Reserve should be submitted</t>
  </si>
  <si>
    <t>In case the Licensee does not invest in authorized securities within a period of six months of the close of the Year, then the contribution allowed in ARR shall be disallowed in True-up</t>
  </si>
  <si>
    <t>No investment in contingency reserves for consecutive two years shall lead to disallowance of contribution to contingency reserves in ARR from subsequent year</t>
  </si>
  <si>
    <t>Form 12 A: Income Tax Rate for Truing-up Years for Fourth Control Period</t>
  </si>
  <si>
    <t>Formula</t>
  </si>
  <si>
    <t>Total Gross Income of Regulated Entity (Rs. Crore)</t>
  </si>
  <si>
    <t>Actual Income Tax paid by the Entity #</t>
  </si>
  <si>
    <t>Income Tax Rate of the Company (%) $</t>
  </si>
  <si>
    <t>c = (b/a)</t>
  </si>
  <si>
    <t>Base Rate of Return on Equity (%)</t>
  </si>
  <si>
    <t>Additional Rate of Return on Equity (%)</t>
  </si>
  <si>
    <t>(e )</t>
  </si>
  <si>
    <t>Total Rate of Return on Equity (%)</t>
  </si>
  <si>
    <t>(f)= (d)+(e)</t>
  </si>
  <si>
    <t>Rate of Pre Tax Return on Equity (%)</t>
  </si>
  <si>
    <t>g = f /(1-c)</t>
  </si>
  <si>
    <r>
      <rPr>
        <b/>
        <sz val="11"/>
        <rFont val="Times New Roman"/>
        <family val="1"/>
      </rPr>
      <t>Note</t>
    </r>
    <r>
      <rPr>
        <sz val="11"/>
        <rFont val="Times New Roman"/>
        <family val="1"/>
      </rPr>
      <t xml:space="preserve">: # Actual tax paid on income from any other regulated or unregulated Business or Other Business shall be excluded for the calculation of effective tax rate </t>
    </r>
  </si>
  <si>
    <t># Income tax paid on incentive, efficiency gains, Delayed Payment Charges, Interest on Delayed Payment, Income from Other Business, Income from any other source not considered in ARR is to be excluded from actual Income Tax paid, and shown separately</t>
  </si>
  <si>
    <t xml:space="preserve">$ In case Entity is paying Minimum Alternate Tax (MAT), the Income Tax rate shall be considered as MAT rate including surcharge and cess </t>
  </si>
  <si>
    <t>* In case audited acounts for FY 2024-25 is not available, the lastest available audited accounts may be considered for allowance of income tax for future year</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</si>
  <si>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</si>
  <si>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</si>
  <si>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</si>
  <si>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</si>
  <si>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</si>
  <si>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</si>
  <si>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Category</t>
  </si>
  <si>
    <t>No. of consumers</t>
  </si>
  <si>
    <t>Sales in MU</t>
  </si>
  <si>
    <t>Revenue from Fixed/Demand Charges (Rs. Crore)</t>
  </si>
  <si>
    <t>Revenue from Energy Charges (Rs. Crore)</t>
  </si>
  <si>
    <t>Revenue from Wheeling Charges (Rs. Crore)</t>
  </si>
  <si>
    <t>Revenue from FAC (Rs. Crore)</t>
  </si>
  <si>
    <t>Total Revenue (Rs. Crore)</t>
  </si>
  <si>
    <t>Government subsidy (Rs. Crore)</t>
  </si>
  <si>
    <t>Total revenue (Rs. Crore)</t>
  </si>
  <si>
    <t>Actual Average Billing Rate (Rs./kWh)</t>
  </si>
  <si>
    <t>Average Billing Rate approved in MYT/MTR Order (Rs./kWh)</t>
  </si>
  <si>
    <t>Variation in ABR*</t>
  </si>
  <si>
    <t>(c )</t>
  </si>
  <si>
    <t xml:space="preserve">Note: </t>
  </si>
  <si>
    <t>1) The licensee shall include all relevant information on categories, sub-categories and slabs, such as metered and non-metered consumption, as applicable for its licence area</t>
  </si>
  <si>
    <t>2) In 'consumers', the  number of consumers at the end of  the year should be indicated</t>
  </si>
  <si>
    <t>3) The amount of subsidy received from the State Government should be clearly indicated for each category under the respective column and the relevant GR should be mentioned in the note below</t>
  </si>
  <si>
    <r>
      <t xml:space="preserve">4) * - In case the variation between ABR approved by the Commission and actual ABR for the year for any category/sub-category is greater than </t>
    </r>
    <r>
      <rPr>
        <u/>
        <sz val="11"/>
        <rFont val="Times New Roman"/>
        <family val="1"/>
      </rPr>
      <t>+</t>
    </r>
    <r>
      <rPr>
        <sz val="11"/>
        <rFont val="Times New Roman"/>
        <family val="1"/>
      </rPr>
      <t>5%, then the Licensee should submit a justification for the same</t>
    </r>
  </si>
  <si>
    <t>Form 13.1:  Expected Revenue at Existing Tariff- FY 2025-26</t>
  </si>
  <si>
    <t>Year : FY 2025-26</t>
  </si>
  <si>
    <t xml:space="preserve">Components of tariff </t>
  </si>
  <si>
    <t>Relevant sales &amp; load/demand data for revenue calculation</t>
  </si>
  <si>
    <t>Full year revenue excluding Government subsidy (Rs. Crore)</t>
  </si>
  <si>
    <t>Full year revenue (including subsidy) (Rs. Crore)</t>
  </si>
  <si>
    <t>Average Billing Rate (Rs/kWh)</t>
  </si>
  <si>
    <t>Ratio of Average Billing Rate to Average Cost of Supply (%)</t>
  </si>
  <si>
    <t xml:space="preserve">Fixed Charges (specify part name and unit)  </t>
  </si>
  <si>
    <t xml:space="preserve">Demand Charges (specify part name and unit)  </t>
  </si>
  <si>
    <t xml:space="preserve">Energy Charges (specify part name and unit) </t>
  </si>
  <si>
    <t>ToD Charges (specify part name and Unit)</t>
  </si>
  <si>
    <t>Wheeling Charges (Specify Part name and Unit)</t>
  </si>
  <si>
    <t>Fuel surcharge per unit, if any</t>
  </si>
  <si>
    <t>Sanctioned Load in kW</t>
  </si>
  <si>
    <t>Contract Demand in KVA/MVA</t>
  </si>
  <si>
    <t>Revenue from Fixed Charges</t>
  </si>
  <si>
    <t>Revenue from Demand Charges</t>
  </si>
  <si>
    <t>Revenue from Energy Charges</t>
  </si>
  <si>
    <t>Revenue from ToD Charges</t>
  </si>
  <si>
    <t>Revenue from Wheeling Charges</t>
  </si>
  <si>
    <t>Revenue from fuel surcharge</t>
  </si>
  <si>
    <r>
      <rPr>
        <b/>
        <sz val="11"/>
        <rFont val="Times New Roman"/>
        <family val="1"/>
      </rPr>
      <t>Note</t>
    </r>
    <r>
      <rPr>
        <sz val="11"/>
        <rFont val="Times New Roman"/>
        <family val="1"/>
      </rPr>
      <t>- 1) Existing tariff shall be prevailing tariff approved by the Commission for FY 2019-20</t>
    </r>
  </si>
  <si>
    <t>2) The licensee shall include all relevant information on categories, sub-categories and slabs, such as metered and non-metered consumption, as applicable for its licence area</t>
  </si>
  <si>
    <t>3) In 'consumers', the number of consumers at the end of  the year should be indicated</t>
  </si>
  <si>
    <t>Form 13.2:  Expected Revenue at Existing Tariff- FY 2026-27</t>
  </si>
  <si>
    <t>Year : FY 2026-27</t>
  </si>
  <si>
    <t>Form 13.3:  Expected Revenue at Existing Tariff- FY 2027-28</t>
  </si>
  <si>
    <t>Year : FY 2027-28</t>
  </si>
  <si>
    <t>Form 13.4:  Expected Revenue at Existing Tariff- FY 2028-29</t>
  </si>
  <si>
    <t>Year : FY 2028-29</t>
  </si>
  <si>
    <t>Form 13.5:  Expected Revenue at Existing Tariff- FY 2029-30</t>
  </si>
  <si>
    <t>Year : FY 2029-30</t>
  </si>
  <si>
    <t>Form 14.2:  Expected Revenue at Proposed Tariff- FY 2026-27</t>
  </si>
  <si>
    <t>Form 14.3:  Expected Revenue at Proposed Tariff- FY 2027-28</t>
  </si>
  <si>
    <t>MYT Formats - Distribution &amp; Retail Supply</t>
  </si>
  <si>
    <t xml:space="preserve">     Percentage (%)</t>
  </si>
  <si>
    <r>
      <rPr>
        <b/>
        <sz val="11"/>
        <color rgb="FF000000"/>
        <rFont val="Book Antiqua"/>
        <family val="1"/>
      </rPr>
      <t>Note</t>
    </r>
    <r>
      <rPr>
        <sz val="11"/>
        <color rgb="FF000000"/>
        <rFont val="Book Antiqua"/>
        <family val="1"/>
      </rPr>
      <t>- Cross-subsidy shall be expressed as the Ratio of Average Billing Rate to Average Cost of Supply in above table for each category &amp; sub-category</t>
    </r>
  </si>
  <si>
    <t>Projected Average Cost of Supply (Rs/kWh)</t>
  </si>
  <si>
    <t>Ratio of Average Billing Rate to Projected Average Cost of Supply (%)</t>
  </si>
  <si>
    <t>% increase / decrease in Cross-subsidy</t>
  </si>
  <si>
    <t>% increase in tariff (%)</t>
  </si>
  <si>
    <t>Existing Tariff</t>
  </si>
  <si>
    <t>Previous Tariff Order</t>
  </si>
  <si>
    <t>Proposed Tariff</t>
  </si>
  <si>
    <t>Year : FY 2022-23</t>
  </si>
  <si>
    <t>No. of consumers (Nos.)</t>
  </si>
  <si>
    <t>Input Energy (MU)</t>
  </si>
  <si>
    <t>Amount Billed (Rs. Crore)</t>
  </si>
  <si>
    <t>Amount Collected (Rs. Crore)</t>
  </si>
  <si>
    <t>Arrears Collected (Rs. Crore)*</t>
  </si>
  <si>
    <t>Receivables at beginning of year (Rs. Crore)</t>
  </si>
  <si>
    <t>Receivables at end of year (Rs. Crore)</t>
  </si>
  <si>
    <t>Billing Efficiency (%)</t>
  </si>
  <si>
    <t>Collection Efficiency (%)</t>
  </si>
  <si>
    <t>Metered Consumers</t>
  </si>
  <si>
    <t>Unmetered Consumers</t>
  </si>
  <si>
    <t>Metered Sales$</t>
  </si>
  <si>
    <t>Unmetered Sales</t>
  </si>
  <si>
    <t>Total Sales</t>
  </si>
  <si>
    <t>Metered</t>
  </si>
  <si>
    <t xml:space="preserve">Unmetered </t>
  </si>
  <si>
    <t>Based on Meter Reading</t>
  </si>
  <si>
    <t>Assessed Sales</t>
  </si>
  <si>
    <t>Note</t>
  </si>
  <si>
    <t>$ - Assessed consumption for each category shall be indicated seperately</t>
  </si>
  <si>
    <t>* - Arrears collected would be included under Amount Collected, but are to be shown separately under these columns</t>
  </si>
  <si>
    <t>Year : FY 2023-24</t>
  </si>
  <si>
    <t>Form 17: Trajectory for Billing Efficiency and Collection Efficiency</t>
  </si>
  <si>
    <t>A) Billing Efficiency</t>
  </si>
  <si>
    <t xml:space="preserve">Projected </t>
  </si>
  <si>
    <t>B) Collection Efficiency</t>
  </si>
  <si>
    <t>Form 18: Payment Efficiency</t>
  </si>
  <si>
    <t>A) Payment of Generator &amp; Transmission Bills</t>
  </si>
  <si>
    <t>Bill Details</t>
  </si>
  <si>
    <t>Payment made</t>
  </si>
  <si>
    <t>Delay in payment (days)</t>
  </si>
  <si>
    <t>Amount Pending (Rs. Crore)</t>
  </si>
  <si>
    <t>Month/Date</t>
  </si>
  <si>
    <t>Amount (Rs. Crore)</t>
  </si>
  <si>
    <t>Due date</t>
  </si>
  <si>
    <t>% of Bill amount paid</t>
  </si>
  <si>
    <t>B) Scheduled Payment against Loans</t>
  </si>
  <si>
    <t>Schedule Payment</t>
  </si>
  <si>
    <t>% of Amount paid</t>
  </si>
  <si>
    <t>Schedule Payment against Long Term Loans</t>
  </si>
  <si>
    <t>Long Term Loan 1</t>
  </si>
  <si>
    <t>Long Term Loan 2</t>
  </si>
  <si>
    <t>Long Term Loan 3</t>
  </si>
  <si>
    <t>Schedule Payment against Short Term Loans</t>
  </si>
  <si>
    <t>Short Term Loan 1</t>
  </si>
  <si>
    <t>Short Term Loan 2</t>
  </si>
  <si>
    <t>Short Term Loan 3</t>
  </si>
  <si>
    <t>Year : FY 2024-25</t>
  </si>
  <si>
    <t>A) Payment of Generator Bills</t>
  </si>
  <si>
    <t>Form 19 : Rebate given to Consumer Category</t>
  </si>
  <si>
    <t>Consumer Category</t>
  </si>
  <si>
    <t xml:space="preserve">Approved Tariff </t>
  </si>
  <si>
    <t>Rebate given</t>
  </si>
  <si>
    <t>Applicable Tariff after rebate</t>
  </si>
  <si>
    <t>Sales</t>
  </si>
  <si>
    <t>Revenue Realised</t>
  </si>
  <si>
    <t>Rebate Given to consumer category</t>
  </si>
  <si>
    <t>Rs./kWh</t>
  </si>
  <si>
    <t>(e)=(d)x(c )</t>
  </si>
  <si>
    <t>(f)=(d)x(b)</t>
  </si>
  <si>
    <t>Consumer Category 1</t>
  </si>
  <si>
    <t>Consumer Category 2</t>
  </si>
  <si>
    <t>Consumer Category 3</t>
  </si>
  <si>
    <t xml:space="preserve">Total </t>
  </si>
  <si>
    <r>
      <rPr>
        <b/>
        <sz val="11"/>
        <rFont val="Times New Roman"/>
        <family val="1"/>
      </rPr>
      <t>Note</t>
    </r>
    <r>
      <rPr>
        <sz val="11"/>
        <rFont val="Times New Roman"/>
        <family val="1"/>
      </rPr>
      <t>: Detailed justification for rebate given to any consumer category should be submitted</t>
    </r>
  </si>
  <si>
    <t>Deviation</t>
  </si>
  <si>
    <t>Reason for Deviation</t>
  </si>
  <si>
    <t>Controllable</t>
  </si>
  <si>
    <t>Uncontrollable</t>
  </si>
  <si>
    <t>Net Entitlement after sharing of gains/(losses)</t>
  </si>
  <si>
    <t>Revenue</t>
  </si>
  <si>
    <t>Revenue from sale of electricity</t>
  </si>
  <si>
    <t>Total Revenue Gap/(Surplus)</t>
  </si>
  <si>
    <t>Note: Please give detailed explanation separately for the deviations on account of uncontrollable factors</t>
  </si>
  <si>
    <t>&lt;Name of the Distribution Licensee/Business&gt;</t>
  </si>
  <si>
    <t>Form 21:  Depreciation Schedule</t>
  </si>
  <si>
    <t>Land</t>
  </si>
  <si>
    <t>Year</t>
  </si>
  <si>
    <t>Asset as on 1st April/Asset Addition during the Year</t>
  </si>
  <si>
    <t>Depreciation as on 1st April 2005</t>
  </si>
  <si>
    <t>Depreciation Rate for that Year</t>
  </si>
  <si>
    <t>Depreciation during the Year</t>
  </si>
  <si>
    <t>Depriciation as on 1st april</t>
  </si>
  <si>
    <t>Asset crossing 90% depreciation</t>
  </si>
  <si>
    <t>Remaining Depreciable value</t>
  </si>
  <si>
    <t>2005-06</t>
  </si>
  <si>
    <t>2006-07</t>
  </si>
  <si>
    <t>2007-08</t>
  </si>
  <si>
    <t>2008-09</t>
  </si>
  <si>
    <t>2009-10</t>
  </si>
  <si>
    <t>2010-11</t>
  </si>
  <si>
    <t>2011-12</t>
  </si>
  <si>
    <t>2012-13</t>
  </si>
  <si>
    <t>2013-14</t>
  </si>
  <si>
    <t>2014-15</t>
  </si>
  <si>
    <t>2015-16</t>
  </si>
  <si>
    <t>2016-17</t>
  </si>
  <si>
    <t>2017-18</t>
  </si>
  <si>
    <t>2018-19</t>
  </si>
  <si>
    <t xml:space="preserve">Opening </t>
  </si>
  <si>
    <t>Addition</t>
  </si>
  <si>
    <t>2019-20</t>
  </si>
  <si>
    <t>2020-21</t>
  </si>
  <si>
    <t>2021-22</t>
  </si>
  <si>
    <t>2022-23</t>
  </si>
  <si>
    <t>2023-24</t>
  </si>
  <si>
    <t>2024-25</t>
  </si>
  <si>
    <t>2025-26</t>
  </si>
  <si>
    <t>2026-27</t>
  </si>
  <si>
    <t>2027-28</t>
  </si>
  <si>
    <t>2028-29</t>
  </si>
  <si>
    <t>2029-30</t>
  </si>
  <si>
    <t>Building</t>
  </si>
  <si>
    <t>Asset as on 1st April 2005</t>
  </si>
  <si>
    <t xml:space="preserve"> </t>
  </si>
  <si>
    <t>Vehicle</t>
  </si>
  <si>
    <t>Form 22:  ToD Charges for 5th Control Period</t>
  </si>
  <si>
    <t>ToD Tariff (Additional Charges or (Rebate) in INR/kVAh (or kWh)</t>
  </si>
  <si>
    <t>09:00 to 16:00 Hrs*</t>
  </si>
  <si>
    <t>16:00 to 20:00  Hrs*</t>
  </si>
  <si>
    <t>20:00 to 00:00 Hrs*</t>
  </si>
  <si>
    <t>00:00 to 06:00 Hrs*</t>
  </si>
  <si>
    <t>06:00 to 09:00 Hrs*</t>
  </si>
  <si>
    <t xml:space="preserve">*Indicative time slots as per the Regulations. </t>
  </si>
  <si>
    <t>Points to be considered at the time of filing up the formats</t>
  </si>
  <si>
    <t>Sr. No</t>
  </si>
  <si>
    <t xml:space="preserve">The formats provided is only for collation and analysis of the data and doesn’t provide any view of the Commission on bifurcation of Assets / cost </t>
  </si>
  <si>
    <t>The actual audited data of Gross Fixed Assets for FY 2023-24, FY 2022-23, FY 2021-22, FY 2020-21 and FY 2019-20 is required to be filled up in the given formats</t>
  </si>
  <si>
    <t>The list provided in the Column - "Name of Assets" is illustrative list and licensee can name the assets as per their Asset Register</t>
  </si>
  <si>
    <t xml:space="preserve">The Block of assets needs to be in line with the Audited books of accounts / Regulatory Accounts. </t>
  </si>
  <si>
    <t>The Block of assets while allocating the cost of assets needs to be selected from the drop-down list only</t>
  </si>
  <si>
    <t>Any missing parameter under block of assets can be added in the Sheet - "Block of Assets"</t>
  </si>
  <si>
    <t xml:space="preserve">With regards to the Meter, thought the same being allocated to Supply business, the cost of Meters related to consumers of respective voltage level needs to be identified and collated in the voltage wise format. </t>
  </si>
  <si>
    <t xml:space="preserve">In case of certain assets which either falls in category - "Common Assets, Corporate Assets or Unallocable Assets", the entry in the format needs to be made on an individual basis with correct reasoning. </t>
  </si>
  <si>
    <t>With regards to unallocable assets / cost, Licensee to provide their proposal on the basis of which the allocation principle can be decided with proper reasoning</t>
  </si>
  <si>
    <t>With regards to the details provided in sheet -" Common to Voltage", Licensee to provide the reasoning of the allocation of cost to different voltage</t>
  </si>
  <si>
    <t xml:space="preserve">Accumulated Depreciation as on closing date to be provided only for those assets which are not allocable or where the information of the allocation is not available. </t>
  </si>
  <si>
    <t>The figures in all the sheets needs to be mutually exclusive and summation of the figures needs to be reconciled with the audited GFA numbers</t>
  </si>
  <si>
    <t>The Licensee to provide data based on the existing methodology for allocation of assets and cost in the Excel Format. In case, Licensee wants to propose the change in the existing methodology, separate note to be submitted along with the rationale for the same</t>
  </si>
  <si>
    <t xml:space="preserve">Block of Assets </t>
  </si>
  <si>
    <t>Voltage Bifurcation</t>
  </si>
  <si>
    <t xml:space="preserve">Supply </t>
  </si>
  <si>
    <t>Not Allocable</t>
  </si>
  <si>
    <t>Accu. Depn. on not allocable</t>
  </si>
  <si>
    <t>EHT</t>
  </si>
  <si>
    <t>HT -33 kV</t>
  </si>
  <si>
    <t>HT -22 kV</t>
  </si>
  <si>
    <t>HT -11 kV</t>
  </si>
  <si>
    <t>LT</t>
  </si>
  <si>
    <t>Total - Voltage</t>
  </si>
  <si>
    <t>Rs. Crores</t>
  </si>
  <si>
    <t>Meters</t>
  </si>
  <si>
    <t>SCADA</t>
  </si>
  <si>
    <t>Office Equipments</t>
  </si>
  <si>
    <t>All figs. In Rs. Crore</t>
  </si>
  <si>
    <t>Name of Assets to be populated as per Asset Register</t>
  </si>
  <si>
    <t>Block of Assets</t>
  </si>
  <si>
    <t>Wire or Retail 
(please specify below)</t>
  </si>
  <si>
    <t>Voltage Bifurcation - Year Closing Value</t>
  </si>
  <si>
    <t>Supply</t>
  </si>
  <si>
    <t>Transformers</t>
  </si>
  <si>
    <t>Batteries</t>
  </si>
  <si>
    <t>Spares</t>
  </si>
  <si>
    <t>FY 2020-21-Yotta Sold</t>
  </si>
  <si>
    <t>Type</t>
  </si>
  <si>
    <t>Ratio if bifurcated (Wire: Supply)</t>
  </si>
  <si>
    <t xml:space="preserve"> Voltage Bifurcation - Year Closing Value</t>
  </si>
  <si>
    <t>Rationale / Remarks, in brief for bifurcation</t>
  </si>
  <si>
    <t>Others</t>
  </si>
  <si>
    <t>Note: Licensee to include the Assets having multiple voltage levels, if not included in the above list.</t>
  </si>
  <si>
    <t>Rationale / Remarks, in brief</t>
  </si>
  <si>
    <t>Leasehold Rights</t>
  </si>
  <si>
    <t>Proposed Voltage Bifurcation - Year Closing Value</t>
  </si>
  <si>
    <t>Accumulated Depreciation</t>
  </si>
  <si>
    <t>Remarks, in brief,</t>
  </si>
  <si>
    <t>Unallocable</t>
  </si>
  <si>
    <t>Allocation of Expenses</t>
  </si>
  <si>
    <t>Expenses as per audited (regulatory books)</t>
  </si>
  <si>
    <t>Wire Expenses</t>
  </si>
  <si>
    <t>O&amp;M expenses</t>
  </si>
  <si>
    <t>WIRE</t>
  </si>
  <si>
    <t>R&amp;M Expenses</t>
  </si>
  <si>
    <t>Tota O&amp;M Expenses - Wire Related</t>
  </si>
  <si>
    <t>Retail Expenses</t>
  </si>
  <si>
    <t>RETAIL</t>
  </si>
  <si>
    <t>Tota O&amp;M Expenses - Supply Related</t>
  </si>
  <si>
    <t>Unallocable Expenses</t>
  </si>
  <si>
    <t>UNALLOCABLE</t>
  </si>
  <si>
    <t xml:space="preserve">Tota O&amp;M Expenses - Unallocable </t>
  </si>
  <si>
    <t xml:space="preserve">Tota O&amp;M Expenses </t>
  </si>
  <si>
    <t>Allocation Head</t>
  </si>
  <si>
    <t>Employee Cost as audited (regulatory books)</t>
  </si>
  <si>
    <t xml:space="preserve">Please provide heads </t>
  </si>
  <si>
    <t>Salaries, Bonus, L.T.A. etc.</t>
  </si>
  <si>
    <t>Retail</t>
  </si>
  <si>
    <t>65% (Wires) &amp; 35% (Supply)</t>
  </si>
  <si>
    <t>Retainer Ship Charges</t>
  </si>
  <si>
    <t>Repairs &amp; Maintenance Expenses as audited (regulatory books)</t>
  </si>
  <si>
    <t>Repairs &amp; Maintenance (Spares- O &amp; M)</t>
  </si>
  <si>
    <t>Wire</t>
  </si>
  <si>
    <t>SMS Service Charges</t>
  </si>
  <si>
    <t>Other Service Charges</t>
  </si>
  <si>
    <t>Insurance Expenses</t>
  </si>
  <si>
    <t>Annual Maintenance Charges</t>
  </si>
  <si>
    <t>Annual Maintenance Charges-Scada</t>
  </si>
  <si>
    <t>Outsourcing Charges</t>
  </si>
  <si>
    <t>Administrative &amp; General Expenses as audited (regulatory books)</t>
  </si>
  <si>
    <t>Annual License Fees</t>
  </si>
  <si>
    <t>Appeal Fees / Review Petition Fees</t>
  </si>
  <si>
    <t>Telephone Expenses</t>
  </si>
  <si>
    <t>Business Promotion Expenses</t>
  </si>
  <si>
    <t>Electricity Expenses</t>
  </si>
  <si>
    <t>Inauguration Expenses</t>
  </si>
  <si>
    <t>Housekeeping Expenses</t>
  </si>
  <si>
    <t>Audit Fees</t>
  </si>
  <si>
    <t>Tax Audit Fees</t>
  </si>
  <si>
    <t>Professional Fees - Legal</t>
  </si>
  <si>
    <t>Misc. Expenses</t>
  </si>
  <si>
    <t>Security Charges</t>
  </si>
  <si>
    <t>Traveling Expensess</t>
  </si>
  <si>
    <t>Website Expenses</t>
  </si>
  <si>
    <t>Wires Business</t>
  </si>
  <si>
    <t>Supply Business</t>
  </si>
  <si>
    <t>Type / Particulars</t>
  </si>
  <si>
    <t>Unit of Measurement</t>
  </si>
  <si>
    <t>Employees</t>
  </si>
  <si>
    <t>Numbers</t>
  </si>
  <si>
    <t>Line Length - 33 kV</t>
  </si>
  <si>
    <t>Ckt-km</t>
  </si>
  <si>
    <t>Line Length - 22 kV</t>
  </si>
  <si>
    <t>Line length - 11 kV</t>
  </si>
  <si>
    <t>Line length - LT, including service cables</t>
  </si>
  <si>
    <t>Distribution Transformers</t>
  </si>
  <si>
    <t>Transformation Capacity aggregate for DT</t>
  </si>
  <si>
    <t>MVA</t>
  </si>
  <si>
    <t>Power Transformers</t>
  </si>
  <si>
    <t>Transformation Capacity aggregate for PT</t>
  </si>
  <si>
    <t>Number of HT faults</t>
  </si>
  <si>
    <t>HT faults</t>
  </si>
  <si>
    <t>LT faults</t>
  </si>
  <si>
    <t>Sales*</t>
  </si>
  <si>
    <t>EHT Level</t>
  </si>
  <si>
    <t>MUs</t>
  </si>
  <si>
    <t>HT Level</t>
  </si>
  <si>
    <t>33 kV</t>
  </si>
  <si>
    <t>22 kV</t>
  </si>
  <si>
    <t>11kV</t>
  </si>
  <si>
    <t>LT Level (Excuding Agriculture)</t>
  </si>
  <si>
    <t xml:space="preserve">LT Agriculture </t>
  </si>
  <si>
    <t>Consumers*</t>
  </si>
  <si>
    <t>No.</t>
  </si>
  <si>
    <t>Connected Load*</t>
  </si>
  <si>
    <t>KVA//KW</t>
  </si>
  <si>
    <t>HP</t>
  </si>
  <si>
    <t>Contract Demand*</t>
  </si>
  <si>
    <t>Ensuing Years - Projected</t>
  </si>
  <si>
    <t>FY 2018-19 - Actual$</t>
  </si>
  <si>
    <t>FY 2019-20 - Actual$</t>
  </si>
  <si>
    <t>FY 2020-21 - Actual$</t>
  </si>
  <si>
    <t>FY 2021-22 - Actual$</t>
  </si>
  <si>
    <t>FY 2024-25 - Actual$</t>
  </si>
  <si>
    <t>SEZ Area</t>
  </si>
  <si>
    <t>Non-SEZ Area</t>
  </si>
  <si>
    <t>FY 2018-19 - Actual vs. Approved</t>
  </si>
  <si>
    <t>FY 2019-20 - Actual vs. Approved</t>
  </si>
  <si>
    <t>FY 2020-21 - Actual vs. Approved</t>
  </si>
  <si>
    <t>FY 2021-22 - Actual vs. Approved</t>
  </si>
  <si>
    <t>FY 2018-19*</t>
  </si>
  <si>
    <t>FY 2018-19 - Actual</t>
  </si>
  <si>
    <t>FY 2019-20 -Actual</t>
  </si>
  <si>
    <t>FY 2020-21 - Actual</t>
  </si>
  <si>
    <t>FY 2021-22 -  Actual</t>
  </si>
  <si>
    <t>FY 2024-25 - Actual</t>
  </si>
  <si>
    <t>FY 2022-23 -  Actual</t>
  </si>
  <si>
    <t>FY 2019-20 - Actual</t>
  </si>
  <si>
    <t>FY 2021-22 - Actual</t>
  </si>
  <si>
    <t xml:space="preserve">* In case audited acounts for FY 2018-19 is not available, the lastest available audited accounts may be considered </t>
  </si>
  <si>
    <t xml:space="preserve">$ In case Entity is paying Minimum Alternate Tax (MAT), effective rate shall be considered as MAT rate including surcharge and cess </t>
  </si>
  <si>
    <r>
      <rPr>
        <b/>
        <sz val="10"/>
        <rFont val="Cambria"/>
        <family val="1"/>
        <scheme val="major"/>
      </rPr>
      <t>Note</t>
    </r>
    <r>
      <rPr>
        <sz val="10"/>
        <rFont val="Cambria"/>
        <family val="1"/>
        <scheme val="major"/>
      </rPr>
      <t xml:space="preserve">: # Actual tax paid on income from any other regulated or unregulated Business or Other Business shall be excluded for the calculation of effective tax rate </t>
    </r>
  </si>
  <si>
    <t>e = d /(1-c)</t>
  </si>
  <si>
    <t>Effective Tax Rate of the Company (%) $</t>
  </si>
  <si>
    <t>Form 12 (D):  Computation of Effective Tax Rate</t>
  </si>
  <si>
    <t>2. Income tax paid on incentive, efficiency gains, Delayed Payment Charges, and Interest on Delayed Payment to be excluded from actual Income Tax paid, and shown separately</t>
  </si>
  <si>
    <t>Note: 1. Please give Income Tax computation for each year separately for Distribution Company as a whole</t>
  </si>
  <si>
    <t>Tax Payable under MAT Rate</t>
  </si>
  <si>
    <t>k=c+d-e</t>
  </si>
  <si>
    <t>Book Profit</t>
  </si>
  <si>
    <t>e</t>
  </si>
  <si>
    <t>Sub total</t>
  </si>
  <si>
    <t>Other expenses allowed for computing Income Tax</t>
  </si>
  <si>
    <t xml:space="preserve"> Less: Deductions under Income Tax</t>
  </si>
  <si>
    <t>d</t>
  </si>
  <si>
    <t>Other disallowance while computing IT</t>
  </si>
  <si>
    <t xml:space="preserve"> Add: Disallowances under Income Tax</t>
  </si>
  <si>
    <t>c=a-b</t>
  </si>
  <si>
    <t>Profit Before Tax</t>
  </si>
  <si>
    <t>b</t>
  </si>
  <si>
    <t>Total Expenses</t>
  </si>
  <si>
    <t>a</t>
  </si>
  <si>
    <t>Total Revenue</t>
  </si>
  <si>
    <t>MAT Computation</t>
  </si>
  <si>
    <t>u = tx s</t>
  </si>
  <si>
    <t>Tax to be recovered through ARR</t>
  </si>
  <si>
    <t>t=s/r</t>
  </si>
  <si>
    <t>Tax Paid to Tax Provision</t>
  </si>
  <si>
    <t>s</t>
  </si>
  <si>
    <t>Tax Paid</t>
  </si>
  <si>
    <t>r=max(n,q)</t>
  </si>
  <si>
    <t xml:space="preserve">Tax Applicable </t>
  </si>
  <si>
    <t xml:space="preserve">q = MAT working </t>
  </si>
  <si>
    <t>n= m x Tax</t>
  </si>
  <si>
    <t>Tax Payable at Normal rate (Corporate Tax Rate)</t>
  </si>
  <si>
    <t>m=c+f-l</t>
  </si>
  <si>
    <t>Total Taxable Income</t>
  </si>
  <si>
    <t>l=g to k</t>
  </si>
  <si>
    <t>Total Tax Allowances</t>
  </si>
  <si>
    <t>k</t>
  </si>
  <si>
    <t>Exempt Income under IT</t>
  </si>
  <si>
    <t>j</t>
  </si>
  <si>
    <t>Other Deduction under IT</t>
  </si>
  <si>
    <t>i</t>
  </si>
  <si>
    <t>Deduction - U/s 80 IA</t>
  </si>
  <si>
    <t>h</t>
  </si>
  <si>
    <t>g</t>
  </si>
  <si>
    <t>Tax Depreciation</t>
  </si>
  <si>
    <t>Less</t>
  </si>
  <si>
    <t>f=d+e</t>
  </si>
  <si>
    <t>Total Tax Disallowances</t>
  </si>
  <si>
    <t>Depreciation considered in Expenses</t>
  </si>
  <si>
    <t>Add</t>
  </si>
  <si>
    <t>Tax Adjustment</t>
  </si>
  <si>
    <t>April-March      (Audited )*</t>
  </si>
  <si>
    <t>Form 12 (C):  Income Tax on Regulatory Profit Before Tax</t>
  </si>
  <si>
    <t>4 = 1+2-3</t>
  </si>
  <si>
    <t>Closing Balance of MAT Credit available</t>
  </si>
  <si>
    <t>MAT Credit availed during the year</t>
  </si>
  <si>
    <t>MAT paid during the year</t>
  </si>
  <si>
    <t>Opening Balance of MAT Credit available</t>
  </si>
  <si>
    <t>Form 12 (B):  MAT Credit Available</t>
  </si>
  <si>
    <r>
      <rPr>
        <b/>
        <sz val="10"/>
        <rFont val="Cambria"/>
        <family val="1"/>
        <scheme val="major"/>
      </rPr>
      <t>Note</t>
    </r>
    <r>
      <rPr>
        <sz val="10"/>
        <rFont val="Cambria"/>
        <family val="1"/>
        <scheme val="major"/>
      </rPr>
      <t>: 1. * - Documentary proof in the form of Challans for actual Income Tax paid needs to be submitted</t>
    </r>
  </si>
  <si>
    <t xml:space="preserve">Form 12 (A): Income Tax </t>
  </si>
  <si>
    <t>Sub-total HT</t>
  </si>
  <si>
    <t>0-100</t>
  </si>
  <si>
    <t>101-300</t>
  </si>
  <si>
    <t>301-500</t>
  </si>
  <si>
    <t>501-1000</t>
  </si>
  <si>
    <t>Above 1000</t>
  </si>
  <si>
    <t>LT III (C): LT - Public Water Works (Above 40 kW)</t>
  </si>
  <si>
    <t>Sub-total LT</t>
  </si>
  <si>
    <t>Year : FY 2018-19</t>
  </si>
  <si>
    <t>Year : FY 2019-20</t>
  </si>
  <si>
    <t>Year : FY 2020-21</t>
  </si>
  <si>
    <t>Year : FY 2021-22</t>
  </si>
  <si>
    <t xml:space="preserve">Power Procurement </t>
  </si>
  <si>
    <t xml:space="preserve">Tata Power Company </t>
  </si>
  <si>
    <t>Transmission Charges</t>
  </si>
  <si>
    <t>Maharashtra State Electricity Transmission Company Limited</t>
  </si>
  <si>
    <t>Long Term Loan 1 (LoC)</t>
  </si>
  <si>
    <t>Advance Payment Bill Adjustment by STU</t>
  </si>
  <si>
    <t>Note : There is moratorium of period of 4 years. Even though, NUPLLP has paid interest bearing amount of PDPL, from interest free borrowing from other partner ie. NUI Services Pvt. Ltd.</t>
  </si>
  <si>
    <t>Deviation (Gain)/Loss</t>
  </si>
  <si>
    <t>Net Entitlement after sharing of (Gains)/Losses</t>
  </si>
  <si>
    <t>Date of SEZ denotification</t>
  </si>
  <si>
    <t>Bifurcation of ARR</t>
  </si>
  <si>
    <t xml:space="preserve">NOT APPLICABLE </t>
  </si>
  <si>
    <t>HT-1 - Industry</t>
  </si>
  <si>
    <t xml:space="preserve">HT-II - Commercial </t>
  </si>
  <si>
    <t>HT-VIII (B) - Temporary</t>
  </si>
  <si>
    <t>HT VIII(B): HT - Public Services-Others</t>
  </si>
  <si>
    <t>LT 1  - Residential</t>
  </si>
  <si>
    <t>LT-II : LT- Non Residential - 0- 20 KW</t>
  </si>
  <si>
    <t>LT V(A) : LT Industry- General - 0 - 20 KW</t>
  </si>
  <si>
    <t>LT X / VII B - Public services - Other - &gt;20-50 kW</t>
  </si>
  <si>
    <t>Nidar Utilities Panvel LLP</t>
  </si>
  <si>
    <t>Form 1 : Customer Sales Forecast (SEZ + Non-SEZ)</t>
  </si>
  <si>
    <t xml:space="preserve">LT-II : LT- Non Residential - </t>
  </si>
  <si>
    <t>0- 20 KW</t>
  </si>
  <si>
    <t>Above 20 kW</t>
  </si>
  <si>
    <t>LT Electric Vehicle Charging Station</t>
  </si>
  <si>
    <t>Above 50 kW</t>
  </si>
  <si>
    <t>20 - 50 kW</t>
  </si>
  <si>
    <t xml:space="preserve">LT-II : LT- Non Residential </t>
  </si>
  <si>
    <t>Sales Proportion</t>
  </si>
  <si>
    <t>SEZ</t>
  </si>
  <si>
    <t>Non-SEZ</t>
  </si>
  <si>
    <t>c</t>
  </si>
  <si>
    <t>Proportion</t>
  </si>
  <si>
    <t>FY 2023-24 - MU</t>
  </si>
  <si>
    <t>FY 2023-24 - %</t>
  </si>
  <si>
    <t xml:space="preserve">Projection of Demand in MW </t>
  </si>
  <si>
    <t>Projection of Demand in MU</t>
  </si>
  <si>
    <t xml:space="preserve">April </t>
  </si>
  <si>
    <t>June</t>
  </si>
  <si>
    <t>July</t>
  </si>
  <si>
    <t>August</t>
  </si>
  <si>
    <t>September</t>
  </si>
  <si>
    <t>October</t>
  </si>
  <si>
    <t>November</t>
  </si>
  <si>
    <t>December</t>
  </si>
  <si>
    <t>January</t>
  </si>
  <si>
    <t>February</t>
  </si>
  <si>
    <t>March</t>
  </si>
  <si>
    <t xml:space="preserve">L.F. </t>
  </si>
  <si>
    <t>Category of Consumers</t>
  </si>
  <si>
    <t>Yotta+NMDC</t>
  </si>
  <si>
    <t>kVA</t>
  </si>
  <si>
    <t>MW</t>
  </si>
  <si>
    <t xml:space="preserve">Other </t>
  </si>
  <si>
    <t>Other</t>
  </si>
  <si>
    <t>Incremental</t>
  </si>
  <si>
    <t xml:space="preserve">Incremental Load </t>
  </si>
  <si>
    <t>Cumulative Projected Load</t>
  </si>
  <si>
    <t>80% Load Factor</t>
  </si>
  <si>
    <t>New Consumer</t>
  </si>
  <si>
    <t>85% Load Factor</t>
  </si>
  <si>
    <t>90% Load Factor</t>
  </si>
  <si>
    <t>Category of Consumer</t>
  </si>
  <si>
    <t>Total NUPLLP</t>
  </si>
  <si>
    <t>Balance Sales excl. HT Industrial</t>
  </si>
  <si>
    <t xml:space="preserve"> Total </t>
  </si>
  <si>
    <t xml:space="preserve">Energy Input at T&lt;&gt;D Periphery </t>
  </si>
  <si>
    <t xml:space="preserve">NUPLLP </t>
  </si>
  <si>
    <t>11 kv</t>
  </si>
  <si>
    <t>Total Energy Available for Sale at 11 kV</t>
  </si>
  <si>
    <t>Energy Available for sale at 11 kV</t>
  </si>
  <si>
    <t>TPC</t>
  </si>
  <si>
    <t>TPC / Other Source selection through Competitive bidding  - For Base Load</t>
  </si>
  <si>
    <t>Short  Term selection through Competitive bidding  - For Peak Load</t>
  </si>
  <si>
    <t>Imbalance Pool</t>
  </si>
  <si>
    <t>Solar REC Purchase</t>
  </si>
  <si>
    <t>Non-Solar REC Purchase</t>
  </si>
  <si>
    <t>Rebate</t>
  </si>
  <si>
    <t>Distribution loss in Mus</t>
  </si>
  <si>
    <t>Energy at interface point (Licensee periphery)</t>
  </si>
  <si>
    <t>Intra state Loss</t>
  </si>
  <si>
    <t>NOT APPLICABLE</t>
  </si>
  <si>
    <t>Power From TPC</t>
  </si>
  <si>
    <t>Power from TPC</t>
  </si>
  <si>
    <t>Power from Roof-Top Solar</t>
  </si>
  <si>
    <t>Power From TPC and other</t>
  </si>
  <si>
    <t>Imbalance pool</t>
  </si>
  <si>
    <t>Power from Rooftop Solar</t>
  </si>
  <si>
    <t>Distribution Loss</t>
  </si>
  <si>
    <t>Power Exchange</t>
  </si>
  <si>
    <t>GMR Energy Trading Ltd</t>
  </si>
  <si>
    <t xml:space="preserve">Power from GMR Energy Trading Ltd. </t>
  </si>
  <si>
    <t>Power Procured from Solar Roof top</t>
  </si>
  <si>
    <t>Exchange/Other Peak Sources</t>
  </si>
  <si>
    <t>Exchange</t>
  </si>
  <si>
    <t>GMR ETL - Birla Carbon India Pvt. Ltd. (BCIPL)</t>
  </si>
  <si>
    <t>Power Purchase</t>
  </si>
  <si>
    <t>TPC -1/10/2018 to 30/09/2021</t>
  </si>
  <si>
    <t xml:space="preserve">V.C. </t>
  </si>
  <si>
    <t>F. C</t>
  </si>
  <si>
    <t>Rs. Crs</t>
  </si>
  <si>
    <t>GMR Energy Trading Ltd. - 1/10/21 to 30/06/22</t>
  </si>
  <si>
    <t>GMR Energy Trading Ltd. - 1/7/22 to 30/06/23</t>
  </si>
  <si>
    <t>Vindhyachal Hydro Power  Private Limited (VHPPL) - 1 February, 2023 to 31 January, 2024</t>
  </si>
  <si>
    <t>GMR Energy Trading Ltd  - 1 July 2023 to 30 June 2024</t>
  </si>
  <si>
    <t>Vindhyachal Hydro Power Private Limited (VHPPL) - 1 February 2024 to 31 January 2025</t>
  </si>
  <si>
    <t>Vayunandana Power Limited (VPL) - 1 August 2024 to 30 November 2024</t>
  </si>
  <si>
    <t>Vayunandana Power Limited (VPL) - 1 December 2024 to 30 June 2025</t>
  </si>
  <si>
    <t>GMR Energy Trading Ltd.. - 1 January 2025 to 31 March 2025</t>
  </si>
  <si>
    <t>GMR Energy Trading Ltd.. - 1 April 2025 to 31 October 2025</t>
  </si>
  <si>
    <t>2.2 to 2.6</t>
  </si>
  <si>
    <t>Vindhyachal Hydro Power Pvt. Ltd. (VHPPL) - 1 Februray 25 to 31 January 29</t>
  </si>
  <si>
    <t>Vindhyachal Hydro Power  Private Limited (VHPPL)</t>
  </si>
  <si>
    <t>Power from Vindhyachal Hydro Power  Private Limited (VHPPL)</t>
  </si>
  <si>
    <t xml:space="preserve">Vayunandana Power Limited (VPL) </t>
  </si>
  <si>
    <t xml:space="preserve">Power from Vayunandana Power Limited (VPL) </t>
  </si>
  <si>
    <t>Intra-State Transmission loss</t>
  </si>
  <si>
    <t>InsTS Charges</t>
  </si>
  <si>
    <t>SLDC Charges</t>
  </si>
  <si>
    <t>STU Charges</t>
  </si>
  <si>
    <t>Rs. Cr</t>
  </si>
  <si>
    <t>MSTU Charges</t>
  </si>
  <si>
    <t>Distribution Loss (%)</t>
  </si>
  <si>
    <t xml:space="preserve">Collection efficiency </t>
  </si>
  <si>
    <t>Balance Short / Medium Term to be procured</t>
  </si>
  <si>
    <t>FY 2019-20  - Actual</t>
  </si>
  <si>
    <t>FY 2020-21  - Actual</t>
  </si>
  <si>
    <t>FY 2024-25 -Actual</t>
  </si>
  <si>
    <t>FY 2025-26 Estimated</t>
  </si>
  <si>
    <t>PLF</t>
  </si>
  <si>
    <t xml:space="preserve">Power Exchange / Short Term </t>
  </si>
  <si>
    <t xml:space="preserve">Power Exchange /Short Term </t>
  </si>
  <si>
    <t>C) Distribution Business</t>
  </si>
  <si>
    <t>Other Allowances / Staff Reimbursement</t>
  </si>
  <si>
    <t>Performance Linked incentive</t>
  </si>
  <si>
    <t>Insurance charges of employees</t>
  </si>
  <si>
    <t>NPS Contribution (Employer)</t>
  </si>
  <si>
    <t>Admin Cont-PF</t>
  </si>
  <si>
    <t>Less: Transfer to Other Project</t>
  </si>
  <si>
    <t>Allocation Matrix- Wire</t>
  </si>
  <si>
    <t>Inter-State Transmission Charges</t>
  </si>
  <si>
    <t>Depreciation</t>
  </si>
  <si>
    <t>Interest on Long-term Loan Capital</t>
  </si>
  <si>
    <t>Interest on Consumer Security Deposits</t>
  </si>
  <si>
    <t>Provision for Bad &amp; Doubtful Debts</t>
  </si>
  <si>
    <t>Return on Equity</t>
  </si>
  <si>
    <t>Capital Funding for MTR Petition</t>
  </si>
  <si>
    <t>Depreciation Rates - Asset Head Wise</t>
  </si>
  <si>
    <t>Land held under lease</t>
  </si>
  <si>
    <t>Buildings and Civil work</t>
  </si>
  <si>
    <t>Plant and Mchinery</t>
  </si>
  <si>
    <t>Computer / I.T . Equipments</t>
  </si>
  <si>
    <t>Software</t>
  </si>
  <si>
    <t>2018-19 to 2019-20</t>
  </si>
  <si>
    <t>2020-21 to 2024-25</t>
  </si>
  <si>
    <t>2025-26 to 2029-30</t>
  </si>
  <si>
    <t>For Control Period</t>
  </si>
  <si>
    <t xml:space="preserve">A) Distribution Wires + Supply Business </t>
  </si>
  <si>
    <t>C) Combined Distribution &amp; Supply Business</t>
  </si>
  <si>
    <t>FY 2016-17</t>
  </si>
  <si>
    <t>Computer Stationery/Website Expenses</t>
  </si>
  <si>
    <t>Advertisements / Business Promotion Exp</t>
  </si>
  <si>
    <t>Registration Charges</t>
  </si>
  <si>
    <t xml:space="preserve">O&amp;M Outsourcing </t>
  </si>
  <si>
    <t>Others (Cr. Card gateway, etc)</t>
  </si>
  <si>
    <t>Professional Tax</t>
  </si>
  <si>
    <r>
      <t xml:space="preserve">Others </t>
    </r>
    <r>
      <rPr>
        <b/>
        <sz val="10"/>
        <rFont val="Cambria"/>
        <family val="1"/>
        <scheme val="major"/>
      </rPr>
      <t>(GVE + others AMCs)</t>
    </r>
  </si>
  <si>
    <t xml:space="preserve">Details of Profit &amp; Loss Account </t>
  </si>
  <si>
    <t>A/c</t>
  </si>
  <si>
    <t>MYT</t>
  </si>
  <si>
    <t>Diff</t>
  </si>
  <si>
    <t>Income</t>
  </si>
  <si>
    <t>Revenue from Operations</t>
  </si>
  <si>
    <t>Other Income</t>
  </si>
  <si>
    <t>Expenses</t>
  </si>
  <si>
    <t>Direct Expenses</t>
  </si>
  <si>
    <t>Employee Benefits Expenses</t>
  </si>
  <si>
    <t>Depreciation &amp; Amortisation Expenses</t>
  </si>
  <si>
    <t>Finance Costs</t>
  </si>
  <si>
    <t>Other Expenses</t>
  </si>
  <si>
    <t>Profit/(Loss) Before Tax</t>
  </si>
  <si>
    <t>Tax Expenses</t>
  </si>
  <si>
    <t>Net Current Tax</t>
  </si>
  <si>
    <t>Deferred Tax</t>
  </si>
  <si>
    <t>Excess/Short Provision For Tax In Respect of Earlier Years</t>
  </si>
  <si>
    <t>Profit After Tax</t>
  </si>
  <si>
    <t>REVENUE FROM OPERATIONS</t>
  </si>
  <si>
    <t>Revenue from Power Supply</t>
  </si>
  <si>
    <t>Revenue from Sale of Power</t>
  </si>
  <si>
    <t>Delay Payment Surcharge and Interest on arrears</t>
  </si>
  <si>
    <t>Revenue from Power Supply Related Services</t>
  </si>
  <si>
    <t>Agreement Charges (Sales)</t>
  </si>
  <si>
    <t>Installation &amp; Testing Charges(Sales)</t>
  </si>
  <si>
    <t>Meter Cost (Sales)</t>
  </si>
  <si>
    <t>Name Change Charges (Sales)</t>
  </si>
  <si>
    <t>Re-Connection Charges (Sales)</t>
  </si>
  <si>
    <t>Registration &amp; Processing Charges (Sales)</t>
  </si>
  <si>
    <t>Service Connection Charges (Sales)</t>
  </si>
  <si>
    <t>Revenue from Facility Management Services</t>
  </si>
  <si>
    <t>OTHER INCOME</t>
  </si>
  <si>
    <t>Interest:</t>
  </si>
  <si>
    <t>- Bank Fixed Deposits</t>
  </si>
  <si>
    <t>- Security Deposit</t>
  </si>
  <si>
    <t>- Others</t>
  </si>
  <si>
    <t>Miscellaneous Income</t>
  </si>
  <si>
    <t>Profit On Sale of assets</t>
  </si>
  <si>
    <t>Sundry Credit Balances Written Off</t>
  </si>
  <si>
    <t>Prompt Payment Discount Received</t>
  </si>
  <si>
    <t>Less: Transfer to Capital Work-In-Progress</t>
  </si>
  <si>
    <t>DIRECT EXPENSES</t>
  </si>
  <si>
    <t>Power/Energy Purchase (Exps.)</t>
  </si>
  <si>
    <t>Application Processing Fees for STOA</t>
  </si>
  <si>
    <t>Scheduling Charges (STOA)</t>
  </si>
  <si>
    <t>SLDC Operating Charges</t>
  </si>
  <si>
    <t>Prompt Payment Discount / Digital Discount</t>
  </si>
  <si>
    <t>Contirbution to Contingency Reserves</t>
  </si>
  <si>
    <t>Outsourcing Services Chgs. (FM)</t>
  </si>
  <si>
    <t>EMPLOYEE BENEFITS</t>
  </si>
  <si>
    <t>FINANCE COST</t>
  </si>
  <si>
    <t>Interest on Loans</t>
  </si>
  <si>
    <t>OTHER EXPENSES</t>
  </si>
  <si>
    <t>Appeal Fees / Review Petition Fees / Legal Fees</t>
  </si>
  <si>
    <t>Professional Fees</t>
  </si>
  <si>
    <t>IEX Admission Fees</t>
  </si>
  <si>
    <t>Membership &amp; Subscription</t>
  </si>
  <si>
    <t>Advertisement Expenses</t>
  </si>
  <si>
    <t>Registration Fees</t>
  </si>
  <si>
    <t>Misc. Expenses (FM)</t>
  </si>
  <si>
    <t>Details of Balance Sheet</t>
  </si>
  <si>
    <t>Security Deposit from Consumers</t>
  </si>
  <si>
    <t xml:space="preserve">Trade Receivables </t>
  </si>
  <si>
    <t>Unbilled Revenue</t>
  </si>
  <si>
    <t>Fixed Assets</t>
  </si>
  <si>
    <t>Supporting CTs &amp; MCCB Chgs. (Sales)</t>
  </si>
  <si>
    <t xml:space="preserve">Office Rent </t>
  </si>
  <si>
    <t>Compensation Received</t>
  </si>
  <si>
    <t>Prompt Payment Discount</t>
  </si>
  <si>
    <t>Sharing of gains/(losses)</t>
  </si>
  <si>
    <t>Operation and Maintenance Expenses</t>
  </si>
  <si>
    <t>Details of WPI* - 2011-12 Series</t>
  </si>
  <si>
    <t>F.Y.</t>
  </si>
  <si>
    <t>Average</t>
  </si>
  <si>
    <t>Details of CPI#</t>
  </si>
  <si>
    <t xml:space="preserve"> 2006-07</t>
  </si>
  <si>
    <t xml:space="preserve"> 2007-08</t>
  </si>
  <si>
    <t xml:space="preserve"> 2008-09</t>
  </si>
  <si>
    <t xml:space="preserve"> 2009-10</t>
  </si>
  <si>
    <t xml:space="preserve"> 2010-11</t>
  </si>
  <si>
    <t xml:space="preserve"> 2011-12</t>
  </si>
  <si>
    <t>Month/Year</t>
  </si>
  <si>
    <t>Base conversion Factor</t>
  </si>
  <si>
    <t>Annual WPI Source*</t>
  </si>
  <si>
    <t>https://eaindustry.nic.in/download_data_1112.asp</t>
  </si>
  <si>
    <t>Annual CPI Source#</t>
  </si>
  <si>
    <t>http://labourbureau.gov.in/LBO_indexes.htm</t>
  </si>
  <si>
    <t>All India General Index | Official website of Labour Bureau, Ministry of Labour and Employment,Government of India</t>
  </si>
  <si>
    <t>Calculation of O&amp;M Escalation Rate - 2011-12 series</t>
  </si>
  <si>
    <t>WPI</t>
  </si>
  <si>
    <t>WPI Inflation</t>
  </si>
  <si>
    <t>CPI</t>
  </si>
  <si>
    <t>CPI Inflation</t>
  </si>
  <si>
    <t>FY 2012-13</t>
  </si>
  <si>
    <t>FY 2013-14</t>
  </si>
  <si>
    <t>FY 2014-15</t>
  </si>
  <si>
    <t>FY 2015-16</t>
  </si>
  <si>
    <t>Average from FY 20 to FY25</t>
  </si>
  <si>
    <t>Weightage</t>
  </si>
  <si>
    <t>Escalation Factor</t>
  </si>
  <si>
    <t>Less Efficiency Factor</t>
  </si>
  <si>
    <t>From</t>
  </si>
  <si>
    <t>To</t>
  </si>
  <si>
    <t>MCLR (one Year)</t>
  </si>
  <si>
    <t>Days</t>
  </si>
  <si>
    <t>Approved/ Estimated</t>
  </si>
  <si>
    <t>Actual Capital Cost Incurred / capitalised</t>
  </si>
  <si>
    <t>Approved Capital Cost of Distribution System without IDC and Cost of Smart Meters</t>
  </si>
  <si>
    <t xml:space="preserve">NIDAR SEZ's Distribution Network System </t>
  </si>
  <si>
    <t>MERC/CAPEX2017-18/4787</t>
  </si>
  <si>
    <t>Development of the Distribution Network System</t>
  </si>
  <si>
    <t>The said scheme is currently under execution</t>
  </si>
  <si>
    <t>[1]  Interest During Construction (IDC), Contingency Charges and Soft Cost  was not considered as per MERC approval and as per approval to be considered after execution of the Project at time of Tariff Petition, subject to prudence check</t>
  </si>
  <si>
    <t xml:space="preserve">[2] The CAPEX approved by MERC are excluding GST  </t>
  </si>
  <si>
    <t>From Developer - PDPL</t>
  </si>
  <si>
    <t>Other Cost related to Non-DPR</t>
  </si>
  <si>
    <t>Approved/Estimated</t>
  </si>
  <si>
    <t>[1]As per MERC approval, Cost of Smart Meters shall be considered based on submission of specifications, unit rate discovered through competitive bidding and justification of least cost option and not considered under CAPEX</t>
  </si>
  <si>
    <t xml:space="preserve">Normal Capitalisaiton </t>
  </si>
  <si>
    <t>PDPL</t>
  </si>
  <si>
    <r>
      <rPr>
        <b/>
        <sz val="10"/>
        <rFont val="Cambria"/>
        <family val="1"/>
        <scheme val="major"/>
      </rPr>
      <t>Note</t>
    </r>
    <r>
      <rPr>
        <sz val="10"/>
        <rFont val="Cambria"/>
        <family val="1"/>
        <scheme val="major"/>
      </rPr>
      <t xml:space="preserve">: </t>
    </r>
  </si>
  <si>
    <t>GFA</t>
  </si>
  <si>
    <t>Building-Others</t>
  </si>
  <si>
    <t>Building and other Civil Works</t>
  </si>
  <si>
    <t>Leasehold land</t>
  </si>
  <si>
    <t>Air conditioning plants</t>
  </si>
  <si>
    <t>Communication Equipment</t>
  </si>
  <si>
    <t>Distribution Sub-station Wiring</t>
  </si>
  <si>
    <t>Lightning arrestors</t>
  </si>
  <si>
    <t>Switchgear including cable connections</t>
  </si>
  <si>
    <t>Any other assets not covered above</t>
  </si>
  <si>
    <t>I.T. equipments</t>
  </si>
  <si>
    <t>Office furniture and fittings</t>
  </si>
  <si>
    <t>Office equipments</t>
  </si>
  <si>
    <t>Software Licenses</t>
  </si>
  <si>
    <t xml:space="preserve">Depreciation Rate </t>
  </si>
  <si>
    <t>Decapitalisation of Assets in FY 2020-21</t>
  </si>
  <si>
    <t xml:space="preserve">Capitalisation </t>
  </si>
  <si>
    <t>Accumulated Dep</t>
  </si>
  <si>
    <t>Net Value</t>
  </si>
  <si>
    <t>Sale Value</t>
  </si>
  <si>
    <t xml:space="preserve">Proft </t>
  </si>
  <si>
    <t>Actual Capex till FY 2015-16</t>
  </si>
  <si>
    <t>70:30</t>
  </si>
  <si>
    <t>Actual Capex till FY 2016-17</t>
  </si>
  <si>
    <t>Actual Progress till FY 2017-18</t>
  </si>
  <si>
    <t>Actual Capitalisation till FY 2017-18</t>
  </si>
  <si>
    <t>Approved Project Cost (Rs. Crs)</t>
  </si>
  <si>
    <t xml:space="preserve">Overall Assets </t>
  </si>
  <si>
    <t>Old Assets</t>
  </si>
  <si>
    <t>New Assets</t>
  </si>
  <si>
    <t>Interest Rate</t>
  </si>
  <si>
    <t>FY 2025-26 to FY 2029-30</t>
  </si>
  <si>
    <t>(a) In-principle approved by MERC</t>
  </si>
  <si>
    <t>25-26</t>
  </si>
  <si>
    <t>26-27</t>
  </si>
  <si>
    <t>28-29</t>
  </si>
  <si>
    <t>29-30</t>
  </si>
  <si>
    <t>27-28</t>
  </si>
  <si>
    <t>Below 70%</t>
  </si>
  <si>
    <t>Useful life</t>
  </si>
  <si>
    <t>Balance Life</t>
  </si>
  <si>
    <t>Other Charges</t>
  </si>
  <si>
    <t>Revenue from TOD (Rs. Crore)</t>
  </si>
  <si>
    <t>PF incentive /Penalty (Rs. Crore)</t>
  </si>
  <si>
    <t>Excess Demand Charges (Rs. Crore)</t>
  </si>
  <si>
    <t>(k) = (c )+(d)+(e)+(f)+(g)+(h)+(i)+(j)</t>
  </si>
  <si>
    <t>(m)=(k)+(l)</t>
  </si>
  <si>
    <t>(n)=(m)x10/(b)</t>
  </si>
  <si>
    <t>(p)=(o)-(n)</t>
  </si>
  <si>
    <t>Form 13:  Revenue from Sale of Electricity (Combined SEZ + Non-SEZ)</t>
  </si>
  <si>
    <t>Revenue from Wheeling Chaarges</t>
  </si>
  <si>
    <t xml:space="preserve">Revenue from Retail Supply of Electricity </t>
  </si>
  <si>
    <t>Revenue Gap / (Surplus)</t>
  </si>
  <si>
    <t>Form 13:  Revenue from Sale of Electricity - SEZ</t>
  </si>
  <si>
    <t>Form 13:  Revenue from Sale of Electricity - Non-SEZ</t>
  </si>
  <si>
    <t>Management Support and Consultancy Services</t>
  </si>
  <si>
    <t>Energy Sales</t>
  </si>
  <si>
    <t>Distribution loss</t>
  </si>
  <si>
    <t>Additional Transmission Charges</t>
  </si>
  <si>
    <t>Rate of Interest on Long Term Loan</t>
  </si>
  <si>
    <t>Rate of Interest on Working Capital</t>
  </si>
  <si>
    <t>Rate of Interest for Carrying Cost</t>
  </si>
  <si>
    <t>Rate of Interest for Consumer Security Deposit</t>
  </si>
  <si>
    <t xml:space="preserve">Security Deposit </t>
  </si>
  <si>
    <t xml:space="preserve">Return on Equity </t>
  </si>
  <si>
    <t>RoE rate for Wire as per MYT Regulations</t>
  </si>
  <si>
    <t>RoE rate for Supply as per MYT Regulations</t>
  </si>
  <si>
    <t>Income Tax Rate</t>
  </si>
  <si>
    <t>Target Availability (%)</t>
  </si>
  <si>
    <t>Actual Availability Achieved (%)</t>
  </si>
  <si>
    <t>Primary Cap for Incentive availability</t>
  </si>
  <si>
    <t>Additional rate of return on equity (%)</t>
  </si>
  <si>
    <t xml:space="preserve">Wire Availabiltiy </t>
  </si>
  <si>
    <t>Assessed Bills</t>
  </si>
  <si>
    <t>Total No. of Bills issued during the year</t>
  </si>
  <si>
    <t>No. of Assessed Bills</t>
  </si>
  <si>
    <t>% of Assessed Bills</t>
  </si>
  <si>
    <t>Additional RoE (%)</t>
  </si>
  <si>
    <t>Reduction in assessed bill</t>
  </si>
  <si>
    <t>Distribution Business</t>
  </si>
  <si>
    <t>Income from investment of Contingency Reserves</t>
  </si>
  <si>
    <t xml:space="preserve">Miscellaneous Income </t>
  </si>
  <si>
    <t>Sundry Creditors Writen off</t>
  </si>
  <si>
    <t xml:space="preserve">Profit on sale of Investment </t>
  </si>
  <si>
    <t>Rebate on Power Purchase and Liquidated damages from Generator</t>
  </si>
  <si>
    <t>Receivable</t>
  </si>
  <si>
    <t xml:space="preserve">Add: Expenses Disallowed </t>
  </si>
  <si>
    <t>Gratuty</t>
  </si>
  <si>
    <t>Loss /profit on sale of FA</t>
  </si>
  <si>
    <t xml:space="preserve">43B- Disallowed </t>
  </si>
  <si>
    <t xml:space="preserve">Bonus </t>
  </si>
  <si>
    <t>Labour Welfare Fund</t>
  </si>
  <si>
    <t>LTA</t>
  </si>
  <si>
    <t>Interest on TDS</t>
  </si>
  <si>
    <t>Prov. For Contingency Reserve</t>
  </si>
  <si>
    <t xml:space="preserve">Less  : Items to be allowed / considered seprately </t>
  </si>
  <si>
    <t xml:space="preserve">Depriciation as per It Act </t>
  </si>
  <si>
    <t xml:space="preserve">Normal </t>
  </si>
  <si>
    <t xml:space="preserve">Additional </t>
  </si>
  <si>
    <t>Expenses Diallowed in earler year now allowed</t>
  </si>
  <si>
    <t>Gratuity</t>
  </si>
  <si>
    <t>Bonus</t>
  </si>
  <si>
    <t>PLA Paid  40(a)</t>
  </si>
  <si>
    <t>Wire Business</t>
  </si>
  <si>
    <t>Estimated Revenue at existing tariff - SEZ</t>
  </si>
  <si>
    <t>Revenue from Other charges</t>
  </si>
  <si>
    <t>Tariff</t>
  </si>
  <si>
    <t>Fixed Charges</t>
  </si>
  <si>
    <t>Energy Charges</t>
  </si>
  <si>
    <t>Wheeling Charges</t>
  </si>
  <si>
    <t xml:space="preserve">P.F. </t>
  </si>
  <si>
    <t>From 1st April 2025 to 30th June 2025</t>
  </si>
  <si>
    <t xml:space="preserve">HT-INDUSTRIAL </t>
  </si>
  <si>
    <t>Rs./kVA/Month</t>
  </si>
  <si>
    <t>Rs./kVAh</t>
  </si>
  <si>
    <t>HT-COMMERCIAL</t>
  </si>
  <si>
    <t>LT-DOMESTIC</t>
  </si>
  <si>
    <t>Rs./month</t>
  </si>
  <si>
    <t>100-300</t>
  </si>
  <si>
    <t>300-500</t>
  </si>
  <si>
    <t>Above 500</t>
  </si>
  <si>
    <t>LT-COMMERCIAL</t>
  </si>
  <si>
    <t>0-20 kW</t>
  </si>
  <si>
    <t>20-50 kW</t>
  </si>
  <si>
    <t>LT-INDUSTRIAL</t>
  </si>
  <si>
    <t>LT-PWW and STP (URBAN)</t>
  </si>
  <si>
    <t>20-40 kW</t>
  </si>
  <si>
    <t>Above 40 kW</t>
  </si>
  <si>
    <t>LT - Public Services</t>
  </si>
  <si>
    <t>LT-EV CHARGING STATIONS</t>
  </si>
  <si>
    <t>From 1st July 2025 to 31st March 2026</t>
  </si>
  <si>
    <t>78.5% Load Factor</t>
  </si>
  <si>
    <t>ToD Tariff</t>
  </si>
  <si>
    <t>2200 to 0600 hours</t>
  </si>
  <si>
    <t>0600 to 0900 hours and 1200 to 1800 hours</t>
  </si>
  <si>
    <t>0900 to 1200 hours</t>
  </si>
  <si>
    <t>1800 to 2200 hours</t>
  </si>
  <si>
    <t>00 to 06 hours</t>
  </si>
  <si>
    <t>06 to 09 hours</t>
  </si>
  <si>
    <t>09 to 17 hours</t>
  </si>
  <si>
    <t>Apr to Sept</t>
  </si>
  <si>
    <t>Oct to Mar</t>
  </si>
  <si>
    <t>17 to 24 hours</t>
  </si>
  <si>
    <t>Residential</t>
  </si>
  <si>
    <t>ToD consumption from 1st April 2025 to 30th June 2025</t>
  </si>
  <si>
    <t>HT Industrial</t>
  </si>
  <si>
    <t>HT Commercial</t>
  </si>
  <si>
    <t xml:space="preserve">LT Residential </t>
  </si>
  <si>
    <t>LT Commercial above 50 kW</t>
  </si>
  <si>
    <t>LT Commercial (20-50 kW)</t>
  </si>
  <si>
    <t>LT - PWW</t>
  </si>
  <si>
    <t>LT EV charging</t>
  </si>
  <si>
    <t>ToD consumption from 1st July 2025 onwards</t>
  </si>
  <si>
    <t>Estimated Revenue at existing tariff - Non-SEZ</t>
  </si>
  <si>
    <t xml:space="preserve">Sales </t>
  </si>
  <si>
    <t>Sales of each category for FY 2025-26</t>
  </si>
  <si>
    <t>Units</t>
  </si>
  <si>
    <t>Revenue from ToD of each category for FY 2025-26</t>
  </si>
  <si>
    <t xml:space="preserve">Total ToD Revenue </t>
  </si>
  <si>
    <t>Estimated Revenue at existing tariff - Total Area</t>
  </si>
  <si>
    <t xml:space="preserve">Existing </t>
  </si>
  <si>
    <t>Proposed</t>
  </si>
  <si>
    <t>Existing</t>
  </si>
  <si>
    <t>P.F.</t>
  </si>
  <si>
    <t>Mu</t>
  </si>
  <si>
    <t>Manikaran Power Ltd (MPL) - 1 August 2025 to 31 July 2026</t>
  </si>
  <si>
    <t>Manikaran Power Ltd (MPL) - 1 November 2025 to 31 October 2026</t>
  </si>
  <si>
    <t>Greta Power - Biomass - 1 September 2025 to 31 August 2026</t>
  </si>
  <si>
    <t>Manikaran Power Limited (MPL)</t>
  </si>
  <si>
    <t>Greta Power</t>
  </si>
  <si>
    <t>Quantum</t>
  </si>
  <si>
    <t>Amount</t>
  </si>
  <si>
    <t>Rate</t>
  </si>
  <si>
    <t>Total Power Purchase</t>
  </si>
  <si>
    <t>Less: </t>
  </si>
  <si>
    <t>Cost of Renewable Power</t>
  </si>
  <si>
    <t>Rooftop solar</t>
  </si>
  <si>
    <t>Transmission / SLDC charges</t>
  </si>
  <si>
    <t> Total</t>
  </si>
  <si>
    <t>Power Tie-up</t>
  </si>
  <si>
    <t xml:space="preserve">Vindhyachal Hydro Power Private Limited </t>
  </si>
  <si>
    <t xml:space="preserve">GMR Energy  Trading  Ltd.. </t>
  </si>
  <si>
    <t>Vayunandana Power Limited</t>
  </si>
  <si>
    <t>Balance to be tie-up</t>
  </si>
  <si>
    <t>Total Tied-up</t>
  </si>
  <si>
    <t>TTSC Approved</t>
  </si>
  <si>
    <t>Additional Quantum</t>
  </si>
  <si>
    <t>Manikaran Power Limited</t>
  </si>
  <si>
    <t>Greata Power</t>
  </si>
  <si>
    <t>Manikaran Power Ltd (MPL)</t>
  </si>
  <si>
    <t xml:space="preserve">Greta Power - Biomass </t>
  </si>
  <si>
    <t>Power from Manikaran Power Limited (MPL)</t>
  </si>
  <si>
    <t>Power from Great Power Limited - Biomass</t>
  </si>
  <si>
    <t xml:space="preserve">Power Exchange /Short / Medium Term </t>
  </si>
  <si>
    <t>Exchange / Short / Medium Term</t>
  </si>
  <si>
    <t xml:space="preserve">Power from Power Exchange / Short / Medium Term </t>
  </si>
  <si>
    <t>Estimated Revenue at Proposed tariff - SEZ</t>
  </si>
  <si>
    <t>Estimated Revenue at Proposed tariff - Non-SEZ</t>
  </si>
  <si>
    <t>Estimated Revenue at Proposed tariff - Total Area</t>
  </si>
  <si>
    <t>Form 14.4:  Expected Revenue at proposed Tariff- FY 2028-29</t>
  </si>
  <si>
    <t>Estimated Revenue at proposed tariff - SEZ</t>
  </si>
  <si>
    <t>Note- 1) proposed tariff shall be prevailing tariff approved by the Commission for FY 2019-20</t>
  </si>
  <si>
    <t>Estimated Revenue at proposed tariff - Non-SEZ</t>
  </si>
  <si>
    <t>Estimated Revenue at proposed tariff - Total Area</t>
  </si>
  <si>
    <t>Form 14.5:  Expected Revenue at proposed Tariff- FY 2029-30</t>
  </si>
  <si>
    <t>Revenue Gap / (Surplus) of FY 2018-19</t>
  </si>
  <si>
    <t>Revenue Gap / (Surplus) of FY 2019-20</t>
  </si>
  <si>
    <t>Revenue Gap / (Surplus) of FY 2020-21</t>
  </si>
  <si>
    <t>Revenue Gap / (Surplus) of FY 2021-22</t>
  </si>
  <si>
    <t>Revenue Gap / (Surplus) of FY 2022-23</t>
  </si>
  <si>
    <t>Revenue Gap / (Surplus) of FY 2023-24</t>
  </si>
  <si>
    <t>Revenue Gap / (Surplus) of FY 2024-25</t>
  </si>
  <si>
    <t>Carrying/(Holding) Cost for Revenue Gap/(Surplus) of  FY 2018-19 to FY 2024-25</t>
  </si>
  <si>
    <t>Carrying Cost due to Revenue Deferment</t>
  </si>
  <si>
    <t>Total Aggregate Revenue Requirement from Distribution Wires</t>
  </si>
  <si>
    <t>Total Aggregate Revenue Requirement from Retail Supply Business</t>
  </si>
  <si>
    <t>C) Combined Distribution Business</t>
  </si>
  <si>
    <t>Sharing of Gains / Losses</t>
  </si>
  <si>
    <t>Average Cost of Supply</t>
  </si>
  <si>
    <t>Rs/kWh</t>
  </si>
  <si>
    <t>Average Annual Tariff Increase</t>
  </si>
  <si>
    <t>Wheeling Charge</t>
  </si>
  <si>
    <t>Revenue Gap / (Surplus) of FY 2025-26</t>
  </si>
  <si>
    <t>Opening Gap/(Surplus)</t>
  </si>
  <si>
    <t>Gap/(Surplus) during the Year</t>
  </si>
  <si>
    <t>Gap/(Surplus) passed on to consumers</t>
  </si>
  <si>
    <t>Closing Gap/(Surplus)</t>
  </si>
  <si>
    <t>Average Gap/(Surplus)</t>
  </si>
  <si>
    <t>Interest Rate for Carrying/(Holding) Cost</t>
  </si>
  <si>
    <t>Carrying/(Holding) Cost for the Year</t>
  </si>
  <si>
    <t>Combined Distribution Business</t>
  </si>
  <si>
    <t>Bifrucation of ARR into SEZ and Non-SEZ</t>
  </si>
  <si>
    <t xml:space="preserve">Basis </t>
  </si>
  <si>
    <t xml:space="preserve">Energy Input </t>
  </si>
  <si>
    <t>For SEZ</t>
  </si>
  <si>
    <t>For Non-SEZ</t>
  </si>
  <si>
    <t>GFA Ratio</t>
  </si>
  <si>
    <t>Connected Load</t>
  </si>
  <si>
    <t xml:space="preserve">Gross Fixed Assets </t>
  </si>
  <si>
    <t>Energy Input at T&lt;&gt;D</t>
  </si>
  <si>
    <t xml:space="preserve">Energy Input Ratio </t>
  </si>
  <si>
    <t xml:space="preserve">Energy Sales Ratio </t>
  </si>
  <si>
    <t xml:space="preserve">Consumers as on 31st March </t>
  </si>
  <si>
    <t>Average Connected load - kVA</t>
  </si>
  <si>
    <t>Common</t>
  </si>
  <si>
    <t>Common Ratio Segregation</t>
  </si>
  <si>
    <t>Allocation of Assets</t>
  </si>
  <si>
    <t>Bifurcation assets</t>
  </si>
  <si>
    <t>Wire Allocation</t>
  </si>
  <si>
    <t xml:space="preserve">Supply Allocation </t>
  </si>
  <si>
    <t xml:space="preserve">Wire </t>
  </si>
  <si>
    <t>Closing Balance as on FY 2019-20</t>
  </si>
  <si>
    <t>Closing Balance as on FY 2020-21</t>
  </si>
  <si>
    <t>Closing Balance as on FY 2021-22</t>
  </si>
  <si>
    <t>Closing Balance as on FY 2022-23</t>
  </si>
  <si>
    <t>Closing Balance as on FY 2023-24</t>
  </si>
  <si>
    <t>Closing Balance as on FY 2024-25</t>
  </si>
  <si>
    <t xml:space="preserve">Wire Business </t>
  </si>
  <si>
    <t>Actual and Sales</t>
  </si>
  <si>
    <t>Revenue from Sale of Power Ratio</t>
  </si>
  <si>
    <t>Employee Cost - Wire business</t>
  </si>
  <si>
    <t>A&amp;G cost - Wire Business</t>
  </si>
  <si>
    <t>R&amp;M Cost - Wire Business</t>
  </si>
  <si>
    <t>O&amp;M Cost - Wire Busines</t>
  </si>
  <si>
    <t>Employee Cost - Supply business</t>
  </si>
  <si>
    <t>A&amp;G cost - Supply Business</t>
  </si>
  <si>
    <t>R&amp;M Cost - Supply Business</t>
  </si>
  <si>
    <t>O&amp;M Cost - Supply Busines</t>
  </si>
  <si>
    <t xml:space="preserve">Total Gap / AvCoS and Tariff hike </t>
  </si>
  <si>
    <t xml:space="preserve"> 2026-27</t>
  </si>
  <si>
    <t xml:space="preserve"> 2027-28</t>
  </si>
  <si>
    <t xml:space="preserve"> 2028-29</t>
  </si>
  <si>
    <t xml:space="preserve"> 2029-30</t>
  </si>
  <si>
    <t>ARR of Wire Business</t>
  </si>
  <si>
    <t>Past Recovery including carrying cost</t>
  </si>
  <si>
    <t>Total ARR of Wire Business</t>
  </si>
  <si>
    <t>ARR of Supply Business</t>
  </si>
  <si>
    <t>Total ARR of Supply Business</t>
  </si>
  <si>
    <t>ARR of Distribution Business</t>
  </si>
  <si>
    <t>Total ARR of Distribution Business</t>
  </si>
  <si>
    <t>Total Sales - MU</t>
  </si>
  <si>
    <t>ACOS (Rs/kWh)</t>
  </si>
  <si>
    <t xml:space="preserve">Existing ABR </t>
  </si>
  <si>
    <t>Tariff  Hike</t>
  </si>
  <si>
    <t>Retail Average Cost of Supply</t>
  </si>
  <si>
    <t>Total ARR of Supply Business - Rs. Crore</t>
  </si>
  <si>
    <t>Sales - MU</t>
  </si>
  <si>
    <t>Retail AvCoS (Rs./kWh)</t>
  </si>
  <si>
    <t>Revenue Gap / (Surplus) of Existing Tariff</t>
  </si>
  <si>
    <t>Revenue from Existing Tariff</t>
  </si>
  <si>
    <t xml:space="preserve">Revenue from Proposed Tariff </t>
  </si>
  <si>
    <t>Total Distibution Area - SEZ + Non-SEZ</t>
  </si>
  <si>
    <t>Total Distibution Area - SEZ</t>
  </si>
  <si>
    <t>Total Distibution Area - Non-SEZ</t>
  </si>
  <si>
    <t>Spreading of Gap</t>
  </si>
  <si>
    <t>Opening Balance</t>
  </si>
  <si>
    <t xml:space="preserve">Deferment of Recovery </t>
  </si>
  <si>
    <t>Closing Balance</t>
  </si>
  <si>
    <t>Rate of Interest (%)</t>
  </si>
  <si>
    <t xml:space="preserve">Incremental Carrying cost </t>
  </si>
  <si>
    <t>Addition of revenue gap/(surplus) during year</t>
  </si>
  <si>
    <t>Distribution Business (Wire + Supply Business)</t>
  </si>
  <si>
    <t>Revenue Gap per unit (Rs/kWh)</t>
  </si>
  <si>
    <t>Average Tariff Hike / Reduction (%)</t>
  </si>
  <si>
    <t>Average Tariff Hike / Reduction (%) – YoY</t>
  </si>
  <si>
    <t>Adjusted ACOS (Rs/kWh)</t>
  </si>
  <si>
    <t>Adjusted Retail Cost of Supply (Rs./kWh)</t>
  </si>
  <si>
    <t xml:space="preserve">Holding Cost of Deferment of Recovery </t>
  </si>
  <si>
    <t>Adjusted Wheeling Charges (Rs./kWh)</t>
  </si>
  <si>
    <t>ABR at existing tariff (Rs/kWh)</t>
  </si>
  <si>
    <t>Ratio of Average Billing Rate to Retail Cost of Supply (%)</t>
  </si>
  <si>
    <t>Average Retail Rate (Rs/kWh)</t>
  </si>
  <si>
    <t>MSEDCL</t>
  </si>
  <si>
    <t>TUCO</t>
  </si>
  <si>
    <t xml:space="preserve">Total Sales </t>
  </si>
  <si>
    <t>Power from Solar Rooftop</t>
  </si>
  <si>
    <t>Power from Roof-Top Solar (MU)</t>
  </si>
  <si>
    <t>RPO Targets &amp; Achievement</t>
  </si>
  <si>
    <t>Total Energy Requirement</t>
  </si>
  <si>
    <t>Solar Target</t>
  </si>
  <si>
    <t>Solar RPO target</t>
  </si>
  <si>
    <t>Solar Rooftop</t>
  </si>
  <si>
    <t>Solar RPO Achievement</t>
  </si>
  <si>
    <t>Cumulative Solar RPO Shortfall / (Surplus)</t>
  </si>
  <si>
    <t>Non-Solar RPO target</t>
  </si>
  <si>
    <t>Non-Solar RPO Achievement</t>
  </si>
  <si>
    <t>Cumulative Non-Solar RPO Shortfall/(Surplus)</t>
  </si>
  <si>
    <t>Less: Hydro Power</t>
  </si>
  <si>
    <t>Total Energy Requirement for RPO</t>
  </si>
  <si>
    <t>Composite RPO</t>
  </si>
  <si>
    <t>Total RPO Target</t>
  </si>
  <si>
    <t>RPO achivement including Solar Rooftop</t>
  </si>
  <si>
    <t>RPO %</t>
  </si>
  <si>
    <t>Previous year (Surplus)/Short fall</t>
  </si>
  <si>
    <t>RE Purchase</t>
  </si>
  <si>
    <t>Shortfall/
(Surplus)</t>
  </si>
  <si>
    <t>InSTS requirement</t>
  </si>
  <si>
    <t>Wind RPO</t>
  </si>
  <si>
    <t>Hydro RPO</t>
  </si>
  <si>
    <t>Distributed Renewable Energy</t>
  </si>
  <si>
    <t>Other Renewable Energy</t>
  </si>
  <si>
    <t xml:space="preserve">Energy Storage Obligation </t>
  </si>
  <si>
    <t>Total RPO</t>
  </si>
  <si>
    <t>NUPLLP</t>
  </si>
  <si>
    <t>April - March (Actual)</t>
  </si>
  <si>
    <t>April-March (Audited )</t>
  </si>
  <si>
    <t xml:space="preserve">Date </t>
  </si>
  <si>
    <t xml:space="preserve">No. of Days </t>
  </si>
  <si>
    <t>Weighted Average rate of Interest for FY 2020-21</t>
  </si>
  <si>
    <t>Weighted Average rate of Interest for FY 2018-19</t>
  </si>
  <si>
    <t>Weighted Average rate of Interest for FY 2019-20</t>
  </si>
  <si>
    <t>Consumer Addition</t>
  </si>
  <si>
    <t>Golde Willows Ph -1</t>
  </si>
  <si>
    <t>Golde Willows Ph -2</t>
  </si>
  <si>
    <t>Golde Willows Ph -3</t>
  </si>
  <si>
    <t>Arena Ph- 1</t>
  </si>
  <si>
    <t>Residenital Building</t>
  </si>
  <si>
    <r>
      <t xml:space="preserve">* </t>
    </r>
    <r>
      <rPr>
        <i/>
        <sz val="10"/>
        <rFont val="Times New Roman"/>
        <family val="1"/>
      </rPr>
      <t>For supply allocation (1-wire allocation to be used)</t>
    </r>
  </si>
  <si>
    <t>Tentative Slabwise Allocation</t>
  </si>
  <si>
    <t>Commercial Building</t>
  </si>
  <si>
    <t>Retail Bldg Ebony -1</t>
  </si>
  <si>
    <t>Retail Bldg Ebony -2</t>
  </si>
  <si>
    <t>0- 20 kW</t>
  </si>
  <si>
    <t>Office equipments -  DG Set</t>
  </si>
  <si>
    <t>Office equipments - Solar Roof Top</t>
  </si>
  <si>
    <t>Energy Input at G&lt;&gt;T</t>
  </si>
  <si>
    <t>Total RPO % stipulated by the Central Government</t>
  </si>
  <si>
    <t>Obligation</t>
  </si>
  <si>
    <t>c=a*b</t>
  </si>
  <si>
    <t>Previous year (Surplus)/
Short fall</t>
  </si>
  <si>
    <t>Total Target</t>
  </si>
  <si>
    <t>e=c+d</t>
  </si>
  <si>
    <t>Total RE for RPO including Hydro</t>
  </si>
  <si>
    <t>f</t>
  </si>
  <si>
    <t>g=e-f</t>
  </si>
  <si>
    <t>Energy Input at G&lt;&gt;T excluding Hydro</t>
  </si>
  <si>
    <t>Total RPO % as per MERC Regulation</t>
  </si>
  <si>
    <t>j=h*i</t>
  </si>
  <si>
    <t>k=j+d</t>
  </si>
  <si>
    <t>Total RE for RPO</t>
  </si>
  <si>
    <t>l</t>
  </si>
  <si>
    <t>Total Shortfall / (Surplus)</t>
  </si>
  <si>
    <t>m=k-l</t>
  </si>
  <si>
    <t>RE procured above the minimum percentage specified in Regulation 7.1 up to the percentage notified by the Central Government</t>
  </si>
  <si>
    <t>n=c-j</t>
  </si>
  <si>
    <t>Incentive @ Rs.0.25/kwh</t>
  </si>
  <si>
    <t>o=n*0.25/10</t>
  </si>
  <si>
    <t>RPO Incentive</t>
  </si>
  <si>
    <t>Rs./kwh</t>
  </si>
  <si>
    <t>Revenue Gap / (Surplus) of Existing Tariff after deferment</t>
  </si>
  <si>
    <t>Deferment of Recovery alongwith the carrying / holding cost</t>
  </si>
  <si>
    <t>T (ABR)</t>
  </si>
  <si>
    <t>WL</t>
  </si>
  <si>
    <t>TL</t>
  </si>
  <si>
    <t>L</t>
  </si>
  <si>
    <t>C*(1+L%)</t>
  </si>
  <si>
    <t>R</t>
  </si>
  <si>
    <t>CSS</t>
  </si>
  <si>
    <t xml:space="preserve">D- Wheeling </t>
  </si>
  <si>
    <t>D- Tx</t>
  </si>
  <si>
    <t>EHV Loss</t>
  </si>
  <si>
    <t>Transmission Loss</t>
  </si>
  <si>
    <t>Transmission Charge (Rs. Crore)</t>
  </si>
  <si>
    <t>Carrying Cost (Rs. Crore)</t>
  </si>
  <si>
    <t>Total Sales (MU)</t>
  </si>
  <si>
    <t>Transmission Charge (Rs./kWh)</t>
  </si>
  <si>
    <t>Wheeling Charge (Rs./kWh)</t>
  </si>
  <si>
    <t>Carrying Cost (Rs./kWh)</t>
  </si>
  <si>
    <t>AvCoS - Rs./kWh</t>
  </si>
  <si>
    <t>Retail AvCoS - Rs./kWh</t>
  </si>
  <si>
    <t xml:space="preserve">Wheeling Loss </t>
  </si>
  <si>
    <t>Power Purchase Cost - Rs./kWh</t>
  </si>
  <si>
    <t>Cap</t>
  </si>
  <si>
    <t xml:space="preserve"> CSS</t>
  </si>
  <si>
    <t>PF</t>
  </si>
  <si>
    <t>Rs/kwh</t>
  </si>
  <si>
    <t>Rs/kVAh</t>
  </si>
  <si>
    <t>Rs/kwAh</t>
  </si>
  <si>
    <t>Form 15: Cross Subsidy Trajectory - For SEZ Area only</t>
  </si>
  <si>
    <t>Form 16 : Billing Efficiency and Collection Efficiency - Total Distribution Area</t>
  </si>
  <si>
    <t xml:space="preserve">HT Commercial </t>
  </si>
  <si>
    <t>HT Temporary</t>
  </si>
  <si>
    <t xml:space="preserve">LT Commercial </t>
  </si>
  <si>
    <t>LT PWW</t>
  </si>
  <si>
    <t xml:space="preserve">LT Industrial </t>
  </si>
  <si>
    <t>LT Public Services</t>
  </si>
  <si>
    <t xml:space="preserve">LT EV chrging Station </t>
  </si>
  <si>
    <t xml:space="preserve">LT EV Charging </t>
  </si>
  <si>
    <t>Form 20 : Truing up Summary (Distribution Business)</t>
  </si>
  <si>
    <t>Social Housing</t>
  </si>
  <si>
    <t>Sales in MVaH</t>
  </si>
  <si>
    <t xml:space="preserve">Communication equipment </t>
  </si>
  <si>
    <t>Internal wiring including fittings and apparatus (Substation wiring)</t>
  </si>
  <si>
    <t>Transformers (including foundations)</t>
  </si>
  <si>
    <t>MRSS</t>
  </si>
  <si>
    <t>315KVA ,11/0.433KV, ONAN,Dyn11, offload Tap change +/- 5% in steps of 2.5% Station Transformer</t>
  </si>
  <si>
    <t>315kVA Dry Type Transformer</t>
  </si>
  <si>
    <t>Secondary Voltage</t>
  </si>
  <si>
    <t>RDSS</t>
  </si>
  <si>
    <t xml:space="preserve">Supply, Installation, Testing and commissioning of 2.5 MVA, 11KV/433V, Dyn11, Z=6.5%, Off Load Tap Change +- 5% in steps of 1.25% dry type Power Transformer. 
1. Type Test to be carried out of each transformer.
2. Enclosure-GI, Powder coated
</t>
  </si>
  <si>
    <t xml:space="preserve">Dismantling, transport from existing substation, Installation, Testing and commissioning of 2.5 MVA, 11KV/433V, Dyn11, Z=6.5%, Off Load Tap Change +- 5% in steps of 1.25% dry type Power Transformer. 
Type Test to be carried out of each transformer.
</t>
  </si>
  <si>
    <t>2.5 MVA, 11KV/433V, Dyn11, Z=6.5%, Off Load Tap Change +- 5% in steps of 1.25% dry type Power Transformer. A) RTCC for Transformer. B) Type Test to be carried out of each transformer.</t>
  </si>
  <si>
    <t>Transformer 2.5MVA, 11kV/433V,</t>
  </si>
  <si>
    <t>Transformer 2.5MVA 11kV /433V Dyn11, Z=6.5% off load tap change 5% in steps of 1.25% dry type Power Transformer</t>
  </si>
  <si>
    <t>Trasnformer 2.5MVA 11kV/433V Dyn11, Z=6.5% off Load Tap Change</t>
  </si>
  <si>
    <t>CDSS</t>
  </si>
  <si>
    <t>RDSS 2-Meters</t>
  </si>
  <si>
    <t>RDSS -1 -Meters</t>
  </si>
  <si>
    <t>MRSS-Meters</t>
  </si>
  <si>
    <t>CDSS-D-Meters</t>
  </si>
  <si>
    <t xml:space="preserve">Sr. </t>
  </si>
  <si>
    <t>Common to Wire</t>
  </si>
  <si>
    <t>Common to business</t>
  </si>
  <si>
    <t xml:space="preserve">As per Data </t>
  </si>
  <si>
    <t>HT</t>
  </si>
  <si>
    <t>Voltage</t>
  </si>
  <si>
    <t>Bondary Assets</t>
  </si>
  <si>
    <t>Total directly identifiable Wire assets</t>
  </si>
  <si>
    <t>6 = 3+4+5</t>
  </si>
  <si>
    <t>Proportion to Total (6)</t>
  </si>
  <si>
    <t>Common to Network - Wire</t>
  </si>
  <si>
    <t>8 = 1 x7</t>
  </si>
  <si>
    <t>Common to Business</t>
  </si>
  <si>
    <t>9 = 1 x 12 - W
9 = 1 x 2 - S</t>
  </si>
  <si>
    <t>Total GFA allocation</t>
  </si>
  <si>
    <t xml:space="preserve">10 = 8 + 9 </t>
  </si>
  <si>
    <t>Arrived GFA Ratio</t>
  </si>
  <si>
    <t>Proportion to Total (10)</t>
  </si>
  <si>
    <t>Weightage Ratio of Consumers / Network</t>
  </si>
  <si>
    <t>As per Formula</t>
  </si>
  <si>
    <t xml:space="preserve">Particualrs </t>
  </si>
  <si>
    <t>No. of Consumers</t>
  </si>
  <si>
    <t>D</t>
  </si>
  <si>
    <t>E = Bx 50% + D X 50%</t>
  </si>
  <si>
    <t>MVA capacity</t>
  </si>
  <si>
    <t/>
  </si>
  <si>
    <t>GMR</t>
  </si>
  <si>
    <t>VHPL</t>
  </si>
  <si>
    <t>GMRTEL</t>
  </si>
  <si>
    <t>VPL</t>
  </si>
  <si>
    <t>07-06-2024 &amp; 14-06-2024</t>
  </si>
  <si>
    <t>13-08-2024 &amp; 17-08-2024</t>
  </si>
  <si>
    <t>08-10-2024 &amp; 10-10-2024</t>
  </si>
  <si>
    <t>11-03-2025 &amp; 12-03-2025</t>
  </si>
  <si>
    <t>A) Payment of Generator</t>
  </si>
  <si>
    <t xml:space="preserve">A) Payment of Generator </t>
  </si>
  <si>
    <t xml:space="preserve">Plant &amp; Machinery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</si>
</sst>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_(* #,##0_);_(* \(#,##0\);_(* &quot;-&quot;??_);_(@_)"/>
    <numFmt numFmtId="169" formatCode="_-* #,##0_-;\-* #,##0_-;_-* &quot;-&quot;??_-;_-@_-"/>
    <numFmt numFmtId="170" formatCode="_ * #,##0_ ;_ * \-#,##0_ ;_ * &quot;-&quot;??_ ;_ @_ "/>
    <numFmt numFmtId="171" formatCode="_ * #,##0.000000_ ;_ * \-#,##0.000000_ ;_ * &quot;-&quot;??_ ;_ @_ "/>
    <numFmt numFmtId="172" formatCode="_ * #,##0.000_ ;_ * \-#,##0.000_ ;_ * &quot;-&quot;??_ ;_ @_ "/>
    <numFmt numFmtId="173" formatCode="_-* #,##0.000_-;\-* #,##0.000_-;_-* &quot;-&quot;??_-;_-@_-"/>
    <numFmt numFmtId="174" formatCode="0.000"/>
    <numFmt numFmtId="175" formatCode="_ * #,##0.0000_ ;_ * \-#,##0.0000_ ;_ * &quot;-&quot;??_ ;_ @_ "/>
    <numFmt numFmtId="176" formatCode="_ * #,##0.00000_ ;_ * \-#,##0.00000_ ;_ * &quot;-&quot;??_ ;_ @_ "/>
    <numFmt numFmtId="177" formatCode="[$-409]d/mmm/yy;@"/>
    <numFmt numFmtId="178" formatCode="0.0%"/>
    <numFmt numFmtId="179" formatCode="_(* #,##0.000_);_(* \(#,##0.000\);_(* &quot;-&quot;??_);_(@_)"/>
    <numFmt numFmtId="180" formatCode="_ * #,##0.000_ ;_ * \-#,##0.000_ ;_ * &quot;-&quot;???_ ;_ @_ "/>
    <numFmt numFmtId="181" formatCode="_(* #,##0.0000_);_(* \(#,##0.0000\);_(* &quot;-&quot;??_);_(@_)"/>
    <numFmt numFmtId="182" formatCode="0.0000000"/>
    <numFmt numFmtId="183" formatCode="0.0000"/>
    <numFmt numFmtId="184" formatCode="[$€-2]\ #,##0.00_);[Red]\([$€-2]\ #,##0.00\)"/>
    <numFmt numFmtId="185" formatCode="_ * #,##0.0000_ ;_ * \-#,##0.0000_ ;_ * &quot;-&quot;????_ ;_ @_ "/>
    <numFmt numFmtId="186" formatCode="0.0"/>
    <numFmt numFmtId="187" formatCode="_(* #,##0.00_);_(* \(#,##0.00\);_(* &quot;-&quot;_);@_)"/>
    <numFmt numFmtId="188" formatCode="_(* #,##0.000_);_(* \(#,##0.000\);_(* &quot;-&quot;_);@_)"/>
    <numFmt numFmtId="189" formatCode="0.000%"/>
    <numFmt numFmtId="190" formatCode="_ * #,##0.0_ ;_ * \-#,##0.0_ ;_ * &quot;-&quot;??_ ;_ @_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1"/>
      <color indexed="8"/>
      <name val="Times New Roman"/>
      <family val="1"/>
    </font>
    <font>
      <b/>
      <sz val="12"/>
      <name val="Times New Roman"/>
      <family val="1"/>
    </font>
    <font>
      <b/>
      <sz val="14"/>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u/>
      <sz val="11"/>
      <name val="Times New Roman"/>
      <family val="1"/>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sz val="12"/>
      <color theme="1"/>
      <name val="Book Antiqua"/>
      <family val="1"/>
    </font>
    <font>
      <sz val="10"/>
      <name val="Times New Roman"/>
      <family val="1"/>
    </font>
    <font>
      <i/>
      <sz val="11"/>
      <name val="Times New Roman"/>
      <family val="1"/>
    </font>
    <font>
      <b/>
      <sz val="11"/>
      <name val="Book Antiqua"/>
      <family val="1"/>
    </font>
    <font>
      <b/>
      <sz val="11"/>
      <color rgb="FF000000"/>
      <name val="Book Antiqua"/>
      <family val="1"/>
    </font>
    <font>
      <sz val="11"/>
      <name val="Book Antiqua"/>
      <family val="1"/>
    </font>
    <font>
      <sz val="11"/>
      <color rgb="FF000000"/>
      <name val="Book Antiqua"/>
      <family val="1"/>
    </font>
    <font>
      <b/>
      <u/>
      <sz val="11"/>
      <name val="Times New Roman"/>
      <family val="1"/>
    </font>
    <font>
      <i/>
      <sz val="11"/>
      <color theme="1"/>
      <name val="Times New Roman"/>
      <family val="1"/>
    </font>
    <font>
      <b/>
      <sz val="10"/>
      <name val="Times New Roman"/>
      <family val="1"/>
    </font>
    <font>
      <sz val="10"/>
      <color theme="1"/>
      <name val="Arial"/>
      <family val="2"/>
    </font>
    <font>
      <b/>
      <sz val="10"/>
      <color theme="1"/>
      <name val="Arial"/>
      <family val="2"/>
    </font>
    <font>
      <b/>
      <sz val="12"/>
      <color theme="1"/>
      <name val="Arial"/>
      <family val="2"/>
    </font>
    <font>
      <b/>
      <sz val="11"/>
      <color rgb="FF000000"/>
      <name val="Times New Roman"/>
      <family val="1"/>
    </font>
    <font>
      <sz val="11"/>
      <color rgb="FF000000"/>
      <name val="Times New Roman"/>
      <family val="1"/>
    </font>
    <font>
      <b/>
      <sz val="11"/>
      <color theme="1"/>
      <name val="Calibri"/>
      <family val="2"/>
      <scheme val="minor"/>
    </font>
    <font>
      <b/>
      <u/>
      <sz val="11"/>
      <color theme="1"/>
      <name val="Cambria"/>
      <family val="1"/>
    </font>
    <font>
      <sz val="11"/>
      <color theme="1"/>
      <name val="Cambria"/>
      <family val="1"/>
    </font>
    <font>
      <b/>
      <sz val="11"/>
      <color theme="1"/>
      <name val="Cambria"/>
      <family val="1"/>
    </font>
    <font>
      <b/>
      <i/>
      <sz val="11"/>
      <color theme="1"/>
      <name val="Cambria"/>
      <family val="1"/>
    </font>
    <font>
      <i/>
      <sz val="11"/>
      <color theme="1"/>
      <name val="Cambria"/>
      <family val="1"/>
    </font>
    <font>
      <sz val="11"/>
      <color rgb="FFFF0000"/>
      <name val="Cambria"/>
      <family val="1"/>
    </font>
    <font>
      <i/>
      <sz val="10"/>
      <name val="Arial"/>
      <family val="2"/>
    </font>
    <font>
      <sz val="10"/>
      <name val="Cambria"/>
      <family val="1"/>
      <scheme val="major"/>
    </font>
    <font>
      <b/>
      <sz val="10"/>
      <name val="Cambria"/>
      <family val="1"/>
      <scheme val="major"/>
    </font>
    <font>
      <b/>
      <sz val="10"/>
      <color theme="1"/>
      <name val="Cambria"/>
      <family val="1"/>
      <scheme val="major"/>
    </font>
    <font>
      <sz val="10"/>
      <color theme="1"/>
      <name val="Cambria"/>
      <family val="1"/>
      <scheme val="major"/>
    </font>
    <font>
      <b/>
      <sz val="10"/>
      <color indexed="9"/>
      <name val="Cambria"/>
      <family val="1"/>
      <scheme val="major"/>
    </font>
    <font>
      <b/>
      <u/>
      <sz val="10"/>
      <name val="Cambria"/>
      <family val="1"/>
      <scheme val="major"/>
    </font>
    <font>
      <sz val="9"/>
      <color theme="1"/>
      <name val="Cambria"/>
      <family val="1"/>
      <scheme val="major"/>
    </font>
    <font>
      <i/>
      <sz val="9"/>
      <color theme="1"/>
      <name val="Cambria"/>
      <family val="1"/>
      <scheme val="major"/>
    </font>
    <font>
      <sz val="10"/>
      <name val="Arial"/>
      <family val="2"/>
    </font>
    <font>
      <i/>
      <sz val="10"/>
      <color theme="1"/>
      <name val="Cambria"/>
      <family val="1"/>
      <scheme val="major"/>
    </font>
    <font>
      <b/>
      <sz val="11"/>
      <color theme="1"/>
      <name val="Cambria"/>
      <family val="1"/>
      <scheme val="major"/>
    </font>
    <font>
      <b/>
      <sz val="24"/>
      <color theme="1"/>
      <name val="Cambria"/>
      <family val="1"/>
      <scheme val="major"/>
    </font>
    <font>
      <sz val="10"/>
      <color theme="1"/>
      <name val="Calibri"/>
      <family val="2"/>
      <scheme val="minor"/>
    </font>
    <font>
      <b/>
      <sz val="10"/>
      <color theme="1"/>
      <name val="Times New Roman"/>
      <family val="1"/>
    </font>
    <font>
      <sz val="10"/>
      <color theme="1"/>
      <name val="Times New Roman"/>
      <family val="1"/>
    </font>
    <font>
      <i/>
      <sz val="10"/>
      <color theme="1"/>
      <name val="Times New Roman"/>
      <family val="1"/>
    </font>
    <font>
      <sz val="11"/>
      <color rgb="FFFF0000"/>
      <name val="Times New Roman"/>
      <family val="1"/>
    </font>
    <font>
      <sz val="10"/>
      <color indexed="8"/>
      <name val="Cambria"/>
      <family val="1"/>
      <scheme val="major"/>
    </font>
    <font>
      <vertAlign val="superscript"/>
      <sz val="10"/>
      <name val="Cambria"/>
      <family val="1"/>
      <scheme val="major"/>
    </font>
    <font>
      <sz val="11"/>
      <color theme="0"/>
      <name val="Times New Roman"/>
      <family val="1"/>
    </font>
    <font>
      <i/>
      <sz val="10"/>
      <name val="Times New Roman"/>
      <family val="1"/>
    </font>
    <font>
      <i/>
      <sz val="10"/>
      <name val="Cambria"/>
      <family val="1"/>
      <scheme val="major"/>
    </font>
    <font>
      <b/>
      <u/>
      <sz val="10"/>
      <color theme="1"/>
      <name val="Cambria"/>
      <family val="1"/>
      <scheme val="major"/>
    </font>
    <font>
      <b/>
      <sz val="10"/>
      <color rgb="FF7030A0"/>
      <name val="Cambria"/>
      <family val="1"/>
      <scheme val="major"/>
    </font>
    <font>
      <b/>
      <sz val="9"/>
      <color indexed="81"/>
      <name val="Tahoma"/>
      <family val="2"/>
    </font>
    <font>
      <sz val="9"/>
      <color indexed="81"/>
      <name val="Tahoma"/>
      <family val="2"/>
    </font>
    <font>
      <i/>
      <sz val="10"/>
      <color theme="1"/>
      <name val="Cambria"/>
      <family val="1"/>
    </font>
    <font>
      <sz val="10"/>
      <name val="Calibri"/>
      <family val="2"/>
      <scheme val="minor"/>
    </font>
    <font>
      <u/>
      <sz val="10"/>
      <color theme="10"/>
      <name val="Arial"/>
      <family val="2"/>
    </font>
    <font>
      <sz val="10"/>
      <name val="Aptos"/>
      <family val="2"/>
    </font>
    <font>
      <b/>
      <sz val="10"/>
      <name val="Aptos"/>
      <family val="2"/>
    </font>
    <font>
      <sz val="10"/>
      <color indexed="8"/>
      <name val="Aptos"/>
      <family val="2"/>
    </font>
    <font>
      <sz val="10"/>
      <color theme="1"/>
      <name val="Aptos"/>
      <family val="2"/>
    </font>
    <font>
      <b/>
      <sz val="10"/>
      <color theme="1"/>
      <name val="Aptos"/>
      <family val="2"/>
    </font>
    <font>
      <sz val="10"/>
      <color rgb="FF000000"/>
      <name val="Aptos"/>
      <family val="2"/>
    </font>
    <font>
      <sz val="11"/>
      <color theme="1"/>
      <name val="Book Antiqua"/>
      <family val="2"/>
    </font>
    <font>
      <u/>
      <sz val="10"/>
      <color theme="10"/>
      <name val="Aptos"/>
      <family val="2"/>
    </font>
    <font>
      <u/>
      <sz val="11"/>
      <color theme="10"/>
      <name val="Aptos"/>
      <family val="2"/>
    </font>
    <font>
      <u/>
      <sz val="11"/>
      <color theme="10"/>
      <name val="Calibri"/>
      <family val="2"/>
      <scheme val="minor"/>
    </font>
    <font>
      <b/>
      <sz val="10"/>
      <color rgb="FF000000"/>
      <name val="Aptos"/>
      <family val="2"/>
    </font>
    <font>
      <b/>
      <sz val="9"/>
      <color theme="1"/>
      <name val="Cambria"/>
      <family val="1"/>
      <scheme val="major"/>
    </font>
    <font>
      <b/>
      <sz val="10"/>
      <color indexed="8"/>
      <name val="Cambria"/>
      <family val="1"/>
      <scheme val="major"/>
    </font>
    <font>
      <u/>
      <sz val="10"/>
      <name val="Cambria"/>
      <family val="1"/>
      <scheme val="major"/>
    </font>
    <font>
      <sz val="10"/>
      <color rgb="FF000000"/>
      <name val="Cambria"/>
      <family val="1"/>
      <scheme val="major"/>
    </font>
    <font>
      <sz val="10"/>
      <color indexed="9"/>
      <name val="Cambria"/>
      <family val="1"/>
      <scheme val="major"/>
    </font>
    <font>
      <sz val="10"/>
      <color indexed="13"/>
      <name val="Cambria"/>
      <family val="1"/>
      <scheme val="major"/>
    </font>
    <font>
      <b/>
      <sz val="10"/>
      <color indexed="13"/>
      <name val="Cambria"/>
      <family val="1"/>
      <scheme val="major"/>
    </font>
    <font>
      <sz val="10"/>
      <color indexed="50"/>
      <name val="Cambria"/>
      <family val="1"/>
      <scheme val="major"/>
    </font>
    <font>
      <sz val="13"/>
      <color theme="1"/>
      <name val="Cambria"/>
      <family val="2"/>
    </font>
    <font>
      <i/>
      <sz val="11"/>
      <name val="Cambria"/>
      <family val="1"/>
      <scheme val="major"/>
    </font>
    <font>
      <vertAlign val="superscript"/>
      <sz val="10"/>
      <name val="Calibri"/>
      <family val="2"/>
      <scheme val="minor"/>
    </font>
    <font>
      <b/>
      <sz val="10"/>
      <name val="Calibri"/>
      <family val="2"/>
      <scheme val="minor"/>
    </font>
    <font>
      <sz val="11"/>
      <name val="Calibri"/>
      <family val="2"/>
      <scheme val="minor"/>
    </font>
    <font>
      <b/>
      <u/>
      <sz val="11"/>
      <name val="Calibri"/>
      <family val="2"/>
      <scheme val="minor"/>
    </font>
    <font>
      <b/>
      <sz val="11"/>
      <name val="Calibri"/>
      <family val="2"/>
      <scheme val="minor"/>
    </font>
    <font>
      <u/>
      <sz val="11"/>
      <name val="Calibri"/>
      <family val="2"/>
      <scheme val="minor"/>
    </font>
    <font>
      <b/>
      <sz val="11"/>
      <color theme="1"/>
      <name val="Aptos Display"/>
      <family val="2"/>
    </font>
    <font>
      <sz val="11"/>
      <color theme="1"/>
      <name val="Aptos Display"/>
      <family val="2"/>
    </font>
    <font>
      <b/>
      <i/>
      <sz val="11"/>
      <color theme="1"/>
      <name val="Times New Roman"/>
      <family val="1"/>
    </font>
    <font>
      <b/>
      <i/>
      <sz val="10"/>
      <color theme="1"/>
      <name val="Cambria"/>
      <family val="1"/>
      <scheme val="major"/>
    </font>
    <font>
      <b/>
      <sz val="11"/>
      <color rgb="FF000000"/>
      <name val="Calibri"/>
      <family val="2"/>
    </font>
    <font>
      <sz val="11"/>
      <color rgb="FF000000"/>
      <name val="Calibri"/>
      <family val="2"/>
    </font>
    <font>
      <b/>
      <sz val="10"/>
      <color rgb="FF000000"/>
      <name val="Times New Roman"/>
      <family val="1"/>
    </font>
    <font>
      <b/>
      <sz val="10"/>
      <color theme="0"/>
      <name val="Times New Roman"/>
      <family val="1"/>
    </font>
    <font>
      <sz val="10"/>
      <color rgb="FF000000"/>
      <name val="Times New Roman"/>
      <family val="1"/>
    </font>
    <font>
      <sz val="11"/>
      <name val="Calibri"/>
      <family val="2"/>
    </font>
    <font>
      <b/>
      <sz val="10"/>
      <color rgb="FF000000"/>
      <name val="Cambria"/>
      <family val="1"/>
    </font>
    <font>
      <sz val="10"/>
      <name val="Cambria"/>
      <family val="1"/>
    </font>
    <font>
      <sz val="10"/>
      <color rgb="FF000000"/>
      <name val="Cambria"/>
      <family val="1"/>
    </font>
    <font>
      <b/>
      <u/>
      <sz val="10"/>
      <name val="Cambria"/>
      <family val="1"/>
    </font>
    <font>
      <b/>
      <sz val="10"/>
      <color theme="0"/>
      <name val="Calibri"/>
      <family val="2"/>
      <scheme val="minor"/>
    </font>
    <font>
      <b/>
      <i/>
      <sz val="10"/>
      <name val="Times New Roman"/>
      <family val="1"/>
    </font>
    <font>
      <sz val="11"/>
      <name val="Cambria"/>
      <family val="1"/>
      <scheme val="major"/>
    </font>
    <font>
      <b/>
      <sz val="11"/>
      <name val="Cambria"/>
      <family val="1"/>
      <scheme val="major"/>
    </font>
    <font>
      <sz val="10"/>
      <name val="Century Gothic"/>
      <family val="2"/>
    </font>
    <font>
      <sz val="9"/>
      <name val="Cambria"/>
      <family val="1"/>
      <scheme val="major"/>
    </font>
    <font>
      <b/>
      <sz val="9"/>
      <name val="Cambria"/>
      <family val="1"/>
      <scheme val="major"/>
    </font>
    <font>
      <b/>
      <i/>
      <sz val="9"/>
      <color theme="1"/>
      <name val="Cambria"/>
      <family val="1"/>
      <scheme val="major"/>
    </font>
    <font>
      <i/>
      <sz val="9"/>
      <name val="Cambria"/>
      <family val="1"/>
      <scheme val="major"/>
    </font>
    <font>
      <sz val="12"/>
      <color theme="1"/>
      <name val="Times New Roman"/>
      <family val="1"/>
    </font>
    <font>
      <b/>
      <sz val="12"/>
      <color theme="1"/>
      <name val="Times New Roman"/>
      <family val="1"/>
    </font>
    <font>
      <b/>
      <sz val="10"/>
      <name val="Arial"/>
      <family val="2"/>
    </font>
  </fonts>
  <fills count="3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indexed="65"/>
        <bgColor indexed="64"/>
      </patternFill>
    </fill>
    <fill>
      <patternFill patternType="solid">
        <fgColor rgb="FFFFCC99"/>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ABF8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B4C6E7"/>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FF"/>
        <bgColor indexed="64"/>
      </patternFill>
    </fill>
    <fill>
      <patternFill patternType="solid">
        <fgColor theme="4"/>
        <bgColor indexed="64"/>
      </patternFill>
    </fill>
    <fill>
      <patternFill patternType="solid">
        <fgColor rgb="FFFBD4B4"/>
        <bgColor indexed="64"/>
      </patternFill>
    </fill>
    <fill>
      <patternFill patternType="solid">
        <fgColor rgb="FFD9E1F2"/>
        <bgColor indexed="64"/>
      </patternFill>
    </fill>
    <fill>
      <patternFill patternType="solid">
        <fgColor theme="4" tint="0.79998168889431442"/>
        <bgColor theme="4" tint="0.79998168889431442"/>
      </patternFill>
    </fill>
  </fills>
  <borders count="23">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s>
  <cellStyleXfs count="121">
    <xf numFmtId="0" fontId="0" fillId="0" borderId="0"/>
    <xf numFmtId="0" fontId="17" fillId="0" borderId="0" applyNumberFormat="0" applyFill="0" applyBorder="0" applyAlignment="0" applyProtection="0"/>
    <xf numFmtId="0" fontId="18" fillId="0" borderId="1"/>
    <xf numFmtId="0" fontId="18" fillId="0" borderId="1"/>
    <xf numFmtId="38" fontId="19" fillId="2" borderId="0" applyNumberFormat="0" applyBorder="0" applyAlignment="0" applyProtection="0"/>
    <xf numFmtId="0" fontId="20" fillId="0" borderId="2" applyNumberFormat="0" applyAlignment="0" applyProtection="0">
      <alignment horizontal="left" vertical="center"/>
    </xf>
    <xf numFmtId="0" fontId="20" fillId="0" borderId="3">
      <alignment horizontal="left" vertical="center"/>
    </xf>
    <xf numFmtId="10" fontId="19" fillId="3" borderId="4" applyNumberFormat="0" applyBorder="0" applyAlignment="0" applyProtection="0"/>
    <xf numFmtId="37" fontId="21" fillId="0" borderId="0"/>
    <xf numFmtId="166" fontId="22" fillId="0" borderId="0"/>
    <xf numFmtId="0" fontId="16" fillId="0" borderId="0"/>
    <xf numFmtId="0" fontId="16" fillId="0" borderId="0"/>
    <xf numFmtId="0" fontId="10" fillId="0" borderId="0"/>
    <xf numFmtId="0" fontId="10" fillId="0" borderId="0"/>
    <xf numFmtId="0" fontId="16" fillId="0" borderId="0">
      <alignment vertical="center"/>
    </xf>
    <xf numFmtId="0" fontId="16" fillId="0" borderId="0">
      <alignment vertical="center"/>
    </xf>
    <xf numFmtId="167" fontId="16" fillId="0" borderId="0" applyFont="0" applyFill="0" applyBorder="0" applyAlignment="0" applyProtection="0"/>
    <xf numFmtId="10" fontId="16" fillId="0" borderId="0" applyFont="0" applyFill="0" applyBorder="0" applyAlignment="0" applyProtection="0"/>
    <xf numFmtId="0" fontId="16" fillId="0" borderId="0"/>
    <xf numFmtId="0" fontId="28" fillId="0" borderId="0"/>
    <xf numFmtId="164" fontId="28" fillId="0" borderId="0" applyFont="0" applyFill="0" applyBorder="0" applyAlignment="0" applyProtection="0"/>
    <xf numFmtId="9" fontId="28" fillId="0" borderId="0" applyFont="0" applyFill="0" applyBorder="0" applyAlignment="0" applyProtection="0"/>
    <xf numFmtId="165" fontId="31" fillId="0" borderId="0" applyFont="0" applyFill="0" applyBorder="0" applyAlignment="0" applyProtection="0"/>
    <xf numFmtId="0" fontId="32" fillId="0" borderId="0"/>
    <xf numFmtId="9" fontId="31" fillId="0" borderId="0" applyFont="0" applyFill="0" applyBorder="0" applyAlignment="0" applyProtection="0"/>
    <xf numFmtId="0" fontId="34" fillId="0" borderId="0"/>
    <xf numFmtId="164" fontId="16"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lignment vertical="center"/>
    </xf>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6" fillId="0" borderId="0" applyFont="0" applyFill="0" applyBorder="0" applyAlignment="0" applyProtection="0"/>
    <xf numFmtId="43" fontId="3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0" fontId="16" fillId="0" borderId="0"/>
    <xf numFmtId="0" fontId="31"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9" fontId="31" fillId="0" borderId="0" applyFont="0" applyFill="0" applyBorder="0" applyAlignment="0" applyProtection="0"/>
    <xf numFmtId="0" fontId="16" fillId="0" borderId="0" applyBorder="0" applyProtection="0"/>
    <xf numFmtId="167" fontId="31"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alignment vertical="center"/>
    </xf>
    <xf numFmtId="0" fontId="7" fillId="0" borderId="0"/>
    <xf numFmtId="164" fontId="7" fillId="0" borderId="0" applyFont="0" applyFill="0" applyBorder="0" applyAlignment="0" applyProtection="0"/>
    <xf numFmtId="165" fontId="16"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10" fillId="0" borderId="0"/>
    <xf numFmtId="43" fontId="1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6" fillId="0" borderId="0" applyFont="0" applyFill="0" applyBorder="0" applyAlignment="0" applyProtection="0"/>
    <xf numFmtId="43" fontId="31"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164" fontId="4"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64" fillId="0" borderId="0" applyFont="0" applyFill="0" applyBorder="0" applyAlignment="0" applyProtection="0"/>
    <xf numFmtId="9" fontId="6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16" fillId="0" borderId="0"/>
    <xf numFmtId="9" fontId="3"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91" fillId="0" borderId="0" applyFont="0" applyFill="0" applyBorder="0" applyAlignment="0" applyProtection="0"/>
    <xf numFmtId="184" fontId="68" fillId="0" borderId="0"/>
    <xf numFmtId="0" fontId="3" fillId="0" borderId="0"/>
    <xf numFmtId="0" fontId="84" fillId="0" borderId="0" applyNumberFormat="0" applyFill="0" applyBorder="0" applyAlignment="0" applyProtection="0"/>
    <xf numFmtId="0" fontId="94" fillId="0" borderId="0" applyNumberForma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4" fontId="104" fillId="0" borderId="0" applyFont="0" applyFill="0" applyBorder="0" applyAlignment="0" applyProtection="0"/>
    <xf numFmtId="0" fontId="16" fillId="0" borderId="0"/>
    <xf numFmtId="0" fontId="16" fillId="0" borderId="0"/>
    <xf numFmtId="0" fontId="16" fillId="0" borderId="0"/>
    <xf numFmtId="0" fontId="1" fillId="0" borderId="0"/>
    <xf numFmtId="0" fontId="16" fillId="0" borderId="0"/>
    <xf numFmtId="0" fontId="130" fillId="0" borderId="0"/>
    <xf numFmtId="0" fontId="16" fillId="0" borderId="0"/>
    <xf numFmtId="9" fontId="16" fillId="0" borderId="0" applyFont="0" applyFill="0" applyBorder="0" applyAlignment="0" applyProtection="0"/>
  </cellStyleXfs>
  <cellXfs count="2251">
    <xf numFmtId="0" fontId="0" fillId="0" borderId="0" xfId="0"/>
    <xf numFmtId="0" fontId="8" fillId="0" borderId="0" xfId="10" applyFont="1"/>
    <xf numFmtId="0" fontId="8" fillId="0" borderId="4" xfId="10" applyFont="1" applyBorder="1"/>
    <xf numFmtId="0" fontId="9" fillId="0" borderId="4" xfId="10" applyFont="1" applyBorder="1"/>
    <xf numFmtId="0" fontId="9" fillId="0" borderId="0" xfId="10" applyFont="1" applyAlignment="1">
      <alignment horizontal="center"/>
    </xf>
    <xf numFmtId="0" fontId="8" fillId="0" borderId="0" xfId="10" applyFont="1" applyAlignment="1">
      <alignment horizontal="centerContinuous"/>
    </xf>
    <xf numFmtId="0" fontId="9" fillId="0" borderId="0" xfId="10" applyFont="1"/>
    <xf numFmtId="0" fontId="8" fillId="5" borderId="0" xfId="10" applyFont="1" applyFill="1"/>
    <xf numFmtId="0" fontId="9" fillId="0" borderId="0" xfId="10" applyFont="1" applyAlignment="1">
      <alignment horizontal="centerContinuous"/>
    </xf>
    <xf numFmtId="0" fontId="8" fillId="5" borderId="4" xfId="10" applyFont="1" applyFill="1" applyBorder="1"/>
    <xf numFmtId="0" fontId="8" fillId="0" borderId="0" xfId="14" applyFont="1">
      <alignment vertical="center"/>
    </xf>
    <xf numFmtId="0" fontId="8" fillId="0" borderId="0" xfId="14" applyFont="1" applyAlignment="1">
      <alignment horizontal="centerContinuous" vertical="center"/>
    </xf>
    <xf numFmtId="0" fontId="9" fillId="0" borderId="0" xfId="10" applyFont="1" applyAlignment="1">
      <alignment horizontal="centerContinuous" vertical="top"/>
    </xf>
    <xf numFmtId="0" fontId="8" fillId="7" borderId="0" xfId="10" applyFont="1" applyFill="1" applyAlignment="1">
      <alignment horizontal="centerContinuous"/>
    </xf>
    <xf numFmtId="0" fontId="8" fillId="7" borderId="0" xfId="10" applyFont="1" applyFill="1" applyAlignment="1">
      <alignment horizontal="left"/>
    </xf>
    <xf numFmtId="0" fontId="9" fillId="0" borderId="0" xfId="14" applyFont="1" applyAlignment="1">
      <alignment horizontal="right" vertical="center"/>
    </xf>
    <xf numFmtId="0" fontId="9" fillId="0" borderId="0" xfId="14" applyFont="1">
      <alignment vertical="center"/>
    </xf>
    <xf numFmtId="0" fontId="9" fillId="7" borderId="0" xfId="14" applyFont="1" applyFill="1" applyAlignment="1">
      <alignment horizontal="center" vertical="center" wrapText="1"/>
    </xf>
    <xf numFmtId="0" fontId="8" fillId="7" borderId="0" xfId="14" applyFont="1" applyFill="1">
      <alignment vertical="center"/>
    </xf>
    <xf numFmtId="0" fontId="8" fillId="0" borderId="4" xfId="14" applyFont="1" applyBorder="1">
      <alignment vertical="center"/>
    </xf>
    <xf numFmtId="0" fontId="9" fillId="5" borderId="4" xfId="10" applyFont="1" applyFill="1" applyBorder="1" applyAlignment="1">
      <alignment horizontal="left"/>
    </xf>
    <xf numFmtId="0" fontId="8" fillId="5" borderId="4" xfId="10" applyFont="1" applyFill="1" applyBorder="1" applyAlignment="1">
      <alignment horizontal="left"/>
    </xf>
    <xf numFmtId="0" fontId="9" fillId="0" borderId="4" xfId="14" applyFont="1" applyBorder="1">
      <alignment vertical="center"/>
    </xf>
    <xf numFmtId="0" fontId="8" fillId="5" borderId="4" xfId="10" quotePrefix="1" applyFont="1" applyFill="1" applyBorder="1" applyAlignment="1">
      <alignment horizontal="left" vertical="top" wrapText="1"/>
    </xf>
    <xf numFmtId="0" fontId="14" fillId="0" borderId="0" xfId="10" applyFont="1" applyAlignment="1">
      <alignment horizontal="center" vertical="center"/>
    </xf>
    <xf numFmtId="0" fontId="15" fillId="0" borderId="0" xfId="14" applyFont="1">
      <alignment vertical="center"/>
    </xf>
    <xf numFmtId="0" fontId="8" fillId="7" borderId="4" xfId="14" applyFont="1" applyFill="1" applyBorder="1">
      <alignment vertical="center"/>
    </xf>
    <xf numFmtId="0" fontId="8" fillId="0" borderId="0" xfId="10" applyFont="1" applyAlignment="1">
      <alignment vertical="top"/>
    </xf>
    <xf numFmtId="0" fontId="8" fillId="0" borderId="4" xfId="10" applyFont="1" applyBorder="1" applyAlignment="1">
      <alignment vertical="top"/>
    </xf>
    <xf numFmtId="0" fontId="24" fillId="0" borderId="0" xfId="10" applyFont="1" applyAlignment="1">
      <alignment horizontal="left"/>
    </xf>
    <xf numFmtId="166" fontId="8" fillId="0" borderId="0" xfId="10" applyNumberFormat="1" applyFont="1"/>
    <xf numFmtId="0" fontId="8" fillId="0" borderId="0" xfId="10" applyFont="1" applyAlignment="1">
      <alignment horizontal="center"/>
    </xf>
    <xf numFmtId="0" fontId="9" fillId="0" borderId="0" xfId="10" applyFont="1" applyAlignment="1">
      <alignment horizontal="left"/>
    </xf>
    <xf numFmtId="0" fontId="9" fillId="5" borderId="0" xfId="10" applyFont="1" applyFill="1"/>
    <xf numFmtId="0" fontId="9" fillId="0" borderId="0" xfId="14" applyFont="1" applyAlignment="1">
      <alignment vertical="center" wrapText="1"/>
    </xf>
    <xf numFmtId="0" fontId="8" fillId="0" borderId="4" xfId="10" applyFont="1" applyBorder="1" applyAlignment="1">
      <alignment horizontal="left"/>
    </xf>
    <xf numFmtId="0" fontId="8" fillId="5" borderId="4" xfId="10" applyFont="1" applyFill="1" applyBorder="1" applyAlignment="1">
      <alignment vertical="top" wrapText="1"/>
    </xf>
    <xf numFmtId="0" fontId="9" fillId="5" borderId="4" xfId="10" applyFont="1" applyFill="1" applyBorder="1" applyAlignment="1">
      <alignment vertical="top" wrapText="1"/>
    </xf>
    <xf numFmtId="0" fontId="9" fillId="0" borderId="0" xfId="10" applyFont="1" applyAlignment="1">
      <alignment horizontal="right"/>
    </xf>
    <xf numFmtId="0" fontId="9" fillId="0" borderId="0" xfId="10" applyFont="1" applyAlignment="1">
      <alignment vertical="center"/>
    </xf>
    <xf numFmtId="0" fontId="9" fillId="0" borderId="0" xfId="10" applyFont="1" applyAlignment="1">
      <alignment horizontal="left" vertical="top"/>
    </xf>
    <xf numFmtId="0" fontId="8" fillId="0" borderId="0" xfId="10" applyFont="1" applyAlignment="1">
      <alignment horizontal="centerContinuous" vertical="top"/>
    </xf>
    <xf numFmtId="0" fontId="27" fillId="0" borderId="0" xfId="10" applyFont="1"/>
    <xf numFmtId="0" fontId="9" fillId="0" borderId="4" xfId="10" applyFont="1" applyBorder="1" applyAlignment="1">
      <alignment vertical="top"/>
    </xf>
    <xf numFmtId="0" fontId="9" fillId="0" borderId="4" xfId="10" applyFont="1" applyBorder="1" applyAlignment="1">
      <alignment horizontal="right"/>
    </xf>
    <xf numFmtId="0" fontId="8" fillId="7" borderId="0" xfId="10" applyFont="1" applyFill="1"/>
    <xf numFmtId="0" fontId="8" fillId="0" borderId="4" xfId="10" applyFont="1" applyBorder="1" applyAlignment="1">
      <alignment vertical="top" wrapText="1"/>
    </xf>
    <xf numFmtId="0" fontId="8" fillId="0" borderId="4" xfId="10" applyFont="1" applyBorder="1" applyAlignment="1">
      <alignment horizontal="left" vertical="top" wrapText="1"/>
    </xf>
    <xf numFmtId="0" fontId="27" fillId="0" borderId="0" xfId="14" applyFont="1">
      <alignment vertical="center"/>
    </xf>
    <xf numFmtId="0" fontId="9" fillId="0" borderId="0" xfId="14" applyFont="1" applyAlignment="1">
      <alignment horizontal="left" vertical="center"/>
    </xf>
    <xf numFmtId="0" fontId="8" fillId="0" borderId="0" xfId="14" applyFont="1" applyAlignment="1">
      <alignment vertical="center" wrapText="1"/>
    </xf>
    <xf numFmtId="0" fontId="8" fillId="0" borderId="0" xfId="10" applyFont="1" applyAlignment="1">
      <alignment vertical="center"/>
    </xf>
    <xf numFmtId="0" fontId="8" fillId="0" borderId="4" xfId="10" applyFont="1" applyBorder="1" applyAlignment="1">
      <alignment horizontal="left" vertical="center"/>
    </xf>
    <xf numFmtId="0" fontId="9" fillId="0" borderId="0" xfId="10" applyFont="1" applyAlignment="1">
      <alignment horizontal="center" vertical="center"/>
    </xf>
    <xf numFmtId="0" fontId="8" fillId="0" borderId="4" xfId="10" applyFont="1" applyBorder="1" applyAlignment="1">
      <alignment horizontal="center" vertical="top"/>
    </xf>
    <xf numFmtId="0" fontId="8" fillId="0" borderId="4" xfId="10" applyFont="1" applyBorder="1" applyAlignment="1">
      <alignment horizontal="left" wrapText="1"/>
    </xf>
    <xf numFmtId="0" fontId="9" fillId="0" borderId="4" xfId="10" applyFont="1" applyBorder="1" applyAlignment="1">
      <alignment horizontal="left"/>
    </xf>
    <xf numFmtId="0" fontId="8" fillId="0" borderId="0" xfId="14" applyFont="1" applyAlignment="1">
      <alignment horizontal="center" vertical="center"/>
    </xf>
    <xf numFmtId="0" fontId="8" fillId="0" borderId="4" xfId="14" applyFont="1" applyBorder="1" applyAlignment="1">
      <alignment horizontal="center" vertical="center"/>
    </xf>
    <xf numFmtId="0" fontId="9" fillId="0" borderId="4" xfId="14" applyFont="1" applyBorder="1" applyAlignment="1">
      <alignment horizontal="center" vertical="center"/>
    </xf>
    <xf numFmtId="0" fontId="13" fillId="0" borderId="0" xfId="14" applyFont="1" applyAlignment="1">
      <alignment horizontal="left" vertical="center"/>
    </xf>
    <xf numFmtId="0" fontId="8" fillId="0" borderId="4" xfId="14" applyFont="1" applyBorder="1" applyAlignment="1">
      <alignment vertical="top" wrapText="1"/>
    </xf>
    <xf numFmtId="0" fontId="8" fillId="0" borderId="4" xfId="14" applyFont="1" applyBorder="1" applyAlignment="1">
      <alignment horizontal="center" vertical="top" wrapText="1"/>
    </xf>
    <xf numFmtId="0" fontId="9" fillId="0" borderId="4" xfId="14" applyFont="1" applyBorder="1" applyAlignment="1">
      <alignment vertical="top" wrapText="1"/>
    </xf>
    <xf numFmtId="16" fontId="9" fillId="4" borderId="4" xfId="10" applyNumberFormat="1" applyFont="1" applyFill="1" applyBorder="1" applyAlignment="1">
      <alignment horizontal="center" vertical="center" wrapText="1"/>
    </xf>
    <xf numFmtId="0" fontId="9" fillId="0" borderId="4" xfId="10" quotePrefix="1" applyFont="1" applyBorder="1" applyAlignment="1">
      <alignment horizontal="center" vertical="top" wrapText="1"/>
    </xf>
    <xf numFmtId="0" fontId="10" fillId="0" borderId="0" xfId="10" applyFont="1" applyAlignment="1">
      <alignment vertical="center"/>
    </xf>
    <xf numFmtId="0" fontId="16" fillId="0" borderId="0" xfId="10" applyAlignment="1">
      <alignment vertical="center"/>
    </xf>
    <xf numFmtId="0" fontId="9" fillId="0" borderId="4" xfId="14" applyFont="1" applyBorder="1" applyAlignment="1">
      <alignment horizontal="center" vertical="top" wrapText="1"/>
    </xf>
    <xf numFmtId="0" fontId="8" fillId="0" borderId="0" xfId="15" applyFont="1">
      <alignment vertical="center"/>
    </xf>
    <xf numFmtId="0" fontId="15" fillId="0" borderId="4" xfId="14" applyFont="1" applyBorder="1">
      <alignment vertical="center"/>
    </xf>
    <xf numFmtId="0" fontId="15" fillId="0" borderId="4" xfId="14" applyFont="1" applyBorder="1" applyAlignment="1">
      <alignment horizontal="center" vertical="center"/>
    </xf>
    <xf numFmtId="0" fontId="15" fillId="0" borderId="4" xfId="14" applyFont="1" applyBorder="1" applyAlignment="1">
      <alignment horizontal="left" vertical="center"/>
    </xf>
    <xf numFmtId="0" fontId="15" fillId="0" borderId="4" xfId="14" applyFont="1" applyBorder="1" applyAlignment="1">
      <alignment vertical="top" wrapText="1"/>
    </xf>
    <xf numFmtId="0" fontId="8" fillId="0" borderId="4" xfId="14" applyFont="1" applyBorder="1" applyAlignment="1">
      <alignment horizontal="left" vertical="center"/>
    </xf>
    <xf numFmtId="0" fontId="8" fillId="5" borderId="4" xfId="14" applyFont="1" applyFill="1" applyBorder="1">
      <alignment vertical="center"/>
    </xf>
    <xf numFmtId="0" fontId="9" fillId="5" borderId="4" xfId="10" applyFont="1" applyFill="1" applyBorder="1" applyAlignment="1">
      <alignment horizontal="left" vertical="top" wrapText="1"/>
    </xf>
    <xf numFmtId="0" fontId="8" fillId="5" borderId="4" xfId="10" applyFont="1" applyFill="1" applyBorder="1" applyAlignment="1">
      <alignment horizontal="center"/>
    </xf>
    <xf numFmtId="0" fontId="9" fillId="0" borderId="4" xfId="10" applyFont="1" applyBorder="1" applyAlignment="1">
      <alignment vertical="top" wrapText="1"/>
    </xf>
    <xf numFmtId="0" fontId="9" fillId="5" borderId="4" xfId="10" applyFont="1" applyFill="1" applyBorder="1"/>
    <xf numFmtId="0" fontId="9" fillId="5" borderId="4" xfId="10" applyFont="1" applyFill="1" applyBorder="1" applyAlignment="1">
      <alignment horizontal="center" vertical="center" wrapText="1"/>
    </xf>
    <xf numFmtId="0" fontId="9" fillId="5" borderId="4" xfId="10" applyFont="1" applyFill="1" applyBorder="1" applyAlignment="1">
      <alignment horizontal="center" vertical="center"/>
    </xf>
    <xf numFmtId="0" fontId="8" fillId="0" borderId="4" xfId="10" applyFont="1" applyBorder="1" applyAlignment="1">
      <alignment wrapText="1"/>
    </xf>
    <xf numFmtId="0" fontId="9" fillId="0" borderId="0" xfId="10" applyFont="1" applyAlignment="1">
      <alignment horizontal="left" vertical="center"/>
    </xf>
    <xf numFmtId="0" fontId="9" fillId="0" borderId="0" xfId="10" applyFont="1" applyAlignment="1">
      <alignment horizontal="centerContinuous" vertical="center"/>
    </xf>
    <xf numFmtId="0" fontId="8" fillId="5" borderId="4" xfId="10" applyFont="1" applyFill="1" applyBorder="1" applyAlignment="1">
      <alignment horizontal="center" vertical="center"/>
    </xf>
    <xf numFmtId="0" fontId="8" fillId="0" borderId="4" xfId="10" applyFont="1" applyBorder="1" applyAlignment="1">
      <alignment vertical="center"/>
    </xf>
    <xf numFmtId="0" fontId="9" fillId="5" borderId="4" xfId="10" applyFont="1" applyFill="1" applyBorder="1" applyAlignment="1">
      <alignment vertical="center" wrapText="1"/>
    </xf>
    <xf numFmtId="0" fontId="9" fillId="5" borderId="0" xfId="10" applyFont="1" applyFill="1" applyAlignment="1">
      <alignment vertical="center"/>
    </xf>
    <xf numFmtId="0" fontId="8" fillId="0" borderId="4" xfId="10" applyFont="1" applyBorder="1" applyAlignment="1">
      <alignment horizontal="center" vertical="center"/>
    </xf>
    <xf numFmtId="0" fontId="25" fillId="0" borderId="4" xfId="14" applyFont="1" applyBorder="1" applyAlignment="1">
      <alignment horizontal="center" vertical="center"/>
    </xf>
    <xf numFmtId="0" fontId="16" fillId="0" borderId="4" xfId="10" applyBorder="1" applyAlignment="1">
      <alignment horizontal="center" vertical="center" wrapText="1"/>
    </xf>
    <xf numFmtId="0" fontId="9" fillId="0" borderId="4" xfId="10" applyFont="1" applyBorder="1" applyAlignment="1">
      <alignment horizontal="left" vertical="center" wrapText="1"/>
    </xf>
    <xf numFmtId="0" fontId="9" fillId="0" borderId="4" xfId="10" applyFont="1" applyBorder="1" applyAlignment="1">
      <alignment horizontal="center" vertical="center" wrapText="1"/>
    </xf>
    <xf numFmtId="0" fontId="9" fillId="0" borderId="4" xfId="10" applyFont="1" applyBorder="1" applyAlignment="1">
      <alignment horizontal="left" vertical="center"/>
    </xf>
    <xf numFmtId="0" fontId="8" fillId="7" borderId="4" xfId="10" applyFont="1" applyFill="1" applyBorder="1" applyAlignment="1">
      <alignment horizontal="left"/>
    </xf>
    <xf numFmtId="0" fontId="8" fillId="5" borderId="4" xfId="10" applyFont="1" applyFill="1" applyBorder="1" applyAlignment="1">
      <alignment horizontal="left" vertical="top" wrapText="1"/>
    </xf>
    <xf numFmtId="0" fontId="33" fillId="7" borderId="4" xfId="13" applyFont="1" applyFill="1" applyBorder="1"/>
    <xf numFmtId="0" fontId="9" fillId="4" borderId="4" xfId="14" applyFont="1" applyFill="1" applyBorder="1" applyAlignment="1">
      <alignment horizontal="center" vertical="center" wrapText="1"/>
    </xf>
    <xf numFmtId="0" fontId="9" fillId="5" borderId="0" xfId="10" applyFont="1" applyFill="1" applyAlignment="1">
      <alignment horizontal="left" vertical="top"/>
    </xf>
    <xf numFmtId="0" fontId="9" fillId="5" borderId="0" xfId="10" applyFont="1" applyFill="1" applyAlignment="1">
      <alignment horizontal="left"/>
    </xf>
    <xf numFmtId="0" fontId="8" fillId="5" borderId="0" xfId="10" applyFont="1" applyFill="1" applyAlignment="1">
      <alignment horizontal="center" vertical="center"/>
    </xf>
    <xf numFmtId="0" fontId="8" fillId="0" borderId="0" xfId="10" applyFont="1" applyAlignment="1">
      <alignment horizontal="left"/>
    </xf>
    <xf numFmtId="0" fontId="8" fillId="5" borderId="0" xfId="14" applyFont="1" applyFill="1">
      <alignment vertical="center"/>
    </xf>
    <xf numFmtId="0" fontId="8" fillId="5" borderId="0" xfId="10" applyFont="1" applyFill="1" applyAlignment="1">
      <alignment vertical="top" wrapText="1"/>
    </xf>
    <xf numFmtId="0" fontId="9" fillId="0" borderId="4" xfId="14" applyFont="1" applyBorder="1" applyAlignment="1">
      <alignment vertical="center" wrapText="1"/>
    </xf>
    <xf numFmtId="0" fontId="9" fillId="4" borderId="4" xfId="10" applyFont="1" applyFill="1" applyBorder="1" applyAlignment="1">
      <alignment horizontal="center" vertical="center" wrapText="1"/>
    </xf>
    <xf numFmtId="0" fontId="8" fillId="0" borderId="0" xfId="0" applyFont="1"/>
    <xf numFmtId="0" fontId="8" fillId="0" borderId="0" xfId="10" applyFont="1" applyAlignment="1">
      <alignment horizontal="center" vertical="center"/>
    </xf>
    <xf numFmtId="0" fontId="8" fillId="7" borderId="4" xfId="10" quotePrefix="1" applyFont="1" applyFill="1" applyBorder="1" applyAlignment="1">
      <alignment horizontal="center" vertical="top" wrapText="1"/>
    </xf>
    <xf numFmtId="0" fontId="8" fillId="7" borderId="4" xfId="10" applyFont="1" applyFill="1" applyBorder="1" applyAlignment="1">
      <alignment horizontal="center" vertical="top" wrapText="1"/>
    </xf>
    <xf numFmtId="0" fontId="8" fillId="7" borderId="4" xfId="10" applyFont="1" applyFill="1" applyBorder="1" applyAlignment="1">
      <alignment vertical="top"/>
    </xf>
    <xf numFmtId="0" fontId="8" fillId="7" borderId="4" xfId="10" applyFont="1" applyFill="1" applyBorder="1" applyAlignment="1">
      <alignment horizontal="left" vertical="top"/>
    </xf>
    <xf numFmtId="0" fontId="8" fillId="7" borderId="4" xfId="10" applyFont="1" applyFill="1" applyBorder="1"/>
    <xf numFmtId="0" fontId="9" fillId="7" borderId="4" xfId="10" applyFont="1" applyFill="1" applyBorder="1"/>
    <xf numFmtId="0" fontId="8" fillId="7" borderId="4" xfId="10" applyFont="1" applyFill="1" applyBorder="1" applyAlignment="1">
      <alignment horizontal="right"/>
    </xf>
    <xf numFmtId="0" fontId="26" fillId="7" borderId="4" xfId="10" applyFont="1" applyFill="1" applyBorder="1"/>
    <xf numFmtId="0" fontId="9" fillId="0" borderId="0" xfId="0" applyFont="1" applyAlignment="1">
      <alignment horizontal="left"/>
    </xf>
    <xf numFmtId="0" fontId="9" fillId="0" borderId="0" xfId="10" applyFont="1" applyAlignment="1">
      <alignment vertical="top"/>
    </xf>
    <xf numFmtId="0" fontId="9" fillId="7" borderId="4" xfId="14" applyFont="1" applyFill="1" applyBorder="1">
      <alignment vertical="center"/>
    </xf>
    <xf numFmtId="0" fontId="9" fillId="0" borderId="0" xfId="14" applyFont="1" applyAlignment="1">
      <alignment horizontal="center" vertical="center"/>
    </xf>
    <xf numFmtId="0" fontId="9" fillId="4" borderId="4" xfId="10" applyFont="1" applyFill="1" applyBorder="1" applyAlignment="1">
      <alignment horizontal="center" vertical="center"/>
    </xf>
    <xf numFmtId="0" fontId="9" fillId="8" borderId="4" xfId="14" applyFont="1" applyFill="1" applyBorder="1" applyAlignment="1">
      <alignment horizontal="center" vertical="center" wrapText="1"/>
    </xf>
    <xf numFmtId="0" fontId="9" fillId="0" borderId="0" xfId="10" applyFont="1" applyAlignment="1">
      <alignment horizontal="center" vertical="top"/>
    </xf>
    <xf numFmtId="0" fontId="9" fillId="7" borderId="4" xfId="14" applyFont="1" applyFill="1" applyBorder="1" applyAlignment="1">
      <alignment horizontal="center" vertical="center" wrapText="1"/>
    </xf>
    <xf numFmtId="0" fontId="24" fillId="0" borderId="0" xfId="10" applyFont="1" applyAlignment="1">
      <alignment horizontal="left" vertical="center"/>
    </xf>
    <xf numFmtId="0" fontId="8" fillId="5" borderId="4" xfId="14" applyFont="1" applyFill="1" applyBorder="1" applyAlignment="1">
      <alignment horizontal="center" vertical="center"/>
    </xf>
    <xf numFmtId="0" fontId="9" fillId="5" borderId="4" xfId="14" applyFont="1" applyFill="1" applyBorder="1" applyAlignment="1">
      <alignment horizontal="center" vertical="center"/>
    </xf>
    <xf numFmtId="0" fontId="9" fillId="5" borderId="4" xfId="14" applyFont="1" applyFill="1" applyBorder="1">
      <alignment vertical="center"/>
    </xf>
    <xf numFmtId="0" fontId="9" fillId="0" borderId="0" xfId="10" applyFont="1" applyAlignment="1">
      <alignment horizontal="right" vertical="top"/>
    </xf>
    <xf numFmtId="0" fontId="9" fillId="5" borderId="0" xfId="14" applyFont="1" applyFill="1" applyAlignment="1">
      <alignment horizontal="center" vertical="center"/>
    </xf>
    <xf numFmtId="0" fontId="9" fillId="5" borderId="0" xfId="14" applyFont="1" applyFill="1">
      <alignment vertical="center"/>
    </xf>
    <xf numFmtId="0" fontId="9" fillId="7" borderId="4" xfId="10" applyFont="1" applyFill="1" applyBorder="1" applyAlignment="1">
      <alignment horizontal="left" vertical="top"/>
    </xf>
    <xf numFmtId="0" fontId="24" fillId="7" borderId="4" xfId="10" applyFont="1" applyFill="1" applyBorder="1" applyAlignment="1">
      <alignment horizontal="left"/>
    </xf>
    <xf numFmtId="0" fontId="8" fillId="0" borderId="0" xfId="0" applyFont="1" applyAlignment="1">
      <alignment vertical="top" wrapText="1"/>
    </xf>
    <xf numFmtId="0" fontId="9" fillId="4" borderId="4" xfId="0" applyFont="1" applyFill="1" applyBorder="1" applyAlignment="1">
      <alignment horizontal="left" vertical="top" wrapText="1"/>
    </xf>
    <xf numFmtId="0" fontId="9" fillId="4" borderId="4" xfId="0" applyFont="1" applyFill="1" applyBorder="1" applyAlignment="1">
      <alignment vertical="top" wrapText="1"/>
    </xf>
    <xf numFmtId="0" fontId="9" fillId="4" borderId="4" xfId="0" applyFont="1" applyFill="1" applyBorder="1" applyAlignment="1">
      <alignment horizontal="center" vertical="top" wrapText="1"/>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9" fillId="7" borderId="0" xfId="10" applyFont="1" applyFill="1" applyAlignment="1">
      <alignment horizontal="left" vertical="top"/>
    </xf>
    <xf numFmtId="0" fontId="24" fillId="7" borderId="0" xfId="10" applyFont="1" applyFill="1" applyAlignment="1">
      <alignment horizontal="left"/>
    </xf>
    <xf numFmtId="0" fontId="8" fillId="0" borderId="0" xfId="14" applyFont="1" applyAlignment="1">
      <alignment horizontal="right" vertical="center"/>
    </xf>
    <xf numFmtId="0" fontId="9" fillId="5" borderId="4" xfId="10" applyFont="1" applyFill="1" applyBorder="1" applyAlignment="1">
      <alignment vertical="center"/>
    </xf>
    <xf numFmtId="0" fontId="25" fillId="0" borderId="0" xfId="10" applyFont="1" applyAlignment="1">
      <alignment vertical="center"/>
    </xf>
    <xf numFmtId="0" fontId="12" fillId="0" borderId="4" xfId="0" applyFont="1" applyBorder="1" applyAlignment="1">
      <alignment vertical="top" wrapText="1"/>
    </xf>
    <xf numFmtId="0" fontId="15" fillId="0" borderId="4" xfId="0" applyFont="1" applyBorder="1" applyAlignment="1">
      <alignment horizontal="center" vertical="top"/>
    </xf>
    <xf numFmtId="0" fontId="12" fillId="0" borderId="4" xfId="0" applyFont="1" applyBorder="1" applyAlignment="1">
      <alignment horizontal="left" vertical="top" wrapText="1"/>
    </xf>
    <xf numFmtId="0" fontId="9" fillId="7" borderId="0" xfId="10" applyFont="1" applyFill="1" applyAlignment="1">
      <alignment vertical="center"/>
    </xf>
    <xf numFmtId="0" fontId="8" fillId="0" borderId="4" xfId="10" applyFont="1" applyBorder="1" applyAlignment="1">
      <alignment horizontal="center"/>
    </xf>
    <xf numFmtId="0" fontId="10" fillId="0" borderId="0" xfId="10" applyFont="1" applyAlignment="1">
      <alignment vertical="center" wrapText="1"/>
    </xf>
    <xf numFmtId="0" fontId="13" fillId="0" borderId="0" xfId="14" applyFont="1">
      <alignment vertical="center"/>
    </xf>
    <xf numFmtId="0" fontId="8" fillId="0" borderId="4" xfId="14" applyFont="1" applyBorder="1" applyAlignment="1">
      <alignment vertical="center" wrapText="1"/>
    </xf>
    <xf numFmtId="0" fontId="9" fillId="0" borderId="0" xfId="10" applyFont="1" applyAlignment="1">
      <alignment vertical="center" wrapText="1"/>
    </xf>
    <xf numFmtId="0" fontId="8" fillId="0" borderId="4" xfId="34" applyFont="1" applyBorder="1">
      <alignment vertical="center"/>
    </xf>
    <xf numFmtId="0" fontId="9" fillId="9" borderId="0" xfId="10" applyFont="1" applyFill="1"/>
    <xf numFmtId="0" fontId="8" fillId="9" borderId="0" xfId="10" applyFont="1" applyFill="1" applyAlignment="1">
      <alignment vertical="top"/>
    </xf>
    <xf numFmtId="0" fontId="9" fillId="4" borderId="7" xfId="14" applyFont="1" applyFill="1" applyBorder="1">
      <alignment vertical="center"/>
    </xf>
    <xf numFmtId="0" fontId="9" fillId="4" borderId="7" xfId="10" applyFont="1" applyFill="1" applyBorder="1" applyAlignment="1">
      <alignment vertical="center" wrapText="1"/>
    </xf>
    <xf numFmtId="0" fontId="8" fillId="0" borderId="0" xfId="10" applyFont="1" applyAlignment="1">
      <alignment horizontal="centerContinuous" vertical="center"/>
    </xf>
    <xf numFmtId="0" fontId="9" fillId="0" borderId="0" xfId="10" applyFont="1" applyAlignment="1">
      <alignment horizontal="right" vertical="center"/>
    </xf>
    <xf numFmtId="0" fontId="37" fillId="0" borderId="4" xfId="10" applyFont="1" applyBorder="1" applyAlignment="1">
      <alignment vertical="center"/>
    </xf>
    <xf numFmtId="0" fontId="38" fillId="0" borderId="4" xfId="10" applyFont="1" applyBorder="1" applyAlignment="1">
      <alignment horizontal="right" vertical="center"/>
    </xf>
    <xf numFmtId="0" fontId="39" fillId="0" borderId="4" xfId="10" applyFont="1" applyBorder="1" applyAlignment="1">
      <alignment vertical="center"/>
    </xf>
    <xf numFmtId="0" fontId="36" fillId="0" borderId="4" xfId="10" applyFont="1" applyBorder="1" applyAlignment="1">
      <alignment vertical="center"/>
    </xf>
    <xf numFmtId="0" fontId="38" fillId="0" borderId="4" xfId="10" applyFont="1" applyBorder="1" applyAlignment="1">
      <alignment vertical="center"/>
    </xf>
    <xf numFmtId="0" fontId="39" fillId="0" borderId="0" xfId="10" applyFont="1" applyAlignment="1">
      <alignment vertical="center"/>
    </xf>
    <xf numFmtId="0" fontId="38" fillId="0" borderId="0" xfId="10" applyFont="1" applyAlignment="1">
      <alignment horizontal="right" vertical="center"/>
    </xf>
    <xf numFmtId="0" fontId="8" fillId="0" borderId="4" xfId="10" applyFont="1" applyBorder="1" applyAlignment="1">
      <alignment horizontal="center" vertical="top" wrapText="1"/>
    </xf>
    <xf numFmtId="0" fontId="9" fillId="4" borderId="7" xfId="14" applyFont="1" applyFill="1" applyBorder="1" applyAlignment="1">
      <alignment vertical="center" wrapText="1"/>
    </xf>
    <xf numFmtId="0" fontId="9" fillId="0" borderId="0" xfId="10" applyFont="1" applyAlignment="1">
      <alignment horizontal="left" vertical="center" wrapText="1"/>
    </xf>
    <xf numFmtId="0" fontId="9" fillId="0" borderId="0" xfId="10" applyFont="1" applyAlignment="1">
      <alignment horizontal="center" vertical="center" wrapText="1"/>
    </xf>
    <xf numFmtId="0" fontId="10" fillId="0" borderId="0" xfId="10" applyFont="1" applyAlignment="1">
      <alignment horizontal="center" vertical="center"/>
    </xf>
    <xf numFmtId="0" fontId="8" fillId="0" borderId="0" xfId="14" applyFont="1" applyAlignment="1">
      <alignment horizontal="left" vertical="center"/>
    </xf>
    <xf numFmtId="0" fontId="8" fillId="0" borderId="0" xfId="10" applyFont="1" applyAlignment="1">
      <alignment vertical="center" wrapText="1"/>
    </xf>
    <xf numFmtId="0" fontId="9" fillId="0" borderId="4" xfId="10" applyFont="1" applyBorder="1" applyAlignment="1">
      <alignment horizontal="left" vertical="top" wrapText="1"/>
    </xf>
    <xf numFmtId="0" fontId="8" fillId="5" borderId="4" xfId="14" applyFont="1" applyFill="1" applyBorder="1" applyAlignment="1">
      <alignment horizontal="left" vertical="center"/>
    </xf>
    <xf numFmtId="0" fontId="8" fillId="7" borderId="4" xfId="14" applyFont="1" applyFill="1" applyBorder="1" applyAlignment="1">
      <alignment horizontal="center" vertical="center"/>
    </xf>
    <xf numFmtId="0" fontId="9" fillId="4" borderId="4" xfId="14" applyFont="1" applyFill="1" applyBorder="1" applyAlignment="1">
      <alignment vertical="center" wrapText="1"/>
    </xf>
    <xf numFmtId="0" fontId="9" fillId="5" borderId="0" xfId="10" applyFont="1" applyFill="1" applyAlignment="1">
      <alignment horizontal="center" vertical="center"/>
    </xf>
    <xf numFmtId="0" fontId="8" fillId="5" borderId="0" xfId="10" quotePrefix="1" applyFont="1" applyFill="1" applyAlignment="1">
      <alignment horizontal="left" vertical="top" wrapText="1"/>
    </xf>
    <xf numFmtId="0" fontId="36" fillId="10" borderId="4" xfId="10" applyFont="1" applyFill="1" applyBorder="1" applyAlignment="1">
      <alignment vertical="center"/>
    </xf>
    <xf numFmtId="0" fontId="38" fillId="0" borderId="4" xfId="10" applyFont="1" applyBorder="1" applyAlignment="1">
      <alignment vertical="center" wrapText="1"/>
    </xf>
    <xf numFmtId="0" fontId="38" fillId="0" borderId="0" xfId="10" applyFont="1" applyAlignment="1">
      <alignment vertical="center" wrapText="1"/>
    </xf>
    <xf numFmtId="0" fontId="9" fillId="8" borderId="7" xfId="10" applyFont="1" applyFill="1" applyBorder="1" applyAlignment="1">
      <alignment horizontal="center" vertical="center" wrapText="1"/>
    </xf>
    <xf numFmtId="0" fontId="9" fillId="8" borderId="4" xfId="10" applyFont="1" applyFill="1" applyBorder="1" applyAlignment="1">
      <alignment horizontal="center" vertical="center" wrapText="1"/>
    </xf>
    <xf numFmtId="0" fontId="9" fillId="0" borderId="6" xfId="14" applyFont="1" applyBorder="1" applyAlignment="1">
      <alignment horizontal="center" vertical="center"/>
    </xf>
    <xf numFmtId="0" fontId="9" fillId="0" borderId="7" xfId="10" applyFont="1" applyBorder="1" applyAlignment="1">
      <alignment horizontal="center" vertical="center" wrapText="1"/>
    </xf>
    <xf numFmtId="0" fontId="15" fillId="7" borderId="4" xfId="34" applyFont="1" applyFill="1" applyBorder="1">
      <alignment vertical="center"/>
    </xf>
    <xf numFmtId="0" fontId="9" fillId="0" borderId="0" xfId="10" applyFont="1" applyAlignment="1">
      <alignment horizontal="center" wrapText="1"/>
    </xf>
    <xf numFmtId="0" fontId="16" fillId="0" borderId="0" xfId="10" applyAlignment="1">
      <alignment horizontal="center" vertical="center"/>
    </xf>
    <xf numFmtId="0" fontId="9" fillId="4" borderId="5" xfId="14" applyFont="1" applyFill="1" applyBorder="1" applyAlignment="1">
      <alignment horizontal="center" vertical="center" wrapText="1"/>
    </xf>
    <xf numFmtId="0" fontId="8" fillId="0" borderId="4" xfId="0" applyFont="1" applyBorder="1" applyAlignment="1">
      <alignment horizontal="center" vertical="center"/>
    </xf>
    <xf numFmtId="0" fontId="8" fillId="0" borderId="4" xfId="0" applyFont="1" applyBorder="1" applyAlignment="1">
      <alignment vertical="top" wrapText="1"/>
    </xf>
    <xf numFmtId="0" fontId="8" fillId="0" borderId="4" xfId="0" applyFont="1" applyBorder="1" applyAlignment="1">
      <alignment vertical="top"/>
    </xf>
    <xf numFmtId="0" fontId="15" fillId="0" borderId="0" xfId="0" applyFont="1" applyAlignment="1">
      <alignment horizontal="center" vertical="center"/>
    </xf>
    <xf numFmtId="0" fontId="15" fillId="0" borderId="0" xfId="0" applyFont="1" applyAlignment="1">
      <alignment wrapText="1"/>
    </xf>
    <xf numFmtId="0" fontId="15" fillId="0" borderId="0" xfId="0" applyFont="1"/>
    <xf numFmtId="0" fontId="11" fillId="0" borderId="0" xfId="10" applyFont="1"/>
    <xf numFmtId="0" fontId="26" fillId="0" borderId="0" xfId="10" applyFont="1"/>
    <xf numFmtId="0" fontId="9" fillId="0" borderId="4" xfId="14" applyFont="1" applyBorder="1" applyAlignment="1">
      <alignment horizontal="center" vertical="center" wrapText="1"/>
    </xf>
    <xf numFmtId="0" fontId="8" fillId="7" borderId="0" xfId="14" applyFont="1" applyFill="1" applyAlignment="1">
      <alignment horizontal="center" vertical="center"/>
    </xf>
    <xf numFmtId="0" fontId="25" fillId="0" borderId="4" xfId="14" applyFont="1" applyBorder="1">
      <alignment vertical="center"/>
    </xf>
    <xf numFmtId="0" fontId="40" fillId="0" borderId="0" xfId="14" applyFont="1">
      <alignment vertical="center"/>
    </xf>
    <xf numFmtId="0" fontId="40" fillId="5" borderId="0" xfId="10" applyFont="1" applyFill="1" applyAlignment="1">
      <alignment horizontal="left" vertical="top"/>
    </xf>
    <xf numFmtId="0" fontId="23" fillId="0" borderId="0" xfId="14" applyFont="1">
      <alignment vertical="center"/>
    </xf>
    <xf numFmtId="0" fontId="9" fillId="7" borderId="7" xfId="14" applyFont="1" applyFill="1" applyBorder="1">
      <alignment vertical="center"/>
    </xf>
    <xf numFmtId="0" fontId="29" fillId="0" borderId="4" xfId="0" applyFont="1" applyBorder="1"/>
    <xf numFmtId="0" fontId="30" fillId="0" borderId="4" xfId="0" applyFont="1" applyBorder="1"/>
    <xf numFmtId="0" fontId="30" fillId="0" borderId="4" xfId="0" applyFont="1" applyBorder="1" applyAlignment="1">
      <alignment horizontal="left"/>
    </xf>
    <xf numFmtId="0" fontId="29" fillId="0" borderId="4" xfId="0" applyFont="1" applyBorder="1" applyAlignment="1">
      <alignment horizontal="left"/>
    </xf>
    <xf numFmtId="0" fontId="41" fillId="0" borderId="4" xfId="0" applyFont="1" applyBorder="1"/>
    <xf numFmtId="0" fontId="9" fillId="0" borderId="0" xfId="10" applyFont="1" applyAlignment="1">
      <alignment horizontal="right" wrapText="1"/>
    </xf>
    <xf numFmtId="0" fontId="8" fillId="0" borderId="0" xfId="10" applyFont="1" applyAlignment="1">
      <alignment wrapText="1"/>
    </xf>
    <xf numFmtId="0" fontId="9" fillId="7" borderId="4" xfId="14" applyFont="1" applyFill="1" applyBorder="1" applyAlignment="1">
      <alignment vertical="center" wrapText="1"/>
    </xf>
    <xf numFmtId="0" fontId="9" fillId="4" borderId="6" xfId="14" applyFont="1" applyFill="1" applyBorder="1" applyAlignment="1">
      <alignment horizontal="center" vertical="center" wrapText="1"/>
    </xf>
    <xf numFmtId="0" fontId="9" fillId="8" borderId="4" xfId="10" applyFont="1" applyFill="1" applyBorder="1" applyAlignment="1">
      <alignment horizontal="center" vertical="center"/>
    </xf>
    <xf numFmtId="0" fontId="9" fillId="4" borderId="4" xfId="63" applyFont="1" applyFill="1" applyBorder="1" applyAlignment="1">
      <alignment horizontal="center" vertical="center" wrapText="1"/>
    </xf>
    <xf numFmtId="0" fontId="8" fillId="0" borderId="4" xfId="0" applyFont="1" applyBorder="1" applyAlignment="1">
      <alignment horizontal="center" vertical="top"/>
    </xf>
    <xf numFmtId="0" fontId="8" fillId="0" borderId="4" xfId="14" applyFont="1" applyBorder="1" applyAlignment="1">
      <alignment horizontal="center" vertical="center" wrapText="1"/>
    </xf>
    <xf numFmtId="0" fontId="8" fillId="5" borderId="4" xfId="10" applyFont="1" applyFill="1" applyBorder="1" applyAlignment="1">
      <alignment horizontal="left" wrapText="1"/>
    </xf>
    <xf numFmtId="0" fontId="43" fillId="0" borderId="0" xfId="64" applyFont="1"/>
    <xf numFmtId="0" fontId="44" fillId="13" borderId="0" xfId="64" applyFont="1" applyFill="1" applyAlignment="1">
      <alignment horizontal="left"/>
    </xf>
    <xf numFmtId="0" fontId="44" fillId="14" borderId="4" xfId="64" applyFont="1" applyFill="1" applyBorder="1" applyAlignment="1">
      <alignment vertical="center"/>
    </xf>
    <xf numFmtId="0" fontId="44" fillId="14" borderId="4" xfId="64" applyFont="1" applyFill="1" applyBorder="1" applyAlignment="1">
      <alignment horizontal="left" vertical="center"/>
    </xf>
    <xf numFmtId="0" fontId="44" fillId="14" borderId="4" xfId="64" applyFont="1" applyFill="1" applyBorder="1" applyAlignment="1">
      <alignment vertical="center" wrapText="1"/>
    </xf>
    <xf numFmtId="0" fontId="44" fillId="14" borderId="4" xfId="64" applyFont="1" applyFill="1" applyBorder="1" applyAlignment="1">
      <alignment horizontal="center" vertical="center"/>
    </xf>
    <xf numFmtId="0" fontId="43" fillId="0" borderId="4" xfId="64" applyFont="1" applyBorder="1"/>
    <xf numFmtId="0" fontId="43" fillId="0" borderId="4" xfId="64" applyFont="1" applyBorder="1" applyAlignment="1">
      <alignment horizontal="left"/>
    </xf>
    <xf numFmtId="169" fontId="43" fillId="0" borderId="4" xfId="66" applyNumberFormat="1" applyFont="1" applyBorder="1"/>
    <xf numFmtId="169" fontId="43" fillId="15" borderId="4" xfId="66" applyNumberFormat="1" applyFont="1" applyFill="1" applyBorder="1"/>
    <xf numFmtId="0" fontId="44" fillId="16" borderId="4" xfId="64" applyFont="1" applyFill="1" applyBorder="1"/>
    <xf numFmtId="0" fontId="44" fillId="16" borderId="4" xfId="64" applyFont="1" applyFill="1" applyBorder="1" applyAlignment="1">
      <alignment horizontal="left"/>
    </xf>
    <xf numFmtId="169" fontId="44" fillId="16" borderId="4" xfId="66" applyNumberFormat="1" applyFont="1" applyFill="1" applyBorder="1"/>
    <xf numFmtId="169" fontId="43" fillId="0" borderId="0" xfId="64" applyNumberFormat="1" applyFont="1"/>
    <xf numFmtId="0" fontId="43" fillId="0" borderId="0" xfId="64" applyFont="1" applyAlignment="1">
      <alignment vertical="center" wrapText="1"/>
    </xf>
    <xf numFmtId="0" fontId="44" fillId="0" borderId="0" xfId="64" applyFont="1" applyAlignment="1">
      <alignment vertical="center"/>
    </xf>
    <xf numFmtId="165" fontId="44" fillId="16" borderId="4" xfId="66" applyFont="1" applyFill="1" applyBorder="1"/>
    <xf numFmtId="0" fontId="43" fillId="0" borderId="0" xfId="64" applyFont="1" applyAlignment="1">
      <alignment horizontal="left"/>
    </xf>
    <xf numFmtId="0" fontId="43" fillId="0" borderId="0" xfId="64" applyFont="1" applyAlignment="1">
      <alignment vertical="center"/>
    </xf>
    <xf numFmtId="164" fontId="43" fillId="0" borderId="4" xfId="65" applyFont="1" applyBorder="1"/>
    <xf numFmtId="0" fontId="15" fillId="7" borderId="4" xfId="14" applyFont="1" applyFill="1" applyBorder="1">
      <alignment vertical="center"/>
    </xf>
    <xf numFmtId="0" fontId="15" fillId="7" borderId="4" xfId="14" applyFont="1" applyFill="1" applyBorder="1" applyAlignment="1">
      <alignment horizontal="left" vertical="center"/>
    </xf>
    <xf numFmtId="0" fontId="44" fillId="0" borderId="0" xfId="64" applyFont="1"/>
    <xf numFmtId="0" fontId="44" fillId="14" borderId="4" xfId="64" applyFont="1" applyFill="1" applyBorder="1" applyAlignment="1">
      <alignment horizontal="center" vertical="center" wrapText="1"/>
    </xf>
    <xf numFmtId="169" fontId="43" fillId="7" borderId="4" xfId="66" applyNumberFormat="1" applyFont="1" applyFill="1" applyBorder="1"/>
    <xf numFmtId="169" fontId="43" fillId="11" borderId="4" xfId="66" applyNumberFormat="1" applyFont="1" applyFill="1" applyBorder="1"/>
    <xf numFmtId="164" fontId="43" fillId="0" borderId="4" xfId="67" applyFont="1" applyBorder="1" applyAlignment="1">
      <alignment vertical="center"/>
    </xf>
    <xf numFmtId="169" fontId="43" fillId="0" borderId="4" xfId="64" applyNumberFormat="1" applyFont="1" applyBorder="1"/>
    <xf numFmtId="0" fontId="25" fillId="7" borderId="4" xfId="14" applyFont="1" applyFill="1" applyBorder="1" applyAlignment="1">
      <alignment horizontal="center" vertical="center"/>
    </xf>
    <xf numFmtId="0" fontId="9" fillId="4" borderId="4" xfId="27" applyFont="1" applyFill="1" applyBorder="1" applyAlignment="1">
      <alignment horizontal="center" vertical="center" wrapText="1"/>
    </xf>
    <xf numFmtId="0" fontId="9" fillId="4" borderId="4" xfId="27" quotePrefix="1" applyFont="1" applyFill="1" applyBorder="1" applyAlignment="1">
      <alignment horizontal="center" vertical="center" wrapText="1"/>
    </xf>
    <xf numFmtId="0" fontId="9" fillId="10" borderId="4" xfId="10" applyFont="1" applyFill="1" applyBorder="1" applyAlignment="1">
      <alignment horizontal="center" vertical="center" wrapText="1"/>
    </xf>
    <xf numFmtId="0" fontId="8" fillId="0" borderId="4" xfId="10" applyFont="1" applyBorder="1" applyAlignment="1">
      <alignment horizontal="right" vertical="center"/>
    </xf>
    <xf numFmtId="0" fontId="47" fillId="0" borderId="4" xfId="10" applyFont="1" applyBorder="1" applyAlignment="1">
      <alignment horizontal="right" vertical="center"/>
    </xf>
    <xf numFmtId="0" fontId="47" fillId="0" borderId="0" xfId="10" applyFont="1" applyAlignment="1">
      <alignment vertical="center"/>
    </xf>
    <xf numFmtId="0" fontId="8" fillId="0" borderId="0" xfId="10" applyFont="1" applyAlignment="1">
      <alignment horizontal="center" vertical="center" wrapText="1"/>
    </xf>
    <xf numFmtId="0" fontId="8" fillId="0" borderId="0" xfId="10" applyFont="1" applyAlignment="1">
      <alignment horizontal="right" vertical="center"/>
    </xf>
    <xf numFmtId="0" fontId="47" fillId="0" borderId="0" xfId="10" applyFont="1" applyAlignment="1">
      <alignment horizontal="right" vertical="center"/>
    </xf>
    <xf numFmtId="0" fontId="9" fillId="4" borderId="7" xfId="14" applyFont="1" applyFill="1" applyBorder="1" applyAlignment="1">
      <alignment horizontal="center" vertical="center"/>
    </xf>
    <xf numFmtId="0" fontId="8" fillId="0" borderId="0" xfId="14" applyFont="1" applyAlignment="1">
      <alignment horizontal="left" vertical="center" wrapText="1"/>
    </xf>
    <xf numFmtId="0" fontId="9" fillId="4" borderId="6" xfId="14" applyFont="1" applyFill="1" applyBorder="1" applyAlignment="1">
      <alignment horizontal="center" vertical="center"/>
    </xf>
    <xf numFmtId="0" fontId="8" fillId="7" borderId="4" xfId="14" applyFont="1" applyFill="1" applyBorder="1" applyAlignment="1">
      <alignment horizontal="left" vertical="center" wrapText="1"/>
    </xf>
    <xf numFmtId="0" fontId="9" fillId="0" borderId="4" xfId="10" applyFont="1" applyBorder="1" applyAlignment="1">
      <alignment wrapText="1"/>
    </xf>
    <xf numFmtId="0" fontId="9" fillId="0" borderId="4" xfId="10" applyFont="1" applyBorder="1" applyAlignment="1">
      <alignment horizontal="center" vertical="center"/>
    </xf>
    <xf numFmtId="0" fontId="29" fillId="0" borderId="0" xfId="69" applyFont="1" applyAlignment="1">
      <alignment horizontal="center" vertical="center"/>
    </xf>
    <xf numFmtId="0" fontId="9" fillId="7" borderId="4" xfId="14" applyFont="1" applyFill="1" applyBorder="1" applyAlignment="1">
      <alignment horizontal="left" vertical="center" wrapText="1"/>
    </xf>
    <xf numFmtId="0" fontId="15" fillId="0" borderId="4" xfId="14" applyFont="1" applyBorder="1" applyAlignment="1">
      <alignment vertical="center" wrapText="1"/>
    </xf>
    <xf numFmtId="0" fontId="8" fillId="0" borderId="4" xfId="14" applyFont="1" applyBorder="1" applyAlignment="1">
      <alignment horizontal="left" vertical="center" wrapText="1"/>
    </xf>
    <xf numFmtId="0" fontId="40" fillId="0" borderId="0" xfId="10" applyFont="1" applyAlignment="1">
      <alignment horizontal="left" vertical="center"/>
    </xf>
    <xf numFmtId="0" fontId="29" fillId="0" borderId="0" xfId="69" applyFont="1" applyAlignment="1">
      <alignment vertical="center"/>
    </xf>
    <xf numFmtId="0" fontId="30" fillId="0" borderId="4" xfId="69" applyFont="1" applyBorder="1" applyAlignment="1">
      <alignment vertical="center"/>
    </xf>
    <xf numFmtId="0" fontId="30" fillId="0" borderId="4" xfId="69" applyFont="1" applyBorder="1" applyAlignment="1">
      <alignment horizontal="center" vertical="center"/>
    </xf>
    <xf numFmtId="0" fontId="29" fillId="0" borderId="4" xfId="69" applyFont="1" applyBorder="1" applyAlignment="1">
      <alignment vertical="center"/>
    </xf>
    <xf numFmtId="0" fontId="29" fillId="0" borderId="4" xfId="69" applyFont="1" applyBorder="1" applyAlignment="1">
      <alignment horizontal="center" vertical="center"/>
    </xf>
    <xf numFmtId="0" fontId="8" fillId="0" borderId="4" xfId="10" applyFont="1" applyBorder="1" applyAlignment="1">
      <alignment horizontal="left" vertical="center" wrapText="1"/>
    </xf>
    <xf numFmtId="0" fontId="8" fillId="5" borderId="0" xfId="10" applyFont="1" applyFill="1" applyAlignment="1">
      <alignment vertical="center"/>
    </xf>
    <xf numFmtId="0" fontId="9" fillId="7" borderId="0" xfId="14" applyFont="1" applyFill="1">
      <alignment vertical="center"/>
    </xf>
    <xf numFmtId="0" fontId="9" fillId="8" borderId="4" xfId="14" applyFont="1" applyFill="1" applyBorder="1" applyAlignment="1">
      <alignment horizontal="center" vertical="center"/>
    </xf>
    <xf numFmtId="164" fontId="10" fillId="0" borderId="4" xfId="70" applyNumberFormat="1" applyFont="1" applyFill="1" applyBorder="1" applyAlignment="1">
      <alignment vertical="center"/>
    </xf>
    <xf numFmtId="0" fontId="9" fillId="7" borderId="0" xfId="10" applyFont="1" applyFill="1" applyAlignment="1">
      <alignment horizontal="center" vertical="center"/>
    </xf>
    <xf numFmtId="0" fontId="10" fillId="7" borderId="0" xfId="10" applyFont="1" applyFill="1" applyAlignment="1">
      <alignment horizontal="center" vertical="center"/>
    </xf>
    <xf numFmtId="0" fontId="8" fillId="0" borderId="7" xfId="10" applyFont="1" applyBorder="1" applyAlignment="1">
      <alignment horizontal="center" vertical="center"/>
    </xf>
    <xf numFmtId="0" fontId="8" fillId="0" borderId="9" xfId="10" applyFont="1" applyBorder="1" applyAlignment="1">
      <alignment horizontal="center" vertical="center"/>
    </xf>
    <xf numFmtId="0" fontId="8" fillId="0" borderId="6" xfId="10" applyFont="1" applyBorder="1" applyAlignment="1">
      <alignment horizontal="center" vertical="center"/>
    </xf>
    <xf numFmtId="0" fontId="50" fillId="0" borderId="0" xfId="83" applyFont="1"/>
    <xf numFmtId="0" fontId="51" fillId="17" borderId="4" xfId="83" applyFont="1" applyFill="1" applyBorder="1" applyAlignment="1">
      <alignment horizontal="center" vertical="center"/>
    </xf>
    <xf numFmtId="0" fontId="51" fillId="17" borderId="4" xfId="83" applyFont="1" applyFill="1" applyBorder="1" applyAlignment="1">
      <alignment horizontal="center" vertical="center" wrapText="1"/>
    </xf>
    <xf numFmtId="0" fontId="50" fillId="0" borderId="4" xfId="83" applyFont="1" applyBorder="1" applyAlignment="1">
      <alignment horizontal="center" vertical="center"/>
    </xf>
    <xf numFmtId="0" fontId="50" fillId="0" borderId="4" xfId="83" applyFont="1" applyBorder="1" applyAlignment="1">
      <alignment vertical="center" wrapText="1"/>
    </xf>
    <xf numFmtId="0" fontId="52" fillId="0" borderId="4" xfId="83" applyFont="1" applyBorder="1" applyAlignment="1">
      <alignment horizontal="center" vertical="center"/>
    </xf>
    <xf numFmtId="0" fontId="52" fillId="0" borderId="4" xfId="83" applyFont="1" applyBorder="1" applyAlignment="1">
      <alignment vertical="center" wrapText="1"/>
    </xf>
    <xf numFmtId="0" fontId="50" fillId="0" borderId="0" xfId="83" applyFont="1" applyAlignment="1">
      <alignment horizontal="center" vertical="center"/>
    </xf>
    <xf numFmtId="0" fontId="50" fillId="0" borderId="0" xfId="83" applyFont="1" applyAlignment="1">
      <alignment vertical="center" wrapText="1"/>
    </xf>
    <xf numFmtId="0" fontId="5" fillId="0" borderId="0" xfId="83" applyAlignment="1">
      <alignment vertical="top"/>
    </xf>
    <xf numFmtId="0" fontId="5" fillId="0" borderId="4" xfId="83" applyBorder="1" applyAlignment="1">
      <alignment vertical="top"/>
    </xf>
    <xf numFmtId="43" fontId="0" fillId="0" borderId="4" xfId="84" applyFont="1" applyBorder="1" applyAlignment="1">
      <alignment vertical="top"/>
    </xf>
    <xf numFmtId="43" fontId="5" fillId="0" borderId="4" xfId="83" applyNumberFormat="1" applyBorder="1" applyAlignment="1">
      <alignment vertical="top"/>
    </xf>
    <xf numFmtId="0" fontId="48" fillId="0" borderId="4" xfId="83" applyFont="1" applyBorder="1" applyAlignment="1">
      <alignment vertical="top"/>
    </xf>
    <xf numFmtId="43" fontId="48" fillId="0" borderId="4" xfId="83" applyNumberFormat="1" applyFont="1" applyBorder="1" applyAlignment="1">
      <alignment vertical="top"/>
    </xf>
    <xf numFmtId="43" fontId="5" fillId="0" borderId="0" xfId="83" applyNumberFormat="1" applyAlignment="1">
      <alignment vertical="top"/>
    </xf>
    <xf numFmtId="0" fontId="48" fillId="0" borderId="4" xfId="83" applyFont="1" applyBorder="1"/>
    <xf numFmtId="0" fontId="5" fillId="0" borderId="0" xfId="83"/>
    <xf numFmtId="0" fontId="5" fillId="18" borderId="9" xfId="83" applyFill="1" applyBorder="1"/>
    <xf numFmtId="0" fontId="5" fillId="18" borderId="4" xfId="83" applyFill="1" applyBorder="1"/>
    <xf numFmtId="0" fontId="50" fillId="18" borderId="4" xfId="83" applyFont="1" applyFill="1" applyBorder="1"/>
    <xf numFmtId="0" fontId="51" fillId="19" borderId="7" xfId="83" applyFont="1" applyFill="1" applyBorder="1" applyAlignment="1">
      <alignment horizontal="center" vertical="center" wrapText="1"/>
    </xf>
    <xf numFmtId="0" fontId="51" fillId="19" borderId="6" xfId="83" applyFont="1" applyFill="1" applyBorder="1" applyAlignment="1">
      <alignment horizontal="center" vertical="center" wrapText="1"/>
    </xf>
    <xf numFmtId="0" fontId="51" fillId="19" borderId="4" xfId="83" applyFont="1" applyFill="1" applyBorder="1" applyAlignment="1">
      <alignment horizontal="center" vertical="center" wrapText="1"/>
    </xf>
    <xf numFmtId="0" fontId="50" fillId="0" borderId="4" xfId="83" applyFont="1" applyBorder="1"/>
    <xf numFmtId="0" fontId="50" fillId="19" borderId="4" xfId="83" applyFont="1" applyFill="1" applyBorder="1"/>
    <xf numFmtId="43" fontId="50" fillId="0" borderId="4" xfId="84" applyFont="1" applyBorder="1"/>
    <xf numFmtId="43" fontId="50" fillId="19" borderId="4" xfId="84" applyFont="1" applyFill="1" applyBorder="1"/>
    <xf numFmtId="0" fontId="50" fillId="19" borderId="0" xfId="83" applyFont="1" applyFill="1" applyAlignment="1">
      <alignment horizontal="center" vertical="center"/>
    </xf>
    <xf numFmtId="0" fontId="51" fillId="21" borderId="4" xfId="83" applyFont="1" applyFill="1" applyBorder="1"/>
    <xf numFmtId="0" fontId="51" fillId="21" borderId="5" xfId="83" applyFont="1" applyFill="1" applyBorder="1" applyAlignment="1">
      <alignment horizontal="center" vertical="center"/>
    </xf>
    <xf numFmtId="0" fontId="51" fillId="19" borderId="5" xfId="83" applyFont="1" applyFill="1" applyBorder="1" applyAlignment="1">
      <alignment horizontal="center" vertical="center"/>
    </xf>
    <xf numFmtId="43" fontId="51" fillId="21" borderId="4" xfId="84" applyFont="1" applyFill="1" applyBorder="1"/>
    <xf numFmtId="43" fontId="51" fillId="19" borderId="4" xfId="84" applyFont="1" applyFill="1" applyBorder="1"/>
    <xf numFmtId="0" fontId="51" fillId="17" borderId="3" xfId="83" applyFont="1" applyFill="1" applyBorder="1" applyAlignment="1">
      <alignment horizontal="center" vertical="center"/>
    </xf>
    <xf numFmtId="0" fontId="51" fillId="17" borderId="8" xfId="83" applyFont="1" applyFill="1" applyBorder="1" applyAlignment="1">
      <alignment horizontal="center" vertical="center"/>
    </xf>
    <xf numFmtId="0" fontId="51" fillId="17" borderId="15" xfId="83" applyFont="1" applyFill="1" applyBorder="1" applyAlignment="1">
      <alignment horizontal="center" vertical="center" wrapText="1"/>
    </xf>
    <xf numFmtId="0" fontId="51" fillId="17" borderId="16" xfId="83" applyFont="1" applyFill="1" applyBorder="1" applyAlignment="1">
      <alignment horizontal="center" vertical="center" wrapText="1"/>
    </xf>
    <xf numFmtId="172" fontId="50" fillId="0" borderId="4" xfId="84" applyNumberFormat="1" applyFont="1" applyBorder="1"/>
    <xf numFmtId="175" fontId="50" fillId="0" borderId="4" xfId="84" applyNumberFormat="1" applyFont="1" applyBorder="1"/>
    <xf numFmtId="43" fontId="50" fillId="0" borderId="0" xfId="83" applyNumberFormat="1" applyFont="1"/>
    <xf numFmtId="0" fontId="50" fillId="0" borderId="4" xfId="83" applyFont="1" applyBorder="1" applyAlignment="1">
      <alignment wrapText="1"/>
    </xf>
    <xf numFmtId="49" fontId="50" fillId="0" borderId="4" xfId="84" applyNumberFormat="1" applyFont="1" applyBorder="1" applyAlignment="1">
      <alignment vertical="top"/>
    </xf>
    <xf numFmtId="0" fontId="51" fillId="17" borderId="5" xfId="83" applyFont="1" applyFill="1" applyBorder="1" applyAlignment="1">
      <alignment horizontal="center" vertical="center" wrapText="1"/>
    </xf>
    <xf numFmtId="0" fontId="50" fillId="0" borderId="5" xfId="83" applyFont="1" applyBorder="1"/>
    <xf numFmtId="0" fontId="50" fillId="0" borderId="8" xfId="83" applyFont="1" applyBorder="1"/>
    <xf numFmtId="43" fontId="50" fillId="0" borderId="5" xfId="84" applyFont="1" applyBorder="1"/>
    <xf numFmtId="43" fontId="51" fillId="21" borderId="5" xfId="84" applyFont="1" applyFill="1" applyBorder="1"/>
    <xf numFmtId="0" fontId="51" fillId="21" borderId="8" xfId="83" applyFont="1" applyFill="1" applyBorder="1"/>
    <xf numFmtId="0" fontId="51" fillId="17" borderId="4" xfId="83" applyFont="1" applyFill="1" applyBorder="1" applyAlignment="1">
      <alignment horizontal="left" vertical="center" wrapText="1"/>
    </xf>
    <xf numFmtId="43" fontId="50" fillId="0" borderId="4" xfId="83" applyNumberFormat="1" applyFont="1" applyBorder="1"/>
    <xf numFmtId="0" fontId="53" fillId="0" borderId="4" xfId="83" applyFont="1" applyBorder="1" applyAlignment="1">
      <alignment horizontal="left" indent="1"/>
    </xf>
    <xf numFmtId="43" fontId="50" fillId="0" borderId="4" xfId="83" applyNumberFormat="1" applyFont="1" applyBorder="1" applyAlignment="1">
      <alignment horizontal="center"/>
    </xf>
    <xf numFmtId="0" fontId="51" fillId="22" borderId="4" xfId="83" applyFont="1" applyFill="1" applyBorder="1"/>
    <xf numFmtId="43" fontId="51" fillId="22" borderId="4" xfId="84" applyFont="1" applyFill="1" applyBorder="1"/>
    <xf numFmtId="0" fontId="50" fillId="0" borderId="0" xfId="83" applyFont="1" applyAlignment="1">
      <alignment vertical="center"/>
    </xf>
    <xf numFmtId="0" fontId="50" fillId="0" borderId="4" xfId="83" applyFont="1" applyBorder="1" applyAlignment="1">
      <alignment vertical="center"/>
    </xf>
    <xf numFmtId="43" fontId="50" fillId="0" borderId="4" xfId="84" applyFont="1" applyBorder="1" applyAlignment="1">
      <alignment vertical="center"/>
    </xf>
    <xf numFmtId="0" fontId="51" fillId="21" borderId="4" xfId="83" applyFont="1" applyFill="1" applyBorder="1" applyAlignment="1">
      <alignment vertical="center"/>
    </xf>
    <xf numFmtId="43" fontId="51" fillId="21" borderId="4" xfId="83" applyNumberFormat="1" applyFont="1" applyFill="1" applyBorder="1" applyAlignment="1">
      <alignment vertical="center"/>
    </xf>
    <xf numFmtId="9" fontId="50" fillId="0" borderId="4" xfId="83" applyNumberFormat="1" applyFont="1" applyBorder="1"/>
    <xf numFmtId="43" fontId="51" fillId="21" borderId="4" xfId="83" applyNumberFormat="1" applyFont="1" applyFill="1" applyBorder="1"/>
    <xf numFmtId="0" fontId="50" fillId="18" borderId="0" xfId="83" applyFont="1" applyFill="1"/>
    <xf numFmtId="0" fontId="51" fillId="0" borderId="4" xfId="83" applyFont="1" applyBorder="1"/>
    <xf numFmtId="0" fontId="53" fillId="0" borderId="4" xfId="83" applyFont="1" applyBorder="1" applyAlignment="1">
      <alignment horizontal="left" indent="2"/>
    </xf>
    <xf numFmtId="0" fontId="54" fillId="0" borderId="0" xfId="83" applyFont="1"/>
    <xf numFmtId="0" fontId="54" fillId="0" borderId="4" xfId="83" applyFont="1" applyBorder="1"/>
    <xf numFmtId="0" fontId="52" fillId="0" borderId="0" xfId="83" applyFont="1"/>
    <xf numFmtId="0" fontId="10" fillId="7" borderId="0" xfId="10" applyFont="1" applyFill="1" applyAlignment="1">
      <alignment vertical="center"/>
    </xf>
    <xf numFmtId="0" fontId="46" fillId="23"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55" fillId="0" borderId="0" xfId="0" applyFont="1"/>
    <xf numFmtId="0" fontId="9" fillId="4" borderId="7" xfId="14" applyFont="1" applyFill="1" applyBorder="1" applyAlignment="1">
      <alignment horizontal="center" vertical="center" wrapText="1"/>
    </xf>
    <xf numFmtId="0" fontId="9" fillId="4" borderId="5" xfId="63" applyFont="1" applyFill="1" applyBorder="1" applyAlignment="1">
      <alignment horizontal="center" vertical="center" wrapText="1"/>
    </xf>
    <xf numFmtId="0" fontId="12" fillId="0" borderId="0" xfId="14" applyFont="1" applyAlignment="1">
      <alignment horizontal="center" vertical="center"/>
    </xf>
    <xf numFmtId="0" fontId="9" fillId="4" borderId="7" xfId="14" applyFont="1" applyFill="1" applyBorder="1" applyAlignment="1">
      <alignment horizontal="left" vertical="center" wrapText="1"/>
    </xf>
    <xf numFmtId="0" fontId="9" fillId="4" borderId="9" xfId="14" applyFont="1" applyFill="1" applyBorder="1" applyAlignment="1">
      <alignment vertical="center" wrapText="1"/>
    </xf>
    <xf numFmtId="0" fontId="9" fillId="4" borderId="5" xfId="63" applyFont="1" applyFill="1" applyBorder="1" applyAlignment="1">
      <alignment vertical="center" wrapText="1"/>
    </xf>
    <xf numFmtId="0" fontId="9" fillId="4" borderId="4" xfId="63" applyFont="1" applyFill="1" applyBorder="1" applyAlignment="1">
      <alignment vertical="center" wrapText="1"/>
    </xf>
    <xf numFmtId="0" fontId="30" fillId="0" borderId="4" xfId="0" applyFont="1" applyBorder="1" applyAlignment="1">
      <alignment horizontal="center" vertical="center"/>
    </xf>
    <xf numFmtId="0" fontId="29" fillId="0" borderId="4" xfId="0" applyFont="1" applyBorder="1" applyAlignment="1">
      <alignment horizontal="center" vertical="center"/>
    </xf>
    <xf numFmtId="10" fontId="30" fillId="0" borderId="4" xfId="0" applyNumberFormat="1" applyFont="1" applyBorder="1" applyAlignment="1">
      <alignment horizontal="center" vertical="center"/>
    </xf>
    <xf numFmtId="1" fontId="30" fillId="0" borderId="4" xfId="0" applyNumberFormat="1" applyFont="1" applyBorder="1" applyAlignment="1">
      <alignment horizontal="center" vertical="center"/>
    </xf>
    <xf numFmtId="0" fontId="8" fillId="0" borderId="0" xfId="0" applyFont="1" applyAlignment="1">
      <alignment vertical="center"/>
    </xf>
    <xf numFmtId="0" fontId="11" fillId="0" borderId="0" xfId="10" applyFont="1" applyAlignment="1">
      <alignment horizontal="left" vertical="center"/>
    </xf>
    <xf numFmtId="0" fontId="26" fillId="0" borderId="4" xfId="10" applyFont="1" applyBorder="1" applyAlignment="1">
      <alignment vertical="center"/>
    </xf>
    <xf numFmtId="0" fontId="24" fillId="0" borderId="4" xfId="10" applyFont="1" applyBorder="1" applyAlignment="1">
      <alignment horizontal="left" vertical="center"/>
    </xf>
    <xf numFmtId="0" fontId="8" fillId="7" borderId="4" xfId="10" applyFont="1" applyFill="1" applyBorder="1" applyAlignment="1">
      <alignment horizontal="left" vertical="center"/>
    </xf>
    <xf numFmtId="0" fontId="8" fillId="7" borderId="4" xfId="10" applyFont="1" applyFill="1" applyBorder="1" applyAlignment="1">
      <alignment horizontal="left" vertical="center" wrapText="1"/>
    </xf>
    <xf numFmtId="0" fontId="8" fillId="7" borderId="4" xfId="10" applyFont="1" applyFill="1" applyBorder="1" applyAlignment="1">
      <alignment vertical="center"/>
    </xf>
    <xf numFmtId="0" fontId="9" fillId="7" borderId="4" xfId="10" applyFont="1" applyFill="1" applyBorder="1" applyAlignment="1">
      <alignment horizontal="left" vertical="center"/>
    </xf>
    <xf numFmtId="0" fontId="56" fillId="0" borderId="0" xfId="14" applyFont="1">
      <alignment vertical="center"/>
    </xf>
    <xf numFmtId="0" fontId="56" fillId="0" borderId="0" xfId="14" applyFont="1" applyAlignment="1">
      <alignment horizontal="center" vertical="center"/>
    </xf>
    <xf numFmtId="10" fontId="58" fillId="0" borderId="4" xfId="85" applyNumberFormat="1" applyFont="1" applyBorder="1" applyAlignment="1">
      <alignment vertical="center"/>
    </xf>
    <xf numFmtId="10" fontId="58" fillId="0" borderId="4" xfId="85" applyNumberFormat="1" applyFont="1" applyBorder="1" applyAlignment="1">
      <alignment horizontal="right" vertical="center"/>
    </xf>
    <xf numFmtId="0" fontId="58" fillId="0" borderId="4" xfId="85" applyFont="1" applyBorder="1" applyAlignment="1">
      <alignment horizontal="center" vertical="center"/>
    </xf>
    <xf numFmtId="0" fontId="58" fillId="0" borderId="4" xfId="85" applyFont="1" applyBorder="1" applyAlignment="1">
      <alignment vertical="center"/>
    </xf>
    <xf numFmtId="0" fontId="56" fillId="0" borderId="4" xfId="14" applyFont="1" applyBorder="1" applyAlignment="1">
      <alignment horizontal="center" vertical="center"/>
    </xf>
    <xf numFmtId="10" fontId="58" fillId="0" borderId="4" xfId="85" applyNumberFormat="1" applyFont="1" applyBorder="1" applyAlignment="1">
      <alignment horizontal="center" vertical="center"/>
    </xf>
    <xf numFmtId="0" fontId="59" fillId="0" borderId="4" xfId="85" applyFont="1" applyBorder="1" applyAlignment="1">
      <alignment horizontal="center" vertical="center"/>
    </xf>
    <xf numFmtId="0" fontId="59" fillId="0" borderId="4" xfId="85" applyFont="1" applyBorder="1" applyAlignment="1">
      <alignment vertical="center"/>
    </xf>
    <xf numFmtId="164" fontId="58" fillId="0" borderId="4" xfId="85" applyNumberFormat="1" applyFont="1" applyBorder="1" applyAlignment="1">
      <alignment horizontal="center" vertical="center"/>
    </xf>
    <xf numFmtId="164" fontId="59" fillId="0" borderId="4" xfId="85" applyNumberFormat="1" applyFont="1" applyBorder="1" applyAlignment="1">
      <alignment horizontal="center" vertical="center"/>
    </xf>
    <xf numFmtId="0" fontId="57" fillId="4" borderId="5" xfId="14" applyFont="1" applyFill="1" applyBorder="1" applyAlignment="1">
      <alignment horizontal="center" vertical="center" wrapText="1"/>
    </xf>
    <xf numFmtId="0" fontId="57" fillId="4" borderId="4" xfId="14" applyFont="1" applyFill="1" applyBorder="1" applyAlignment="1">
      <alignment horizontal="center" vertical="center" wrapText="1"/>
    </xf>
    <xf numFmtId="0" fontId="57" fillId="0" borderId="0" xfId="10" applyFont="1" applyAlignment="1">
      <alignment horizontal="center" vertical="center" wrapText="1"/>
    </xf>
    <xf numFmtId="0" fontId="56" fillId="0" borderId="0" xfId="14" applyFont="1" applyAlignment="1">
      <alignment vertical="center" wrapText="1"/>
    </xf>
    <xf numFmtId="0" fontId="56" fillId="0" borderId="0" xfId="15" applyFont="1">
      <alignment vertical="center"/>
    </xf>
    <xf numFmtId="0" fontId="56" fillId="0" borderId="0" xfId="10" applyFont="1" applyAlignment="1">
      <alignment vertical="center" wrapText="1"/>
    </xf>
    <xf numFmtId="164" fontId="56" fillId="0" borderId="4" xfId="86" applyFont="1" applyBorder="1" applyAlignment="1">
      <alignment vertical="center"/>
    </xf>
    <xf numFmtId="0" fontId="58" fillId="0" borderId="4" xfId="85" applyFont="1" applyBorder="1" applyAlignment="1">
      <alignment horizontal="left" vertical="center"/>
    </xf>
    <xf numFmtId="0" fontId="56" fillId="8" borderId="0" xfId="14" applyFont="1" applyFill="1">
      <alignment vertical="center"/>
    </xf>
    <xf numFmtId="0" fontId="58" fillId="8" borderId="4" xfId="85" applyFont="1" applyFill="1" applyBorder="1" applyAlignment="1">
      <alignment horizontal="left" vertical="center"/>
    </xf>
    <xf numFmtId="0" fontId="58" fillId="8" borderId="4" xfId="85" applyFont="1" applyFill="1" applyBorder="1" applyAlignment="1">
      <alignment horizontal="center" vertical="center"/>
    </xf>
    <xf numFmtId="0" fontId="58" fillId="0" borderId="4" xfId="85" applyFont="1" applyBorder="1" applyAlignment="1">
      <alignment horizontal="center" vertical="center" wrapText="1"/>
    </xf>
    <xf numFmtId="0" fontId="57" fillId="4" borderId="9" xfId="14" applyFont="1" applyFill="1" applyBorder="1" applyAlignment="1">
      <alignment vertical="center" wrapText="1"/>
    </xf>
    <xf numFmtId="0" fontId="56" fillId="0" borderId="4" xfId="10" applyFont="1" applyBorder="1" applyAlignment="1">
      <alignment vertical="center" wrapText="1"/>
    </xf>
    <xf numFmtId="0" fontId="57" fillId="4" borderId="7" xfId="14" applyFont="1" applyFill="1" applyBorder="1" applyAlignment="1">
      <alignment vertical="center" wrapText="1"/>
    </xf>
    <xf numFmtId="0" fontId="57" fillId="4" borderId="4" xfId="14" applyFont="1" applyFill="1" applyBorder="1" applyAlignment="1">
      <alignment vertical="center" wrapText="1"/>
    </xf>
    <xf numFmtId="0" fontId="57" fillId="0" borderId="0" xfId="14" applyFont="1" applyAlignment="1">
      <alignment horizontal="right" vertical="center"/>
    </xf>
    <xf numFmtId="0" fontId="56" fillId="0" borderId="0" xfId="10" applyFont="1"/>
    <xf numFmtId="0" fontId="57" fillId="0" borderId="0" xfId="10" applyFont="1"/>
    <xf numFmtId="0" fontId="56" fillId="0" borderId="0" xfId="10" applyFont="1" applyAlignment="1">
      <alignment vertical="top"/>
    </xf>
    <xf numFmtId="0" fontId="56" fillId="0" borderId="0" xfId="10" applyFont="1" applyAlignment="1">
      <alignment horizontal="center" vertical="center" wrapText="1"/>
    </xf>
    <xf numFmtId="2" fontId="59" fillId="7" borderId="4" xfId="85" applyNumberFormat="1" applyFont="1" applyFill="1" applyBorder="1" applyAlignment="1">
      <alignment horizontal="right" vertical="center"/>
    </xf>
    <xf numFmtId="2" fontId="56" fillId="7" borderId="4" xfId="86" applyNumberFormat="1" applyFont="1" applyFill="1" applyBorder="1" applyAlignment="1">
      <alignment horizontal="right" vertical="center"/>
    </xf>
    <xf numFmtId="0" fontId="56" fillId="0" borderId="0" xfId="10" applyFont="1" applyAlignment="1">
      <alignment horizontal="left" vertical="center" wrapText="1"/>
    </xf>
    <xf numFmtId="164" fontId="58" fillId="0" borderId="4" xfId="85" applyNumberFormat="1" applyFont="1" applyBorder="1" applyAlignment="1">
      <alignment vertical="center"/>
    </xf>
    <xf numFmtId="0" fontId="57" fillId="0" borderId="0" xfId="14" applyFont="1" applyAlignment="1">
      <alignment horizontal="center" vertical="center"/>
    </xf>
    <xf numFmtId="0" fontId="60" fillId="0" borderId="0" xfId="14" applyFont="1">
      <alignment vertical="center"/>
    </xf>
    <xf numFmtId="0" fontId="57" fillId="0" borderId="0" xfId="10" applyFont="1" applyAlignment="1">
      <alignment horizontal="center"/>
    </xf>
    <xf numFmtId="0" fontId="57" fillId="0" borderId="0" xfId="10" applyFont="1" applyAlignment="1">
      <alignment horizontal="center" vertical="center"/>
    </xf>
    <xf numFmtId="2" fontId="57" fillId="0" borderId="4" xfId="14" applyNumberFormat="1" applyFont="1" applyBorder="1">
      <alignment vertical="center"/>
    </xf>
    <xf numFmtId="2" fontId="56" fillId="0" borderId="4" xfId="14" applyNumberFormat="1" applyFont="1" applyBorder="1">
      <alignment vertical="center"/>
    </xf>
    <xf numFmtId="0" fontId="57" fillId="0" borderId="4" xfId="14" applyFont="1" applyBorder="1">
      <alignment vertical="center"/>
    </xf>
    <xf numFmtId="0" fontId="27" fillId="0" borderId="0" xfId="14" applyFont="1" applyAlignment="1">
      <alignment horizontal="center" vertical="center" wrapText="1"/>
    </xf>
    <xf numFmtId="0" fontId="8" fillId="0" borderId="0" xfId="14" applyFont="1" applyAlignment="1">
      <alignment horizontal="center" vertical="center" wrapText="1"/>
    </xf>
    <xf numFmtId="0" fontId="9" fillId="0" borderId="0" xfId="10" applyFont="1" applyAlignment="1">
      <alignment horizontal="center" vertical="top" wrapText="1"/>
    </xf>
    <xf numFmtId="0" fontId="9" fillId="0" borderId="0" xfId="14" applyFont="1" applyAlignment="1">
      <alignment horizontal="left" vertical="center" wrapText="1"/>
    </xf>
    <xf numFmtId="2" fontId="57" fillId="0" borderId="4" xfId="14" applyNumberFormat="1" applyFont="1" applyBorder="1" applyAlignment="1">
      <alignment vertical="center" wrapText="1"/>
    </xf>
    <xf numFmtId="2" fontId="56" fillId="0" borderId="4" xfId="14" applyNumberFormat="1" applyFont="1" applyBorder="1" applyAlignment="1">
      <alignment vertical="center" wrapText="1"/>
    </xf>
    <xf numFmtId="0" fontId="57" fillId="0" borderId="4" xfId="14" applyFont="1" applyBorder="1" applyAlignment="1">
      <alignment vertical="center" wrapText="1"/>
    </xf>
    <xf numFmtId="0" fontId="42" fillId="8" borderId="4" xfId="10" applyFont="1" applyFill="1" applyBorder="1" applyAlignment="1">
      <alignment horizontal="center" vertical="center" wrapText="1"/>
    </xf>
    <xf numFmtId="0" fontId="59" fillId="0" borderId="4" xfId="87" applyFont="1" applyBorder="1" applyAlignment="1">
      <alignment horizontal="left" vertical="center" wrapText="1"/>
    </xf>
    <xf numFmtId="0" fontId="59" fillId="0" borderId="4" xfId="10" applyFont="1" applyBorder="1" applyAlignment="1">
      <alignment vertical="center" wrapText="1"/>
    </xf>
    <xf numFmtId="0" fontId="57" fillId="0" borderId="0" xfId="14" applyFont="1" applyAlignment="1">
      <alignment horizontal="left" vertical="center"/>
    </xf>
    <xf numFmtId="164" fontId="56" fillId="0" borderId="0" xfId="26" applyFont="1" applyAlignment="1">
      <alignment horizontal="center" vertical="center"/>
    </xf>
    <xf numFmtId="0" fontId="57" fillId="8" borderId="4" xfId="10" applyFont="1" applyFill="1" applyBorder="1" applyAlignment="1">
      <alignment horizontal="center" vertical="center" wrapText="1"/>
    </xf>
    <xf numFmtId="0" fontId="57" fillId="8" borderId="7" xfId="10" applyFont="1" applyFill="1" applyBorder="1" applyAlignment="1">
      <alignment horizontal="center" vertical="center" wrapText="1"/>
    </xf>
    <xf numFmtId="0" fontId="61" fillId="0" borderId="4" xfId="14" applyFont="1" applyBorder="1">
      <alignment vertical="center"/>
    </xf>
    <xf numFmtId="0" fontId="56" fillId="0" borderId="4" xfId="14" applyFont="1" applyBorder="1">
      <alignment vertical="center"/>
    </xf>
    <xf numFmtId="0" fontId="57" fillId="0" borderId="0" xfId="14" applyFont="1">
      <alignment vertical="center"/>
    </xf>
    <xf numFmtId="0" fontId="56" fillId="7" borderId="4" xfId="10" applyFont="1" applyFill="1" applyBorder="1"/>
    <xf numFmtId="15" fontId="62" fillId="0" borderId="18" xfId="0" applyNumberFormat="1" applyFont="1" applyBorder="1" applyAlignment="1">
      <alignment horizontal="center" vertical="center"/>
    </xf>
    <xf numFmtId="2" fontId="56" fillId="7" borderId="4" xfId="10" applyNumberFormat="1" applyFont="1" applyFill="1" applyBorder="1"/>
    <xf numFmtId="177" fontId="56" fillId="0" borderId="7" xfId="10" applyNumberFormat="1" applyFont="1" applyBorder="1" applyAlignment="1">
      <alignment horizontal="right" vertical="center" wrapText="1"/>
    </xf>
    <xf numFmtId="9" fontId="56" fillId="7" borderId="4" xfId="10" applyNumberFormat="1" applyFont="1" applyFill="1" applyBorder="1"/>
    <xf numFmtId="2" fontId="57" fillId="7" borderId="4" xfId="10" applyNumberFormat="1" applyFont="1" applyFill="1" applyBorder="1"/>
    <xf numFmtId="2" fontId="57" fillId="0" borderId="4" xfId="10" applyNumberFormat="1" applyFont="1" applyBorder="1"/>
    <xf numFmtId="0" fontId="61" fillId="7" borderId="4" xfId="10" applyFont="1" applyFill="1" applyBorder="1"/>
    <xf numFmtId="17" fontId="56" fillId="7" borderId="4" xfId="10" applyNumberFormat="1" applyFont="1" applyFill="1" applyBorder="1"/>
    <xf numFmtId="0" fontId="56" fillId="0" borderId="0" xfId="0" applyFont="1"/>
    <xf numFmtId="0" fontId="57" fillId="0" borderId="4" xfId="14" applyFont="1" applyBorder="1" applyAlignment="1">
      <alignment horizontal="center" vertical="center"/>
    </xf>
    <xf numFmtId="2" fontId="57" fillId="0" borderId="4" xfId="14" applyNumberFormat="1" applyFont="1" applyBorder="1" applyAlignment="1">
      <alignment horizontal="right" vertical="center"/>
    </xf>
    <xf numFmtId="0" fontId="57" fillId="0" borderId="4" xfId="14" applyFont="1" applyBorder="1" applyAlignment="1">
      <alignment horizontal="right" vertical="center"/>
    </xf>
    <xf numFmtId="2" fontId="56" fillId="0" borderId="0" xfId="14" applyNumberFormat="1" applyFont="1" applyAlignment="1">
      <alignment horizontal="center" vertical="center"/>
    </xf>
    <xf numFmtId="0" fontId="57" fillId="0" borderId="7" xfId="10" applyFont="1" applyBorder="1" applyAlignment="1">
      <alignment horizontal="center" vertical="center" wrapText="1"/>
    </xf>
    <xf numFmtId="0" fontId="57" fillId="0" borderId="4" xfId="10" applyFont="1" applyBorder="1" applyAlignment="1">
      <alignment horizontal="center" vertical="center" wrapText="1"/>
    </xf>
    <xf numFmtId="164" fontId="56" fillId="0" borderId="4" xfId="88" applyFont="1" applyFill="1" applyBorder="1" applyAlignment="1">
      <alignment horizontal="center" vertical="center"/>
    </xf>
    <xf numFmtId="177" fontId="56" fillId="0" borderId="4" xfId="10" applyNumberFormat="1" applyFont="1" applyBorder="1" applyAlignment="1">
      <alignment horizontal="right" vertical="center" wrapText="1"/>
    </xf>
    <xf numFmtId="178" fontId="56" fillId="0" borderId="4" xfId="89" applyNumberFormat="1" applyFont="1" applyFill="1" applyBorder="1" applyAlignment="1">
      <alignment horizontal="center" vertical="center"/>
    </xf>
    <xf numFmtId="0" fontId="56" fillId="0" borderId="0" xfId="14" applyFont="1" applyAlignment="1">
      <alignment horizontal="left" vertical="center"/>
    </xf>
    <xf numFmtId="0" fontId="57" fillId="7" borderId="4" xfId="10" applyFont="1" applyFill="1" applyBorder="1"/>
    <xf numFmtId="15" fontId="62" fillId="0" borderId="13" xfId="0" applyNumberFormat="1" applyFont="1" applyBorder="1" applyAlignment="1">
      <alignment horizontal="center" vertical="center"/>
    </xf>
    <xf numFmtId="164" fontId="56" fillId="0" borderId="4" xfId="10" applyNumberFormat="1" applyFont="1" applyBorder="1"/>
    <xf numFmtId="0" fontId="56" fillId="0" borderId="0" xfId="10" applyFont="1" applyAlignment="1">
      <alignment horizontal="centerContinuous"/>
    </xf>
    <xf numFmtId="0" fontId="56" fillId="0" borderId="0" xfId="10" applyFont="1" applyAlignment="1">
      <alignment vertical="center"/>
    </xf>
    <xf numFmtId="164" fontId="57" fillId="0" borderId="0" xfId="88" applyFont="1" applyFill="1" applyBorder="1" applyAlignment="1">
      <alignment horizontal="center" vertical="center"/>
    </xf>
    <xf numFmtId="2" fontId="57" fillId="0" borderId="0" xfId="14" applyNumberFormat="1" applyFont="1" applyAlignment="1">
      <alignment horizontal="center" vertical="center"/>
    </xf>
    <xf numFmtId="164" fontId="57" fillId="8" borderId="7" xfId="88" applyFont="1" applyFill="1" applyBorder="1" applyAlignment="1" applyProtection="1">
      <alignment horizontal="center" vertical="center" wrapText="1"/>
    </xf>
    <xf numFmtId="0" fontId="61" fillId="0" borderId="4" xfId="14" applyFont="1" applyBorder="1" applyAlignment="1">
      <alignment horizontal="left" vertical="center"/>
    </xf>
    <xf numFmtId="164" fontId="56" fillId="0" borderId="4" xfId="88" applyFont="1" applyBorder="1" applyAlignment="1">
      <alignment horizontal="center" vertical="center"/>
    </xf>
    <xf numFmtId="0" fontId="56" fillId="7" borderId="4" xfId="10" applyFont="1" applyFill="1" applyBorder="1" applyAlignment="1">
      <alignment horizontal="left" vertical="center"/>
    </xf>
    <xf numFmtId="15" fontId="62" fillId="0" borderId="18" xfId="10" applyNumberFormat="1" applyFont="1" applyBorder="1" applyAlignment="1">
      <alignment horizontal="center" vertical="center"/>
    </xf>
    <xf numFmtId="164" fontId="56" fillId="7" borderId="4" xfId="88" applyFont="1" applyFill="1" applyBorder="1" applyAlignment="1">
      <alignment horizontal="center" vertical="center"/>
    </xf>
    <xf numFmtId="9" fontId="56" fillId="7" borderId="4" xfId="10" applyNumberFormat="1" applyFont="1" applyFill="1" applyBorder="1" applyAlignment="1">
      <alignment horizontal="center" vertical="center"/>
    </xf>
    <xf numFmtId="0" fontId="56" fillId="7" borderId="4" xfId="10" applyFont="1" applyFill="1" applyBorder="1" applyAlignment="1">
      <alignment horizontal="center" vertical="center"/>
    </xf>
    <xf numFmtId="17" fontId="56" fillId="7" borderId="4" xfId="10" applyNumberFormat="1" applyFont="1" applyFill="1" applyBorder="1" applyAlignment="1">
      <alignment horizontal="center" vertical="center"/>
    </xf>
    <xf numFmtId="177" fontId="56" fillId="0" borderId="4" xfId="10" applyNumberFormat="1" applyFont="1" applyBorder="1" applyAlignment="1">
      <alignment horizontal="center" vertical="center" wrapText="1"/>
    </xf>
    <xf numFmtId="0" fontId="57" fillId="7" borderId="4" xfId="10" applyFont="1" applyFill="1" applyBorder="1" applyAlignment="1">
      <alignment horizontal="left" vertical="center"/>
    </xf>
    <xf numFmtId="0" fontId="57" fillId="0" borderId="4" xfId="14" applyFont="1" applyBorder="1" applyAlignment="1">
      <alignment horizontal="left" vertical="center"/>
    </xf>
    <xf numFmtId="164" fontId="57" fillId="0" borderId="4" xfId="88" applyFont="1" applyFill="1" applyBorder="1" applyAlignment="1">
      <alignment horizontal="center" vertical="center"/>
    </xf>
    <xf numFmtId="2" fontId="57" fillId="0" borderId="4" xfId="14" applyNumberFormat="1" applyFont="1" applyBorder="1" applyAlignment="1">
      <alignment horizontal="center" vertical="center"/>
    </xf>
    <xf numFmtId="164" fontId="56" fillId="0" borderId="0" xfId="88" applyFont="1" applyFill="1" applyBorder="1" applyAlignment="1">
      <alignment horizontal="center" vertical="center"/>
    </xf>
    <xf numFmtId="164" fontId="56" fillId="0" borderId="0" xfId="88" applyFont="1" applyAlignment="1">
      <alignment horizontal="center" vertical="center"/>
    </xf>
    <xf numFmtId="0" fontId="57" fillId="0" borderId="6" xfId="14" applyFont="1" applyBorder="1" applyAlignment="1">
      <alignment horizontal="left" vertical="center"/>
    </xf>
    <xf numFmtId="164" fontId="57" fillId="0" borderId="7" xfId="88" applyFont="1" applyFill="1" applyBorder="1" applyAlignment="1" applyProtection="1">
      <alignment horizontal="center" vertical="center" wrapText="1"/>
    </xf>
    <xf numFmtId="164" fontId="57" fillId="0" borderId="4" xfId="88" applyFont="1" applyFill="1" applyBorder="1" applyAlignment="1" applyProtection="1">
      <alignment horizontal="center" vertical="center" wrapText="1"/>
    </xf>
    <xf numFmtId="0" fontId="56" fillId="0" borderId="4" xfId="14" applyFont="1" applyBorder="1" applyAlignment="1">
      <alignment horizontal="left" vertical="center"/>
    </xf>
    <xf numFmtId="43" fontId="56" fillId="0" borderId="4" xfId="90" applyFont="1" applyFill="1" applyBorder="1" applyAlignment="1">
      <alignment horizontal="center" vertical="center"/>
    </xf>
    <xf numFmtId="164" fontId="56" fillId="0" borderId="4" xfId="10" applyNumberFormat="1" applyFont="1" applyBorder="1" applyAlignment="1">
      <alignment horizontal="center" vertical="center"/>
    </xf>
    <xf numFmtId="164" fontId="57" fillId="0" borderId="4" xfId="88" applyFont="1" applyBorder="1" applyAlignment="1">
      <alignment horizontal="center" vertical="center"/>
    </xf>
    <xf numFmtId="0" fontId="56" fillId="5" borderId="0" xfId="10" applyFont="1" applyFill="1" applyAlignment="1">
      <alignment horizontal="center" vertical="center"/>
    </xf>
    <xf numFmtId="164" fontId="56" fillId="0" borderId="0" xfId="88" applyFont="1" applyBorder="1" applyAlignment="1">
      <alignment horizontal="center" vertical="center"/>
    </xf>
    <xf numFmtId="0" fontId="56" fillId="0" borderId="0" xfId="10" applyFont="1" applyAlignment="1">
      <alignment horizontal="center" vertical="center"/>
    </xf>
    <xf numFmtId="0" fontId="57" fillId="4" borderId="7" xfId="14" applyFont="1" applyFill="1" applyBorder="1">
      <alignment vertical="center"/>
    </xf>
    <xf numFmtId="0" fontId="56" fillId="0" borderId="4" xfId="14" applyFont="1" applyBorder="1" applyAlignment="1">
      <alignment vertical="center" wrapText="1"/>
    </xf>
    <xf numFmtId="164" fontId="56" fillId="0" borderId="4" xfId="14" applyNumberFormat="1" applyFont="1" applyBorder="1">
      <alignment vertical="center"/>
    </xf>
    <xf numFmtId="179" fontId="56" fillId="0" borderId="4" xfId="88" applyNumberFormat="1" applyFont="1" applyBorder="1" applyAlignment="1">
      <alignment vertical="center"/>
    </xf>
    <xf numFmtId="0" fontId="56" fillId="0" borderId="4" xfId="14" applyFont="1" applyBorder="1" applyAlignment="1">
      <alignment vertical="top" wrapText="1"/>
    </xf>
    <xf numFmtId="179" fontId="56" fillId="0" borderId="4" xfId="14" applyNumberFormat="1" applyFont="1" applyBorder="1">
      <alignment vertical="center"/>
    </xf>
    <xf numFmtId="179" fontId="56" fillId="7" borderId="4" xfId="14" applyNumberFormat="1" applyFont="1" applyFill="1" applyBorder="1">
      <alignment vertical="center"/>
    </xf>
    <xf numFmtId="174" fontId="56" fillId="7" borderId="4" xfId="14" applyNumberFormat="1" applyFont="1" applyFill="1" applyBorder="1">
      <alignment vertical="center"/>
    </xf>
    <xf numFmtId="179" fontId="56" fillId="0" borderId="4" xfId="88" applyNumberFormat="1" applyFont="1" applyFill="1" applyBorder="1" applyAlignment="1">
      <alignment vertical="center"/>
    </xf>
    <xf numFmtId="164" fontId="57" fillId="0" borderId="4" xfId="14" applyNumberFormat="1" applyFont="1" applyBorder="1">
      <alignment vertical="center"/>
    </xf>
    <xf numFmtId="179" fontId="57" fillId="0" borderId="4" xfId="88" applyNumberFormat="1" applyFont="1" applyBorder="1" applyAlignment="1">
      <alignment vertical="center"/>
    </xf>
    <xf numFmtId="0" fontId="56" fillId="0" borderId="4" xfId="14" applyFont="1" applyBorder="1" applyAlignment="1">
      <alignment horizontal="center" vertical="top" wrapText="1"/>
    </xf>
    <xf numFmtId="0" fontId="57" fillId="0" borderId="4" xfId="14" applyFont="1" applyBorder="1" applyAlignment="1">
      <alignment horizontal="center" vertical="top" wrapText="1"/>
    </xf>
    <xf numFmtId="164" fontId="56" fillId="0" borderId="0" xfId="88" applyFont="1" applyAlignment="1">
      <alignment vertical="center"/>
    </xf>
    <xf numFmtId="0" fontId="57" fillId="0" borderId="4" xfId="14" applyFont="1" applyBorder="1" applyAlignment="1">
      <alignment vertical="top" wrapText="1"/>
    </xf>
    <xf numFmtId="179" fontId="56" fillId="7" borderId="0" xfId="14" applyNumberFormat="1" applyFont="1" applyFill="1">
      <alignment vertical="center"/>
    </xf>
    <xf numFmtId="180" fontId="56" fillId="0" borderId="0" xfId="14" applyNumberFormat="1" applyFont="1">
      <alignment vertical="center"/>
    </xf>
    <xf numFmtId="179" fontId="57" fillId="0" borderId="0" xfId="88" applyNumberFormat="1" applyFont="1" applyBorder="1" applyAlignment="1">
      <alignment vertical="center"/>
    </xf>
    <xf numFmtId="0" fontId="8" fillId="0" borderId="4" xfId="10" applyFont="1" applyBorder="1" applyAlignment="1">
      <alignment horizontal="center" vertical="center" wrapText="1"/>
    </xf>
    <xf numFmtId="0" fontId="59" fillId="7" borderId="4" xfId="14" applyFont="1" applyFill="1" applyBorder="1">
      <alignment vertical="center"/>
    </xf>
    <xf numFmtId="179" fontId="59" fillId="7" borderId="4" xfId="88" applyNumberFormat="1" applyFont="1" applyFill="1" applyBorder="1" applyAlignment="1">
      <alignment vertical="center"/>
    </xf>
    <xf numFmtId="179" fontId="58" fillId="7" borderId="4" xfId="88" applyNumberFormat="1" applyFont="1" applyFill="1" applyBorder="1" applyAlignment="1">
      <alignment vertical="center"/>
    </xf>
    <xf numFmtId="179" fontId="59" fillId="0" borderId="4" xfId="88" applyNumberFormat="1" applyFont="1" applyBorder="1"/>
    <xf numFmtId="179" fontId="58" fillId="0" borderId="4" xfId="88" applyNumberFormat="1" applyFont="1" applyBorder="1"/>
    <xf numFmtId="179" fontId="59" fillId="0" borderId="4" xfId="88" applyNumberFormat="1" applyFont="1" applyFill="1" applyBorder="1" applyAlignment="1" applyProtection="1">
      <alignment vertical="top" wrapText="1"/>
    </xf>
    <xf numFmtId="179" fontId="58" fillId="7" borderId="4" xfId="88" applyNumberFormat="1" applyFont="1" applyFill="1" applyBorder="1" applyAlignment="1">
      <alignment horizontal="center" vertical="center" wrapText="1"/>
    </xf>
    <xf numFmtId="179" fontId="59" fillId="0" borderId="4" xfId="88" applyNumberFormat="1" applyFont="1" applyFill="1" applyBorder="1"/>
    <xf numFmtId="0" fontId="58" fillId="0" borderId="4" xfId="10" applyFont="1" applyBorder="1" applyAlignment="1">
      <alignment vertical="center" wrapText="1"/>
    </xf>
    <xf numFmtId="0" fontId="58" fillId="0" borderId="4" xfId="10" applyFont="1" applyBorder="1" applyAlignment="1">
      <alignment horizontal="left" vertical="center" wrapText="1"/>
    </xf>
    <xf numFmtId="0" fontId="59" fillId="0" borderId="4" xfId="0" applyFont="1" applyBorder="1" applyAlignment="1">
      <alignment horizontal="left" vertical="center" wrapText="1"/>
    </xf>
    <xf numFmtId="0" fontId="65" fillId="0" borderId="4" xfId="0" applyFont="1" applyBorder="1" applyAlignment="1">
      <alignment horizontal="left" vertical="center" wrapText="1" indent="1"/>
    </xf>
    <xf numFmtId="0" fontId="59" fillId="0" borderId="4" xfId="10" applyFont="1" applyBorder="1" applyAlignment="1">
      <alignment horizontal="left" vertical="center" wrapText="1"/>
    </xf>
    <xf numFmtId="2" fontId="58" fillId="7" borderId="4" xfId="14" applyNumberFormat="1" applyFont="1" applyFill="1" applyBorder="1">
      <alignment vertical="center"/>
    </xf>
    <xf numFmtId="179" fontId="8" fillId="0" borderId="4" xfId="10" applyNumberFormat="1" applyFont="1" applyBorder="1" applyAlignment="1">
      <alignment vertical="top" wrapText="1"/>
    </xf>
    <xf numFmtId="43" fontId="8" fillId="0" borderId="4" xfId="91" applyFont="1" applyBorder="1"/>
    <xf numFmtId="43" fontId="8" fillId="0" borderId="4" xfId="91" applyFont="1" applyBorder="1" applyAlignment="1">
      <alignment horizontal="left" vertical="top" wrapText="1"/>
    </xf>
    <xf numFmtId="43" fontId="9" fillId="0" borderId="4" xfId="91" applyFont="1" applyBorder="1" applyAlignment="1">
      <alignment vertical="top" wrapText="1"/>
    </xf>
    <xf numFmtId="172" fontId="8" fillId="0" borderId="4" xfId="91" applyNumberFormat="1" applyFont="1" applyBorder="1" applyAlignment="1">
      <alignment vertical="top" wrapText="1"/>
    </xf>
    <xf numFmtId="172" fontId="9" fillId="0" borderId="4" xfId="91" applyNumberFormat="1" applyFont="1" applyBorder="1"/>
    <xf numFmtId="172" fontId="8" fillId="0" borderId="4" xfId="91" applyNumberFormat="1" applyFont="1" applyBorder="1"/>
    <xf numFmtId="172" fontId="9" fillId="7" borderId="4" xfId="91" applyNumberFormat="1" applyFont="1" applyFill="1" applyBorder="1" applyAlignment="1">
      <alignment horizontal="center" vertical="center" wrapText="1"/>
    </xf>
    <xf numFmtId="172" fontId="8" fillId="0" borderId="4" xfId="91" applyNumberFormat="1" applyFont="1" applyBorder="1" applyAlignment="1">
      <alignment horizontal="left" vertical="top" wrapText="1"/>
    </xf>
    <xf numFmtId="172" fontId="9" fillId="0" borderId="4" xfId="91" applyNumberFormat="1" applyFont="1" applyBorder="1" applyAlignment="1">
      <alignment horizontal="left" vertical="top" wrapText="1"/>
    </xf>
    <xf numFmtId="172" fontId="9" fillId="0" borderId="4" xfId="91" applyNumberFormat="1" applyFont="1" applyBorder="1" applyAlignment="1">
      <alignment vertical="top" wrapText="1"/>
    </xf>
    <xf numFmtId="172" fontId="9" fillId="0" borderId="4" xfId="91" applyNumberFormat="1" applyFont="1" applyBorder="1" applyAlignment="1">
      <alignment vertical="top"/>
    </xf>
    <xf numFmtId="179" fontId="58" fillId="0" borderId="4" xfId="88" applyNumberFormat="1" applyFont="1" applyBorder="1" applyAlignment="1"/>
    <xf numFmtId="179" fontId="58" fillId="0" borderId="4" xfId="88" applyNumberFormat="1" applyFont="1" applyBorder="1" applyAlignment="1">
      <alignment vertical="top" wrapText="1"/>
    </xf>
    <xf numFmtId="179" fontId="59" fillId="0" borderId="4" xfId="88" applyNumberFormat="1" applyFont="1" applyBorder="1" applyAlignment="1">
      <alignment vertical="top" wrapText="1"/>
    </xf>
    <xf numFmtId="179" fontId="59" fillId="0" borderId="4" xfId="88" applyNumberFormat="1" applyFont="1" applyBorder="1" applyAlignment="1"/>
    <xf numFmtId="179" fontId="58" fillId="0" borderId="4" xfId="88" applyNumberFormat="1" applyFont="1" applyFill="1" applyBorder="1" applyAlignment="1"/>
    <xf numFmtId="172" fontId="58" fillId="0" borderId="4" xfId="91" applyNumberFormat="1" applyFont="1" applyBorder="1"/>
    <xf numFmtId="172" fontId="58" fillId="0" borderId="4" xfId="91" applyNumberFormat="1" applyFont="1" applyBorder="1" applyAlignment="1">
      <alignment vertical="top"/>
    </xf>
    <xf numFmtId="172" fontId="58" fillId="0" borderId="4" xfId="91" applyNumberFormat="1" applyFont="1" applyBorder="1" applyAlignment="1">
      <alignment horizontal="right"/>
    </xf>
    <xf numFmtId="172" fontId="59" fillId="0" borderId="4" xfId="91" applyNumberFormat="1" applyFont="1" applyBorder="1" applyAlignment="1">
      <alignment vertical="center"/>
    </xf>
    <xf numFmtId="172" fontId="59" fillId="7" borderId="4" xfId="91" applyNumberFormat="1" applyFont="1" applyFill="1" applyBorder="1" applyAlignment="1">
      <alignment vertical="center"/>
    </xf>
    <xf numFmtId="172" fontId="58" fillId="0" borderId="4" xfId="91" applyNumberFormat="1" applyFont="1" applyBorder="1" applyAlignment="1">
      <alignment vertical="center"/>
    </xf>
    <xf numFmtId="172" fontId="58" fillId="0" borderId="4" xfId="91" applyNumberFormat="1" applyFont="1" applyBorder="1" applyAlignment="1">
      <alignment vertical="center" wrapText="1"/>
    </xf>
    <xf numFmtId="172" fontId="59" fillId="0" borderId="4" xfId="91" applyNumberFormat="1" applyFont="1" applyFill="1" applyBorder="1" applyAlignment="1" applyProtection="1">
      <alignment vertical="center" wrapText="1"/>
    </xf>
    <xf numFmtId="172" fontId="58" fillId="7" borderId="4" xfId="91" applyNumberFormat="1" applyFont="1" applyFill="1" applyBorder="1" applyAlignment="1">
      <alignment horizontal="center" vertical="center" wrapText="1"/>
    </xf>
    <xf numFmtId="172" fontId="59" fillId="0" borderId="4" xfId="91" applyNumberFormat="1" applyFont="1" applyBorder="1" applyAlignment="1">
      <alignment vertical="center" wrapText="1"/>
    </xf>
    <xf numFmtId="172" fontId="59" fillId="0" borderId="4" xfId="91" applyNumberFormat="1" applyFont="1" applyFill="1" applyBorder="1" applyAlignment="1">
      <alignment vertical="top" wrapText="1"/>
    </xf>
    <xf numFmtId="172" fontId="8" fillId="0" borderId="4" xfId="10" applyNumberFormat="1" applyFont="1" applyBorder="1" applyAlignment="1">
      <alignment vertical="top" wrapText="1"/>
    </xf>
    <xf numFmtId="179" fontId="58" fillId="0" borderId="4" xfId="88" applyNumberFormat="1" applyFont="1" applyBorder="1" applyAlignment="1">
      <alignment horizontal="center"/>
    </xf>
    <xf numFmtId="172" fontId="68" fillId="0" borderId="4" xfId="0" applyNumberFormat="1" applyFont="1" applyBorder="1"/>
    <xf numFmtId="174" fontId="68" fillId="0" borderId="4" xfId="0" applyNumberFormat="1" applyFont="1" applyBorder="1"/>
    <xf numFmtId="174" fontId="68" fillId="0" borderId="4" xfId="0" applyNumberFormat="1" applyFont="1" applyBorder="1" applyAlignment="1">
      <alignment horizontal="center"/>
    </xf>
    <xf numFmtId="174" fontId="68" fillId="24" borderId="4" xfId="0" applyNumberFormat="1" applyFont="1" applyFill="1" applyBorder="1"/>
    <xf numFmtId="172" fontId="68" fillId="0" borderId="4" xfId="0" applyNumberFormat="1" applyFont="1" applyBorder="1" applyAlignment="1">
      <alignment horizontal="center"/>
    </xf>
    <xf numFmtId="172" fontId="68" fillId="24" borderId="4" xfId="0" applyNumberFormat="1" applyFont="1" applyFill="1" applyBorder="1"/>
    <xf numFmtId="172" fontId="68" fillId="0" borderId="4" xfId="91" applyNumberFormat="1" applyFont="1" applyBorder="1"/>
    <xf numFmtId="43" fontId="8" fillId="0" borderId="0" xfId="91" applyFont="1"/>
    <xf numFmtId="172" fontId="8" fillId="0" borderId="0" xfId="91" applyNumberFormat="1" applyFont="1"/>
    <xf numFmtId="180" fontId="8" fillId="0" borderId="0" xfId="10" applyNumberFormat="1" applyFont="1"/>
    <xf numFmtId="43" fontId="8" fillId="7" borderId="4" xfId="91" applyFont="1" applyFill="1" applyBorder="1" applyAlignment="1">
      <alignment horizontal="center" vertical="center" wrapText="1"/>
    </xf>
    <xf numFmtId="172" fontId="8" fillId="7" borderId="4" xfId="91" applyNumberFormat="1" applyFont="1" applyFill="1" applyBorder="1" applyAlignment="1">
      <alignment horizontal="center" vertical="center" wrapText="1"/>
    </xf>
    <xf numFmtId="172" fontId="8" fillId="0" borderId="4" xfId="10" applyNumberFormat="1" applyFont="1" applyBorder="1"/>
    <xf numFmtId="0" fontId="68" fillId="0" borderId="4" xfId="0" applyFont="1" applyBorder="1" applyAlignment="1">
      <alignment horizontal="left" wrapText="1"/>
    </xf>
    <xf numFmtId="179" fontId="9" fillId="7" borderId="4" xfId="14" applyNumberFormat="1" applyFont="1" applyFill="1" applyBorder="1">
      <alignment vertical="center"/>
    </xf>
    <xf numFmtId="172" fontId="9" fillId="7" borderId="4" xfId="14" applyNumberFormat="1" applyFont="1" applyFill="1" applyBorder="1">
      <alignment vertical="center"/>
    </xf>
    <xf numFmtId="0" fontId="69" fillId="0" borderId="4" xfId="10" applyFont="1" applyBorder="1" applyAlignment="1">
      <alignment vertical="center" wrapText="1"/>
    </xf>
    <xf numFmtId="0" fontId="70" fillId="0" borderId="4" xfId="10" applyFont="1" applyBorder="1" applyAlignment="1">
      <alignment vertical="center" wrapText="1"/>
    </xf>
    <xf numFmtId="0" fontId="69" fillId="0" borderId="4" xfId="10" applyFont="1" applyBorder="1" applyAlignment="1">
      <alignment horizontal="left" vertical="center" wrapText="1"/>
    </xf>
    <xf numFmtId="0" fontId="70" fillId="0" borderId="4" xfId="0" applyFont="1" applyBorder="1" applyAlignment="1">
      <alignment horizontal="left" vertical="center" wrapText="1"/>
    </xf>
    <xf numFmtId="0" fontId="71" fillId="0" borderId="4" xfId="0" applyFont="1" applyBorder="1" applyAlignment="1">
      <alignment horizontal="left" vertical="center" wrapText="1" indent="1"/>
    </xf>
    <xf numFmtId="0" fontId="70" fillId="0" borderId="4" xfId="0" applyFont="1" applyBorder="1" applyAlignment="1">
      <alignment horizontal="left" wrapText="1"/>
    </xf>
    <xf numFmtId="0" fontId="70" fillId="0" borderId="4" xfId="10" applyFont="1" applyBorder="1" applyAlignment="1">
      <alignment horizontal="left" vertical="center" wrapText="1"/>
    </xf>
    <xf numFmtId="0" fontId="42" fillId="14" borderId="4" xfId="0" applyFont="1" applyFill="1" applyBorder="1" applyAlignment="1">
      <alignment horizontal="center" vertical="center"/>
    </xf>
    <xf numFmtId="0" fontId="30" fillId="0" borderId="0" xfId="93" applyFont="1" applyAlignment="1">
      <alignment vertical="center" wrapText="1"/>
    </xf>
    <xf numFmtId="0" fontId="30" fillId="0" borderId="0" xfId="93" applyFont="1" applyAlignment="1">
      <alignment horizontal="center" vertical="center" wrapText="1"/>
    </xf>
    <xf numFmtId="0" fontId="30" fillId="0" borderId="0" xfId="93" applyFont="1" applyAlignment="1">
      <alignment horizontal="center" vertical="center"/>
    </xf>
    <xf numFmtId="0" fontId="30" fillId="0" borderId="0" xfId="93" applyFont="1" applyAlignment="1">
      <alignment vertical="center"/>
    </xf>
    <xf numFmtId="0" fontId="29" fillId="0" borderId="0" xfId="93" applyFont="1" applyAlignment="1">
      <alignment horizontal="center" vertical="center" wrapText="1"/>
    </xf>
    <xf numFmtId="0" fontId="30" fillId="0" borderId="0" xfId="93" applyFont="1"/>
    <xf numFmtId="9" fontId="30" fillId="0" borderId="0" xfId="93" applyNumberFormat="1" applyFont="1"/>
    <xf numFmtId="17" fontId="29" fillId="22" borderId="4" xfId="93" applyNumberFormat="1" applyFont="1" applyFill="1" applyBorder="1" applyAlignment="1">
      <alignment horizontal="center" vertical="center"/>
    </xf>
    <xf numFmtId="9" fontId="30" fillId="0" borderId="4" xfId="93" applyNumberFormat="1" applyFont="1" applyBorder="1" applyAlignment="1">
      <alignment vertical="center"/>
    </xf>
    <xf numFmtId="0" fontId="30" fillId="0" borderId="4" xfId="93" applyFont="1" applyBorder="1" applyAlignment="1">
      <alignment vertical="center" wrapText="1"/>
    </xf>
    <xf numFmtId="0" fontId="30" fillId="0" borderId="4" xfId="93" applyFont="1" applyBorder="1" applyAlignment="1">
      <alignment horizontal="center" vertical="center" wrapText="1"/>
    </xf>
    <xf numFmtId="43" fontId="30" fillId="0" borderId="4" xfId="94" applyFont="1" applyBorder="1" applyAlignment="1">
      <alignment horizontal="center" vertical="center"/>
    </xf>
    <xf numFmtId="43" fontId="30" fillId="0" borderId="0" xfId="93" applyNumberFormat="1" applyFont="1" applyAlignment="1">
      <alignment vertical="center"/>
    </xf>
    <xf numFmtId="10" fontId="30" fillId="0" borderId="0" xfId="95" applyNumberFormat="1" applyFont="1" applyAlignment="1">
      <alignment vertical="center"/>
    </xf>
    <xf numFmtId="2" fontId="30" fillId="0" borderId="0" xfId="93" applyNumberFormat="1" applyFont="1" applyAlignment="1">
      <alignment horizontal="center" vertical="center"/>
    </xf>
    <xf numFmtId="0" fontId="30" fillId="0" borderId="4" xfId="93" applyFont="1" applyBorder="1" applyAlignment="1">
      <alignment vertical="center"/>
    </xf>
    <xf numFmtId="0" fontId="29" fillId="0" borderId="4" xfId="93" applyFont="1" applyBorder="1" applyAlignment="1">
      <alignment vertical="center" wrapText="1"/>
    </xf>
    <xf numFmtId="0" fontId="29" fillId="0" borderId="4" xfId="93" applyFont="1" applyBorder="1" applyAlignment="1">
      <alignment horizontal="center" vertical="center" wrapText="1"/>
    </xf>
    <xf numFmtId="43" fontId="29" fillId="0" borderId="4" xfId="94" applyFont="1" applyBorder="1" applyAlignment="1">
      <alignment horizontal="center" vertical="center"/>
    </xf>
    <xf numFmtId="0" fontId="29" fillId="18" borderId="4" xfId="93" applyFont="1" applyFill="1" applyBorder="1" applyAlignment="1">
      <alignment vertical="center" wrapText="1"/>
    </xf>
    <xf numFmtId="0" fontId="29" fillId="18" borderId="4" xfId="93" applyFont="1" applyFill="1" applyBorder="1" applyAlignment="1">
      <alignment horizontal="center" vertical="center" wrapText="1"/>
    </xf>
    <xf numFmtId="17" fontId="29" fillId="22" borderId="5" xfId="93" applyNumberFormat="1" applyFont="1" applyFill="1" applyBorder="1" applyAlignment="1">
      <alignment horizontal="center" vertical="center"/>
    </xf>
    <xf numFmtId="0" fontId="29" fillId="0" borderId="0" xfId="93" applyFont="1" applyAlignment="1">
      <alignment vertical="center" wrapText="1"/>
    </xf>
    <xf numFmtId="17" fontId="29" fillId="0" borderId="0" xfId="93" applyNumberFormat="1" applyFont="1" applyAlignment="1">
      <alignment horizontal="center" vertical="center"/>
    </xf>
    <xf numFmtId="0" fontId="30" fillId="0" borderId="4" xfId="93" applyFont="1" applyBorder="1" applyAlignment="1">
      <alignment horizontal="center" vertical="center"/>
    </xf>
    <xf numFmtId="0" fontId="30" fillId="0" borderId="5" xfId="93" applyFont="1" applyBorder="1" applyAlignment="1">
      <alignment horizontal="center" vertical="center"/>
    </xf>
    <xf numFmtId="0" fontId="29" fillId="0" borderId="4" xfId="93" applyFont="1" applyBorder="1" applyAlignment="1">
      <alignment horizontal="center" vertical="center"/>
    </xf>
    <xf numFmtId="0" fontId="29" fillId="0" borderId="5" xfId="93" applyFont="1" applyBorder="1" applyAlignment="1">
      <alignment horizontal="center" vertical="center"/>
    </xf>
    <xf numFmtId="0" fontId="29" fillId="0" borderId="0" xfId="93" applyFont="1" applyAlignment="1">
      <alignment horizontal="center" vertical="center"/>
    </xf>
    <xf numFmtId="9" fontId="30" fillId="0" borderId="0" xfId="93" applyNumberFormat="1" applyFont="1" applyAlignment="1">
      <alignment vertical="center"/>
    </xf>
    <xf numFmtId="0" fontId="72" fillId="0" borderId="0" xfId="93" applyFont="1" applyAlignment="1">
      <alignment vertical="center" wrapText="1"/>
    </xf>
    <xf numFmtId="0" fontId="8" fillId="0" borderId="0" xfId="93" applyFont="1" applyAlignment="1">
      <alignment vertical="center" wrapText="1"/>
    </xf>
    <xf numFmtId="43" fontId="30" fillId="0" borderId="0" xfId="93" applyNumberFormat="1" applyFont="1" applyAlignment="1">
      <alignment horizontal="center" vertical="center"/>
    </xf>
    <xf numFmtId="43" fontId="29" fillId="0" borderId="0" xfId="93" applyNumberFormat="1" applyFont="1" applyAlignment="1">
      <alignment horizontal="center" vertical="center"/>
    </xf>
    <xf numFmtId="43" fontId="30" fillId="0" borderId="0" xfId="91" applyFont="1" applyAlignment="1">
      <alignment horizontal="center" vertical="center"/>
    </xf>
    <xf numFmtId="43" fontId="30" fillId="0" borderId="4" xfId="93" applyNumberFormat="1" applyFont="1" applyBorder="1" applyAlignment="1">
      <alignment horizontal="center" vertical="center"/>
    </xf>
    <xf numFmtId="43" fontId="30" fillId="0" borderId="4" xfId="91" applyFont="1" applyBorder="1" applyAlignment="1">
      <alignment horizontal="center" vertical="center"/>
    </xf>
    <xf numFmtId="43" fontId="29" fillId="0" borderId="4" xfId="93" applyNumberFormat="1" applyFont="1" applyBorder="1" applyAlignment="1">
      <alignment horizontal="center" vertical="center"/>
    </xf>
    <xf numFmtId="17" fontId="29" fillId="22" borderId="0" xfId="93" applyNumberFormat="1" applyFont="1" applyFill="1" applyAlignment="1">
      <alignment horizontal="center" vertical="center"/>
    </xf>
    <xf numFmtId="43" fontId="8" fillId="0" borderId="4" xfId="10" applyNumberFormat="1" applyFont="1" applyBorder="1" applyAlignment="1">
      <alignment vertical="top" wrapText="1"/>
    </xf>
    <xf numFmtId="43" fontId="8" fillId="0" borderId="0" xfId="10" applyNumberFormat="1" applyFont="1"/>
    <xf numFmtId="172" fontId="8" fillId="7" borderId="4" xfId="14" applyNumberFormat="1" applyFont="1" applyFill="1" applyBorder="1" applyAlignment="1">
      <alignment horizontal="center" vertical="center" wrapText="1"/>
    </xf>
    <xf numFmtId="179" fontId="9" fillId="0" borderId="4" xfId="10" quotePrefix="1" applyNumberFormat="1" applyFont="1" applyBorder="1" applyAlignment="1">
      <alignment horizontal="center" vertical="top" wrapText="1"/>
    </xf>
    <xf numFmtId="179" fontId="8" fillId="0" borderId="4" xfId="10" quotePrefix="1" applyNumberFormat="1" applyFont="1" applyBorder="1" applyAlignment="1">
      <alignment horizontal="center" vertical="top" wrapText="1"/>
    </xf>
    <xf numFmtId="172" fontId="9" fillId="0" borderId="4" xfId="10" quotePrefix="1" applyNumberFormat="1" applyFont="1" applyBorder="1" applyAlignment="1">
      <alignment horizontal="center" vertical="top" wrapText="1"/>
    </xf>
    <xf numFmtId="172" fontId="8" fillId="0" borderId="0" xfId="10" applyNumberFormat="1" applyFont="1"/>
    <xf numFmtId="43" fontId="29" fillId="0" borderId="4" xfId="91" applyFont="1" applyBorder="1" applyAlignment="1">
      <alignment horizontal="center" vertical="center"/>
    </xf>
    <xf numFmtId="172" fontId="30" fillId="0" borderId="4" xfId="91" applyNumberFormat="1" applyFont="1" applyBorder="1" applyAlignment="1">
      <alignment horizontal="center" vertical="center"/>
    </xf>
    <xf numFmtId="172" fontId="30" fillId="0" borderId="4" xfId="91" applyNumberFormat="1" applyFont="1" applyBorder="1" applyAlignment="1">
      <alignment vertical="center"/>
    </xf>
    <xf numFmtId="172" fontId="29" fillId="0" borderId="4" xfId="91" applyNumberFormat="1" applyFont="1" applyBorder="1" applyAlignment="1">
      <alignment horizontal="center" vertical="center"/>
    </xf>
    <xf numFmtId="172" fontId="9" fillId="0" borderId="4" xfId="10" applyNumberFormat="1" applyFont="1" applyBorder="1" applyAlignment="1">
      <alignment vertical="top"/>
    </xf>
    <xf numFmtId="172" fontId="8" fillId="5" borderId="4" xfId="91" applyNumberFormat="1" applyFont="1" applyFill="1" applyBorder="1" applyAlignment="1">
      <alignment vertical="center"/>
    </xf>
    <xf numFmtId="172" fontId="8" fillId="5" borderId="4" xfId="14" applyNumberFormat="1" applyFont="1" applyFill="1" applyBorder="1">
      <alignment vertical="center"/>
    </xf>
    <xf numFmtId="172" fontId="9" fillId="5" borderId="4" xfId="91" applyNumberFormat="1" applyFont="1" applyFill="1" applyBorder="1" applyAlignment="1">
      <alignment vertical="center"/>
    </xf>
    <xf numFmtId="172" fontId="9" fillId="5" borderId="4" xfId="14" applyNumberFormat="1" applyFont="1" applyFill="1" applyBorder="1">
      <alignment vertical="center"/>
    </xf>
    <xf numFmtId="172" fontId="29" fillId="0" borderId="4" xfId="0" applyNumberFormat="1" applyFont="1" applyBorder="1" applyAlignment="1">
      <alignment horizontal="center" vertical="center"/>
    </xf>
    <xf numFmtId="10" fontId="30" fillId="0" borderId="4" xfId="92" applyNumberFormat="1" applyFont="1" applyBorder="1" applyAlignment="1">
      <alignment horizontal="center" vertical="center"/>
    </xf>
    <xf numFmtId="2" fontId="56" fillId="7" borderId="4" xfId="14" applyNumberFormat="1" applyFont="1" applyFill="1" applyBorder="1" applyAlignment="1">
      <alignment horizontal="right" vertical="center"/>
    </xf>
    <xf numFmtId="2" fontId="57" fillId="7" borderId="4" xfId="14" applyNumberFormat="1" applyFont="1" applyFill="1" applyBorder="1" applyAlignment="1">
      <alignment horizontal="right" vertical="top" wrapText="1"/>
    </xf>
    <xf numFmtId="2" fontId="56" fillId="0" borderId="4" xfId="14" applyNumberFormat="1" applyFont="1" applyBorder="1" applyAlignment="1">
      <alignment horizontal="right" vertical="center"/>
    </xf>
    <xf numFmtId="2" fontId="9" fillId="0" borderId="4" xfId="14" applyNumberFormat="1" applyFont="1" applyBorder="1" applyAlignment="1">
      <alignment vertical="top" wrapText="1"/>
    </xf>
    <xf numFmtId="43" fontId="9" fillId="0" borderId="0" xfId="14" applyNumberFormat="1" applyFont="1">
      <alignment vertical="center"/>
    </xf>
    <xf numFmtId="164" fontId="9" fillId="0" borderId="4" xfId="14" applyNumberFormat="1" applyFont="1" applyBorder="1" applyAlignment="1">
      <alignment vertical="top" wrapText="1"/>
    </xf>
    <xf numFmtId="0" fontId="57" fillId="5" borderId="4" xfId="0" applyFont="1" applyFill="1" applyBorder="1" applyAlignment="1">
      <alignment horizontal="left" vertical="top" wrapText="1"/>
    </xf>
    <xf numFmtId="0" fontId="56" fillId="7" borderId="4" xfId="10" quotePrefix="1" applyFont="1" applyFill="1" applyBorder="1" applyAlignment="1">
      <alignment horizontal="center" vertical="top" wrapText="1"/>
    </xf>
    <xf numFmtId="0" fontId="56" fillId="7" borderId="4" xfId="10" applyFont="1" applyFill="1" applyBorder="1" applyAlignment="1">
      <alignment horizontal="center" vertical="top" wrapText="1"/>
    </xf>
    <xf numFmtId="0" fontId="56" fillId="7" borderId="4" xfId="10" applyFont="1" applyFill="1" applyBorder="1" applyAlignment="1">
      <alignment vertical="top"/>
    </xf>
    <xf numFmtId="0" fontId="56" fillId="7" borderId="4" xfId="10" applyFont="1" applyFill="1" applyBorder="1" applyAlignment="1">
      <alignment horizontal="left" vertical="top"/>
    </xf>
    <xf numFmtId="0" fontId="56" fillId="7" borderId="4" xfId="10" applyFont="1" applyFill="1" applyBorder="1" applyAlignment="1">
      <alignment horizontal="right" vertical="top"/>
    </xf>
    <xf numFmtId="164" fontId="56" fillId="7" borderId="4" xfId="88" applyFont="1" applyFill="1" applyBorder="1"/>
    <xf numFmtId="179" fontId="56" fillId="7" borderId="4" xfId="88" applyNumberFormat="1" applyFont="1" applyFill="1" applyBorder="1"/>
    <xf numFmtId="182" fontId="56" fillId="7" borderId="4" xfId="10" applyNumberFormat="1" applyFont="1" applyFill="1" applyBorder="1"/>
    <xf numFmtId="0" fontId="56" fillId="5" borderId="4" xfId="0" applyFont="1" applyFill="1" applyBorder="1" applyAlignment="1">
      <alignment horizontal="left" vertical="top" wrapText="1"/>
    </xf>
    <xf numFmtId="0" fontId="56" fillId="7" borderId="4" xfId="10" applyFont="1" applyFill="1" applyBorder="1" applyAlignment="1">
      <alignment horizontal="right"/>
    </xf>
    <xf numFmtId="0" fontId="73" fillId="7" borderId="4" xfId="10" applyFont="1" applyFill="1" applyBorder="1"/>
    <xf numFmtId="0" fontId="56" fillId="0" borderId="4" xfId="0" applyFont="1" applyBorder="1" applyAlignment="1">
      <alignment horizontal="left" vertical="top"/>
    </xf>
    <xf numFmtId="0" fontId="57" fillId="7" borderId="4" xfId="10" applyFont="1" applyFill="1" applyBorder="1" applyAlignment="1">
      <alignment horizontal="left" vertical="top"/>
    </xf>
    <xf numFmtId="0" fontId="74" fillId="7" borderId="4" xfId="10" applyFont="1" applyFill="1" applyBorder="1" applyAlignment="1">
      <alignment horizontal="left"/>
    </xf>
    <xf numFmtId="179" fontId="57" fillId="7" borderId="4" xfId="88" applyNumberFormat="1" applyFont="1" applyFill="1" applyBorder="1"/>
    <xf numFmtId="43" fontId="8" fillId="7" borderId="4" xfId="91" applyFont="1" applyFill="1" applyBorder="1" applyAlignment="1">
      <alignment horizontal="center" vertical="center"/>
    </xf>
    <xf numFmtId="172" fontId="8" fillId="7" borderId="4" xfId="91" applyNumberFormat="1" applyFont="1" applyFill="1" applyBorder="1" applyAlignment="1">
      <alignment horizontal="center" vertical="center"/>
    </xf>
    <xf numFmtId="172" fontId="9" fillId="0" borderId="4" xfId="14" applyNumberFormat="1" applyFont="1" applyBorder="1">
      <alignment vertical="center"/>
    </xf>
    <xf numFmtId="10" fontId="8" fillId="7" borderId="4" xfId="92" applyNumberFormat="1" applyFont="1" applyFill="1" applyBorder="1" applyAlignment="1">
      <alignment horizontal="center" vertical="center"/>
    </xf>
    <xf numFmtId="180" fontId="8" fillId="0" borderId="0" xfId="14" applyNumberFormat="1" applyFont="1">
      <alignment vertical="center"/>
    </xf>
    <xf numFmtId="43" fontId="8" fillId="0" borderId="0" xfId="14" applyNumberFormat="1" applyFont="1">
      <alignment vertical="center"/>
    </xf>
    <xf numFmtId="10" fontId="8" fillId="0" borderId="0" xfId="92" applyNumberFormat="1" applyFont="1" applyAlignment="1">
      <alignment vertical="center"/>
    </xf>
    <xf numFmtId="10" fontId="16" fillId="0" borderId="0" xfId="92" applyNumberFormat="1" applyFont="1" applyAlignment="1">
      <alignment horizontal="center" vertical="center"/>
    </xf>
    <xf numFmtId="10" fontId="8" fillId="0" borderId="0" xfId="92" applyNumberFormat="1" applyFont="1" applyAlignment="1">
      <alignment horizontal="centerContinuous" vertical="center"/>
    </xf>
    <xf numFmtId="10" fontId="9" fillId="4" borderId="4" xfId="92" applyNumberFormat="1" applyFont="1" applyFill="1" applyBorder="1" applyAlignment="1">
      <alignment horizontal="center" vertical="center" wrapText="1"/>
    </xf>
    <xf numFmtId="10" fontId="9" fillId="7" borderId="4" xfId="92" applyNumberFormat="1" applyFont="1" applyFill="1" applyBorder="1" applyAlignment="1">
      <alignment horizontal="center" vertical="center" wrapText="1"/>
    </xf>
    <xf numFmtId="10" fontId="8" fillId="5" borderId="4" xfId="92" applyNumberFormat="1" applyFont="1" applyFill="1" applyBorder="1" applyAlignment="1">
      <alignment vertical="center"/>
    </xf>
    <xf numFmtId="10" fontId="9" fillId="5" borderId="4" xfId="92" applyNumberFormat="1" applyFont="1" applyFill="1" applyBorder="1" applyAlignment="1">
      <alignment vertical="center"/>
    </xf>
    <xf numFmtId="10" fontId="8" fillId="5" borderId="0" xfId="92" applyNumberFormat="1" applyFont="1" applyFill="1" applyAlignment="1">
      <alignment vertical="center"/>
    </xf>
    <xf numFmtId="10" fontId="8" fillId="0" borderId="0" xfId="92" applyNumberFormat="1" applyFont="1" applyAlignment="1">
      <alignment horizontal="centerContinuous" vertical="top"/>
    </xf>
    <xf numFmtId="10" fontId="8" fillId="0" borderId="0" xfId="92" applyNumberFormat="1" applyFont="1" applyAlignment="1">
      <alignment vertical="top"/>
    </xf>
    <xf numFmtId="43" fontId="9" fillId="0" borderId="4" xfId="91" applyFont="1" applyBorder="1" applyAlignment="1">
      <alignment horizontal="center" vertical="center" wrapText="1"/>
    </xf>
    <xf numFmtId="172" fontId="8" fillId="0" borderId="4" xfId="91" applyNumberFormat="1" applyFont="1" applyBorder="1" applyAlignment="1">
      <alignment horizontal="center" vertical="center" wrapText="1"/>
    </xf>
    <xf numFmtId="43" fontId="8" fillId="7" borderId="4" xfId="91" applyFont="1" applyFill="1" applyBorder="1" applyAlignment="1">
      <alignment vertical="center"/>
    </xf>
    <xf numFmtId="43" fontId="8" fillId="0" borderId="4" xfId="91" applyFont="1" applyBorder="1" applyAlignment="1">
      <alignment vertical="center"/>
    </xf>
    <xf numFmtId="172" fontId="8" fillId="0" borderId="4" xfId="91" applyNumberFormat="1" applyFont="1" applyBorder="1" applyAlignment="1">
      <alignment vertical="center"/>
    </xf>
    <xf numFmtId="172" fontId="9" fillId="7" borderId="4" xfId="91" applyNumberFormat="1" applyFont="1" applyFill="1" applyBorder="1" applyAlignment="1">
      <alignment horizontal="center" vertical="center"/>
    </xf>
    <xf numFmtId="43" fontId="29" fillId="0" borderId="4" xfId="0" applyNumberFormat="1" applyFont="1" applyBorder="1" applyAlignment="1">
      <alignment horizontal="center" vertical="center"/>
    </xf>
    <xf numFmtId="174" fontId="30" fillId="0" borderId="4" xfId="0" applyNumberFormat="1" applyFont="1" applyBorder="1" applyAlignment="1">
      <alignment horizontal="center" vertical="center"/>
    </xf>
    <xf numFmtId="174" fontId="29" fillId="0" borderId="4" xfId="0" applyNumberFormat="1" applyFont="1" applyBorder="1" applyAlignment="1">
      <alignment horizontal="center" vertical="center"/>
    </xf>
    <xf numFmtId="43" fontId="8" fillId="0" borderId="0" xfId="91" applyFont="1" applyAlignment="1">
      <alignment horizontal="center" vertical="center"/>
    </xf>
    <xf numFmtId="172" fontId="56" fillId="7" borderId="4" xfId="10" applyNumberFormat="1" applyFont="1" applyFill="1" applyBorder="1"/>
    <xf numFmtId="43" fontId="56" fillId="7" borderId="4" xfId="10" applyNumberFormat="1" applyFont="1" applyFill="1" applyBorder="1"/>
    <xf numFmtId="0" fontId="56" fillId="0" borderId="4" xfId="0" applyFont="1" applyBorder="1"/>
    <xf numFmtId="164" fontId="56" fillId="0" borderId="4" xfId="88" applyFont="1" applyFill="1" applyBorder="1"/>
    <xf numFmtId="2" fontId="56" fillId="7" borderId="4" xfId="10" applyNumberFormat="1" applyFont="1" applyFill="1" applyBorder="1" applyAlignment="1">
      <alignment horizontal="right"/>
    </xf>
    <xf numFmtId="43" fontId="8" fillId="7" borderId="4" xfId="14" applyNumberFormat="1" applyFont="1" applyFill="1" applyBorder="1" applyAlignment="1">
      <alignment horizontal="center" vertical="center"/>
    </xf>
    <xf numFmtId="172" fontId="8" fillId="7" borderId="4" xfId="14" applyNumberFormat="1" applyFont="1" applyFill="1" applyBorder="1" applyAlignment="1">
      <alignment horizontal="center" vertical="center"/>
    </xf>
    <xf numFmtId="0" fontId="59" fillId="0" borderId="4" xfId="14" applyFont="1" applyBorder="1" applyAlignment="1">
      <alignment vertical="top" wrapText="1"/>
    </xf>
    <xf numFmtId="0" fontId="30" fillId="0" borderId="4" xfId="14" applyFont="1" applyBorder="1" applyAlignment="1">
      <alignment vertical="center" wrapText="1"/>
    </xf>
    <xf numFmtId="10" fontId="30" fillId="0" borderId="4" xfId="89" applyNumberFormat="1" applyFont="1" applyFill="1" applyBorder="1" applyAlignment="1">
      <alignment horizontal="right" vertical="center"/>
    </xf>
    <xf numFmtId="10" fontId="29" fillId="7" borderId="4" xfId="89" applyNumberFormat="1" applyFont="1" applyFill="1" applyBorder="1" applyAlignment="1">
      <alignment horizontal="right" vertical="center"/>
    </xf>
    <xf numFmtId="0" fontId="75" fillId="0" borderId="0" xfId="14" applyFont="1">
      <alignment vertical="center"/>
    </xf>
    <xf numFmtId="174" fontId="29" fillId="7" borderId="4" xfId="14" applyNumberFormat="1" applyFont="1" applyFill="1" applyBorder="1" applyAlignment="1">
      <alignment horizontal="right" vertical="center"/>
    </xf>
    <xf numFmtId="174" fontId="29" fillId="0" borderId="4" xfId="14" applyNumberFormat="1" applyFont="1" applyBorder="1" applyAlignment="1">
      <alignment horizontal="right" vertical="center"/>
    </xf>
    <xf numFmtId="10" fontId="30" fillId="0" borderId="4" xfId="89" applyNumberFormat="1" applyFont="1" applyFill="1" applyBorder="1"/>
    <xf numFmtId="0" fontId="30" fillId="0" borderId="4" xfId="14" applyFont="1" applyBorder="1" applyAlignment="1">
      <alignment vertical="top" wrapText="1"/>
    </xf>
    <xf numFmtId="2" fontId="30" fillId="7" borderId="4" xfId="14" applyNumberFormat="1" applyFont="1" applyFill="1" applyBorder="1" applyAlignment="1">
      <alignment horizontal="right" vertical="center"/>
    </xf>
    <xf numFmtId="174" fontId="30" fillId="7" borderId="4" xfId="14" applyNumberFormat="1" applyFont="1" applyFill="1" applyBorder="1" applyAlignment="1">
      <alignment horizontal="right" vertical="center"/>
    </xf>
    <xf numFmtId="172" fontId="8" fillId="7" borderId="4" xfId="91" applyNumberFormat="1" applyFont="1" applyFill="1" applyBorder="1" applyAlignment="1">
      <alignment vertical="center"/>
    </xf>
    <xf numFmtId="164" fontId="56" fillId="0" borderId="4" xfId="88" applyFont="1" applyBorder="1"/>
    <xf numFmtId="2" fontId="56" fillId="0" borderId="4" xfId="10" applyNumberFormat="1" applyFont="1" applyBorder="1"/>
    <xf numFmtId="0" fontId="56" fillId="7" borderId="4" xfId="14" applyFont="1" applyFill="1" applyBorder="1" applyAlignment="1">
      <alignment vertical="top" wrapText="1"/>
    </xf>
    <xf numFmtId="2" fontId="56" fillId="0" borderId="4" xfId="10" applyNumberFormat="1" applyFont="1" applyBorder="1" applyAlignment="1">
      <alignment horizontal="right"/>
    </xf>
    <xf numFmtId="164" fontId="56" fillId="7" borderId="4" xfId="88" applyFont="1" applyFill="1" applyBorder="1" applyAlignment="1">
      <alignment horizontal="right"/>
    </xf>
    <xf numFmtId="43" fontId="8" fillId="7" borderId="4" xfId="91" applyFont="1" applyFill="1" applyBorder="1"/>
    <xf numFmtId="172" fontId="8" fillId="0" borderId="0" xfId="91" applyNumberFormat="1" applyFont="1" applyAlignment="1">
      <alignment horizontal="center" vertical="center"/>
    </xf>
    <xf numFmtId="172" fontId="9" fillId="4" borderId="4" xfId="91" applyNumberFormat="1" applyFont="1" applyFill="1" applyBorder="1" applyAlignment="1">
      <alignment vertical="top" wrapText="1"/>
    </xf>
    <xf numFmtId="172" fontId="9" fillId="4" borderId="4" xfId="91" applyNumberFormat="1" applyFont="1" applyFill="1" applyBorder="1" applyAlignment="1">
      <alignment horizontal="center" vertical="top" wrapText="1"/>
    </xf>
    <xf numFmtId="172" fontId="56" fillId="7" borderId="4" xfId="91" applyNumberFormat="1" applyFont="1" applyFill="1" applyBorder="1" applyAlignment="1">
      <alignment horizontal="center" vertical="top" wrapText="1"/>
    </xf>
    <xf numFmtId="172" fontId="56" fillId="7" borderId="4" xfId="91" applyNumberFormat="1" applyFont="1" applyFill="1" applyBorder="1"/>
    <xf numFmtId="172" fontId="73" fillId="7" borderId="4" xfId="91" applyNumberFormat="1" applyFont="1" applyFill="1" applyBorder="1"/>
    <xf numFmtId="172" fontId="57" fillId="7" borderId="4" xfId="91" applyNumberFormat="1" applyFont="1" applyFill="1" applyBorder="1"/>
    <xf numFmtId="172" fontId="8" fillId="7" borderId="4" xfId="91" applyNumberFormat="1" applyFont="1" applyFill="1" applyBorder="1" applyAlignment="1">
      <alignment horizontal="center" vertical="top" wrapText="1"/>
    </xf>
    <xf numFmtId="172" fontId="8" fillId="7" borderId="4" xfId="91" applyNumberFormat="1" applyFont="1" applyFill="1" applyBorder="1"/>
    <xf numFmtId="172" fontId="26" fillId="7" borderId="4" xfId="91" applyNumberFormat="1" applyFont="1" applyFill="1" applyBorder="1"/>
    <xf numFmtId="172" fontId="24" fillId="7" borderId="0" xfId="91" applyNumberFormat="1" applyFont="1" applyFill="1" applyAlignment="1">
      <alignment horizontal="left"/>
    </xf>
    <xf numFmtId="0" fontId="57" fillId="7" borderId="0" xfId="10" applyFont="1" applyFill="1" applyAlignment="1">
      <alignment horizontal="left" vertical="top"/>
    </xf>
    <xf numFmtId="0" fontId="74" fillId="7" borderId="0" xfId="10" applyFont="1" applyFill="1" applyAlignment="1">
      <alignment horizontal="left"/>
    </xf>
    <xf numFmtId="2" fontId="57" fillId="7" borderId="0" xfId="10" applyNumberFormat="1" applyFont="1" applyFill="1"/>
    <xf numFmtId="179" fontId="57" fillId="7" borderId="0" xfId="88" applyNumberFormat="1" applyFont="1" applyFill="1" applyBorder="1"/>
    <xf numFmtId="0" fontId="8" fillId="0" borderId="4" xfId="0" applyFont="1" applyBorder="1"/>
    <xf numFmtId="0" fontId="10" fillId="0" borderId="4" xfId="0" applyFont="1" applyBorder="1" applyAlignment="1">
      <alignment horizontal="center" vertical="center"/>
    </xf>
    <xf numFmtId="0" fontId="10" fillId="0" borderId="4" xfId="0" applyFont="1" applyBorder="1" applyAlignment="1">
      <alignment vertical="center"/>
    </xf>
    <xf numFmtId="43" fontId="10" fillId="0" borderId="4" xfId="91" applyFont="1" applyBorder="1" applyAlignment="1">
      <alignment vertical="center"/>
    </xf>
    <xf numFmtId="0" fontId="76" fillId="0" borderId="4" xfId="0" applyFont="1" applyBorder="1" applyAlignment="1">
      <alignment horizontal="left" vertical="center"/>
    </xf>
    <xf numFmtId="0" fontId="10" fillId="0" borderId="4" xfId="0" applyFont="1" applyBorder="1" applyAlignment="1">
      <alignment vertical="center" wrapText="1"/>
    </xf>
    <xf numFmtId="0" fontId="10" fillId="0" borderId="0" xfId="0" applyFont="1" applyAlignment="1">
      <alignment horizontal="center" vertical="center"/>
    </xf>
    <xf numFmtId="0" fontId="10" fillId="0" borderId="0" xfId="0" applyFont="1" applyAlignment="1">
      <alignment vertical="center"/>
    </xf>
    <xf numFmtId="0" fontId="42" fillId="14" borderId="4" xfId="0" applyFont="1" applyFill="1" applyBorder="1" applyAlignment="1">
      <alignment vertical="center"/>
    </xf>
    <xf numFmtId="0" fontId="42" fillId="0" borderId="0" xfId="0" applyFont="1" applyAlignment="1">
      <alignment vertical="center"/>
    </xf>
    <xf numFmtId="43" fontId="10" fillId="0" borderId="4" xfId="0" applyNumberFormat="1" applyFont="1" applyBorder="1" applyAlignment="1">
      <alignment vertical="center"/>
    </xf>
    <xf numFmtId="10" fontId="10" fillId="0" borderId="4" xfId="92" applyNumberFormat="1" applyFont="1" applyBorder="1" applyAlignment="1">
      <alignment vertical="center"/>
    </xf>
    <xf numFmtId="10" fontId="10" fillId="0" borderId="4" xfId="0" applyNumberFormat="1" applyFont="1" applyBorder="1" applyAlignment="1">
      <alignment vertical="center"/>
    </xf>
    <xf numFmtId="43" fontId="42" fillId="0" borderId="4" xfId="0" applyNumberFormat="1" applyFont="1" applyBorder="1" applyAlignment="1">
      <alignment vertical="center"/>
    </xf>
    <xf numFmtId="0" fontId="71" fillId="0" borderId="4" xfId="0" applyFont="1" applyBorder="1" applyAlignment="1">
      <alignment horizontal="left" vertical="center" wrapText="1"/>
    </xf>
    <xf numFmtId="43" fontId="42" fillId="0" borderId="4" xfId="91" applyFont="1" applyBorder="1" applyAlignment="1">
      <alignment vertical="center"/>
    </xf>
    <xf numFmtId="10" fontId="42" fillId="0" borderId="4" xfId="92" applyNumberFormat="1" applyFont="1" applyBorder="1" applyAlignment="1">
      <alignment vertical="center"/>
    </xf>
    <xf numFmtId="10" fontId="42" fillId="0" borderId="4" xfId="0" applyNumberFormat="1" applyFont="1" applyBorder="1" applyAlignment="1">
      <alignment vertical="center"/>
    </xf>
    <xf numFmtId="0" fontId="42" fillId="0" borderId="4" xfId="0" applyFont="1" applyBorder="1" applyAlignment="1">
      <alignment vertical="center"/>
    </xf>
    <xf numFmtId="172" fontId="10" fillId="0" borderId="4" xfId="91" applyNumberFormat="1" applyFont="1" applyBorder="1" applyAlignment="1">
      <alignment vertical="center"/>
    </xf>
    <xf numFmtId="174" fontId="10" fillId="0" borderId="4" xfId="0" applyNumberFormat="1" applyFont="1" applyBorder="1" applyAlignment="1">
      <alignment vertical="center"/>
    </xf>
    <xf numFmtId="10" fontId="8" fillId="7" borderId="4" xfId="92" applyNumberFormat="1" applyFont="1" applyFill="1" applyBorder="1" applyAlignment="1">
      <alignment vertical="center"/>
    </xf>
    <xf numFmtId="10" fontId="8" fillId="0" borderId="4" xfId="92" applyNumberFormat="1" applyFont="1" applyBorder="1" applyAlignment="1">
      <alignment vertical="center"/>
    </xf>
    <xf numFmtId="43" fontId="8" fillId="0" borderId="0" xfId="91" applyFont="1" applyAlignment="1">
      <alignment vertical="center"/>
    </xf>
    <xf numFmtId="172" fontId="16" fillId="0" borderId="0" xfId="91" applyNumberFormat="1" applyFont="1" applyAlignment="1">
      <alignment horizontal="center" vertical="center"/>
    </xf>
    <xf numFmtId="172" fontId="8" fillId="0" borderId="0" xfId="91" applyNumberFormat="1" applyFont="1" applyAlignment="1">
      <alignment horizontal="centerContinuous" vertical="center"/>
    </xf>
    <xf numFmtId="172" fontId="9" fillId="0" borderId="0" xfId="91" applyNumberFormat="1" applyFont="1" applyAlignment="1">
      <alignment horizontal="centerContinuous" vertical="top"/>
    </xf>
    <xf numFmtId="172" fontId="9" fillId="4" borderId="4" xfId="91" applyNumberFormat="1" applyFont="1" applyFill="1" applyBorder="1" applyAlignment="1">
      <alignment horizontal="center" vertical="center" wrapText="1"/>
    </xf>
    <xf numFmtId="172" fontId="9" fillId="5" borderId="0" xfId="91" applyNumberFormat="1" applyFont="1" applyFill="1" applyAlignment="1">
      <alignment vertical="center"/>
    </xf>
    <xf numFmtId="172" fontId="8" fillId="0" borderId="0" xfId="91" applyNumberFormat="1" applyFont="1" applyAlignment="1">
      <alignment vertical="center"/>
    </xf>
    <xf numFmtId="2" fontId="57" fillId="7" borderId="4" xfId="10" applyNumberFormat="1" applyFont="1" applyFill="1" applyBorder="1" applyAlignment="1">
      <alignment horizontal="right"/>
    </xf>
    <xf numFmtId="43" fontId="8" fillId="7" borderId="4" xfId="10" applyNumberFormat="1" applyFont="1" applyFill="1" applyBorder="1"/>
    <xf numFmtId="174" fontId="8" fillId="0" borderId="4" xfId="14" applyNumberFormat="1" applyFont="1" applyBorder="1" applyAlignment="1">
      <alignment horizontal="center" vertical="center" wrapText="1"/>
    </xf>
    <xf numFmtId="0" fontId="40" fillId="0" borderId="0" xfId="14" applyFont="1" applyAlignment="1">
      <alignment horizontal="left" vertical="center"/>
    </xf>
    <xf numFmtId="0" fontId="9" fillId="4" borderId="4" xfId="14" applyFont="1" applyFill="1" applyBorder="1" applyAlignment="1">
      <alignment horizontal="left" vertical="center" wrapText="1"/>
    </xf>
    <xf numFmtId="0" fontId="9" fillId="0" borderId="4" xfId="14" applyFont="1" applyBorder="1" applyAlignment="1">
      <alignment horizontal="left" vertical="center" wrapText="1"/>
    </xf>
    <xf numFmtId="0" fontId="9" fillId="0" borderId="4" xfId="14" applyFont="1" applyBorder="1" applyAlignment="1">
      <alignment horizontal="left" vertical="center"/>
    </xf>
    <xf numFmtId="0" fontId="8" fillId="12" borderId="4" xfId="14" applyFont="1" applyFill="1" applyBorder="1" applyAlignment="1">
      <alignment horizontal="center" vertical="center" wrapText="1"/>
    </xf>
    <xf numFmtId="43" fontId="8" fillId="0" borderId="4" xfId="91" applyFont="1" applyBorder="1" applyAlignment="1">
      <alignment horizontal="left" vertical="center" wrapText="1"/>
    </xf>
    <xf numFmtId="43" fontId="8" fillId="0" borderId="4" xfId="91" applyFont="1" applyBorder="1" applyAlignment="1">
      <alignment horizontal="left" vertical="center"/>
    </xf>
    <xf numFmtId="172" fontId="8" fillId="0" borderId="4" xfId="91" applyNumberFormat="1" applyFont="1" applyBorder="1" applyAlignment="1">
      <alignment horizontal="left" vertical="center" wrapText="1"/>
    </xf>
    <xf numFmtId="172" fontId="8" fillId="0" borderId="4" xfId="91" applyNumberFormat="1" applyFont="1" applyBorder="1" applyAlignment="1">
      <alignment horizontal="left" vertical="center"/>
    </xf>
    <xf numFmtId="172" fontId="8" fillId="7" borderId="4" xfId="91" applyNumberFormat="1" applyFont="1" applyFill="1" applyBorder="1" applyAlignment="1">
      <alignment horizontal="left" vertical="center" wrapText="1"/>
    </xf>
    <xf numFmtId="0" fontId="8" fillId="0" borderId="8" xfId="10" applyFont="1" applyBorder="1"/>
    <xf numFmtId="10" fontId="8" fillId="0" borderId="4" xfId="10" applyNumberFormat="1" applyFont="1" applyBorder="1"/>
    <xf numFmtId="10" fontId="8" fillId="0" borderId="4" xfId="92" applyNumberFormat="1" applyFont="1" applyBorder="1"/>
    <xf numFmtId="2" fontId="8" fillId="0" borderId="4" xfId="14" applyNumberFormat="1" applyFont="1" applyBorder="1" applyAlignment="1">
      <alignment horizontal="center" vertical="center" wrapText="1"/>
    </xf>
    <xf numFmtId="172" fontId="9" fillId="7" borderId="0" xfId="91" applyNumberFormat="1" applyFont="1" applyFill="1" applyBorder="1" applyAlignment="1">
      <alignment horizontal="center" vertical="center"/>
    </xf>
    <xf numFmtId="0" fontId="8" fillId="0" borderId="0" xfId="10" applyFont="1" applyAlignment="1">
      <alignment horizontal="center" vertical="top"/>
    </xf>
    <xf numFmtId="9" fontId="10" fillId="0" borderId="4" xfId="0" applyNumberFormat="1" applyFont="1" applyBorder="1" applyAlignment="1">
      <alignment vertical="center"/>
    </xf>
    <xf numFmtId="9" fontId="8" fillId="0" borderId="0" xfId="14" applyNumberFormat="1" applyFont="1">
      <alignment vertical="center"/>
    </xf>
    <xf numFmtId="174" fontId="8" fillId="7" borderId="4" xfId="14" applyNumberFormat="1" applyFont="1" applyFill="1" applyBorder="1" applyAlignment="1">
      <alignment horizontal="center" vertical="center"/>
    </xf>
    <xf numFmtId="10" fontId="8" fillId="7" borderId="4" xfId="14" applyNumberFormat="1" applyFont="1" applyFill="1" applyBorder="1" applyAlignment="1">
      <alignment horizontal="center" vertical="center"/>
    </xf>
    <xf numFmtId="10" fontId="30" fillId="0" borderId="4" xfId="95" applyNumberFormat="1" applyFont="1" applyBorder="1"/>
    <xf numFmtId="43" fontId="8" fillId="0" borderId="4" xfId="14" applyNumberFormat="1" applyFont="1" applyBorder="1" applyAlignment="1">
      <alignment horizontal="center" vertical="center" wrapText="1"/>
    </xf>
    <xf numFmtId="43" fontId="8" fillId="0" borderId="4" xfId="14" applyNumberFormat="1" applyFont="1" applyBorder="1">
      <alignment vertical="center"/>
    </xf>
    <xf numFmtId="0" fontId="56" fillId="0" borderId="4" xfId="10" applyFont="1" applyBorder="1"/>
    <xf numFmtId="0" fontId="57" fillId="0" borderId="4" xfId="10" applyFont="1" applyBorder="1"/>
    <xf numFmtId="0" fontId="59" fillId="0" borderId="4" xfId="96" applyFont="1" applyBorder="1"/>
    <xf numFmtId="0" fontId="56" fillId="0" borderId="4" xfId="10" applyFont="1" applyBorder="1" applyAlignment="1">
      <alignment horizontal="center" vertical="center"/>
    </xf>
    <xf numFmtId="0" fontId="56" fillId="5" borderId="4" xfId="10" quotePrefix="1" applyFont="1" applyFill="1" applyBorder="1" applyAlignment="1">
      <alignment horizontal="left" vertical="top" wrapText="1"/>
    </xf>
    <xf numFmtId="0" fontId="56" fillId="5" borderId="4" xfId="10" applyFont="1" applyFill="1" applyBorder="1" applyAlignment="1">
      <alignment horizontal="left"/>
    </xf>
    <xf numFmtId="179" fontId="56" fillId="0" borderId="4" xfId="88" applyNumberFormat="1" applyFont="1" applyFill="1" applyBorder="1" applyAlignment="1">
      <alignment vertical="top"/>
    </xf>
    <xf numFmtId="0" fontId="56" fillId="7" borderId="4" xfId="10" applyFont="1" applyFill="1" applyBorder="1" applyAlignment="1">
      <alignment horizontal="left"/>
    </xf>
    <xf numFmtId="0" fontId="57" fillId="5" borderId="4" xfId="10" applyFont="1" applyFill="1" applyBorder="1" applyAlignment="1">
      <alignment horizontal="left"/>
    </xf>
    <xf numFmtId="43" fontId="56" fillId="0" borderId="4" xfId="91" applyFont="1" applyBorder="1" applyAlignment="1">
      <alignment vertical="center"/>
    </xf>
    <xf numFmtId="164" fontId="56" fillId="0" borderId="4" xfId="88" applyFont="1" applyBorder="1" applyAlignment="1">
      <alignment vertical="center"/>
    </xf>
    <xf numFmtId="0" fontId="56" fillId="5" borderId="4" xfId="10" applyFont="1" applyFill="1" applyBorder="1" applyAlignment="1">
      <alignment horizontal="left" vertical="top" wrapText="1"/>
    </xf>
    <xf numFmtId="43" fontId="9" fillId="5" borderId="4" xfId="91" applyFont="1" applyFill="1" applyBorder="1" applyAlignment="1">
      <alignment horizontal="left"/>
    </xf>
    <xf numFmtId="43" fontId="8" fillId="5" borderId="4" xfId="91" applyFont="1" applyFill="1" applyBorder="1" applyAlignment="1">
      <alignment horizontal="left"/>
    </xf>
    <xf numFmtId="43" fontId="9" fillId="5" borderId="4" xfId="10" applyNumberFormat="1" applyFont="1" applyFill="1" applyBorder="1" applyAlignment="1">
      <alignment horizontal="left"/>
    </xf>
    <xf numFmtId="2" fontId="25" fillId="0" borderId="4" xfId="14" applyNumberFormat="1" applyFont="1" applyBorder="1" applyAlignment="1">
      <alignment horizontal="center" vertical="center"/>
    </xf>
    <xf numFmtId="2" fontId="9" fillId="0" borderId="4" xfId="10" applyNumberFormat="1" applyFont="1" applyBorder="1" applyAlignment="1">
      <alignment horizontal="center" vertical="center" wrapText="1"/>
    </xf>
    <xf numFmtId="172" fontId="8" fillId="7" borderId="4" xfId="91" applyNumberFormat="1" applyFont="1" applyFill="1" applyBorder="1" applyAlignment="1">
      <alignment horizontal="left" vertical="center"/>
    </xf>
    <xf numFmtId="172" fontId="9" fillId="7" borderId="4" xfId="91" applyNumberFormat="1" applyFont="1" applyFill="1" applyBorder="1" applyAlignment="1">
      <alignment horizontal="left" vertical="center"/>
    </xf>
    <xf numFmtId="0" fontId="56" fillId="0" borderId="0" xfId="87" applyFont="1"/>
    <xf numFmtId="0" fontId="58" fillId="0" borderId="7" xfId="30" applyFont="1" applyBorder="1" applyAlignment="1">
      <alignment horizontal="left" vertical="center"/>
    </xf>
    <xf numFmtId="0" fontId="58" fillId="0" borderId="7" xfId="10" applyFont="1" applyBorder="1" applyAlignment="1">
      <alignment horizontal="center" vertical="center"/>
    </xf>
    <xf numFmtId="0" fontId="59" fillId="0" borderId="6" xfId="30" applyFont="1" applyBorder="1" applyAlignment="1">
      <alignment horizontal="center"/>
    </xf>
    <xf numFmtId="0" fontId="58" fillId="0" borderId="16" xfId="31" applyFont="1" applyBorder="1" applyAlignment="1">
      <alignment horizontal="center"/>
    </xf>
    <xf numFmtId="0" fontId="58" fillId="0" borderId="4" xfId="99" applyNumberFormat="1" applyFont="1" applyBorder="1" applyAlignment="1">
      <alignment horizontal="center"/>
    </xf>
    <xf numFmtId="0" fontId="58" fillId="0" borderId="4" xfId="31" applyFont="1" applyBorder="1" applyAlignment="1">
      <alignment horizontal="center"/>
    </xf>
    <xf numFmtId="181" fontId="58" fillId="0" borderId="4" xfId="88" applyNumberFormat="1" applyFont="1" applyBorder="1" applyAlignment="1">
      <alignment horizontal="center"/>
    </xf>
    <xf numFmtId="0" fontId="59" fillId="0" borderId="9" xfId="30" applyFont="1" applyBorder="1"/>
    <xf numFmtId="0" fontId="59" fillId="0" borderId="17" xfId="30" applyFont="1" applyBorder="1" applyAlignment="1">
      <alignment horizontal="center"/>
    </xf>
    <xf numFmtId="0" fontId="59" fillId="0" borderId="4" xfId="30" applyFont="1" applyBorder="1" applyAlignment="1">
      <alignment horizontal="center"/>
    </xf>
    <xf numFmtId="181" fontId="59" fillId="0" borderId="4" xfId="88" applyNumberFormat="1" applyFont="1" applyBorder="1"/>
    <xf numFmtId="181" fontId="56" fillId="0" borderId="4" xfId="88" applyNumberFormat="1" applyFont="1" applyBorder="1"/>
    <xf numFmtId="0" fontId="78" fillId="0" borderId="9" xfId="30" applyFont="1" applyBorder="1" applyAlignment="1">
      <alignment horizontal="left"/>
    </xf>
    <xf numFmtId="0" fontId="59" fillId="0" borderId="9" xfId="10" applyFont="1" applyBorder="1"/>
    <xf numFmtId="164" fontId="59" fillId="0" borderId="4" xfId="88" applyFont="1" applyBorder="1" applyAlignment="1">
      <alignment horizontal="center"/>
    </xf>
    <xf numFmtId="181" fontId="59" fillId="0" borderId="4" xfId="88" applyNumberFormat="1" applyFont="1" applyBorder="1" applyAlignment="1">
      <alignment horizontal="center"/>
    </xf>
    <xf numFmtId="164" fontId="56" fillId="0" borderId="0" xfId="88" applyFont="1"/>
    <xf numFmtId="0" fontId="58" fillId="0" borderId="4" xfId="31" applyFont="1" applyBorder="1" applyAlignment="1">
      <alignment horizontal="left"/>
    </xf>
    <xf numFmtId="0" fontId="59" fillId="0" borderId="8" xfId="10" applyFont="1" applyBorder="1" applyAlignment="1">
      <alignment horizontal="center"/>
    </xf>
    <xf numFmtId="0" fontId="58" fillId="0" borderId="9" xfId="31" applyFont="1" applyBorder="1" applyAlignment="1">
      <alignment horizontal="center"/>
    </xf>
    <xf numFmtId="0" fontId="59" fillId="0" borderId="17" xfId="10" applyFont="1" applyBorder="1" applyAlignment="1">
      <alignment horizontal="center"/>
    </xf>
    <xf numFmtId="0" fontId="59" fillId="0" borderId="4" xfId="10" applyFont="1" applyBorder="1" applyAlignment="1">
      <alignment horizontal="center"/>
    </xf>
    <xf numFmtId="0" fontId="58" fillId="0" borderId="9" xfId="10" applyFont="1" applyBorder="1"/>
    <xf numFmtId="0" fontId="59" fillId="0" borderId="9" xfId="30" applyFont="1" applyBorder="1" applyAlignment="1">
      <alignment wrapText="1"/>
    </xf>
    <xf numFmtId="0" fontId="58" fillId="0" borderId="4" xfId="87" applyFont="1" applyBorder="1" applyAlignment="1">
      <alignment wrapText="1"/>
    </xf>
    <xf numFmtId="0" fontId="59" fillId="0" borderId="8" xfId="30" applyFont="1" applyBorder="1" applyAlignment="1">
      <alignment horizontal="center" wrapText="1"/>
    </xf>
    <xf numFmtId="0" fontId="59" fillId="0" borderId="4" xfId="30" applyFont="1" applyBorder="1" applyAlignment="1">
      <alignment horizontal="center" wrapText="1"/>
    </xf>
    <xf numFmtId="181" fontId="58" fillId="0" borderId="4" xfId="88" applyNumberFormat="1" applyFont="1" applyBorder="1" applyAlignment="1">
      <alignment wrapText="1"/>
    </xf>
    <xf numFmtId="0" fontId="79" fillId="0" borderId="0" xfId="30" applyFont="1" applyAlignment="1">
      <alignment horizontal="center"/>
    </xf>
    <xf numFmtId="0" fontId="79" fillId="0" borderId="0" xfId="100" applyFont="1" applyAlignment="1">
      <alignment vertical="top"/>
    </xf>
    <xf numFmtId="0" fontId="59" fillId="0" borderId="0" xfId="30" applyFont="1"/>
    <xf numFmtId="181" fontId="56" fillId="0" borderId="0" xfId="88" applyNumberFormat="1" applyFont="1"/>
    <xf numFmtId="0" fontId="58" fillId="0" borderId="17" xfId="30" applyFont="1" applyBorder="1" applyAlignment="1">
      <alignment horizontal="center"/>
    </xf>
    <xf numFmtId="0" fontId="58" fillId="0" borderId="7" xfId="30" applyFont="1" applyBorder="1" applyAlignment="1">
      <alignment horizontal="center"/>
    </xf>
    <xf numFmtId="0" fontId="56" fillId="0" borderId="4" xfId="87" applyFont="1" applyBorder="1"/>
    <xf numFmtId="0" fontId="58" fillId="0" borderId="0" xfId="30" applyFont="1" applyAlignment="1">
      <alignment horizontal="center"/>
    </xf>
    <xf numFmtId="0" fontId="59" fillId="0" borderId="4" xfId="30" applyFont="1" applyBorder="1"/>
    <xf numFmtId="0" fontId="56" fillId="0" borderId="4" xfId="88" applyNumberFormat="1" applyFont="1" applyFill="1" applyBorder="1" applyAlignment="1">
      <alignment horizontal="left"/>
    </xf>
    <xf numFmtId="0" fontId="56" fillId="0" borderId="4" xfId="11" applyFont="1" applyBorder="1" applyAlignment="1">
      <alignment horizontal="left" vertical="top" indent="1"/>
    </xf>
    <xf numFmtId="179" fontId="56" fillId="0" borderId="4" xfId="88" applyNumberFormat="1" applyFont="1" applyFill="1" applyBorder="1"/>
    <xf numFmtId="179" fontId="56" fillId="0" borderId="4" xfId="88" applyNumberFormat="1" applyFont="1" applyFill="1" applyBorder="1" applyAlignment="1"/>
    <xf numFmtId="43" fontId="56" fillId="0" borderId="0" xfId="87" applyNumberFormat="1" applyFont="1"/>
    <xf numFmtId="0" fontId="77" fillId="0" borderId="4" xfId="11" applyFont="1" applyBorder="1" applyAlignment="1">
      <alignment horizontal="left" vertical="top" indent="2"/>
    </xf>
    <xf numFmtId="49" fontId="65" fillId="0" borderId="4" xfId="87" applyNumberFormat="1" applyFont="1" applyBorder="1" applyAlignment="1">
      <alignment horizontal="left" vertical="top" indent="3"/>
    </xf>
    <xf numFmtId="0" fontId="58" fillId="0" borderId="4" xfId="30" applyFont="1" applyBorder="1" applyAlignment="1">
      <alignment horizontal="center"/>
    </xf>
    <xf numFmtId="179" fontId="58" fillId="0" borderId="4" xfId="88" applyNumberFormat="1" applyFont="1" applyFill="1" applyBorder="1"/>
    <xf numFmtId="164" fontId="58" fillId="0" borderId="4" xfId="88" applyFont="1" applyFill="1" applyBorder="1"/>
    <xf numFmtId="179" fontId="57" fillId="0" borderId="4" xfId="88" applyNumberFormat="1" applyFont="1" applyFill="1" applyBorder="1"/>
    <xf numFmtId="164" fontId="59" fillId="0" borderId="4" xfId="35" applyFont="1" applyFill="1" applyBorder="1"/>
    <xf numFmtId="181" fontId="56" fillId="0" borderId="4" xfId="88" applyNumberFormat="1" applyFont="1" applyFill="1" applyBorder="1"/>
    <xf numFmtId="0" fontId="79" fillId="0" borderId="4" xfId="100" applyFont="1" applyBorder="1" applyAlignment="1">
      <alignment vertical="top"/>
    </xf>
    <xf numFmtId="0" fontId="58" fillId="0" borderId="4" xfId="99" applyNumberFormat="1" applyFont="1" applyFill="1" applyBorder="1" applyAlignment="1">
      <alignment horizontal="center"/>
    </xf>
    <xf numFmtId="181" fontId="58" fillId="0" borderId="4" xfId="88" applyNumberFormat="1" applyFont="1" applyFill="1" applyBorder="1" applyAlignment="1">
      <alignment horizontal="center"/>
    </xf>
    <xf numFmtId="0" fontId="56" fillId="0" borderId="4" xfId="100" applyFont="1" applyBorder="1" applyAlignment="1">
      <alignment horizontal="left" indent="1"/>
    </xf>
    <xf numFmtId="168" fontId="56" fillId="0" borderId="4" xfId="88" applyNumberFormat="1" applyFont="1" applyFill="1" applyBorder="1" applyAlignment="1"/>
    <xf numFmtId="0" fontId="56" fillId="0" borderId="4" xfId="11" quotePrefix="1" applyFont="1" applyBorder="1" applyAlignment="1">
      <alignment horizontal="left" indent="1"/>
    </xf>
    <xf numFmtId="0" fontId="59" fillId="0" borderId="4" xfId="30" applyFont="1" applyBorder="1" applyAlignment="1">
      <alignment vertical="top"/>
    </xf>
    <xf numFmtId="168" fontId="56" fillId="0" borderId="4" xfId="88" applyNumberFormat="1" applyFont="1" applyFill="1" applyBorder="1" applyAlignment="1">
      <alignment vertical="top"/>
    </xf>
    <xf numFmtId="179" fontId="58" fillId="0" borderId="4" xfId="30" applyNumberFormat="1" applyFont="1" applyBorder="1"/>
    <xf numFmtId="0" fontId="79" fillId="0" borderId="4" xfId="30" applyFont="1" applyBorder="1" applyAlignment="1">
      <alignment horizontal="left"/>
    </xf>
    <xf numFmtId="174" fontId="56" fillId="0" borderId="4" xfId="87" applyNumberFormat="1" applyFont="1" applyBorder="1"/>
    <xf numFmtId="10" fontId="56" fillId="0" borderId="0" xfId="89" applyNumberFormat="1" applyFont="1"/>
    <xf numFmtId="43" fontId="56" fillId="0" borderId="4" xfId="87" applyNumberFormat="1" applyFont="1" applyBorder="1"/>
    <xf numFmtId="0" fontId="79" fillId="0" borderId="0" xfId="87" applyFont="1" applyAlignment="1">
      <alignment horizontal="center"/>
    </xf>
    <xf numFmtId="0" fontId="57" fillId="0" borderId="4" xfId="87" applyFont="1" applyBorder="1" applyAlignment="1">
      <alignment vertical="top"/>
    </xf>
    <xf numFmtId="0" fontId="57" fillId="0" borderId="0" xfId="87" applyFont="1" applyAlignment="1">
      <alignment horizontal="center"/>
    </xf>
    <xf numFmtId="0" fontId="56" fillId="0" borderId="4" xfId="87" applyFont="1" applyBorder="1" applyAlignment="1">
      <alignment vertical="top"/>
    </xf>
    <xf numFmtId="0" fontId="56" fillId="0" borderId="4" xfId="31" applyFont="1" applyBorder="1" applyAlignment="1">
      <alignment horizontal="center"/>
    </xf>
    <xf numFmtId="0" fontId="65" fillId="0" borderId="4" xfId="30" applyFont="1" applyBorder="1" applyAlignment="1">
      <alignment horizontal="left" indent="1"/>
    </xf>
    <xf numFmtId="179" fontId="57" fillId="0" borderId="4" xfId="88" applyNumberFormat="1" applyFont="1" applyFill="1" applyBorder="1" applyAlignment="1"/>
    <xf numFmtId="2" fontId="56" fillId="0" borderId="4" xfId="87" applyNumberFormat="1" applyFont="1" applyBorder="1"/>
    <xf numFmtId="168" fontId="56" fillId="0" borderId="4" xfId="36" applyNumberFormat="1" applyFont="1" applyFill="1" applyBorder="1"/>
    <xf numFmtId="179" fontId="57" fillId="0" borderId="4" xfId="36" applyNumberFormat="1" applyFont="1" applyFill="1" applyBorder="1" applyAlignment="1" applyProtection="1">
      <alignment horizontal="center"/>
    </xf>
    <xf numFmtId="2" fontId="57" fillId="0" borderId="4" xfId="87" applyNumberFormat="1" applyFont="1" applyBorder="1"/>
    <xf numFmtId="181" fontId="57" fillId="0" borderId="4" xfId="88" applyNumberFormat="1" applyFont="1" applyFill="1" applyBorder="1" applyAlignment="1" applyProtection="1">
      <alignment horizontal="center"/>
    </xf>
    <xf numFmtId="168" fontId="56" fillId="0" borderId="4" xfId="36" applyNumberFormat="1" applyFont="1" applyFill="1" applyBorder="1" applyAlignment="1" applyProtection="1">
      <alignment horizontal="center"/>
    </xf>
    <xf numFmtId="164" fontId="56" fillId="0" borderId="0" xfId="88" applyFont="1" applyFill="1"/>
    <xf numFmtId="168" fontId="56" fillId="0" borderId="0" xfId="87" applyNumberFormat="1" applyFont="1"/>
    <xf numFmtId="181" fontId="56" fillId="0" borderId="0" xfId="88" applyNumberFormat="1" applyFont="1" applyFill="1"/>
    <xf numFmtId="0" fontId="57" fillId="25" borderId="0" xfId="87" applyFont="1" applyFill="1"/>
    <xf numFmtId="0" fontId="57" fillId="0" borderId="0" xfId="87" applyFont="1"/>
    <xf numFmtId="181" fontId="56" fillId="0" borderId="4" xfId="88" applyNumberFormat="1" applyFont="1" applyFill="1" applyBorder="1" applyAlignment="1" applyProtection="1">
      <alignment horizontal="center"/>
    </xf>
    <xf numFmtId="172" fontId="56" fillId="0" borderId="4" xfId="91" applyNumberFormat="1" applyFont="1" applyFill="1" applyBorder="1" applyAlignment="1">
      <alignment vertical="top"/>
    </xf>
    <xf numFmtId="172" fontId="56" fillId="0" borderId="4" xfId="91" applyNumberFormat="1" applyFont="1" applyBorder="1" applyAlignment="1">
      <alignment vertical="center"/>
    </xf>
    <xf numFmtId="49" fontId="82" fillId="0" borderId="0" xfId="0" applyNumberFormat="1" applyFont="1" applyAlignment="1">
      <alignment horizontal="left" vertical="top" indent="3"/>
    </xf>
    <xf numFmtId="43" fontId="56" fillId="0" borderId="4" xfId="91" applyFont="1" applyBorder="1"/>
    <xf numFmtId="172" fontId="56" fillId="0" borderId="4" xfId="91" applyNumberFormat="1" applyFont="1" applyBorder="1"/>
    <xf numFmtId="181" fontId="56" fillId="0" borderId="7" xfId="88" applyNumberFormat="1" applyFont="1" applyFill="1" applyBorder="1"/>
    <xf numFmtId="179" fontId="56" fillId="0" borderId="7" xfId="88" applyNumberFormat="1" applyFont="1" applyFill="1" applyBorder="1"/>
    <xf numFmtId="43" fontId="9" fillId="0" borderId="4" xfId="91" applyFont="1" applyBorder="1" applyAlignment="1">
      <alignment horizontal="center" vertical="center"/>
    </xf>
    <xf numFmtId="172" fontId="56" fillId="0" borderId="4" xfId="91" applyNumberFormat="1" applyFont="1" applyFill="1" applyBorder="1"/>
    <xf numFmtId="43" fontId="56" fillId="18" borderId="4" xfId="91" applyFont="1" applyFill="1" applyBorder="1"/>
    <xf numFmtId="0" fontId="12" fillId="0" borderId="0" xfId="10" applyFont="1" applyAlignment="1">
      <alignment horizontal="center" vertical="center"/>
    </xf>
    <xf numFmtId="0" fontId="15" fillId="0" borderId="0" xfId="10" applyFont="1"/>
    <xf numFmtId="0" fontId="12" fillId="0" borderId="0" xfId="10" applyFont="1" applyAlignment="1">
      <alignment horizontal="centerContinuous"/>
    </xf>
    <xf numFmtId="0" fontId="15" fillId="0" borderId="0" xfId="10" applyFont="1" applyAlignment="1">
      <alignment horizontal="center" vertical="center"/>
    </xf>
    <xf numFmtId="0" fontId="12" fillId="0" borderId="0" xfId="14" applyFont="1">
      <alignment vertical="center"/>
    </xf>
    <xf numFmtId="0" fontId="15" fillId="0" borderId="0" xfId="14" applyFont="1" applyAlignment="1">
      <alignment horizontal="center" vertical="center"/>
    </xf>
    <xf numFmtId="0" fontId="12" fillId="0" borderId="0" xfId="14" applyFont="1" applyAlignment="1">
      <alignment horizontal="right" vertical="center"/>
    </xf>
    <xf numFmtId="0" fontId="12" fillId="4" borderId="4" xfId="14" applyFont="1" applyFill="1" applyBorder="1" applyAlignment="1">
      <alignment horizontal="center" vertical="center" wrapText="1"/>
    </xf>
    <xf numFmtId="0" fontId="12" fillId="4" borderId="5" xfId="63" applyFont="1" applyFill="1" applyBorder="1" applyAlignment="1">
      <alignment horizontal="center" vertical="center" wrapText="1"/>
    </xf>
    <xf numFmtId="0" fontId="12" fillId="4" borderId="3" xfId="14" applyFont="1" applyFill="1" applyBorder="1" applyAlignment="1">
      <alignment horizontal="center" vertical="center" wrapText="1"/>
    </xf>
    <xf numFmtId="0" fontId="15" fillId="0" borderId="4" xfId="10" applyFont="1" applyBorder="1"/>
    <xf numFmtId="0" fontId="15" fillId="0" borderId="4" xfId="10" applyFont="1" applyBorder="1" applyAlignment="1">
      <alignment horizontal="center" vertical="center"/>
    </xf>
    <xf numFmtId="0" fontId="15" fillId="0" borderId="4" xfId="10" applyFont="1" applyBorder="1" applyAlignment="1">
      <alignment horizontal="center" vertical="center" wrapText="1"/>
    </xf>
    <xf numFmtId="0" fontId="12" fillId="0" borderId="4" xfId="10" applyFont="1" applyBorder="1"/>
    <xf numFmtId="0" fontId="12" fillId="0" borderId="4" xfId="14" applyFont="1" applyBorder="1" applyAlignment="1">
      <alignment horizontal="center" vertical="center"/>
    </xf>
    <xf numFmtId="2" fontId="12" fillId="0" borderId="4" xfId="10" applyNumberFormat="1" applyFont="1" applyBorder="1"/>
    <xf numFmtId="0" fontId="12" fillId="0" borderId="4" xfId="14" applyFont="1" applyBorder="1">
      <alignment vertical="center"/>
    </xf>
    <xf numFmtId="2" fontId="15" fillId="0" borderId="4" xfId="10" applyNumberFormat="1" applyFont="1" applyBorder="1"/>
    <xf numFmtId="0" fontId="12" fillId="0" borderId="0" xfId="10" applyFont="1" applyAlignment="1">
      <alignment horizontal="justify" vertical="top" wrapText="1"/>
    </xf>
    <xf numFmtId="2" fontId="12" fillId="0" borderId="4" xfId="14" applyNumberFormat="1" applyFont="1" applyBorder="1">
      <alignment vertical="center"/>
    </xf>
    <xf numFmtId="2" fontId="15" fillId="0" borderId="4" xfId="14" applyNumberFormat="1" applyFont="1" applyBorder="1">
      <alignment vertical="center"/>
    </xf>
    <xf numFmtId="43" fontId="15" fillId="0" borderId="0" xfId="91" applyFont="1" applyAlignment="1">
      <alignment horizontal="center" vertical="center"/>
    </xf>
    <xf numFmtId="0" fontId="15" fillId="0" borderId="4" xfId="10" applyFont="1" applyBorder="1" applyAlignment="1">
      <alignment horizontal="center" vertical="top"/>
    </xf>
    <xf numFmtId="0" fontId="15" fillId="0" borderId="4" xfId="10" applyFont="1" applyBorder="1" applyAlignment="1">
      <alignment vertical="top" wrapText="1"/>
    </xf>
    <xf numFmtId="0" fontId="12" fillId="0" borderId="4" xfId="10" applyFont="1" applyBorder="1" applyAlignment="1">
      <alignment horizontal="center" vertical="top"/>
    </xf>
    <xf numFmtId="0" fontId="12" fillId="0" borderId="4" xfId="10" applyFont="1" applyBorder="1" applyAlignment="1">
      <alignment vertical="top" wrapText="1"/>
    </xf>
    <xf numFmtId="0" fontId="15" fillId="0" borderId="4" xfId="11" applyFont="1" applyBorder="1" applyAlignment="1">
      <alignment horizontal="center"/>
    </xf>
    <xf numFmtId="0" fontId="15" fillId="0" borderId="4" xfId="11" applyFont="1" applyBorder="1" applyAlignment="1">
      <alignment horizontal="center" vertical="center"/>
    </xf>
    <xf numFmtId="0" fontId="15" fillId="4" borderId="4" xfId="10" applyFont="1" applyFill="1" applyBorder="1" applyAlignment="1">
      <alignment horizontal="center"/>
    </xf>
    <xf numFmtId="0" fontId="12" fillId="4" borderId="4" xfId="10" applyFont="1" applyFill="1" applyBorder="1"/>
    <xf numFmtId="0" fontId="12" fillId="4" borderId="4" xfId="10" applyFont="1" applyFill="1" applyBorder="1" applyAlignment="1">
      <alignment horizontal="center" vertical="top" wrapText="1"/>
    </xf>
    <xf numFmtId="0" fontId="15" fillId="4" borderId="4" xfId="14" applyFont="1" applyFill="1" applyBorder="1">
      <alignment vertical="center"/>
    </xf>
    <xf numFmtId="43" fontId="59" fillId="0" borderId="4" xfId="91" applyFont="1" applyBorder="1" applyAlignment="1">
      <alignment horizontal="center"/>
    </xf>
    <xf numFmtId="43" fontId="59" fillId="0" borderId="4" xfId="10" applyNumberFormat="1" applyFont="1" applyBorder="1" applyAlignment="1">
      <alignment horizontal="center"/>
    </xf>
    <xf numFmtId="2" fontId="8" fillId="0" borderId="0" xfId="10" applyNumberFormat="1" applyFont="1"/>
    <xf numFmtId="9" fontId="8" fillId="0" borderId="0" xfId="92" applyFont="1"/>
    <xf numFmtId="0" fontId="85" fillId="0" borderId="0" xfId="101" applyFont="1"/>
    <xf numFmtId="186" fontId="85" fillId="0" borderId="0" xfId="97" applyNumberFormat="1" applyFont="1"/>
    <xf numFmtId="0" fontId="85" fillId="0" borderId="0" xfId="97" applyFont="1"/>
    <xf numFmtId="0" fontId="86" fillId="8" borderId="4" xfId="101" applyFont="1" applyFill="1" applyBorder="1" applyAlignment="1">
      <alignment horizontal="center" vertical="center"/>
    </xf>
    <xf numFmtId="186" fontId="85" fillId="0" borderId="4" xfId="97" applyNumberFormat="1" applyFont="1" applyBorder="1" applyAlignment="1">
      <alignment horizontal="center"/>
    </xf>
    <xf numFmtId="43" fontId="87" fillId="0" borderId="4" xfId="102" applyFont="1" applyBorder="1" applyAlignment="1">
      <alignment horizontal="center"/>
    </xf>
    <xf numFmtId="43" fontId="86" fillId="0" borderId="4" xfId="102" applyFont="1" applyBorder="1" applyAlignment="1">
      <alignment horizontal="center"/>
    </xf>
    <xf numFmtId="10" fontId="85" fillId="0" borderId="0" xfId="103" applyNumberFormat="1" applyFont="1"/>
    <xf numFmtId="0" fontId="85" fillId="0" borderId="4" xfId="97" applyFont="1" applyBorder="1" applyAlignment="1">
      <alignment horizontal="center"/>
    </xf>
    <xf numFmtId="43" fontId="85" fillId="0" borderId="4" xfId="102" applyFont="1" applyBorder="1" applyAlignment="1">
      <alignment horizontal="center"/>
    </xf>
    <xf numFmtId="43" fontId="88" fillId="0" borderId="4" xfId="102" applyFont="1" applyBorder="1" applyAlignment="1">
      <alignment horizontal="center" vertical="center"/>
    </xf>
    <xf numFmtId="43" fontId="89" fillId="0" borderId="4" xfId="102" applyFont="1" applyBorder="1" applyAlignment="1">
      <alignment horizontal="center" vertical="center"/>
    </xf>
    <xf numFmtId="43" fontId="88" fillId="0" borderId="4" xfId="102" applyFont="1" applyFill="1" applyBorder="1" applyAlignment="1">
      <alignment horizontal="center" vertical="center"/>
    </xf>
    <xf numFmtId="43" fontId="88" fillId="0" borderId="4" xfId="102" applyFont="1" applyBorder="1"/>
    <xf numFmtId="0" fontId="85" fillId="0" borderId="0" xfId="97" applyFont="1" applyAlignment="1">
      <alignment horizontal="center"/>
    </xf>
    <xf numFmtId="43" fontId="85" fillId="0" borderId="0" xfId="102" applyFont="1" applyBorder="1" applyAlignment="1">
      <alignment horizontal="center"/>
    </xf>
    <xf numFmtId="43" fontId="86" fillId="0" borderId="0" xfId="102" applyFont="1" applyBorder="1" applyAlignment="1">
      <alignment horizontal="center"/>
    </xf>
    <xf numFmtId="0" fontId="90" fillId="0" borderId="4" xfId="101" applyFont="1" applyBorder="1" applyAlignment="1">
      <alignment horizontal="center" vertical="center"/>
    </xf>
    <xf numFmtId="43" fontId="85" fillId="0" borderId="4" xfId="102" applyFont="1" applyBorder="1"/>
    <xf numFmtId="43" fontId="85" fillId="0" borderId="4" xfId="104" applyFont="1" applyBorder="1"/>
    <xf numFmtId="43" fontId="88" fillId="0" borderId="4" xfId="102" applyFont="1" applyFill="1" applyBorder="1" applyAlignment="1">
      <alignment horizontal="center"/>
    </xf>
    <xf numFmtId="43" fontId="88" fillId="0" borderId="4" xfId="102" applyFont="1" applyBorder="1" applyAlignment="1">
      <alignment horizontal="center"/>
    </xf>
    <xf numFmtId="43" fontId="88" fillId="26" borderId="4" xfId="102" applyFont="1" applyFill="1" applyBorder="1" applyAlignment="1">
      <alignment horizontal="center"/>
    </xf>
    <xf numFmtId="43" fontId="89" fillId="0" borderId="4" xfId="102" applyFont="1" applyBorder="1" applyAlignment="1">
      <alignment horizontal="center"/>
    </xf>
    <xf numFmtId="184" fontId="89" fillId="27" borderId="4" xfId="105" applyFont="1" applyFill="1" applyBorder="1" applyAlignment="1">
      <alignment horizontal="left" vertical="center"/>
    </xf>
    <xf numFmtId="184" fontId="89" fillId="27" borderId="4" xfId="105" applyFont="1" applyFill="1" applyBorder="1" applyAlignment="1">
      <alignment horizontal="center" vertical="center"/>
    </xf>
    <xf numFmtId="184" fontId="89" fillId="0" borderId="5" xfId="105" applyFont="1" applyBorder="1" applyAlignment="1">
      <alignment horizontal="left" vertical="center"/>
    </xf>
    <xf numFmtId="43" fontId="88" fillId="0" borderId="4" xfId="102" applyFont="1" applyFill="1" applyBorder="1" applyAlignment="1">
      <alignment horizontal="left" vertical="center"/>
    </xf>
    <xf numFmtId="43" fontId="88" fillId="26" borderId="4" xfId="102" applyFont="1" applyFill="1" applyBorder="1" applyAlignment="1">
      <alignment horizontal="left" vertical="center"/>
    </xf>
    <xf numFmtId="43" fontId="88" fillId="6" borderId="4" xfId="102" applyFont="1" applyFill="1" applyBorder="1" applyAlignment="1">
      <alignment horizontal="left" vertical="center"/>
    </xf>
    <xf numFmtId="184" fontId="89" fillId="0" borderId="4" xfId="105" applyFont="1" applyBorder="1" applyAlignment="1">
      <alignment horizontal="left" vertical="center"/>
    </xf>
    <xf numFmtId="0" fontId="89" fillId="28" borderId="0" xfId="101" applyFont="1" applyFill="1"/>
    <xf numFmtId="187" fontId="89" fillId="0" borderId="0" xfId="101" applyNumberFormat="1" applyFont="1"/>
    <xf numFmtId="0" fontId="88" fillId="0" borderId="0" xfId="106" applyFont="1"/>
    <xf numFmtId="0" fontId="92" fillId="0" borderId="0" xfId="107" applyFont="1" applyAlignment="1"/>
    <xf numFmtId="0" fontId="93" fillId="0" borderId="0" xfId="107" applyFont="1"/>
    <xf numFmtId="0" fontId="94" fillId="0" borderId="0" xfId="108"/>
    <xf numFmtId="0" fontId="84" fillId="0" borderId="0" xfId="107"/>
    <xf numFmtId="0" fontId="95" fillId="8" borderId="4" xfId="101" applyFont="1" applyFill="1" applyBorder="1" applyAlignment="1">
      <alignment horizontal="center" vertical="center"/>
    </xf>
    <xf numFmtId="0" fontId="85" fillId="0" borderId="0" xfId="101" applyFont="1" applyAlignment="1">
      <alignment vertical="center" wrapText="1"/>
    </xf>
    <xf numFmtId="0" fontId="95" fillId="8" borderId="4" xfId="101" applyFont="1" applyFill="1" applyBorder="1" applyAlignment="1">
      <alignment horizontal="center" vertical="center" wrapText="1"/>
    </xf>
    <xf numFmtId="0" fontId="90" fillId="0" borderId="4" xfId="101" applyFont="1" applyBorder="1" applyAlignment="1">
      <alignment vertical="center"/>
    </xf>
    <xf numFmtId="43" fontId="90" fillId="0" borderId="4" xfId="101" applyNumberFormat="1" applyFont="1" applyBorder="1" applyAlignment="1">
      <alignment horizontal="right" vertical="center"/>
    </xf>
    <xf numFmtId="10" fontId="90" fillId="0" borderId="4" xfId="101" applyNumberFormat="1" applyFont="1" applyBorder="1" applyAlignment="1">
      <alignment horizontal="right" vertical="center"/>
    </xf>
    <xf numFmtId="9" fontId="90" fillId="8" borderId="4" xfId="101" applyNumberFormat="1" applyFont="1" applyFill="1" applyBorder="1" applyAlignment="1">
      <alignment horizontal="right" vertical="center"/>
    </xf>
    <xf numFmtId="0" fontId="90" fillId="8" borderId="4" xfId="101" applyFont="1" applyFill="1" applyBorder="1" applyAlignment="1">
      <alignment vertical="center"/>
    </xf>
    <xf numFmtId="0" fontId="85" fillId="0" borderId="0" xfId="101" applyFont="1" applyAlignment="1">
      <alignment vertical="center"/>
    </xf>
    <xf numFmtId="10" fontId="90" fillId="26" borderId="4" xfId="103" applyNumberFormat="1" applyFont="1" applyFill="1" applyBorder="1" applyAlignment="1">
      <alignment horizontal="right" vertical="center"/>
    </xf>
    <xf numFmtId="0" fontId="95" fillId="29" borderId="4" xfId="101" applyFont="1" applyFill="1" applyBorder="1" applyAlignment="1">
      <alignment vertical="center"/>
    </xf>
    <xf numFmtId="10" fontId="95" fillId="29" borderId="4" xfId="101" applyNumberFormat="1" applyFont="1" applyFill="1" applyBorder="1" applyAlignment="1">
      <alignment horizontal="right" vertical="center"/>
    </xf>
    <xf numFmtId="10" fontId="85" fillId="0" borderId="0" xfId="101" applyNumberFormat="1" applyFont="1"/>
    <xf numFmtId="0" fontId="96" fillId="14" borderId="4" xfId="96" applyFont="1" applyFill="1" applyBorder="1" applyAlignment="1">
      <alignment horizontal="center" vertical="center"/>
    </xf>
    <xf numFmtId="0" fontId="62" fillId="0" borderId="0" xfId="96" applyFont="1"/>
    <xf numFmtId="15" fontId="62" fillId="0" borderId="4" xfId="96" applyNumberFormat="1" applyFont="1" applyBorder="1"/>
    <xf numFmtId="43" fontId="62" fillId="0" borderId="4" xfId="94" applyFont="1" applyBorder="1"/>
    <xf numFmtId="0" fontId="96" fillId="30" borderId="4" xfId="96" applyFont="1" applyFill="1" applyBorder="1" applyAlignment="1">
      <alignment horizontal="center"/>
    </xf>
    <xf numFmtId="43" fontId="96" fillId="30" borderId="4" xfId="94" applyFont="1" applyFill="1" applyBorder="1" applyAlignment="1">
      <alignment horizontal="center"/>
    </xf>
    <xf numFmtId="15" fontId="62" fillId="0" borderId="4" xfId="109" applyNumberFormat="1" applyFont="1" applyBorder="1"/>
    <xf numFmtId="164" fontId="62" fillId="0" borderId="4" xfId="110" applyFont="1" applyBorder="1"/>
    <xf numFmtId="0" fontId="96" fillId="30" borderId="4" xfId="109" applyFont="1" applyFill="1" applyBorder="1" applyAlignment="1">
      <alignment horizontal="center"/>
    </xf>
    <xf numFmtId="164" fontId="96" fillId="30" borderId="4" xfId="110" applyFont="1" applyFill="1" applyBorder="1" applyAlignment="1">
      <alignment horizontal="center"/>
    </xf>
    <xf numFmtId="2" fontId="8" fillId="0" borderId="4" xfId="10" applyNumberFormat="1" applyFont="1" applyBorder="1" applyAlignment="1">
      <alignment vertical="center"/>
    </xf>
    <xf numFmtId="2" fontId="9" fillId="0" borderId="4" xfId="10" applyNumberFormat="1" applyFont="1" applyBorder="1"/>
    <xf numFmtId="0" fontId="9" fillId="0" borderId="4" xfId="10" applyFont="1" applyBorder="1" applyAlignment="1">
      <alignment horizontal="left" wrapText="1"/>
    </xf>
    <xf numFmtId="0" fontId="57" fillId="0" borderId="0" xfId="15" applyFont="1" applyAlignment="1">
      <alignment vertical="center" wrapText="1"/>
    </xf>
    <xf numFmtId="0" fontId="57" fillId="0" borderId="0" xfId="15" applyFont="1" applyAlignment="1">
      <alignment horizontal="center" vertical="center"/>
    </xf>
    <xf numFmtId="0" fontId="57" fillId="0" borderId="0" xfId="10" applyFont="1" applyAlignment="1">
      <alignment horizontal="center" vertical="top"/>
    </xf>
    <xf numFmtId="0" fontId="57" fillId="5" borderId="0" xfId="10" applyFont="1" applyFill="1" applyAlignment="1">
      <alignment horizontal="center"/>
    </xf>
    <xf numFmtId="0" fontId="57" fillId="0" borderId="0" xfId="10" applyFont="1" applyAlignment="1">
      <alignment horizontal="centerContinuous"/>
    </xf>
    <xf numFmtId="0" fontId="57" fillId="5" borderId="0" xfId="10" applyFont="1" applyFill="1" applyAlignment="1">
      <alignment horizontal="left"/>
    </xf>
    <xf numFmtId="0" fontId="57" fillId="0" borderId="0" xfId="10" applyFont="1" applyAlignment="1">
      <alignment horizontal="left"/>
    </xf>
    <xf numFmtId="0" fontId="57" fillId="4" borderId="7" xfId="10" applyFont="1" applyFill="1" applyBorder="1" applyAlignment="1">
      <alignment horizontal="center" vertical="center" wrapText="1"/>
    </xf>
    <xf numFmtId="0" fontId="57" fillId="4" borderId="8" xfId="10" applyFont="1" applyFill="1" applyBorder="1" applyAlignment="1">
      <alignment horizontal="center" vertical="center" wrapText="1"/>
    </xf>
    <xf numFmtId="0" fontId="57" fillId="4" borderId="9" xfId="10" applyFont="1" applyFill="1" applyBorder="1" applyAlignment="1">
      <alignment horizontal="center" vertical="center" wrapText="1"/>
    </xf>
    <xf numFmtId="0" fontId="57" fillId="4" borderId="6" xfId="10" applyFont="1" applyFill="1" applyBorder="1" applyAlignment="1">
      <alignment horizontal="center" vertical="center" wrapText="1"/>
    </xf>
    <xf numFmtId="0" fontId="57" fillId="4" borderId="7" xfId="10" applyFont="1" applyFill="1" applyBorder="1" applyAlignment="1">
      <alignment vertical="center" wrapText="1"/>
    </xf>
    <xf numFmtId="0" fontId="57" fillId="0" borderId="6" xfId="10" applyFont="1" applyBorder="1"/>
    <xf numFmtId="0" fontId="56" fillId="0" borderId="6" xfId="10" applyFont="1" applyBorder="1"/>
    <xf numFmtId="164" fontId="59" fillId="0" borderId="7" xfId="88" applyFont="1" applyBorder="1"/>
    <xf numFmtId="164" fontId="59" fillId="0" borderId="7" xfId="88" applyFont="1" applyBorder="1" applyAlignment="1">
      <alignment wrapText="1"/>
    </xf>
    <xf numFmtId="0" fontId="57" fillId="0" borderId="4" xfId="10" applyFont="1" applyBorder="1" applyAlignment="1">
      <alignment horizontal="left"/>
    </xf>
    <xf numFmtId="0" fontId="98" fillId="0" borderId="4" xfId="10" applyFont="1" applyBorder="1"/>
    <xf numFmtId="0" fontId="99" fillId="0" borderId="4" xfId="0" applyFont="1" applyBorder="1" applyAlignment="1">
      <alignment horizontal="left" vertical="center"/>
    </xf>
    <xf numFmtId="0" fontId="56" fillId="0" borderId="16" xfId="10" applyFont="1" applyBorder="1"/>
    <xf numFmtId="14" fontId="56" fillId="0" borderId="6" xfId="10" applyNumberFormat="1" applyFont="1" applyBorder="1"/>
    <xf numFmtId="14" fontId="56" fillId="0" borderId="4" xfId="10" applyNumberFormat="1" applyFont="1" applyBorder="1"/>
    <xf numFmtId="0" fontId="99" fillId="0" borderId="4" xfId="0" applyFont="1" applyBorder="1" applyAlignment="1">
      <alignment horizontal="right" vertical="center"/>
    </xf>
    <xf numFmtId="164" fontId="59" fillId="0" borderId="14" xfId="88" applyFont="1" applyBorder="1"/>
    <xf numFmtId="164" fontId="59" fillId="0" borderId="4" xfId="88" applyFont="1" applyBorder="1"/>
    <xf numFmtId="164" fontId="59" fillId="0" borderId="4" xfId="88" applyFont="1" applyBorder="1" applyAlignment="1">
      <alignment wrapText="1"/>
    </xf>
    <xf numFmtId="164" fontId="59" fillId="0" borderId="8" xfId="88" applyFont="1" applyBorder="1"/>
    <xf numFmtId="0" fontId="99" fillId="0" borderId="6" xfId="0" applyFont="1" applyBorder="1" applyAlignment="1">
      <alignment horizontal="left" vertical="center" wrapText="1"/>
    </xf>
    <xf numFmtId="0" fontId="56" fillId="0" borderId="9" xfId="10" applyFont="1" applyBorder="1" applyAlignment="1">
      <alignment horizontal="center" vertical="center" wrapText="1"/>
    </xf>
    <xf numFmtId="0" fontId="56" fillId="0" borderId="4" xfId="10" applyFont="1" applyBorder="1" applyAlignment="1">
      <alignment horizontal="left" indent="1"/>
    </xf>
    <xf numFmtId="179" fontId="56" fillId="0" borderId="4" xfId="88" applyNumberFormat="1" applyFont="1" applyBorder="1"/>
    <xf numFmtId="164" fontId="58" fillId="0" borderId="4" xfId="88" applyFont="1" applyBorder="1"/>
    <xf numFmtId="164" fontId="59" fillId="0" borderId="4" xfId="88" applyFont="1" applyFill="1" applyBorder="1"/>
    <xf numFmtId="0" fontId="56" fillId="0" borderId="4" xfId="10" applyFont="1" applyBorder="1" applyAlignment="1">
      <alignment horizontal="left"/>
    </xf>
    <xf numFmtId="0" fontId="56" fillId="7" borderId="4" xfId="10" applyFont="1" applyFill="1" applyBorder="1" applyAlignment="1">
      <alignment wrapText="1"/>
    </xf>
    <xf numFmtId="0" fontId="56" fillId="0" borderId="4" xfId="101" applyFont="1" applyBorder="1"/>
    <xf numFmtId="0" fontId="56" fillId="7" borderId="4" xfId="101" applyFont="1" applyFill="1" applyBorder="1"/>
    <xf numFmtId="0" fontId="57" fillId="6" borderId="4" xfId="10" applyFont="1" applyFill="1" applyBorder="1"/>
    <xf numFmtId="0" fontId="56" fillId="6" borderId="4" xfId="10" applyFont="1" applyFill="1" applyBorder="1"/>
    <xf numFmtId="164" fontId="57" fillId="6" borderId="4" xfId="88" applyFont="1" applyFill="1" applyBorder="1"/>
    <xf numFmtId="0" fontId="66" fillId="0" borderId="0" xfId="0" applyFont="1"/>
    <xf numFmtId="43" fontId="56" fillId="0" borderId="0" xfId="0" applyNumberFormat="1" applyFont="1"/>
    <xf numFmtId="43" fontId="56" fillId="0" borderId="0" xfId="10" applyNumberFormat="1" applyFont="1"/>
    <xf numFmtId="0" fontId="56" fillId="0" borderId="0" xfId="0" applyFont="1" applyAlignment="1">
      <alignment horizontal="left"/>
    </xf>
    <xf numFmtId="0" fontId="57" fillId="4" borderId="4" xfId="10" applyFont="1" applyFill="1" applyBorder="1" applyAlignment="1">
      <alignment horizontal="center" vertical="center" wrapText="1"/>
    </xf>
    <xf numFmtId="0" fontId="100" fillId="5" borderId="0" xfId="10" applyFont="1" applyFill="1"/>
    <xf numFmtId="0" fontId="60" fillId="5" borderId="0" xfId="10" applyFont="1" applyFill="1" applyAlignment="1">
      <alignment horizontal="center" vertical="center" wrapText="1"/>
    </xf>
    <xf numFmtId="43" fontId="56" fillId="0" borderId="4" xfId="10" applyNumberFormat="1" applyFont="1" applyBorder="1"/>
    <xf numFmtId="10" fontId="56" fillId="0" borderId="4" xfId="10" applyNumberFormat="1" applyFont="1" applyBorder="1"/>
    <xf numFmtId="0" fontId="56" fillId="0" borderId="4" xfId="10" applyFont="1" applyBorder="1" applyAlignment="1">
      <alignment wrapText="1"/>
    </xf>
    <xf numFmtId="0" fontId="57" fillId="0" borderId="7" xfId="10" applyFont="1" applyBorder="1" applyAlignment="1">
      <alignment vertical="center" wrapText="1"/>
    </xf>
    <xf numFmtId="0" fontId="56" fillId="0" borderId="8" xfId="10" applyFont="1" applyBorder="1"/>
    <xf numFmtId="0" fontId="101" fillId="0" borderId="4" xfId="10" applyFont="1" applyBorder="1"/>
    <xf numFmtId="0" fontId="102" fillId="0" borderId="4" xfId="10" applyFont="1" applyBorder="1"/>
    <xf numFmtId="2" fontId="57" fillId="6" borderId="4" xfId="10" applyNumberFormat="1" applyFont="1" applyFill="1" applyBorder="1"/>
    <xf numFmtId="0" fontId="101" fillId="6" borderId="4" xfId="10" applyFont="1" applyFill="1" applyBorder="1"/>
    <xf numFmtId="2" fontId="57" fillId="0" borderId="0" xfId="10" applyNumberFormat="1" applyFont="1"/>
    <xf numFmtId="0" fontId="101" fillId="0" borderId="0" xfId="10" applyFont="1"/>
    <xf numFmtId="43" fontId="103" fillId="0" borderId="0" xfId="10" applyNumberFormat="1" applyFont="1"/>
    <xf numFmtId="0" fontId="103" fillId="0" borderId="0" xfId="10" applyFont="1"/>
    <xf numFmtId="179" fontId="56" fillId="0" borderId="4" xfId="10" applyNumberFormat="1" applyFont="1" applyBorder="1"/>
    <xf numFmtId="164" fontId="56" fillId="6" borderId="4" xfId="88" applyFont="1" applyFill="1" applyBorder="1"/>
    <xf numFmtId="0" fontId="56" fillId="7" borderId="0" xfId="10" applyFont="1" applyFill="1"/>
    <xf numFmtId="43" fontId="56" fillId="7" borderId="0" xfId="10" applyNumberFormat="1" applyFont="1" applyFill="1"/>
    <xf numFmtId="0" fontId="56" fillId="0" borderId="0" xfId="10" applyFont="1" applyAlignment="1">
      <alignment horizontal="center"/>
    </xf>
    <xf numFmtId="0" fontId="56" fillId="0" borderId="0" xfId="101" applyFont="1"/>
    <xf numFmtId="0" fontId="57" fillId="8" borderId="0" xfId="101" applyFont="1" applyFill="1" applyAlignment="1">
      <alignment horizontal="center"/>
    </xf>
    <xf numFmtId="0" fontId="57" fillId="4" borderId="4" xfId="63" applyFont="1" applyFill="1" applyBorder="1" applyAlignment="1">
      <alignment horizontal="center" vertical="center" wrapText="1"/>
    </xf>
    <xf numFmtId="0" fontId="56" fillId="0" borderId="4" xfId="10" applyFont="1" applyBorder="1" applyAlignment="1">
      <alignment horizontal="center" vertical="top"/>
    </xf>
    <xf numFmtId="168" fontId="56" fillId="0" borderId="4" xfId="112" applyNumberFormat="1" applyFont="1" applyFill="1" applyBorder="1"/>
    <xf numFmtId="0" fontId="56" fillId="0" borderId="4" xfId="10" quotePrefix="1" applyFont="1" applyBorder="1" applyAlignment="1">
      <alignment horizontal="left" vertical="top" wrapText="1"/>
    </xf>
    <xf numFmtId="9" fontId="56" fillId="0" borderId="4" xfId="101" applyNumberFormat="1" applyFont="1" applyBorder="1"/>
    <xf numFmtId="43" fontId="56" fillId="0" borderId="4" xfId="101" applyNumberFormat="1" applyFont="1" applyBorder="1"/>
    <xf numFmtId="0" fontId="74" fillId="0" borderId="4" xfId="10" applyFont="1" applyBorder="1" applyAlignment="1">
      <alignment horizontal="left"/>
    </xf>
    <xf numFmtId="0" fontId="57" fillId="0" borderId="4" xfId="10" applyFont="1" applyBorder="1" applyAlignment="1">
      <alignment horizontal="left" vertical="top"/>
    </xf>
    <xf numFmtId="179" fontId="57" fillId="0" borderId="4" xfId="88" applyNumberFormat="1" applyFont="1" applyBorder="1"/>
    <xf numFmtId="0" fontId="74" fillId="0" borderId="0" xfId="10" applyFont="1" applyAlignment="1">
      <alignment horizontal="left"/>
    </xf>
    <xf numFmtId="0" fontId="57" fillId="0" borderId="0" xfId="10" applyFont="1" applyAlignment="1">
      <alignment horizontal="left" vertical="top"/>
    </xf>
    <xf numFmtId="179" fontId="57" fillId="0" borderId="0" xfId="88" applyNumberFormat="1" applyFont="1" applyBorder="1"/>
    <xf numFmtId="10" fontId="57" fillId="0" borderId="0" xfId="89" applyNumberFormat="1" applyFont="1" applyBorder="1"/>
    <xf numFmtId="180" fontId="56" fillId="0" borderId="0" xfId="101" applyNumberFormat="1" applyFont="1"/>
    <xf numFmtId="43" fontId="56" fillId="0" borderId="0" xfId="101" applyNumberFormat="1" applyFont="1"/>
    <xf numFmtId="0" fontId="57" fillId="4" borderId="0" xfId="63" applyFont="1" applyFill="1" applyAlignment="1">
      <alignment horizontal="center" vertical="center" wrapText="1"/>
    </xf>
    <xf numFmtId="164" fontId="56" fillId="0" borderId="0" xfId="88" applyFont="1" applyBorder="1"/>
    <xf numFmtId="179" fontId="57" fillId="0" borderId="4" xfId="101" applyNumberFormat="1" applyFont="1" applyBorder="1"/>
    <xf numFmtId="179" fontId="57" fillId="0" borderId="0" xfId="101" applyNumberFormat="1" applyFont="1"/>
    <xf numFmtId="0" fontId="57" fillId="8" borderId="4" xfId="101" applyFont="1" applyFill="1" applyBorder="1"/>
    <xf numFmtId="0" fontId="56" fillId="8" borderId="4" xfId="101" applyFont="1" applyFill="1" applyBorder="1"/>
    <xf numFmtId="0" fontId="56" fillId="8" borderId="0" xfId="101" applyFont="1" applyFill="1"/>
    <xf numFmtId="0" fontId="56" fillId="0" borderId="0" xfId="101" applyFont="1" applyAlignment="1">
      <alignment horizontal="center" vertical="center" wrapText="1"/>
    </xf>
    <xf numFmtId="0" fontId="57" fillId="8" borderId="4" xfId="101" applyFont="1" applyFill="1" applyBorder="1" applyAlignment="1">
      <alignment horizontal="center" vertical="center" wrapText="1"/>
    </xf>
    <xf numFmtId="0" fontId="56" fillId="8" borderId="4" xfId="101" applyFont="1" applyFill="1" applyBorder="1" applyAlignment="1">
      <alignment horizontal="center" vertical="center" wrapText="1"/>
    </xf>
    <xf numFmtId="0" fontId="56" fillId="0" borderId="4" xfId="101" applyFont="1" applyBorder="1" applyAlignment="1">
      <alignment horizontal="center"/>
    </xf>
    <xf numFmtId="43" fontId="56" fillId="0" borderId="4" xfId="101" applyNumberFormat="1" applyFont="1" applyBorder="1" applyAlignment="1">
      <alignment horizontal="center" vertical="center"/>
    </xf>
    <xf numFmtId="43" fontId="57" fillId="0" borderId="4" xfId="101" applyNumberFormat="1" applyFont="1" applyBorder="1"/>
    <xf numFmtId="0" fontId="57" fillId="7" borderId="0" xfId="10" applyFont="1" applyFill="1" applyAlignment="1">
      <alignment horizontal="center"/>
    </xf>
    <xf numFmtId="0" fontId="57" fillId="0" borderId="4" xfId="10" applyFont="1" applyBorder="1" applyAlignment="1">
      <alignment horizontal="center" vertical="center"/>
    </xf>
    <xf numFmtId="0" fontId="99" fillId="0" borderId="7" xfId="0" applyFont="1" applyBorder="1" applyAlignment="1">
      <alignment horizontal="center" vertical="center" wrapText="1"/>
    </xf>
    <xf numFmtId="0" fontId="99" fillId="0" borderId="4" xfId="0" applyFont="1" applyBorder="1" applyAlignment="1">
      <alignment horizontal="center" vertical="center" wrapText="1"/>
    </xf>
    <xf numFmtId="14" fontId="56" fillId="0" borderId="4" xfId="10" applyNumberFormat="1" applyFont="1" applyBorder="1" applyAlignment="1">
      <alignment horizontal="center" vertical="center"/>
    </xf>
    <xf numFmtId="164" fontId="99" fillId="0" borderId="4" xfId="88" applyFont="1" applyBorder="1" applyAlignment="1">
      <alignment horizontal="center" vertical="center" wrapText="1"/>
    </xf>
    <xf numFmtId="164" fontId="99" fillId="0" borderId="4" xfId="88" quotePrefix="1" applyFont="1" applyBorder="1" applyAlignment="1">
      <alignment horizontal="center" vertical="center" wrapText="1"/>
    </xf>
    <xf numFmtId="0" fontId="56" fillId="0" borderId="6" xfId="10" applyFont="1" applyBorder="1" applyAlignment="1">
      <alignment horizontal="center" vertical="center"/>
    </xf>
    <xf numFmtId="14" fontId="56" fillId="0" borderId="6" xfId="10" applyNumberFormat="1" applyFont="1" applyBorder="1" applyAlignment="1">
      <alignment horizontal="center" vertical="center"/>
    </xf>
    <xf numFmtId="0" fontId="57" fillId="4" borderId="10" xfId="10" applyFont="1" applyFill="1" applyBorder="1" applyAlignment="1">
      <alignment horizontal="center" vertical="center" wrapText="1"/>
    </xf>
    <xf numFmtId="0" fontId="57" fillId="4" borderId="6" xfId="14" applyFont="1" applyFill="1" applyBorder="1" applyAlignment="1">
      <alignment horizontal="center" vertical="center" wrapText="1"/>
    </xf>
    <xf numFmtId="0" fontId="57" fillId="4" borderId="5" xfId="10" applyFont="1" applyFill="1" applyBorder="1" applyAlignment="1">
      <alignment vertical="center" wrapText="1"/>
    </xf>
    <xf numFmtId="0" fontId="57" fillId="4" borderId="6" xfId="10" applyFont="1" applyFill="1" applyBorder="1" applyAlignment="1">
      <alignment vertical="center" wrapText="1"/>
    </xf>
    <xf numFmtId="0" fontId="99" fillId="0" borderId="4" xfId="0" applyFont="1" applyBorder="1" applyAlignment="1">
      <alignment horizontal="left" vertical="center" wrapText="1"/>
    </xf>
    <xf numFmtId="2" fontId="56" fillId="0" borderId="4" xfId="10" applyNumberFormat="1" applyFont="1" applyBorder="1" applyAlignment="1">
      <alignment vertical="center"/>
    </xf>
    <xf numFmtId="2" fontId="56" fillId="0" borderId="4" xfId="10" applyNumberFormat="1" applyFont="1" applyBorder="1" applyAlignment="1">
      <alignment horizontal="center" vertical="center"/>
    </xf>
    <xf numFmtId="43" fontId="56" fillId="0" borderId="4" xfId="10" applyNumberFormat="1" applyFont="1" applyBorder="1" applyAlignment="1">
      <alignment vertical="center"/>
    </xf>
    <xf numFmtId="174" fontId="56" fillId="0" borderId="4" xfId="10" applyNumberFormat="1" applyFont="1" applyBorder="1"/>
    <xf numFmtId="181" fontId="56" fillId="0" borderId="4" xfId="10" applyNumberFormat="1" applyFont="1" applyBorder="1"/>
    <xf numFmtId="185" fontId="56" fillId="0" borderId="4" xfId="10" applyNumberFormat="1" applyFont="1" applyBorder="1"/>
    <xf numFmtId="0" fontId="57" fillId="31" borderId="4" xfId="10" applyFont="1" applyFill="1" applyBorder="1"/>
    <xf numFmtId="0" fontId="56" fillId="31" borderId="0" xfId="101" applyFont="1" applyFill="1"/>
    <xf numFmtId="0" fontId="56" fillId="31" borderId="4" xfId="10" applyFont="1" applyFill="1" applyBorder="1"/>
    <xf numFmtId="164" fontId="57" fillId="31" borderId="4" xfId="10" applyNumberFormat="1" applyFont="1" applyFill="1" applyBorder="1"/>
    <xf numFmtId="14" fontId="99" fillId="0" borderId="4" xfId="0" applyNumberFormat="1" applyFont="1" applyBorder="1" applyAlignment="1">
      <alignment horizontal="left" vertical="center" wrapText="1"/>
    </xf>
    <xf numFmtId="164" fontId="99" fillId="0" borderId="4" xfId="0" applyNumberFormat="1" applyFont="1" applyBorder="1" applyAlignment="1">
      <alignment horizontal="left" vertical="center" wrapText="1"/>
    </xf>
    <xf numFmtId="164" fontId="56" fillId="0" borderId="4" xfId="88" applyFont="1" applyFill="1" applyBorder="1" applyAlignment="1">
      <alignment vertical="center"/>
    </xf>
    <xf numFmtId="14" fontId="56" fillId="0" borderId="4" xfId="10" applyNumberFormat="1" applyFont="1" applyBorder="1" applyAlignment="1">
      <alignment vertical="center" wrapText="1"/>
    </xf>
    <xf numFmtId="164" fontId="56" fillId="0" borderId="4" xfId="88" applyFont="1" applyFill="1" applyBorder="1" applyAlignment="1">
      <alignment vertical="center" wrapText="1"/>
    </xf>
    <xf numFmtId="14" fontId="56" fillId="0" borderId="4" xfId="10" applyNumberFormat="1" applyFont="1" applyBorder="1" applyAlignment="1">
      <alignment wrapText="1"/>
    </xf>
    <xf numFmtId="164" fontId="56" fillId="0" borderId="4" xfId="88" applyFont="1" applyFill="1" applyBorder="1" applyAlignment="1">
      <alignment wrapText="1"/>
    </xf>
    <xf numFmtId="164" fontId="57" fillId="0" borderId="4" xfId="10" applyNumberFormat="1" applyFont="1" applyBorder="1"/>
    <xf numFmtId="164" fontId="57" fillId="6" borderId="4" xfId="10" applyNumberFormat="1" applyFont="1" applyFill="1" applyBorder="1"/>
    <xf numFmtId="43" fontId="57" fillId="6" borderId="4" xfId="10" applyNumberFormat="1" applyFont="1" applyFill="1" applyBorder="1"/>
    <xf numFmtId="172" fontId="56" fillId="0" borderId="4" xfId="10" applyNumberFormat="1" applyFont="1" applyBorder="1"/>
    <xf numFmtId="0" fontId="57" fillId="30" borderId="4" xfId="10" applyFont="1" applyFill="1" applyBorder="1"/>
    <xf numFmtId="0" fontId="56" fillId="30" borderId="4" xfId="10" applyFont="1" applyFill="1" applyBorder="1"/>
    <xf numFmtId="164" fontId="57" fillId="30" borderId="4" xfId="88" applyFont="1" applyFill="1" applyBorder="1"/>
    <xf numFmtId="0" fontId="77" fillId="0" borderId="4" xfId="10" applyFont="1" applyBorder="1"/>
    <xf numFmtId="0" fontId="57" fillId="4" borderId="5" xfId="63" applyFont="1" applyFill="1" applyBorder="1" applyAlignment="1">
      <alignment horizontal="center" vertical="center" wrapText="1"/>
    </xf>
    <xf numFmtId="164" fontId="56" fillId="0" borderId="5" xfId="88" applyFont="1" applyBorder="1"/>
    <xf numFmtId="164" fontId="56" fillId="0" borderId="5" xfId="88" applyFont="1" applyFill="1" applyBorder="1"/>
    <xf numFmtId="179" fontId="57" fillId="0" borderId="5" xfId="88" applyNumberFormat="1" applyFont="1" applyFill="1" applyBorder="1"/>
    <xf numFmtId="10" fontId="57" fillId="0" borderId="4" xfId="89" applyNumberFormat="1" applyFont="1" applyBorder="1"/>
    <xf numFmtId="164" fontId="83" fillId="0" borderId="4" xfId="88" applyFont="1" applyBorder="1" applyAlignment="1">
      <alignment horizontal="center" vertical="center"/>
    </xf>
    <xf numFmtId="43" fontId="56" fillId="0" borderId="0" xfId="91" applyFont="1"/>
    <xf numFmtId="168" fontId="105" fillId="0" borderId="4" xfId="112" applyNumberFormat="1" applyFont="1" applyFill="1" applyBorder="1" applyAlignment="1">
      <alignment horizontal="left" indent="1"/>
    </xf>
    <xf numFmtId="0" fontId="57" fillId="8" borderId="4" xfId="101" applyFont="1" applyFill="1" applyBorder="1" applyAlignment="1">
      <alignment wrapText="1"/>
    </xf>
    <xf numFmtId="0" fontId="83" fillId="0" borderId="4" xfId="10" applyFont="1" applyBorder="1" applyAlignment="1">
      <alignment horizontal="center" vertical="top"/>
    </xf>
    <xf numFmtId="0" fontId="83" fillId="0" borderId="4" xfId="10" quotePrefix="1" applyFont="1" applyBorder="1" applyAlignment="1">
      <alignment horizontal="left" vertical="top" wrapText="1"/>
    </xf>
    <xf numFmtId="0" fontId="68" fillId="0" borderId="4" xfId="96" applyFont="1" applyBorder="1"/>
    <xf numFmtId="0" fontId="106" fillId="0" borderId="4" xfId="10" applyFont="1" applyBorder="1" applyAlignment="1">
      <alignment horizontal="left"/>
    </xf>
    <xf numFmtId="0" fontId="107" fillId="0" borderId="4" xfId="10" applyFont="1" applyBorder="1" applyAlignment="1">
      <alignment horizontal="left" vertical="top"/>
    </xf>
    <xf numFmtId="0" fontId="106" fillId="0" borderId="0" xfId="10" applyFont="1" applyAlignment="1">
      <alignment horizontal="left"/>
    </xf>
    <xf numFmtId="0" fontId="107" fillId="0" borderId="0" xfId="10" applyFont="1" applyAlignment="1">
      <alignment horizontal="left" vertical="top"/>
    </xf>
    <xf numFmtId="43" fontId="9" fillId="0" borderId="4" xfId="91" applyFont="1" applyBorder="1" applyAlignment="1">
      <alignment horizontal="centerContinuous" vertical="center"/>
    </xf>
    <xf numFmtId="43" fontId="8" fillId="0" borderId="4" xfId="10" applyNumberFormat="1" applyFont="1" applyBorder="1" applyAlignment="1">
      <alignment vertical="center"/>
    </xf>
    <xf numFmtId="43" fontId="8" fillId="0" borderId="4" xfId="10" applyNumberFormat="1" applyFont="1" applyBorder="1" applyAlignment="1">
      <alignment horizontal="left" vertical="center"/>
    </xf>
    <xf numFmtId="0" fontId="8" fillId="0" borderId="0" xfId="0" applyFont="1" applyAlignment="1">
      <alignment vertical="center" wrapText="1"/>
    </xf>
    <xf numFmtId="0" fontId="9" fillId="0" borderId="0" xfId="10" applyFont="1" applyAlignment="1">
      <alignment horizontal="centerContinuous" vertical="center" wrapText="1"/>
    </xf>
    <xf numFmtId="0" fontId="9" fillId="0" borderId="0" xfId="10" applyFont="1" applyAlignment="1">
      <alignment horizontal="right" vertical="center" wrapText="1"/>
    </xf>
    <xf numFmtId="43" fontId="8" fillId="0" borderId="4" xfId="10" applyNumberFormat="1" applyFont="1" applyBorder="1" applyAlignment="1">
      <alignment vertical="center" wrapText="1"/>
    </xf>
    <xf numFmtId="43" fontId="9" fillId="0" borderId="4" xfId="91" applyFont="1" applyBorder="1" applyAlignment="1">
      <alignment horizontal="centerContinuous" vertical="center" wrapText="1"/>
    </xf>
    <xf numFmtId="43" fontId="8" fillId="0" borderId="4" xfId="10" applyNumberFormat="1" applyFont="1" applyBorder="1" applyAlignment="1">
      <alignment horizontal="left" vertical="center" wrapText="1"/>
    </xf>
    <xf numFmtId="0" fontId="24" fillId="0" borderId="0" xfId="10" applyFont="1" applyAlignment="1">
      <alignment horizontal="left" vertical="center" wrapText="1"/>
    </xf>
    <xf numFmtId="172" fontId="8" fillId="0" borderId="4" xfId="10" applyNumberFormat="1" applyFont="1" applyBorder="1" applyAlignment="1">
      <alignment horizontal="left" vertical="center"/>
    </xf>
    <xf numFmtId="172" fontId="8" fillId="7" borderId="4" xfId="10" applyNumberFormat="1" applyFont="1" applyFill="1" applyBorder="1" applyAlignment="1">
      <alignment horizontal="left" vertical="center"/>
    </xf>
    <xf numFmtId="172" fontId="8" fillId="0" borderId="4" xfId="10" applyNumberFormat="1" applyFont="1" applyBorder="1" applyAlignment="1">
      <alignment vertical="center"/>
    </xf>
    <xf numFmtId="172" fontId="8" fillId="0" borderId="4" xfId="10" applyNumberFormat="1" applyFont="1" applyBorder="1" applyAlignment="1">
      <alignment horizontal="left" vertical="center" wrapText="1"/>
    </xf>
    <xf numFmtId="172" fontId="8" fillId="7" borderId="4" xfId="10" applyNumberFormat="1" applyFont="1" applyFill="1" applyBorder="1" applyAlignment="1">
      <alignment horizontal="left" vertical="center" wrapText="1"/>
    </xf>
    <xf numFmtId="172" fontId="8" fillId="7" borderId="4" xfId="10" applyNumberFormat="1" applyFont="1" applyFill="1" applyBorder="1" applyAlignment="1">
      <alignment vertical="center"/>
    </xf>
    <xf numFmtId="172" fontId="26" fillId="0" borderId="4" xfId="10" applyNumberFormat="1" applyFont="1" applyBorder="1" applyAlignment="1">
      <alignment vertical="center"/>
    </xf>
    <xf numFmtId="172" fontId="9" fillId="0" borderId="4" xfId="10" applyNumberFormat="1" applyFont="1" applyBorder="1" applyAlignment="1">
      <alignment horizontal="left" vertical="center"/>
    </xf>
    <xf numFmtId="172" fontId="9" fillId="7" borderId="4" xfId="10" applyNumberFormat="1" applyFont="1" applyFill="1" applyBorder="1" applyAlignment="1">
      <alignment horizontal="left" vertical="center"/>
    </xf>
    <xf numFmtId="172" fontId="24" fillId="0" borderId="4" xfId="10" applyNumberFormat="1" applyFont="1" applyBorder="1" applyAlignment="1">
      <alignment horizontal="left" vertical="center"/>
    </xf>
    <xf numFmtId="172" fontId="9" fillId="0" borderId="4" xfId="91" applyNumberFormat="1" applyFont="1" applyBorder="1" applyAlignment="1">
      <alignment horizontal="centerContinuous" vertical="center"/>
    </xf>
    <xf numFmtId="172" fontId="26" fillId="0" borderId="4" xfId="91" applyNumberFormat="1" applyFont="1" applyBorder="1" applyAlignment="1">
      <alignment vertical="center"/>
    </xf>
    <xf numFmtId="172" fontId="9" fillId="0" borderId="4" xfId="91" applyNumberFormat="1" applyFont="1" applyBorder="1" applyAlignment="1">
      <alignment horizontal="left" vertical="center"/>
    </xf>
    <xf numFmtId="172" fontId="24" fillId="0" borderId="4" xfId="91" applyNumberFormat="1" applyFont="1" applyBorder="1" applyAlignment="1">
      <alignment horizontal="left" vertical="center"/>
    </xf>
    <xf numFmtId="43" fontId="9" fillId="0" borderId="0" xfId="91" applyFont="1" applyAlignment="1">
      <alignment horizontal="centerContinuous" vertical="center" wrapText="1"/>
    </xf>
    <xf numFmtId="43" fontId="9" fillId="0" borderId="0" xfId="91" applyFont="1" applyAlignment="1">
      <alignment horizontal="center" vertical="center" wrapText="1"/>
    </xf>
    <xf numFmtId="172" fontId="25" fillId="0" borderId="4" xfId="91" applyNumberFormat="1" applyFont="1" applyBorder="1" applyAlignment="1">
      <alignment horizontal="center" vertical="center"/>
    </xf>
    <xf numFmtId="172" fontId="25" fillId="0" borderId="4" xfId="91" applyNumberFormat="1" applyFont="1" applyBorder="1" applyAlignment="1">
      <alignment vertical="center"/>
    </xf>
    <xf numFmtId="0" fontId="56" fillId="0" borderId="7" xfId="10" applyFont="1" applyBorder="1"/>
    <xf numFmtId="43" fontId="57" fillId="0" borderId="0" xfId="91" applyFont="1"/>
    <xf numFmtId="172" fontId="99" fillId="0" borderId="4" xfId="91" applyNumberFormat="1" applyFont="1" applyBorder="1" applyAlignment="1">
      <alignment horizontal="right" vertical="center"/>
    </xf>
    <xf numFmtId="172" fontId="56" fillId="0" borderId="6" xfId="91" applyNumberFormat="1" applyFont="1" applyBorder="1"/>
    <xf numFmtId="172" fontId="57" fillId="0" borderId="4" xfId="91" applyNumberFormat="1" applyFont="1" applyBorder="1"/>
    <xf numFmtId="172" fontId="57" fillId="6" borderId="4" xfId="91" applyNumberFormat="1" applyFont="1" applyFill="1" applyBorder="1"/>
    <xf numFmtId="172" fontId="56" fillId="0" borderId="0" xfId="91" applyNumberFormat="1" applyFont="1"/>
    <xf numFmtId="172" fontId="57" fillId="0" borderId="0" xfId="91" applyNumberFormat="1" applyFont="1" applyAlignment="1">
      <alignment horizontal="center" vertical="center"/>
    </xf>
    <xf numFmtId="43" fontId="56" fillId="0" borderId="4" xfId="91" applyFont="1" applyBorder="1" applyAlignment="1">
      <alignment horizontal="center" vertical="center"/>
    </xf>
    <xf numFmtId="172" fontId="56" fillId="0" borderId="4" xfId="91" applyNumberFormat="1" applyFont="1" applyBorder="1" applyAlignment="1">
      <alignment horizontal="center" vertical="center"/>
    </xf>
    <xf numFmtId="43" fontId="56" fillId="0" borderId="4" xfId="91" applyFont="1" applyFill="1" applyBorder="1" applyAlignment="1">
      <alignment horizontal="center" vertical="center"/>
    </xf>
    <xf numFmtId="172" fontId="56" fillId="0" borderId="4" xfId="91" applyNumberFormat="1" applyFont="1" applyFill="1" applyBorder="1" applyAlignment="1">
      <alignment horizontal="center" vertical="center"/>
    </xf>
    <xf numFmtId="172" fontId="56" fillId="0" borderId="4" xfId="91" applyNumberFormat="1" applyFont="1" applyBorder="1" applyAlignment="1">
      <alignment horizontal="center"/>
    </xf>
    <xf numFmtId="180" fontId="56" fillId="0" borderId="0" xfId="10" applyNumberFormat="1" applyFont="1"/>
    <xf numFmtId="181" fontId="57" fillId="6" borderId="4" xfId="88" applyNumberFormat="1" applyFont="1" applyFill="1" applyBorder="1"/>
    <xf numFmtId="185" fontId="56" fillId="0" borderId="0" xfId="10" applyNumberFormat="1" applyFont="1"/>
    <xf numFmtId="43" fontId="56" fillId="0" borderId="0" xfId="91" applyFont="1" applyAlignment="1">
      <alignment horizontal="center"/>
    </xf>
    <xf numFmtId="172" fontId="57" fillId="31" borderId="4" xfId="91" applyNumberFormat="1" applyFont="1" applyFill="1" applyBorder="1"/>
    <xf numFmtId="9" fontId="8" fillId="0" borderId="0" xfId="92" applyFont="1" applyAlignment="1">
      <alignment vertical="center"/>
    </xf>
    <xf numFmtId="43" fontId="10" fillId="0" borderId="0" xfId="91" applyFont="1" applyAlignment="1">
      <alignment vertical="center"/>
    </xf>
    <xf numFmtId="0" fontId="107" fillId="4" borderId="7" xfId="10" applyFont="1" applyFill="1" applyBorder="1" applyAlignment="1">
      <alignment horizontal="center" vertical="center" wrapText="1"/>
    </xf>
    <xf numFmtId="170" fontId="8" fillId="0" borderId="4" xfId="14" applyNumberFormat="1" applyFont="1" applyBorder="1" applyAlignment="1">
      <alignment horizontal="center" vertical="center"/>
    </xf>
    <xf numFmtId="172" fontId="8" fillId="0" borderId="4" xfId="91" applyNumberFormat="1" applyFont="1" applyBorder="1" applyAlignment="1">
      <alignment horizontal="center" vertical="center"/>
    </xf>
    <xf numFmtId="172" fontId="9" fillId="0" borderId="4" xfId="91" applyNumberFormat="1" applyFont="1" applyBorder="1" applyAlignment="1">
      <alignment horizontal="center" vertical="center"/>
    </xf>
    <xf numFmtId="170" fontId="9" fillId="0" borderId="4" xfId="14" applyNumberFormat="1" applyFont="1" applyBorder="1" applyAlignment="1">
      <alignment horizontal="center" vertical="center"/>
    </xf>
    <xf numFmtId="170" fontId="8" fillId="0" borderId="7" xfId="14" applyNumberFormat="1" applyFont="1" applyBorder="1" applyAlignment="1">
      <alignment horizontal="center" vertical="center"/>
    </xf>
    <xf numFmtId="172" fontId="8" fillId="0" borderId="7" xfId="91" applyNumberFormat="1" applyFont="1" applyBorder="1" applyAlignment="1">
      <alignment horizontal="center" vertical="center"/>
    </xf>
    <xf numFmtId="172" fontId="9" fillId="0" borderId="7" xfId="91" applyNumberFormat="1" applyFont="1" applyBorder="1" applyAlignment="1">
      <alignment horizontal="center" vertical="center"/>
    </xf>
    <xf numFmtId="170" fontId="8" fillId="0" borderId="6" xfId="14" applyNumberFormat="1" applyFont="1" applyBorder="1" applyAlignment="1">
      <alignment horizontal="center" vertical="center"/>
    </xf>
    <xf numFmtId="172" fontId="8" fillId="0" borderId="6" xfId="91" applyNumberFormat="1" applyFont="1" applyBorder="1" applyAlignment="1">
      <alignment horizontal="center" vertical="center"/>
    </xf>
    <xf numFmtId="172" fontId="9" fillId="0" borderId="6" xfId="91" applyNumberFormat="1" applyFont="1" applyBorder="1" applyAlignment="1">
      <alignment horizontal="center" vertical="center"/>
    </xf>
    <xf numFmtId="0" fontId="8" fillId="9" borderId="0" xfId="10" applyFont="1" applyFill="1" applyAlignment="1">
      <alignment horizontal="center" vertical="center"/>
    </xf>
    <xf numFmtId="0" fontId="35" fillId="9" borderId="0" xfId="10" applyFont="1" applyFill="1" applyAlignment="1">
      <alignment horizontal="center" vertical="center"/>
    </xf>
    <xf numFmtId="172" fontId="9" fillId="0" borderId="0" xfId="91" applyNumberFormat="1" applyFont="1" applyBorder="1" applyAlignment="1">
      <alignment horizontal="left" vertical="center" wrapText="1"/>
    </xf>
    <xf numFmtId="172" fontId="8" fillId="0" borderId="0" xfId="91" applyNumberFormat="1" applyFont="1" applyBorder="1" applyAlignment="1">
      <alignment vertical="center"/>
    </xf>
    <xf numFmtId="175" fontId="8" fillId="0" borderId="4" xfId="91" applyNumberFormat="1" applyFont="1" applyBorder="1" applyAlignment="1">
      <alignment horizontal="center" vertical="center"/>
    </xf>
    <xf numFmtId="175" fontId="9" fillId="0" borderId="4" xfId="91" applyNumberFormat="1" applyFont="1" applyBorder="1" applyAlignment="1">
      <alignment horizontal="center" vertical="center"/>
    </xf>
    <xf numFmtId="43" fontId="9" fillId="0" borderId="4" xfId="10" applyNumberFormat="1" applyFont="1" applyBorder="1" applyAlignment="1">
      <alignment horizontal="center" vertical="center" wrapText="1"/>
    </xf>
    <xf numFmtId="170" fontId="8" fillId="0" borderId="0" xfId="14" applyNumberFormat="1" applyFont="1" applyAlignment="1">
      <alignment horizontal="center" vertical="center"/>
    </xf>
    <xf numFmtId="170" fontId="59" fillId="0" borderId="0" xfId="91" applyNumberFormat="1" applyFont="1"/>
    <xf numFmtId="172" fontId="8" fillId="0" borderId="0" xfId="14" applyNumberFormat="1" applyFont="1" applyAlignment="1">
      <alignment horizontal="center" vertical="center"/>
    </xf>
    <xf numFmtId="43" fontId="8" fillId="0" borderId="0" xfId="14" applyNumberFormat="1" applyFont="1" applyAlignment="1">
      <alignment horizontal="center" vertical="center"/>
    </xf>
    <xf numFmtId="10" fontId="8" fillId="0" borderId="0" xfId="92" applyNumberFormat="1" applyFont="1" applyAlignment="1">
      <alignment horizontal="center" vertical="center"/>
    </xf>
    <xf numFmtId="10" fontId="8" fillId="0" borderId="0" xfId="92" applyNumberFormat="1" applyFont="1"/>
    <xf numFmtId="43" fontId="9" fillId="0" borderId="4" xfId="91" applyFont="1" applyBorder="1" applyAlignment="1">
      <alignment vertical="center"/>
    </xf>
    <xf numFmtId="172" fontId="8" fillId="5" borderId="4" xfId="91" applyNumberFormat="1" applyFont="1" applyFill="1" applyBorder="1" applyAlignment="1">
      <alignment horizontal="left"/>
    </xf>
    <xf numFmtId="172" fontId="33" fillId="7" borderId="4" xfId="91" applyNumberFormat="1" applyFont="1" applyFill="1" applyBorder="1"/>
    <xf numFmtId="172" fontId="9" fillId="5" borderId="4" xfId="91" applyNumberFormat="1" applyFont="1" applyFill="1" applyBorder="1" applyAlignment="1">
      <alignment horizontal="left"/>
    </xf>
    <xf numFmtId="172" fontId="9" fillId="0" borderId="4" xfId="91" applyNumberFormat="1" applyFont="1" applyBorder="1" applyAlignment="1">
      <alignment vertical="center"/>
    </xf>
    <xf numFmtId="10" fontId="33" fillId="7" borderId="4" xfId="92" applyNumberFormat="1" applyFont="1" applyFill="1" applyBorder="1"/>
    <xf numFmtId="0" fontId="83" fillId="0" borderId="0" xfId="14" applyFont="1">
      <alignment vertical="center"/>
    </xf>
    <xf numFmtId="0" fontId="83" fillId="0" borderId="4" xfId="14" applyFont="1" applyBorder="1">
      <alignment vertical="center"/>
    </xf>
    <xf numFmtId="172" fontId="8" fillId="5" borderId="4" xfId="91" applyNumberFormat="1" applyFont="1" applyFill="1" applyBorder="1" applyAlignment="1">
      <alignment horizontal="center" vertical="center"/>
    </xf>
    <xf numFmtId="43" fontId="8" fillId="5" borderId="4" xfId="91" applyFont="1" applyFill="1" applyBorder="1" applyAlignment="1">
      <alignment vertical="center"/>
    </xf>
    <xf numFmtId="43" fontId="9" fillId="5" borderId="4" xfId="91" applyFont="1" applyFill="1" applyBorder="1" applyAlignment="1">
      <alignment vertical="center"/>
    </xf>
    <xf numFmtId="14" fontId="10" fillId="0" borderId="4" xfId="0" applyNumberFormat="1" applyFont="1" applyBorder="1" applyAlignment="1">
      <alignment horizontal="center" vertical="center"/>
    </xf>
    <xf numFmtId="10" fontId="62" fillId="0" borderId="4" xfId="96" applyNumberFormat="1" applyFont="1" applyBorder="1" applyAlignment="1">
      <alignment horizontal="center" vertical="center"/>
    </xf>
    <xf numFmtId="10" fontId="96" fillId="30" borderId="4" xfId="98" applyNumberFormat="1" applyFont="1" applyFill="1" applyBorder="1" applyAlignment="1">
      <alignment horizontal="center" vertical="center"/>
    </xf>
    <xf numFmtId="10" fontId="62" fillId="0" borderId="4" xfId="109" applyNumberFormat="1" applyFont="1" applyBorder="1" applyAlignment="1">
      <alignment horizontal="center" vertical="center"/>
    </xf>
    <xf numFmtId="10" fontId="96" fillId="30" borderId="4" xfId="111" applyNumberFormat="1" applyFont="1" applyFill="1" applyBorder="1" applyAlignment="1">
      <alignment horizontal="center" vertical="center"/>
    </xf>
    <xf numFmtId="0" fontId="62" fillId="0" borderId="0" xfId="96" applyFont="1" applyAlignment="1">
      <alignment horizontal="center" vertical="center"/>
    </xf>
    <xf numFmtId="10" fontId="8" fillId="5" borderId="4" xfId="92" applyNumberFormat="1" applyFont="1" applyFill="1" applyBorder="1" applyAlignment="1">
      <alignment horizontal="center" vertical="center"/>
    </xf>
    <xf numFmtId="172" fontId="8" fillId="5" borderId="4" xfId="91" applyNumberFormat="1" applyFont="1" applyFill="1" applyBorder="1" applyAlignment="1">
      <alignment horizontal="center"/>
    </xf>
    <xf numFmtId="172" fontId="8" fillId="0" borderId="4" xfId="91" applyNumberFormat="1" applyFont="1" applyBorder="1" applyAlignment="1">
      <alignment vertical="center" wrapText="1"/>
    </xf>
    <xf numFmtId="43" fontId="9" fillId="0" borderId="4" xfId="91" applyFont="1" applyBorder="1"/>
    <xf numFmtId="179" fontId="8" fillId="0" borderId="4" xfId="91" applyNumberFormat="1" applyFont="1" applyBorder="1" applyAlignment="1">
      <alignment horizontal="left" vertical="center" wrapText="1"/>
    </xf>
    <xf numFmtId="179" fontId="8" fillId="0" borderId="4" xfId="91" applyNumberFormat="1" applyFont="1" applyBorder="1" applyAlignment="1">
      <alignment horizontal="left" vertical="center"/>
    </xf>
    <xf numFmtId="179" fontId="8" fillId="0" borderId="4" xfId="91" applyNumberFormat="1" applyFont="1" applyBorder="1" applyAlignment="1">
      <alignment vertical="center"/>
    </xf>
    <xf numFmtId="179" fontId="8" fillId="7" borderId="4" xfId="91" applyNumberFormat="1" applyFont="1" applyFill="1" applyBorder="1" applyAlignment="1">
      <alignment horizontal="left" vertical="center" wrapText="1"/>
    </xf>
    <xf numFmtId="179" fontId="9" fillId="7" borderId="4" xfId="14" applyNumberFormat="1" applyFont="1" applyFill="1" applyBorder="1" applyAlignment="1">
      <alignment horizontal="left" vertical="center" wrapText="1"/>
    </xf>
    <xf numFmtId="179" fontId="8" fillId="7" borderId="4" xfId="14" applyNumberFormat="1" applyFont="1" applyFill="1" applyBorder="1" applyAlignment="1">
      <alignment horizontal="left" vertical="center" wrapText="1"/>
    </xf>
    <xf numFmtId="179" fontId="8" fillId="7" borderId="4" xfId="14" applyNumberFormat="1" applyFont="1" applyFill="1" applyBorder="1" applyAlignment="1">
      <alignment horizontal="left" vertical="center"/>
    </xf>
    <xf numFmtId="179" fontId="8" fillId="0" borderId="4" xfId="14" applyNumberFormat="1" applyFont="1" applyBorder="1">
      <alignment vertical="center"/>
    </xf>
    <xf numFmtId="188" fontId="8" fillId="7" borderId="4" xfId="91" applyNumberFormat="1" applyFont="1" applyFill="1" applyBorder="1" applyAlignment="1">
      <alignment horizontal="left" vertical="center" wrapText="1"/>
    </xf>
    <xf numFmtId="188" fontId="8" fillId="7" borderId="4" xfId="91" applyNumberFormat="1" applyFont="1" applyFill="1" applyBorder="1" applyAlignment="1">
      <alignment horizontal="left" vertical="center"/>
    </xf>
    <xf numFmtId="188" fontId="8" fillId="0" borderId="4" xfId="91" applyNumberFormat="1" applyFont="1" applyBorder="1" applyAlignment="1">
      <alignment vertical="center"/>
    </xf>
    <xf numFmtId="188" fontId="9" fillId="7" borderId="4" xfId="91" applyNumberFormat="1" applyFont="1" applyFill="1" applyBorder="1" applyAlignment="1">
      <alignment horizontal="left" vertical="center" wrapText="1"/>
    </xf>
    <xf numFmtId="188" fontId="9" fillId="0" borderId="4" xfId="91" applyNumberFormat="1" applyFont="1" applyBorder="1" applyAlignment="1">
      <alignment horizontal="left" vertical="center" wrapText="1"/>
    </xf>
    <xf numFmtId="172" fontId="8" fillId="5" borderId="4" xfId="91" applyNumberFormat="1" applyFont="1" applyFill="1" applyBorder="1" applyAlignment="1">
      <alignment horizontal="left" vertical="center" wrapText="1"/>
    </xf>
    <xf numFmtId="10" fontId="8" fillId="0" borderId="4" xfId="14" applyNumberFormat="1" applyFont="1" applyBorder="1" applyAlignment="1">
      <alignment vertical="top" wrapText="1"/>
    </xf>
    <xf numFmtId="189" fontId="8" fillId="0" borderId="4" xfId="14" applyNumberFormat="1" applyFont="1" applyBorder="1" applyAlignment="1">
      <alignment vertical="top" wrapText="1"/>
    </xf>
    <xf numFmtId="10" fontId="8" fillId="0" borderId="4" xfId="92" applyNumberFormat="1" applyFont="1" applyBorder="1" applyAlignment="1">
      <alignment vertical="top" wrapText="1"/>
    </xf>
    <xf numFmtId="10" fontId="8" fillId="0" borderId="4" xfId="14" applyNumberFormat="1" applyFont="1" applyBorder="1">
      <alignment vertical="center"/>
    </xf>
    <xf numFmtId="0" fontId="8" fillId="0" borderId="4" xfId="101" applyFont="1" applyBorder="1"/>
    <xf numFmtId="10" fontId="8" fillId="0" borderId="4" xfId="101" applyNumberFormat="1" applyFont="1" applyBorder="1" applyAlignment="1">
      <alignment horizontal="center"/>
    </xf>
    <xf numFmtId="10" fontId="8" fillId="18" borderId="4" xfId="101" applyNumberFormat="1" applyFont="1" applyFill="1" applyBorder="1" applyAlignment="1">
      <alignment horizontal="center"/>
    </xf>
    <xf numFmtId="43" fontId="9" fillId="0" borderId="4" xfId="14" applyNumberFormat="1" applyFont="1" applyBorder="1">
      <alignment vertical="center"/>
    </xf>
    <xf numFmtId="10" fontId="9" fillId="0" borderId="4" xfId="92" applyNumberFormat="1" applyFont="1" applyBorder="1" applyAlignment="1">
      <alignment vertical="center"/>
    </xf>
    <xf numFmtId="0" fontId="8" fillId="0" borderId="4" xfId="0" applyFont="1" applyBorder="1" applyAlignment="1">
      <alignment horizontal="left" vertical="center" wrapText="1"/>
    </xf>
    <xf numFmtId="0" fontId="8" fillId="0" borderId="4" xfId="0" applyFont="1" applyBorder="1" applyAlignment="1">
      <alignment horizontal="left" vertical="center"/>
    </xf>
    <xf numFmtId="0" fontId="9" fillId="0" borderId="4" xfId="0" applyFont="1" applyBorder="1" applyAlignment="1">
      <alignment horizontal="left" vertical="center"/>
    </xf>
    <xf numFmtId="164" fontId="8" fillId="0" borderId="4" xfId="0" applyNumberFormat="1" applyFont="1" applyBorder="1"/>
    <xf numFmtId="10" fontId="8" fillId="0" borderId="4" xfId="89" applyNumberFormat="1" applyFont="1" applyBorder="1"/>
    <xf numFmtId="10" fontId="8" fillId="0" borderId="4" xfId="0" applyNumberFormat="1" applyFont="1" applyBorder="1"/>
    <xf numFmtId="9" fontId="8" fillId="0" borderId="4" xfId="14" applyNumberFormat="1" applyFont="1" applyBorder="1">
      <alignment vertical="center"/>
    </xf>
    <xf numFmtId="172" fontId="8" fillId="0" borderId="4" xfId="14" applyNumberFormat="1" applyFont="1" applyBorder="1">
      <alignment vertical="center"/>
    </xf>
    <xf numFmtId="180" fontId="8" fillId="0" borderId="4" xfId="14" applyNumberFormat="1" applyFont="1" applyBorder="1">
      <alignment vertical="center"/>
    </xf>
    <xf numFmtId="0" fontId="83" fillId="0" borderId="4" xfId="10" applyFont="1" applyBorder="1" applyAlignment="1">
      <alignment vertical="top" wrapText="1"/>
    </xf>
    <xf numFmtId="0" fontId="83" fillId="0" borderId="4" xfId="10" applyFont="1" applyBorder="1" applyAlignment="1">
      <alignment horizontal="left" vertical="top" wrapText="1"/>
    </xf>
    <xf numFmtId="0" fontId="83" fillId="0" borderId="4" xfId="10" applyFont="1" applyBorder="1" applyAlignment="1">
      <alignment vertical="top"/>
    </xf>
    <xf numFmtId="0" fontId="83" fillId="7" borderId="4" xfId="10" applyFont="1" applyFill="1" applyBorder="1" applyAlignment="1">
      <alignment vertical="top"/>
    </xf>
    <xf numFmtId="43" fontId="56" fillId="0" borderId="4" xfId="91" applyFont="1" applyFill="1" applyBorder="1"/>
    <xf numFmtId="43" fontId="8" fillId="0" borderId="4" xfId="10" applyNumberFormat="1" applyFont="1" applyBorder="1" applyAlignment="1">
      <alignment horizontal="center" vertical="center" wrapText="1"/>
    </xf>
    <xf numFmtId="172" fontId="8" fillId="0" borderId="4" xfId="10" applyNumberFormat="1" applyFont="1" applyBorder="1" applyAlignment="1">
      <alignment horizontal="center" vertical="center"/>
    </xf>
    <xf numFmtId="172" fontId="8" fillId="0" borderId="0" xfId="14" applyNumberFormat="1" applyFont="1">
      <alignment vertical="center"/>
    </xf>
    <xf numFmtId="43" fontId="8" fillId="0" borderId="4" xfId="91" quotePrefix="1" applyFont="1" applyBorder="1" applyAlignment="1">
      <alignment vertical="center"/>
    </xf>
    <xf numFmtId="43" fontId="8" fillId="0" borderId="4" xfId="14" quotePrefix="1" applyNumberFormat="1" applyFont="1" applyBorder="1">
      <alignment vertical="center"/>
    </xf>
    <xf numFmtId="172" fontId="15" fillId="0" borderId="4" xfId="91" applyNumberFormat="1" applyFont="1" applyBorder="1" applyAlignment="1">
      <alignment vertical="center"/>
    </xf>
    <xf numFmtId="172" fontId="8" fillId="7" borderId="4" xfId="91" applyNumberFormat="1" applyFont="1" applyFill="1" applyBorder="1" applyAlignment="1">
      <alignment horizontal="left"/>
    </xf>
    <xf numFmtId="172" fontId="0" fillId="7" borderId="4" xfId="91" applyNumberFormat="1" applyFont="1" applyFill="1" applyBorder="1" applyAlignment="1">
      <alignment horizontal="center" wrapText="1"/>
    </xf>
    <xf numFmtId="0" fontId="8" fillId="0" borderId="4" xfId="91" applyNumberFormat="1" applyFont="1" applyBorder="1" applyAlignment="1">
      <alignment vertical="top" wrapText="1"/>
    </xf>
    <xf numFmtId="43" fontId="8" fillId="0" borderId="0" xfId="14" applyNumberFormat="1" applyFont="1" applyAlignment="1">
      <alignment vertical="center" wrapText="1"/>
    </xf>
    <xf numFmtId="43" fontId="59" fillId="0" borderId="4" xfId="91" applyFont="1" applyBorder="1" applyAlignment="1">
      <alignment horizontal="center" vertical="center"/>
    </xf>
    <xf numFmtId="43" fontId="58" fillId="0" borderId="4" xfId="91" applyFont="1" applyBorder="1" applyAlignment="1">
      <alignment horizontal="center" vertical="center"/>
    </xf>
    <xf numFmtId="179" fontId="58" fillId="0" borderId="4" xfId="91" applyNumberFormat="1" applyFont="1" applyBorder="1" applyAlignment="1">
      <alignment horizontal="center" vertical="center"/>
    </xf>
    <xf numFmtId="179" fontId="59" fillId="0" borderId="4" xfId="91" applyNumberFormat="1" applyFont="1" applyBorder="1" applyAlignment="1">
      <alignment horizontal="center" vertical="center"/>
    </xf>
    <xf numFmtId="179" fontId="59" fillId="0" borderId="4" xfId="85" applyNumberFormat="1" applyFont="1" applyBorder="1" applyAlignment="1">
      <alignment horizontal="center" vertical="center"/>
    </xf>
    <xf numFmtId="0" fontId="107" fillId="0" borderId="0" xfId="14" applyFont="1">
      <alignment vertical="center"/>
    </xf>
    <xf numFmtId="0" fontId="108" fillId="0" borderId="4" xfId="113" applyFont="1" applyBorder="1"/>
    <xf numFmtId="0" fontId="83" fillId="0" borderId="11" xfId="113" applyFont="1" applyBorder="1"/>
    <xf numFmtId="0" fontId="109" fillId="0" borderId="4" xfId="114" applyFont="1" applyBorder="1" applyAlignment="1">
      <alignment horizontal="left"/>
    </xf>
    <xf numFmtId="0" fontId="108" fillId="0" borderId="4" xfId="114" applyFont="1" applyBorder="1" applyAlignment="1">
      <alignment horizontal="left"/>
    </xf>
    <xf numFmtId="0" fontId="110" fillId="0" borderId="4" xfId="113" applyFont="1" applyBorder="1"/>
    <xf numFmtId="0" fontId="111" fillId="0" borderId="4" xfId="114" applyFont="1" applyBorder="1" applyAlignment="1">
      <alignment horizontal="left"/>
    </xf>
    <xf numFmtId="0" fontId="107" fillId="0" borderId="4" xfId="14" applyFont="1" applyBorder="1">
      <alignment vertical="center"/>
    </xf>
    <xf numFmtId="168" fontId="108" fillId="0" borderId="4" xfId="88" applyNumberFormat="1" applyFont="1" applyFill="1" applyBorder="1"/>
    <xf numFmtId="168" fontId="108" fillId="0" borderId="4" xfId="88" applyNumberFormat="1" applyFont="1" applyBorder="1"/>
    <xf numFmtId="168" fontId="108" fillId="0" borderId="0" xfId="88" applyNumberFormat="1" applyFont="1" applyAlignment="1">
      <alignment vertical="center"/>
    </xf>
    <xf numFmtId="168" fontId="108" fillId="0" borderId="4" xfId="88" applyNumberFormat="1" applyFont="1" applyBorder="1" applyAlignment="1">
      <alignment vertical="center"/>
    </xf>
    <xf numFmtId="168" fontId="2" fillId="0" borderId="4" xfId="88" applyNumberFormat="1" applyFont="1" applyBorder="1"/>
    <xf numFmtId="164" fontId="83" fillId="0" borderId="4" xfId="20" applyFont="1" applyBorder="1" applyAlignment="1">
      <alignment vertical="center"/>
    </xf>
    <xf numFmtId="179" fontId="59" fillId="0" borderId="7" xfId="85" applyNumberFormat="1" applyFont="1" applyBorder="1" applyAlignment="1">
      <alignment vertical="center"/>
    </xf>
    <xf numFmtId="164" fontId="59" fillId="0" borderId="4" xfId="85" applyNumberFormat="1" applyFont="1" applyBorder="1" applyAlignment="1">
      <alignment vertical="center"/>
    </xf>
    <xf numFmtId="43" fontId="59" fillId="0" borderId="4" xfId="91" applyFont="1" applyBorder="1" applyAlignment="1">
      <alignment vertical="center"/>
    </xf>
    <xf numFmtId="179" fontId="59" fillId="0" borderId="4" xfId="85" applyNumberFormat="1" applyFont="1" applyBorder="1" applyAlignment="1">
      <alignment vertical="center"/>
    </xf>
    <xf numFmtId="10" fontId="30" fillId="0" borderId="4" xfId="69" applyNumberFormat="1" applyFont="1" applyBorder="1" applyAlignment="1">
      <alignment vertical="center"/>
    </xf>
    <xf numFmtId="164" fontId="42" fillId="0" borderId="0" xfId="70" applyNumberFormat="1" applyFont="1" applyBorder="1" applyAlignment="1">
      <alignment vertical="center"/>
    </xf>
    <xf numFmtId="10" fontId="29" fillId="0" borderId="4" xfId="92" applyNumberFormat="1" applyFont="1" applyBorder="1" applyAlignment="1">
      <alignment vertical="center"/>
    </xf>
    <xf numFmtId="170" fontId="8" fillId="5" borderId="4" xfId="91" applyNumberFormat="1" applyFont="1" applyFill="1" applyBorder="1" applyAlignment="1">
      <alignment vertical="center"/>
    </xf>
    <xf numFmtId="170" fontId="8" fillId="5" borderId="4" xfId="14" applyNumberFormat="1" applyFont="1" applyFill="1" applyBorder="1">
      <alignment vertical="center"/>
    </xf>
    <xf numFmtId="170" fontId="9" fillId="5" borderId="4" xfId="14" applyNumberFormat="1" applyFont="1" applyFill="1" applyBorder="1">
      <alignment vertical="center"/>
    </xf>
    <xf numFmtId="175" fontId="9" fillId="5" borderId="4" xfId="91" applyNumberFormat="1" applyFont="1" applyFill="1" applyBorder="1" applyAlignment="1">
      <alignment vertical="center"/>
    </xf>
    <xf numFmtId="176" fontId="9" fillId="5" borderId="4" xfId="91" applyNumberFormat="1" applyFont="1" applyFill="1" applyBorder="1" applyAlignment="1">
      <alignment vertical="center"/>
    </xf>
    <xf numFmtId="0" fontId="112" fillId="0" borderId="4" xfId="0" applyFont="1" applyBorder="1"/>
    <xf numFmtId="43" fontId="113" fillId="0" borderId="4" xfId="91" applyFont="1" applyBorder="1"/>
    <xf numFmtId="0" fontId="29" fillId="0" borderId="4" xfId="0" applyFont="1" applyBorder="1" applyAlignment="1">
      <alignment horizontal="center" vertical="center" wrapText="1"/>
    </xf>
    <xf numFmtId="0" fontId="30" fillId="0" borderId="4" xfId="0" applyFont="1" applyBorder="1" applyAlignment="1">
      <alignment vertical="center"/>
    </xf>
    <xf numFmtId="0" fontId="29" fillId="0" borderId="4" xfId="0" applyFont="1" applyBorder="1" applyAlignment="1">
      <alignment vertical="center"/>
    </xf>
    <xf numFmtId="43" fontId="30" fillId="0" borderId="4" xfId="91" applyFont="1" applyBorder="1" applyAlignment="1">
      <alignment vertical="center"/>
    </xf>
    <xf numFmtId="0" fontId="114" fillId="0" borderId="4" xfId="0" applyFont="1" applyBorder="1" applyAlignment="1">
      <alignment horizontal="left" vertical="center" wrapText="1"/>
    </xf>
    <xf numFmtId="0" fontId="41" fillId="0" borderId="4" xfId="0" applyFont="1" applyBorder="1" applyAlignment="1">
      <alignment horizontal="left" vertical="center" wrapText="1"/>
    </xf>
    <xf numFmtId="0" fontId="29" fillId="14" borderId="4" xfId="0" applyFont="1" applyFill="1" applyBorder="1" applyAlignment="1">
      <alignment horizontal="center" vertical="center"/>
    </xf>
    <xf numFmtId="0" fontId="29" fillId="14" borderId="4" xfId="0" applyFont="1" applyFill="1" applyBorder="1" applyAlignment="1">
      <alignment horizontal="center" vertical="center" wrapText="1"/>
    </xf>
    <xf numFmtId="0" fontId="10" fillId="14" borderId="4" xfId="0" applyFont="1" applyFill="1" applyBorder="1" applyAlignment="1">
      <alignment horizontal="center" vertical="center"/>
    </xf>
    <xf numFmtId="0" fontId="29" fillId="14" borderId="3" xfId="0" applyFont="1" applyFill="1" applyBorder="1" applyAlignment="1">
      <alignment horizontal="center" vertical="center"/>
    </xf>
    <xf numFmtId="43" fontId="29" fillId="14" borderId="4" xfId="91" applyFont="1" applyFill="1" applyBorder="1" applyAlignment="1">
      <alignment horizontal="center" vertical="center" wrapText="1"/>
    </xf>
    <xf numFmtId="43" fontId="29" fillId="14" borderId="8" xfId="91" applyFont="1" applyFill="1" applyBorder="1" applyAlignment="1">
      <alignment horizontal="center" vertical="center"/>
    </xf>
    <xf numFmtId="0" fontId="30" fillId="0" borderId="4" xfId="0" applyFont="1" applyBorder="1" applyAlignment="1">
      <alignment vertical="center" wrapText="1"/>
    </xf>
    <xf numFmtId="0" fontId="10" fillId="0" borderId="0" xfId="0" applyFont="1" applyAlignment="1">
      <alignment vertical="center" wrapText="1"/>
    </xf>
    <xf numFmtId="172" fontId="9" fillId="0" borderId="0" xfId="91" applyNumberFormat="1" applyFont="1" applyAlignment="1">
      <alignment horizontal="center" vertical="top"/>
    </xf>
    <xf numFmtId="172" fontId="8" fillId="5" borderId="0" xfId="91" applyNumberFormat="1" applyFont="1" applyFill="1" applyAlignment="1">
      <alignment vertical="center"/>
    </xf>
    <xf numFmtId="172" fontId="9" fillId="5" borderId="4" xfId="91" applyNumberFormat="1" applyFont="1" applyFill="1" applyBorder="1" applyAlignment="1">
      <alignment horizontal="center" vertical="center" wrapText="1"/>
    </xf>
    <xf numFmtId="172" fontId="8" fillId="5" borderId="0" xfId="91" applyNumberFormat="1" applyFont="1" applyFill="1"/>
    <xf numFmtId="190" fontId="9" fillId="4" borderId="4" xfId="91" applyNumberFormat="1" applyFont="1" applyFill="1" applyBorder="1" applyAlignment="1">
      <alignment horizontal="center" vertical="center" wrapText="1"/>
    </xf>
    <xf numFmtId="170" fontId="9" fillId="0" borderId="0" xfId="91" applyNumberFormat="1" applyFont="1" applyAlignment="1">
      <alignment horizontal="center" vertical="top"/>
    </xf>
    <xf numFmtId="170" fontId="8" fillId="5" borderId="0" xfId="91" applyNumberFormat="1" applyFont="1" applyFill="1" applyAlignment="1">
      <alignment vertical="center"/>
    </xf>
    <xf numFmtId="170" fontId="9" fillId="4" borderId="4" xfId="91" applyNumberFormat="1" applyFont="1" applyFill="1" applyBorder="1" applyAlignment="1">
      <alignment horizontal="center" vertical="center" wrapText="1"/>
    </xf>
    <xf numFmtId="170" fontId="9" fillId="5" borderId="4" xfId="91" applyNumberFormat="1" applyFont="1" applyFill="1" applyBorder="1" applyAlignment="1">
      <alignment horizontal="center" vertical="center" wrapText="1"/>
    </xf>
    <xf numFmtId="170" fontId="9" fillId="5" borderId="4" xfId="91" applyNumberFormat="1" applyFont="1" applyFill="1" applyBorder="1" applyAlignment="1">
      <alignment vertical="center"/>
    </xf>
    <xf numFmtId="170" fontId="8" fillId="5" borderId="0" xfId="91" applyNumberFormat="1" applyFont="1" applyFill="1"/>
    <xf numFmtId="170" fontId="8" fillId="0" borderId="0" xfId="91" applyNumberFormat="1" applyFont="1"/>
    <xf numFmtId="9" fontId="8" fillId="0" borderId="0" xfId="10" applyNumberFormat="1" applyFont="1"/>
    <xf numFmtId="0" fontId="10" fillId="14" borderId="4" xfId="0" applyFont="1" applyFill="1" applyBorder="1" applyAlignment="1">
      <alignment vertical="center"/>
    </xf>
    <xf numFmtId="0" fontId="112" fillId="14" borderId="4" xfId="0" applyFont="1" applyFill="1" applyBorder="1" applyAlignment="1">
      <alignment horizontal="center" vertical="center" wrapText="1"/>
    </xf>
    <xf numFmtId="43" fontId="30" fillId="0" borderId="4" xfId="91" applyFont="1" applyBorder="1"/>
    <xf numFmtId="0" fontId="42" fillId="14" borderId="4" xfId="0" applyFont="1" applyFill="1" applyBorder="1" applyAlignment="1">
      <alignment horizontal="center" vertical="center" wrapText="1"/>
    </xf>
    <xf numFmtId="43" fontId="42" fillId="14" borderId="4" xfId="91" applyFont="1" applyFill="1" applyBorder="1" applyAlignment="1">
      <alignment horizontal="center" vertical="center" wrapText="1"/>
    </xf>
    <xf numFmtId="0" fontId="42" fillId="0" borderId="4" xfId="0" applyFont="1" applyBorder="1" applyAlignment="1">
      <alignment horizontal="center" vertical="center" wrapText="1"/>
    </xf>
    <xf numFmtId="43" fontId="42" fillId="0" borderId="4" xfId="91" applyFont="1" applyFill="1" applyBorder="1" applyAlignment="1">
      <alignment horizontal="center" vertical="center" wrapText="1"/>
    </xf>
    <xf numFmtId="43" fontId="42" fillId="0" borderId="4" xfId="0" applyNumberFormat="1" applyFont="1" applyBorder="1" applyAlignment="1">
      <alignment horizontal="center" vertical="center" wrapText="1"/>
    </xf>
    <xf numFmtId="172" fontId="10" fillId="0" borderId="4" xfId="0" applyNumberFormat="1" applyFont="1" applyBorder="1" applyAlignment="1">
      <alignment horizontal="center" vertical="center" wrapText="1"/>
    </xf>
    <xf numFmtId="172" fontId="42" fillId="0" borderId="4" xfId="91" applyNumberFormat="1" applyFont="1" applyFill="1" applyBorder="1" applyAlignment="1">
      <alignment horizontal="center" vertical="center" wrapText="1"/>
    </xf>
    <xf numFmtId="172" fontId="42" fillId="0" borderId="4" xfId="0" applyNumberFormat="1" applyFont="1" applyBorder="1" applyAlignment="1">
      <alignment horizontal="center" vertical="center" wrapText="1"/>
    </xf>
    <xf numFmtId="2" fontId="69" fillId="0" borderId="4" xfId="96" applyNumberFormat="1" applyFont="1" applyBorder="1" applyAlignment="1">
      <alignment horizontal="center" vertical="center" shrinkToFit="1" readingOrder="1"/>
    </xf>
    <xf numFmtId="2" fontId="70" fillId="0" borderId="4" xfId="96" applyNumberFormat="1" applyFont="1" applyBorder="1" applyAlignment="1">
      <alignment horizontal="center" vertical="center" shrinkToFit="1" readingOrder="1"/>
    </xf>
    <xf numFmtId="172" fontId="42" fillId="0" borderId="4" xfId="0" applyNumberFormat="1" applyFont="1" applyBorder="1" applyAlignment="1">
      <alignment vertical="center"/>
    </xf>
    <xf numFmtId="10" fontId="113" fillId="0" borderId="4" xfId="91" applyNumberFormat="1" applyFont="1" applyBorder="1"/>
    <xf numFmtId="10" fontId="113" fillId="0" borderId="4" xfId="92" applyNumberFormat="1" applyFont="1" applyBorder="1"/>
    <xf numFmtId="172" fontId="42" fillId="0" borderId="4" xfId="91" applyNumberFormat="1" applyFont="1" applyBorder="1" applyAlignment="1">
      <alignment vertical="center"/>
    </xf>
    <xf numFmtId="172" fontId="10" fillId="0" borderId="0" xfId="91" applyNumberFormat="1" applyFont="1" applyAlignment="1">
      <alignment vertical="center"/>
    </xf>
    <xf numFmtId="43" fontId="8" fillId="0" borderId="4" xfId="10" applyNumberFormat="1" applyFont="1" applyBorder="1"/>
    <xf numFmtId="43" fontId="8" fillId="5" borderId="4" xfId="14" applyNumberFormat="1" applyFont="1" applyFill="1" applyBorder="1">
      <alignment vertical="center"/>
    </xf>
    <xf numFmtId="0" fontId="41" fillId="0" borderId="4" xfId="0" applyFont="1" applyBorder="1" applyAlignment="1">
      <alignment horizontal="left" vertical="center" indent="1"/>
    </xf>
    <xf numFmtId="0" fontId="115" fillId="0" borderId="4" xfId="0" applyFont="1" applyBorder="1" applyAlignment="1">
      <alignment horizontal="left" vertical="center" wrapText="1" indent="1"/>
    </xf>
    <xf numFmtId="0" fontId="115" fillId="0" borderId="4" xfId="0" applyFont="1" applyBorder="1" applyAlignment="1">
      <alignment horizontal="left" vertical="center" wrapText="1"/>
    </xf>
    <xf numFmtId="0" fontId="58" fillId="0" borderId="4" xfId="0" applyFont="1" applyBorder="1" applyAlignment="1">
      <alignment horizontal="left" vertical="center" wrapText="1"/>
    </xf>
    <xf numFmtId="9" fontId="9" fillId="0" borderId="0" xfId="10" applyNumberFormat="1" applyFont="1"/>
    <xf numFmtId="43" fontId="9" fillId="5" borderId="4" xfId="14" applyNumberFormat="1" applyFont="1" applyFill="1" applyBorder="1">
      <alignment vertical="center"/>
    </xf>
    <xf numFmtId="43" fontId="9" fillId="0" borderId="4" xfId="10" applyNumberFormat="1" applyFont="1" applyBorder="1"/>
    <xf numFmtId="0" fontId="116" fillId="32" borderId="4" xfId="0" applyFont="1" applyFill="1" applyBorder="1" applyAlignment="1">
      <alignment horizontal="center" wrapText="1"/>
    </xf>
    <xf numFmtId="0" fontId="116" fillId="32" borderId="6" xfId="0" applyFont="1" applyFill="1" applyBorder="1" applyAlignment="1">
      <alignment horizontal="center" wrapText="1"/>
    </xf>
    <xf numFmtId="0" fontId="117" fillId="32" borderId="6" xfId="0" applyFont="1" applyFill="1" applyBorder="1" applyAlignment="1">
      <alignment wrapText="1"/>
    </xf>
    <xf numFmtId="0" fontId="117" fillId="32" borderId="16" xfId="0" applyFont="1" applyFill="1" applyBorder="1" applyAlignment="1">
      <alignment wrapText="1"/>
    </xf>
    <xf numFmtId="0" fontId="116" fillId="32" borderId="6" xfId="0" applyFont="1" applyFill="1" applyBorder="1" applyAlignment="1">
      <alignment wrapText="1"/>
    </xf>
    <xf numFmtId="0" fontId="116" fillId="32" borderId="16" xfId="0" applyFont="1" applyFill="1" applyBorder="1" applyAlignment="1">
      <alignment wrapText="1"/>
    </xf>
    <xf numFmtId="0" fontId="8" fillId="0" borderId="0" xfId="0" applyFont="1" applyAlignment="1">
      <alignment horizontal="center"/>
    </xf>
    <xf numFmtId="0" fontId="116" fillId="8" borderId="8" xfId="0" applyFont="1" applyFill="1" applyBorder="1" applyAlignment="1">
      <alignment horizontal="center" wrapText="1"/>
    </xf>
    <xf numFmtId="0" fontId="116" fillId="8" borderId="16" xfId="0" applyFont="1" applyFill="1" applyBorder="1" applyAlignment="1">
      <alignment horizontal="center" wrapText="1"/>
    </xf>
    <xf numFmtId="43" fontId="116" fillId="32" borderId="16" xfId="91" applyFont="1" applyFill="1" applyBorder="1" applyAlignment="1">
      <alignment wrapText="1"/>
    </xf>
    <xf numFmtId="172" fontId="117" fillId="32" borderId="16" xfId="0" applyNumberFormat="1" applyFont="1" applyFill="1" applyBorder="1" applyAlignment="1">
      <alignment horizontal="center" wrapText="1"/>
    </xf>
    <xf numFmtId="43" fontId="116" fillId="32" borderId="16" xfId="91" applyFont="1" applyFill="1" applyBorder="1" applyAlignment="1">
      <alignment horizontal="center" wrapText="1"/>
    </xf>
    <xf numFmtId="0" fontId="29" fillId="8" borderId="4" xfId="0" applyFont="1" applyFill="1" applyBorder="1"/>
    <xf numFmtId="0" fontId="30" fillId="8" borderId="4" xfId="0" applyFont="1" applyFill="1" applyBorder="1" applyAlignment="1">
      <alignment horizontal="center"/>
    </xf>
    <xf numFmtId="17" fontId="29" fillId="8" borderId="4" xfId="0" applyNumberFormat="1" applyFont="1" applyFill="1" applyBorder="1" applyAlignment="1">
      <alignment horizontal="center" vertical="center"/>
    </xf>
    <xf numFmtId="43" fontId="29" fillId="0" borderId="4" xfId="91" applyFont="1" applyBorder="1"/>
    <xf numFmtId="0" fontId="30" fillId="0" borderId="4" xfId="0" applyFont="1" applyBorder="1" applyAlignment="1">
      <alignment horizontal="center"/>
    </xf>
    <xf numFmtId="0" fontId="30" fillId="0" borderId="7" xfId="0" applyFont="1" applyBorder="1"/>
    <xf numFmtId="0" fontId="29" fillId="0" borderId="0" xfId="0" applyFont="1" applyAlignment="1">
      <alignment horizontal="center" vertical="center"/>
    </xf>
    <xf numFmtId="0" fontId="30" fillId="0" borderId="0" xfId="0" applyFont="1"/>
    <xf numFmtId="0" fontId="29" fillId="0" borderId="4" xfId="0" applyFont="1" applyBorder="1" applyAlignment="1">
      <alignment horizontal="center"/>
    </xf>
    <xf numFmtId="0" fontId="9" fillId="0" borderId="4" xfId="0" applyFont="1" applyBorder="1"/>
    <xf numFmtId="43" fontId="8" fillId="7" borderId="4" xfId="91" applyFont="1" applyFill="1" applyBorder="1" applyAlignment="1">
      <alignment horizontal="center" vertical="top" wrapText="1"/>
    </xf>
    <xf numFmtId="174" fontId="57" fillId="7" borderId="4" xfId="10" applyNumberFormat="1" applyFont="1" applyFill="1" applyBorder="1"/>
    <xf numFmtId="174" fontId="8" fillId="7" borderId="4" xfId="10" applyNumberFormat="1" applyFont="1" applyFill="1" applyBorder="1"/>
    <xf numFmtId="174" fontId="117" fillId="32" borderId="16" xfId="0" applyNumberFormat="1" applyFont="1" applyFill="1" applyBorder="1" applyAlignment="1">
      <alignment horizontal="center" wrapText="1"/>
    </xf>
    <xf numFmtId="43" fontId="117" fillId="32" borderId="16" xfId="91" applyFont="1" applyFill="1" applyBorder="1" applyAlignment="1">
      <alignment horizontal="center" wrapText="1"/>
    </xf>
    <xf numFmtId="43" fontId="117" fillId="32" borderId="16" xfId="91" applyFont="1" applyFill="1" applyBorder="1" applyAlignment="1">
      <alignment wrapText="1"/>
    </xf>
    <xf numFmtId="172" fontId="116" fillId="32" borderId="16" xfId="91" applyNumberFormat="1" applyFont="1" applyFill="1" applyBorder="1" applyAlignment="1">
      <alignment horizontal="center" wrapText="1"/>
    </xf>
    <xf numFmtId="172" fontId="116" fillId="32" borderId="16" xfId="91" applyNumberFormat="1" applyFont="1" applyFill="1" applyBorder="1" applyAlignment="1">
      <alignment wrapText="1"/>
    </xf>
    <xf numFmtId="2" fontId="117" fillId="32" borderId="16" xfId="0" applyNumberFormat="1" applyFont="1" applyFill="1" applyBorder="1" applyAlignment="1">
      <alignment wrapText="1"/>
    </xf>
    <xf numFmtId="0" fontId="9" fillId="0" borderId="0" xfId="0" applyFont="1"/>
    <xf numFmtId="43" fontId="8" fillId="7" borderId="4" xfId="10" applyNumberFormat="1" applyFont="1" applyFill="1" applyBorder="1" applyAlignment="1">
      <alignment horizontal="center" vertical="top" wrapText="1"/>
    </xf>
    <xf numFmtId="172" fontId="8" fillId="7" borderId="4" xfId="10" applyNumberFormat="1" applyFont="1" applyFill="1" applyBorder="1"/>
    <xf numFmtId="9" fontId="8" fillId="18" borderId="0" xfId="10" applyNumberFormat="1" applyFont="1" applyFill="1"/>
    <xf numFmtId="188" fontId="8" fillId="0" borderId="4" xfId="91" applyNumberFormat="1" applyFont="1" applyBorder="1" applyAlignment="1">
      <alignment horizontal="left" vertical="center" wrapText="1"/>
    </xf>
    <xf numFmtId="0" fontId="107" fillId="0" borderId="4" xfId="14" applyFont="1" applyBorder="1" applyAlignment="1">
      <alignment vertical="center" wrapText="1"/>
    </xf>
    <xf numFmtId="0" fontId="83" fillId="0" borderId="4" xfId="14" applyFont="1" applyBorder="1" applyAlignment="1">
      <alignment horizontal="left" vertical="center"/>
    </xf>
    <xf numFmtId="164" fontId="83" fillId="0" borderId="4" xfId="88" applyFont="1" applyBorder="1" applyAlignment="1">
      <alignment horizontal="right" vertical="center"/>
    </xf>
    <xf numFmtId="164" fontId="107" fillId="0" borderId="4" xfId="88" applyFont="1" applyBorder="1" applyAlignment="1">
      <alignment horizontal="right" vertical="center"/>
    </xf>
    <xf numFmtId="9" fontId="107" fillId="0" borderId="4" xfId="89" applyFont="1" applyBorder="1" applyAlignment="1">
      <alignment vertical="center"/>
    </xf>
    <xf numFmtId="9" fontId="83" fillId="0" borderId="4" xfId="92" applyFont="1" applyBorder="1" applyAlignment="1">
      <alignment horizontal="right" vertical="center"/>
    </xf>
    <xf numFmtId="39" fontId="8" fillId="0" borderId="4" xfId="88" applyNumberFormat="1" applyFont="1" applyBorder="1" applyAlignment="1">
      <alignment vertical="center"/>
    </xf>
    <xf numFmtId="39" fontId="8" fillId="0" borderId="4" xfId="14" applyNumberFormat="1" applyFont="1" applyBorder="1">
      <alignment vertical="center"/>
    </xf>
    <xf numFmtId="0" fontId="107" fillId="0" borderId="0" xfId="14" applyFont="1" applyAlignment="1">
      <alignment vertical="center" wrapText="1"/>
    </xf>
    <xf numFmtId="0" fontId="83" fillId="0" borderId="0" xfId="14" applyFont="1" applyAlignment="1">
      <alignment horizontal="left" vertical="center"/>
    </xf>
    <xf numFmtId="164" fontId="83" fillId="0" borderId="0" xfId="88" applyFont="1" applyBorder="1" applyAlignment="1">
      <alignment horizontal="right" vertical="center"/>
    </xf>
    <xf numFmtId="164" fontId="107" fillId="0" borderId="0" xfId="88" applyFont="1" applyBorder="1" applyAlignment="1">
      <alignment horizontal="right" vertical="center"/>
    </xf>
    <xf numFmtId="43" fontId="8" fillId="0" borderId="0" xfId="91" applyFont="1" applyAlignment="1">
      <alignment vertical="center" wrapText="1"/>
    </xf>
    <xf numFmtId="0" fontId="10" fillId="0" borderId="4" xfId="0" applyFont="1" applyBorder="1" applyAlignment="1">
      <alignment horizontal="center" vertical="center" wrapText="1"/>
    </xf>
    <xf numFmtId="180" fontId="8" fillId="0" borderId="0" xfId="14" applyNumberFormat="1" applyFont="1" applyAlignment="1">
      <alignment horizontal="left" vertical="center" wrapText="1"/>
    </xf>
    <xf numFmtId="188" fontId="8" fillId="0" borderId="0" xfId="14" applyNumberFormat="1" applyFont="1">
      <alignment vertical="center"/>
    </xf>
    <xf numFmtId="10" fontId="8" fillId="0" borderId="4" xfId="92" applyNumberFormat="1" applyFont="1" applyFill="1" applyBorder="1" applyAlignment="1">
      <alignment horizontal="center" vertical="center"/>
    </xf>
    <xf numFmtId="10" fontId="8" fillId="0" borderId="4" xfId="92" applyNumberFormat="1" applyFont="1" applyFill="1" applyBorder="1" applyAlignment="1">
      <alignment vertical="center"/>
    </xf>
    <xf numFmtId="0" fontId="35" fillId="0" borderId="0" xfId="14" applyFont="1" applyAlignment="1">
      <alignment horizontal="left" vertical="center" indent="1"/>
    </xf>
    <xf numFmtId="43" fontId="15" fillId="0" borderId="0" xfId="14" applyNumberFormat="1" applyFont="1" applyAlignment="1">
      <alignment horizontal="center" vertical="center"/>
    </xf>
    <xf numFmtId="43" fontId="15" fillId="0" borderId="0" xfId="91" applyFont="1" applyAlignment="1">
      <alignment vertical="center"/>
    </xf>
    <xf numFmtId="170" fontId="15" fillId="0" borderId="0" xfId="91" applyNumberFormat="1" applyFont="1" applyAlignment="1">
      <alignment horizontal="center" vertical="center"/>
    </xf>
    <xf numFmtId="170" fontId="15" fillId="0" borderId="0" xfId="91" applyNumberFormat="1" applyFont="1" applyAlignment="1">
      <alignment vertical="center"/>
    </xf>
    <xf numFmtId="0" fontId="10" fillId="0" borderId="0" xfId="0" applyFont="1"/>
    <xf numFmtId="0" fontId="10" fillId="0" borderId="0" xfId="0" applyFont="1" applyAlignment="1">
      <alignment horizontal="center"/>
    </xf>
    <xf numFmtId="43" fontId="10" fillId="0" borderId="0" xfId="91" applyFont="1"/>
    <xf numFmtId="43" fontId="10" fillId="0" borderId="0" xfId="0" applyNumberFormat="1" applyFont="1"/>
    <xf numFmtId="180" fontId="10" fillId="0" borderId="0" xfId="0" applyNumberFormat="1" applyFont="1"/>
    <xf numFmtId="43" fontId="42" fillId="0" borderId="0" xfId="0" applyNumberFormat="1" applyFont="1"/>
    <xf numFmtId="0" fontId="42" fillId="8" borderId="0" xfId="0" applyFont="1" applyFill="1" applyAlignment="1">
      <alignment horizontal="center"/>
    </xf>
    <xf numFmtId="0" fontId="42" fillId="14" borderId="0" xfId="0" applyFont="1" applyFill="1" applyAlignment="1">
      <alignment horizontal="center"/>
    </xf>
    <xf numFmtId="0" fontId="10" fillId="0" borderId="4" xfId="0" applyFont="1" applyBorder="1" applyAlignment="1">
      <alignment horizontal="center"/>
    </xf>
    <xf numFmtId="172" fontId="10" fillId="0" borderId="4" xfId="91" applyNumberFormat="1" applyFont="1" applyBorder="1"/>
    <xf numFmtId="43" fontId="10" fillId="0" borderId="4" xfId="91" applyFont="1" applyBorder="1"/>
    <xf numFmtId="172" fontId="10" fillId="0" borderId="4" xfId="0" applyNumberFormat="1" applyFont="1" applyBorder="1"/>
    <xf numFmtId="0" fontId="10" fillId="0" borderId="4" xfId="0" applyFont="1" applyBorder="1"/>
    <xf numFmtId="172" fontId="42" fillId="0" borderId="4" xfId="0" applyNumberFormat="1" applyFont="1" applyBorder="1"/>
    <xf numFmtId="9" fontId="42" fillId="0" borderId="0" xfId="0" applyNumberFormat="1" applyFont="1"/>
    <xf numFmtId="0" fontId="42" fillId="0" borderId="4" xfId="0" applyFont="1" applyBorder="1"/>
    <xf numFmtId="43" fontId="10" fillId="0" borderId="4" xfId="0" applyNumberFormat="1" applyFont="1" applyBorder="1"/>
    <xf numFmtId="43" fontId="42" fillId="0" borderId="4" xfId="0" applyNumberFormat="1" applyFont="1" applyBorder="1"/>
    <xf numFmtId="0" fontId="42" fillId="4" borderId="4" xfId="10" applyFont="1" applyFill="1" applyBorder="1" applyAlignment="1">
      <alignment horizontal="center" vertical="center" wrapText="1"/>
    </xf>
    <xf numFmtId="0" fontId="42" fillId="8" borderId="4" xfId="101" applyFont="1" applyFill="1" applyBorder="1" applyAlignment="1">
      <alignment horizontal="center"/>
    </xf>
    <xf numFmtId="0" fontId="42" fillId="4" borderId="4" xfId="63" applyFont="1" applyFill="1" applyBorder="1" applyAlignment="1">
      <alignment horizontal="center" vertical="center" wrapText="1"/>
    </xf>
    <xf numFmtId="168" fontId="10" fillId="0" borderId="4" xfId="112" applyNumberFormat="1" applyFont="1" applyFill="1" applyBorder="1"/>
    <xf numFmtId="0" fontId="10" fillId="0" borderId="4" xfId="10" quotePrefix="1" applyFont="1" applyBorder="1" applyAlignment="1">
      <alignment horizontal="left" vertical="top" wrapText="1"/>
    </xf>
    <xf numFmtId="43" fontId="9" fillId="0" borderId="0" xfId="91" applyFont="1"/>
    <xf numFmtId="0" fontId="29" fillId="0" borderId="5"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5" xfId="0" applyFont="1" applyBorder="1" applyAlignment="1">
      <alignment horizontal="center" vertical="center"/>
    </xf>
    <xf numFmtId="0" fontId="29" fillId="0" borderId="8" xfId="0" applyFont="1" applyBorder="1" applyAlignment="1">
      <alignment horizontal="center" vertical="center"/>
    </xf>
    <xf numFmtId="176" fontId="59" fillId="7" borderId="4" xfId="91" applyNumberFormat="1" applyFont="1" applyFill="1" applyBorder="1" applyAlignment="1">
      <alignment vertical="center"/>
    </xf>
    <xf numFmtId="175" fontId="8" fillId="0" borderId="0" xfId="14" applyNumberFormat="1" applyFont="1" applyAlignment="1">
      <alignment horizontal="center" vertical="center"/>
    </xf>
    <xf numFmtId="176" fontId="8" fillId="0" borderId="4" xfId="91" applyNumberFormat="1" applyFont="1" applyBorder="1" applyAlignment="1">
      <alignment horizontal="center" vertical="center"/>
    </xf>
    <xf numFmtId="171" fontId="8" fillId="0" borderId="4" xfId="91" applyNumberFormat="1" applyFont="1" applyBorder="1" applyAlignment="1">
      <alignment horizontal="center" vertical="center"/>
    </xf>
    <xf numFmtId="2" fontId="59" fillId="0" borderId="0" xfId="30" applyNumberFormat="1" applyFont="1"/>
    <xf numFmtId="43" fontId="59" fillId="0" borderId="0" xfId="91" applyFont="1"/>
    <xf numFmtId="0" fontId="69" fillId="17" borderId="3" xfId="115" applyFont="1" applyFill="1" applyBorder="1" applyAlignment="1">
      <alignment horizontal="center" vertical="center"/>
    </xf>
    <xf numFmtId="0" fontId="69" fillId="17" borderId="3" xfId="115" applyFont="1" applyFill="1" applyBorder="1" applyAlignment="1">
      <alignment horizontal="center" vertical="top" wrapText="1"/>
    </xf>
    <xf numFmtId="0" fontId="69" fillId="17" borderId="3" xfId="115" applyFont="1" applyFill="1" applyBorder="1" applyAlignment="1">
      <alignment horizontal="center" vertical="top"/>
    </xf>
    <xf numFmtId="0" fontId="69" fillId="17" borderId="4" xfId="115" applyFont="1" applyFill="1" applyBorder="1" applyAlignment="1">
      <alignment horizontal="center" vertical="center"/>
    </xf>
    <xf numFmtId="43" fontId="10" fillId="0" borderId="4" xfId="102" applyFont="1" applyBorder="1" applyAlignment="1">
      <alignment vertical="center" wrapText="1"/>
    </xf>
    <xf numFmtId="2" fontId="10" fillId="0" borderId="4" xfId="0" applyNumberFormat="1" applyFont="1" applyBorder="1" applyAlignment="1">
      <alignment vertical="top" wrapText="1"/>
    </xf>
    <xf numFmtId="0" fontId="42" fillId="0" borderId="4" xfId="0" applyFont="1" applyBorder="1" applyAlignment="1">
      <alignment vertical="center" wrapText="1"/>
    </xf>
    <xf numFmtId="43" fontId="42" fillId="0" borderId="4" xfId="102" applyFont="1" applyBorder="1" applyAlignment="1">
      <alignment vertical="center" wrapText="1"/>
    </xf>
    <xf numFmtId="164" fontId="10" fillId="0" borderId="4" xfId="102" applyNumberFormat="1" applyFont="1" applyBorder="1" applyAlignment="1">
      <alignment vertical="center" wrapText="1"/>
    </xf>
    <xf numFmtId="164" fontId="42" fillId="0" borderId="4" xfId="102" applyNumberFormat="1" applyFont="1" applyBorder="1" applyAlignment="1">
      <alignment vertical="center" wrapText="1"/>
    </xf>
    <xf numFmtId="43" fontId="10" fillId="0" borderId="4" xfId="0" applyNumberFormat="1" applyFont="1" applyBorder="1" applyAlignment="1">
      <alignment vertical="center" wrapText="1"/>
    </xf>
    <xf numFmtId="0" fontId="69" fillId="0" borderId="4" xfId="116" applyFont="1" applyBorder="1" applyAlignment="1">
      <alignment vertical="top" wrapText="1"/>
    </xf>
    <xf numFmtId="43" fontId="42" fillId="0" borderId="4" xfId="0" applyNumberFormat="1" applyFont="1" applyBorder="1" applyAlignment="1">
      <alignment vertical="center" wrapText="1"/>
    </xf>
    <xf numFmtId="0" fontId="10" fillId="0" borderId="0" xfId="0" applyFont="1" applyAlignment="1">
      <alignment horizontal="center" vertical="center" wrapText="1"/>
    </xf>
    <xf numFmtId="9" fontId="10" fillId="0" borderId="0" xfId="89" applyFont="1" applyAlignment="1">
      <alignment vertical="center" wrapText="1"/>
    </xf>
    <xf numFmtId="164" fontId="10" fillId="0" borderId="4" xfId="0" applyNumberFormat="1" applyFont="1" applyBorder="1" applyAlignment="1">
      <alignment vertical="center" wrapText="1"/>
    </xf>
    <xf numFmtId="43" fontId="10" fillId="0" borderId="0" xfId="102" applyFont="1" applyAlignment="1">
      <alignment vertical="center" wrapText="1"/>
    </xf>
    <xf numFmtId="43" fontId="10" fillId="0" borderId="0" xfId="0" applyNumberFormat="1" applyFont="1" applyAlignment="1">
      <alignment vertical="center" wrapText="1"/>
    </xf>
    <xf numFmtId="178" fontId="10" fillId="0" borderId="0" xfId="92" applyNumberFormat="1" applyFont="1"/>
    <xf numFmtId="0" fontId="69" fillId="0" borderId="4" xfId="0" applyFont="1" applyBorder="1" applyAlignment="1">
      <alignment horizontal="left" vertical="center" wrapText="1"/>
    </xf>
    <xf numFmtId="0" fontId="119" fillId="0" borderId="0" xfId="0" applyFont="1" applyAlignment="1">
      <alignment horizontal="center" vertical="center" wrapText="1"/>
    </xf>
    <xf numFmtId="9" fontId="69" fillId="0" borderId="0" xfId="0" applyNumberFormat="1" applyFont="1" applyAlignment="1">
      <alignment horizontal="center" vertical="center" wrapText="1"/>
    </xf>
    <xf numFmtId="0" fontId="69" fillId="0" borderId="0" xfId="0" applyFont="1" applyAlignment="1">
      <alignment horizontal="center" vertical="center" wrapText="1"/>
    </xf>
    <xf numFmtId="0" fontId="69" fillId="31" borderId="4" xfId="115" applyFont="1" applyFill="1" applyBorder="1" applyAlignment="1">
      <alignment horizontal="center" vertical="center" wrapText="1"/>
    </xf>
    <xf numFmtId="0" fontId="70" fillId="0" borderId="4" xfId="115" applyFont="1" applyBorder="1" applyAlignment="1">
      <alignment vertical="top" wrapText="1"/>
    </xf>
    <xf numFmtId="10" fontId="10" fillId="0" borderId="4" xfId="0" applyNumberFormat="1" applyFont="1" applyBorder="1" applyAlignment="1">
      <alignment vertical="center" wrapText="1"/>
    </xf>
    <xf numFmtId="0" fontId="69" fillId="0" borderId="4" xfId="115" applyFont="1" applyBorder="1" applyAlignment="1">
      <alignment vertical="top" wrapText="1"/>
    </xf>
    <xf numFmtId="0" fontId="69" fillId="0" borderId="0" xfId="115" applyFont="1" applyAlignment="1">
      <alignment vertical="top" wrapText="1"/>
    </xf>
    <xf numFmtId="0" fontId="69" fillId="31" borderId="6" xfId="115" applyFont="1" applyFill="1" applyBorder="1" applyAlignment="1">
      <alignment horizontal="center" vertical="center" wrapText="1"/>
    </xf>
    <xf numFmtId="9" fontId="70" fillId="0" borderId="4" xfId="0" applyNumberFormat="1" applyFont="1" applyBorder="1" applyAlignment="1">
      <alignment horizontal="center" vertical="center" wrapText="1"/>
    </xf>
    <xf numFmtId="0" fontId="118" fillId="34" borderId="4" xfId="0" applyFont="1" applyFill="1" applyBorder="1" applyAlignment="1">
      <alignment horizontal="center" vertical="center" wrapText="1"/>
    </xf>
    <xf numFmtId="0" fontId="118" fillId="34" borderId="4" xfId="0" applyFont="1" applyFill="1" applyBorder="1" applyAlignment="1">
      <alignment horizontal="center" vertical="center"/>
    </xf>
    <xf numFmtId="43" fontId="10" fillId="0" borderId="0" xfId="91" applyFont="1" applyFill="1"/>
    <xf numFmtId="43" fontId="120" fillId="0" borderId="4" xfId="91" applyFont="1" applyFill="1" applyBorder="1" applyAlignment="1">
      <alignment horizontal="center" vertical="center" wrapText="1"/>
    </xf>
    <xf numFmtId="43" fontId="70" fillId="0" borderId="4" xfId="91" applyFont="1" applyBorder="1" applyAlignment="1">
      <alignment horizontal="center" vertical="center" wrapText="1"/>
    </xf>
    <xf numFmtId="43" fontId="70" fillId="0" borderId="4" xfId="91" applyFont="1" applyBorder="1" applyAlignment="1">
      <alignment horizontal="left" vertical="center" wrapText="1"/>
    </xf>
    <xf numFmtId="43" fontId="69" fillId="0" borderId="4" xfId="91" applyFont="1" applyBorder="1" applyAlignment="1">
      <alignment horizontal="left" vertical="center" wrapText="1"/>
    </xf>
    <xf numFmtId="43" fontId="118" fillId="0" borderId="4" xfId="91" applyFont="1" applyBorder="1" applyAlignment="1">
      <alignment horizontal="left" vertical="center" wrapText="1"/>
    </xf>
    <xf numFmtId="43" fontId="69" fillId="0" borderId="4" xfId="91" applyFont="1" applyBorder="1" applyAlignment="1">
      <alignment horizontal="center" vertical="center" wrapText="1"/>
    </xf>
    <xf numFmtId="9" fontId="10" fillId="0" borderId="0" xfId="0" applyNumberFormat="1" applyFont="1" applyAlignment="1">
      <alignment vertical="center" wrapText="1"/>
    </xf>
    <xf numFmtId="0" fontId="29" fillId="14" borderId="8" xfId="0" applyFont="1" applyFill="1" applyBorder="1" applyAlignment="1">
      <alignment horizontal="center" vertical="center"/>
    </xf>
    <xf numFmtId="43" fontId="30" fillId="0" borderId="4" xfId="0" applyNumberFormat="1" applyFont="1" applyBorder="1" applyAlignment="1">
      <alignment vertical="center" wrapText="1"/>
    </xf>
    <xf numFmtId="9" fontId="9" fillId="5" borderId="4" xfId="92" applyFont="1" applyFill="1" applyBorder="1" applyAlignment="1">
      <alignment vertical="center"/>
    </xf>
    <xf numFmtId="43" fontId="8" fillId="5" borderId="0" xfId="14" applyNumberFormat="1" applyFont="1" applyFill="1">
      <alignment vertical="center"/>
    </xf>
    <xf numFmtId="9" fontId="29" fillId="0" borderId="5" xfId="0" applyNumberFormat="1" applyFont="1" applyBorder="1" applyAlignment="1">
      <alignment horizontal="center" vertical="center" wrapText="1"/>
    </xf>
    <xf numFmtId="43" fontId="10" fillId="0" borderId="0" xfId="0" applyNumberFormat="1" applyFont="1" applyAlignment="1">
      <alignment vertical="center"/>
    </xf>
    <xf numFmtId="9" fontId="10" fillId="0" borderId="0" xfId="92" applyFont="1" applyAlignment="1">
      <alignment vertical="center"/>
    </xf>
    <xf numFmtId="43" fontId="8" fillId="0" borderId="0" xfId="0" applyNumberFormat="1" applyFont="1"/>
    <xf numFmtId="43" fontId="57" fillId="7" borderId="0" xfId="91" applyFont="1" applyFill="1"/>
    <xf numFmtId="43" fontId="24" fillId="7" borderId="0" xfId="91" applyFont="1" applyFill="1" applyAlignment="1">
      <alignment horizontal="left"/>
    </xf>
    <xf numFmtId="172" fontId="30" fillId="0" borderId="4" xfId="0" applyNumberFormat="1" applyFont="1" applyBorder="1" applyAlignment="1">
      <alignment horizontal="center" vertical="center"/>
    </xf>
    <xf numFmtId="179" fontId="56" fillId="7" borderId="4" xfId="10" applyNumberFormat="1" applyFont="1" applyFill="1" applyBorder="1"/>
    <xf numFmtId="179" fontId="57" fillId="7" borderId="4" xfId="10" applyNumberFormat="1" applyFont="1" applyFill="1" applyBorder="1"/>
    <xf numFmtId="174" fontId="15" fillId="7" borderId="4" xfId="88" applyNumberFormat="1" applyFont="1" applyFill="1" applyBorder="1" applyAlignment="1">
      <alignment vertical="center"/>
    </xf>
    <xf numFmtId="174" fontId="15" fillId="0" borderId="4" xfId="91" applyNumberFormat="1" applyFont="1" applyBorder="1" applyAlignment="1">
      <alignment horizontal="center" vertical="center"/>
    </xf>
    <xf numFmtId="174" fontId="15" fillId="0" borderId="4" xfId="91" applyNumberFormat="1" applyFont="1" applyBorder="1" applyAlignment="1">
      <alignment horizontal="center" vertical="center" wrapText="1"/>
    </xf>
    <xf numFmtId="174" fontId="12" fillId="7" borderId="4" xfId="88" applyNumberFormat="1" applyFont="1" applyFill="1" applyBorder="1" applyAlignment="1">
      <alignment vertical="center"/>
    </xf>
    <xf numFmtId="174" fontId="12" fillId="7" borderId="4" xfId="91" applyNumberFormat="1" applyFont="1" applyFill="1" applyBorder="1" applyAlignment="1">
      <alignment vertical="center"/>
    </xf>
    <xf numFmtId="174" fontId="15" fillId="0" borderId="0" xfId="14" applyNumberFormat="1" applyFont="1">
      <alignment vertical="center"/>
    </xf>
    <xf numFmtId="174" fontId="12" fillId="7" borderId="4" xfId="10" applyNumberFormat="1" applyFont="1" applyFill="1" applyBorder="1"/>
    <xf numFmtId="174" fontId="15" fillId="0" borderId="4" xfId="88" applyNumberFormat="1" applyFont="1" applyBorder="1"/>
    <xf numFmtId="174" fontId="15" fillId="0" borderId="4" xfId="88" applyNumberFormat="1" applyFont="1" applyFill="1" applyBorder="1"/>
    <xf numFmtId="174" fontId="12" fillId="0" borderId="4" xfId="14" applyNumberFormat="1" applyFont="1" applyBorder="1">
      <alignment vertical="center"/>
    </xf>
    <xf numFmtId="174" fontId="12" fillId="0" borderId="4" xfId="91" applyNumberFormat="1" applyFont="1" applyBorder="1" applyAlignment="1">
      <alignment vertical="center"/>
    </xf>
    <xf numFmtId="174" fontId="25" fillId="0" borderId="4" xfId="14" applyNumberFormat="1" applyFont="1" applyBorder="1" applyAlignment="1">
      <alignment horizontal="center" vertical="center"/>
    </xf>
    <xf numFmtId="174" fontId="8" fillId="0" borderId="4" xfId="10" applyNumberFormat="1" applyFont="1" applyBorder="1" applyAlignment="1">
      <alignment horizontal="left" vertical="center"/>
    </xf>
    <xf numFmtId="174" fontId="9" fillId="0" borderId="4" xfId="10" applyNumberFormat="1" applyFont="1" applyBorder="1" applyAlignment="1">
      <alignment horizontal="center" vertical="center" wrapText="1"/>
    </xf>
    <xf numFmtId="174" fontId="25" fillId="0" borderId="6" xfId="14" applyNumberFormat="1" applyFont="1" applyBorder="1" applyAlignment="1">
      <alignment horizontal="center" vertical="center"/>
    </xf>
    <xf numFmtId="174" fontId="8" fillId="0" borderId="6" xfId="10" applyNumberFormat="1" applyFont="1" applyBorder="1" applyAlignment="1">
      <alignment horizontal="left" vertical="center"/>
    </xf>
    <xf numFmtId="10" fontId="56" fillId="0" borderId="0" xfId="92" applyNumberFormat="1" applyFont="1"/>
    <xf numFmtId="10" fontId="10" fillId="0" borderId="4" xfId="92" applyNumberFormat="1" applyFont="1" applyBorder="1" applyAlignment="1">
      <alignment horizontal="center" vertical="center"/>
    </xf>
    <xf numFmtId="0" fontId="122" fillId="29" borderId="4" xfId="0" applyFont="1" applyFill="1" applyBorder="1" applyAlignment="1">
      <alignment horizontal="left" vertical="center"/>
    </xf>
    <xf numFmtId="0" fontId="122" fillId="29" borderId="4" xfId="0" applyFont="1" applyFill="1" applyBorder="1" applyAlignment="1">
      <alignment horizontal="center" vertical="center"/>
    </xf>
    <xf numFmtId="0" fontId="122" fillId="29" borderId="4" xfId="0" applyFont="1" applyFill="1" applyBorder="1" applyAlignment="1">
      <alignment horizontal="center" vertical="center" wrapText="1"/>
    </xf>
    <xf numFmtId="0" fontId="123" fillId="0" borderId="4" xfId="0" applyFont="1" applyBorder="1" applyAlignment="1">
      <alignment horizontal="left" vertical="center"/>
    </xf>
    <xf numFmtId="0" fontId="123" fillId="0" borderId="4" xfId="0" applyFont="1" applyBorder="1" applyAlignment="1">
      <alignment horizontal="center" vertical="center"/>
    </xf>
    <xf numFmtId="0" fontId="125" fillId="0" borderId="4" xfId="0" applyFont="1" applyBorder="1" applyAlignment="1">
      <alignment horizontal="left" vertical="center"/>
    </xf>
    <xf numFmtId="10" fontId="124" fillId="0" borderId="4" xfId="0" applyNumberFormat="1" applyFont="1" applyBorder="1" applyAlignment="1">
      <alignment horizontal="center" vertical="center"/>
    </xf>
    <xf numFmtId="0" fontId="123" fillId="0" borderId="4" xfId="0" applyFont="1" applyBorder="1" applyAlignment="1">
      <alignment horizontal="left" vertical="center" wrapText="1"/>
    </xf>
    <xf numFmtId="10" fontId="124" fillId="0" borderId="4" xfId="92" applyNumberFormat="1" applyFont="1" applyBorder="1" applyAlignment="1">
      <alignment vertical="center"/>
    </xf>
    <xf numFmtId="10" fontId="124" fillId="0" borderId="4" xfId="92" applyNumberFormat="1" applyFont="1" applyBorder="1" applyAlignment="1">
      <alignment vertical="center" wrapText="1"/>
    </xf>
    <xf numFmtId="0" fontId="126" fillId="33" borderId="4" xfId="101" applyFont="1" applyFill="1" applyBorder="1" applyAlignment="1">
      <alignment horizontal="center" vertical="center"/>
    </xf>
    <xf numFmtId="0" fontId="126" fillId="33" borderId="4" xfId="117" applyFont="1" applyFill="1" applyBorder="1" applyAlignment="1">
      <alignment horizontal="center" vertical="center" wrapText="1"/>
    </xf>
    <xf numFmtId="0" fontId="126" fillId="33" borderId="4" xfId="101" applyFont="1" applyFill="1" applyBorder="1" applyAlignment="1">
      <alignment horizontal="center" vertical="center" wrapText="1"/>
    </xf>
    <xf numFmtId="0" fontId="83" fillId="0" borderId="4" xfId="101" applyFont="1" applyBorder="1"/>
    <xf numFmtId="2" fontId="83" fillId="0" borderId="4" xfId="101" applyNumberFormat="1" applyFont="1" applyBorder="1"/>
    <xf numFmtId="10" fontId="83" fillId="0" borderId="4" xfId="101" applyNumberFormat="1" applyFont="1" applyBorder="1"/>
    <xf numFmtId="43" fontId="83" fillId="0" borderId="4" xfId="94" applyFont="1" applyBorder="1"/>
    <xf numFmtId="164" fontId="83" fillId="0" borderId="4" xfId="101" applyNumberFormat="1" applyFont="1" applyBorder="1"/>
    <xf numFmtId="0" fontId="107" fillId="0" borderId="4" xfId="101" applyFont="1" applyBorder="1"/>
    <xf numFmtId="10" fontId="107" fillId="0" borderId="4" xfId="101" applyNumberFormat="1" applyFont="1" applyBorder="1"/>
    <xf numFmtId="164" fontId="107" fillId="0" borderId="4" xfId="101" applyNumberFormat="1" applyFont="1" applyBorder="1"/>
    <xf numFmtId="0" fontId="8" fillId="0" borderId="4" xfId="0" applyFont="1" applyBorder="1" applyAlignment="1">
      <alignment horizontal="center"/>
    </xf>
    <xf numFmtId="172" fontId="83" fillId="0" borderId="4" xfId="101" applyNumberFormat="1" applyFont="1" applyBorder="1"/>
    <xf numFmtId="14" fontId="124" fillId="0" borderId="4" xfId="0" applyNumberFormat="1" applyFont="1" applyBorder="1" applyAlignment="1">
      <alignment horizontal="center" vertical="center"/>
    </xf>
    <xf numFmtId="0" fontId="122" fillId="0" borderId="4" xfId="0" applyFont="1" applyBorder="1" applyAlignment="1">
      <alignment horizontal="center" vertical="center"/>
    </xf>
    <xf numFmtId="10" fontId="122" fillId="0" borderId="4" xfId="0" applyNumberFormat="1" applyFont="1" applyBorder="1" applyAlignment="1">
      <alignment horizontal="center" vertical="center"/>
    </xf>
    <xf numFmtId="14" fontId="124" fillId="0" borderId="4" xfId="0" applyNumberFormat="1" applyFont="1" applyBorder="1" applyAlignment="1">
      <alignment horizontal="right" vertical="center"/>
    </xf>
    <xf numFmtId="170" fontId="124" fillId="0" borderId="4" xfId="91" applyNumberFormat="1" applyFont="1" applyBorder="1" applyAlignment="1">
      <alignment horizontal="center" vertical="center"/>
    </xf>
    <xf numFmtId="170" fontId="122" fillId="0" borderId="4" xfId="0" applyNumberFormat="1" applyFont="1" applyBorder="1" applyAlignment="1">
      <alignment horizontal="center" vertical="center"/>
    </xf>
    <xf numFmtId="0" fontId="76" fillId="0" borderId="4" xfId="96" applyFont="1" applyBorder="1" applyAlignment="1">
      <alignment horizontal="left" vertical="center" wrapText="1" indent="1" shrinkToFit="1"/>
    </xf>
    <xf numFmtId="9" fontId="70" fillId="0" borderId="4" xfId="96" applyNumberFormat="1" applyFont="1" applyBorder="1" applyAlignment="1">
      <alignment horizontal="center" vertical="center" shrinkToFit="1" readingOrder="1"/>
    </xf>
    <xf numFmtId="0" fontId="42" fillId="0" borderId="4" xfId="96" applyFont="1" applyBorder="1" applyAlignment="1">
      <alignment horizontal="left" vertical="center" wrapText="1" shrinkToFit="1"/>
    </xf>
    <xf numFmtId="0" fontId="42" fillId="0" borderId="0" xfId="96" applyFont="1" applyAlignment="1">
      <alignment horizontal="left" vertical="center" wrapText="1" shrinkToFit="1"/>
    </xf>
    <xf numFmtId="9" fontId="69" fillId="0" borderId="6" xfId="96" applyNumberFormat="1" applyFont="1" applyBorder="1" applyAlignment="1">
      <alignment horizontal="center" vertical="center" shrinkToFit="1" readingOrder="1"/>
    </xf>
    <xf numFmtId="9" fontId="69" fillId="0" borderId="4" xfId="96" applyNumberFormat="1" applyFont="1" applyBorder="1" applyAlignment="1">
      <alignment horizontal="center" vertical="center" shrinkToFit="1" readingOrder="1"/>
    </xf>
    <xf numFmtId="0" fontId="42" fillId="8" borderId="4" xfId="96" applyFont="1" applyFill="1" applyBorder="1" applyAlignment="1">
      <alignment horizontal="center" vertical="center" wrapText="1"/>
    </xf>
    <xf numFmtId="0" fontId="69" fillId="8" borderId="4" xfId="96" applyFont="1" applyFill="1" applyBorder="1" applyAlignment="1">
      <alignment horizontal="center" wrapText="1"/>
    </xf>
    <xf numFmtId="0" fontId="42" fillId="0" borderId="4" xfId="96" applyFont="1" applyBorder="1" applyAlignment="1">
      <alignment horizontal="left" vertical="center" wrapText="1"/>
    </xf>
    <xf numFmtId="0" fontId="42" fillId="0" borderId="5" xfId="96" applyFont="1" applyBorder="1" applyAlignment="1">
      <alignment horizontal="center" vertical="center" wrapText="1"/>
    </xf>
    <xf numFmtId="0" fontId="42" fillId="0" borderId="4" xfId="96" applyFont="1" applyBorder="1" applyAlignment="1">
      <alignment horizontal="center" vertical="center" wrapText="1"/>
    </xf>
    <xf numFmtId="0" fontId="10" fillId="0" borderId="4" xfId="96" applyFont="1" applyBorder="1" applyAlignment="1">
      <alignment horizontal="left" vertical="center" wrapText="1"/>
    </xf>
    <xf numFmtId="0" fontId="10" fillId="0" borderId="5" xfId="96" applyFont="1" applyBorder="1" applyAlignment="1">
      <alignment horizontal="center" vertical="center" wrapText="1"/>
    </xf>
    <xf numFmtId="9" fontId="10" fillId="0" borderId="4" xfId="96" applyNumberFormat="1" applyFont="1" applyBorder="1" applyAlignment="1">
      <alignment horizontal="center" vertical="center" wrapText="1"/>
    </xf>
    <xf numFmtId="0" fontId="127" fillId="0" borderId="4" xfId="96" applyFont="1" applyBorder="1" applyAlignment="1">
      <alignment horizontal="left" vertical="center" wrapText="1"/>
    </xf>
    <xf numFmtId="0" fontId="42" fillId="7" borderId="4" xfId="97" applyFont="1" applyFill="1" applyBorder="1" applyAlignment="1">
      <alignment horizontal="left" vertical="center" wrapText="1" shrinkToFit="1"/>
    </xf>
    <xf numFmtId="9" fontId="70" fillId="0" borderId="5" xfId="96" applyNumberFormat="1" applyFont="1" applyBorder="1" applyAlignment="1">
      <alignment horizontal="center" vertical="center" shrinkToFit="1" readingOrder="1"/>
    </xf>
    <xf numFmtId="0" fontId="70" fillId="0" borderId="4" xfId="96" applyFont="1" applyBorder="1"/>
    <xf numFmtId="0" fontId="70" fillId="0" borderId="4" xfId="96" applyFont="1" applyBorder="1" applyAlignment="1">
      <alignment horizontal="center" shrinkToFit="1" readingOrder="1"/>
    </xf>
    <xf numFmtId="0" fontId="10" fillId="0" borderId="4" xfId="96" applyFont="1" applyBorder="1" applyAlignment="1">
      <alignment horizontal="left" vertical="center" wrapText="1" shrinkToFit="1"/>
    </xf>
    <xf numFmtId="9" fontId="70" fillId="0" borderId="4" xfId="98" applyFont="1" applyFill="1" applyBorder="1" applyAlignment="1">
      <alignment horizontal="center" vertical="center" shrinkToFit="1" readingOrder="1"/>
    </xf>
    <xf numFmtId="2" fontId="70" fillId="0" borderId="5" xfId="96" applyNumberFormat="1" applyFont="1" applyBorder="1" applyAlignment="1">
      <alignment horizontal="center" vertical="center" shrinkToFit="1" readingOrder="1"/>
    </xf>
    <xf numFmtId="0" fontId="69" fillId="0" borderId="4" xfId="96" applyFont="1" applyBorder="1" applyAlignment="1">
      <alignment horizontal="center" shrinkToFit="1" readingOrder="1"/>
    </xf>
    <xf numFmtId="0" fontId="69" fillId="0" borderId="4" xfId="96" applyFont="1" applyBorder="1" applyAlignment="1">
      <alignment horizontal="center" vertical="center"/>
    </xf>
    <xf numFmtId="43" fontId="70" fillId="0" borderId="4" xfId="91" applyFont="1" applyBorder="1" applyAlignment="1">
      <alignment horizontal="center"/>
    </xf>
    <xf numFmtId="10" fontId="70" fillId="0" borderId="4" xfId="96" applyNumberFormat="1" applyFont="1" applyBorder="1" applyAlignment="1">
      <alignment horizontal="center"/>
    </xf>
    <xf numFmtId="0" fontId="42" fillId="0" borderId="4" xfId="10" applyFont="1" applyBorder="1" applyAlignment="1">
      <alignment vertical="center"/>
    </xf>
    <xf numFmtId="0" fontId="42" fillId="4" borderId="4" xfId="14" applyFont="1" applyFill="1" applyBorder="1" applyAlignment="1">
      <alignment horizontal="center" vertical="center" wrapText="1"/>
    </xf>
    <xf numFmtId="0" fontId="76" fillId="0" borderId="4" xfId="10" applyFont="1" applyBorder="1" applyAlignment="1">
      <alignment horizontal="left" vertical="center" indent="1"/>
    </xf>
    <xf numFmtId="0" fontId="76" fillId="0" borderId="4" xfId="10" applyFont="1" applyBorder="1" applyAlignment="1">
      <alignment horizontal="left" vertical="center" wrapText="1" indent="1"/>
    </xf>
    <xf numFmtId="0" fontId="70" fillId="0" borderId="4" xfId="0" applyFont="1" applyBorder="1" applyAlignment="1">
      <alignment wrapText="1"/>
    </xf>
    <xf numFmtId="0" fontId="70" fillId="0" borderId="4" xfId="0" applyFont="1" applyBorder="1"/>
    <xf numFmtId="0" fontId="10" fillId="0" borderId="4" xfId="14" applyFont="1" applyBorder="1" applyAlignment="1">
      <alignment vertical="center" wrapText="1"/>
    </xf>
    <xf numFmtId="0" fontId="76" fillId="0" borderId="4" xfId="14" applyFont="1" applyBorder="1" applyAlignment="1">
      <alignment horizontal="left" vertical="center" wrapText="1" indent="1"/>
    </xf>
    <xf numFmtId="0" fontId="10" fillId="0" borderId="4" xfId="14" applyFont="1" applyBorder="1" applyAlignment="1">
      <alignment vertical="top" wrapText="1"/>
    </xf>
    <xf numFmtId="0" fontId="42" fillId="0" borderId="4" xfId="14" applyFont="1" applyBorder="1" applyAlignment="1">
      <alignment vertical="center" wrapText="1"/>
    </xf>
    <xf numFmtId="9" fontId="10" fillId="0" borderId="0" xfId="92" applyFont="1" applyAlignment="1">
      <alignment horizontal="center" vertical="center"/>
    </xf>
    <xf numFmtId="0" fontId="42" fillId="0" borderId="4" xfId="0" applyFont="1" applyBorder="1" applyAlignment="1">
      <alignment horizontal="center" vertical="center"/>
    </xf>
    <xf numFmtId="172" fontId="128" fillId="0" borderId="4" xfId="0" applyNumberFormat="1" applyFont="1" applyBorder="1" applyAlignment="1">
      <alignment vertical="top"/>
    </xf>
    <xf numFmtId="10" fontId="128" fillId="0" borderId="4" xfId="0" applyNumberFormat="1" applyFont="1" applyBorder="1" applyAlignment="1">
      <alignment vertical="top"/>
    </xf>
    <xf numFmtId="2" fontId="128" fillId="0" borderId="4" xfId="0" applyNumberFormat="1" applyFont="1" applyBorder="1" applyAlignment="1">
      <alignment vertical="top"/>
    </xf>
    <xf numFmtId="43" fontId="128" fillId="0" borderId="4" xfId="0" applyNumberFormat="1" applyFont="1" applyBorder="1" applyAlignment="1">
      <alignment vertical="top"/>
    </xf>
    <xf numFmtId="2" fontId="129" fillId="0" borderId="4" xfId="0" applyNumberFormat="1" applyFont="1" applyBorder="1" applyAlignment="1">
      <alignment vertical="top"/>
    </xf>
    <xf numFmtId="2" fontId="129" fillId="31" borderId="4" xfId="11" applyNumberFormat="1" applyFont="1" applyFill="1" applyBorder="1" applyAlignment="1">
      <alignment horizontal="left" vertical="center"/>
    </xf>
    <xf numFmtId="0" fontId="129" fillId="31" borderId="4" xfId="0" applyFont="1" applyFill="1" applyBorder="1" applyAlignment="1">
      <alignment horizontal="center" vertical="center"/>
    </xf>
    <xf numFmtId="0" fontId="129" fillId="31" borderId="4" xfId="0" applyFont="1" applyFill="1" applyBorder="1" applyAlignment="1">
      <alignment vertical="center"/>
    </xf>
    <xf numFmtId="0" fontId="128" fillId="9" borderId="4" xfId="11" applyFont="1" applyFill="1" applyBorder="1" applyAlignment="1">
      <alignment horizontal="left" vertical="top"/>
    </xf>
    <xf numFmtId="0" fontId="128" fillId="0" borderId="4" xfId="0" applyFont="1" applyBorder="1" applyAlignment="1">
      <alignment horizontal="center" vertical="top"/>
    </xf>
    <xf numFmtId="0" fontId="128" fillId="9" borderId="4" xfId="11" applyFont="1" applyFill="1" applyBorder="1" applyAlignment="1">
      <alignment horizontal="left" vertical="top" wrapText="1"/>
    </xf>
    <xf numFmtId="10" fontId="128" fillId="0" borderId="4" xfId="0" applyNumberFormat="1" applyFont="1" applyBorder="1" applyAlignment="1">
      <alignment horizontal="center" vertical="top"/>
    </xf>
    <xf numFmtId="2" fontId="128" fillId="0" borderId="4" xfId="0" applyNumberFormat="1" applyFont="1" applyBorder="1" applyAlignment="1">
      <alignment horizontal="center" vertical="top"/>
    </xf>
    <xf numFmtId="0" fontId="128" fillId="9" borderId="4" xfId="0" applyFont="1" applyFill="1" applyBorder="1" applyAlignment="1">
      <alignment horizontal="left" vertical="top"/>
    </xf>
    <xf numFmtId="0" fontId="129" fillId="0" borderId="4" xfId="0" applyFont="1" applyBorder="1" applyAlignment="1">
      <alignment vertical="top"/>
    </xf>
    <xf numFmtId="2" fontId="129" fillId="0" borderId="4" xfId="0" applyNumberFormat="1" applyFont="1" applyBorder="1" applyAlignment="1">
      <alignment horizontal="center" vertical="top"/>
    </xf>
    <xf numFmtId="189" fontId="128" fillId="0" borderId="4" xfId="0" applyNumberFormat="1" applyFont="1" applyBorder="1" applyAlignment="1">
      <alignment horizontal="center" vertical="top"/>
    </xf>
    <xf numFmtId="0" fontId="128" fillId="0" borderId="4" xfId="0" applyFont="1" applyBorder="1" applyAlignment="1">
      <alignment vertical="top"/>
    </xf>
    <xf numFmtId="0" fontId="128" fillId="0" borderId="4" xfId="0" applyFont="1" applyBorder="1" applyAlignment="1">
      <alignment vertical="top" wrapText="1"/>
    </xf>
    <xf numFmtId="164" fontId="8" fillId="0" borderId="4" xfId="88" applyFont="1" applyBorder="1" applyAlignment="1">
      <alignment vertical="center"/>
    </xf>
    <xf numFmtId="164" fontId="8" fillId="0" borderId="4" xfId="14" applyNumberFormat="1" applyFont="1" applyBorder="1">
      <alignment vertical="center"/>
    </xf>
    <xf numFmtId="179" fontId="10" fillId="0" borderId="4" xfId="102" applyNumberFormat="1" applyFont="1" applyBorder="1" applyAlignment="1">
      <alignment vertical="center" wrapText="1"/>
    </xf>
    <xf numFmtId="179" fontId="42" fillId="0" borderId="4" xfId="102" applyNumberFormat="1" applyFont="1" applyBorder="1" applyAlignment="1">
      <alignment vertical="center" wrapText="1"/>
    </xf>
    <xf numFmtId="43" fontId="9" fillId="0" borderId="0" xfId="10" applyNumberFormat="1" applyFont="1"/>
    <xf numFmtId="43" fontId="8" fillId="0" borderId="4" xfId="10" applyNumberFormat="1" applyFont="1" applyBorder="1" applyAlignment="1">
      <alignment horizontal="right" vertical="center"/>
    </xf>
    <xf numFmtId="9" fontId="8" fillId="0" borderId="4" xfId="92" applyFont="1" applyBorder="1" applyAlignment="1">
      <alignment horizontal="right" vertical="center"/>
    </xf>
    <xf numFmtId="9" fontId="38" fillId="0" borderId="4" xfId="10" applyNumberFormat="1" applyFont="1" applyBorder="1" applyAlignment="1">
      <alignment horizontal="right" vertical="center"/>
    </xf>
    <xf numFmtId="9" fontId="47" fillId="0" borderId="4" xfId="92" applyFont="1" applyBorder="1" applyAlignment="1">
      <alignment horizontal="right" vertical="center"/>
    </xf>
    <xf numFmtId="9" fontId="8" fillId="0" borderId="4" xfId="92" applyFont="1" applyBorder="1" applyAlignment="1">
      <alignment vertical="center"/>
    </xf>
    <xf numFmtId="181" fontId="56" fillId="0" borderId="4" xfId="88" applyNumberFormat="1" applyFont="1" applyBorder="1" applyAlignment="1">
      <alignment vertical="center"/>
    </xf>
    <xf numFmtId="181" fontId="57" fillId="0" borderId="4" xfId="88" applyNumberFormat="1" applyFont="1" applyBorder="1" applyAlignment="1">
      <alignment vertical="center"/>
    </xf>
    <xf numFmtId="179" fontId="56" fillId="0" borderId="4" xfId="88" applyNumberFormat="1" applyFont="1" applyFill="1" applyBorder="1" applyAlignment="1">
      <alignment horizontal="center" vertical="center"/>
    </xf>
    <xf numFmtId="181" fontId="56" fillId="0" borderId="4" xfId="88" applyNumberFormat="1" applyFont="1" applyFill="1" applyBorder="1" applyAlignment="1">
      <alignment vertical="center"/>
    </xf>
    <xf numFmtId="1" fontId="56" fillId="0" borderId="4" xfId="14" applyNumberFormat="1" applyFont="1" applyBorder="1" applyAlignment="1">
      <alignment horizontal="center" vertical="center"/>
    </xf>
    <xf numFmtId="179" fontId="56" fillId="0" borderId="4" xfId="88" applyNumberFormat="1" applyFont="1" applyBorder="1" applyAlignment="1">
      <alignment horizontal="center" vertical="center"/>
    </xf>
    <xf numFmtId="181" fontId="56" fillId="0" borderId="4" xfId="88" applyNumberFormat="1" applyFont="1" applyBorder="1" applyAlignment="1">
      <alignment horizontal="center" vertical="center"/>
    </xf>
    <xf numFmtId="181" fontId="56" fillId="0" borderId="4" xfId="88" applyNumberFormat="1" applyFont="1" applyBorder="1" applyAlignment="1">
      <alignment horizontal="right" vertical="center"/>
    </xf>
    <xf numFmtId="10" fontId="56" fillId="0" borderId="4" xfId="89" applyNumberFormat="1" applyFont="1" applyBorder="1" applyAlignment="1">
      <alignment vertical="center"/>
    </xf>
    <xf numFmtId="10" fontId="56" fillId="0" borderId="4" xfId="14" applyNumberFormat="1" applyFont="1" applyBorder="1">
      <alignment vertical="center"/>
    </xf>
    <xf numFmtId="1" fontId="57" fillId="0" borderId="4" xfId="14" applyNumberFormat="1" applyFont="1" applyBorder="1" applyAlignment="1">
      <alignment horizontal="center" vertical="center"/>
    </xf>
    <xf numFmtId="179" fontId="57" fillId="0" borderId="4" xfId="88" applyNumberFormat="1" applyFont="1" applyFill="1" applyBorder="1" applyAlignment="1">
      <alignment horizontal="center" vertical="center"/>
    </xf>
    <xf numFmtId="181" fontId="57" fillId="0" borderId="4" xfId="88" applyNumberFormat="1" applyFont="1" applyFill="1" applyBorder="1" applyAlignment="1">
      <alignment vertical="center"/>
    </xf>
    <xf numFmtId="181" fontId="57" fillId="0" borderId="4" xfId="88" applyNumberFormat="1" applyFont="1" applyFill="1" applyBorder="1" applyAlignment="1">
      <alignment horizontal="center" vertical="center"/>
    </xf>
    <xf numFmtId="181" fontId="57" fillId="0" borderId="4" xfId="88" applyNumberFormat="1" applyFont="1" applyBorder="1" applyAlignment="1">
      <alignment horizontal="right" vertical="center"/>
    </xf>
    <xf numFmtId="181" fontId="57" fillId="0" borderId="4" xfId="88" applyNumberFormat="1" applyFont="1" applyFill="1" applyBorder="1" applyAlignment="1">
      <alignment horizontal="right" vertical="center"/>
    </xf>
    <xf numFmtId="10" fontId="57" fillId="0" borderId="4" xfId="89" applyNumberFormat="1" applyFont="1" applyBorder="1" applyAlignment="1">
      <alignment vertical="center"/>
    </xf>
    <xf numFmtId="10" fontId="57" fillId="0" borderId="4" xfId="14" applyNumberFormat="1" applyFont="1" applyBorder="1">
      <alignment vertical="center"/>
    </xf>
    <xf numFmtId="181" fontId="56" fillId="0" borderId="4" xfId="88" applyNumberFormat="1" applyFont="1" applyFill="1" applyBorder="1" applyAlignment="1">
      <alignment horizontal="center" vertical="center"/>
    </xf>
    <xf numFmtId="181" fontId="56" fillId="0" borderId="4" xfId="88" applyNumberFormat="1" applyFont="1" applyFill="1" applyBorder="1" applyAlignment="1">
      <alignment horizontal="right" vertical="center"/>
    </xf>
    <xf numFmtId="174" fontId="56" fillId="0" borderId="4" xfId="14" applyNumberFormat="1" applyFont="1" applyBorder="1" applyAlignment="1">
      <alignment horizontal="center" vertical="center"/>
    </xf>
    <xf numFmtId="174" fontId="57" fillId="0" borderId="4" xfId="14" applyNumberFormat="1" applyFont="1" applyBorder="1" applyAlignment="1">
      <alignment horizontal="center" vertical="center"/>
    </xf>
    <xf numFmtId="10" fontId="8" fillId="0" borderId="0" xfId="14" applyNumberFormat="1" applyFont="1" applyAlignment="1">
      <alignment vertical="center" wrapText="1"/>
    </xf>
    <xf numFmtId="172" fontId="57" fillId="0" borderId="4" xfId="91" applyNumberFormat="1" applyFont="1" applyFill="1" applyBorder="1" applyAlignment="1">
      <alignment horizontal="center" vertical="center"/>
    </xf>
    <xf numFmtId="172" fontId="57" fillId="0" borderId="4" xfId="91" applyNumberFormat="1" applyFont="1" applyBorder="1" applyAlignment="1">
      <alignment horizontal="center" vertical="center"/>
    </xf>
    <xf numFmtId="179" fontId="57" fillId="0" borderId="4" xfId="88" applyNumberFormat="1" applyFont="1" applyFill="1" applyBorder="1" applyAlignment="1">
      <alignment vertical="center"/>
    </xf>
    <xf numFmtId="0" fontId="57" fillId="0" borderId="4" xfId="10" applyFont="1" applyBorder="1" applyAlignment="1">
      <alignment vertical="top" wrapText="1"/>
    </xf>
    <xf numFmtId="2" fontId="56" fillId="0" borderId="4" xfId="10" applyNumberFormat="1" applyFont="1" applyBorder="1" applyAlignment="1">
      <alignment vertical="top" wrapText="1"/>
    </xf>
    <xf numFmtId="0" fontId="57" fillId="0" borderId="4" xfId="10" applyFont="1" applyBorder="1" applyAlignment="1">
      <alignment horizontal="left" vertical="top" wrapText="1"/>
    </xf>
    <xf numFmtId="10" fontId="8" fillId="0" borderId="0" xfId="10" applyNumberFormat="1" applyFont="1"/>
    <xf numFmtId="10" fontId="8" fillId="0" borderId="4" xfId="10" applyNumberFormat="1" applyFont="1" applyBorder="1" applyAlignment="1">
      <alignment vertical="top" wrapText="1"/>
    </xf>
    <xf numFmtId="10" fontId="9" fillId="0" borderId="4" xfId="10" applyNumberFormat="1" applyFont="1" applyBorder="1"/>
    <xf numFmtId="172" fontId="57" fillId="0" borderId="4" xfId="88" applyNumberFormat="1" applyFont="1" applyFill="1" applyBorder="1" applyAlignment="1">
      <alignment horizontal="center" vertical="center"/>
    </xf>
    <xf numFmtId="43" fontId="56" fillId="0" borderId="0" xfId="91" applyFont="1" applyAlignment="1">
      <alignment vertical="center"/>
    </xf>
    <xf numFmtId="0" fontId="57" fillId="0" borderId="0" xfId="14" applyFont="1" applyAlignment="1">
      <alignment horizontal="center" vertical="top" wrapText="1"/>
    </xf>
    <xf numFmtId="0" fontId="57" fillId="0" borderId="0" xfId="14" applyFont="1" applyAlignment="1">
      <alignment vertical="top" wrapText="1"/>
    </xf>
    <xf numFmtId="43" fontId="10" fillId="18" borderId="0" xfId="91" applyFont="1" applyFill="1" applyAlignment="1">
      <alignment vertical="center"/>
    </xf>
    <xf numFmtId="43" fontId="56" fillId="7" borderId="4" xfId="91" applyFont="1" applyFill="1" applyBorder="1" applyAlignment="1">
      <alignment horizontal="right"/>
    </xf>
    <xf numFmtId="43" fontId="8" fillId="7" borderId="4" xfId="91" applyFont="1" applyFill="1" applyBorder="1" applyAlignment="1">
      <alignment horizontal="right"/>
    </xf>
    <xf numFmtId="176" fontId="8" fillId="0" borderId="0" xfId="91" applyNumberFormat="1" applyFont="1"/>
    <xf numFmtId="181" fontId="56" fillId="0" borderId="9" xfId="88" applyNumberFormat="1" applyFont="1" applyBorder="1" applyAlignment="1">
      <alignment vertical="center"/>
    </xf>
    <xf numFmtId="181" fontId="56" fillId="0" borderId="6" xfId="88" applyNumberFormat="1" applyFont="1" applyBorder="1" applyAlignment="1">
      <alignment vertical="center"/>
    </xf>
    <xf numFmtId="179" fontId="56" fillId="0" borderId="4" xfId="88" applyNumberFormat="1" applyFont="1" applyBorder="1" applyAlignment="1">
      <alignment vertical="center" wrapText="1"/>
    </xf>
    <xf numFmtId="181" fontId="8" fillId="0" borderId="0" xfId="14" applyNumberFormat="1" applyFont="1" applyAlignment="1">
      <alignment vertical="center" wrapText="1"/>
    </xf>
    <xf numFmtId="172" fontId="8" fillId="0" borderId="0" xfId="91" applyNumberFormat="1" applyFont="1" applyAlignment="1">
      <alignment vertical="center" wrapText="1"/>
    </xf>
    <xf numFmtId="176" fontId="8" fillId="0" borderId="0" xfId="91" applyNumberFormat="1" applyFont="1" applyAlignment="1">
      <alignment vertical="center" wrapText="1"/>
    </xf>
    <xf numFmtId="172" fontId="8" fillId="0" borderId="0" xfId="14" applyNumberFormat="1" applyFont="1" applyAlignment="1">
      <alignment vertical="center" wrapText="1"/>
    </xf>
    <xf numFmtId="10" fontId="8" fillId="0" borderId="0" xfId="10" applyNumberFormat="1" applyFont="1" applyAlignment="1">
      <alignment horizontal="centerContinuous"/>
    </xf>
    <xf numFmtId="10" fontId="9" fillId="0" borderId="0" xfId="10" applyNumberFormat="1" applyFont="1" applyAlignment="1">
      <alignment horizontal="center"/>
    </xf>
    <xf numFmtId="10" fontId="9" fillId="0" borderId="4" xfId="10" applyNumberFormat="1" applyFont="1" applyBorder="1" applyAlignment="1">
      <alignment vertical="top" wrapText="1"/>
    </xf>
    <xf numFmtId="10" fontId="8" fillId="0" borderId="4" xfId="34" applyNumberFormat="1" applyFont="1" applyBorder="1">
      <alignment vertical="center"/>
    </xf>
    <xf numFmtId="10" fontId="9" fillId="0" borderId="4" xfId="34" applyNumberFormat="1" applyFont="1" applyBorder="1">
      <alignment vertical="center"/>
    </xf>
    <xf numFmtId="9" fontId="8" fillId="0" borderId="4" xfId="34" applyNumberFormat="1" applyFont="1" applyBorder="1">
      <alignment vertical="center"/>
    </xf>
    <xf numFmtId="9" fontId="9" fillId="0" borderId="4" xfId="34" applyNumberFormat="1" applyFont="1" applyBorder="1">
      <alignment vertical="center"/>
    </xf>
    <xf numFmtId="172" fontId="10" fillId="0" borderId="4" xfId="91" applyNumberFormat="1" applyFont="1" applyBorder="1" applyAlignment="1">
      <alignment vertical="center" wrapText="1"/>
    </xf>
    <xf numFmtId="172" fontId="10" fillId="0" borderId="4" xfId="91" applyNumberFormat="1" applyFont="1" applyBorder="1" applyAlignment="1">
      <alignment vertical="top" wrapText="1"/>
    </xf>
    <xf numFmtId="172" fontId="42" fillId="0" borderId="4" xfId="91" applyNumberFormat="1" applyFont="1" applyBorder="1" applyAlignment="1">
      <alignment vertical="center" wrapText="1"/>
    </xf>
    <xf numFmtId="172" fontId="69" fillId="0" borderId="4" xfId="91" applyNumberFormat="1" applyFont="1" applyBorder="1" applyAlignment="1">
      <alignment vertical="top" wrapText="1"/>
    </xf>
    <xf numFmtId="172" fontId="10" fillId="0" borderId="4" xfId="0" applyNumberFormat="1" applyFont="1" applyBorder="1" applyAlignment="1">
      <alignment vertical="center" wrapText="1"/>
    </xf>
    <xf numFmtId="172" fontId="10" fillId="0" borderId="4" xfId="102" applyNumberFormat="1" applyFont="1" applyBorder="1" applyAlignment="1">
      <alignment vertical="center" wrapText="1"/>
    </xf>
    <xf numFmtId="172" fontId="10" fillId="0" borderId="4" xfId="0" applyNumberFormat="1" applyFont="1" applyBorder="1" applyAlignment="1">
      <alignment vertical="top" wrapText="1"/>
    </xf>
    <xf numFmtId="172" fontId="42" fillId="0" borderId="4" xfId="0" applyNumberFormat="1" applyFont="1" applyBorder="1" applyAlignment="1">
      <alignment vertical="center" wrapText="1"/>
    </xf>
    <xf numFmtId="172" fontId="42" fillId="0" borderId="4" xfId="102" applyNumberFormat="1" applyFont="1" applyBorder="1" applyAlignment="1">
      <alignment vertical="center" wrapText="1"/>
    </xf>
    <xf numFmtId="179" fontId="10" fillId="0" borderId="4" xfId="0" applyNumberFormat="1" applyFont="1" applyBorder="1" applyAlignment="1">
      <alignment vertical="center" wrapText="1"/>
    </xf>
    <xf numFmtId="179" fontId="10" fillId="0" borderId="4" xfId="0" applyNumberFormat="1" applyFont="1" applyBorder="1" applyAlignment="1">
      <alignment vertical="top" wrapText="1"/>
    </xf>
    <xf numFmtId="179" fontId="42" fillId="0" borderId="4" xfId="0" applyNumberFormat="1" applyFont="1" applyBorder="1" applyAlignment="1">
      <alignment vertical="center" wrapText="1"/>
    </xf>
    <xf numFmtId="172" fontId="120" fillId="0" borderId="4" xfId="91" applyNumberFormat="1" applyFont="1" applyFill="1" applyBorder="1" applyAlignment="1">
      <alignment horizontal="center" vertical="center" wrapText="1"/>
    </xf>
    <xf numFmtId="172" fontId="70" fillId="0" borderId="4" xfId="91" applyNumberFormat="1" applyFont="1" applyBorder="1" applyAlignment="1">
      <alignment horizontal="center" vertical="center" wrapText="1"/>
    </xf>
    <xf numFmtId="164" fontId="10" fillId="0" borderId="4" xfId="0" applyNumberFormat="1" applyFont="1" applyBorder="1" applyAlignment="1">
      <alignment vertical="top" wrapText="1"/>
    </xf>
    <xf numFmtId="164" fontId="42" fillId="0" borderId="4" xfId="0" applyNumberFormat="1" applyFont="1" applyBorder="1" applyAlignment="1">
      <alignment vertical="center" wrapText="1"/>
    </xf>
    <xf numFmtId="0" fontId="131" fillId="7" borderId="0" xfId="101" applyFont="1" applyFill="1"/>
    <xf numFmtId="0" fontId="131" fillId="0" borderId="0" xfId="101" applyFont="1"/>
    <xf numFmtId="0" fontId="132" fillId="13" borderId="0" xfId="101" applyFont="1" applyFill="1"/>
    <xf numFmtId="0" fontId="132" fillId="4" borderId="4" xfId="10" applyFont="1" applyFill="1" applyBorder="1" applyAlignment="1">
      <alignment horizontal="center" vertical="center" wrapText="1"/>
    </xf>
    <xf numFmtId="164" fontId="132" fillId="4" borderId="4" xfId="88" applyFont="1" applyFill="1" applyBorder="1" applyAlignment="1">
      <alignment horizontal="center" vertical="center" wrapText="1"/>
    </xf>
    <xf numFmtId="0" fontId="96" fillId="21" borderId="3" xfId="119" applyFont="1" applyFill="1" applyBorder="1" applyAlignment="1">
      <alignment vertical="center"/>
    </xf>
    <xf numFmtId="0" fontId="96" fillId="21" borderId="3" xfId="119" applyFont="1" applyFill="1" applyBorder="1" applyAlignment="1">
      <alignment horizontal="center" vertical="center"/>
    </xf>
    <xf numFmtId="0" fontId="133" fillId="0" borderId="4" xfId="0" applyFont="1" applyBorder="1" applyAlignment="1">
      <alignment vertical="center"/>
    </xf>
    <xf numFmtId="2" fontId="131" fillId="0" borderId="4" xfId="88" applyNumberFormat="1" applyFont="1" applyBorder="1"/>
    <xf numFmtId="10" fontId="131" fillId="0" borderId="4" xfId="89" applyNumberFormat="1" applyFont="1" applyBorder="1"/>
    <xf numFmtId="10" fontId="62" fillId="0" borderId="4" xfId="92" applyNumberFormat="1" applyFont="1" applyBorder="1" applyAlignment="1">
      <alignment horizontal="center" vertical="center"/>
    </xf>
    <xf numFmtId="2" fontId="62" fillId="0" borderId="4" xfId="118" applyNumberFormat="1" applyFont="1" applyBorder="1" applyAlignment="1">
      <alignment horizontal="center" vertical="center"/>
    </xf>
    <xf numFmtId="164" fontId="131" fillId="0" borderId="4" xfId="88" applyFont="1" applyBorder="1"/>
    <xf numFmtId="43" fontId="62" fillId="0" borderId="4" xfId="102" applyFont="1" applyBorder="1" applyAlignment="1">
      <alignment horizontal="center" vertical="center"/>
    </xf>
    <xf numFmtId="43" fontId="131" fillId="0" borderId="4" xfId="101" applyNumberFormat="1" applyFont="1" applyBorder="1"/>
    <xf numFmtId="2" fontId="62" fillId="0" borderId="3" xfId="10" applyNumberFormat="1" applyFont="1" applyBorder="1" applyAlignment="1">
      <alignment horizontal="left" vertical="center" wrapText="1"/>
    </xf>
    <xf numFmtId="10" fontId="62" fillId="0" borderId="3" xfId="120" applyNumberFormat="1" applyFont="1" applyFill="1" applyBorder="1" applyAlignment="1">
      <alignment horizontal="center" vertical="center"/>
    </xf>
    <xf numFmtId="0" fontId="133" fillId="0" borderId="4" xfId="0" applyFont="1" applyBorder="1" applyAlignment="1">
      <alignment horizontal="left" vertical="center" wrapText="1"/>
    </xf>
    <xf numFmtId="0" fontId="131" fillId="0" borderId="4" xfId="101" applyFont="1" applyBorder="1"/>
    <xf numFmtId="0" fontId="63" fillId="0" borderId="4" xfId="0" applyFont="1" applyBorder="1" applyAlignment="1">
      <alignment horizontal="left" vertical="center" wrapText="1"/>
    </xf>
    <xf numFmtId="2" fontId="62" fillId="0" borderId="3" xfId="11" applyNumberFormat="1" applyFont="1" applyBorder="1" applyAlignment="1">
      <alignment horizontal="center" vertical="center"/>
    </xf>
    <xf numFmtId="0" fontId="62" fillId="0" borderId="0" xfId="119" applyFont="1" applyAlignment="1">
      <alignment vertical="center"/>
    </xf>
    <xf numFmtId="2" fontId="132" fillId="0" borderId="4" xfId="10" applyNumberFormat="1" applyFont="1" applyBorder="1" applyAlignment="1">
      <alignment horizontal="left" vertical="center" wrapText="1"/>
    </xf>
    <xf numFmtId="2" fontId="134" fillId="0" borderId="4" xfId="10" applyNumberFormat="1" applyFont="1" applyBorder="1" applyAlignment="1">
      <alignment horizontal="left" vertical="center" wrapText="1"/>
    </xf>
    <xf numFmtId="179" fontId="124" fillId="0" borderId="4" xfId="91" applyNumberFormat="1" applyFont="1" applyBorder="1" applyAlignment="1">
      <alignment vertical="center" wrapText="1"/>
    </xf>
    <xf numFmtId="179" fontId="121" fillId="0" borderId="4" xfId="0" applyNumberFormat="1" applyFont="1" applyBorder="1" applyAlignment="1">
      <alignment vertical="center" wrapText="1"/>
    </xf>
    <xf numFmtId="179" fontId="124" fillId="0" borderId="4" xfId="0" applyNumberFormat="1" applyFont="1" applyBorder="1" applyAlignment="1">
      <alignment vertical="center" wrapText="1"/>
    </xf>
    <xf numFmtId="179" fontId="124" fillId="0" borderId="4" xfId="0" applyNumberFormat="1" applyFont="1" applyBorder="1" applyAlignment="1">
      <alignment vertical="center"/>
    </xf>
    <xf numFmtId="179" fontId="124" fillId="0" borderId="4" xfId="91" applyNumberFormat="1" applyFont="1" applyBorder="1" applyAlignment="1">
      <alignment vertical="center"/>
    </xf>
    <xf numFmtId="179" fontId="124" fillId="18" borderId="4" xfId="91" applyNumberFormat="1" applyFont="1" applyFill="1" applyBorder="1" applyAlignment="1">
      <alignment vertical="center" wrapText="1"/>
    </xf>
    <xf numFmtId="179" fontId="121" fillId="0" borderId="4" xfId="0" applyNumberFormat="1" applyFont="1" applyBorder="1" applyAlignment="1">
      <alignment vertical="center"/>
    </xf>
    <xf numFmtId="179" fontId="124" fillId="0" borderId="4" xfId="0" applyNumberFormat="1" applyFont="1" applyBorder="1" applyAlignment="1">
      <alignment horizontal="center" vertical="center" wrapText="1"/>
    </xf>
    <xf numFmtId="179" fontId="124" fillId="0" borderId="4" xfId="0" applyNumberFormat="1" applyFont="1" applyBorder="1" applyAlignment="1">
      <alignment horizontal="center" vertical="center"/>
    </xf>
    <xf numFmtId="179" fontId="124" fillId="0" borderId="4" xfId="91" applyNumberFormat="1" applyFont="1" applyBorder="1" applyAlignment="1">
      <alignment horizontal="center" vertical="center"/>
    </xf>
    <xf numFmtId="179" fontId="8" fillId="0" borderId="4" xfId="0" applyNumberFormat="1" applyFont="1" applyBorder="1"/>
    <xf numFmtId="179" fontId="8" fillId="0" borderId="4" xfId="91" applyNumberFormat="1" applyFont="1" applyBorder="1"/>
    <xf numFmtId="43" fontId="128" fillId="0" borderId="4" xfId="94" applyFont="1" applyBorder="1"/>
    <xf numFmtId="39" fontId="9" fillId="0" borderId="4" xfId="14" applyNumberFormat="1" applyFont="1" applyBorder="1">
      <alignment vertical="center"/>
    </xf>
    <xf numFmtId="43" fontId="10" fillId="0" borderId="4" xfId="91" applyFont="1" applyFill="1" applyBorder="1" applyAlignment="1">
      <alignment vertical="center"/>
    </xf>
    <xf numFmtId="174" fontId="70" fillId="0" borderId="4" xfId="0" applyNumberFormat="1" applyFont="1" applyBorder="1" applyAlignment="1">
      <alignment horizontal="center"/>
    </xf>
    <xf numFmtId="10" fontId="10" fillId="0" borderId="4" xfId="91" applyNumberFormat="1" applyFont="1" applyFill="1" applyBorder="1" applyAlignment="1">
      <alignment vertical="center"/>
    </xf>
    <xf numFmtId="10" fontId="10" fillId="0" borderId="4" xfId="92" applyNumberFormat="1" applyFont="1" applyFill="1" applyBorder="1" applyAlignment="1">
      <alignment vertical="center"/>
    </xf>
    <xf numFmtId="10" fontId="10" fillId="0" borderId="6" xfId="0" applyNumberFormat="1" applyFont="1" applyBorder="1" applyAlignment="1">
      <alignment vertical="center"/>
    </xf>
    <xf numFmtId="43" fontId="8" fillId="0" borderId="4" xfId="91" quotePrefix="1" applyFont="1" applyFill="1" applyBorder="1" applyAlignment="1">
      <alignment vertical="center"/>
    </xf>
    <xf numFmtId="168" fontId="58" fillId="0" borderId="0" xfId="88" applyNumberFormat="1" applyFont="1" applyFill="1" applyBorder="1" applyAlignment="1">
      <alignment horizontal="center"/>
    </xf>
    <xf numFmtId="183" fontId="56" fillId="0" borderId="4" xfId="87" applyNumberFormat="1" applyFont="1" applyBorder="1"/>
    <xf numFmtId="174" fontId="56" fillId="0" borderId="4" xfId="87" applyNumberFormat="1" applyFont="1" applyBorder="1" applyAlignment="1">
      <alignment horizontal="center"/>
    </xf>
    <xf numFmtId="183" fontId="56" fillId="0" borderId="7" xfId="87" applyNumberFormat="1" applyFont="1" applyBorder="1"/>
    <xf numFmtId="174" fontId="56" fillId="0" borderId="7" xfId="87" applyNumberFormat="1" applyFont="1" applyBorder="1" applyAlignment="1">
      <alignment horizontal="center"/>
    </xf>
    <xf numFmtId="168" fontId="59" fillId="0" borderId="0" xfId="88" applyNumberFormat="1" applyFont="1" applyFill="1" applyBorder="1" applyAlignment="1">
      <alignment horizontal="center"/>
    </xf>
    <xf numFmtId="181" fontId="59" fillId="0" borderId="4" xfId="88" applyNumberFormat="1" applyFont="1" applyFill="1" applyBorder="1" applyAlignment="1">
      <alignment horizontal="center"/>
    </xf>
    <xf numFmtId="179" fontId="83" fillId="0" borderId="4" xfId="14" applyNumberFormat="1" applyFont="1" applyBorder="1" applyAlignment="1">
      <alignment horizontal="right" vertical="center"/>
    </xf>
    <xf numFmtId="39" fontId="9" fillId="0" borderId="0" xfId="14" applyNumberFormat="1" applyFont="1">
      <alignment vertical="center"/>
    </xf>
    <xf numFmtId="43" fontId="8" fillId="0" borderId="0" xfId="91" applyFont="1" applyFill="1" applyAlignment="1">
      <alignment vertical="center"/>
    </xf>
    <xf numFmtId="164" fontId="9" fillId="0" borderId="4" xfId="14" applyNumberFormat="1" applyFont="1" applyBorder="1">
      <alignment vertical="center"/>
    </xf>
    <xf numFmtId="172" fontId="8" fillId="0" borderId="4" xfId="91" applyNumberFormat="1" applyFont="1" applyFill="1" applyBorder="1" applyAlignment="1">
      <alignment horizontal="center" vertical="center" wrapText="1"/>
    </xf>
    <xf numFmtId="172" fontId="8" fillId="0" borderId="4" xfId="91" applyNumberFormat="1" applyFont="1" applyFill="1" applyBorder="1"/>
    <xf numFmtId="43" fontId="8" fillId="0" borderId="4" xfId="91" applyFont="1" applyFill="1" applyBorder="1" applyAlignment="1">
      <alignment vertical="center"/>
    </xf>
    <xf numFmtId="2" fontId="57" fillId="0" borderId="4" xfId="14" applyNumberFormat="1" applyFont="1" applyBorder="1" applyAlignment="1">
      <alignment vertical="top" wrapText="1"/>
    </xf>
    <xf numFmtId="43" fontId="9" fillId="0" borderId="4" xfId="91" applyFont="1" applyFill="1" applyBorder="1" applyAlignment="1">
      <alignment vertical="top" wrapText="1"/>
    </xf>
    <xf numFmtId="174" fontId="15" fillId="0" borderId="4" xfId="91" applyNumberFormat="1" applyFont="1" applyFill="1" applyBorder="1" applyAlignment="1">
      <alignment horizontal="center" vertical="center"/>
    </xf>
    <xf numFmtId="174" fontId="12" fillId="0" borderId="4" xfId="91" applyNumberFormat="1" applyFont="1" applyFill="1" applyBorder="1"/>
    <xf numFmtId="172" fontId="8" fillId="0" borderId="4" xfId="91" applyNumberFormat="1" applyFont="1" applyFill="1" applyBorder="1" applyAlignment="1">
      <alignment vertical="center"/>
    </xf>
    <xf numFmtId="172" fontId="56" fillId="0" borderId="4" xfId="91" applyNumberFormat="1" applyFont="1" applyFill="1" applyBorder="1" applyAlignment="1">
      <alignment vertical="center"/>
    </xf>
    <xf numFmtId="172" fontId="56" fillId="0" borderId="0" xfId="91" applyNumberFormat="1" applyFont="1" applyFill="1" applyAlignment="1">
      <alignment vertical="center"/>
    </xf>
    <xf numFmtId="172" fontId="57" fillId="0" borderId="4" xfId="91" applyNumberFormat="1" applyFont="1" applyFill="1" applyBorder="1" applyAlignment="1">
      <alignment vertical="center"/>
    </xf>
    <xf numFmtId="43" fontId="10" fillId="0" borderId="4" xfId="91" applyFont="1" applyFill="1" applyBorder="1"/>
    <xf numFmtId="172" fontId="16" fillId="0" borderId="4" xfId="91" applyNumberFormat="1" applyFont="1" applyFill="1" applyBorder="1" applyAlignment="1">
      <alignment horizontal="center" vertical="center" wrapText="1"/>
    </xf>
    <xf numFmtId="172" fontId="8" fillId="0" borderId="4" xfId="91" applyNumberFormat="1" applyFont="1" applyFill="1" applyBorder="1" applyAlignment="1">
      <alignment horizontal="left" vertical="center"/>
    </xf>
    <xf numFmtId="172" fontId="25" fillId="0" borderId="4" xfId="91" applyNumberFormat="1" applyFont="1" applyFill="1" applyBorder="1" applyAlignment="1">
      <alignment vertical="center"/>
    </xf>
    <xf numFmtId="172" fontId="8" fillId="0" borderId="4" xfId="91" applyNumberFormat="1" applyFont="1" applyFill="1" applyBorder="1" applyAlignment="1">
      <alignment horizontal="center"/>
    </xf>
    <xf numFmtId="172" fontId="9" fillId="0" borderId="4" xfId="91" applyNumberFormat="1" applyFont="1" applyFill="1" applyBorder="1" applyAlignment="1">
      <alignment vertical="center"/>
    </xf>
    <xf numFmtId="172" fontId="9" fillId="0" borderId="4" xfId="91" applyNumberFormat="1" applyFont="1" applyFill="1" applyBorder="1"/>
    <xf numFmtId="10" fontId="8" fillId="0" borderId="4" xfId="92" applyNumberFormat="1" applyFont="1" applyFill="1" applyBorder="1"/>
    <xf numFmtId="172" fontId="8" fillId="0" borderId="4" xfId="91" applyNumberFormat="1" applyFont="1" applyFill="1" applyBorder="1" applyAlignment="1">
      <alignment horizontal="center" vertical="center"/>
    </xf>
    <xf numFmtId="179" fontId="59" fillId="0" borderId="4" xfId="91" applyNumberFormat="1" applyFont="1" applyFill="1" applyBorder="1" applyAlignment="1">
      <alignment horizontal="center" vertical="center"/>
    </xf>
    <xf numFmtId="164" fontId="83" fillId="0" borderId="4" xfId="20" applyFont="1" applyFill="1" applyBorder="1" applyAlignment="1">
      <alignment vertical="center"/>
    </xf>
    <xf numFmtId="179" fontId="58" fillId="0" borderId="4" xfId="91" applyNumberFormat="1" applyFont="1" applyFill="1" applyBorder="1" applyAlignment="1">
      <alignment horizontal="center" vertical="center"/>
    </xf>
    <xf numFmtId="43" fontId="30" fillId="0" borderId="4" xfId="91" applyFont="1" applyFill="1" applyBorder="1" applyAlignment="1">
      <alignment vertical="center"/>
    </xf>
    <xf numFmtId="43" fontId="10" fillId="0" borderId="0" xfId="91" applyFont="1" applyFill="1" applyAlignment="1">
      <alignment vertical="center"/>
    </xf>
    <xf numFmtId="10" fontId="56" fillId="0" borderId="4" xfId="89" applyNumberFormat="1" applyFont="1" applyFill="1" applyBorder="1" applyAlignment="1">
      <alignment vertical="center"/>
    </xf>
    <xf numFmtId="10" fontId="57" fillId="0" borderId="4" xfId="89" applyNumberFormat="1" applyFont="1" applyFill="1" applyBorder="1" applyAlignment="1">
      <alignment vertical="center"/>
    </xf>
    <xf numFmtId="0" fontId="50" fillId="0" borderId="5" xfId="83" applyFont="1" applyBorder="1" applyAlignment="1">
      <alignment horizontal="left" vertical="center"/>
    </xf>
    <xf numFmtId="43" fontId="50" fillId="0" borderId="4" xfId="91" applyFont="1" applyBorder="1"/>
    <xf numFmtId="0" fontId="50" fillId="0" borderId="4" xfId="83" applyFont="1" applyBorder="1" applyAlignment="1">
      <alignment horizontal="center"/>
    </xf>
    <xf numFmtId="43" fontId="50" fillId="0" borderId="0" xfId="91" applyFont="1"/>
    <xf numFmtId="0" fontId="136" fillId="17" borderId="4" xfId="83" applyFont="1" applyFill="1" applyBorder="1" applyAlignment="1">
      <alignment horizontal="center" vertical="center" wrapText="1"/>
    </xf>
    <xf numFmtId="0" fontId="136" fillId="19" borderId="4" xfId="83" applyFont="1" applyFill="1" applyBorder="1" applyAlignment="1">
      <alignment horizontal="center" vertical="center" wrapText="1"/>
    </xf>
    <xf numFmtId="0" fontId="135" fillId="0" borderId="7" xfId="83" applyFont="1" applyBorder="1" applyAlignment="1">
      <alignment horizontal="center" vertical="center"/>
    </xf>
    <xf numFmtId="0" fontId="135" fillId="0" borderId="4" xfId="83" applyFont="1" applyBorder="1" applyAlignment="1">
      <alignment vertical="center" wrapText="1"/>
    </xf>
    <xf numFmtId="0" fontId="135" fillId="0" borderId="4" xfId="83" applyFont="1" applyBorder="1" applyAlignment="1">
      <alignment horizontal="center" vertical="center" wrapText="1"/>
    </xf>
    <xf numFmtId="0" fontId="135" fillId="0" borderId="4" xfId="83" applyFont="1" applyBorder="1" applyAlignment="1">
      <alignment vertical="center"/>
    </xf>
    <xf numFmtId="43" fontId="135" fillId="0" borderId="4" xfId="91" applyFont="1" applyBorder="1" applyAlignment="1">
      <alignment horizontal="center" vertical="center"/>
    </xf>
    <xf numFmtId="0" fontId="135" fillId="0" borderId="7" xfId="83" applyFont="1" applyBorder="1" applyAlignment="1">
      <alignment vertical="center" wrapText="1"/>
    </xf>
    <xf numFmtId="0" fontId="135" fillId="0" borderId="7" xfId="83" applyFont="1" applyBorder="1" applyAlignment="1">
      <alignment horizontal="center" vertical="center" wrapText="1"/>
    </xf>
    <xf numFmtId="0" fontId="135" fillId="0" borderId="4" xfId="83" applyFont="1" applyBorder="1" applyAlignment="1">
      <alignment horizontal="center" vertical="center"/>
    </xf>
    <xf numFmtId="0" fontId="135" fillId="0" borderId="0" xfId="83" applyFont="1" applyAlignment="1">
      <alignment vertical="center"/>
    </xf>
    <xf numFmtId="43" fontId="136" fillId="0" borderId="0" xfId="84" applyFont="1" applyAlignment="1">
      <alignment vertical="center"/>
    </xf>
    <xf numFmtId="0" fontId="135" fillId="19" borderId="4" xfId="83" applyFont="1" applyFill="1" applyBorder="1" applyAlignment="1">
      <alignment vertical="center"/>
    </xf>
    <xf numFmtId="43" fontId="135" fillId="0" borderId="4" xfId="84" applyFont="1" applyBorder="1" applyAlignment="1">
      <alignment vertical="center"/>
    </xf>
    <xf numFmtId="174" fontId="135" fillId="0" borderId="4" xfId="83" applyNumberFormat="1" applyFont="1" applyBorder="1" applyAlignment="1">
      <alignment vertical="center"/>
    </xf>
    <xf numFmtId="173" fontId="15" fillId="0" borderId="0" xfId="84" applyNumberFormat="1" applyFont="1" applyAlignment="1">
      <alignment vertical="center"/>
    </xf>
    <xf numFmtId="0" fontId="135" fillId="0" borderId="7" xfId="83" applyFont="1" applyBorder="1" applyAlignment="1">
      <alignment vertical="center"/>
    </xf>
    <xf numFmtId="43" fontId="135" fillId="19" borderId="4" xfId="84" applyFont="1" applyFill="1" applyBorder="1" applyAlignment="1">
      <alignment vertical="center"/>
    </xf>
    <xf numFmtId="0" fontId="15" fillId="36" borderId="4" xfId="0" applyFont="1" applyFill="1" applyBorder="1" applyAlignment="1">
      <alignment vertical="center" wrapText="1"/>
    </xf>
    <xf numFmtId="0" fontId="15" fillId="0" borderId="4" xfId="0" applyFont="1" applyBorder="1" applyAlignment="1">
      <alignment vertical="center" wrapText="1"/>
    </xf>
    <xf numFmtId="43" fontId="135" fillId="0" borderId="4" xfId="84" applyFont="1" applyFill="1" applyBorder="1" applyAlignment="1">
      <alignment vertical="center"/>
    </xf>
    <xf numFmtId="0" fontId="136" fillId="21" borderId="4" xfId="83" applyFont="1" applyFill="1" applyBorder="1" applyAlignment="1">
      <alignment vertical="center"/>
    </xf>
    <xf numFmtId="43" fontId="136" fillId="21" borderId="4" xfId="84" applyFont="1" applyFill="1" applyBorder="1" applyAlignment="1">
      <alignment vertical="center"/>
    </xf>
    <xf numFmtId="0" fontId="136" fillId="0" borderId="0" xfId="83" applyFont="1" applyAlignment="1">
      <alignment vertical="center"/>
    </xf>
    <xf numFmtId="43" fontId="135" fillId="0" borderId="0" xfId="83" applyNumberFormat="1" applyFont="1" applyAlignment="1">
      <alignment vertical="center"/>
    </xf>
    <xf numFmtId="0" fontId="50" fillId="0" borderId="0" xfId="83" applyFont="1" applyAlignment="1">
      <alignment horizontal="center"/>
    </xf>
    <xf numFmtId="43" fontId="51" fillId="21" borderId="4" xfId="84" applyFont="1" applyFill="1" applyBorder="1" applyAlignment="1">
      <alignment horizontal="center"/>
    </xf>
    <xf numFmtId="0" fontId="50" fillId="0" borderId="0" xfId="83" applyFont="1" applyAlignment="1">
      <alignment wrapText="1"/>
    </xf>
    <xf numFmtId="0" fontId="48" fillId="17" borderId="4" xfId="83" applyFont="1" applyFill="1" applyBorder="1" applyAlignment="1">
      <alignment horizontal="center" vertical="center" wrapText="1"/>
    </xf>
    <xf numFmtId="0" fontId="5" fillId="0" borderId="0" xfId="83" applyAlignment="1">
      <alignment vertical="center"/>
    </xf>
    <xf numFmtId="0" fontId="0" fillId="20" borderId="4" xfId="0" applyFill="1" applyBorder="1" applyAlignment="1">
      <alignment horizontal="center" vertical="center"/>
    </xf>
    <xf numFmtId="0" fontId="48" fillId="20" borderId="4" xfId="0" applyFont="1" applyFill="1" applyBorder="1" applyAlignment="1">
      <alignment horizontal="center" vertical="center" wrapText="1"/>
    </xf>
    <xf numFmtId="0" fontId="48" fillId="20" borderId="4" xfId="0" applyFont="1" applyFill="1" applyBorder="1" applyAlignment="1">
      <alignment horizontal="left" vertical="center" wrapText="1"/>
    </xf>
    <xf numFmtId="0" fontId="0" fillId="0" borderId="4" xfId="0" applyBorder="1" applyAlignment="1">
      <alignment horizontal="center" vertical="center"/>
    </xf>
    <xf numFmtId="0" fontId="0" fillId="0" borderId="4" xfId="0" applyBorder="1" applyAlignment="1">
      <alignment vertical="center"/>
    </xf>
    <xf numFmtId="0" fontId="0" fillId="0" borderId="4" xfId="0" applyBorder="1" applyAlignment="1">
      <alignment horizontal="left" vertical="center" wrapText="1"/>
    </xf>
    <xf numFmtId="0" fontId="0" fillId="0" borderId="4" xfId="0" applyBorder="1" applyAlignment="1">
      <alignment horizontal="center"/>
    </xf>
    <xf numFmtId="0" fontId="48" fillId="0" borderId="4" xfId="0" applyFont="1" applyBorder="1" applyAlignment="1">
      <alignment horizontal="center"/>
    </xf>
    <xf numFmtId="0" fontId="0" fillId="0" borderId="0" xfId="0" applyAlignment="1">
      <alignment vertical="center"/>
    </xf>
    <xf numFmtId="9" fontId="0" fillId="0" borderId="4" xfId="92" applyFont="1" applyBorder="1" applyAlignment="1">
      <alignment horizontal="center" wrapText="1"/>
    </xf>
    <xf numFmtId="0" fontId="0" fillId="0" borderId="0" xfId="0" applyAlignment="1">
      <alignment horizontal="center" vertical="center"/>
    </xf>
    <xf numFmtId="0" fontId="0" fillId="0" borderId="6" xfId="0" applyBorder="1" applyAlignment="1">
      <alignment vertical="center"/>
    </xf>
    <xf numFmtId="9" fontId="0" fillId="0" borderId="4" xfId="92" applyFont="1" applyBorder="1" applyAlignment="1">
      <alignment horizontal="left" vertical="center" wrapText="1"/>
    </xf>
    <xf numFmtId="9" fontId="0" fillId="0" borderId="4" xfId="92" applyFont="1" applyBorder="1" applyAlignment="1">
      <alignment vertical="center"/>
    </xf>
    <xf numFmtId="9" fontId="48" fillId="0" borderId="4" xfId="92" applyFont="1" applyBorder="1" applyAlignment="1">
      <alignment vertical="center"/>
    </xf>
    <xf numFmtId="0" fontId="48" fillId="20" borderId="6" xfId="0" applyFont="1" applyFill="1" applyBorder="1" applyAlignment="1">
      <alignment horizontal="center" vertical="center"/>
    </xf>
    <xf numFmtId="0" fontId="48" fillId="20" borderId="4" xfId="0" applyFont="1" applyFill="1" applyBorder="1" applyAlignment="1">
      <alignment horizontal="center" vertical="center"/>
    </xf>
    <xf numFmtId="0" fontId="48" fillId="0" borderId="4" xfId="0" applyFont="1" applyBorder="1" applyAlignment="1">
      <alignment vertical="center"/>
    </xf>
    <xf numFmtId="0" fontId="48" fillId="0" borderId="4" xfId="0" applyFont="1" applyBorder="1" applyAlignment="1">
      <alignment horizontal="center" vertical="center"/>
    </xf>
    <xf numFmtId="0" fontId="48" fillId="0" borderId="4" xfId="0" applyFont="1" applyBorder="1" applyAlignment="1">
      <alignment horizontal="center" vertical="center" wrapText="1"/>
    </xf>
    <xf numFmtId="10" fontId="48" fillId="0" borderId="4" xfId="92" applyNumberFormat="1" applyFont="1" applyBorder="1" applyAlignment="1">
      <alignment vertical="center"/>
    </xf>
    <xf numFmtId="0" fontId="0" fillId="0" borderId="4" xfId="0" applyBorder="1" applyAlignment="1">
      <alignment vertical="center" wrapText="1"/>
    </xf>
    <xf numFmtId="43" fontId="0" fillId="0" borderId="4" xfId="0" applyNumberFormat="1" applyBorder="1" applyAlignment="1">
      <alignment vertical="center"/>
    </xf>
    <xf numFmtId="43" fontId="0" fillId="0" borderId="4" xfId="91" applyFont="1" applyBorder="1" applyAlignment="1">
      <alignment vertical="center"/>
    </xf>
    <xf numFmtId="9" fontId="0" fillId="0" borderId="4" xfId="0" applyNumberFormat="1" applyBorder="1" applyAlignment="1">
      <alignment vertical="center"/>
    </xf>
    <xf numFmtId="43" fontId="48" fillId="0" borderId="4" xfId="91" applyFont="1" applyBorder="1" applyAlignment="1">
      <alignment horizontal="center"/>
    </xf>
    <xf numFmtId="43" fontId="0" fillId="0" borderId="0" xfId="91" applyFont="1" applyAlignment="1">
      <alignment vertical="center"/>
    </xf>
    <xf numFmtId="43" fontId="0" fillId="0" borderId="0" xfId="91" applyFont="1" applyAlignment="1">
      <alignment vertical="center" wrapText="1"/>
    </xf>
    <xf numFmtId="43" fontId="0" fillId="0" borderId="4" xfId="91" applyFont="1" applyBorder="1" applyAlignment="1">
      <alignment horizontal="center" wrapText="1"/>
    </xf>
    <xf numFmtId="43" fontId="0" fillId="0" borderId="4" xfId="91" applyFont="1" applyBorder="1" applyAlignment="1">
      <alignment horizontal="center"/>
    </xf>
    <xf numFmtId="43" fontId="0" fillId="0" borderId="4" xfId="91" applyFont="1" applyBorder="1" applyAlignment="1">
      <alignment horizontal="center" vertical="center"/>
    </xf>
    <xf numFmtId="43" fontId="48" fillId="0" borderId="4" xfId="91" applyFont="1" applyBorder="1" applyAlignment="1">
      <alignment horizontal="center" vertical="center"/>
    </xf>
    <xf numFmtId="43" fontId="137" fillId="0" borderId="4" xfId="0" applyNumberFormat="1" applyFont="1" applyBorder="1" applyAlignment="1">
      <alignment vertical="center"/>
    </xf>
    <xf numFmtId="0" fontId="48" fillId="0" borderId="4" xfId="0" applyFont="1" applyBorder="1"/>
    <xf numFmtId="0" fontId="0" fillId="0" borderId="4" xfId="0" applyBorder="1"/>
    <xf numFmtId="9" fontId="0" fillId="0" borderId="4" xfId="0" applyNumberFormat="1" applyBorder="1"/>
    <xf numFmtId="43" fontId="50" fillId="0" borderId="4" xfId="102" applyFont="1" applyBorder="1"/>
    <xf numFmtId="189" fontId="8" fillId="0" borderId="0" xfId="92" applyNumberFormat="1" applyFont="1"/>
    <xf numFmtId="172" fontId="8" fillId="0" borderId="0" xfId="10" applyNumberFormat="1" applyFont="1" applyAlignment="1">
      <alignment vertical="center"/>
    </xf>
    <xf numFmtId="0" fontId="68" fillId="0" borderId="4" xfId="0" applyFont="1" applyBorder="1" applyAlignment="1">
      <alignment horizontal="left" vertical="center"/>
    </xf>
    <xf numFmtId="15" fontId="68" fillId="0" borderId="22" xfId="0" applyNumberFormat="1" applyFont="1" applyBorder="1" applyAlignment="1">
      <alignment horizontal="center" vertical="center"/>
    </xf>
    <xf numFmtId="43" fontId="68" fillId="0" borderId="4" xfId="91" applyFont="1" applyFill="1" applyBorder="1" applyAlignment="1">
      <alignment horizontal="center" vertical="center"/>
    </xf>
    <xf numFmtId="15" fontId="68" fillId="0" borderId="4" xfId="0" applyNumberFormat="1" applyFont="1" applyBorder="1" applyAlignment="1">
      <alignment horizontal="center" vertical="center"/>
    </xf>
    <xf numFmtId="0" fontId="68" fillId="0" borderId="4" xfId="0" applyFont="1" applyBorder="1" applyAlignment="1">
      <alignment horizontal="center" vertical="center"/>
    </xf>
    <xf numFmtId="9" fontId="8" fillId="0" borderId="4" xfId="92" applyFont="1" applyBorder="1" applyAlignment="1">
      <alignment horizontal="center" vertical="center"/>
    </xf>
    <xf numFmtId="43" fontId="9" fillId="0" borderId="4" xfId="14" applyNumberFormat="1" applyFont="1" applyBorder="1" applyAlignment="1">
      <alignment horizontal="center" vertical="center"/>
    </xf>
    <xf numFmtId="9" fontId="9" fillId="0" borderId="4" xfId="92" applyFont="1" applyBorder="1" applyAlignment="1">
      <alignment horizontal="center" vertical="center"/>
    </xf>
    <xf numFmtId="17" fontId="68" fillId="0" borderId="4" xfId="0" applyNumberFormat="1" applyFont="1" applyBorder="1" applyAlignment="1">
      <alignment horizontal="center" vertical="center"/>
    </xf>
    <xf numFmtId="43" fontId="43" fillId="0" borderId="0" xfId="91" applyFont="1"/>
    <xf numFmtId="43" fontId="43" fillId="0" borderId="4" xfId="91" applyFont="1" applyBorder="1"/>
    <xf numFmtId="43" fontId="44" fillId="16" borderId="4" xfId="91" applyFont="1" applyFill="1" applyBorder="1"/>
    <xf numFmtId="10" fontId="43" fillId="0" borderId="4" xfId="92" applyNumberFormat="1" applyFont="1" applyBorder="1"/>
    <xf numFmtId="10" fontId="43" fillId="0" borderId="0" xfId="92" applyNumberFormat="1" applyFont="1"/>
    <xf numFmtId="10" fontId="44" fillId="16" borderId="4" xfId="92" applyNumberFormat="1" applyFont="1" applyFill="1" applyBorder="1"/>
    <xf numFmtId="10" fontId="43" fillId="7" borderId="4" xfId="92" applyNumberFormat="1" applyFont="1" applyFill="1" applyBorder="1"/>
    <xf numFmtId="43" fontId="43" fillId="15" borderId="4" xfId="91" applyFont="1" applyFill="1" applyBorder="1"/>
    <xf numFmtId="43" fontId="43" fillId="7" borderId="4" xfId="91" applyFont="1" applyFill="1" applyBorder="1"/>
    <xf numFmtId="43" fontId="43" fillId="0" borderId="4" xfId="91" applyFont="1" applyFill="1" applyBorder="1"/>
    <xf numFmtId="172" fontId="43" fillId="0" borderId="0" xfId="91" applyNumberFormat="1" applyFont="1"/>
    <xf numFmtId="180" fontId="43" fillId="0" borderId="0" xfId="64" applyNumberFormat="1" applyFont="1"/>
    <xf numFmtId="43" fontId="43" fillId="15" borderId="4" xfId="91" applyFont="1" applyFill="1" applyBorder="1" applyAlignment="1">
      <alignment horizontal="left" indent="1"/>
    </xf>
    <xf numFmtId="0" fontId="9" fillId="0" borderId="0" xfId="10" applyFont="1" applyAlignment="1">
      <alignment horizontal="center" vertical="center"/>
    </xf>
    <xf numFmtId="0" fontId="10" fillId="0" borderId="0" xfId="10" applyFont="1" applyAlignment="1">
      <alignment horizontal="center" vertical="center"/>
    </xf>
    <xf numFmtId="0" fontId="9" fillId="7" borderId="0" xfId="10" applyFont="1" applyFill="1" applyAlignment="1">
      <alignment horizontal="center" vertical="center"/>
    </xf>
    <xf numFmtId="0" fontId="10" fillId="7" borderId="0" xfId="10" applyFont="1" applyFill="1" applyAlignment="1">
      <alignment horizontal="center" vertical="center"/>
    </xf>
    <xf numFmtId="0" fontId="44" fillId="14" borderId="7" xfId="64" applyFont="1" applyFill="1" applyBorder="1" applyAlignment="1">
      <alignment horizontal="center" vertical="center"/>
    </xf>
    <xf numFmtId="0" fontId="44" fillId="14" borderId="6" xfId="64" applyFont="1" applyFill="1" applyBorder="1" applyAlignment="1">
      <alignment horizontal="center" vertical="center"/>
    </xf>
    <xf numFmtId="43" fontId="44" fillId="14" borderId="7" xfId="91" applyFont="1" applyFill="1" applyBorder="1" applyAlignment="1">
      <alignment horizontal="center" vertical="center" wrapText="1"/>
    </xf>
    <xf numFmtId="43" fontId="44" fillId="14" borderId="6" xfId="91" applyFont="1" applyFill="1" applyBorder="1" applyAlignment="1">
      <alignment horizontal="center" vertical="center" wrapText="1"/>
    </xf>
    <xf numFmtId="0" fontId="44" fillId="14" borderId="7" xfId="64" applyFont="1" applyFill="1" applyBorder="1" applyAlignment="1">
      <alignment horizontal="center" vertical="center" wrapText="1"/>
    </xf>
    <xf numFmtId="0" fontId="44" fillId="14" borderId="6" xfId="64" applyFont="1" applyFill="1" applyBorder="1" applyAlignment="1">
      <alignment horizontal="center" vertical="center" wrapText="1"/>
    </xf>
    <xf numFmtId="10" fontId="44" fillId="14" borderId="7" xfId="92" applyNumberFormat="1" applyFont="1" applyFill="1" applyBorder="1" applyAlignment="1">
      <alignment horizontal="center" vertical="center" wrapText="1"/>
    </xf>
    <xf numFmtId="10" fontId="44" fillId="14" borderId="6" xfId="92" applyNumberFormat="1" applyFont="1" applyFill="1" applyBorder="1" applyAlignment="1">
      <alignment horizontal="center" vertical="center" wrapText="1"/>
    </xf>
    <xf numFmtId="0" fontId="45" fillId="14" borderId="5" xfId="64" applyFont="1" applyFill="1" applyBorder="1" applyAlignment="1">
      <alignment horizontal="center"/>
    </xf>
    <xf numFmtId="0" fontId="45" fillId="14" borderId="3" xfId="64" applyFont="1" applyFill="1" applyBorder="1" applyAlignment="1">
      <alignment horizontal="center"/>
    </xf>
    <xf numFmtId="0" fontId="45" fillId="14" borderId="8" xfId="64" applyFont="1" applyFill="1" applyBorder="1" applyAlignment="1">
      <alignment horizontal="center"/>
    </xf>
    <xf numFmtId="0" fontId="86" fillId="8" borderId="4" xfId="101" applyFont="1" applyFill="1" applyBorder="1" applyAlignment="1">
      <alignment horizontal="center"/>
    </xf>
    <xf numFmtId="0" fontId="95" fillId="8" borderId="4" xfId="101" applyFont="1" applyFill="1" applyBorder="1" applyAlignment="1">
      <alignment horizontal="center" vertical="center"/>
    </xf>
    <xf numFmtId="0" fontId="29" fillId="0" borderId="0" xfId="93" applyFont="1" applyAlignment="1">
      <alignment horizontal="center" vertical="center" wrapText="1"/>
    </xf>
    <xf numFmtId="0" fontId="29" fillId="6" borderId="0" xfId="93" applyFont="1" applyFill="1" applyAlignment="1">
      <alignment horizontal="center" vertical="center" wrapText="1"/>
    </xf>
    <xf numFmtId="0" fontId="29" fillId="0" borderId="4" xfId="93" applyFont="1" applyBorder="1" applyAlignment="1">
      <alignment horizontal="center" vertical="center"/>
    </xf>
    <xf numFmtId="0" fontId="29" fillId="0" borderId="5" xfId="93" applyFont="1" applyBorder="1" applyAlignment="1">
      <alignment horizontal="center" vertical="center"/>
    </xf>
    <xf numFmtId="0" fontId="29" fillId="0" borderId="3" xfId="93" applyFont="1" applyBorder="1" applyAlignment="1">
      <alignment horizontal="center" vertical="center"/>
    </xf>
    <xf numFmtId="0" fontId="29" fillId="0" borderId="8" xfId="93" applyFont="1" applyBorder="1" applyAlignment="1">
      <alignment horizontal="center" vertical="center"/>
    </xf>
    <xf numFmtId="0" fontId="12" fillId="0" borderId="0" xfId="14" applyFont="1" applyAlignment="1">
      <alignment horizontal="center" vertical="center"/>
    </xf>
    <xf numFmtId="0" fontId="16" fillId="0" borderId="0" xfId="10" applyAlignment="1">
      <alignment horizontal="center" vertical="center"/>
    </xf>
    <xf numFmtId="0" fontId="12" fillId="0" borderId="0" xfId="10" applyFont="1" applyAlignment="1">
      <alignment horizontal="center" vertical="center" wrapText="1"/>
    </xf>
    <xf numFmtId="0" fontId="16" fillId="0" borderId="0" xfId="10" applyAlignment="1">
      <alignment horizontal="center" vertical="center" wrapText="1"/>
    </xf>
    <xf numFmtId="0" fontId="12" fillId="4" borderId="7" xfId="14" applyFont="1" applyFill="1" applyBorder="1" applyAlignment="1">
      <alignment horizontal="center" vertical="center"/>
    </xf>
    <xf numFmtId="0" fontId="12" fillId="4" borderId="9" xfId="14" applyFont="1" applyFill="1" applyBorder="1" applyAlignment="1">
      <alignment horizontal="center" vertical="center"/>
    </xf>
    <xf numFmtId="0" fontId="14" fillId="0" borderId="6" xfId="10" applyFont="1" applyBorder="1" applyAlignment="1">
      <alignment horizontal="center" vertical="center"/>
    </xf>
    <xf numFmtId="0" fontId="12" fillId="4" borderId="4" xfId="14" applyFont="1" applyFill="1" applyBorder="1" applyAlignment="1">
      <alignment horizontal="center" vertical="center"/>
    </xf>
    <xf numFmtId="0" fontId="14" fillId="0" borderId="4" xfId="10" applyFont="1" applyBorder="1" applyAlignment="1">
      <alignment horizontal="center" vertical="center"/>
    </xf>
    <xf numFmtId="0" fontId="42" fillId="14" borderId="4" xfId="0" applyFont="1" applyFill="1" applyBorder="1" applyAlignment="1">
      <alignment horizontal="center" vertical="center"/>
    </xf>
    <xf numFmtId="0" fontId="42" fillId="14" borderId="7" xfId="0" applyFont="1" applyFill="1" applyBorder="1" applyAlignment="1">
      <alignment horizontal="center" vertical="center"/>
    </xf>
    <xf numFmtId="0" fontId="42" fillId="14" borderId="6" xfId="0" applyFont="1" applyFill="1" applyBorder="1" applyAlignment="1">
      <alignment horizontal="center" vertical="center"/>
    </xf>
    <xf numFmtId="0" fontId="42" fillId="8" borderId="4" xfId="96" applyFont="1" applyFill="1" applyBorder="1" applyAlignment="1">
      <alignment horizontal="center" vertical="center"/>
    </xf>
    <xf numFmtId="0" fontId="42" fillId="8" borderId="5" xfId="96" applyFont="1" applyFill="1" applyBorder="1" applyAlignment="1">
      <alignment horizontal="center" vertical="center" wrapText="1"/>
    </xf>
    <xf numFmtId="0" fontId="42" fillId="8" borderId="3" xfId="96" applyFont="1" applyFill="1" applyBorder="1" applyAlignment="1">
      <alignment horizontal="center" vertical="center" wrapText="1"/>
    </xf>
    <xf numFmtId="0" fontId="69" fillId="0" borderId="5" xfId="96" applyFont="1" applyBorder="1" applyAlignment="1">
      <alignment horizontal="center"/>
    </xf>
    <xf numFmtId="0" fontId="69" fillId="0" borderId="8" xfId="96" applyFont="1" applyBorder="1" applyAlignment="1">
      <alignment horizontal="center"/>
    </xf>
    <xf numFmtId="0" fontId="69" fillId="0" borderId="4" xfId="96" applyFont="1" applyBorder="1" applyAlignment="1">
      <alignment horizontal="center" shrinkToFit="1" readingOrder="1"/>
    </xf>
    <xf numFmtId="0" fontId="69" fillId="0" borderId="7" xfId="96" applyFont="1" applyBorder="1" applyAlignment="1">
      <alignment horizontal="center" vertical="center"/>
    </xf>
    <xf numFmtId="0" fontId="69" fillId="0" borderId="6" xfId="96" applyFont="1" applyBorder="1" applyAlignment="1">
      <alignment horizontal="center" vertical="center"/>
    </xf>
    <xf numFmtId="14" fontId="58" fillId="0" borderId="4" xfId="37" applyNumberFormat="1" applyFont="1" applyBorder="1" applyAlignment="1">
      <alignment horizontal="center" vertical="top"/>
    </xf>
    <xf numFmtId="174" fontId="56" fillId="0" borderId="7" xfId="87" applyNumberFormat="1" applyFont="1" applyBorder="1" applyAlignment="1">
      <alignment horizontal="center" vertical="center"/>
    </xf>
    <xf numFmtId="174" fontId="56" fillId="0" borderId="6" xfId="87" applyNumberFormat="1" applyFont="1" applyBorder="1" applyAlignment="1">
      <alignment horizontal="center" vertical="center"/>
    </xf>
    <xf numFmtId="179" fontId="56" fillId="0" borderId="7" xfId="88" applyNumberFormat="1" applyFont="1" applyFill="1" applyBorder="1" applyAlignment="1">
      <alignment horizontal="center" vertical="center"/>
    </xf>
    <xf numFmtId="179" fontId="56" fillId="0" borderId="6" xfId="88" applyNumberFormat="1" applyFont="1" applyFill="1" applyBorder="1" applyAlignment="1">
      <alignment horizontal="center" vertical="center"/>
    </xf>
    <xf numFmtId="174" fontId="56" fillId="0" borderId="9" xfId="87" applyNumberFormat="1" applyFont="1" applyBorder="1" applyAlignment="1">
      <alignment horizontal="center" vertical="center"/>
    </xf>
    <xf numFmtId="181" fontId="56" fillId="0" borderId="7" xfId="88" applyNumberFormat="1" applyFont="1" applyFill="1" applyBorder="1" applyAlignment="1">
      <alignment horizontal="center" vertical="center"/>
    </xf>
    <xf numFmtId="181" fontId="56" fillId="0" borderId="9" xfId="88" applyNumberFormat="1" applyFont="1" applyFill="1" applyBorder="1" applyAlignment="1">
      <alignment horizontal="center" vertical="center"/>
    </xf>
    <xf numFmtId="181" fontId="56" fillId="0" borderId="6" xfId="88" applyNumberFormat="1" applyFont="1" applyFill="1" applyBorder="1" applyAlignment="1">
      <alignment horizontal="center" vertical="center"/>
    </xf>
    <xf numFmtId="14" fontId="58" fillId="0" borderId="4" xfId="37" applyNumberFormat="1" applyFont="1" applyFill="1" applyBorder="1" applyAlignment="1">
      <alignment horizontal="center" vertical="top"/>
    </xf>
    <xf numFmtId="14" fontId="58" fillId="0" borderId="7" xfId="37" applyNumberFormat="1" applyFont="1" applyFill="1" applyBorder="1" applyAlignment="1">
      <alignment horizontal="center" vertical="top"/>
    </xf>
    <xf numFmtId="164" fontId="56" fillId="0" borderId="7" xfId="88" applyFont="1" applyFill="1" applyBorder="1" applyAlignment="1">
      <alignment horizontal="center"/>
    </xf>
    <xf numFmtId="164" fontId="56" fillId="0" borderId="9" xfId="88" applyFont="1" applyFill="1" applyBorder="1" applyAlignment="1">
      <alignment horizontal="center"/>
    </xf>
    <xf numFmtId="164" fontId="56" fillId="0" borderId="6" xfId="88" applyFont="1" applyFill="1" applyBorder="1" applyAlignment="1">
      <alignment horizontal="center"/>
    </xf>
    <xf numFmtId="14" fontId="58" fillId="0" borderId="7" xfId="37" applyNumberFormat="1" applyFont="1" applyBorder="1" applyAlignment="1">
      <alignment horizontal="center" vertical="top"/>
    </xf>
    <xf numFmtId="0" fontId="9" fillId="14" borderId="15" xfId="14" applyFont="1" applyFill="1" applyBorder="1" applyAlignment="1">
      <alignment horizontal="center" vertical="center" wrapText="1"/>
    </xf>
    <xf numFmtId="0" fontId="9" fillId="4" borderId="5" xfId="63" applyFont="1" applyFill="1" applyBorder="1" applyAlignment="1">
      <alignment horizontal="center" vertical="center" wrapText="1"/>
    </xf>
    <xf numFmtId="0" fontId="9" fillId="4" borderId="3" xfId="63" applyFont="1" applyFill="1" applyBorder="1" applyAlignment="1">
      <alignment horizontal="center" vertical="center" wrapText="1"/>
    </xf>
    <xf numFmtId="0" fontId="9" fillId="4" borderId="8" xfId="63" applyFont="1" applyFill="1" applyBorder="1" applyAlignment="1">
      <alignment horizontal="center" vertical="center" wrapText="1"/>
    </xf>
    <xf numFmtId="0" fontId="9" fillId="0" borderId="0" xfId="14" applyFont="1" applyAlignment="1">
      <alignment horizontal="center" vertical="center"/>
    </xf>
    <xf numFmtId="0" fontId="9" fillId="4" borderId="7" xfId="14" applyFont="1" applyFill="1" applyBorder="1" applyAlignment="1">
      <alignment horizontal="center" vertical="center" wrapText="1"/>
    </xf>
    <xf numFmtId="0" fontId="9" fillId="4" borderId="9"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4" borderId="4" xfId="63" applyFont="1" applyFill="1" applyBorder="1" applyAlignment="1">
      <alignment horizontal="center" vertical="center" wrapText="1"/>
    </xf>
    <xf numFmtId="0" fontId="9" fillId="0" borderId="5" xfId="14" applyFont="1" applyBorder="1" applyAlignment="1">
      <alignment horizontal="center" vertical="center" wrapText="1"/>
    </xf>
    <xf numFmtId="0" fontId="9" fillId="0" borderId="3" xfId="14" applyFont="1" applyBorder="1" applyAlignment="1">
      <alignment horizontal="center" vertical="center" wrapText="1"/>
    </xf>
    <xf numFmtId="0" fontId="9" fillId="0" borderId="8" xfId="14" applyFont="1" applyBorder="1" applyAlignment="1">
      <alignment horizontal="center" vertical="center" wrapText="1"/>
    </xf>
    <xf numFmtId="0" fontId="9" fillId="4" borderId="4" xfId="10" applyFont="1" applyFill="1" applyBorder="1" applyAlignment="1">
      <alignment horizontal="center" vertical="center"/>
    </xf>
    <xf numFmtId="16" fontId="9" fillId="4" borderId="4" xfId="10" applyNumberFormat="1" applyFont="1" applyFill="1" applyBorder="1" applyAlignment="1">
      <alignment horizontal="center" vertical="center" wrapText="1"/>
    </xf>
    <xf numFmtId="0" fontId="9" fillId="4" borderId="4" xfId="10" applyFont="1" applyFill="1" applyBorder="1" applyAlignment="1">
      <alignment horizontal="center" vertical="center" wrapText="1"/>
    </xf>
    <xf numFmtId="0" fontId="67" fillId="7" borderId="10" xfId="14" applyFont="1" applyFill="1" applyBorder="1" applyAlignment="1">
      <alignment horizontal="center" vertical="center" textRotation="45"/>
    </xf>
    <xf numFmtId="0" fontId="67" fillId="7" borderId="13" xfId="14" applyFont="1" applyFill="1" applyBorder="1" applyAlignment="1">
      <alignment horizontal="center" vertical="center" textRotation="45"/>
    </xf>
    <xf numFmtId="0" fontId="67" fillId="7" borderId="14" xfId="14" applyFont="1" applyFill="1" applyBorder="1" applyAlignment="1">
      <alignment horizontal="center" vertical="center" textRotation="45"/>
    </xf>
    <xf numFmtId="0" fontId="67" fillId="7" borderId="11" xfId="14" applyFont="1" applyFill="1" applyBorder="1" applyAlignment="1">
      <alignment horizontal="center" vertical="center" textRotation="45"/>
    </xf>
    <xf numFmtId="0" fontId="67" fillId="7" borderId="0" xfId="14" applyFont="1" applyFill="1" applyAlignment="1">
      <alignment horizontal="center" vertical="center" textRotation="45"/>
    </xf>
    <xf numFmtId="0" fontId="67" fillId="7" borderId="17" xfId="14" applyFont="1" applyFill="1" applyBorder="1" applyAlignment="1">
      <alignment horizontal="center" vertical="center" textRotation="45"/>
    </xf>
    <xf numFmtId="0" fontId="67" fillId="7" borderId="12" xfId="14" applyFont="1" applyFill="1" applyBorder="1" applyAlignment="1">
      <alignment horizontal="center" vertical="center" textRotation="45"/>
    </xf>
    <xf numFmtId="0" fontId="67" fillId="7" borderId="15" xfId="14" applyFont="1" applyFill="1" applyBorder="1" applyAlignment="1">
      <alignment horizontal="center" vertical="center" textRotation="45"/>
    </xf>
    <xf numFmtId="0" fontId="67" fillId="7" borderId="16" xfId="14" applyFont="1" applyFill="1" applyBorder="1" applyAlignment="1">
      <alignment horizontal="center" vertical="center" textRotation="45"/>
    </xf>
    <xf numFmtId="0" fontId="126" fillId="33" borderId="4" xfId="101" applyFont="1" applyFill="1" applyBorder="1" applyAlignment="1">
      <alignment horizontal="center" vertical="center"/>
    </xf>
    <xf numFmtId="0" fontId="126" fillId="33" borderId="5" xfId="101" applyFont="1" applyFill="1" applyBorder="1" applyAlignment="1">
      <alignment horizontal="center" vertical="center"/>
    </xf>
    <xf numFmtId="0" fontId="126" fillId="33" borderId="3" xfId="101" applyFont="1" applyFill="1" applyBorder="1" applyAlignment="1">
      <alignment horizontal="center" vertical="center"/>
    </xf>
    <xf numFmtId="0" fontId="9" fillId="0" borderId="0" xfId="0" applyFont="1" applyAlignment="1">
      <alignment horizontal="left"/>
    </xf>
    <xf numFmtId="0" fontId="9" fillId="8" borderId="4" xfId="0" applyFont="1" applyFill="1" applyBorder="1" applyAlignment="1">
      <alignment horizontal="center"/>
    </xf>
    <xf numFmtId="172" fontId="9" fillId="7" borderId="10" xfId="91" applyNumberFormat="1" applyFont="1" applyFill="1" applyBorder="1" applyAlignment="1">
      <alignment horizontal="center" vertical="center" textRotation="135"/>
    </xf>
    <xf numFmtId="172" fontId="9" fillId="7" borderId="13" xfId="91" applyNumberFormat="1" applyFont="1" applyFill="1" applyBorder="1" applyAlignment="1">
      <alignment horizontal="center" vertical="center" textRotation="135"/>
    </xf>
    <xf numFmtId="172" fontId="9" fillId="7" borderId="14" xfId="91" applyNumberFormat="1" applyFont="1" applyFill="1" applyBorder="1" applyAlignment="1">
      <alignment horizontal="center" vertical="center" textRotation="135"/>
    </xf>
    <xf numFmtId="172" fontId="9" fillId="7" borderId="11" xfId="91" applyNumberFormat="1" applyFont="1" applyFill="1" applyBorder="1" applyAlignment="1">
      <alignment horizontal="center" vertical="center" textRotation="135"/>
    </xf>
    <xf numFmtId="172" fontId="9" fillId="7" borderId="0" xfId="91" applyNumberFormat="1" applyFont="1" applyFill="1" applyBorder="1" applyAlignment="1">
      <alignment horizontal="center" vertical="center" textRotation="135"/>
    </xf>
    <xf numFmtId="172" fontId="9" fillId="7" borderId="17" xfId="91" applyNumberFormat="1" applyFont="1" applyFill="1" applyBorder="1" applyAlignment="1">
      <alignment horizontal="center" vertical="center" textRotation="135"/>
    </xf>
    <xf numFmtId="172" fontId="9" fillId="7" borderId="12" xfId="91" applyNumberFormat="1" applyFont="1" applyFill="1" applyBorder="1" applyAlignment="1">
      <alignment horizontal="center" vertical="center" textRotation="135"/>
    </xf>
    <xf numFmtId="172" fontId="9" fillId="7" borderId="15" xfId="91" applyNumberFormat="1" applyFont="1" applyFill="1" applyBorder="1" applyAlignment="1">
      <alignment horizontal="center" vertical="center" textRotation="135"/>
    </xf>
    <xf numFmtId="172" fontId="9" fillId="7" borderId="16" xfId="91" applyNumberFormat="1" applyFont="1" applyFill="1" applyBorder="1" applyAlignment="1">
      <alignment horizontal="center" vertical="center" textRotation="135"/>
    </xf>
    <xf numFmtId="0" fontId="9" fillId="7" borderId="10" xfId="14" applyFont="1" applyFill="1" applyBorder="1" applyAlignment="1">
      <alignment horizontal="center" vertical="center"/>
    </xf>
    <xf numFmtId="0" fontId="9" fillId="7" borderId="13" xfId="14" applyFont="1" applyFill="1" applyBorder="1" applyAlignment="1">
      <alignment horizontal="center" vertical="center"/>
    </xf>
    <xf numFmtId="0" fontId="9" fillId="7" borderId="14" xfId="14" applyFont="1" applyFill="1" applyBorder="1" applyAlignment="1">
      <alignment horizontal="center" vertical="center"/>
    </xf>
    <xf numFmtId="0" fontId="9" fillId="7" borderId="11" xfId="14" applyFont="1" applyFill="1" applyBorder="1" applyAlignment="1">
      <alignment horizontal="center" vertical="center"/>
    </xf>
    <xf numFmtId="0" fontId="9" fillId="7" borderId="0" xfId="14" applyFont="1" applyFill="1" applyAlignment="1">
      <alignment horizontal="center" vertical="center"/>
    </xf>
    <xf numFmtId="0" fontId="9" fillId="7" borderId="17" xfId="14" applyFont="1" applyFill="1" applyBorder="1" applyAlignment="1">
      <alignment horizontal="center" vertical="center"/>
    </xf>
    <xf numFmtId="0" fontId="9" fillId="7" borderId="12" xfId="14" applyFont="1" applyFill="1" applyBorder="1" applyAlignment="1">
      <alignment horizontal="center" vertical="center"/>
    </xf>
    <xf numFmtId="0" fontId="9" fillId="7" borderId="15" xfId="14" applyFont="1" applyFill="1" applyBorder="1" applyAlignment="1">
      <alignment horizontal="center" vertical="center"/>
    </xf>
    <xf numFmtId="0" fontId="9" fillId="7" borderId="16" xfId="14" applyFont="1" applyFill="1" applyBorder="1" applyAlignment="1">
      <alignment horizontal="center" vertical="center"/>
    </xf>
    <xf numFmtId="0" fontId="9" fillId="4" borderId="7" xfId="14" applyFont="1" applyFill="1" applyBorder="1" applyAlignment="1">
      <alignment horizontal="left" vertical="center" wrapText="1"/>
    </xf>
    <xf numFmtId="0" fontId="9" fillId="4" borderId="6" xfId="14" applyFont="1" applyFill="1" applyBorder="1" applyAlignment="1">
      <alignment horizontal="left" vertical="center" wrapText="1"/>
    </xf>
    <xf numFmtId="0" fontId="9" fillId="4" borderId="4" xfId="14" applyFont="1" applyFill="1" applyBorder="1" applyAlignment="1">
      <alignment horizontal="left" vertical="center" wrapText="1"/>
    </xf>
    <xf numFmtId="0" fontId="9" fillId="4" borderId="6" xfId="14" applyFont="1" applyFill="1" applyBorder="1" applyAlignment="1">
      <alignment horizontal="center" vertical="center" wrapText="1"/>
    </xf>
    <xf numFmtId="0" fontId="9" fillId="4" borderId="4" xfId="14" applyFont="1" applyFill="1" applyBorder="1" applyAlignment="1">
      <alignment horizontal="center" vertical="center"/>
    </xf>
    <xf numFmtId="0" fontId="16" fillId="0" borderId="8" xfId="27" applyBorder="1" applyAlignment="1">
      <alignment horizontal="center" vertical="center" wrapText="1"/>
    </xf>
    <xf numFmtId="0" fontId="16" fillId="0" borderId="4" xfId="10" applyBorder="1" applyAlignment="1">
      <alignment horizontal="center" vertical="center" wrapText="1"/>
    </xf>
    <xf numFmtId="0" fontId="16" fillId="0" borderId="4" xfId="10" applyBorder="1" applyAlignment="1">
      <alignment horizontal="center" vertical="center"/>
    </xf>
    <xf numFmtId="0" fontId="8" fillId="0" borderId="7" xfId="10" applyFont="1" applyBorder="1" applyAlignment="1">
      <alignment horizontal="center" vertical="center"/>
    </xf>
    <xf numFmtId="0" fontId="8" fillId="0" borderId="9" xfId="10" applyFont="1" applyBorder="1" applyAlignment="1">
      <alignment horizontal="center" vertical="center"/>
    </xf>
    <xf numFmtId="0" fontId="8" fillId="0" borderId="6" xfId="10" applyFont="1" applyBorder="1" applyAlignment="1">
      <alignment horizontal="center" vertical="center"/>
    </xf>
    <xf numFmtId="0" fontId="9" fillId="8" borderId="4" xfId="10" applyFont="1" applyFill="1" applyBorder="1" applyAlignment="1">
      <alignment horizontal="center" vertical="center" wrapText="1"/>
    </xf>
    <xf numFmtId="0" fontId="9" fillId="8" borderId="5" xfId="14" applyFont="1" applyFill="1" applyBorder="1" applyAlignment="1">
      <alignment horizontal="center" vertical="center" wrapText="1"/>
    </xf>
    <xf numFmtId="0" fontId="9" fillId="8" borderId="8" xfId="14" applyFont="1" applyFill="1" applyBorder="1" applyAlignment="1">
      <alignment horizontal="center" vertical="center" wrapText="1"/>
    </xf>
    <xf numFmtId="0" fontId="9" fillId="8" borderId="3" xfId="14" applyFont="1" applyFill="1" applyBorder="1" applyAlignment="1">
      <alignment horizontal="center" vertical="center" wrapText="1"/>
    </xf>
    <xf numFmtId="0" fontId="9" fillId="0" borderId="0" xfId="10" applyFont="1" applyAlignment="1">
      <alignment horizontal="left"/>
    </xf>
    <xf numFmtId="0" fontId="9" fillId="8" borderId="4" xfId="10" applyFont="1" applyFill="1" applyBorder="1" applyAlignment="1">
      <alignment horizontal="center" wrapText="1"/>
    </xf>
    <xf numFmtId="0" fontId="12" fillId="4" borderId="5" xfId="63" applyFont="1" applyFill="1" applyBorder="1" applyAlignment="1">
      <alignment horizontal="center" vertical="center" wrapText="1"/>
    </xf>
    <xf numFmtId="0" fontId="12" fillId="4" borderId="3" xfId="63" applyFont="1" applyFill="1" applyBorder="1" applyAlignment="1">
      <alignment horizontal="center" vertical="center" wrapText="1"/>
    </xf>
    <xf numFmtId="0" fontId="12" fillId="4" borderId="8" xfId="63" applyFont="1" applyFill="1" applyBorder="1" applyAlignment="1">
      <alignment horizontal="center" vertical="center" wrapText="1"/>
    </xf>
    <xf numFmtId="0" fontId="12" fillId="0" borderId="0" xfId="10" applyFont="1" applyAlignment="1">
      <alignment horizontal="center" vertical="center"/>
    </xf>
    <xf numFmtId="0" fontId="57" fillId="4" borderId="7" xfId="14" applyFont="1" applyFill="1" applyBorder="1" applyAlignment="1">
      <alignment horizontal="center" vertical="center"/>
    </xf>
    <xf numFmtId="0" fontId="57" fillId="4" borderId="9" xfId="14" applyFont="1" applyFill="1" applyBorder="1" applyAlignment="1">
      <alignment horizontal="center" vertical="center"/>
    </xf>
    <xf numFmtId="0" fontId="9" fillId="4" borderId="7" xfId="14" applyFont="1" applyFill="1" applyBorder="1" applyAlignment="1">
      <alignment horizontal="center" vertical="center"/>
    </xf>
    <xf numFmtId="0" fontId="9" fillId="4" borderId="9" xfId="14" applyFont="1" applyFill="1" applyBorder="1" applyAlignment="1">
      <alignment horizontal="center" vertical="center"/>
    </xf>
    <xf numFmtId="0" fontId="42" fillId="14" borderId="0" xfId="0" applyFont="1" applyFill="1" applyAlignment="1">
      <alignment horizontal="center"/>
    </xf>
    <xf numFmtId="0" fontId="42" fillId="8" borderId="4" xfId="101" applyFont="1" applyFill="1" applyBorder="1" applyAlignment="1">
      <alignment horizontal="center"/>
    </xf>
    <xf numFmtId="0" fontId="42" fillId="14" borderId="4" xfId="0" applyFont="1" applyFill="1" applyBorder="1" applyAlignment="1">
      <alignment horizontal="center"/>
    </xf>
    <xf numFmtId="0" fontId="42" fillId="8" borderId="0" xfId="0" applyFont="1" applyFill="1" applyAlignment="1">
      <alignment horizontal="center"/>
    </xf>
    <xf numFmtId="0" fontId="57" fillId="8" borderId="7" xfId="101" applyFont="1" applyFill="1" applyBorder="1" applyAlignment="1">
      <alignment horizontal="center"/>
    </xf>
    <xf numFmtId="0" fontId="57" fillId="8" borderId="4" xfId="101" applyFont="1" applyFill="1" applyBorder="1" applyAlignment="1">
      <alignment horizontal="center"/>
    </xf>
    <xf numFmtId="0" fontId="57" fillId="8" borderId="5" xfId="101" applyFont="1" applyFill="1" applyBorder="1" applyAlignment="1">
      <alignment horizontal="center"/>
    </xf>
    <xf numFmtId="0" fontId="57" fillId="8" borderId="3" xfId="101" applyFont="1" applyFill="1" applyBorder="1" applyAlignment="1">
      <alignment horizontal="center"/>
    </xf>
    <xf numFmtId="0" fontId="57" fillId="8" borderId="8" xfId="101" applyFont="1" applyFill="1" applyBorder="1" applyAlignment="1">
      <alignment horizontal="center"/>
    </xf>
    <xf numFmtId="0" fontId="57" fillId="8" borderId="4" xfId="101" applyFont="1" applyFill="1" applyBorder="1" applyAlignment="1">
      <alignment horizontal="center" vertical="center"/>
    </xf>
    <xf numFmtId="0" fontId="99" fillId="0" borderId="7" xfId="0" applyFont="1" applyBorder="1" applyAlignment="1">
      <alignment horizontal="left" vertical="center" wrapText="1"/>
    </xf>
    <xf numFmtId="0" fontId="99" fillId="0" borderId="6" xfId="0" applyFont="1" applyBorder="1" applyAlignment="1">
      <alignment horizontal="left" vertical="center" wrapText="1"/>
    </xf>
    <xf numFmtId="0" fontId="56" fillId="0" borderId="7" xfId="10" applyFont="1" applyBorder="1" applyAlignment="1">
      <alignment horizontal="center" vertical="center" wrapText="1"/>
    </xf>
    <xf numFmtId="0" fontId="56" fillId="0" borderId="6" xfId="10" applyFont="1" applyBorder="1" applyAlignment="1">
      <alignment horizontal="center" vertical="center" wrapText="1"/>
    </xf>
    <xf numFmtId="0" fontId="57" fillId="0" borderId="0" xfId="14" applyFont="1" applyAlignment="1">
      <alignment horizontal="center" vertical="center"/>
    </xf>
    <xf numFmtId="0" fontId="57" fillId="0" borderId="0" xfId="10" applyFont="1" applyAlignment="1">
      <alignment horizontal="center" vertical="center"/>
    </xf>
    <xf numFmtId="0" fontId="57" fillId="5" borderId="0" xfId="10" applyFont="1" applyFill="1" applyAlignment="1">
      <alignment horizontal="center" vertical="center"/>
    </xf>
    <xf numFmtId="0" fontId="56" fillId="0" borderId="9" xfId="10" applyFont="1" applyBorder="1" applyAlignment="1">
      <alignment horizontal="center" vertical="center" wrapText="1"/>
    </xf>
    <xf numFmtId="0" fontId="57" fillId="4" borderId="7" xfId="10" applyFont="1" applyFill="1" applyBorder="1" applyAlignment="1">
      <alignment horizontal="left" vertical="center" wrapText="1"/>
    </xf>
    <xf numFmtId="0" fontId="57" fillId="4" borderId="9" xfId="10" applyFont="1" applyFill="1" applyBorder="1" applyAlignment="1">
      <alignment horizontal="left" vertical="center" wrapText="1"/>
    </xf>
    <xf numFmtId="0" fontId="57" fillId="4" borderId="6" xfId="10" applyFont="1" applyFill="1" applyBorder="1" applyAlignment="1">
      <alignment horizontal="left" vertical="center" wrapText="1"/>
    </xf>
    <xf numFmtId="0" fontId="57" fillId="4" borderId="4" xfId="10" applyFont="1" applyFill="1" applyBorder="1" applyAlignment="1">
      <alignment horizontal="center" vertical="center" wrapText="1"/>
    </xf>
    <xf numFmtId="0" fontId="57" fillId="4" borderId="7" xfId="10" applyFont="1" applyFill="1" applyBorder="1" applyAlignment="1">
      <alignment horizontal="center" vertical="center" wrapText="1"/>
    </xf>
    <xf numFmtId="0" fontId="57" fillId="4" borderId="6" xfId="10" applyFont="1" applyFill="1" applyBorder="1" applyAlignment="1">
      <alignment horizontal="center" vertical="center" wrapText="1"/>
    </xf>
    <xf numFmtId="0" fontId="56" fillId="0" borderId="4" xfId="10" applyFont="1" applyBorder="1" applyAlignment="1">
      <alignment horizontal="center" vertical="center" wrapText="1"/>
    </xf>
    <xf numFmtId="0" fontId="57" fillId="4" borderId="5" xfId="10" applyFont="1" applyFill="1" applyBorder="1" applyAlignment="1">
      <alignment horizontal="center" vertical="center" wrapText="1"/>
    </xf>
    <xf numFmtId="0" fontId="57" fillId="4" borderId="3" xfId="10" applyFont="1" applyFill="1" applyBorder="1" applyAlignment="1">
      <alignment horizontal="center" vertical="center" wrapText="1"/>
    </xf>
    <xf numFmtId="0" fontId="57" fillId="4" borderId="8" xfId="10" applyFont="1" applyFill="1" applyBorder="1" applyAlignment="1">
      <alignment horizontal="center" vertical="center" wrapText="1"/>
    </xf>
    <xf numFmtId="0" fontId="57" fillId="4" borderId="7" xfId="10" applyFont="1" applyFill="1" applyBorder="1" applyAlignment="1">
      <alignment horizontal="center" vertical="center"/>
    </xf>
    <xf numFmtId="0" fontId="57" fillId="4" borderId="6" xfId="10" applyFont="1" applyFill="1" applyBorder="1" applyAlignment="1">
      <alignment horizontal="center" vertical="center"/>
    </xf>
    <xf numFmtId="0" fontId="97" fillId="4" borderId="5" xfId="27" applyFont="1" applyFill="1" applyBorder="1" applyAlignment="1">
      <alignment horizontal="center" vertical="center" wrapText="1"/>
    </xf>
    <xf numFmtId="0" fontId="97" fillId="4" borderId="3" xfId="27" applyFont="1" applyFill="1" applyBorder="1" applyAlignment="1">
      <alignment horizontal="center" vertical="center" wrapText="1"/>
    </xf>
    <xf numFmtId="0" fontId="97" fillId="4" borderId="8" xfId="27" applyFont="1" applyFill="1" applyBorder="1" applyAlignment="1">
      <alignment horizontal="center" vertical="center" wrapText="1"/>
    </xf>
    <xf numFmtId="0" fontId="57" fillId="4" borderId="4" xfId="10" applyFont="1" applyFill="1" applyBorder="1" applyAlignment="1">
      <alignment horizontal="left" vertical="center" wrapText="1"/>
    </xf>
    <xf numFmtId="0" fontId="57" fillId="4" borderId="9" xfId="10" applyFont="1" applyFill="1" applyBorder="1" applyAlignment="1">
      <alignment horizontal="center" vertical="center" wrapText="1"/>
    </xf>
    <xf numFmtId="0" fontId="57" fillId="4" borderId="7" xfId="27" applyFont="1" applyFill="1" applyBorder="1" applyAlignment="1">
      <alignment horizontal="center" vertical="center" wrapText="1"/>
    </xf>
    <xf numFmtId="0" fontId="57" fillId="4" borderId="6" xfId="27" applyFont="1" applyFill="1" applyBorder="1" applyAlignment="1">
      <alignment horizontal="center" vertical="center" wrapText="1"/>
    </xf>
    <xf numFmtId="0" fontId="57" fillId="4" borderId="7" xfId="59" applyFont="1" applyFill="1" applyBorder="1" applyAlignment="1">
      <alignment horizontal="center" vertical="center" wrapText="1"/>
    </xf>
    <xf numFmtId="0" fontId="57" fillId="4" borderId="6" xfId="59" applyFont="1" applyFill="1" applyBorder="1" applyAlignment="1">
      <alignment horizontal="center" vertical="center" wrapText="1"/>
    </xf>
    <xf numFmtId="0" fontId="57" fillId="4" borderId="4" xfId="27" applyFont="1" applyFill="1" applyBorder="1" applyAlignment="1">
      <alignment horizontal="center" vertical="center" wrapText="1"/>
    </xf>
    <xf numFmtId="0" fontId="57" fillId="4" borderId="10" xfId="10" applyFont="1" applyFill="1" applyBorder="1" applyAlignment="1">
      <alignment horizontal="center" vertical="center" wrapText="1"/>
    </xf>
    <xf numFmtId="0" fontId="57" fillId="4" borderId="13" xfId="10" applyFont="1" applyFill="1" applyBorder="1" applyAlignment="1">
      <alignment horizontal="center" vertical="center" wrapText="1"/>
    </xf>
    <xf numFmtId="0" fontId="57" fillId="4" borderId="14" xfId="10" applyFont="1" applyFill="1" applyBorder="1" applyAlignment="1">
      <alignment horizontal="center" vertical="center" wrapText="1"/>
    </xf>
    <xf numFmtId="0" fontId="57" fillId="4" borderId="12" xfId="10" applyFont="1" applyFill="1" applyBorder="1" applyAlignment="1">
      <alignment horizontal="center" vertical="center" wrapText="1"/>
    </xf>
    <xf numFmtId="0" fontId="57" fillId="4" borderId="15" xfId="10" applyFont="1" applyFill="1" applyBorder="1" applyAlignment="1">
      <alignment horizontal="center" vertical="center" wrapText="1"/>
    </xf>
    <xf numFmtId="0" fontId="57" fillId="4" borderId="16" xfId="10" applyFont="1" applyFill="1" applyBorder="1" applyAlignment="1">
      <alignment horizontal="center" vertical="center" wrapText="1"/>
    </xf>
    <xf numFmtId="0" fontId="25" fillId="0" borderId="4" xfId="10" applyFont="1" applyBorder="1" applyAlignment="1">
      <alignment horizontal="center" vertical="center" wrapText="1"/>
    </xf>
    <xf numFmtId="0" fontId="9" fillId="4" borderId="4" xfId="27" applyFont="1" applyFill="1" applyBorder="1" applyAlignment="1">
      <alignment horizontal="center" vertical="center" wrapText="1"/>
    </xf>
    <xf numFmtId="0" fontId="9" fillId="4" borderId="6" xfId="27" applyFont="1" applyFill="1" applyBorder="1" applyAlignment="1">
      <alignment horizontal="center" vertical="center" wrapText="1"/>
    </xf>
    <xf numFmtId="0" fontId="9" fillId="4" borderId="6" xfId="10" applyFont="1" applyFill="1" applyBorder="1" applyAlignment="1">
      <alignment horizontal="center" vertical="center" wrapText="1"/>
    </xf>
    <xf numFmtId="0" fontId="16" fillId="0" borderId="4" xfId="27" applyBorder="1" applyAlignment="1">
      <alignment horizontal="center" vertical="center" wrapText="1"/>
    </xf>
    <xf numFmtId="0" fontId="9" fillId="0" borderId="0" xfId="10" applyFont="1" applyAlignment="1">
      <alignment horizontal="center"/>
    </xf>
    <xf numFmtId="0" fontId="8" fillId="5" borderId="0" xfId="10" applyFont="1" applyFill="1" applyAlignment="1">
      <alignment horizontal="left" vertical="top" wrapText="1"/>
    </xf>
    <xf numFmtId="0" fontId="122" fillId="29" borderId="4" xfId="0" applyFont="1" applyFill="1" applyBorder="1" applyAlignment="1">
      <alignment horizontal="center" vertical="center" wrapText="1"/>
    </xf>
    <xf numFmtId="0" fontId="122" fillId="0" borderId="4" xfId="0" applyFont="1" applyBorder="1" applyAlignment="1">
      <alignment horizontal="center" vertical="center" wrapText="1"/>
    </xf>
    <xf numFmtId="0" fontId="9" fillId="4" borderId="7" xfId="10" applyFont="1" applyFill="1" applyBorder="1" applyAlignment="1">
      <alignment horizontal="center" vertical="center" wrapText="1"/>
    </xf>
    <xf numFmtId="0" fontId="9" fillId="4" borderId="7" xfId="10" applyFont="1" applyFill="1" applyBorder="1" applyAlignment="1">
      <alignment horizontal="center" vertical="center"/>
    </xf>
    <xf numFmtId="0" fontId="9" fillId="4" borderId="6" xfId="10" applyFont="1" applyFill="1" applyBorder="1" applyAlignment="1">
      <alignment horizontal="center" vertical="center"/>
    </xf>
    <xf numFmtId="0" fontId="8" fillId="0" borderId="0" xfId="14" applyFont="1" applyAlignment="1">
      <alignment horizontal="left" vertical="center"/>
    </xf>
    <xf numFmtId="0" fontId="8" fillId="0" borderId="13" xfId="14" applyFont="1" applyBorder="1" applyAlignment="1">
      <alignment horizontal="left" vertical="center" wrapText="1"/>
    </xf>
    <xf numFmtId="0" fontId="9" fillId="4" borderId="6" xfId="14" applyFont="1" applyFill="1" applyBorder="1" applyAlignment="1">
      <alignment horizontal="center" vertical="center"/>
    </xf>
    <xf numFmtId="0" fontId="8" fillId="0" borderId="0" xfId="14" applyFont="1" applyAlignment="1">
      <alignment horizontal="left" vertical="center" wrapText="1"/>
    </xf>
    <xf numFmtId="0" fontId="9" fillId="4" borderId="5" xfId="14" applyFont="1" applyFill="1" applyBorder="1" applyAlignment="1">
      <alignment horizontal="center" vertical="center" wrapText="1"/>
    </xf>
    <xf numFmtId="0" fontId="9" fillId="4" borderId="3" xfId="14" applyFont="1" applyFill="1" applyBorder="1" applyAlignment="1">
      <alignment horizontal="center" vertical="center" wrapText="1"/>
    </xf>
    <xf numFmtId="0" fontId="9" fillId="4" borderId="8" xfId="14" applyFont="1" applyFill="1" applyBorder="1" applyAlignment="1">
      <alignment horizontal="center" vertical="center" wrapText="1"/>
    </xf>
    <xf numFmtId="0" fontId="9" fillId="0" borderId="0" xfId="10" applyFont="1" applyAlignment="1">
      <alignment horizontal="center" vertical="center" wrapText="1"/>
    </xf>
    <xf numFmtId="0" fontId="47" fillId="0" borderId="0" xfId="14" applyFont="1" applyAlignment="1">
      <alignment horizontal="left" vertical="center" wrapText="1"/>
    </xf>
    <xf numFmtId="0" fontId="56" fillId="0" borderId="0" xfId="10" applyFont="1" applyAlignment="1">
      <alignment horizontal="left" vertical="center" wrapText="1"/>
    </xf>
    <xf numFmtId="0" fontId="57" fillId="0" borderId="0" xfId="10" applyFont="1" applyAlignment="1">
      <alignment horizontal="center" vertical="center" wrapText="1"/>
    </xf>
    <xf numFmtId="0" fontId="57" fillId="0" borderId="0" xfId="10" applyFont="1" applyAlignment="1">
      <alignment horizontal="center"/>
    </xf>
    <xf numFmtId="0" fontId="56" fillId="0" borderId="0" xfId="14" applyFont="1" applyAlignment="1">
      <alignment horizontal="left" vertical="center" wrapText="1"/>
    </xf>
    <xf numFmtId="0" fontId="57" fillId="4" borderId="4" xfId="14" applyFont="1" applyFill="1" applyBorder="1" applyAlignment="1">
      <alignment horizontal="center" vertical="center" wrapText="1"/>
    </xf>
    <xf numFmtId="0" fontId="57" fillId="4" borderId="7" xfId="14" applyFont="1" applyFill="1" applyBorder="1" applyAlignment="1">
      <alignment horizontal="center" vertical="center" wrapText="1"/>
    </xf>
    <xf numFmtId="0" fontId="57" fillId="4" borderId="9" xfId="14" applyFont="1" applyFill="1" applyBorder="1" applyAlignment="1">
      <alignment horizontal="center" vertical="center" wrapText="1"/>
    </xf>
    <xf numFmtId="0" fontId="9" fillId="0" borderId="0" xfId="10" applyFont="1" applyAlignment="1">
      <alignment horizontal="center" vertical="top"/>
    </xf>
    <xf numFmtId="0" fontId="42" fillId="14" borderId="0" xfId="0" applyFont="1" applyFill="1" applyAlignment="1">
      <alignment horizontal="center" vertical="center"/>
    </xf>
    <xf numFmtId="0" fontId="42" fillId="14" borderId="15" xfId="0" applyFont="1" applyFill="1" applyBorder="1" applyAlignment="1">
      <alignment horizontal="center" vertical="center"/>
    </xf>
    <xf numFmtId="0" fontId="9" fillId="4" borderId="4" xfId="10" applyFont="1" applyFill="1" applyBorder="1" applyAlignment="1">
      <alignment horizontal="center" vertical="top" wrapText="1"/>
    </xf>
    <xf numFmtId="172" fontId="9" fillId="4" borderId="4" xfId="91" applyNumberFormat="1" applyFont="1" applyFill="1" applyBorder="1" applyAlignment="1">
      <alignment horizontal="center" vertical="center" wrapText="1"/>
    </xf>
    <xf numFmtId="0" fontId="9" fillId="4" borderId="5" xfId="10" applyFont="1" applyFill="1" applyBorder="1" applyAlignment="1">
      <alignment horizontal="center" vertical="center" wrapText="1"/>
    </xf>
    <xf numFmtId="0" fontId="9" fillId="4" borderId="3" xfId="10" applyFont="1" applyFill="1" applyBorder="1" applyAlignment="1">
      <alignment horizontal="center" vertical="center" wrapText="1"/>
    </xf>
    <xf numFmtId="0" fontId="9" fillId="4" borderId="8" xfId="10" applyFont="1" applyFill="1" applyBorder="1" applyAlignment="1">
      <alignment horizontal="center" vertical="center" wrapText="1"/>
    </xf>
    <xf numFmtId="0" fontId="69" fillId="6" borderId="4" xfId="115" applyFont="1" applyFill="1" applyBorder="1" applyAlignment="1">
      <alignment horizontal="center" vertical="top" wrapText="1"/>
    </xf>
    <xf numFmtId="0" fontId="42" fillId="26" borderId="0" xfId="0" applyFont="1" applyFill="1" applyAlignment="1">
      <alignment horizontal="center" vertical="center" wrapText="1"/>
    </xf>
    <xf numFmtId="172" fontId="69" fillId="6" borderId="4" xfId="115" applyNumberFormat="1" applyFont="1" applyFill="1" applyBorder="1" applyAlignment="1">
      <alignment horizontal="center" vertical="top" wrapText="1"/>
    </xf>
    <xf numFmtId="164" fontId="69" fillId="6" borderId="4" xfId="115" applyNumberFormat="1" applyFont="1" applyFill="1" applyBorder="1" applyAlignment="1">
      <alignment horizontal="center" vertical="top" wrapText="1"/>
    </xf>
    <xf numFmtId="172" fontId="69" fillId="6" borderId="4" xfId="91" applyNumberFormat="1" applyFont="1" applyFill="1" applyBorder="1" applyAlignment="1">
      <alignment horizontal="center" vertical="top" wrapText="1"/>
    </xf>
    <xf numFmtId="179" fontId="69" fillId="6" borderId="4" xfId="115" applyNumberFormat="1" applyFont="1" applyFill="1" applyBorder="1" applyAlignment="1">
      <alignment horizontal="center" vertical="top" wrapText="1"/>
    </xf>
    <xf numFmtId="0" fontId="118" fillId="35" borderId="5" xfId="0" applyFont="1" applyFill="1" applyBorder="1" applyAlignment="1">
      <alignment horizontal="center" vertical="center" wrapText="1"/>
    </xf>
    <xf numFmtId="0" fontId="118" fillId="35" borderId="3" xfId="0" applyFont="1" applyFill="1" applyBorder="1" applyAlignment="1">
      <alignment horizontal="center" vertical="center" wrapText="1"/>
    </xf>
    <xf numFmtId="0" fontId="118" fillId="35" borderId="8" xfId="0" applyFont="1" applyFill="1" applyBorder="1" applyAlignment="1">
      <alignment horizontal="center" vertical="center" wrapText="1"/>
    </xf>
    <xf numFmtId="0" fontId="119" fillId="33" borderId="0" xfId="0" applyFont="1" applyFill="1" applyAlignment="1">
      <alignment horizontal="center" vertical="center" wrapText="1"/>
    </xf>
    <xf numFmtId="0" fontId="42" fillId="31" borderId="5" xfId="0" applyFont="1" applyFill="1" applyBorder="1" applyAlignment="1">
      <alignment horizontal="center" vertical="center" wrapText="1"/>
    </xf>
    <xf numFmtId="0" fontId="42" fillId="31" borderId="3" xfId="0" applyFont="1" applyFill="1" applyBorder="1" applyAlignment="1">
      <alignment horizontal="center" vertical="center" wrapText="1"/>
    </xf>
    <xf numFmtId="0" fontId="29" fillId="14" borderId="4" xfId="0" applyFont="1" applyFill="1" applyBorder="1" applyAlignment="1">
      <alignment horizontal="center" vertical="center" wrapText="1"/>
    </xf>
    <xf numFmtId="0" fontId="29" fillId="14" borderId="5" xfId="0" applyFont="1" applyFill="1" applyBorder="1" applyAlignment="1">
      <alignment horizontal="center" vertical="center" wrapText="1"/>
    </xf>
    <xf numFmtId="0" fontId="29" fillId="14" borderId="3" xfId="0" applyFont="1" applyFill="1" applyBorder="1" applyAlignment="1">
      <alignment horizontal="center" vertical="center" wrapText="1"/>
    </xf>
    <xf numFmtId="0" fontId="29" fillId="14" borderId="8" xfId="0" applyFont="1" applyFill="1" applyBorder="1" applyAlignment="1">
      <alignment horizontal="center" vertical="center" wrapText="1"/>
    </xf>
    <xf numFmtId="0" fontId="29" fillId="0" borderId="5" xfId="0" applyFont="1" applyBorder="1" applyAlignment="1">
      <alignment horizontal="center" vertical="center"/>
    </xf>
    <xf numFmtId="0" fontId="29" fillId="0" borderId="8" xfId="0" applyFont="1" applyBorder="1" applyAlignment="1">
      <alignment horizontal="center" vertical="center"/>
    </xf>
    <xf numFmtId="0" fontId="9" fillId="14" borderId="15" xfId="0" applyFont="1" applyFill="1" applyBorder="1" applyAlignment="1">
      <alignment horizontal="center" vertical="center"/>
    </xf>
    <xf numFmtId="0" fontId="9" fillId="14" borderId="4" xfId="0" applyFont="1" applyFill="1" applyBorder="1" applyAlignment="1">
      <alignment horizontal="center" vertical="center"/>
    </xf>
    <xf numFmtId="0" fontId="29" fillId="0" borderId="5"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 xfId="0" applyFont="1" applyBorder="1" applyAlignment="1">
      <alignment horizontal="center" vertical="center" wrapText="1"/>
    </xf>
    <xf numFmtId="0" fontId="29" fillId="14" borderId="5" xfId="0" applyFont="1" applyFill="1" applyBorder="1" applyAlignment="1">
      <alignment horizontal="center" vertical="center"/>
    </xf>
    <xf numFmtId="0" fontId="29" fillId="14" borderId="3" xfId="0" applyFont="1" applyFill="1" applyBorder="1" applyAlignment="1">
      <alignment horizontal="center" vertical="center"/>
    </xf>
    <xf numFmtId="0" fontId="29" fillId="14" borderId="8" xfId="0" applyFont="1" applyFill="1" applyBorder="1" applyAlignment="1">
      <alignment horizontal="center" vertical="center"/>
    </xf>
    <xf numFmtId="2" fontId="8" fillId="0" borderId="7" xfId="10" applyNumberFormat="1" applyFont="1" applyBorder="1" applyAlignment="1">
      <alignment horizontal="center" vertical="center" wrapText="1"/>
    </xf>
    <xf numFmtId="2" fontId="8" fillId="0" borderId="9" xfId="10" applyNumberFormat="1" applyFont="1" applyBorder="1" applyAlignment="1">
      <alignment horizontal="center" vertical="center" wrapText="1"/>
    </xf>
    <xf numFmtId="2" fontId="8" fillId="0" borderId="6" xfId="10" applyNumberFormat="1" applyFont="1" applyBorder="1" applyAlignment="1">
      <alignment horizontal="center" vertical="center" wrapText="1"/>
    </xf>
    <xf numFmtId="0" fontId="9" fillId="10" borderId="4" xfId="10" applyFont="1" applyFill="1" applyBorder="1" applyAlignment="1">
      <alignment horizontal="center" vertical="center" wrapText="1"/>
    </xf>
    <xf numFmtId="0" fontId="9" fillId="10" borderId="4" xfId="10" applyFont="1" applyFill="1" applyBorder="1" applyAlignment="1">
      <alignment horizontal="center" vertical="center"/>
    </xf>
    <xf numFmtId="0" fontId="57" fillId="8" borderId="7" xfId="14" applyFont="1" applyFill="1" applyBorder="1" applyAlignment="1">
      <alignment horizontal="center" vertical="center"/>
    </xf>
    <xf numFmtId="0" fontId="57" fillId="8" borderId="9" xfId="14" applyFont="1" applyFill="1" applyBorder="1" applyAlignment="1">
      <alignment horizontal="center" vertical="center"/>
    </xf>
    <xf numFmtId="0" fontId="57" fillId="8" borderId="6" xfId="14" applyFont="1" applyFill="1" applyBorder="1" applyAlignment="1">
      <alignment horizontal="center" vertical="center"/>
    </xf>
    <xf numFmtId="0" fontId="57" fillId="8" borderId="5" xfId="10" applyFont="1" applyFill="1" applyBorder="1" applyAlignment="1">
      <alignment horizontal="center" vertical="center" wrapText="1"/>
    </xf>
    <xf numFmtId="0" fontId="57" fillId="8" borderId="3" xfId="10" applyFont="1" applyFill="1" applyBorder="1" applyAlignment="1">
      <alignment horizontal="center" vertical="center" wrapText="1"/>
    </xf>
    <xf numFmtId="0" fontId="57" fillId="8" borderId="8" xfId="10" applyFont="1" applyFill="1" applyBorder="1" applyAlignment="1">
      <alignment horizontal="center" vertical="center" wrapText="1"/>
    </xf>
    <xf numFmtId="0" fontId="57" fillId="8" borderId="10" xfId="10" applyFont="1" applyFill="1" applyBorder="1" applyAlignment="1">
      <alignment horizontal="center" vertical="center" wrapText="1"/>
    </xf>
    <xf numFmtId="0" fontId="57" fillId="8" borderId="11" xfId="10" applyFont="1" applyFill="1" applyBorder="1" applyAlignment="1">
      <alignment horizontal="center" vertical="center" wrapText="1"/>
    </xf>
    <xf numFmtId="0" fontId="57" fillId="8" borderId="12" xfId="10" applyFont="1" applyFill="1" applyBorder="1" applyAlignment="1">
      <alignment horizontal="center" vertical="center" wrapText="1"/>
    </xf>
    <xf numFmtId="0" fontId="57" fillId="8" borderId="4" xfId="10" applyFont="1" applyFill="1" applyBorder="1" applyAlignment="1">
      <alignment horizontal="center" vertical="center" wrapText="1"/>
    </xf>
    <xf numFmtId="0" fontId="57" fillId="8" borderId="7" xfId="10" applyFont="1" applyFill="1" applyBorder="1" applyAlignment="1">
      <alignment horizontal="center" vertical="center" wrapText="1"/>
    </xf>
    <xf numFmtId="0" fontId="57" fillId="8" borderId="6" xfId="10" applyFont="1" applyFill="1" applyBorder="1" applyAlignment="1">
      <alignment horizontal="center" vertical="center" wrapText="1"/>
    </xf>
    <xf numFmtId="0" fontId="9" fillId="8" borderId="7" xfId="10" applyFont="1" applyFill="1" applyBorder="1" applyAlignment="1">
      <alignment horizontal="center" vertical="center" wrapText="1"/>
    </xf>
    <xf numFmtId="0" fontId="9" fillId="8" borderId="6" xfId="10" applyFont="1" applyFill="1" applyBorder="1" applyAlignment="1">
      <alignment horizontal="center" vertical="center" wrapText="1"/>
    </xf>
    <xf numFmtId="10" fontId="56" fillId="0" borderId="7" xfId="89" applyNumberFormat="1" applyFont="1" applyBorder="1" applyAlignment="1">
      <alignment horizontal="center" vertical="center"/>
    </xf>
    <xf numFmtId="10" fontId="56" fillId="0" borderId="9" xfId="89" applyNumberFormat="1" applyFont="1" applyBorder="1" applyAlignment="1">
      <alignment horizontal="center" vertical="center"/>
    </xf>
    <xf numFmtId="10" fontId="56" fillId="0" borderId="6" xfId="89" applyNumberFormat="1" applyFont="1" applyBorder="1" applyAlignment="1">
      <alignment horizontal="center" vertical="center"/>
    </xf>
    <xf numFmtId="0" fontId="56" fillId="0" borderId="7" xfId="14" applyFont="1" applyBorder="1" applyAlignment="1">
      <alignment horizontal="center" vertical="center"/>
    </xf>
    <xf numFmtId="0" fontId="56" fillId="0" borderId="9" xfId="14" applyFont="1" applyBorder="1" applyAlignment="1">
      <alignment horizontal="center" vertical="center"/>
    </xf>
    <xf numFmtId="0" fontId="56" fillId="0" borderId="6" xfId="14" applyFont="1" applyBorder="1" applyAlignment="1">
      <alignment horizontal="center" vertical="center"/>
    </xf>
    <xf numFmtId="0" fontId="9" fillId="8" borderId="7" xfId="14" applyFont="1" applyFill="1" applyBorder="1" applyAlignment="1">
      <alignment horizontal="center" vertical="center" wrapText="1"/>
    </xf>
    <xf numFmtId="0" fontId="9" fillId="8" borderId="9" xfId="14" applyFont="1" applyFill="1" applyBorder="1" applyAlignment="1">
      <alignment horizontal="center" vertical="center" wrapText="1"/>
    </xf>
    <xf numFmtId="0" fontId="9" fillId="8" borderId="6" xfId="14" applyFont="1" applyFill="1" applyBorder="1" applyAlignment="1">
      <alignment horizontal="center" vertical="center" wrapText="1"/>
    </xf>
    <xf numFmtId="0" fontId="9" fillId="8" borderId="5" xfId="10" applyFont="1" applyFill="1" applyBorder="1" applyAlignment="1">
      <alignment horizontal="center" vertical="center" wrapText="1"/>
    </xf>
    <xf numFmtId="0" fontId="9" fillId="8" borderId="3" xfId="10" applyFont="1" applyFill="1" applyBorder="1" applyAlignment="1">
      <alignment horizontal="center" vertical="center" wrapText="1"/>
    </xf>
    <xf numFmtId="0" fontId="9" fillId="8" borderId="8" xfId="10" applyFont="1" applyFill="1" applyBorder="1" applyAlignment="1">
      <alignment horizontal="center" vertical="center" wrapText="1"/>
    </xf>
    <xf numFmtId="0" fontId="9" fillId="8" borderId="10" xfId="10" applyFont="1" applyFill="1" applyBorder="1" applyAlignment="1">
      <alignment horizontal="center" vertical="center" wrapText="1"/>
    </xf>
    <xf numFmtId="0" fontId="9" fillId="8" borderId="11" xfId="10" applyFont="1" applyFill="1" applyBorder="1" applyAlignment="1">
      <alignment horizontal="center" vertical="center" wrapText="1"/>
    </xf>
    <xf numFmtId="0" fontId="9" fillId="8" borderId="12" xfId="10" applyFont="1" applyFill="1" applyBorder="1" applyAlignment="1">
      <alignment horizontal="center" vertical="center" wrapText="1"/>
    </xf>
    <xf numFmtId="174" fontId="56" fillId="0" borderId="4" xfId="14" applyNumberFormat="1" applyFont="1" applyBorder="1" applyAlignment="1">
      <alignment horizontal="center" vertical="center"/>
    </xf>
    <xf numFmtId="0" fontId="9" fillId="0" borderId="0" xfId="14" applyFont="1" applyAlignment="1">
      <alignment horizontal="center" vertical="center" wrapText="1"/>
    </xf>
    <xf numFmtId="0" fontId="9" fillId="0" borderId="0" xfId="10" applyFont="1" applyAlignment="1">
      <alignment horizontal="center" vertical="top" wrapText="1"/>
    </xf>
    <xf numFmtId="179" fontId="56" fillId="0" borderId="7" xfId="88" applyNumberFormat="1" applyFont="1" applyBorder="1" applyAlignment="1">
      <alignment horizontal="center" vertical="center" wrapText="1"/>
    </xf>
    <xf numFmtId="179" fontId="56" fillId="0" borderId="6" xfId="88" applyNumberFormat="1" applyFont="1" applyBorder="1" applyAlignment="1">
      <alignment horizontal="center" vertical="center" wrapText="1"/>
    </xf>
    <xf numFmtId="179" fontId="56" fillId="0" borderId="7" xfId="88" applyNumberFormat="1" applyFont="1" applyBorder="1" applyAlignment="1">
      <alignment horizontal="center" vertical="center"/>
    </xf>
    <xf numFmtId="179" fontId="56" fillId="0" borderId="6" xfId="88" applyNumberFormat="1" applyFont="1" applyBorder="1" applyAlignment="1">
      <alignment horizontal="center" vertical="center"/>
    </xf>
    <xf numFmtId="181" fontId="56" fillId="0" borderId="7" xfId="88" applyNumberFormat="1" applyFont="1" applyBorder="1" applyAlignment="1">
      <alignment horizontal="center" vertical="center"/>
    </xf>
    <xf numFmtId="181" fontId="56" fillId="0" borderId="6" xfId="88" applyNumberFormat="1" applyFont="1" applyBorder="1" applyAlignment="1">
      <alignment horizontal="center" vertical="center"/>
    </xf>
    <xf numFmtId="181" fontId="56" fillId="0" borderId="4" xfId="88" applyNumberFormat="1" applyFont="1" applyFill="1" applyBorder="1" applyAlignment="1">
      <alignment horizontal="center" vertical="center"/>
    </xf>
    <xf numFmtId="0" fontId="9" fillId="8" borderId="4" xfId="14" applyFont="1" applyFill="1" applyBorder="1" applyAlignment="1">
      <alignment horizontal="center" vertical="center" wrapText="1"/>
    </xf>
    <xf numFmtId="0" fontId="10" fillId="8" borderId="4" xfId="10" applyFont="1" applyFill="1" applyBorder="1" applyAlignment="1">
      <alignment horizontal="center" vertical="center" wrapText="1"/>
    </xf>
    <xf numFmtId="10" fontId="8" fillId="0" borderId="7" xfId="10" applyNumberFormat="1" applyFont="1" applyBorder="1" applyAlignment="1">
      <alignment horizontal="center" vertical="center" wrapText="1"/>
    </xf>
    <xf numFmtId="10" fontId="8" fillId="0" borderId="9" xfId="10" applyNumberFormat="1" applyFont="1" applyBorder="1" applyAlignment="1">
      <alignment horizontal="center" vertical="center" wrapText="1"/>
    </xf>
    <xf numFmtId="10" fontId="8" fillId="0" borderId="6" xfId="10" applyNumberFormat="1" applyFont="1" applyBorder="1" applyAlignment="1">
      <alignment horizontal="center" vertical="center" wrapText="1"/>
    </xf>
    <xf numFmtId="0" fontId="9" fillId="8" borderId="7" xfId="14" applyFont="1" applyFill="1" applyBorder="1" applyAlignment="1">
      <alignment horizontal="center" vertical="center"/>
    </xf>
    <xf numFmtId="0" fontId="9" fillId="8" borderId="6" xfId="14" applyFont="1" applyFill="1" applyBorder="1" applyAlignment="1">
      <alignment horizontal="center" vertical="center"/>
    </xf>
    <xf numFmtId="0" fontId="57" fillId="8" borderId="7" xfId="14" applyFont="1" applyFill="1" applyBorder="1" applyAlignment="1">
      <alignment horizontal="left" vertical="center"/>
    </xf>
    <xf numFmtId="0" fontId="57" fillId="8" borderId="6" xfId="14" applyFont="1" applyFill="1" applyBorder="1" applyAlignment="1">
      <alignment horizontal="left" vertical="center"/>
    </xf>
    <xf numFmtId="164" fontId="57" fillId="8" borderId="7" xfId="88" applyFont="1" applyFill="1" applyBorder="1" applyAlignment="1" applyProtection="1">
      <alignment horizontal="center" vertical="center" wrapText="1"/>
    </xf>
    <xf numFmtId="164" fontId="57" fillId="8" borderId="6" xfId="88" applyFont="1" applyFill="1" applyBorder="1" applyAlignment="1" applyProtection="1">
      <alignment horizontal="center" vertical="center" wrapText="1"/>
    </xf>
    <xf numFmtId="15" fontId="63" fillId="0" borderId="19" xfId="10" applyNumberFormat="1" applyFont="1" applyBorder="1" applyAlignment="1">
      <alignment horizontal="center" vertical="center" wrapText="1"/>
    </xf>
    <xf numFmtId="15" fontId="63" fillId="0" borderId="20" xfId="10" applyNumberFormat="1" applyFont="1" applyBorder="1" applyAlignment="1">
      <alignment horizontal="center" vertical="center" wrapText="1"/>
    </xf>
    <xf numFmtId="15" fontId="63" fillId="0" borderId="21" xfId="10" applyNumberFormat="1" applyFont="1" applyBorder="1" applyAlignment="1">
      <alignment horizontal="center" vertical="center" wrapText="1"/>
    </xf>
    <xf numFmtId="164" fontId="57" fillId="8" borderId="4" xfId="88" applyFont="1" applyFill="1" applyBorder="1" applyAlignment="1" applyProtection="1">
      <alignment horizontal="center" vertical="center" wrapText="1"/>
    </xf>
    <xf numFmtId="0" fontId="46" fillId="0" borderId="0" xfId="0" applyFont="1" applyAlignment="1">
      <alignment horizontal="left" vertical="center" wrapText="1"/>
    </xf>
    <xf numFmtId="0" fontId="46" fillId="23" borderId="4" xfId="0" applyFont="1" applyFill="1" applyBorder="1" applyAlignment="1">
      <alignment horizontal="center" vertical="center" wrapText="1"/>
    </xf>
    <xf numFmtId="0" fontId="49" fillId="0" borderId="0" xfId="83" applyFont="1" applyAlignment="1">
      <alignment horizontal="center"/>
    </xf>
    <xf numFmtId="0" fontId="48" fillId="17" borderId="7" xfId="83" applyFont="1" applyFill="1" applyBorder="1" applyAlignment="1">
      <alignment horizontal="center" vertical="top" wrapText="1"/>
    </xf>
    <xf numFmtId="0" fontId="48" fillId="17" borderId="6" xfId="83" applyFont="1" applyFill="1" applyBorder="1" applyAlignment="1">
      <alignment horizontal="center" vertical="top" wrapText="1"/>
    </xf>
    <xf numFmtId="0" fontId="48" fillId="0" borderId="5" xfId="83" applyFont="1" applyBorder="1" applyAlignment="1">
      <alignment horizontal="center" vertical="top"/>
    </xf>
    <xf numFmtId="0" fontId="48" fillId="0" borderId="3" xfId="83" applyFont="1" applyBorder="1" applyAlignment="1">
      <alignment horizontal="center" vertical="top"/>
    </xf>
    <xf numFmtId="0" fontId="48" fillId="0" borderId="8" xfId="83" applyFont="1" applyBorder="1" applyAlignment="1">
      <alignment horizontal="center" vertical="top"/>
    </xf>
    <xf numFmtId="0" fontId="48" fillId="17" borderId="5" xfId="83" applyFont="1" applyFill="1" applyBorder="1" applyAlignment="1">
      <alignment horizontal="center" vertical="top"/>
    </xf>
    <xf numFmtId="0" fontId="48" fillId="17" borderId="3" xfId="83" applyFont="1" applyFill="1" applyBorder="1" applyAlignment="1">
      <alignment horizontal="center" vertical="top"/>
    </xf>
    <xf numFmtId="0" fontId="48" fillId="17" borderId="8" xfId="83" applyFont="1" applyFill="1" applyBorder="1" applyAlignment="1">
      <alignment horizontal="center" vertical="top"/>
    </xf>
    <xf numFmtId="0" fontId="48" fillId="17" borderId="4" xfId="83" applyFont="1" applyFill="1" applyBorder="1" applyAlignment="1">
      <alignment horizontal="center" vertical="top" wrapText="1"/>
    </xf>
    <xf numFmtId="0" fontId="48" fillId="17" borderId="4" xfId="83" applyFont="1" applyFill="1" applyBorder="1" applyAlignment="1">
      <alignment horizontal="center" vertical="top"/>
    </xf>
    <xf numFmtId="0" fontId="48" fillId="0" borderId="4" xfId="0" applyFont="1" applyBorder="1" applyAlignment="1">
      <alignment horizontal="left" vertical="center" wrapText="1"/>
    </xf>
    <xf numFmtId="0" fontId="0" fillId="0" borderId="4" xfId="0" applyBorder="1" applyAlignment="1">
      <alignment horizontal="center" vertical="center"/>
    </xf>
    <xf numFmtId="0" fontId="16" fillId="0" borderId="4" xfId="0" applyFont="1" applyBorder="1" applyAlignment="1">
      <alignment horizontal="left" vertical="center"/>
    </xf>
    <xf numFmtId="0" fontId="0" fillId="0" borderId="4" xfId="0" applyBorder="1" applyAlignment="1">
      <alignment horizontal="left" vertical="center"/>
    </xf>
    <xf numFmtId="0" fontId="48" fillId="17" borderId="7" xfId="83" applyFont="1" applyFill="1" applyBorder="1" applyAlignment="1">
      <alignment horizontal="center" vertical="top"/>
    </xf>
    <xf numFmtId="0" fontId="48" fillId="17" borderId="6" xfId="83" applyFont="1" applyFill="1" applyBorder="1" applyAlignment="1">
      <alignment horizontal="center" vertical="top"/>
    </xf>
    <xf numFmtId="0" fontId="51" fillId="17" borderId="4" xfId="83" applyFont="1" applyFill="1" applyBorder="1" applyAlignment="1">
      <alignment horizontal="center"/>
    </xf>
    <xf numFmtId="0" fontId="51" fillId="18" borderId="4" xfId="83" applyFont="1" applyFill="1" applyBorder="1" applyAlignment="1">
      <alignment horizontal="center"/>
    </xf>
    <xf numFmtId="0" fontId="51" fillId="17" borderId="4" xfId="83" applyFont="1" applyFill="1" applyBorder="1" applyAlignment="1">
      <alignment horizontal="center" vertical="center" wrapText="1"/>
    </xf>
    <xf numFmtId="0" fontId="51" fillId="17" borderId="7" xfId="83" applyFont="1" applyFill="1" applyBorder="1" applyAlignment="1">
      <alignment horizontal="center" vertical="center" wrapText="1"/>
    </xf>
    <xf numFmtId="0" fontId="51" fillId="17" borderId="6" xfId="83" applyFont="1" applyFill="1" applyBorder="1" applyAlignment="1">
      <alignment horizontal="center" vertical="center" wrapText="1"/>
    </xf>
    <xf numFmtId="0" fontId="136" fillId="18" borderId="5" xfId="83" applyFont="1" applyFill="1" applyBorder="1" applyAlignment="1">
      <alignment horizontal="center" vertical="center"/>
    </xf>
    <xf numFmtId="0" fontId="136" fillId="18" borderId="3" xfId="83" applyFont="1" applyFill="1" applyBorder="1" applyAlignment="1">
      <alignment horizontal="center" vertical="center"/>
    </xf>
    <xf numFmtId="0" fontId="136" fillId="18" borderId="8" xfId="83" applyFont="1" applyFill="1" applyBorder="1" applyAlignment="1">
      <alignment horizontal="center" vertical="center"/>
    </xf>
    <xf numFmtId="0" fontId="136" fillId="17" borderId="13" xfId="83" applyFont="1" applyFill="1" applyBorder="1" applyAlignment="1">
      <alignment horizontal="center" vertical="center" wrapText="1"/>
    </xf>
    <xf numFmtId="0" fontId="136" fillId="17" borderId="15" xfId="83" applyFont="1" applyFill="1" applyBorder="1" applyAlignment="1">
      <alignment horizontal="center" vertical="center" wrapText="1"/>
    </xf>
    <xf numFmtId="0" fontId="136" fillId="17" borderId="14" xfId="83" applyFont="1" applyFill="1" applyBorder="1" applyAlignment="1">
      <alignment horizontal="center" vertical="center" wrapText="1"/>
    </xf>
    <xf numFmtId="0" fontId="136" fillId="17" borderId="16" xfId="83" applyFont="1" applyFill="1" applyBorder="1" applyAlignment="1">
      <alignment horizontal="center" vertical="center" wrapText="1"/>
    </xf>
    <xf numFmtId="0" fontId="136" fillId="17" borderId="7" xfId="83" applyFont="1" applyFill="1" applyBorder="1" applyAlignment="1">
      <alignment horizontal="center" vertical="center" wrapText="1"/>
    </xf>
    <xf numFmtId="0" fontId="136" fillId="17" borderId="6" xfId="83" applyFont="1" applyFill="1" applyBorder="1" applyAlignment="1">
      <alignment horizontal="center" vertical="center" wrapText="1"/>
    </xf>
    <xf numFmtId="0" fontId="136" fillId="17" borderId="5" xfId="83" applyFont="1" applyFill="1" applyBorder="1" applyAlignment="1">
      <alignment horizontal="center" vertical="center"/>
    </xf>
    <xf numFmtId="0" fontId="136" fillId="17" borderId="3" xfId="83" applyFont="1" applyFill="1" applyBorder="1" applyAlignment="1">
      <alignment horizontal="center" vertical="center"/>
    </xf>
    <xf numFmtId="0" fontId="136" fillId="17" borderId="8" xfId="83" applyFont="1" applyFill="1" applyBorder="1" applyAlignment="1">
      <alignment horizontal="center" vertical="center"/>
    </xf>
    <xf numFmtId="0" fontId="135" fillId="0" borderId="7" xfId="83" applyFont="1" applyBorder="1" applyAlignment="1">
      <alignment horizontal="center" vertical="center"/>
    </xf>
    <xf numFmtId="0" fontId="135" fillId="0" borderId="9" xfId="83" applyFont="1" applyBorder="1" applyAlignment="1">
      <alignment horizontal="center" vertical="center"/>
    </xf>
    <xf numFmtId="0" fontId="135" fillId="0" borderId="4" xfId="83" applyFont="1" applyBorder="1" applyAlignment="1">
      <alignment horizontal="center" vertical="center"/>
    </xf>
    <xf numFmtId="0" fontId="51" fillId="17" borderId="5" xfId="83" applyFont="1" applyFill="1" applyBorder="1" applyAlignment="1">
      <alignment horizontal="center" vertical="center" wrapText="1"/>
    </xf>
    <xf numFmtId="0" fontId="51" fillId="17" borderId="3" xfId="83" applyFont="1" applyFill="1" applyBorder="1" applyAlignment="1">
      <alignment horizontal="center" vertical="center" wrapText="1"/>
    </xf>
    <xf numFmtId="0" fontId="51" fillId="17" borderId="8" xfId="83" applyFont="1" applyFill="1" applyBorder="1" applyAlignment="1">
      <alignment horizontal="center" vertical="center" wrapText="1"/>
    </xf>
    <xf numFmtId="0" fontId="51" fillId="18" borderId="5" xfId="83" applyFont="1" applyFill="1" applyBorder="1" applyAlignment="1">
      <alignment horizontal="center"/>
    </xf>
    <xf numFmtId="0" fontId="51" fillId="18" borderId="3" xfId="83" applyFont="1" applyFill="1" applyBorder="1" applyAlignment="1">
      <alignment horizontal="center"/>
    </xf>
    <xf numFmtId="0" fontId="51" fillId="18" borderId="8" xfId="83" applyFont="1" applyFill="1" applyBorder="1" applyAlignment="1">
      <alignment horizontal="center"/>
    </xf>
    <xf numFmtId="0" fontId="51" fillId="18" borderId="12" xfId="83" applyFont="1" applyFill="1" applyBorder="1" applyAlignment="1">
      <alignment horizontal="center"/>
    </xf>
    <xf numFmtId="0" fontId="51" fillId="18" borderId="15" xfId="83" applyFont="1" applyFill="1" applyBorder="1" applyAlignment="1">
      <alignment horizontal="center"/>
    </xf>
    <xf numFmtId="0" fontId="51" fillId="17" borderId="5" xfId="83" applyFont="1" applyFill="1" applyBorder="1" applyAlignment="1">
      <alignment horizontal="center" vertical="center"/>
    </xf>
    <xf numFmtId="0" fontId="51" fillId="17" borderId="3" xfId="83" applyFont="1" applyFill="1" applyBorder="1" applyAlignment="1">
      <alignment horizontal="center" vertical="center"/>
    </xf>
    <xf numFmtId="0" fontId="51" fillId="17" borderId="8" xfId="83" applyFont="1" applyFill="1" applyBorder="1" applyAlignment="1">
      <alignment horizontal="center" vertical="center"/>
    </xf>
    <xf numFmtId="0" fontId="51" fillId="17" borderId="0" xfId="83" applyFont="1" applyFill="1" applyAlignment="1">
      <alignment horizontal="center" vertical="center" wrapText="1"/>
    </xf>
    <xf numFmtId="0" fontId="51" fillId="17" borderId="15" xfId="83" applyFont="1" applyFill="1" applyBorder="1" applyAlignment="1">
      <alignment horizontal="center" vertical="center" wrapText="1"/>
    </xf>
    <xf numFmtId="0" fontId="51" fillId="17" borderId="17" xfId="83" applyFont="1" applyFill="1" applyBorder="1" applyAlignment="1">
      <alignment horizontal="center" vertical="center" wrapText="1"/>
    </xf>
    <xf numFmtId="0" fontId="51" fillId="17" borderId="16" xfId="83" applyFont="1" applyFill="1" applyBorder="1" applyAlignment="1">
      <alignment horizontal="center" vertical="center" wrapText="1"/>
    </xf>
    <xf numFmtId="0" fontId="51" fillId="18" borderId="12" xfId="83" applyFont="1" applyFill="1" applyBorder="1" applyAlignment="1">
      <alignment horizontal="center" vertical="center"/>
    </xf>
    <xf numFmtId="0" fontId="51" fillId="18" borderId="15" xfId="83" applyFont="1" applyFill="1" applyBorder="1" applyAlignment="1">
      <alignment horizontal="center" vertical="center"/>
    </xf>
    <xf numFmtId="43" fontId="50" fillId="0" borderId="5" xfId="84" applyFont="1" applyBorder="1" applyAlignment="1">
      <alignment horizontal="center" vertical="center"/>
    </xf>
    <xf numFmtId="43" fontId="50" fillId="0" borderId="3" xfId="84" applyFont="1" applyBorder="1" applyAlignment="1">
      <alignment horizontal="center" vertical="center"/>
    </xf>
    <xf numFmtId="43" fontId="50" fillId="0" borderId="8" xfId="84" applyFont="1" applyBorder="1" applyAlignment="1">
      <alignment horizontal="center" vertical="center"/>
    </xf>
    <xf numFmtId="0" fontId="50" fillId="0" borderId="7" xfId="83" applyFont="1" applyBorder="1" applyAlignment="1">
      <alignment horizontal="center" vertical="center" wrapText="1"/>
    </xf>
    <xf numFmtId="0" fontId="50" fillId="0" borderId="6" xfId="83" applyFont="1" applyBorder="1" applyAlignment="1">
      <alignment horizontal="center" vertical="center" wrapText="1"/>
    </xf>
    <xf numFmtId="43" fontId="50" fillId="0" borderId="5" xfId="84" applyFont="1" applyBorder="1" applyAlignment="1">
      <alignment horizontal="center"/>
    </xf>
    <xf numFmtId="43" fontId="50" fillId="0" borderId="3" xfId="84" applyFont="1" applyBorder="1" applyAlignment="1">
      <alignment horizontal="center"/>
    </xf>
    <xf numFmtId="43" fontId="50" fillId="0" borderId="8" xfId="84" applyFont="1" applyBorder="1" applyAlignment="1">
      <alignment horizontal="center"/>
    </xf>
    <xf numFmtId="172" fontId="50" fillId="0" borderId="5" xfId="84" applyNumberFormat="1" applyFont="1" applyBorder="1" applyAlignment="1">
      <alignment horizontal="center"/>
    </xf>
    <xf numFmtId="172" fontId="50" fillId="0" borderId="3" xfId="84" applyNumberFormat="1" applyFont="1" applyBorder="1" applyAlignment="1">
      <alignment horizontal="center"/>
    </xf>
    <xf numFmtId="172" fontId="50" fillId="0" borderId="8" xfId="84" applyNumberFormat="1" applyFont="1" applyBorder="1" applyAlignment="1">
      <alignment horizontal="center"/>
    </xf>
    <xf numFmtId="0" fontId="50" fillId="0" borderId="10" xfId="83" applyFont="1" applyBorder="1" applyAlignment="1">
      <alignment horizontal="center" vertical="center" wrapText="1"/>
    </xf>
    <xf numFmtId="0" fontId="50" fillId="0" borderId="11" xfId="83" applyFont="1" applyBorder="1" applyAlignment="1">
      <alignment horizontal="center" vertical="center" wrapText="1"/>
    </xf>
    <xf numFmtId="175" fontId="50" fillId="0" borderId="5" xfId="84" applyNumberFormat="1" applyFont="1" applyBorder="1" applyAlignment="1">
      <alignment horizontal="center"/>
    </xf>
    <xf numFmtId="175" fontId="50" fillId="0" borderId="3" xfId="84" applyNumberFormat="1" applyFont="1" applyBorder="1" applyAlignment="1">
      <alignment horizontal="center"/>
    </xf>
    <xf numFmtId="175" fontId="50" fillId="0" borderId="8" xfId="84" applyNumberFormat="1" applyFont="1" applyBorder="1" applyAlignment="1">
      <alignment horizontal="center"/>
    </xf>
    <xf numFmtId="43" fontId="51" fillId="21" borderId="5" xfId="83" applyNumberFormat="1" applyFont="1" applyFill="1" applyBorder="1" applyAlignment="1">
      <alignment horizontal="center"/>
    </xf>
    <xf numFmtId="43" fontId="51" fillId="21" borderId="3" xfId="83" applyNumberFormat="1" applyFont="1" applyFill="1" applyBorder="1" applyAlignment="1">
      <alignment horizontal="center"/>
    </xf>
    <xf numFmtId="43" fontId="51" fillId="21" borderId="8" xfId="83" applyNumberFormat="1" applyFont="1" applyFill="1" applyBorder="1" applyAlignment="1">
      <alignment horizontal="center"/>
    </xf>
    <xf numFmtId="0" fontId="51" fillId="0" borderId="5" xfId="83" applyFont="1" applyBorder="1" applyAlignment="1">
      <alignment horizontal="center"/>
    </xf>
    <xf numFmtId="0" fontId="51" fillId="0" borderId="3" xfId="83" applyFont="1" applyBorder="1" applyAlignment="1">
      <alignment horizontal="center"/>
    </xf>
    <xf numFmtId="0" fontId="51" fillId="0" borderId="8" xfId="83" applyFont="1" applyBorder="1" applyAlignment="1">
      <alignment horizontal="center"/>
    </xf>
    <xf numFmtId="0" fontId="51" fillId="0" borderId="4" xfId="83" applyFont="1" applyBorder="1" applyAlignment="1">
      <alignment horizontal="center"/>
    </xf>
  </cellXfs>
  <cellStyles count="121">
    <cellStyle name="Body" xfId="1" xr:uid="{00000000-0005-0000-0000-000000000000}"/>
    <cellStyle name="Comma" xfId="91" builtinId="3"/>
    <cellStyle name="Comma  - Style1" xfId="2" xr:uid="{00000000-0005-0000-0000-000001000000}"/>
    <cellStyle name="Comma 10" xfId="94" xr:uid="{A2E1A78C-C214-484B-A1D3-83171755139F}"/>
    <cellStyle name="Comma 11 2" xfId="20" xr:uid="{00000000-0005-0000-0000-000002000000}"/>
    <cellStyle name="Comma 11 2 2" xfId="70" xr:uid="{A53C4BF7-D6D5-4357-96BC-251BF58358BE}"/>
    <cellStyle name="Comma 11 2 3" xfId="86" xr:uid="{80DF0A7A-7DC7-4A3B-BDA9-EDFFA0331AA4}"/>
    <cellStyle name="Comma 11 2 4" xfId="102" xr:uid="{4C956EF5-9131-4791-8EE8-243FE0C92B46}"/>
    <cellStyle name="Comma 11 4" xfId="88" xr:uid="{DD0B124E-1C36-4C3C-B285-5FA60D979B70}"/>
    <cellStyle name="Comma 2" xfId="26" xr:uid="{00000000-0005-0000-0000-000003000000}"/>
    <cellStyle name="Comma 2 12" xfId="112" xr:uid="{9C409C2F-5614-42C6-815D-6259CFADD7E7}"/>
    <cellStyle name="Comma 2 2" xfId="35" xr:uid="{00000000-0005-0000-0000-000004000000}"/>
    <cellStyle name="Comma 2 2 2" xfId="66" xr:uid="{31D00236-661F-4044-9865-B8D2E3EA87FC}"/>
    <cellStyle name="Comma 2 2 2 7" xfId="99" xr:uid="{7B79B317-86AE-4721-83FB-36199FFEB197}"/>
    <cellStyle name="Comma 2 2 3" xfId="74" xr:uid="{D95CBEB1-1F58-49D7-8237-4F1F14BF7E1E}"/>
    <cellStyle name="Comma 2 3" xfId="36" xr:uid="{00000000-0005-0000-0000-000005000000}"/>
    <cellStyle name="Comma 2 3 2" xfId="75" xr:uid="{A9F30B62-B1D6-4C00-AD79-CDC14737703E}"/>
    <cellStyle name="Comma 2 4" xfId="58" xr:uid="{00000000-0005-0000-0000-000006000000}"/>
    <cellStyle name="Comma 2 5" xfId="73" xr:uid="{EE0952FA-557A-4506-AA73-876C4B358732}"/>
    <cellStyle name="Comma 2 6" xfId="110" xr:uid="{9B4AA40F-6D97-412F-B2EC-B5DB62644360}"/>
    <cellStyle name="Comma 3" xfId="37" xr:uid="{00000000-0005-0000-0000-000007000000}"/>
    <cellStyle name="Comma 3 2" xfId="65" xr:uid="{48A41329-8AC8-4377-B893-BA952A4835FD}"/>
    <cellStyle name="Comma 3 2 2" xfId="80" xr:uid="{E023C22D-5997-485B-B7CE-765B9FD037A6}"/>
    <cellStyle name="Comma 3 3" xfId="76" xr:uid="{28FE48A5-F671-48F8-8DAF-E648437C7DD1}"/>
    <cellStyle name="Comma 4" xfId="38" xr:uid="{00000000-0005-0000-0000-000008000000}"/>
    <cellStyle name="Comma 4 2" xfId="67" xr:uid="{94608CB7-8D40-42FB-B4EC-9A009AA417B1}"/>
    <cellStyle name="Comma 4 2 2" xfId="81" xr:uid="{969CBE16-7D40-4F66-9F22-0C735DB1D988}"/>
    <cellStyle name="Comma 4 3" xfId="77" xr:uid="{1353BA05-AA21-4A94-B2DD-7CE71EC68EEB}"/>
    <cellStyle name="Comma 4 4" xfId="104" xr:uid="{5CCCE697-7767-421C-893A-75AFDECC82E5}"/>
    <cellStyle name="Comma 46" xfId="90" xr:uid="{ED2201F4-9453-49AC-B6A5-4DCD285A1B49}"/>
    <cellStyle name="Comma 5" xfId="39" xr:uid="{00000000-0005-0000-0000-000009000000}"/>
    <cellStyle name="Comma 5 2" xfId="78" xr:uid="{0755028C-55DB-45AC-9CC5-03F5772F9A1E}"/>
    <cellStyle name="Comma 6" xfId="40" xr:uid="{00000000-0005-0000-0000-00000A000000}"/>
    <cellStyle name="Comma 6 2" xfId="41" xr:uid="{00000000-0005-0000-0000-00000B000000}"/>
    <cellStyle name="Comma 6 3" xfId="42" xr:uid="{00000000-0005-0000-0000-00000C000000}"/>
    <cellStyle name="Comma 6 4" xfId="43" xr:uid="{00000000-0005-0000-0000-00000D000000}"/>
    <cellStyle name="Comma 7" xfId="22" xr:uid="{00000000-0005-0000-0000-00000E000000}"/>
    <cellStyle name="Comma 8" xfId="68" xr:uid="{EB91B92F-40C8-4C08-8903-E021133D25C8}"/>
    <cellStyle name="Comma 8 2" xfId="82" xr:uid="{3963CE55-5D88-4725-B678-02004BD5AE50}"/>
    <cellStyle name="Comma 9" xfId="84" xr:uid="{E9F168BD-CBFD-445A-8BD6-C98059736FE0}"/>
    <cellStyle name="Curren - Style2" xfId="3" xr:uid="{00000000-0005-0000-0000-00000F000000}"/>
    <cellStyle name="Grey" xfId="4" xr:uid="{00000000-0005-0000-0000-000010000000}"/>
    <cellStyle name="Header1" xfId="5" xr:uid="{00000000-0005-0000-0000-000011000000}"/>
    <cellStyle name="Header2" xfId="6" xr:uid="{00000000-0005-0000-0000-000012000000}"/>
    <cellStyle name="Hyperlink 2" xfId="107" xr:uid="{477A9275-87FC-40A5-9E2C-4D7AD65684BC}"/>
    <cellStyle name="Hyperlink 3" xfId="108" xr:uid="{6D025BF8-D32F-4204-8934-F806BDEE17BC}"/>
    <cellStyle name="Input [yellow]" xfId="7" xr:uid="{00000000-0005-0000-0000-000013000000}"/>
    <cellStyle name="no dec" xfId="8" xr:uid="{00000000-0005-0000-0000-000014000000}"/>
    <cellStyle name="Normal" xfId="0" builtinId="0"/>
    <cellStyle name="Normal - Style1" xfId="9" xr:uid="{00000000-0005-0000-0000-000016000000}"/>
    <cellStyle name="Normal 10" xfId="83" xr:uid="{EA695912-2A59-41DB-9BF9-C036EAED812D}"/>
    <cellStyle name="Normal 10 2 2 2" xfId="96" xr:uid="{687D9960-61D1-4306-B766-56F04C2988E8}"/>
    <cellStyle name="Normal 10 2 4" xfId="118" xr:uid="{D5169DC7-2255-4379-B45A-4A7C3E63CCE4}"/>
    <cellStyle name="Normal 10 2 5" xfId="101" xr:uid="{D50F7118-5682-431E-97CC-23291876079E}"/>
    <cellStyle name="Normal 11" xfId="93" xr:uid="{403E7F82-3731-4D83-A821-D1989BF60597}"/>
    <cellStyle name="Normal 11 2" xfId="119" xr:uid="{91B8099C-F333-45C9-AC98-68944FBBD309}"/>
    <cellStyle name="Normal 12 2" xfId="87" xr:uid="{E5A8D75A-6484-4FE1-A00E-8D4EBAEEE184}"/>
    <cellStyle name="Normal 130 2" xfId="106" xr:uid="{A7C3C41C-094A-4E04-8302-09F4C7BDF67B}"/>
    <cellStyle name="Normal 15" xfId="19" xr:uid="{00000000-0005-0000-0000-000017000000}"/>
    <cellStyle name="Normal 15 2" xfId="69" xr:uid="{6E58ECDF-90FD-45D8-9E77-E7247A3A6C4A}"/>
    <cellStyle name="Normal 15 3" xfId="85" xr:uid="{8D198E7E-5029-49B4-A40B-A7E85F86002E}"/>
    <cellStyle name="Normal 16" xfId="109" xr:uid="{8741C042-F455-4B45-A3C8-0F54A59926AB}"/>
    <cellStyle name="Normal 18" xfId="64" xr:uid="{BE900E76-C830-4535-91AA-A50DE55C3F74}"/>
    <cellStyle name="Normal 18 2" xfId="79" xr:uid="{F96B7001-D02F-4FA5-8754-719372B37B23}"/>
    <cellStyle name="Normal 19" xfId="105" xr:uid="{8178AE2E-DA5B-4F82-A1BE-98BBA8B9EEDB}"/>
    <cellStyle name="Normal 2" xfId="10" xr:uid="{00000000-0005-0000-0000-000018000000}"/>
    <cellStyle name="Normal 2 10" xfId="97" xr:uid="{AC741917-009E-418A-9F11-82379D46FDDE}"/>
    <cellStyle name="Normal 2 2" xfId="11" xr:uid="{00000000-0005-0000-0000-000019000000}"/>
    <cellStyle name="Normal 2 2 2" xfId="27" xr:uid="{00000000-0005-0000-0000-00001A000000}"/>
    <cellStyle name="Normal 2 2 2 2" xfId="59" xr:uid="{00000000-0005-0000-0000-00001B000000}"/>
    <cellStyle name="Normal 2 2 2 7" xfId="113" xr:uid="{4EB7213B-E8B3-4418-94ED-A627121B7079}"/>
    <cellStyle name="Normal 2 2_Working APR 2007-08 Mahagenco_Bhushan_1.3" xfId="44" xr:uid="{00000000-0005-0000-0000-00001C000000}"/>
    <cellStyle name="Normal 2 3" xfId="12" xr:uid="{00000000-0005-0000-0000-00001D000000}"/>
    <cellStyle name="Normal 2 3 2 2" xfId="100" xr:uid="{43FD8010-491F-4131-8435-2A9F4EE15DD8}"/>
    <cellStyle name="Normal 2 4" xfId="45" xr:uid="{00000000-0005-0000-0000-00001E000000}"/>
    <cellStyle name="Normal 2_ARR FINAL" xfId="46" xr:uid="{00000000-0005-0000-0000-00001F000000}"/>
    <cellStyle name="Normal 3" xfId="13" xr:uid="{00000000-0005-0000-0000-000020000000}"/>
    <cellStyle name="Normal 3 2" xfId="28" xr:uid="{00000000-0005-0000-0000-000021000000}"/>
    <cellStyle name="Normal 3 2 2" xfId="60" xr:uid="{00000000-0005-0000-0000-000022000000}"/>
    <cellStyle name="Normal 3 4 2" xfId="115" xr:uid="{E7D5E283-38FB-432C-B37E-8198CBEF5090}"/>
    <cellStyle name="Normal 30" xfId="117" xr:uid="{ECEF61F7-3447-4B1C-89D9-9BC84B4261BC}"/>
    <cellStyle name="Normal 39" xfId="23" xr:uid="{00000000-0005-0000-0000-000023000000}"/>
    <cellStyle name="Normal 4" xfId="29" xr:uid="{00000000-0005-0000-0000-000024000000}"/>
    <cellStyle name="Normal 4 2" xfId="61" xr:uid="{00000000-0005-0000-0000-000025000000}"/>
    <cellStyle name="Normal 40 2 2" xfId="116" xr:uid="{4E79F05F-0B65-4D11-8791-23784F8B10B0}"/>
    <cellStyle name="Normal 5" xfId="30" xr:uid="{00000000-0005-0000-0000-000026000000}"/>
    <cellStyle name="Normal 5 2" xfId="47" xr:uid="{00000000-0005-0000-0000-000027000000}"/>
    <cellStyle name="Normal 55 2" xfId="114" xr:uid="{F7C9FD06-1FA4-492F-9D86-FBD8E4256AB3}"/>
    <cellStyle name="Normal 6" xfId="31" xr:uid="{00000000-0005-0000-0000-000028000000}"/>
    <cellStyle name="Normal 7" xfId="32" xr:uid="{00000000-0005-0000-0000-000029000000}"/>
    <cellStyle name="Normal 8" xfId="33" xr:uid="{00000000-0005-0000-0000-00002A000000}"/>
    <cellStyle name="Normal 9" xfId="25" xr:uid="{00000000-0005-0000-0000-00002B000000}"/>
    <cellStyle name="Normal 9 2" xfId="72" xr:uid="{4589D786-0F26-4FE5-8D50-E4141FFFC7B0}"/>
    <cellStyle name="Normal_FORMATS 5 YEAR ALOKE" xfId="34" xr:uid="{00000000-0005-0000-0000-00002C000000}"/>
    <cellStyle name="Normal_FORMATS 5 YEAR ALOKE 2" xfId="14" xr:uid="{00000000-0005-0000-0000-00002D000000}"/>
    <cellStyle name="Normal_FORMATS 5 YEAR ALOKE 2 2" xfId="63" xr:uid="{357C80E2-BA4F-4F69-9D1A-0FAFAF602196}"/>
    <cellStyle name="Normal_FORMATS 5 YEAR ALOKE 3 2" xfId="15" xr:uid="{00000000-0005-0000-0000-00002E000000}"/>
    <cellStyle name="Per cent 2" xfId="120" xr:uid="{06515F44-0839-4028-9300-825E4069A07D}"/>
    <cellStyle name="Percent" xfId="92" builtinId="5"/>
    <cellStyle name="Percent [0]_#6 Temps &amp; Contractors" xfId="16" xr:uid="{00000000-0005-0000-0000-00002F000000}"/>
    <cellStyle name="Percent [2]" xfId="17" xr:uid="{00000000-0005-0000-0000-000030000000}"/>
    <cellStyle name="Percent 12" xfId="89" xr:uid="{85E75F47-042B-43E1-9E0D-5A104EC1A737}"/>
    <cellStyle name="Percent 2" xfId="48" xr:uid="{00000000-0005-0000-0000-000031000000}"/>
    <cellStyle name="Percent 2 10" xfId="103" xr:uid="{A0B72A4A-890E-47C8-8C39-171855B5EAF0}"/>
    <cellStyle name="Percent 2 2" xfId="49" xr:uid="{00000000-0005-0000-0000-000032000000}"/>
    <cellStyle name="Percent 2 3" xfId="62" xr:uid="{00000000-0005-0000-0000-000033000000}"/>
    <cellStyle name="Percent 3" xfId="50" xr:uid="{00000000-0005-0000-0000-000034000000}"/>
    <cellStyle name="Percent 3 2" xfId="51" xr:uid="{00000000-0005-0000-0000-000035000000}"/>
    <cellStyle name="Percent 3 3" xfId="111" xr:uid="{7B12B3C6-F1CA-495C-8D60-3515211C67EF}"/>
    <cellStyle name="Percent 4" xfId="24" xr:uid="{00000000-0005-0000-0000-000036000000}"/>
    <cellStyle name="Percent 41" xfId="21" xr:uid="{00000000-0005-0000-0000-000037000000}"/>
    <cellStyle name="Percent 41 2" xfId="71" xr:uid="{B1A32216-8C99-4DA1-90CA-4C969098D49B}"/>
    <cellStyle name="Percent 41 2 2 2" xfId="98" xr:uid="{873C5AF6-49A2-4029-85D7-1E3A570911CB}"/>
    <cellStyle name="Percent 5" xfId="52" xr:uid="{00000000-0005-0000-0000-000038000000}"/>
    <cellStyle name="Percent 5 2" xfId="53" xr:uid="{00000000-0005-0000-0000-000039000000}"/>
    <cellStyle name="Percent 5 3" xfId="54" xr:uid="{00000000-0005-0000-0000-00003A000000}"/>
    <cellStyle name="Percent 6" xfId="55" xr:uid="{00000000-0005-0000-0000-00003B000000}"/>
    <cellStyle name="Percent 6 2" xfId="56" xr:uid="{00000000-0005-0000-0000-00003C000000}"/>
    <cellStyle name="Percent 7" xfId="95" xr:uid="{059452AF-EF60-449B-82B5-4E68EE3444EA}"/>
    <cellStyle name="Style 1" xfId="18" xr:uid="{00000000-0005-0000-0000-00003D000000}"/>
    <cellStyle name="Style 2" xfId="57" xr:uid="{00000000-0005-0000-0000-00003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JITENDRA BHANUSHALI" id="{12138BE3-2ECF-4EE7-BB91-FBF03A552068}" userId="908c937644882a39" providerId="Windows Live"/>
  <person displayName="Jitendra Bhanushali" id="{9F85B07D-B526-4CDA-98AC-984ECF677AAA}" userId="Jitendra Bhanushali"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37" dT="2023-11-22T09:33:11.05" personId="{12138BE3-2ECF-4EE7-BB91-FBF03A552068}" id="{BDBE5402-44E5-4708-AC6D-63A8DD5B6094}">
    <text>As per New Base of 2016 with base conversion factor of 2.88</text>
  </threadedComment>
  <threadedComment ref="J37" dT="2023-11-22T09:33:11.05" personId="{12138BE3-2ECF-4EE7-BB91-FBF03A552068}" id="{34B00D48-359A-4D06-B519-5BBB63E78357}">
    <text>As per New Base of 2016 with base conversion factor of 2.88</text>
  </threadedComment>
  <threadedComment ref="K37" dT="2023-11-22T09:33:11.05" personId="{12138BE3-2ECF-4EE7-BB91-FBF03A552068}" id="{653AD718-FC3F-4723-92FF-F76131F95FC5}">
    <text>As per New Base of 2016 with base conversion factor of 2.88</text>
  </threadedComment>
  <threadedComment ref="L37" dT="2023-11-22T09:33:11.05" personId="{12138BE3-2ECF-4EE7-BB91-FBF03A552068}" id="{AD6345EC-38CE-4A11-99A3-294A8354C101}">
    <text>As per New Base of 2016 with base conversion factor of 2.88</text>
  </threadedComment>
  <threadedComment ref="M37" dT="2023-11-22T09:33:11.05" personId="{12138BE3-2ECF-4EE7-BB91-FBF03A552068}" id="{9EEAC596-E778-4EE3-98CC-B53581BA3669}">
    <text>As per New Base of 2016 with base conversion factor of 2.88</text>
  </threadedComment>
  <threadedComment ref="N37" dT="2023-11-22T09:33:11.05" personId="{12138BE3-2ECF-4EE7-BB91-FBF03A552068}" id="{1121E6C3-718F-41D1-AD31-8C773B09983F}">
    <text>As per New Base of 2016 with base conversion factor of 2.88</text>
  </threadedComment>
  <threadedComment ref="O37" dT="2023-11-22T09:33:11.05" personId="{12138BE3-2ECF-4EE7-BB91-FBF03A552068}" id="{19671768-0543-4B55-973E-BF3E27085EED}">
    <text>As per New Base of 2016 with base conversion factor of 2.88</text>
  </threadedComment>
  <threadedComment ref="D38" dT="2023-11-22T09:33:11.05" personId="{12138BE3-2ECF-4EE7-BB91-FBF03A552068}" id="{662AC5D2-2E55-4667-8E07-82BDD06848BA}">
    <text>As per New Base of 2016 with base conversion factor of 2.88</text>
  </threadedComment>
  <threadedComment ref="E38" dT="2023-11-22T09:33:11.05" personId="{12138BE3-2ECF-4EE7-BB91-FBF03A552068}" id="{EC0265A8-44AE-4D65-AAB7-2B5197315895}">
    <text>As per New Base of 2016 with base conversion factor of 2.88</text>
  </threadedComment>
  <threadedComment ref="F38" dT="2023-11-22T09:33:11.05" personId="{12138BE3-2ECF-4EE7-BB91-FBF03A552068}" id="{D68C6399-4279-4720-9505-D7D84B71971D}">
    <text>As per New Base of 2016 with base conversion factor of 2.88</text>
  </threadedComment>
  <threadedComment ref="G38" dT="2023-11-22T09:33:11.05" personId="{12138BE3-2ECF-4EE7-BB91-FBF03A552068}" id="{2DE22C96-2C21-4452-AC53-A75EEC65276F}">
    <text>As per New Base of 2016 with base conversion factor of 2.88</text>
  </threadedComment>
  <threadedComment ref="H38" dT="2023-11-22T09:33:11.05" personId="{12138BE3-2ECF-4EE7-BB91-FBF03A552068}" id="{4D6B3DD6-828D-4EE0-AC93-7038E008B51D}">
    <text>As per New Base of 2016 with base conversion factor of 2.88</text>
  </threadedComment>
  <threadedComment ref="I38" dT="2023-11-22T09:33:11.05" personId="{12138BE3-2ECF-4EE7-BB91-FBF03A552068}" id="{D046D9B6-E817-4283-8301-AEC0B789FE91}">
    <text>As per New Base of 2016 with base conversion factor of 2.88</text>
  </threadedComment>
  <threadedComment ref="J38" dT="2023-11-22T09:33:11.05" personId="{12138BE3-2ECF-4EE7-BB91-FBF03A552068}" id="{8AD070D9-F6F0-45D3-9AB9-A4659806BEE0}">
    <text>As per New Base of 2016 with base conversion factor of 2.88</text>
  </threadedComment>
  <threadedComment ref="K38" dT="2023-11-22T09:33:11.05" personId="{12138BE3-2ECF-4EE7-BB91-FBF03A552068}" id="{7769A1A9-07C1-4333-BBA4-A4CE0ECA9D11}">
    <text>As per New Base of 2016 with base conversion factor of 2.88</text>
  </threadedComment>
  <threadedComment ref="L38" dT="2023-11-22T09:33:11.05" personId="{12138BE3-2ECF-4EE7-BB91-FBF03A552068}" id="{8FE8E979-7573-4D4D-B4E4-704427B8C7A9}">
    <text>As per New Base of 2016 with base conversion factor of 2.88</text>
  </threadedComment>
  <threadedComment ref="M38" dT="2023-11-22T09:33:11.05" personId="{12138BE3-2ECF-4EE7-BB91-FBF03A552068}" id="{311D8EE8-3153-4D43-888A-893E704B1B60}">
    <text>As per New Base of 2016 with base conversion factor of 2.88</text>
  </threadedComment>
  <threadedComment ref="N38" dT="2023-11-22T09:33:11.05" personId="{12138BE3-2ECF-4EE7-BB91-FBF03A552068}" id="{7252E4C8-101E-4A1E-AB83-6EC7C13A8E2D}">
    <text>As per New Base of 2016 with base conversion factor of 2.88</text>
  </threadedComment>
  <threadedComment ref="O38" dT="2023-11-22T09:33:11.05" personId="{12138BE3-2ECF-4EE7-BB91-FBF03A552068}" id="{10D7A64F-9301-43C7-92D5-52F490F811FC}">
    <text>As per New Base of 2016 with base conversion factor of 2.88</text>
  </threadedComment>
  <threadedComment ref="D39" dT="2023-11-22T09:33:11.05" personId="{12138BE3-2ECF-4EE7-BB91-FBF03A552068}" id="{BADCB751-10B7-4E3C-ABBB-05206DFDFA14}">
    <text>As per New Base of 2016 with base conversion factor of 2.88</text>
  </threadedComment>
  <threadedComment ref="E39" dT="2023-11-22T09:33:11.05" personId="{12138BE3-2ECF-4EE7-BB91-FBF03A552068}" id="{BE8495A3-429D-4143-9E61-A752C1E37202}">
    <text>As per New Base of 2016 with base conversion factor of 2.88</text>
  </threadedComment>
  <threadedComment ref="F39" dT="2023-11-22T09:33:11.05" personId="{12138BE3-2ECF-4EE7-BB91-FBF03A552068}" id="{390034F1-9455-42ED-9E3A-CF6C47ADABAE}">
    <text>As per New Base of 2016 with base conversion factor of 2.88</text>
  </threadedComment>
  <threadedComment ref="G39" dT="2023-11-22T09:33:11.05" personId="{12138BE3-2ECF-4EE7-BB91-FBF03A552068}" id="{80ED0B40-258D-4613-A460-A226D79E9A6F}">
    <text>As per New Base of 2016 with base conversion factor of 2.88</text>
  </threadedComment>
  <threadedComment ref="H39" dT="2023-11-22T09:33:11.05" personId="{12138BE3-2ECF-4EE7-BB91-FBF03A552068}" id="{F90A5447-6266-4BC9-94A8-11AF79BB009B}">
    <text>As per New Base of 2016 with base conversion factor of 2.88</text>
  </threadedComment>
  <threadedComment ref="I39" dT="2023-11-22T09:33:11.05" personId="{12138BE3-2ECF-4EE7-BB91-FBF03A552068}" id="{0832C41F-44A9-47BA-AEDA-A7B35BAE945A}">
    <text>As per New Base of 2016 with base conversion factor of 2.88</text>
  </threadedComment>
  <threadedComment ref="J39" dT="2023-11-22T09:33:11.05" personId="{12138BE3-2ECF-4EE7-BB91-FBF03A552068}" id="{655ADABC-C507-4C2B-AD64-139408F90F3E}">
    <text>As per New Base of 2016 with base conversion factor of 2.88</text>
  </threadedComment>
  <threadedComment ref="K39" dT="2023-11-22T09:33:11.05" personId="{12138BE3-2ECF-4EE7-BB91-FBF03A552068}" id="{4C935C36-6B5A-4AA6-B19D-196AA80A545D}">
    <text>As per New Base of 2016 with base conversion factor of 2.88</text>
  </threadedComment>
  <threadedComment ref="L39" dT="2023-11-22T09:33:11.05" personId="{12138BE3-2ECF-4EE7-BB91-FBF03A552068}" id="{E7F46AAF-7CA3-48DE-893A-EA60D6477B57}">
    <text>As per New Base of 2016 with base conversion factor of 2.88</text>
  </threadedComment>
  <threadedComment ref="M39" dT="2023-11-22T09:33:11.05" personId="{12138BE3-2ECF-4EE7-BB91-FBF03A552068}" id="{B505447E-AC6C-4481-B829-00085AE32EFA}">
    <text>As per New Base of 2016 with base conversion factor of 2.88</text>
  </threadedComment>
  <threadedComment ref="N39" dT="2023-11-22T09:33:11.05" personId="{12138BE3-2ECF-4EE7-BB91-FBF03A552068}" id="{A6FCD739-6696-454F-B88F-2C8FE5E34A5F}">
    <text>As per New Base of 2016 with base conversion factor of 2.88</text>
  </threadedComment>
  <threadedComment ref="O39" dT="2023-11-22T09:33:11.05" personId="{12138BE3-2ECF-4EE7-BB91-FBF03A552068}" id="{2584EE02-CF2A-43FA-ADBB-EBDCC890F9F7}">
    <text>As per New Base of 2016 with base conversion factor of 2.88</text>
  </threadedComment>
  <threadedComment ref="D40" dT="2023-11-22T09:33:11.05" personId="{12138BE3-2ECF-4EE7-BB91-FBF03A552068}" id="{167ED9D2-B59D-4A31-A154-5B61993FD1C1}">
    <text>As per New Base of 2016 with base conversion factor of 2.88</text>
  </threadedComment>
  <threadedComment ref="E40" dT="2023-11-22T09:33:11.05" personId="{12138BE3-2ECF-4EE7-BB91-FBF03A552068}" id="{88B01597-0217-4DC6-B19E-BFF81486A8B7}">
    <text>As per New Base of 2016 with base conversion factor of 2.88</text>
  </threadedComment>
  <threadedComment ref="F40" dT="2023-11-22T09:33:11.05" personId="{12138BE3-2ECF-4EE7-BB91-FBF03A552068}" id="{51FC8F23-B152-49F5-A930-C859647FB761}">
    <text>As per New Base of 2016 with base conversion factor of 2.88</text>
  </threadedComment>
  <threadedComment ref="G40" dT="2023-11-22T09:33:11.05" personId="{12138BE3-2ECF-4EE7-BB91-FBF03A552068}" id="{921DAA6D-E6DE-4052-9687-3C58082D6B83}">
    <text>As per New Base of 2016 with base conversion factor of 2.88</text>
  </threadedComment>
  <threadedComment ref="H40" dT="2023-11-22T09:33:11.05" personId="{12138BE3-2ECF-4EE7-BB91-FBF03A552068}" id="{68D00D5E-4453-4057-92B7-1743EFC6B902}">
    <text>As per New Base of 2016 with base conversion factor of 2.88</text>
  </threadedComment>
  <threadedComment ref="I40" dT="2023-11-22T09:33:11.05" personId="{12138BE3-2ECF-4EE7-BB91-FBF03A552068}" id="{809AB655-0F6B-49C8-B1F8-D4E7FFC77C88}">
    <text>As per New Base of 2016 with base conversion factor of 2.88</text>
  </threadedComment>
  <threadedComment ref="J40" dT="2023-11-22T09:33:11.05" personId="{12138BE3-2ECF-4EE7-BB91-FBF03A552068}" id="{E9D4FF8B-6AD4-40B4-8519-154015332FEE}">
    <text>As per New Base of 2016 with base conversion factor of 2.88</text>
  </threadedComment>
  <threadedComment ref="K40" dT="2023-11-22T09:33:11.05" personId="{12138BE3-2ECF-4EE7-BB91-FBF03A552068}" id="{E6BA33F2-DE6B-4519-9181-07E60BD0BFB1}">
    <text>As per New Base of 2016 with base conversion factor of 2.88</text>
  </threadedComment>
  <threadedComment ref="L40" dT="2023-11-22T09:33:11.05" personId="{12138BE3-2ECF-4EE7-BB91-FBF03A552068}" id="{4C7DC78F-1F47-4AC2-BF3F-94FC1D0D567E}">
    <text>As per New Base of 2016 with base conversion factor of 2.88</text>
  </threadedComment>
  <threadedComment ref="M40" dT="2023-11-22T09:33:11.05" personId="{12138BE3-2ECF-4EE7-BB91-FBF03A552068}" id="{B5A6038B-EC8D-4CBE-91B8-8F3C7C1E11B5}">
    <text>As per New Base of 2016 with base conversion factor of 2.88</text>
  </threadedComment>
  <threadedComment ref="N40" dT="2023-11-22T09:33:11.05" personId="{12138BE3-2ECF-4EE7-BB91-FBF03A552068}" id="{66D6B6F9-C117-4688-A930-E275A49329F0}">
    <text>As per New Base of 2016 with base conversion factor of 2.88</text>
  </threadedComment>
  <threadedComment ref="O40" dT="2023-11-22T09:33:11.05" personId="{12138BE3-2ECF-4EE7-BB91-FBF03A552068}" id="{5C9CB8E4-C0A8-449C-AFA6-773BE7CBB7E5}">
    <text>As per New Base of 2016 with base conversion factor of 2.88</text>
  </threadedComment>
  <threadedComment ref="D41" dT="2023-11-22T09:33:11.05" personId="{12138BE3-2ECF-4EE7-BB91-FBF03A552068}" id="{46202196-0233-44F4-95BC-5D84FD6B5517}">
    <text>As per New Base of 2016 with base conversion factor of 2.88</text>
  </threadedComment>
  <threadedComment ref="E41" dT="2023-11-22T09:33:11.05" personId="{12138BE3-2ECF-4EE7-BB91-FBF03A552068}" id="{7A35137D-7BD0-4F2C-B457-3DEDC0F75349}">
    <text>As per New Base of 2016 with base conversion factor of 2.88</text>
  </threadedComment>
  <threadedComment ref="F41" dT="2023-11-22T09:33:11.05" personId="{12138BE3-2ECF-4EE7-BB91-FBF03A552068}" id="{5F3A4167-7031-469D-BE0A-89DCC1387336}">
    <text>As per New Base of 2016 with base conversion factor of 2.88</text>
  </threadedComment>
  <threadedComment ref="G41" dT="2023-11-22T09:33:11.05" personId="{12138BE3-2ECF-4EE7-BB91-FBF03A552068}" id="{EDCA7411-F725-45B9-B78B-990C9D15E202}">
    <text>As per New Base of 2016 with base conversion factor of 2.88</text>
  </threadedComment>
  <threadedComment ref="H41" dT="2023-11-22T09:33:11.05" personId="{12138BE3-2ECF-4EE7-BB91-FBF03A552068}" id="{D0B5A43C-FBC3-449D-B443-AB6925899F91}">
    <text>As per New Base of 2016 with base conversion factor of 2.88</text>
  </threadedComment>
  <threadedComment ref="I41" dT="2023-11-22T09:33:11.05" personId="{12138BE3-2ECF-4EE7-BB91-FBF03A552068}" id="{DDD275C0-EFD3-4BBF-9560-B8B2DFF1E77F}">
    <text>As per New Base of 2016 with base conversion factor of 2.88</text>
  </threadedComment>
  <threadedComment ref="J41" dT="2023-11-22T09:33:11.05" personId="{12138BE3-2ECF-4EE7-BB91-FBF03A552068}" id="{37B235C8-14BD-4323-9782-501BD37F47F9}">
    <text>As per New Base of 2016 with base conversion factor of 2.88</text>
  </threadedComment>
  <threadedComment ref="K41" dT="2023-11-22T09:33:11.05" personId="{12138BE3-2ECF-4EE7-BB91-FBF03A552068}" id="{8609563A-9EB4-4E78-BA28-A0B6BB186096}">
    <text>As per New Base of 2016 with base conversion factor of 2.88</text>
  </threadedComment>
  <threadedComment ref="L41" dT="2023-11-22T09:33:11.05" personId="{12138BE3-2ECF-4EE7-BB91-FBF03A552068}" id="{84162EF1-4E86-4313-9248-4ED638220360}">
    <text>As per New Base of 2016 with base conversion factor of 2.88</text>
  </threadedComment>
  <threadedComment ref="M41" dT="2023-11-22T09:33:11.05" personId="{12138BE3-2ECF-4EE7-BB91-FBF03A552068}" id="{1B69A527-6DE8-49FC-A4CD-EAB12EF71E39}">
    <text>As per New Base of 2016 with base conversion factor of 2.88</text>
  </threadedComment>
  <threadedComment ref="N41" dT="2023-11-22T09:33:11.05" personId="{12138BE3-2ECF-4EE7-BB91-FBF03A552068}" id="{8B3432E9-EDB9-42A9-9F19-50DE5906BEA8}">
    <text>As per New Base of 2016 with base conversion factor of 2.88</text>
  </threadedComment>
  <threadedComment ref="O41" dT="2023-11-22T09:33:11.05" personId="{12138BE3-2ECF-4EE7-BB91-FBF03A552068}" id="{1A273C0C-9B45-4877-9919-0B544B8C59EB}">
    <text>As per New Base of 2016 with base conversion factor of 2.88</text>
  </threadedComment>
</ThreadedComments>
</file>

<file path=xl/threadedComments/threadedComment2.xml><?xml version="1.0" encoding="utf-8"?>
<ThreadedComments xmlns="http://schemas.microsoft.com/office/spreadsheetml/2018/threadedcomments" xmlns:x="http://schemas.openxmlformats.org/spreadsheetml/2006/main">
  <threadedComment ref="T93" dT="2025-07-05T10:10:01.06" personId="{9F85B07D-B526-4CDA-98AC-984ECF677AAA}" id="{D42BD18A-879D-4186-BEA7-1F20FE13B7F6}">
    <text xml:space="preserve">Wht is the reimbursement of expenses </text>
  </threadedComment>
  <threadedComment ref="N134" dT="2025-07-05T09:40:41.13" personId="{9F85B07D-B526-4CDA-98AC-984ECF677AAA}" id="{09908DA9-BC10-43D2-A104-A46FFE7F6D41}">
    <text>Trading margin included</text>
  </threadedComment>
</ThreadedComments>
</file>

<file path=xl/threadedComments/threadedComment3.xml><?xml version="1.0" encoding="utf-8"?>
<ThreadedComments xmlns="http://schemas.microsoft.com/office/spreadsheetml/2018/threadedcomments" xmlns:x="http://schemas.openxmlformats.org/spreadsheetml/2006/main">
  <threadedComment ref="G201" dT="2026-01-30T17:34:15.53" personId="{9F85B07D-B526-4CDA-98AC-984ECF677AAA}" id="{8F7426E7-8A54-404F-80E2-81B1E13FC767}">
    <text>Post rebate claimed</text>
  </threadedComment>
  <threadedComment ref="G250" dT="2026-01-30T17:34:15.53" personId="{9F85B07D-B526-4CDA-98AC-984ECF677AAA}" id="{E9C54F85-15EF-4FC6-9982-8852D3F3A761}">
    <text>Post rebate claimed</text>
  </threadedComment>
  <threadedComment ref="G283" dT="2026-01-30T17:34:15.53" personId="{9F85B07D-B526-4CDA-98AC-984ECF677AAA}" id="{C0744BEA-D62D-45D6-8483-015442989807}">
    <text>Post rebate claimed</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labourbureau.gov.in/all-india-general-index-1" TargetMode="External"/><Relationship Id="rId2" Type="http://schemas.openxmlformats.org/officeDocument/2006/relationships/hyperlink" Target="http://labourbureau.gov.in/LBO_indexes.htm" TargetMode="External"/><Relationship Id="rId1" Type="http://schemas.openxmlformats.org/officeDocument/2006/relationships/hyperlink" Target="https://eaindustry.nic.in/download_data_1112.asp"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6.bin"/><Relationship Id="rId4" Type="http://schemas.microsoft.com/office/2017/10/relationships/threadedComment" Target="../threadedComments/threadedComment3.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D0B55-C009-4E54-B1AF-D2A19EFA5687}">
  <sheetPr>
    <tabColor theme="4"/>
  </sheetPr>
  <dimension ref="C3:Q104"/>
  <sheetViews>
    <sheetView showGridLines="0" topLeftCell="B60" workbookViewId="0">
      <selection activeCell="G74" sqref="G74"/>
    </sheetView>
  </sheetViews>
  <sheetFormatPr defaultColWidth="9.1328125" defaultRowHeight="13.15" x14ac:dyDescent="0.4"/>
  <cols>
    <col min="1" max="1" width="10.1328125" style="926" customWidth="1"/>
    <col min="2" max="2" width="19.33203125" style="926" customWidth="1"/>
    <col min="3" max="3" width="26" style="926" customWidth="1"/>
    <col min="4" max="4" width="10.1328125" style="926" customWidth="1"/>
    <col min="5" max="5" width="11.33203125" style="926" customWidth="1"/>
    <col min="6" max="6" width="10.1328125" style="926" customWidth="1"/>
    <col min="7" max="7" width="12.33203125" style="926" customWidth="1"/>
    <col min="8" max="8" width="10.1328125" style="926" customWidth="1"/>
    <col min="9" max="9" width="13.46484375" style="926" bestFit="1" customWidth="1"/>
    <col min="10" max="10" width="10.1328125" style="926" customWidth="1"/>
    <col min="11" max="11" width="13.1328125" style="926" customWidth="1"/>
    <col min="12" max="12" width="12.33203125" style="926" customWidth="1"/>
    <col min="13" max="15" width="10.1328125" style="926" customWidth="1"/>
    <col min="16" max="16" width="11.33203125" style="926" bestFit="1" customWidth="1"/>
    <col min="17" max="16384" width="9.1328125" style="926"/>
  </cols>
  <sheetData>
    <row r="3" spans="3:17" x14ac:dyDescent="0.4">
      <c r="D3" s="927"/>
      <c r="E3" s="927"/>
      <c r="F3" s="927"/>
      <c r="G3" s="927"/>
      <c r="H3" s="928"/>
      <c r="I3" s="928"/>
    </row>
    <row r="4" spans="3:17" x14ac:dyDescent="0.4">
      <c r="D4" s="927"/>
      <c r="E4" s="927"/>
      <c r="F4" s="927"/>
      <c r="G4" s="927"/>
      <c r="H4" s="927"/>
      <c r="I4" s="927"/>
    </row>
    <row r="5" spans="3:17" x14ac:dyDescent="0.4">
      <c r="C5" s="1890" t="s">
        <v>1357</v>
      </c>
      <c r="D5" s="1890"/>
      <c r="E5" s="1890"/>
      <c r="F5" s="1890"/>
      <c r="G5" s="1890"/>
      <c r="H5" s="1890"/>
      <c r="I5" s="1890"/>
      <c r="J5" s="1890"/>
      <c r="K5" s="1890"/>
      <c r="L5" s="1890"/>
      <c r="M5" s="1890"/>
      <c r="N5" s="1890"/>
      <c r="O5" s="1890"/>
      <c r="P5" s="1890"/>
    </row>
    <row r="6" spans="3:17" x14ac:dyDescent="0.4">
      <c r="C6" s="929" t="s">
        <v>1358</v>
      </c>
      <c r="D6" s="929" t="s">
        <v>1155</v>
      </c>
      <c r="E6" s="929" t="s">
        <v>173</v>
      </c>
      <c r="F6" s="929" t="s">
        <v>1156</v>
      </c>
      <c r="G6" s="929" t="s">
        <v>1157</v>
      </c>
      <c r="H6" s="929" t="s">
        <v>1158</v>
      </c>
      <c r="I6" s="929" t="s">
        <v>1159</v>
      </c>
      <c r="J6" s="929" t="s">
        <v>1160</v>
      </c>
      <c r="K6" s="929" t="s">
        <v>1161</v>
      </c>
      <c r="L6" s="929" t="s">
        <v>1162</v>
      </c>
      <c r="M6" s="929" t="s">
        <v>1163</v>
      </c>
      <c r="N6" s="929" t="s">
        <v>1164</v>
      </c>
      <c r="O6" s="929" t="s">
        <v>1165</v>
      </c>
      <c r="P6" s="929" t="s">
        <v>1359</v>
      </c>
    </row>
    <row r="7" spans="3:17" x14ac:dyDescent="0.4">
      <c r="C7" s="930" t="s">
        <v>856</v>
      </c>
      <c r="D7" s="931">
        <v>104.7</v>
      </c>
      <c r="E7" s="931">
        <v>105.3</v>
      </c>
      <c r="F7" s="931">
        <v>105.3</v>
      </c>
      <c r="G7" s="931">
        <v>106.2</v>
      </c>
      <c r="H7" s="931">
        <v>106.9</v>
      </c>
      <c r="I7" s="931">
        <v>107.6</v>
      </c>
      <c r="J7" s="931">
        <v>107.4</v>
      </c>
      <c r="K7" s="931">
        <v>107.3</v>
      </c>
      <c r="L7" s="931">
        <v>107.1</v>
      </c>
      <c r="M7" s="931">
        <v>108</v>
      </c>
      <c r="N7" s="931">
        <v>108.4</v>
      </c>
      <c r="O7" s="931">
        <v>108.6</v>
      </c>
      <c r="P7" s="932">
        <f t="shared" ref="P7:P16" si="0">AVERAGE(D7:O7)</f>
        <v>106.89999999999999</v>
      </c>
    </row>
    <row r="8" spans="3:17" x14ac:dyDescent="0.4">
      <c r="C8" s="930" t="s">
        <v>857</v>
      </c>
      <c r="D8" s="931">
        <v>108.6</v>
      </c>
      <c r="E8" s="931">
        <v>108.6</v>
      </c>
      <c r="F8" s="931">
        <v>110.1</v>
      </c>
      <c r="G8" s="931">
        <v>111.2</v>
      </c>
      <c r="H8" s="931">
        <v>112.9</v>
      </c>
      <c r="I8" s="931">
        <v>114.3</v>
      </c>
      <c r="J8" s="931">
        <v>114.6</v>
      </c>
      <c r="K8" s="931">
        <v>114.3</v>
      </c>
      <c r="L8" s="931">
        <v>113.4</v>
      </c>
      <c r="M8" s="931">
        <v>113.6</v>
      </c>
      <c r="N8" s="931">
        <v>113.6</v>
      </c>
      <c r="O8" s="931">
        <v>114.3</v>
      </c>
      <c r="P8" s="932">
        <f t="shared" si="0"/>
        <v>112.45833333333331</v>
      </c>
      <c r="Q8" s="933"/>
    </row>
    <row r="9" spans="3:17" x14ac:dyDescent="0.4">
      <c r="C9" s="930" t="s">
        <v>858</v>
      </c>
      <c r="D9" s="931">
        <v>114.1</v>
      </c>
      <c r="E9" s="931">
        <v>114.8</v>
      </c>
      <c r="F9" s="931">
        <v>115.2</v>
      </c>
      <c r="G9" s="931">
        <v>116.7</v>
      </c>
      <c r="H9" s="931">
        <v>117.2</v>
      </c>
      <c r="I9" s="931">
        <v>116.4</v>
      </c>
      <c r="J9" s="931">
        <v>115.6</v>
      </c>
      <c r="K9" s="931">
        <v>114.1</v>
      </c>
      <c r="L9" s="931">
        <v>112.1</v>
      </c>
      <c r="M9" s="931">
        <v>110.8</v>
      </c>
      <c r="N9" s="931">
        <v>109.6</v>
      </c>
      <c r="O9" s="931">
        <v>109.9</v>
      </c>
      <c r="P9" s="932">
        <f t="shared" si="0"/>
        <v>113.875</v>
      </c>
      <c r="Q9" s="927"/>
    </row>
    <row r="10" spans="3:17" x14ac:dyDescent="0.4">
      <c r="C10" s="930" t="s">
        <v>859</v>
      </c>
      <c r="D10" s="931">
        <v>110.2</v>
      </c>
      <c r="E10" s="931">
        <v>111.4</v>
      </c>
      <c r="F10" s="931">
        <v>111.8</v>
      </c>
      <c r="G10" s="931">
        <v>111.1</v>
      </c>
      <c r="H10" s="931">
        <v>110</v>
      </c>
      <c r="I10" s="931">
        <v>109.9</v>
      </c>
      <c r="J10" s="931">
        <v>110.1</v>
      </c>
      <c r="K10" s="931">
        <v>109.9</v>
      </c>
      <c r="L10" s="931">
        <v>109.4</v>
      </c>
      <c r="M10" s="931">
        <v>108</v>
      </c>
      <c r="N10" s="931">
        <v>107.1</v>
      </c>
      <c r="O10" s="931">
        <v>107.7</v>
      </c>
      <c r="P10" s="932">
        <f t="shared" si="0"/>
        <v>109.71666666666665</v>
      </c>
      <c r="Q10" s="927"/>
    </row>
    <row r="11" spans="3:17" x14ac:dyDescent="0.4">
      <c r="C11" s="930" t="s">
        <v>860</v>
      </c>
      <c r="D11" s="931">
        <v>109</v>
      </c>
      <c r="E11" s="931">
        <v>110.4</v>
      </c>
      <c r="F11" s="931">
        <v>111.7</v>
      </c>
      <c r="G11" s="931">
        <v>111.8</v>
      </c>
      <c r="H11" s="931">
        <v>111.2</v>
      </c>
      <c r="I11" s="931">
        <v>111.4</v>
      </c>
      <c r="J11" s="931">
        <v>111.5</v>
      </c>
      <c r="K11" s="931">
        <v>111.9</v>
      </c>
      <c r="L11" s="931">
        <v>111.7</v>
      </c>
      <c r="M11" s="931">
        <v>112.6</v>
      </c>
      <c r="N11" s="931">
        <v>113</v>
      </c>
      <c r="O11" s="931">
        <v>113.2</v>
      </c>
      <c r="P11" s="932">
        <f t="shared" si="0"/>
        <v>111.61666666666667</v>
      </c>
      <c r="Q11" s="927"/>
    </row>
    <row r="12" spans="3:17" x14ac:dyDescent="0.4">
      <c r="C12" s="934" t="s">
        <v>861</v>
      </c>
      <c r="D12" s="931">
        <v>113.2</v>
      </c>
      <c r="E12" s="931">
        <v>112.9</v>
      </c>
      <c r="F12" s="931">
        <v>112.7</v>
      </c>
      <c r="G12" s="931">
        <v>113.9</v>
      </c>
      <c r="H12" s="931">
        <v>114.8</v>
      </c>
      <c r="I12" s="931">
        <v>114.9</v>
      </c>
      <c r="J12" s="931">
        <v>115.6</v>
      </c>
      <c r="K12" s="931">
        <v>116.4</v>
      </c>
      <c r="L12" s="931">
        <v>115.7</v>
      </c>
      <c r="M12" s="931">
        <v>116</v>
      </c>
      <c r="N12" s="931">
        <v>116.1</v>
      </c>
      <c r="O12" s="931">
        <v>116.3</v>
      </c>
      <c r="P12" s="932">
        <f t="shared" si="0"/>
        <v>114.87499999999999</v>
      </c>
      <c r="Q12" s="927"/>
    </row>
    <row r="13" spans="3:17" x14ac:dyDescent="0.4">
      <c r="C13" s="934" t="s">
        <v>862</v>
      </c>
      <c r="D13" s="935">
        <v>117.3</v>
      </c>
      <c r="E13" s="935">
        <v>118.3</v>
      </c>
      <c r="F13" s="935">
        <v>119.1</v>
      </c>
      <c r="G13" s="935">
        <v>119.9</v>
      </c>
      <c r="H13" s="935">
        <v>120.1</v>
      </c>
      <c r="I13" s="935">
        <v>120.9</v>
      </c>
      <c r="J13" s="935">
        <v>122</v>
      </c>
      <c r="K13" s="935">
        <v>121.6</v>
      </c>
      <c r="L13" s="935">
        <v>119.7</v>
      </c>
      <c r="M13" s="935">
        <v>119.2</v>
      </c>
      <c r="N13" s="935">
        <v>119.5</v>
      </c>
      <c r="O13" s="935">
        <v>119.9</v>
      </c>
      <c r="P13" s="932">
        <f t="shared" si="0"/>
        <v>119.79166666666669</v>
      </c>
      <c r="Q13" s="927"/>
    </row>
    <row r="14" spans="3:17" x14ac:dyDescent="0.4">
      <c r="C14" s="934" t="s">
        <v>865</v>
      </c>
      <c r="D14" s="935">
        <v>121.1</v>
      </c>
      <c r="E14" s="935">
        <v>121.6</v>
      </c>
      <c r="F14" s="935">
        <v>121.5</v>
      </c>
      <c r="G14" s="935">
        <v>121.3</v>
      </c>
      <c r="H14" s="935">
        <v>121.5</v>
      </c>
      <c r="I14" s="935">
        <v>121.3</v>
      </c>
      <c r="J14" s="935">
        <v>122</v>
      </c>
      <c r="K14" s="935">
        <v>122.3</v>
      </c>
      <c r="L14" s="935">
        <v>123</v>
      </c>
      <c r="M14" s="935">
        <v>123.4</v>
      </c>
      <c r="N14" s="935">
        <v>122.2</v>
      </c>
      <c r="O14" s="935">
        <v>120.4</v>
      </c>
      <c r="P14" s="932">
        <f t="shared" si="0"/>
        <v>121.80000000000001</v>
      </c>
    </row>
    <row r="15" spans="3:17" x14ac:dyDescent="0.4">
      <c r="C15" s="934" t="s">
        <v>866</v>
      </c>
      <c r="D15" s="936">
        <v>119.2</v>
      </c>
      <c r="E15" s="936">
        <v>117.5</v>
      </c>
      <c r="F15" s="936">
        <v>119.3</v>
      </c>
      <c r="G15" s="936">
        <v>121</v>
      </c>
      <c r="H15" s="936">
        <v>122</v>
      </c>
      <c r="I15" s="936">
        <v>122.9</v>
      </c>
      <c r="J15" s="936">
        <v>123.6</v>
      </c>
      <c r="K15" s="936">
        <v>125.1</v>
      </c>
      <c r="L15" s="936">
        <v>125.4</v>
      </c>
      <c r="M15" s="936">
        <v>126.5</v>
      </c>
      <c r="N15" s="936">
        <v>128.1</v>
      </c>
      <c r="O15" s="936">
        <v>129.9</v>
      </c>
      <c r="P15" s="937">
        <f t="shared" si="0"/>
        <v>123.375</v>
      </c>
    </row>
    <row r="16" spans="3:17" x14ac:dyDescent="0.4">
      <c r="C16" s="934" t="s">
        <v>867</v>
      </c>
      <c r="D16" s="938">
        <v>132</v>
      </c>
      <c r="E16" s="938">
        <v>132.9</v>
      </c>
      <c r="F16" s="938">
        <v>133.69999999999999</v>
      </c>
      <c r="G16" s="938">
        <v>135</v>
      </c>
      <c r="H16" s="938">
        <v>136.19999999999999</v>
      </c>
      <c r="I16" s="938">
        <v>137.4</v>
      </c>
      <c r="J16" s="938">
        <v>140.69999999999999</v>
      </c>
      <c r="K16" s="938">
        <v>143.69999999999999</v>
      </c>
      <c r="L16" s="938">
        <v>143.30000000000001</v>
      </c>
      <c r="M16" s="938">
        <v>143.80000000000001</v>
      </c>
      <c r="N16" s="938">
        <v>145.30000000000001</v>
      </c>
      <c r="O16" s="938">
        <v>148.9</v>
      </c>
      <c r="P16" s="937">
        <f t="shared" si="0"/>
        <v>139.40833333333333</v>
      </c>
    </row>
    <row r="17" spans="3:16" x14ac:dyDescent="0.4">
      <c r="C17" s="934" t="s">
        <v>868</v>
      </c>
      <c r="D17" s="939">
        <v>152.30000000000001</v>
      </c>
      <c r="E17" s="939">
        <v>155</v>
      </c>
      <c r="F17" s="939">
        <v>155.4</v>
      </c>
      <c r="G17" s="939">
        <v>154</v>
      </c>
      <c r="H17" s="939">
        <v>153.19999999999999</v>
      </c>
      <c r="I17" s="939">
        <v>151.9</v>
      </c>
      <c r="J17" s="939">
        <v>152.9</v>
      </c>
      <c r="K17" s="939">
        <v>152.5</v>
      </c>
      <c r="L17" s="939">
        <v>150.5</v>
      </c>
      <c r="M17" s="939">
        <v>150.69999999999999</v>
      </c>
      <c r="N17" s="939">
        <v>150.9</v>
      </c>
      <c r="O17" s="939">
        <v>151</v>
      </c>
      <c r="P17" s="937">
        <f>AVERAGE(D17:O17)</f>
        <v>152.52500000000001</v>
      </c>
    </row>
    <row r="18" spans="3:16" x14ac:dyDescent="0.4">
      <c r="C18" s="934" t="s">
        <v>869</v>
      </c>
      <c r="D18" s="939">
        <v>151.1</v>
      </c>
      <c r="E18" s="939">
        <v>149.4</v>
      </c>
      <c r="F18" s="939">
        <v>148.9</v>
      </c>
      <c r="G18" s="939">
        <v>152.1</v>
      </c>
      <c r="H18" s="939">
        <v>152.5</v>
      </c>
      <c r="I18" s="939">
        <v>151.80000000000001</v>
      </c>
      <c r="J18" s="939">
        <v>152.5</v>
      </c>
      <c r="K18" s="939">
        <v>153.1</v>
      </c>
      <c r="L18" s="939">
        <v>151.80000000000001</v>
      </c>
      <c r="M18" s="939">
        <v>151.19999999999999</v>
      </c>
      <c r="N18" s="939">
        <v>151.19999999999999</v>
      </c>
      <c r="O18" s="939">
        <v>151.4</v>
      </c>
      <c r="P18" s="937">
        <f>AVERAGE(D18:O18)</f>
        <v>151.41666666666666</v>
      </c>
    </row>
    <row r="19" spans="3:16" x14ac:dyDescent="0.4">
      <c r="C19" s="934" t="s">
        <v>870</v>
      </c>
      <c r="D19" s="939">
        <v>152.9</v>
      </c>
      <c r="E19" s="939">
        <v>153.5</v>
      </c>
      <c r="F19" s="939">
        <v>154</v>
      </c>
      <c r="G19" s="939">
        <v>155.30000000000001</v>
      </c>
      <c r="H19" s="939">
        <v>154.4</v>
      </c>
      <c r="I19" s="939">
        <v>154.69999999999999</v>
      </c>
      <c r="J19" s="939">
        <v>156.69999999999999</v>
      </c>
      <c r="K19" s="939">
        <v>156.4</v>
      </c>
      <c r="L19" s="939">
        <v>155.69999999999999</v>
      </c>
      <c r="M19" s="939">
        <v>155</v>
      </c>
      <c r="N19" s="939">
        <v>154.9</v>
      </c>
      <c r="O19" s="939">
        <v>154.80000000000001</v>
      </c>
      <c r="P19" s="937">
        <f>AVERAGE(D19:O19)</f>
        <v>154.85833333333335</v>
      </c>
    </row>
    <row r="20" spans="3:16" x14ac:dyDescent="0.4">
      <c r="C20" s="940"/>
      <c r="D20" s="941"/>
      <c r="E20" s="941"/>
      <c r="F20" s="941"/>
      <c r="G20" s="941"/>
      <c r="H20" s="941"/>
      <c r="I20" s="941"/>
      <c r="J20" s="941"/>
      <c r="K20" s="941"/>
      <c r="L20" s="941"/>
      <c r="M20" s="941"/>
      <c r="N20" s="941"/>
      <c r="O20" s="941"/>
      <c r="P20" s="942"/>
    </row>
    <row r="21" spans="3:16" x14ac:dyDescent="0.4">
      <c r="C21" s="1890" t="s">
        <v>1360</v>
      </c>
      <c r="D21" s="1890"/>
      <c r="E21" s="1890"/>
      <c r="F21" s="1890"/>
      <c r="G21" s="1890"/>
      <c r="H21" s="1890"/>
      <c r="I21" s="1890"/>
      <c r="J21" s="1890"/>
      <c r="K21" s="1890"/>
      <c r="L21" s="1890"/>
      <c r="M21" s="1890"/>
      <c r="N21" s="1890"/>
      <c r="O21" s="1890"/>
      <c r="P21" s="1890"/>
    </row>
    <row r="22" spans="3:16" x14ac:dyDescent="0.4">
      <c r="C22" s="929" t="s">
        <v>1358</v>
      </c>
      <c r="D22" s="929" t="s">
        <v>1155</v>
      </c>
      <c r="E22" s="929" t="s">
        <v>173</v>
      </c>
      <c r="F22" s="929" t="s">
        <v>1156</v>
      </c>
      <c r="G22" s="929" t="s">
        <v>1157</v>
      </c>
      <c r="H22" s="929" t="s">
        <v>1158</v>
      </c>
      <c r="I22" s="929" t="s">
        <v>1159</v>
      </c>
      <c r="J22" s="929" t="s">
        <v>1160</v>
      </c>
      <c r="K22" s="929" t="s">
        <v>1161</v>
      </c>
      <c r="L22" s="929" t="s">
        <v>1162</v>
      </c>
      <c r="M22" s="929" t="s">
        <v>1163</v>
      </c>
      <c r="N22" s="929" t="s">
        <v>1164</v>
      </c>
      <c r="O22" s="929" t="s">
        <v>1165</v>
      </c>
      <c r="P22" s="929" t="s">
        <v>1359</v>
      </c>
    </row>
    <row r="23" spans="3:16" x14ac:dyDescent="0.4">
      <c r="C23" s="943" t="s">
        <v>1361</v>
      </c>
      <c r="D23" s="944">
        <v>120</v>
      </c>
      <c r="E23" s="944">
        <v>121</v>
      </c>
      <c r="F23" s="944">
        <v>123</v>
      </c>
      <c r="G23" s="944">
        <v>124</v>
      </c>
      <c r="H23" s="944">
        <v>124</v>
      </c>
      <c r="I23" s="944">
        <v>125</v>
      </c>
      <c r="J23" s="944">
        <v>127</v>
      </c>
      <c r="K23" s="944">
        <v>127</v>
      </c>
      <c r="L23" s="944">
        <v>127</v>
      </c>
      <c r="M23" s="944">
        <v>127</v>
      </c>
      <c r="N23" s="944">
        <v>128</v>
      </c>
      <c r="O23" s="944">
        <v>127</v>
      </c>
      <c r="P23" s="932">
        <f t="shared" ref="P23:P35" si="1">AVERAGE(D23:O23)</f>
        <v>125</v>
      </c>
    </row>
    <row r="24" spans="3:16" x14ac:dyDescent="0.4">
      <c r="C24" s="943" t="s">
        <v>1362</v>
      </c>
      <c r="D24" s="944">
        <v>128</v>
      </c>
      <c r="E24" s="944">
        <v>129</v>
      </c>
      <c r="F24" s="944">
        <v>130</v>
      </c>
      <c r="G24" s="944">
        <v>132</v>
      </c>
      <c r="H24" s="944">
        <v>133</v>
      </c>
      <c r="I24" s="944">
        <v>133</v>
      </c>
      <c r="J24" s="944">
        <v>134</v>
      </c>
      <c r="K24" s="944">
        <v>134</v>
      </c>
      <c r="L24" s="944">
        <v>134</v>
      </c>
      <c r="M24" s="944">
        <v>134</v>
      </c>
      <c r="N24" s="944">
        <v>135</v>
      </c>
      <c r="O24" s="944">
        <v>137</v>
      </c>
      <c r="P24" s="932">
        <f t="shared" si="1"/>
        <v>132.75</v>
      </c>
    </row>
    <row r="25" spans="3:16" x14ac:dyDescent="0.4">
      <c r="C25" s="943" t="s">
        <v>1363</v>
      </c>
      <c r="D25" s="944">
        <v>138</v>
      </c>
      <c r="E25" s="944">
        <v>139</v>
      </c>
      <c r="F25" s="944">
        <v>140</v>
      </c>
      <c r="G25" s="944">
        <v>143</v>
      </c>
      <c r="H25" s="944">
        <v>145</v>
      </c>
      <c r="I25" s="944">
        <v>146</v>
      </c>
      <c r="J25" s="944">
        <v>148</v>
      </c>
      <c r="K25" s="944">
        <v>148</v>
      </c>
      <c r="L25" s="944">
        <v>147</v>
      </c>
      <c r="M25" s="944">
        <v>148</v>
      </c>
      <c r="N25" s="944">
        <v>148</v>
      </c>
      <c r="O25" s="944">
        <v>148</v>
      </c>
      <c r="P25" s="932">
        <f t="shared" si="1"/>
        <v>144.83333333333334</v>
      </c>
    </row>
    <row r="26" spans="3:16" x14ac:dyDescent="0.4">
      <c r="C26" s="943" t="s">
        <v>1364</v>
      </c>
      <c r="D26" s="944">
        <v>150</v>
      </c>
      <c r="E26" s="944">
        <v>151</v>
      </c>
      <c r="F26" s="944">
        <v>153</v>
      </c>
      <c r="G26" s="944">
        <v>160</v>
      </c>
      <c r="H26" s="944">
        <v>162</v>
      </c>
      <c r="I26" s="944">
        <v>163</v>
      </c>
      <c r="J26" s="944">
        <v>165</v>
      </c>
      <c r="K26" s="944">
        <v>168</v>
      </c>
      <c r="L26" s="944">
        <v>169</v>
      </c>
      <c r="M26" s="944">
        <v>172</v>
      </c>
      <c r="N26" s="944">
        <v>170</v>
      </c>
      <c r="O26" s="944">
        <v>170</v>
      </c>
      <c r="P26" s="932">
        <f t="shared" si="1"/>
        <v>162.75</v>
      </c>
    </row>
    <row r="27" spans="3:16" x14ac:dyDescent="0.4">
      <c r="C27" s="943" t="s">
        <v>1365</v>
      </c>
      <c r="D27" s="944">
        <v>170</v>
      </c>
      <c r="E27" s="944">
        <v>172</v>
      </c>
      <c r="F27" s="944">
        <v>174</v>
      </c>
      <c r="G27" s="944">
        <v>178</v>
      </c>
      <c r="H27" s="944">
        <v>178</v>
      </c>
      <c r="I27" s="944">
        <v>179</v>
      </c>
      <c r="J27" s="944">
        <v>181</v>
      </c>
      <c r="K27" s="944">
        <v>182</v>
      </c>
      <c r="L27" s="944">
        <v>185</v>
      </c>
      <c r="M27" s="944">
        <v>188</v>
      </c>
      <c r="N27" s="944">
        <v>185</v>
      </c>
      <c r="O27" s="944">
        <v>185</v>
      </c>
      <c r="P27" s="932">
        <f t="shared" si="1"/>
        <v>179.75</v>
      </c>
    </row>
    <row r="28" spans="3:16" x14ac:dyDescent="0.4">
      <c r="C28" s="943" t="s">
        <v>1366</v>
      </c>
      <c r="D28" s="944">
        <v>186</v>
      </c>
      <c r="E28" s="944">
        <v>187</v>
      </c>
      <c r="F28" s="944">
        <v>189</v>
      </c>
      <c r="G28" s="944">
        <v>193</v>
      </c>
      <c r="H28" s="944">
        <v>194</v>
      </c>
      <c r="I28" s="944">
        <v>197</v>
      </c>
      <c r="J28" s="944">
        <v>198</v>
      </c>
      <c r="K28" s="944">
        <v>199</v>
      </c>
      <c r="L28" s="944">
        <v>197</v>
      </c>
      <c r="M28" s="944">
        <v>198</v>
      </c>
      <c r="N28" s="944">
        <v>199</v>
      </c>
      <c r="O28" s="944">
        <v>201</v>
      </c>
      <c r="P28" s="932">
        <f t="shared" si="1"/>
        <v>194.83333333333334</v>
      </c>
    </row>
    <row r="29" spans="3:16" x14ac:dyDescent="0.4">
      <c r="C29" s="930" t="s">
        <v>856</v>
      </c>
      <c r="D29" s="944">
        <v>205</v>
      </c>
      <c r="E29" s="944">
        <v>206</v>
      </c>
      <c r="F29" s="944">
        <v>208</v>
      </c>
      <c r="G29" s="944">
        <v>212</v>
      </c>
      <c r="H29" s="944">
        <v>214</v>
      </c>
      <c r="I29" s="944">
        <v>215</v>
      </c>
      <c r="J29" s="944">
        <v>217</v>
      </c>
      <c r="K29" s="944">
        <v>218</v>
      </c>
      <c r="L29" s="944">
        <v>219</v>
      </c>
      <c r="M29" s="944">
        <v>221</v>
      </c>
      <c r="N29" s="944">
        <v>223</v>
      </c>
      <c r="O29" s="944">
        <v>224</v>
      </c>
      <c r="P29" s="932">
        <f t="shared" si="1"/>
        <v>215.16666666666666</v>
      </c>
    </row>
    <row r="30" spans="3:16" x14ac:dyDescent="0.4">
      <c r="C30" s="930" t="s">
        <v>857</v>
      </c>
      <c r="D30" s="944">
        <v>226</v>
      </c>
      <c r="E30" s="944">
        <v>228</v>
      </c>
      <c r="F30" s="944">
        <v>231</v>
      </c>
      <c r="G30" s="944">
        <v>235</v>
      </c>
      <c r="H30" s="944">
        <v>237</v>
      </c>
      <c r="I30" s="944">
        <v>238</v>
      </c>
      <c r="J30" s="944">
        <v>241</v>
      </c>
      <c r="K30" s="944">
        <v>243</v>
      </c>
      <c r="L30" s="944">
        <v>239</v>
      </c>
      <c r="M30" s="944">
        <v>237</v>
      </c>
      <c r="N30" s="944">
        <v>238</v>
      </c>
      <c r="O30" s="944">
        <v>239</v>
      </c>
      <c r="P30" s="932">
        <f t="shared" si="1"/>
        <v>236</v>
      </c>
    </row>
    <row r="31" spans="3:16" x14ac:dyDescent="0.4">
      <c r="C31" s="930" t="s">
        <v>858</v>
      </c>
      <c r="D31" s="944">
        <v>242</v>
      </c>
      <c r="E31" s="944">
        <v>244</v>
      </c>
      <c r="F31" s="944">
        <v>246</v>
      </c>
      <c r="G31" s="944">
        <v>252</v>
      </c>
      <c r="H31" s="944">
        <v>253</v>
      </c>
      <c r="I31" s="944">
        <v>253</v>
      </c>
      <c r="J31" s="944">
        <v>253</v>
      </c>
      <c r="K31" s="944">
        <v>253</v>
      </c>
      <c r="L31" s="944">
        <v>253</v>
      </c>
      <c r="M31" s="944">
        <v>254</v>
      </c>
      <c r="N31" s="944">
        <v>253</v>
      </c>
      <c r="O31" s="944">
        <v>254</v>
      </c>
      <c r="P31" s="932">
        <f t="shared" si="1"/>
        <v>250.83333333333334</v>
      </c>
    </row>
    <row r="32" spans="3:16" x14ac:dyDescent="0.4">
      <c r="C32" s="930" t="s">
        <v>859</v>
      </c>
      <c r="D32" s="944">
        <v>256</v>
      </c>
      <c r="E32" s="944">
        <v>258</v>
      </c>
      <c r="F32" s="944">
        <v>261</v>
      </c>
      <c r="G32" s="944">
        <v>263</v>
      </c>
      <c r="H32" s="944">
        <v>264</v>
      </c>
      <c r="I32" s="944">
        <v>266</v>
      </c>
      <c r="J32" s="944">
        <v>269</v>
      </c>
      <c r="K32" s="944">
        <v>270</v>
      </c>
      <c r="L32" s="944">
        <v>269</v>
      </c>
      <c r="M32" s="944">
        <v>269</v>
      </c>
      <c r="N32" s="944">
        <v>267</v>
      </c>
      <c r="O32" s="944">
        <v>268</v>
      </c>
      <c r="P32" s="932">
        <f t="shared" si="1"/>
        <v>265</v>
      </c>
    </row>
    <row r="33" spans="3:16" x14ac:dyDescent="0.4">
      <c r="C33" s="930" t="s">
        <v>860</v>
      </c>
      <c r="D33" s="944">
        <v>271</v>
      </c>
      <c r="E33" s="944">
        <v>275</v>
      </c>
      <c r="F33" s="944">
        <v>277</v>
      </c>
      <c r="G33" s="944">
        <v>280</v>
      </c>
      <c r="H33" s="944">
        <v>278</v>
      </c>
      <c r="I33" s="944">
        <v>277</v>
      </c>
      <c r="J33" s="944">
        <v>278</v>
      </c>
      <c r="K33" s="944">
        <v>277</v>
      </c>
      <c r="L33" s="944">
        <v>275</v>
      </c>
      <c r="M33" s="944">
        <v>274</v>
      </c>
      <c r="N33" s="944">
        <v>274</v>
      </c>
      <c r="O33" s="944">
        <v>275</v>
      </c>
      <c r="P33" s="932">
        <f t="shared" si="1"/>
        <v>275.91666666666669</v>
      </c>
    </row>
    <row r="34" spans="3:16" x14ac:dyDescent="0.4">
      <c r="C34" s="934" t="s">
        <v>861</v>
      </c>
      <c r="D34" s="944">
        <v>277</v>
      </c>
      <c r="E34" s="944">
        <v>278</v>
      </c>
      <c r="F34" s="944">
        <v>280</v>
      </c>
      <c r="G34" s="944">
        <v>285</v>
      </c>
      <c r="H34" s="944">
        <v>285</v>
      </c>
      <c r="I34" s="944">
        <v>285</v>
      </c>
      <c r="J34" s="944">
        <v>287</v>
      </c>
      <c r="K34" s="944">
        <v>288</v>
      </c>
      <c r="L34" s="944">
        <v>286</v>
      </c>
      <c r="M34" s="944">
        <v>288</v>
      </c>
      <c r="N34" s="944">
        <v>287</v>
      </c>
      <c r="O34" s="944">
        <v>287</v>
      </c>
      <c r="P34" s="932">
        <f t="shared" si="1"/>
        <v>284.41666666666669</v>
      </c>
    </row>
    <row r="35" spans="3:16" x14ac:dyDescent="0.4">
      <c r="C35" s="934" t="s">
        <v>862</v>
      </c>
      <c r="D35" s="944">
        <v>288</v>
      </c>
      <c r="E35" s="944">
        <v>289</v>
      </c>
      <c r="F35" s="944">
        <v>291</v>
      </c>
      <c r="G35" s="944">
        <v>301</v>
      </c>
      <c r="H35" s="944">
        <v>301</v>
      </c>
      <c r="I35" s="944">
        <v>301</v>
      </c>
      <c r="J35" s="944">
        <v>302</v>
      </c>
      <c r="K35" s="944">
        <v>302</v>
      </c>
      <c r="L35" s="944">
        <v>301</v>
      </c>
      <c r="M35" s="944">
        <v>307</v>
      </c>
      <c r="N35" s="944">
        <v>307</v>
      </c>
      <c r="O35" s="944">
        <v>309</v>
      </c>
      <c r="P35" s="932">
        <f t="shared" si="1"/>
        <v>299.91666666666669</v>
      </c>
    </row>
    <row r="36" spans="3:16" x14ac:dyDescent="0.4">
      <c r="C36" s="934" t="s">
        <v>865</v>
      </c>
      <c r="D36" s="944">
        <v>312</v>
      </c>
      <c r="E36" s="944">
        <v>314</v>
      </c>
      <c r="F36" s="944">
        <v>316</v>
      </c>
      <c r="G36" s="944">
        <v>319</v>
      </c>
      <c r="H36" s="944">
        <v>320</v>
      </c>
      <c r="I36" s="944">
        <v>322</v>
      </c>
      <c r="J36" s="944">
        <v>325</v>
      </c>
      <c r="K36" s="935">
        <v>328</v>
      </c>
      <c r="L36" s="935">
        <v>330</v>
      </c>
      <c r="M36" s="935">
        <v>330</v>
      </c>
      <c r="N36" s="945">
        <v>328</v>
      </c>
      <c r="O36" s="935">
        <v>326</v>
      </c>
      <c r="P36" s="932">
        <f t="shared" ref="P36:P41" si="2">AVERAGE(D36:O36)</f>
        <v>322.5</v>
      </c>
    </row>
    <row r="37" spans="3:16" x14ac:dyDescent="0.4">
      <c r="C37" s="934" t="s">
        <v>866</v>
      </c>
      <c r="D37" s="946">
        <v>329</v>
      </c>
      <c r="E37" s="946">
        <v>330</v>
      </c>
      <c r="F37" s="947">
        <v>332</v>
      </c>
      <c r="G37" s="947">
        <v>336</v>
      </c>
      <c r="H37" s="947">
        <v>338</v>
      </c>
      <c r="I37" s="948">
        <f t="shared" ref="I37:O41" si="3">I44*$D$50</f>
        <v>340.12799999999999</v>
      </c>
      <c r="J37" s="948">
        <f t="shared" si="3"/>
        <v>344.15999999999997</v>
      </c>
      <c r="K37" s="948">
        <f t="shared" si="3"/>
        <v>345.31200000000001</v>
      </c>
      <c r="L37" s="948">
        <f t="shared" si="3"/>
        <v>342.14400000000001</v>
      </c>
      <c r="M37" s="948">
        <f t="shared" si="3"/>
        <v>340.416</v>
      </c>
      <c r="N37" s="948">
        <f t="shared" si="3"/>
        <v>342.71999999999997</v>
      </c>
      <c r="O37" s="948">
        <f t="shared" si="3"/>
        <v>344.44799999999998</v>
      </c>
      <c r="P37" s="949">
        <f t="shared" si="2"/>
        <v>338.69399999999996</v>
      </c>
    </row>
    <row r="38" spans="3:16" x14ac:dyDescent="0.4">
      <c r="C38" s="934" t="s">
        <v>867</v>
      </c>
      <c r="D38" s="948">
        <f t="shared" ref="D38:H41" si="4">D45*$D$50</f>
        <v>345.88799999999998</v>
      </c>
      <c r="E38" s="948">
        <f t="shared" si="4"/>
        <v>347.32799999999997</v>
      </c>
      <c r="F38" s="948">
        <f t="shared" si="4"/>
        <v>350.49599999999998</v>
      </c>
      <c r="G38" s="948">
        <f t="shared" si="4"/>
        <v>353.66399999999999</v>
      </c>
      <c r="H38" s="948">
        <f t="shared" si="4"/>
        <v>354.24</v>
      </c>
      <c r="I38" s="948">
        <f t="shared" si="3"/>
        <v>355.10399999999998</v>
      </c>
      <c r="J38" s="948">
        <f t="shared" si="3"/>
        <v>359.71199999999999</v>
      </c>
      <c r="K38" s="948">
        <f t="shared" si="3"/>
        <v>362.01600000000002</v>
      </c>
      <c r="L38" s="948">
        <f t="shared" si="3"/>
        <v>361.15199999999999</v>
      </c>
      <c r="M38" s="948">
        <f t="shared" si="3"/>
        <v>360.28799999999995</v>
      </c>
      <c r="N38" s="948">
        <f t="shared" si="3"/>
        <v>360</v>
      </c>
      <c r="O38" s="948">
        <f t="shared" si="3"/>
        <v>362.88</v>
      </c>
      <c r="P38" s="937">
        <f t="shared" si="2"/>
        <v>356.06400000000002</v>
      </c>
    </row>
    <row r="39" spans="3:16" x14ac:dyDescent="0.4">
      <c r="C39" s="934" t="s">
        <v>868</v>
      </c>
      <c r="D39" s="948">
        <f t="shared" si="4"/>
        <v>367.77600000000001</v>
      </c>
      <c r="E39" s="948">
        <f t="shared" si="4"/>
        <v>371.52</v>
      </c>
      <c r="F39" s="948">
        <f t="shared" si="4"/>
        <v>372.09599999999995</v>
      </c>
      <c r="G39" s="948">
        <f t="shared" si="4"/>
        <v>374.11200000000002</v>
      </c>
      <c r="H39" s="948">
        <f t="shared" si="4"/>
        <v>374.97599999999994</v>
      </c>
      <c r="I39" s="948">
        <f t="shared" si="3"/>
        <v>378.14400000000001</v>
      </c>
      <c r="J39" s="948">
        <f t="shared" si="3"/>
        <v>381.59999999999997</v>
      </c>
      <c r="K39" s="948">
        <f t="shared" si="3"/>
        <v>381.59999999999997</v>
      </c>
      <c r="L39" s="948">
        <f t="shared" si="3"/>
        <v>381.024</v>
      </c>
      <c r="M39" s="948">
        <f t="shared" si="3"/>
        <v>382.464</v>
      </c>
      <c r="N39" s="948">
        <f t="shared" si="3"/>
        <v>382.17599999999993</v>
      </c>
      <c r="O39" s="948">
        <f t="shared" si="3"/>
        <v>383.904</v>
      </c>
      <c r="P39" s="937">
        <f t="shared" si="2"/>
        <v>377.61599999999999</v>
      </c>
    </row>
    <row r="40" spans="3:16" x14ac:dyDescent="0.4">
      <c r="C40" s="934" t="s">
        <v>869</v>
      </c>
      <c r="D40" s="948">
        <f t="shared" si="4"/>
        <v>386.49599999999998</v>
      </c>
      <c r="E40" s="948">
        <f t="shared" si="4"/>
        <v>387.93599999999998</v>
      </c>
      <c r="F40" s="948">
        <f t="shared" si="4"/>
        <v>392.83199999999999</v>
      </c>
      <c r="G40" s="948">
        <f t="shared" si="4"/>
        <v>402.33599999999996</v>
      </c>
      <c r="H40" s="948">
        <f t="shared" si="4"/>
        <v>400.89599999999996</v>
      </c>
      <c r="I40" s="948">
        <f t="shared" si="3"/>
        <v>396</v>
      </c>
      <c r="J40" s="948">
        <f t="shared" si="3"/>
        <v>398.59199999999998</v>
      </c>
      <c r="K40" s="948">
        <f t="shared" si="3"/>
        <v>400.60799999999995</v>
      </c>
      <c r="L40" s="948">
        <f t="shared" si="3"/>
        <v>399.74400000000003</v>
      </c>
      <c r="M40" s="948">
        <f t="shared" si="3"/>
        <v>400.03199999999998</v>
      </c>
      <c r="N40" s="948">
        <f t="shared" si="3"/>
        <v>400.89599999999996</v>
      </c>
      <c r="O40" s="948">
        <f t="shared" si="3"/>
        <v>400.03199999999998</v>
      </c>
      <c r="P40" s="937">
        <f t="shared" si="2"/>
        <v>397.20000000000005</v>
      </c>
    </row>
    <row r="41" spans="3:16" x14ac:dyDescent="0.4">
      <c r="C41" s="934" t="s">
        <v>870</v>
      </c>
      <c r="D41" s="948">
        <f t="shared" si="4"/>
        <v>401.47199999999998</v>
      </c>
      <c r="E41" s="948">
        <f t="shared" si="4"/>
        <v>402.91199999999998</v>
      </c>
      <c r="F41" s="948">
        <f t="shared" si="4"/>
        <v>407.23200000000003</v>
      </c>
      <c r="G41" s="948">
        <f t="shared" si="4"/>
        <v>410.97599999999994</v>
      </c>
      <c r="H41" s="948">
        <f t="shared" si="4"/>
        <v>410.68799999999999</v>
      </c>
      <c r="I41" s="948">
        <f t="shared" si="3"/>
        <v>412.70400000000001</v>
      </c>
      <c r="J41" s="948">
        <f t="shared" si="3"/>
        <v>416.15999999999997</v>
      </c>
      <c r="K41" s="948">
        <f t="shared" si="3"/>
        <v>416.15999999999997</v>
      </c>
      <c r="L41" s="948">
        <f t="shared" si="3"/>
        <v>413.85599999999994</v>
      </c>
      <c r="M41" s="948">
        <f t="shared" si="3"/>
        <v>412.41599999999994</v>
      </c>
      <c r="N41" s="948">
        <f t="shared" si="3"/>
        <v>411.26400000000001</v>
      </c>
      <c r="O41" s="948">
        <f t="shared" si="3"/>
        <v>411.84</v>
      </c>
      <c r="P41" s="937">
        <f t="shared" si="2"/>
        <v>410.63999999999993</v>
      </c>
    </row>
    <row r="43" spans="3:16" x14ac:dyDescent="0.4">
      <c r="C43" s="950" t="s">
        <v>1367</v>
      </c>
      <c r="D43" s="951" t="s">
        <v>172</v>
      </c>
      <c r="E43" s="951" t="s">
        <v>173</v>
      </c>
      <c r="F43" s="951" t="s">
        <v>174</v>
      </c>
      <c r="G43" s="951" t="s">
        <v>175</v>
      </c>
      <c r="H43" s="951" t="s">
        <v>176</v>
      </c>
      <c r="I43" s="951" t="s">
        <v>177</v>
      </c>
      <c r="J43" s="951" t="s">
        <v>178</v>
      </c>
      <c r="K43" s="951" t="s">
        <v>179</v>
      </c>
      <c r="L43" s="951" t="s">
        <v>180</v>
      </c>
      <c r="M43" s="951" t="s">
        <v>181</v>
      </c>
      <c r="N43" s="951" t="s">
        <v>182</v>
      </c>
      <c r="O43" s="951" t="s">
        <v>183</v>
      </c>
    </row>
    <row r="44" spans="3:16" x14ac:dyDescent="0.4">
      <c r="C44" s="952" t="s">
        <v>198</v>
      </c>
      <c r="D44" s="953">
        <v>329</v>
      </c>
      <c r="E44" s="953">
        <v>330</v>
      </c>
      <c r="F44" s="953">
        <v>332</v>
      </c>
      <c r="G44" s="953">
        <v>336</v>
      </c>
      <c r="H44" s="953">
        <v>338</v>
      </c>
      <c r="I44" s="954">
        <v>118.1</v>
      </c>
      <c r="J44" s="954">
        <v>119.5</v>
      </c>
      <c r="K44" s="954">
        <v>119.9</v>
      </c>
      <c r="L44" s="954">
        <v>118.8</v>
      </c>
      <c r="M44" s="954">
        <v>118.2</v>
      </c>
      <c r="N44" s="954">
        <v>119</v>
      </c>
      <c r="O44" s="954">
        <v>119.6</v>
      </c>
    </row>
    <row r="45" spans="3:16" x14ac:dyDescent="0.4">
      <c r="C45" s="952" t="s">
        <v>199</v>
      </c>
      <c r="D45" s="955">
        <v>120.1</v>
      </c>
      <c r="E45" s="955">
        <v>120.6</v>
      </c>
      <c r="F45" s="955">
        <v>121.7</v>
      </c>
      <c r="G45" s="955">
        <v>122.8</v>
      </c>
      <c r="H45" s="955">
        <v>123</v>
      </c>
      <c r="I45" s="955">
        <v>123.3</v>
      </c>
      <c r="J45" s="955">
        <v>124.9</v>
      </c>
      <c r="K45" s="955">
        <v>125.7</v>
      </c>
      <c r="L45" s="955">
        <v>125.4</v>
      </c>
      <c r="M45" s="955">
        <v>125.1</v>
      </c>
      <c r="N45" s="955">
        <v>125</v>
      </c>
      <c r="O45" s="955">
        <v>126</v>
      </c>
    </row>
    <row r="46" spans="3:16" x14ac:dyDescent="0.4">
      <c r="C46" s="956" t="s">
        <v>112</v>
      </c>
      <c r="D46" s="955">
        <v>127.7</v>
      </c>
      <c r="E46" s="955">
        <v>129</v>
      </c>
      <c r="F46" s="955">
        <v>129.19999999999999</v>
      </c>
      <c r="G46" s="955">
        <v>129.9</v>
      </c>
      <c r="H46" s="955">
        <v>130.19999999999999</v>
      </c>
      <c r="I46" s="955">
        <v>131.30000000000001</v>
      </c>
      <c r="J46" s="955">
        <v>132.5</v>
      </c>
      <c r="K46" s="955">
        <v>132.5</v>
      </c>
      <c r="L46" s="955">
        <v>132.30000000000001</v>
      </c>
      <c r="M46" s="955">
        <v>132.80000000000001</v>
      </c>
      <c r="N46" s="955">
        <v>132.69999999999999</v>
      </c>
      <c r="O46" s="955">
        <v>133.30000000000001</v>
      </c>
    </row>
    <row r="47" spans="3:16" x14ac:dyDescent="0.4">
      <c r="C47" s="956" t="s">
        <v>113</v>
      </c>
      <c r="D47" s="955">
        <v>134.19999999999999</v>
      </c>
      <c r="E47" s="955">
        <v>134.69999999999999</v>
      </c>
      <c r="F47" s="955">
        <v>136.4</v>
      </c>
      <c r="G47" s="955">
        <v>139.69999999999999</v>
      </c>
      <c r="H47" s="955">
        <v>139.19999999999999</v>
      </c>
      <c r="I47" s="955">
        <v>137.5</v>
      </c>
      <c r="J47" s="955">
        <v>138.4</v>
      </c>
      <c r="K47" s="955">
        <v>139.1</v>
      </c>
      <c r="L47" s="955">
        <v>138.80000000000001</v>
      </c>
      <c r="M47" s="955">
        <v>138.9</v>
      </c>
      <c r="N47" s="955">
        <v>139.19999999999999</v>
      </c>
      <c r="O47" s="955">
        <v>138.9</v>
      </c>
    </row>
    <row r="48" spans="3:16" x14ac:dyDescent="0.4">
      <c r="C48" s="956" t="s">
        <v>114</v>
      </c>
      <c r="D48" s="955">
        <v>139.4</v>
      </c>
      <c r="E48" s="955">
        <v>139.9</v>
      </c>
      <c r="F48" s="955">
        <v>141.4</v>
      </c>
      <c r="G48" s="955">
        <v>142.69999999999999</v>
      </c>
      <c r="H48" s="955">
        <v>142.6</v>
      </c>
      <c r="I48" s="955">
        <v>143.30000000000001</v>
      </c>
      <c r="J48" s="955">
        <v>144.5</v>
      </c>
      <c r="K48" s="955">
        <v>144.5</v>
      </c>
      <c r="L48" s="955">
        <v>143.69999999999999</v>
      </c>
      <c r="M48" s="955">
        <v>143.19999999999999</v>
      </c>
      <c r="N48" s="955">
        <v>142.80000000000001</v>
      </c>
      <c r="O48" s="955">
        <v>143</v>
      </c>
    </row>
    <row r="50" spans="3:17" x14ac:dyDescent="0.4">
      <c r="C50" s="957" t="s">
        <v>1368</v>
      </c>
      <c r="D50" s="958">
        <v>2.88</v>
      </c>
    </row>
    <row r="52" spans="3:17" x14ac:dyDescent="0.4">
      <c r="C52" s="959" t="s">
        <v>1369</v>
      </c>
      <c r="D52" s="960" t="s">
        <v>1370</v>
      </c>
      <c r="E52" s="960"/>
      <c r="F52" s="960"/>
      <c r="G52" s="960"/>
      <c r="H52" s="960"/>
      <c r="I52" s="960"/>
      <c r="J52" s="960"/>
      <c r="K52" s="960"/>
      <c r="L52" s="960"/>
      <c r="M52" s="960"/>
      <c r="N52" s="960"/>
      <c r="O52" s="960"/>
      <c r="P52" s="960"/>
      <c r="Q52" s="960"/>
    </row>
    <row r="53" spans="3:17" ht="14.25" x14ac:dyDescent="0.45">
      <c r="C53" s="959" t="s">
        <v>1371</v>
      </c>
      <c r="D53" s="961" t="s">
        <v>1372</v>
      </c>
      <c r="I53" s="962" t="s">
        <v>1373</v>
      </c>
    </row>
    <row r="54" spans="3:17" x14ac:dyDescent="0.4">
      <c r="D54" s="963"/>
    </row>
    <row r="56" spans="3:17" x14ac:dyDescent="0.4">
      <c r="C56" s="1891" t="s">
        <v>1374</v>
      </c>
      <c r="D56" s="1891"/>
      <c r="E56" s="1891"/>
      <c r="F56" s="1891"/>
      <c r="G56" s="1891"/>
      <c r="H56" s="965"/>
    </row>
    <row r="57" spans="3:17" x14ac:dyDescent="0.4">
      <c r="C57" s="964" t="s">
        <v>841</v>
      </c>
      <c r="D57" s="966" t="s">
        <v>1375</v>
      </c>
      <c r="E57" s="966" t="s">
        <v>1376</v>
      </c>
      <c r="F57" s="966" t="s">
        <v>1377</v>
      </c>
      <c r="G57" s="966" t="s">
        <v>1378</v>
      </c>
      <c r="H57" s="965"/>
    </row>
    <row r="58" spans="3:17" x14ac:dyDescent="0.4">
      <c r="C58" s="967" t="s">
        <v>1379</v>
      </c>
      <c r="D58" s="968">
        <f t="shared" ref="D58:D70" si="5">P7</f>
        <v>106.89999999999999</v>
      </c>
      <c r="E58" s="967"/>
      <c r="F58" s="968">
        <f t="shared" ref="F58:F70" si="6">P29</f>
        <v>215.16666666666666</v>
      </c>
      <c r="G58" s="967"/>
      <c r="H58" s="965"/>
    </row>
    <row r="59" spans="3:17" x14ac:dyDescent="0.4">
      <c r="C59" s="967" t="s">
        <v>1380</v>
      </c>
      <c r="D59" s="968">
        <f t="shared" si="5"/>
        <v>112.45833333333331</v>
      </c>
      <c r="E59" s="969">
        <f t="shared" ref="E59:E70" si="7">D59/D58-1</f>
        <v>5.199563454942302E-2</v>
      </c>
      <c r="F59" s="968">
        <f t="shared" si="6"/>
        <v>236</v>
      </c>
      <c r="G59" s="969">
        <f t="shared" ref="G59:G70" si="8">F59/F58-1</f>
        <v>9.6824167312161258E-2</v>
      </c>
      <c r="H59" s="965"/>
    </row>
    <row r="60" spans="3:17" x14ac:dyDescent="0.4">
      <c r="C60" s="967" t="s">
        <v>1381</v>
      </c>
      <c r="D60" s="968">
        <f t="shared" si="5"/>
        <v>113.875</v>
      </c>
      <c r="E60" s="969">
        <f t="shared" si="7"/>
        <v>1.2597258243794096E-2</v>
      </c>
      <c r="F60" s="968">
        <f t="shared" si="6"/>
        <v>250.83333333333334</v>
      </c>
      <c r="G60" s="969">
        <f t="shared" si="8"/>
        <v>6.2853107344632786E-2</v>
      </c>
      <c r="H60" s="965"/>
    </row>
    <row r="61" spans="3:17" x14ac:dyDescent="0.4">
      <c r="C61" s="967" t="s">
        <v>1382</v>
      </c>
      <c r="D61" s="968">
        <f t="shared" si="5"/>
        <v>109.71666666666665</v>
      </c>
      <c r="E61" s="969">
        <f t="shared" si="7"/>
        <v>-3.6516648371752725E-2</v>
      </c>
      <c r="F61" s="968">
        <f t="shared" si="6"/>
        <v>265</v>
      </c>
      <c r="G61" s="969">
        <f t="shared" si="8"/>
        <v>5.6478405315614655E-2</v>
      </c>
      <c r="H61" s="965"/>
    </row>
    <row r="62" spans="3:17" x14ac:dyDescent="0.4">
      <c r="C62" s="967" t="s">
        <v>1277</v>
      </c>
      <c r="D62" s="968">
        <f t="shared" si="5"/>
        <v>111.61666666666667</v>
      </c>
      <c r="E62" s="969">
        <f t="shared" si="7"/>
        <v>1.7317332523165918E-2</v>
      </c>
      <c r="F62" s="968">
        <f t="shared" si="6"/>
        <v>275.91666666666669</v>
      </c>
      <c r="G62" s="969">
        <f t="shared" si="8"/>
        <v>4.1194968553459166E-2</v>
      </c>
      <c r="H62" s="965"/>
    </row>
    <row r="63" spans="3:17" x14ac:dyDescent="0.4">
      <c r="C63" s="967" t="s">
        <v>195</v>
      </c>
      <c r="D63" s="968">
        <f t="shared" si="5"/>
        <v>114.87499999999999</v>
      </c>
      <c r="E63" s="969">
        <f t="shared" si="7"/>
        <v>2.9192175601015169E-2</v>
      </c>
      <c r="F63" s="968">
        <f t="shared" si="6"/>
        <v>284.41666666666669</v>
      </c>
      <c r="G63" s="969">
        <f t="shared" si="8"/>
        <v>3.0806402899426155E-2</v>
      </c>
      <c r="H63" s="965"/>
    </row>
    <row r="64" spans="3:17" x14ac:dyDescent="0.4">
      <c r="C64" s="967" t="s">
        <v>196</v>
      </c>
      <c r="D64" s="968">
        <f t="shared" si="5"/>
        <v>119.79166666666669</v>
      </c>
      <c r="E64" s="969">
        <f t="shared" si="7"/>
        <v>4.2800145085237773E-2</v>
      </c>
      <c r="F64" s="968">
        <f t="shared" si="6"/>
        <v>299.91666666666669</v>
      </c>
      <c r="G64" s="969">
        <f t="shared" si="8"/>
        <v>5.4497509522414278E-2</v>
      </c>
      <c r="H64" s="965"/>
    </row>
    <row r="65" spans="3:8" x14ac:dyDescent="0.4">
      <c r="C65" s="967" t="s">
        <v>197</v>
      </c>
      <c r="D65" s="968">
        <f t="shared" si="5"/>
        <v>121.80000000000001</v>
      </c>
      <c r="E65" s="969">
        <f t="shared" si="7"/>
        <v>1.676521739130421E-2</v>
      </c>
      <c r="F65" s="968">
        <f t="shared" si="6"/>
        <v>322.5</v>
      </c>
      <c r="G65" s="969">
        <f t="shared" si="8"/>
        <v>7.5298694081689321E-2</v>
      </c>
      <c r="H65" s="965"/>
    </row>
    <row r="66" spans="3:8" x14ac:dyDescent="0.4">
      <c r="C66" s="967" t="s">
        <v>198</v>
      </c>
      <c r="D66" s="968">
        <f t="shared" si="5"/>
        <v>123.375</v>
      </c>
      <c r="E66" s="969">
        <f t="shared" si="7"/>
        <v>1.2931034482758452E-2</v>
      </c>
      <c r="F66" s="968">
        <f t="shared" si="6"/>
        <v>338.69399999999996</v>
      </c>
      <c r="G66" s="969">
        <f t="shared" si="8"/>
        <v>5.0213953488371876E-2</v>
      </c>
      <c r="H66" s="965"/>
    </row>
    <row r="67" spans="3:8" x14ac:dyDescent="0.4">
      <c r="C67" s="967" t="s">
        <v>199</v>
      </c>
      <c r="D67" s="968">
        <f t="shared" si="5"/>
        <v>139.40833333333333</v>
      </c>
      <c r="E67" s="969">
        <f t="shared" si="7"/>
        <v>0.12995609591354262</v>
      </c>
      <c r="F67" s="968">
        <f t="shared" si="6"/>
        <v>356.06400000000002</v>
      </c>
      <c r="G67" s="969">
        <f t="shared" si="8"/>
        <v>5.1285230916402691E-2</v>
      </c>
      <c r="H67" s="965"/>
    </row>
    <row r="68" spans="3:8" x14ac:dyDescent="0.4">
      <c r="C68" s="967" t="s">
        <v>112</v>
      </c>
      <c r="D68" s="968">
        <f t="shared" si="5"/>
        <v>152.52500000000001</v>
      </c>
      <c r="E68" s="969">
        <f t="shared" si="7"/>
        <v>9.4088110466854058E-2</v>
      </c>
      <c r="F68" s="968">
        <f t="shared" si="6"/>
        <v>377.61599999999999</v>
      </c>
      <c r="G68" s="969">
        <f t="shared" si="8"/>
        <v>6.0528444324615682E-2</v>
      </c>
      <c r="H68" s="965"/>
    </row>
    <row r="69" spans="3:8" x14ac:dyDescent="0.4">
      <c r="C69" s="967" t="s">
        <v>113</v>
      </c>
      <c r="D69" s="968">
        <f t="shared" si="5"/>
        <v>151.41666666666666</v>
      </c>
      <c r="E69" s="969">
        <f t="shared" si="7"/>
        <v>-7.2665683221331268E-3</v>
      </c>
      <c r="F69" s="968">
        <f t="shared" si="6"/>
        <v>397.20000000000005</v>
      </c>
      <c r="G69" s="969">
        <f t="shared" si="8"/>
        <v>5.1862209228422662E-2</v>
      </c>
      <c r="H69" s="965"/>
    </row>
    <row r="70" spans="3:8" x14ac:dyDescent="0.4">
      <c r="C70" s="967" t="s">
        <v>114</v>
      </c>
      <c r="D70" s="968">
        <f t="shared" si="5"/>
        <v>154.85833333333335</v>
      </c>
      <c r="E70" s="969">
        <f t="shared" si="7"/>
        <v>2.2729774353329901E-2</v>
      </c>
      <c r="F70" s="968">
        <f t="shared" si="6"/>
        <v>410.63999999999993</v>
      </c>
      <c r="G70" s="969">
        <f t="shared" si="8"/>
        <v>3.383685800604197E-2</v>
      </c>
      <c r="H70" s="965"/>
    </row>
    <row r="71" spans="3:8" x14ac:dyDescent="0.4">
      <c r="C71" s="967" t="s">
        <v>1383</v>
      </c>
      <c r="D71" s="967"/>
      <c r="E71" s="969">
        <f>AVERAGE(E66:E70)</f>
        <v>5.0487689378870382E-2</v>
      </c>
      <c r="F71" s="967"/>
      <c r="G71" s="969">
        <f>AVERAGE(G66:G70)</f>
        <v>4.9545339192770974E-2</v>
      </c>
      <c r="H71" s="965"/>
    </row>
    <row r="72" spans="3:8" x14ac:dyDescent="0.4">
      <c r="C72" s="967" t="s">
        <v>1384</v>
      </c>
      <c r="D72" s="967"/>
      <c r="E72" s="970">
        <v>0.7</v>
      </c>
      <c r="F72" s="971"/>
      <c r="G72" s="970">
        <f>1-E72</f>
        <v>0.30000000000000004</v>
      </c>
      <c r="H72" s="972"/>
    </row>
    <row r="73" spans="3:8" x14ac:dyDescent="0.4">
      <c r="C73" s="967" t="s">
        <v>1385</v>
      </c>
      <c r="D73" s="967"/>
      <c r="E73" s="967"/>
      <c r="F73" s="967"/>
      <c r="G73" s="973">
        <f>E71*E72+G71*G72</f>
        <v>5.0204984323040561E-2</v>
      </c>
      <c r="H73" s="965"/>
    </row>
    <row r="74" spans="3:8" x14ac:dyDescent="0.4">
      <c r="C74" s="967" t="s">
        <v>1386</v>
      </c>
      <c r="D74" s="967"/>
      <c r="E74" s="967"/>
      <c r="F74" s="967"/>
      <c r="G74" s="969">
        <v>0</v>
      </c>
      <c r="H74" s="965"/>
    </row>
    <row r="75" spans="3:8" x14ac:dyDescent="0.4">
      <c r="C75" s="974" t="s">
        <v>1385</v>
      </c>
      <c r="D75" s="974"/>
      <c r="E75" s="974"/>
      <c r="F75" s="974"/>
      <c r="G75" s="975">
        <f>G73-G74</f>
        <v>5.0204984323040561E-2</v>
      </c>
      <c r="H75" s="965"/>
    </row>
    <row r="77" spans="3:8" x14ac:dyDescent="0.4">
      <c r="E77" s="976"/>
      <c r="G77" s="976"/>
    </row>
    <row r="78" spans="3:8" x14ac:dyDescent="0.4">
      <c r="E78" s="933"/>
    </row>
    <row r="79" spans="3:8" x14ac:dyDescent="0.4">
      <c r="E79" s="933"/>
    </row>
    <row r="104" ht="12.75" customHeight="1" x14ac:dyDescent="0.4"/>
  </sheetData>
  <mergeCells count="3">
    <mergeCell ref="C5:P5"/>
    <mergeCell ref="C21:P21"/>
    <mergeCell ref="C56:G56"/>
  </mergeCells>
  <hyperlinks>
    <hyperlink ref="D52" r:id="rId1" xr:uid="{2B08D0A8-0F70-4255-BE2C-58C7FE1D0EF2}"/>
    <hyperlink ref="D53" r:id="rId2" xr:uid="{5BC089AC-AA4E-47D8-AEEC-D436EB768AB6}"/>
    <hyperlink ref="I53" r:id="rId3" display="https://labourbureau.gov.in/all-india-general-index-1" xr:uid="{96C02934-A739-490D-9B49-FE367539A730}"/>
  </hyperlinks>
  <pageMargins left="0.7" right="0.7" top="0.75" bottom="0.75" header="0.3" footer="0.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831C9-1FF2-4CA6-A089-13021202E84D}">
  <dimension ref="B2:P427"/>
  <sheetViews>
    <sheetView showGridLines="0" view="pageBreakPreview" topLeftCell="A433" zoomScale="60" zoomScaleNormal="75" zoomScalePageLayoutView="110" workbookViewId="0">
      <selection activeCell="N261" sqref="N261"/>
    </sheetView>
  </sheetViews>
  <sheetFormatPr defaultColWidth="9.33203125" defaultRowHeight="13.9" x14ac:dyDescent="0.4"/>
  <cols>
    <col min="1" max="1" width="9.33203125" style="1"/>
    <col min="2" max="2" width="44.1328125" style="1" customWidth="1"/>
    <col min="3" max="3" width="13.6640625" style="1" customWidth="1"/>
    <col min="4" max="4" width="14.6640625" style="1" customWidth="1"/>
    <col min="5" max="6" width="14.33203125" style="1" customWidth="1"/>
    <col min="7" max="7" width="15.46484375" style="1" customWidth="1"/>
    <col min="8" max="8" width="17.33203125" style="1" customWidth="1"/>
    <col min="9" max="10" width="14.53125" style="1" customWidth="1"/>
    <col min="11" max="11" width="16.6640625" style="1" customWidth="1"/>
    <col min="12" max="12" width="18.6640625" style="1" customWidth="1"/>
    <col min="13" max="13" width="18.46484375" style="1" customWidth="1"/>
    <col min="14" max="14" width="14.46484375" style="1" customWidth="1"/>
    <col min="15" max="15" width="16.6640625" style="1" customWidth="1"/>
    <col min="16" max="253" width="9.33203125" style="1"/>
    <col min="254" max="254" width="15.6640625" style="1" customWidth="1"/>
    <col min="255" max="255" width="30.46484375" style="1" customWidth="1"/>
    <col min="256" max="267" width="10.6640625" style="1" customWidth="1"/>
    <col min="268" max="268" width="12.53125" style="1" customWidth="1"/>
    <col min="269" max="269" width="6.33203125" style="1" bestFit="1" customWidth="1"/>
    <col min="270" max="270" width="11.53125" style="1" customWidth="1"/>
    <col min="271" max="509" width="9.33203125" style="1"/>
    <col min="510" max="510" width="15.6640625" style="1" customWidth="1"/>
    <col min="511" max="511" width="30.46484375" style="1" customWidth="1"/>
    <col min="512" max="523" width="10.6640625" style="1" customWidth="1"/>
    <col min="524" max="524" width="12.53125" style="1" customWidth="1"/>
    <col min="525" max="525" width="6.33203125" style="1" bestFit="1" customWidth="1"/>
    <col min="526" max="526" width="11.53125" style="1" customWidth="1"/>
    <col min="527" max="765" width="9.33203125" style="1"/>
    <col min="766" max="766" width="15.6640625" style="1" customWidth="1"/>
    <col min="767" max="767" width="30.46484375" style="1" customWidth="1"/>
    <col min="768" max="779" width="10.6640625" style="1" customWidth="1"/>
    <col min="780" max="780" width="12.53125" style="1" customWidth="1"/>
    <col min="781" max="781" width="6.33203125" style="1" bestFit="1" customWidth="1"/>
    <col min="782" max="782" width="11.53125" style="1" customWidth="1"/>
    <col min="783" max="1021" width="9.33203125" style="1"/>
    <col min="1022" max="1022" width="15.6640625" style="1" customWidth="1"/>
    <col min="1023" max="1023" width="30.46484375" style="1" customWidth="1"/>
    <col min="1024" max="1035" width="10.6640625" style="1" customWidth="1"/>
    <col min="1036" max="1036" width="12.53125" style="1" customWidth="1"/>
    <col min="1037" max="1037" width="6.33203125" style="1" bestFit="1" customWidth="1"/>
    <col min="1038" max="1038" width="11.53125" style="1" customWidth="1"/>
    <col min="1039" max="1277" width="9.33203125" style="1"/>
    <col min="1278" max="1278" width="15.6640625" style="1" customWidth="1"/>
    <col min="1279" max="1279" width="30.46484375" style="1" customWidth="1"/>
    <col min="1280" max="1291" width="10.6640625" style="1" customWidth="1"/>
    <col min="1292" max="1292" width="12.53125" style="1" customWidth="1"/>
    <col min="1293" max="1293" width="6.33203125" style="1" bestFit="1" customWidth="1"/>
    <col min="1294" max="1294" width="11.53125" style="1" customWidth="1"/>
    <col min="1295" max="1533" width="9.33203125" style="1"/>
    <col min="1534" max="1534" width="15.6640625" style="1" customWidth="1"/>
    <col min="1535" max="1535" width="30.46484375" style="1" customWidth="1"/>
    <col min="1536" max="1547" width="10.6640625" style="1" customWidth="1"/>
    <col min="1548" max="1548" width="12.53125" style="1" customWidth="1"/>
    <col min="1549" max="1549" width="6.33203125" style="1" bestFit="1" customWidth="1"/>
    <col min="1550" max="1550" width="11.53125" style="1" customWidth="1"/>
    <col min="1551" max="1789" width="9.33203125" style="1"/>
    <col min="1790" max="1790" width="15.6640625" style="1" customWidth="1"/>
    <col min="1791" max="1791" width="30.46484375" style="1" customWidth="1"/>
    <col min="1792" max="1803" width="10.6640625" style="1" customWidth="1"/>
    <col min="1804" max="1804" width="12.53125" style="1" customWidth="1"/>
    <col min="1805" max="1805" width="6.33203125" style="1" bestFit="1" customWidth="1"/>
    <col min="1806" max="1806" width="11.53125" style="1" customWidth="1"/>
    <col min="1807" max="2045" width="9.33203125" style="1"/>
    <col min="2046" max="2046" width="15.6640625" style="1" customWidth="1"/>
    <col min="2047" max="2047" width="30.46484375" style="1" customWidth="1"/>
    <col min="2048" max="2059" width="10.6640625" style="1" customWidth="1"/>
    <col min="2060" max="2060" width="12.53125" style="1" customWidth="1"/>
    <col min="2061" max="2061" width="6.33203125" style="1" bestFit="1" customWidth="1"/>
    <col min="2062" max="2062" width="11.53125" style="1" customWidth="1"/>
    <col min="2063" max="2301" width="9.33203125" style="1"/>
    <col min="2302" max="2302" width="15.6640625" style="1" customWidth="1"/>
    <col min="2303" max="2303" width="30.46484375" style="1" customWidth="1"/>
    <col min="2304" max="2315" width="10.6640625" style="1" customWidth="1"/>
    <col min="2316" max="2316" width="12.53125" style="1" customWidth="1"/>
    <col min="2317" max="2317" width="6.33203125" style="1" bestFit="1" customWidth="1"/>
    <col min="2318" max="2318" width="11.53125" style="1" customWidth="1"/>
    <col min="2319" max="2557" width="9.33203125" style="1"/>
    <col min="2558" max="2558" width="15.6640625" style="1" customWidth="1"/>
    <col min="2559" max="2559" width="30.46484375" style="1" customWidth="1"/>
    <col min="2560" max="2571" width="10.6640625" style="1" customWidth="1"/>
    <col min="2572" max="2572" width="12.53125" style="1" customWidth="1"/>
    <col min="2573" max="2573" width="6.33203125" style="1" bestFit="1" customWidth="1"/>
    <col min="2574" max="2574" width="11.53125" style="1" customWidth="1"/>
    <col min="2575" max="2813" width="9.33203125" style="1"/>
    <col min="2814" max="2814" width="15.6640625" style="1" customWidth="1"/>
    <col min="2815" max="2815" width="30.46484375" style="1" customWidth="1"/>
    <col min="2816" max="2827" width="10.6640625" style="1" customWidth="1"/>
    <col min="2828" max="2828" width="12.53125" style="1" customWidth="1"/>
    <col min="2829" max="2829" width="6.33203125" style="1" bestFit="1" customWidth="1"/>
    <col min="2830" max="2830" width="11.53125" style="1" customWidth="1"/>
    <col min="2831" max="3069" width="9.33203125" style="1"/>
    <col min="3070" max="3070" width="15.6640625" style="1" customWidth="1"/>
    <col min="3071" max="3071" width="30.46484375" style="1" customWidth="1"/>
    <col min="3072" max="3083" width="10.6640625" style="1" customWidth="1"/>
    <col min="3084" max="3084" width="12.53125" style="1" customWidth="1"/>
    <col min="3085" max="3085" width="6.33203125" style="1" bestFit="1" customWidth="1"/>
    <col min="3086" max="3086" width="11.53125" style="1" customWidth="1"/>
    <col min="3087" max="3325" width="9.33203125" style="1"/>
    <col min="3326" max="3326" width="15.6640625" style="1" customWidth="1"/>
    <col min="3327" max="3327" width="30.46484375" style="1" customWidth="1"/>
    <col min="3328" max="3339" width="10.6640625" style="1" customWidth="1"/>
    <col min="3340" max="3340" width="12.53125" style="1" customWidth="1"/>
    <col min="3341" max="3341" width="6.33203125" style="1" bestFit="1" customWidth="1"/>
    <col min="3342" max="3342" width="11.53125" style="1" customWidth="1"/>
    <col min="3343" max="3581" width="9.33203125" style="1"/>
    <col min="3582" max="3582" width="15.6640625" style="1" customWidth="1"/>
    <col min="3583" max="3583" width="30.46484375" style="1" customWidth="1"/>
    <col min="3584" max="3595" width="10.6640625" style="1" customWidth="1"/>
    <col min="3596" max="3596" width="12.53125" style="1" customWidth="1"/>
    <col min="3597" max="3597" width="6.33203125" style="1" bestFit="1" customWidth="1"/>
    <col min="3598" max="3598" width="11.53125" style="1" customWidth="1"/>
    <col min="3599" max="3837" width="9.33203125" style="1"/>
    <col min="3838" max="3838" width="15.6640625" style="1" customWidth="1"/>
    <col min="3839" max="3839" width="30.46484375" style="1" customWidth="1"/>
    <col min="3840" max="3851" width="10.6640625" style="1" customWidth="1"/>
    <col min="3852" max="3852" width="12.53125" style="1" customWidth="1"/>
    <col min="3853" max="3853" width="6.33203125" style="1" bestFit="1" customWidth="1"/>
    <col min="3854" max="3854" width="11.53125" style="1" customWidth="1"/>
    <col min="3855" max="4093" width="9.33203125" style="1"/>
    <col min="4094" max="4094" width="15.6640625" style="1" customWidth="1"/>
    <col min="4095" max="4095" width="30.46484375" style="1" customWidth="1"/>
    <col min="4096" max="4107" width="10.6640625" style="1" customWidth="1"/>
    <col min="4108" max="4108" width="12.53125" style="1" customWidth="1"/>
    <col min="4109" max="4109" width="6.33203125" style="1" bestFit="1" customWidth="1"/>
    <col min="4110" max="4110" width="11.53125" style="1" customWidth="1"/>
    <col min="4111" max="4349" width="9.33203125" style="1"/>
    <col min="4350" max="4350" width="15.6640625" style="1" customWidth="1"/>
    <col min="4351" max="4351" width="30.46484375" style="1" customWidth="1"/>
    <col min="4352" max="4363" width="10.6640625" style="1" customWidth="1"/>
    <col min="4364" max="4364" width="12.53125" style="1" customWidth="1"/>
    <col min="4365" max="4365" width="6.33203125" style="1" bestFit="1" customWidth="1"/>
    <col min="4366" max="4366" width="11.53125" style="1" customWidth="1"/>
    <col min="4367" max="4605" width="9.33203125" style="1"/>
    <col min="4606" max="4606" width="15.6640625" style="1" customWidth="1"/>
    <col min="4607" max="4607" width="30.46484375" style="1" customWidth="1"/>
    <col min="4608" max="4619" width="10.6640625" style="1" customWidth="1"/>
    <col min="4620" max="4620" width="12.53125" style="1" customWidth="1"/>
    <col min="4621" max="4621" width="6.33203125" style="1" bestFit="1" customWidth="1"/>
    <col min="4622" max="4622" width="11.53125" style="1" customWidth="1"/>
    <col min="4623" max="4861" width="9.33203125" style="1"/>
    <col min="4862" max="4862" width="15.6640625" style="1" customWidth="1"/>
    <col min="4863" max="4863" width="30.46484375" style="1" customWidth="1"/>
    <col min="4864" max="4875" width="10.6640625" style="1" customWidth="1"/>
    <col min="4876" max="4876" width="12.53125" style="1" customWidth="1"/>
    <col min="4877" max="4877" width="6.33203125" style="1" bestFit="1" customWidth="1"/>
    <col min="4878" max="4878" width="11.53125" style="1" customWidth="1"/>
    <col min="4879" max="5117" width="9.33203125" style="1"/>
    <col min="5118" max="5118" width="15.6640625" style="1" customWidth="1"/>
    <col min="5119" max="5119" width="30.46484375" style="1" customWidth="1"/>
    <col min="5120" max="5131" width="10.6640625" style="1" customWidth="1"/>
    <col min="5132" max="5132" width="12.53125" style="1" customWidth="1"/>
    <col min="5133" max="5133" width="6.33203125" style="1" bestFit="1" customWidth="1"/>
    <col min="5134" max="5134" width="11.53125" style="1" customWidth="1"/>
    <col min="5135" max="5373" width="9.33203125" style="1"/>
    <col min="5374" max="5374" width="15.6640625" style="1" customWidth="1"/>
    <col min="5375" max="5375" width="30.46484375" style="1" customWidth="1"/>
    <col min="5376" max="5387" width="10.6640625" style="1" customWidth="1"/>
    <col min="5388" max="5388" width="12.53125" style="1" customWidth="1"/>
    <col min="5389" max="5389" width="6.33203125" style="1" bestFit="1" customWidth="1"/>
    <col min="5390" max="5390" width="11.53125" style="1" customWidth="1"/>
    <col min="5391" max="5629" width="9.33203125" style="1"/>
    <col min="5630" max="5630" width="15.6640625" style="1" customWidth="1"/>
    <col min="5631" max="5631" width="30.46484375" style="1" customWidth="1"/>
    <col min="5632" max="5643" width="10.6640625" style="1" customWidth="1"/>
    <col min="5644" max="5644" width="12.53125" style="1" customWidth="1"/>
    <col min="5645" max="5645" width="6.33203125" style="1" bestFit="1" customWidth="1"/>
    <col min="5646" max="5646" width="11.53125" style="1" customWidth="1"/>
    <col min="5647" max="5885" width="9.33203125" style="1"/>
    <col min="5886" max="5886" width="15.6640625" style="1" customWidth="1"/>
    <col min="5887" max="5887" width="30.46484375" style="1" customWidth="1"/>
    <col min="5888" max="5899" width="10.6640625" style="1" customWidth="1"/>
    <col min="5900" max="5900" width="12.53125" style="1" customWidth="1"/>
    <col min="5901" max="5901" width="6.33203125" style="1" bestFit="1" customWidth="1"/>
    <col min="5902" max="5902" width="11.53125" style="1" customWidth="1"/>
    <col min="5903" max="6141" width="9.33203125" style="1"/>
    <col min="6142" max="6142" width="15.6640625" style="1" customWidth="1"/>
    <col min="6143" max="6143" width="30.46484375" style="1" customWidth="1"/>
    <col min="6144" max="6155" width="10.6640625" style="1" customWidth="1"/>
    <col min="6156" max="6156" width="12.53125" style="1" customWidth="1"/>
    <col min="6157" max="6157" width="6.33203125" style="1" bestFit="1" customWidth="1"/>
    <col min="6158" max="6158" width="11.53125" style="1" customWidth="1"/>
    <col min="6159" max="6397" width="9.33203125" style="1"/>
    <col min="6398" max="6398" width="15.6640625" style="1" customWidth="1"/>
    <col min="6399" max="6399" width="30.46484375" style="1" customWidth="1"/>
    <col min="6400" max="6411" width="10.6640625" style="1" customWidth="1"/>
    <col min="6412" max="6412" width="12.53125" style="1" customWidth="1"/>
    <col min="6413" max="6413" width="6.33203125" style="1" bestFit="1" customWidth="1"/>
    <col min="6414" max="6414" width="11.53125" style="1" customWidth="1"/>
    <col min="6415" max="6653" width="9.33203125" style="1"/>
    <col min="6654" max="6654" width="15.6640625" style="1" customWidth="1"/>
    <col min="6655" max="6655" width="30.46484375" style="1" customWidth="1"/>
    <col min="6656" max="6667" width="10.6640625" style="1" customWidth="1"/>
    <col min="6668" max="6668" width="12.53125" style="1" customWidth="1"/>
    <col min="6669" max="6669" width="6.33203125" style="1" bestFit="1" customWidth="1"/>
    <col min="6670" max="6670" width="11.53125" style="1" customWidth="1"/>
    <col min="6671" max="6909" width="9.33203125" style="1"/>
    <col min="6910" max="6910" width="15.6640625" style="1" customWidth="1"/>
    <col min="6911" max="6911" width="30.46484375" style="1" customWidth="1"/>
    <col min="6912" max="6923" width="10.6640625" style="1" customWidth="1"/>
    <col min="6924" max="6924" width="12.53125" style="1" customWidth="1"/>
    <col min="6925" max="6925" width="6.33203125" style="1" bestFit="1" customWidth="1"/>
    <col min="6926" max="6926" width="11.53125" style="1" customWidth="1"/>
    <col min="6927" max="7165" width="9.33203125" style="1"/>
    <col min="7166" max="7166" width="15.6640625" style="1" customWidth="1"/>
    <col min="7167" max="7167" width="30.46484375" style="1" customWidth="1"/>
    <col min="7168" max="7179" width="10.6640625" style="1" customWidth="1"/>
    <col min="7180" max="7180" width="12.53125" style="1" customWidth="1"/>
    <col min="7181" max="7181" width="6.33203125" style="1" bestFit="1" customWidth="1"/>
    <col min="7182" max="7182" width="11.53125" style="1" customWidth="1"/>
    <col min="7183" max="7421" width="9.33203125" style="1"/>
    <col min="7422" max="7422" width="15.6640625" style="1" customWidth="1"/>
    <col min="7423" max="7423" width="30.46484375" style="1" customWidth="1"/>
    <col min="7424" max="7435" width="10.6640625" style="1" customWidth="1"/>
    <col min="7436" max="7436" width="12.53125" style="1" customWidth="1"/>
    <col min="7437" max="7437" width="6.33203125" style="1" bestFit="1" customWidth="1"/>
    <col min="7438" max="7438" width="11.53125" style="1" customWidth="1"/>
    <col min="7439" max="7677" width="9.33203125" style="1"/>
    <col min="7678" max="7678" width="15.6640625" style="1" customWidth="1"/>
    <col min="7679" max="7679" width="30.46484375" style="1" customWidth="1"/>
    <col min="7680" max="7691" width="10.6640625" style="1" customWidth="1"/>
    <col min="7692" max="7692" width="12.53125" style="1" customWidth="1"/>
    <col min="7693" max="7693" width="6.33203125" style="1" bestFit="1" customWidth="1"/>
    <col min="7694" max="7694" width="11.53125" style="1" customWidth="1"/>
    <col min="7695" max="7933" width="9.33203125" style="1"/>
    <col min="7934" max="7934" width="15.6640625" style="1" customWidth="1"/>
    <col min="7935" max="7935" width="30.46484375" style="1" customWidth="1"/>
    <col min="7936" max="7947" width="10.6640625" style="1" customWidth="1"/>
    <col min="7948" max="7948" width="12.53125" style="1" customWidth="1"/>
    <col min="7949" max="7949" width="6.33203125" style="1" bestFit="1" customWidth="1"/>
    <col min="7950" max="7950" width="11.53125" style="1" customWidth="1"/>
    <col min="7951" max="8189" width="9.33203125" style="1"/>
    <col min="8190" max="8190" width="15.6640625" style="1" customWidth="1"/>
    <col min="8191" max="8191" width="30.46484375" style="1" customWidth="1"/>
    <col min="8192" max="8203" width="10.6640625" style="1" customWidth="1"/>
    <col min="8204" max="8204" width="12.53125" style="1" customWidth="1"/>
    <col min="8205" max="8205" width="6.33203125" style="1" bestFit="1" customWidth="1"/>
    <col min="8206" max="8206" width="11.53125" style="1" customWidth="1"/>
    <col min="8207" max="8445" width="9.33203125" style="1"/>
    <col min="8446" max="8446" width="15.6640625" style="1" customWidth="1"/>
    <col min="8447" max="8447" width="30.46484375" style="1" customWidth="1"/>
    <col min="8448" max="8459" width="10.6640625" style="1" customWidth="1"/>
    <col min="8460" max="8460" width="12.53125" style="1" customWidth="1"/>
    <col min="8461" max="8461" width="6.33203125" style="1" bestFit="1" customWidth="1"/>
    <col min="8462" max="8462" width="11.53125" style="1" customWidth="1"/>
    <col min="8463" max="8701" width="9.33203125" style="1"/>
    <col min="8702" max="8702" width="15.6640625" style="1" customWidth="1"/>
    <col min="8703" max="8703" width="30.46484375" style="1" customWidth="1"/>
    <col min="8704" max="8715" width="10.6640625" style="1" customWidth="1"/>
    <col min="8716" max="8716" width="12.53125" style="1" customWidth="1"/>
    <col min="8717" max="8717" width="6.33203125" style="1" bestFit="1" customWidth="1"/>
    <col min="8718" max="8718" width="11.53125" style="1" customWidth="1"/>
    <col min="8719" max="8957" width="9.33203125" style="1"/>
    <col min="8958" max="8958" width="15.6640625" style="1" customWidth="1"/>
    <col min="8959" max="8959" width="30.46484375" style="1" customWidth="1"/>
    <col min="8960" max="8971" width="10.6640625" style="1" customWidth="1"/>
    <col min="8972" max="8972" width="12.53125" style="1" customWidth="1"/>
    <col min="8973" max="8973" width="6.33203125" style="1" bestFit="1" customWidth="1"/>
    <col min="8974" max="8974" width="11.53125" style="1" customWidth="1"/>
    <col min="8975" max="9213" width="9.33203125" style="1"/>
    <col min="9214" max="9214" width="15.6640625" style="1" customWidth="1"/>
    <col min="9215" max="9215" width="30.46484375" style="1" customWidth="1"/>
    <col min="9216" max="9227" width="10.6640625" style="1" customWidth="1"/>
    <col min="9228" max="9228" width="12.53125" style="1" customWidth="1"/>
    <col min="9229" max="9229" width="6.33203125" style="1" bestFit="1" customWidth="1"/>
    <col min="9230" max="9230" width="11.53125" style="1" customWidth="1"/>
    <col min="9231" max="9469" width="9.33203125" style="1"/>
    <col min="9470" max="9470" width="15.6640625" style="1" customWidth="1"/>
    <col min="9471" max="9471" width="30.46484375" style="1" customWidth="1"/>
    <col min="9472" max="9483" width="10.6640625" style="1" customWidth="1"/>
    <col min="9484" max="9484" width="12.53125" style="1" customWidth="1"/>
    <col min="9485" max="9485" width="6.33203125" style="1" bestFit="1" customWidth="1"/>
    <col min="9486" max="9486" width="11.53125" style="1" customWidth="1"/>
    <col min="9487" max="9725" width="9.33203125" style="1"/>
    <col min="9726" max="9726" width="15.6640625" style="1" customWidth="1"/>
    <col min="9727" max="9727" width="30.46484375" style="1" customWidth="1"/>
    <col min="9728" max="9739" width="10.6640625" style="1" customWidth="1"/>
    <col min="9740" max="9740" width="12.53125" style="1" customWidth="1"/>
    <col min="9741" max="9741" width="6.33203125" style="1" bestFit="1" customWidth="1"/>
    <col min="9742" max="9742" width="11.53125" style="1" customWidth="1"/>
    <col min="9743" max="9981" width="9.33203125" style="1"/>
    <col min="9982" max="9982" width="15.6640625" style="1" customWidth="1"/>
    <col min="9983" max="9983" width="30.46484375" style="1" customWidth="1"/>
    <col min="9984" max="9995" width="10.6640625" style="1" customWidth="1"/>
    <col min="9996" max="9996" width="12.53125" style="1" customWidth="1"/>
    <col min="9997" max="9997" width="6.33203125" style="1" bestFit="1" customWidth="1"/>
    <col min="9998" max="9998" width="11.53125" style="1" customWidth="1"/>
    <col min="9999" max="10237" width="9.33203125" style="1"/>
    <col min="10238" max="10238" width="15.6640625" style="1" customWidth="1"/>
    <col min="10239" max="10239" width="30.46484375" style="1" customWidth="1"/>
    <col min="10240" max="10251" width="10.6640625" style="1" customWidth="1"/>
    <col min="10252" max="10252" width="12.53125" style="1" customWidth="1"/>
    <col min="10253" max="10253" width="6.33203125" style="1" bestFit="1" customWidth="1"/>
    <col min="10254" max="10254" width="11.53125" style="1" customWidth="1"/>
    <col min="10255" max="10493" width="9.33203125" style="1"/>
    <col min="10494" max="10494" width="15.6640625" style="1" customWidth="1"/>
    <col min="10495" max="10495" width="30.46484375" style="1" customWidth="1"/>
    <col min="10496" max="10507" width="10.6640625" style="1" customWidth="1"/>
    <col min="10508" max="10508" width="12.53125" style="1" customWidth="1"/>
    <col min="10509" max="10509" width="6.33203125" style="1" bestFit="1" customWidth="1"/>
    <col min="10510" max="10510" width="11.53125" style="1" customWidth="1"/>
    <col min="10511" max="10749" width="9.33203125" style="1"/>
    <col min="10750" max="10750" width="15.6640625" style="1" customWidth="1"/>
    <col min="10751" max="10751" width="30.46484375" style="1" customWidth="1"/>
    <col min="10752" max="10763" width="10.6640625" style="1" customWidth="1"/>
    <col min="10764" max="10764" width="12.53125" style="1" customWidth="1"/>
    <col min="10765" max="10765" width="6.33203125" style="1" bestFit="1" customWidth="1"/>
    <col min="10766" max="10766" width="11.53125" style="1" customWidth="1"/>
    <col min="10767" max="11005" width="9.33203125" style="1"/>
    <col min="11006" max="11006" width="15.6640625" style="1" customWidth="1"/>
    <col min="11007" max="11007" width="30.46484375" style="1" customWidth="1"/>
    <col min="11008" max="11019" width="10.6640625" style="1" customWidth="1"/>
    <col min="11020" max="11020" width="12.53125" style="1" customWidth="1"/>
    <col min="11021" max="11021" width="6.33203125" style="1" bestFit="1" customWidth="1"/>
    <col min="11022" max="11022" width="11.53125" style="1" customWidth="1"/>
    <col min="11023" max="11261" width="9.33203125" style="1"/>
    <col min="11262" max="11262" width="15.6640625" style="1" customWidth="1"/>
    <col min="11263" max="11263" width="30.46484375" style="1" customWidth="1"/>
    <col min="11264" max="11275" width="10.6640625" style="1" customWidth="1"/>
    <col min="11276" max="11276" width="12.53125" style="1" customWidth="1"/>
    <col min="11277" max="11277" width="6.33203125" style="1" bestFit="1" customWidth="1"/>
    <col min="11278" max="11278" width="11.53125" style="1" customWidth="1"/>
    <col min="11279" max="11517" width="9.33203125" style="1"/>
    <col min="11518" max="11518" width="15.6640625" style="1" customWidth="1"/>
    <col min="11519" max="11519" width="30.46484375" style="1" customWidth="1"/>
    <col min="11520" max="11531" width="10.6640625" style="1" customWidth="1"/>
    <col min="11532" max="11532" width="12.53125" style="1" customWidth="1"/>
    <col min="11533" max="11533" width="6.33203125" style="1" bestFit="1" customWidth="1"/>
    <col min="11534" max="11534" width="11.53125" style="1" customWidth="1"/>
    <col min="11535" max="11773" width="9.33203125" style="1"/>
    <col min="11774" max="11774" width="15.6640625" style="1" customWidth="1"/>
    <col min="11775" max="11775" width="30.46484375" style="1" customWidth="1"/>
    <col min="11776" max="11787" width="10.6640625" style="1" customWidth="1"/>
    <col min="11788" max="11788" width="12.53125" style="1" customWidth="1"/>
    <col min="11789" max="11789" width="6.33203125" style="1" bestFit="1" customWidth="1"/>
    <col min="11790" max="11790" width="11.53125" style="1" customWidth="1"/>
    <col min="11791" max="12029" width="9.33203125" style="1"/>
    <col min="12030" max="12030" width="15.6640625" style="1" customWidth="1"/>
    <col min="12031" max="12031" width="30.46484375" style="1" customWidth="1"/>
    <col min="12032" max="12043" width="10.6640625" style="1" customWidth="1"/>
    <col min="12044" max="12044" width="12.53125" style="1" customWidth="1"/>
    <col min="12045" max="12045" width="6.33203125" style="1" bestFit="1" customWidth="1"/>
    <col min="12046" max="12046" width="11.53125" style="1" customWidth="1"/>
    <col min="12047" max="12285" width="9.33203125" style="1"/>
    <col min="12286" max="12286" width="15.6640625" style="1" customWidth="1"/>
    <col min="12287" max="12287" width="30.46484375" style="1" customWidth="1"/>
    <col min="12288" max="12299" width="10.6640625" style="1" customWidth="1"/>
    <col min="12300" max="12300" width="12.53125" style="1" customWidth="1"/>
    <col min="12301" max="12301" width="6.33203125" style="1" bestFit="1" customWidth="1"/>
    <col min="12302" max="12302" width="11.53125" style="1" customWidth="1"/>
    <col min="12303" max="12541" width="9.33203125" style="1"/>
    <col min="12542" max="12542" width="15.6640625" style="1" customWidth="1"/>
    <col min="12543" max="12543" width="30.46484375" style="1" customWidth="1"/>
    <col min="12544" max="12555" width="10.6640625" style="1" customWidth="1"/>
    <col min="12556" max="12556" width="12.53125" style="1" customWidth="1"/>
    <col min="12557" max="12557" width="6.33203125" style="1" bestFit="1" customWidth="1"/>
    <col min="12558" max="12558" width="11.53125" style="1" customWidth="1"/>
    <col min="12559" max="12797" width="9.33203125" style="1"/>
    <col min="12798" max="12798" width="15.6640625" style="1" customWidth="1"/>
    <col min="12799" max="12799" width="30.46484375" style="1" customWidth="1"/>
    <col min="12800" max="12811" width="10.6640625" style="1" customWidth="1"/>
    <col min="12812" max="12812" width="12.53125" style="1" customWidth="1"/>
    <col min="12813" max="12813" width="6.33203125" style="1" bestFit="1" customWidth="1"/>
    <col min="12814" max="12814" width="11.53125" style="1" customWidth="1"/>
    <col min="12815" max="13053" width="9.33203125" style="1"/>
    <col min="13054" max="13054" width="15.6640625" style="1" customWidth="1"/>
    <col min="13055" max="13055" width="30.46484375" style="1" customWidth="1"/>
    <col min="13056" max="13067" width="10.6640625" style="1" customWidth="1"/>
    <col min="13068" max="13068" width="12.53125" style="1" customWidth="1"/>
    <col min="13069" max="13069" width="6.33203125" style="1" bestFit="1" customWidth="1"/>
    <col min="13070" max="13070" width="11.53125" style="1" customWidth="1"/>
    <col min="13071" max="13309" width="9.33203125" style="1"/>
    <col min="13310" max="13310" width="15.6640625" style="1" customWidth="1"/>
    <col min="13311" max="13311" width="30.46484375" style="1" customWidth="1"/>
    <col min="13312" max="13323" width="10.6640625" style="1" customWidth="1"/>
    <col min="13324" max="13324" width="12.53125" style="1" customWidth="1"/>
    <col min="13325" max="13325" width="6.33203125" style="1" bestFit="1" customWidth="1"/>
    <col min="13326" max="13326" width="11.53125" style="1" customWidth="1"/>
    <col min="13327" max="13565" width="9.33203125" style="1"/>
    <col min="13566" max="13566" width="15.6640625" style="1" customWidth="1"/>
    <col min="13567" max="13567" width="30.46484375" style="1" customWidth="1"/>
    <col min="13568" max="13579" width="10.6640625" style="1" customWidth="1"/>
    <col min="13580" max="13580" width="12.53125" style="1" customWidth="1"/>
    <col min="13581" max="13581" width="6.33203125" style="1" bestFit="1" customWidth="1"/>
    <col min="13582" max="13582" width="11.53125" style="1" customWidth="1"/>
    <col min="13583" max="13821" width="9.33203125" style="1"/>
    <col min="13822" max="13822" width="15.6640625" style="1" customWidth="1"/>
    <col min="13823" max="13823" width="30.46484375" style="1" customWidth="1"/>
    <col min="13824" max="13835" width="10.6640625" style="1" customWidth="1"/>
    <col min="13836" max="13836" width="12.53125" style="1" customWidth="1"/>
    <col min="13837" max="13837" width="6.33203125" style="1" bestFit="1" customWidth="1"/>
    <col min="13838" max="13838" width="11.53125" style="1" customWidth="1"/>
    <col min="13839" max="14077" width="9.33203125" style="1"/>
    <col min="14078" max="14078" width="15.6640625" style="1" customWidth="1"/>
    <col min="14079" max="14079" width="30.46484375" style="1" customWidth="1"/>
    <col min="14080" max="14091" width="10.6640625" style="1" customWidth="1"/>
    <col min="14092" max="14092" width="12.53125" style="1" customWidth="1"/>
    <col min="14093" max="14093" width="6.33203125" style="1" bestFit="1" customWidth="1"/>
    <col min="14094" max="14094" width="11.53125" style="1" customWidth="1"/>
    <col min="14095" max="14333" width="9.33203125" style="1"/>
    <col min="14334" max="14334" width="15.6640625" style="1" customWidth="1"/>
    <col min="14335" max="14335" width="30.46484375" style="1" customWidth="1"/>
    <col min="14336" max="14347" width="10.6640625" style="1" customWidth="1"/>
    <col min="14348" max="14348" width="12.53125" style="1" customWidth="1"/>
    <col min="14349" max="14349" width="6.33203125" style="1" bestFit="1" customWidth="1"/>
    <col min="14350" max="14350" width="11.53125" style="1" customWidth="1"/>
    <col min="14351" max="14589" width="9.33203125" style="1"/>
    <col min="14590" max="14590" width="15.6640625" style="1" customWidth="1"/>
    <col min="14591" max="14591" width="30.46484375" style="1" customWidth="1"/>
    <col min="14592" max="14603" width="10.6640625" style="1" customWidth="1"/>
    <col min="14604" max="14604" width="12.53125" style="1" customWidth="1"/>
    <col min="14605" max="14605" width="6.33203125" style="1" bestFit="1" customWidth="1"/>
    <col min="14606" max="14606" width="11.53125" style="1" customWidth="1"/>
    <col min="14607" max="14845" width="9.33203125" style="1"/>
    <col min="14846" max="14846" width="15.6640625" style="1" customWidth="1"/>
    <col min="14847" max="14847" width="30.46484375" style="1" customWidth="1"/>
    <col min="14848" max="14859" width="10.6640625" style="1" customWidth="1"/>
    <col min="14860" max="14860" width="12.53125" style="1" customWidth="1"/>
    <col min="14861" max="14861" width="6.33203125" style="1" bestFit="1" customWidth="1"/>
    <col min="14862" max="14862" width="11.53125" style="1" customWidth="1"/>
    <col min="14863" max="15101" width="9.33203125" style="1"/>
    <col min="15102" max="15102" width="15.6640625" style="1" customWidth="1"/>
    <col min="15103" max="15103" width="30.46484375" style="1" customWidth="1"/>
    <col min="15104" max="15115" width="10.6640625" style="1" customWidth="1"/>
    <col min="15116" max="15116" width="12.53125" style="1" customWidth="1"/>
    <col min="15117" max="15117" width="6.33203125" style="1" bestFit="1" customWidth="1"/>
    <col min="15118" max="15118" width="11.53125" style="1" customWidth="1"/>
    <col min="15119" max="15357" width="9.33203125" style="1"/>
    <col min="15358" max="15358" width="15.6640625" style="1" customWidth="1"/>
    <col min="15359" max="15359" width="30.46484375" style="1" customWidth="1"/>
    <col min="15360" max="15371" width="10.6640625" style="1" customWidth="1"/>
    <col min="15372" max="15372" width="12.53125" style="1" customWidth="1"/>
    <col min="15373" max="15373" width="6.33203125" style="1" bestFit="1" customWidth="1"/>
    <col min="15374" max="15374" width="11.53125" style="1" customWidth="1"/>
    <col min="15375" max="15613" width="9.33203125" style="1"/>
    <col min="15614" max="15614" width="15.6640625" style="1" customWidth="1"/>
    <col min="15615" max="15615" width="30.46484375" style="1" customWidth="1"/>
    <col min="15616" max="15627" width="10.6640625" style="1" customWidth="1"/>
    <col min="15628" max="15628" width="12.53125" style="1" customWidth="1"/>
    <col min="15629" max="15629" width="6.33203125" style="1" bestFit="1" customWidth="1"/>
    <col min="15630" max="15630" width="11.53125" style="1" customWidth="1"/>
    <col min="15631" max="15869" width="9.33203125" style="1"/>
    <col min="15870" max="15870" width="15.6640625" style="1" customWidth="1"/>
    <col min="15871" max="15871" width="30.46484375" style="1" customWidth="1"/>
    <col min="15872" max="15883" width="10.6640625" style="1" customWidth="1"/>
    <col min="15884" max="15884" width="12.53125" style="1" customWidth="1"/>
    <col min="15885" max="15885" width="6.33203125" style="1" bestFit="1" customWidth="1"/>
    <col min="15886" max="15886" width="11.53125" style="1" customWidth="1"/>
    <col min="15887" max="16125" width="9.33203125" style="1"/>
    <col min="16126" max="16126" width="15.6640625" style="1" customWidth="1"/>
    <col min="16127" max="16127" width="30.46484375" style="1" customWidth="1"/>
    <col min="16128" max="16139" width="10.6640625" style="1" customWidth="1"/>
    <col min="16140" max="16140" width="12.53125" style="1" customWidth="1"/>
    <col min="16141" max="16141" width="6.33203125" style="1" bestFit="1" customWidth="1"/>
    <col min="16142" max="16142" width="11.53125" style="1" customWidth="1"/>
    <col min="16143" max="16384" width="9.33203125" style="1"/>
  </cols>
  <sheetData>
    <row r="2" spans="2:15" x14ac:dyDescent="0.4">
      <c r="B2" s="1875" t="str">
        <f>+Index!$B$2</f>
        <v>Nidar Utilities Panvel LLP</v>
      </c>
      <c r="C2" s="1875"/>
      <c r="D2" s="1875"/>
      <c r="E2" s="1875"/>
      <c r="F2" s="1875"/>
      <c r="G2" s="1875"/>
      <c r="H2" s="1875"/>
      <c r="I2" s="1875"/>
      <c r="J2" s="1875"/>
      <c r="K2" s="1875"/>
      <c r="L2" s="1875"/>
      <c r="M2" s="1875"/>
      <c r="N2" s="1875"/>
      <c r="O2" s="1875"/>
    </row>
    <row r="3" spans="2:15" x14ac:dyDescent="0.4">
      <c r="B3" s="1875" t="s">
        <v>107</v>
      </c>
      <c r="C3" s="1875"/>
      <c r="D3" s="1875"/>
      <c r="E3" s="1875"/>
      <c r="F3" s="1875"/>
      <c r="G3" s="1875"/>
      <c r="H3" s="1875"/>
      <c r="I3" s="1875"/>
      <c r="J3" s="1875"/>
      <c r="K3" s="1875"/>
      <c r="L3" s="1875"/>
      <c r="M3" s="1875"/>
      <c r="N3" s="1875"/>
      <c r="O3" s="1875"/>
    </row>
    <row r="4" spans="2:15" x14ac:dyDescent="0.4">
      <c r="B4" s="1875" t="s">
        <v>1138</v>
      </c>
      <c r="C4" s="1875"/>
      <c r="D4" s="1875"/>
      <c r="E4" s="1875"/>
      <c r="F4" s="1875"/>
      <c r="G4" s="1875"/>
      <c r="H4" s="1875"/>
      <c r="I4" s="1875"/>
      <c r="J4" s="1875"/>
      <c r="K4" s="1875"/>
      <c r="L4" s="1875"/>
      <c r="M4" s="1875"/>
      <c r="N4" s="1875"/>
      <c r="O4" s="1875"/>
    </row>
    <row r="5" spans="2:15" x14ac:dyDescent="0.4">
      <c r="B5" s="12"/>
      <c r="C5" s="8"/>
      <c r="D5" s="8"/>
      <c r="E5" s="8"/>
      <c r="F5" s="8"/>
      <c r="G5" s="8"/>
      <c r="H5" s="8"/>
      <c r="I5" s="8"/>
      <c r="J5" s="8"/>
      <c r="K5" s="8"/>
      <c r="L5" s="8"/>
      <c r="M5" s="8"/>
      <c r="N5" s="8"/>
      <c r="O5" s="8"/>
    </row>
    <row r="6" spans="2:15" x14ac:dyDescent="0.4">
      <c r="B6" s="12"/>
      <c r="C6" s="8"/>
      <c r="D6" s="8"/>
      <c r="E6" s="8"/>
      <c r="F6" s="8"/>
      <c r="G6" s="8"/>
      <c r="H6" s="8"/>
      <c r="I6" s="8"/>
      <c r="J6" s="8"/>
      <c r="K6" s="8"/>
      <c r="L6" s="8"/>
      <c r="M6" s="8"/>
      <c r="N6" s="8"/>
      <c r="O6" s="8"/>
    </row>
    <row r="7" spans="2:15" x14ac:dyDescent="0.4">
      <c r="B7" s="32" t="s">
        <v>159</v>
      </c>
      <c r="C7" s="8"/>
      <c r="D7" s="8"/>
      <c r="E7" s="8"/>
      <c r="F7" s="8"/>
      <c r="G7" s="8"/>
      <c r="H7" s="8"/>
      <c r="I7" s="8"/>
      <c r="J7" s="8"/>
      <c r="K7" s="8"/>
      <c r="L7" s="8"/>
      <c r="M7" s="8"/>
      <c r="N7" s="8"/>
      <c r="O7" s="4"/>
    </row>
    <row r="8" spans="2:15" x14ac:dyDescent="0.4">
      <c r="B8" s="32"/>
      <c r="C8" s="8"/>
      <c r="D8" s="8"/>
      <c r="E8" s="8"/>
      <c r="F8" s="8"/>
      <c r="G8" s="8"/>
      <c r="H8" s="8"/>
      <c r="I8" s="8"/>
      <c r="J8" s="8"/>
      <c r="K8" s="8"/>
      <c r="L8" s="8"/>
      <c r="M8" s="8"/>
      <c r="N8" s="8"/>
      <c r="O8" s="4"/>
    </row>
    <row r="9" spans="2:15" x14ac:dyDescent="0.4">
      <c r="B9" s="1947" t="s">
        <v>160</v>
      </c>
      <c r="C9" s="98" t="s">
        <v>196</v>
      </c>
      <c r="D9" s="98" t="s">
        <v>197</v>
      </c>
      <c r="E9" s="98" t="s">
        <v>198</v>
      </c>
      <c r="F9" s="98" t="s">
        <v>199</v>
      </c>
      <c r="G9" s="362" t="s">
        <v>112</v>
      </c>
      <c r="H9" s="362" t="s">
        <v>113</v>
      </c>
      <c r="I9" s="362" t="s">
        <v>114</v>
      </c>
      <c r="J9" s="1934" t="s">
        <v>1019</v>
      </c>
      <c r="K9" s="1935"/>
      <c r="L9" s="1935"/>
      <c r="M9" s="1935"/>
      <c r="N9" s="1936"/>
      <c r="O9" s="363"/>
    </row>
    <row r="10" spans="2:15" ht="27" x14ac:dyDescent="0.4">
      <c r="B10" s="1947"/>
      <c r="C10" s="1934" t="s">
        <v>117</v>
      </c>
      <c r="D10" s="1935"/>
      <c r="E10" s="1935"/>
      <c r="F10" s="1935"/>
      <c r="G10" s="1935"/>
      <c r="H10" s="1936"/>
      <c r="I10" s="217" t="s">
        <v>121</v>
      </c>
      <c r="J10" s="217" t="s">
        <v>123</v>
      </c>
      <c r="K10" s="217" t="s">
        <v>124</v>
      </c>
      <c r="L10" s="217" t="s">
        <v>125</v>
      </c>
      <c r="M10" s="217" t="s">
        <v>126</v>
      </c>
      <c r="N10" s="217" t="s">
        <v>127</v>
      </c>
      <c r="O10" s="217"/>
    </row>
    <row r="11" spans="2:15" x14ac:dyDescent="0.4">
      <c r="B11" s="517" t="s">
        <v>161</v>
      </c>
      <c r="C11" s="78"/>
      <c r="D11" s="78"/>
      <c r="E11" s="78"/>
      <c r="F11" s="3"/>
      <c r="G11" s="3"/>
      <c r="H11" s="2"/>
      <c r="I11" s="43"/>
      <c r="J11" s="44"/>
      <c r="K11" s="124"/>
      <c r="L11" s="124"/>
      <c r="M11" s="2"/>
      <c r="N11" s="2"/>
      <c r="O11" s="2"/>
    </row>
    <row r="12" spans="2:15" x14ac:dyDescent="0.4">
      <c r="B12" s="429" t="s">
        <v>1129</v>
      </c>
      <c r="C12" s="523">
        <f>+O47</f>
        <v>0</v>
      </c>
      <c r="D12" s="523">
        <f>+O75</f>
        <v>0</v>
      </c>
      <c r="E12" s="551">
        <f>+O103</f>
        <v>1.44E-2</v>
      </c>
      <c r="F12" s="565">
        <f>+O133</f>
        <v>0.2327999999999999</v>
      </c>
      <c r="G12" s="565">
        <f>+O164</f>
        <v>0.23520000000000008</v>
      </c>
      <c r="H12" s="565">
        <f>+O196</f>
        <v>0.28320001560000035</v>
      </c>
      <c r="I12" s="565">
        <f>+O229</f>
        <v>0.18479900000000216</v>
      </c>
      <c r="J12" s="529">
        <f>+O261</f>
        <v>0.18479900000000216</v>
      </c>
      <c r="K12" s="564">
        <f>+O289</f>
        <v>0.18479900000000216</v>
      </c>
      <c r="L12" s="564">
        <f>+O317</f>
        <v>0.18479900000000216</v>
      </c>
      <c r="M12" s="529">
        <f>+O345</f>
        <v>0.18479900000000216</v>
      </c>
      <c r="N12" s="529">
        <f>+O373</f>
        <v>0.18479900000000216</v>
      </c>
      <c r="O12" s="2"/>
    </row>
    <row r="13" spans="2:15" x14ac:dyDescent="0.4">
      <c r="B13" s="429" t="s">
        <v>1130</v>
      </c>
      <c r="C13" s="527"/>
      <c r="D13" s="523">
        <f>+O76</f>
        <v>1.30500858</v>
      </c>
      <c r="E13" s="551">
        <f>+O104</f>
        <v>1.4610856130000001</v>
      </c>
      <c r="F13" s="565">
        <f>+O134</f>
        <v>1.3284717518999998</v>
      </c>
      <c r="G13" s="565">
        <f>+O165</f>
        <v>0.2832694</v>
      </c>
      <c r="H13" s="565">
        <f>+O197</f>
        <v>0.33086001000000004</v>
      </c>
      <c r="I13" s="565">
        <f>+O230</f>
        <v>0.46751607000000006</v>
      </c>
      <c r="J13" s="529">
        <f>+O262</f>
        <v>0.59274405669302432</v>
      </c>
      <c r="K13" s="564">
        <f>+O290</f>
        <v>0.71129286803162961</v>
      </c>
      <c r="L13" s="564">
        <f>+O318</f>
        <v>0.71129286803162928</v>
      </c>
      <c r="M13" s="529">
        <f>+O346</f>
        <v>0.94839049070883918</v>
      </c>
      <c r="N13" s="529">
        <f>+O374</f>
        <v>0.94839049070883907</v>
      </c>
      <c r="O13" s="2"/>
    </row>
    <row r="14" spans="2:15" x14ac:dyDescent="0.4">
      <c r="B14" s="429" t="s">
        <v>1131</v>
      </c>
      <c r="C14" s="527"/>
      <c r="D14" s="523">
        <f>+O77</f>
        <v>0.56330367000000003</v>
      </c>
      <c r="E14" s="551">
        <f>+O105</f>
        <v>0</v>
      </c>
      <c r="F14" s="565">
        <f>+O135</f>
        <v>0</v>
      </c>
      <c r="G14" s="565">
        <f>+O166</f>
        <v>0</v>
      </c>
      <c r="H14" s="565">
        <f>+O198</f>
        <v>0</v>
      </c>
      <c r="I14" s="565">
        <f>+O231</f>
        <v>0</v>
      </c>
      <c r="J14" s="529">
        <f>+O263</f>
        <v>0</v>
      </c>
      <c r="K14" s="564">
        <f>+O291</f>
        <v>0</v>
      </c>
      <c r="L14" s="564">
        <f>+O319</f>
        <v>0</v>
      </c>
      <c r="M14" s="529">
        <f>+O347</f>
        <v>0</v>
      </c>
      <c r="N14" s="529">
        <f>+O375</f>
        <v>0</v>
      </c>
      <c r="O14" s="2"/>
    </row>
    <row r="15" spans="2:15" x14ac:dyDescent="0.4">
      <c r="B15" s="429" t="s">
        <v>1132</v>
      </c>
      <c r="C15" s="527"/>
      <c r="D15" s="523">
        <f>+O78</f>
        <v>0</v>
      </c>
      <c r="E15" s="551">
        <f>+O106</f>
        <v>0</v>
      </c>
      <c r="F15" s="565">
        <f>+O136</f>
        <v>0</v>
      </c>
      <c r="G15" s="565">
        <f>+O167</f>
        <v>0</v>
      </c>
      <c r="H15" s="565">
        <f>+O199</f>
        <v>0</v>
      </c>
      <c r="I15" s="565">
        <f>+O232</f>
        <v>0</v>
      </c>
      <c r="J15" s="529">
        <f>+O264</f>
        <v>0</v>
      </c>
      <c r="K15" s="564">
        <f>+O292</f>
        <v>0</v>
      </c>
      <c r="L15" s="564">
        <f>+O320</f>
        <v>0</v>
      </c>
      <c r="M15" s="529">
        <f>+O348</f>
        <v>0</v>
      </c>
      <c r="N15" s="529">
        <f>+O376</f>
        <v>0</v>
      </c>
      <c r="O15" s="2"/>
    </row>
    <row r="16" spans="2:15" x14ac:dyDescent="0.4">
      <c r="B16" s="518" t="s">
        <v>162</v>
      </c>
      <c r="C16" s="532"/>
      <c r="D16" s="532">
        <f t="shared" ref="D16:N16" si="0">SUM(D12:D15)</f>
        <v>1.86831225</v>
      </c>
      <c r="E16" s="532">
        <f t="shared" si="0"/>
        <v>1.475485613</v>
      </c>
      <c r="F16" s="532">
        <f t="shared" si="0"/>
        <v>1.5612717518999997</v>
      </c>
      <c r="G16" s="532">
        <f t="shared" si="0"/>
        <v>0.51846940000000008</v>
      </c>
      <c r="H16" s="532">
        <f t="shared" si="0"/>
        <v>0.61406002560000039</v>
      </c>
      <c r="I16" s="532">
        <f t="shared" si="0"/>
        <v>0.65231507000000222</v>
      </c>
      <c r="J16" s="532">
        <f t="shared" si="0"/>
        <v>0.77754305669302648</v>
      </c>
      <c r="K16" s="532">
        <f t="shared" si="0"/>
        <v>0.89609186803163177</v>
      </c>
      <c r="L16" s="532">
        <f t="shared" si="0"/>
        <v>0.89609186803163143</v>
      </c>
      <c r="M16" s="532">
        <f t="shared" si="0"/>
        <v>1.1331894907088413</v>
      </c>
      <c r="N16" s="532">
        <f t="shared" si="0"/>
        <v>1.1331894907088413</v>
      </c>
      <c r="O16" s="2"/>
    </row>
    <row r="17" spans="2:15" x14ac:dyDescent="0.4">
      <c r="B17" s="517" t="s">
        <v>163</v>
      </c>
      <c r="C17" s="533"/>
      <c r="D17" s="533"/>
      <c r="E17" s="533"/>
      <c r="F17" s="528"/>
      <c r="G17" s="528"/>
      <c r="H17" s="529"/>
      <c r="I17" s="528"/>
      <c r="J17" s="528"/>
      <c r="K17" s="530"/>
      <c r="L17" s="530"/>
      <c r="M17" s="529"/>
      <c r="N17" s="529"/>
      <c r="O17" s="2"/>
    </row>
    <row r="18" spans="2:15" x14ac:dyDescent="0.4">
      <c r="B18" s="519" t="s">
        <v>1133</v>
      </c>
      <c r="C18" s="527"/>
      <c r="D18" s="527"/>
      <c r="E18" s="527"/>
      <c r="F18" s="528"/>
      <c r="G18" s="528"/>
      <c r="H18" s="529"/>
      <c r="I18" s="528"/>
      <c r="J18" s="528"/>
      <c r="K18" s="530"/>
      <c r="L18" s="530"/>
      <c r="M18" s="529"/>
      <c r="N18" s="529"/>
      <c r="O18" s="2"/>
    </row>
    <row r="19" spans="2:15" x14ac:dyDescent="0.4">
      <c r="B19" s="520" t="s">
        <v>1106</v>
      </c>
      <c r="C19" s="527"/>
      <c r="D19" s="523">
        <f>+O82</f>
        <v>4.5234989999999996E-2</v>
      </c>
      <c r="E19" s="551">
        <f t="shared" ref="E19:E26" si="1">+O110</f>
        <v>0.17605925</v>
      </c>
      <c r="F19" s="565">
        <f t="shared" ref="F19:F26" si="2">+O140</f>
        <v>0.34350700000000006</v>
      </c>
      <c r="G19" s="565">
        <f t="shared" ref="G19:G31" si="3">+O171</f>
        <v>0.60887500000000006</v>
      </c>
      <c r="H19" s="565">
        <f t="shared" ref="H19:H31" si="4">+O203</f>
        <v>0.93132999999999988</v>
      </c>
      <c r="I19" s="565">
        <f t="shared" ref="I19:I31" si="5">+O236</f>
        <v>1.2685139999999999</v>
      </c>
      <c r="J19" s="529">
        <f t="shared" ref="J19:J31" si="6">+O268</f>
        <v>1.6685011957773752</v>
      </c>
      <c r="K19" s="564">
        <f t="shared" ref="K19:K31" si="7">+O296</f>
        <v>2.0022014349328505</v>
      </c>
      <c r="L19" s="564">
        <f t="shared" ref="L19:L31" si="8">+O324</f>
        <v>2.0022014349328505</v>
      </c>
      <c r="M19" s="529">
        <f t="shared" ref="M19:M31" si="9">+O352</f>
        <v>2.6696019132437998</v>
      </c>
      <c r="N19" s="529">
        <f t="shared" ref="N19:N31" si="10">+O380</f>
        <v>2.6696019132438007</v>
      </c>
      <c r="O19" s="2"/>
    </row>
    <row r="20" spans="2:15" x14ac:dyDescent="0.4">
      <c r="B20" s="520" t="s">
        <v>1107</v>
      </c>
      <c r="C20" s="527"/>
      <c r="D20" s="523">
        <f>+O83</f>
        <v>8.3919010000000002E-2</v>
      </c>
      <c r="E20" s="551">
        <f t="shared" si="1"/>
        <v>0.13921244499999999</v>
      </c>
      <c r="F20" s="565">
        <f t="shared" si="2"/>
        <v>0.29010199999999997</v>
      </c>
      <c r="G20" s="565">
        <f t="shared" si="3"/>
        <v>0.58151600000000014</v>
      </c>
      <c r="H20" s="565">
        <f t="shared" si="4"/>
        <v>0.90188899999999994</v>
      </c>
      <c r="I20" s="565">
        <f t="shared" si="5"/>
        <v>1.3396719999999998</v>
      </c>
      <c r="J20" s="529">
        <f t="shared" si="6"/>
        <v>1.6157569013759479</v>
      </c>
      <c r="K20" s="564">
        <f t="shared" si="7"/>
        <v>1.9389082816511378</v>
      </c>
      <c r="L20" s="564">
        <f t="shared" si="8"/>
        <v>1.9389082816511376</v>
      </c>
      <c r="M20" s="529">
        <f t="shared" si="9"/>
        <v>2.5852110422015162</v>
      </c>
      <c r="N20" s="529">
        <f t="shared" si="10"/>
        <v>2.5852110422015158</v>
      </c>
      <c r="O20" s="2"/>
    </row>
    <row r="21" spans="2:15" x14ac:dyDescent="0.4">
      <c r="B21" s="520" t="s">
        <v>1108</v>
      </c>
      <c r="C21" s="527"/>
      <c r="D21" s="523">
        <f>+O84</f>
        <v>3.5031049999999994E-2</v>
      </c>
      <c r="E21" s="551">
        <f t="shared" si="1"/>
        <v>4.2151488999999993E-2</v>
      </c>
      <c r="F21" s="565">
        <f t="shared" si="2"/>
        <v>9.0147000000000005E-2</v>
      </c>
      <c r="G21" s="565">
        <f t="shared" si="3"/>
        <v>0.19316800000000001</v>
      </c>
      <c r="H21" s="565">
        <f t="shared" si="4"/>
        <v>0.31589299999999998</v>
      </c>
      <c r="I21" s="565">
        <f t="shared" si="5"/>
        <v>0.51790599999999987</v>
      </c>
      <c r="J21" s="529">
        <f t="shared" si="6"/>
        <v>0.56593028060698414</v>
      </c>
      <c r="K21" s="564">
        <f t="shared" si="7"/>
        <v>0.67911633672838101</v>
      </c>
      <c r="L21" s="564">
        <f t="shared" si="8"/>
        <v>0.67911633672838123</v>
      </c>
      <c r="M21" s="529">
        <f t="shared" si="9"/>
        <v>0.90548844897117431</v>
      </c>
      <c r="N21" s="529">
        <f t="shared" si="10"/>
        <v>0.90548844897117453</v>
      </c>
      <c r="O21" s="2"/>
    </row>
    <row r="22" spans="2:15" x14ac:dyDescent="0.4">
      <c r="B22" s="520" t="s">
        <v>1109</v>
      </c>
      <c r="C22" s="527"/>
      <c r="D22" s="523">
        <f>+O85</f>
        <v>3.430271E-2</v>
      </c>
      <c r="E22" s="551">
        <f t="shared" si="1"/>
        <v>0.49055880999999996</v>
      </c>
      <c r="F22" s="565">
        <f t="shared" si="2"/>
        <v>0.84930899999999998</v>
      </c>
      <c r="G22" s="565">
        <f t="shared" si="3"/>
        <v>1.5647049999999998</v>
      </c>
      <c r="H22" s="565">
        <f t="shared" si="4"/>
        <v>1.8567230000000001</v>
      </c>
      <c r="I22" s="565">
        <f t="shared" si="5"/>
        <v>1.9953139999999996</v>
      </c>
      <c r="J22" s="529">
        <f t="shared" si="6"/>
        <v>3.3263661062430678</v>
      </c>
      <c r="K22" s="564">
        <f t="shared" si="7"/>
        <v>3.9916393274916824</v>
      </c>
      <c r="L22" s="564">
        <f t="shared" si="8"/>
        <v>3.991639327491681</v>
      </c>
      <c r="M22" s="529">
        <f t="shared" si="9"/>
        <v>5.3221857699889075</v>
      </c>
      <c r="N22" s="529">
        <f t="shared" si="10"/>
        <v>5.3221857699889075</v>
      </c>
      <c r="O22" s="2"/>
    </row>
    <row r="23" spans="2:15" x14ac:dyDescent="0.4">
      <c r="B23" s="520" t="s">
        <v>1110</v>
      </c>
      <c r="C23" s="527"/>
      <c r="D23" s="523">
        <f>+O86</f>
        <v>0.30698021999999997</v>
      </c>
      <c r="E23" s="551">
        <f t="shared" si="1"/>
        <v>0</v>
      </c>
      <c r="F23" s="565">
        <f t="shared" si="2"/>
        <v>0</v>
      </c>
      <c r="G23" s="565">
        <f t="shared" si="3"/>
        <v>0</v>
      </c>
      <c r="H23" s="565">
        <f t="shared" si="4"/>
        <v>0</v>
      </c>
      <c r="I23" s="565">
        <f t="shared" si="5"/>
        <v>0</v>
      </c>
      <c r="J23" s="529">
        <f t="shared" si="6"/>
        <v>0</v>
      </c>
      <c r="K23" s="564">
        <f t="shared" si="7"/>
        <v>0</v>
      </c>
      <c r="L23" s="564">
        <f t="shared" si="8"/>
        <v>0</v>
      </c>
      <c r="M23" s="529">
        <f t="shared" si="9"/>
        <v>0</v>
      </c>
      <c r="N23" s="529">
        <f t="shared" si="10"/>
        <v>0</v>
      </c>
      <c r="O23" s="2"/>
    </row>
    <row r="24" spans="2:15" x14ac:dyDescent="0.4">
      <c r="B24" s="519" t="s">
        <v>1139</v>
      </c>
      <c r="C24" s="527"/>
      <c r="D24" s="523"/>
      <c r="E24" s="551">
        <f t="shared" si="1"/>
        <v>0</v>
      </c>
      <c r="F24" s="565">
        <f t="shared" si="2"/>
        <v>0</v>
      </c>
      <c r="G24" s="565">
        <f t="shared" si="3"/>
        <v>0</v>
      </c>
      <c r="H24" s="565">
        <f t="shared" si="4"/>
        <v>0</v>
      </c>
      <c r="I24" s="565">
        <f t="shared" si="5"/>
        <v>0</v>
      </c>
      <c r="J24" s="529">
        <f t="shared" si="6"/>
        <v>0</v>
      </c>
      <c r="K24" s="564">
        <f t="shared" si="7"/>
        <v>0</v>
      </c>
      <c r="L24" s="564">
        <f t="shared" si="8"/>
        <v>0</v>
      </c>
      <c r="M24" s="529">
        <f t="shared" si="9"/>
        <v>0</v>
      </c>
      <c r="N24" s="529">
        <f t="shared" si="10"/>
        <v>0</v>
      </c>
      <c r="O24" s="2"/>
    </row>
    <row r="25" spans="2:15" x14ac:dyDescent="0.4">
      <c r="B25" s="520" t="s">
        <v>1140</v>
      </c>
      <c r="C25" s="527"/>
      <c r="D25" s="523">
        <f>+O87</f>
        <v>1.8100000000000001E-4</v>
      </c>
      <c r="E25" s="551">
        <f t="shared" si="1"/>
        <v>8.5880000000000001E-3</v>
      </c>
      <c r="F25" s="565">
        <f t="shared" si="2"/>
        <v>4.0542999999999996E-2</v>
      </c>
      <c r="G25" s="565">
        <f t="shared" si="3"/>
        <v>7.4424000000000004E-2</v>
      </c>
      <c r="H25" s="565">
        <f t="shared" si="4"/>
        <v>0.15646300000000002</v>
      </c>
      <c r="I25" s="565">
        <f t="shared" si="5"/>
        <v>0.25776300000000002</v>
      </c>
      <c r="J25" s="529">
        <f t="shared" si="6"/>
        <v>0.28030741261949632</v>
      </c>
      <c r="K25" s="564">
        <f t="shared" si="7"/>
        <v>0.33636889514339563</v>
      </c>
      <c r="L25" s="564">
        <f t="shared" si="8"/>
        <v>0.33636889514339563</v>
      </c>
      <c r="M25" s="529">
        <f t="shared" si="9"/>
        <v>0.44849186019119414</v>
      </c>
      <c r="N25" s="529">
        <f t="shared" si="10"/>
        <v>0.44849186019119414</v>
      </c>
      <c r="O25" s="2"/>
    </row>
    <row r="26" spans="2:15" x14ac:dyDescent="0.4">
      <c r="B26" s="520" t="s">
        <v>1144</v>
      </c>
      <c r="C26" s="527"/>
      <c r="D26" s="523"/>
      <c r="E26" s="551">
        <f t="shared" si="1"/>
        <v>0</v>
      </c>
      <c r="F26" s="565">
        <f t="shared" si="2"/>
        <v>0.12834783</v>
      </c>
      <c r="G26" s="565">
        <f t="shared" si="3"/>
        <v>0.30945506229999997</v>
      </c>
      <c r="H26" s="565">
        <f t="shared" si="4"/>
        <v>0.27486611</v>
      </c>
      <c r="I26" s="565">
        <f t="shared" si="5"/>
        <v>0.48194874999999998</v>
      </c>
      <c r="J26" s="529">
        <f t="shared" si="6"/>
        <v>0.49242957191723197</v>
      </c>
      <c r="K26" s="564">
        <f t="shared" si="7"/>
        <v>0.59091548630067836</v>
      </c>
      <c r="L26" s="564">
        <f t="shared" si="8"/>
        <v>0.59091548630067836</v>
      </c>
      <c r="M26" s="529">
        <f t="shared" si="9"/>
        <v>0.78788731506757104</v>
      </c>
      <c r="N26" s="529">
        <f t="shared" si="10"/>
        <v>0.78788731506757104</v>
      </c>
      <c r="O26" s="2"/>
    </row>
    <row r="27" spans="2:15" x14ac:dyDescent="0.4">
      <c r="B27" s="520" t="s">
        <v>1143</v>
      </c>
      <c r="C27" s="527"/>
      <c r="D27" s="523"/>
      <c r="E27" s="551"/>
      <c r="F27" s="565"/>
      <c r="G27" s="565">
        <f t="shared" si="3"/>
        <v>6.9497249999999997E-2</v>
      </c>
      <c r="H27" s="565">
        <f t="shared" si="4"/>
        <v>8.1854079999999996E-2</v>
      </c>
      <c r="I27" s="565">
        <f t="shared" si="5"/>
        <v>8.7541799999999989E-2</v>
      </c>
      <c r="J27" s="529">
        <f t="shared" si="6"/>
        <v>0.14664364979036104</v>
      </c>
      <c r="K27" s="564">
        <f t="shared" si="7"/>
        <v>0.17597237974843327</v>
      </c>
      <c r="L27" s="564">
        <f t="shared" si="8"/>
        <v>0.17597237974843327</v>
      </c>
      <c r="M27" s="529">
        <f t="shared" si="9"/>
        <v>0.23462983966457771</v>
      </c>
      <c r="N27" s="529">
        <f t="shared" si="10"/>
        <v>0.23462983966457771</v>
      </c>
      <c r="O27" s="2"/>
    </row>
    <row r="28" spans="2:15" x14ac:dyDescent="0.4">
      <c r="B28" s="519" t="s">
        <v>1111</v>
      </c>
      <c r="C28" s="527"/>
      <c r="D28" s="523">
        <f>+O88</f>
        <v>0</v>
      </c>
      <c r="E28" s="551">
        <f>+O118</f>
        <v>7.2580000000000006E-2</v>
      </c>
      <c r="F28" s="565">
        <f>+O148</f>
        <v>0.26699392</v>
      </c>
      <c r="G28" s="565">
        <f t="shared" si="3"/>
        <v>0.34130574200000002</v>
      </c>
      <c r="H28" s="565">
        <f t="shared" si="4"/>
        <v>0.45583488999999999</v>
      </c>
      <c r="I28" s="565">
        <f t="shared" si="5"/>
        <v>0.56095090999999997</v>
      </c>
      <c r="J28" s="529">
        <f t="shared" si="6"/>
        <v>0.81663970777495454</v>
      </c>
      <c r="K28" s="564">
        <f t="shared" si="7"/>
        <v>0.97996764932994562</v>
      </c>
      <c r="L28" s="564">
        <f t="shared" si="8"/>
        <v>0.97996764932994562</v>
      </c>
      <c r="M28" s="529">
        <f t="shared" si="9"/>
        <v>1.3066235324399276</v>
      </c>
      <c r="N28" s="529">
        <f t="shared" si="10"/>
        <v>1.3066235324399273</v>
      </c>
      <c r="O28" s="2"/>
    </row>
    <row r="29" spans="2:15" x14ac:dyDescent="0.4">
      <c r="B29" s="519" t="s">
        <v>1135</v>
      </c>
      <c r="C29" s="527"/>
      <c r="D29" s="523">
        <f>+O89</f>
        <v>2.1779999999999994E-2</v>
      </c>
      <c r="E29" s="551">
        <f>+O119</f>
        <v>1.0022000000000003E-2</v>
      </c>
      <c r="F29" s="565">
        <f>+O149</f>
        <v>1.2699999999999998E-2</v>
      </c>
      <c r="G29" s="565">
        <f t="shared" si="3"/>
        <v>1.1190000000000005E-2</v>
      </c>
      <c r="H29" s="565">
        <f t="shared" si="4"/>
        <v>1.1896999999999998E-2</v>
      </c>
      <c r="I29" s="565">
        <f t="shared" si="5"/>
        <v>1.0749E-2</v>
      </c>
      <c r="J29" s="529">
        <f t="shared" si="6"/>
        <v>2.1313775703739202E-2</v>
      </c>
      <c r="K29" s="564">
        <f t="shared" si="7"/>
        <v>2.5576530844487053E-2</v>
      </c>
      <c r="L29" s="564">
        <f t="shared" si="8"/>
        <v>2.557653084448705E-2</v>
      </c>
      <c r="M29" s="529">
        <f t="shared" si="9"/>
        <v>3.4102041125982731E-2</v>
      </c>
      <c r="N29" s="529">
        <f t="shared" si="10"/>
        <v>3.4102041125982731E-2</v>
      </c>
      <c r="O29" s="2"/>
    </row>
    <row r="30" spans="2:15" x14ac:dyDescent="0.4">
      <c r="B30" s="519" t="s">
        <v>1136</v>
      </c>
      <c r="C30" s="527"/>
      <c r="D30" s="523">
        <f>+O90</f>
        <v>1.318683E-2</v>
      </c>
      <c r="E30" s="551">
        <f>+O120</f>
        <v>6.4155000000000011E-3</v>
      </c>
      <c r="F30" s="565">
        <f>+O150</f>
        <v>3.8269799999999998E-3</v>
      </c>
      <c r="G30" s="565">
        <f t="shared" si="3"/>
        <v>0</v>
      </c>
      <c r="H30" s="565">
        <f t="shared" si="4"/>
        <v>0</v>
      </c>
      <c r="I30" s="565">
        <f t="shared" si="5"/>
        <v>0</v>
      </c>
      <c r="J30" s="529">
        <f t="shared" si="6"/>
        <v>0</v>
      </c>
      <c r="K30" s="564">
        <f t="shared" si="7"/>
        <v>0</v>
      </c>
      <c r="L30" s="564">
        <f t="shared" si="8"/>
        <v>0</v>
      </c>
      <c r="M30" s="529">
        <f t="shared" si="9"/>
        <v>0</v>
      </c>
      <c r="N30" s="529">
        <f t="shared" si="10"/>
        <v>0</v>
      </c>
      <c r="O30" s="2"/>
    </row>
    <row r="31" spans="2:15" x14ac:dyDescent="0.4">
      <c r="B31" s="566" t="s">
        <v>1142</v>
      </c>
      <c r="C31" s="527"/>
      <c r="D31" s="523"/>
      <c r="E31" s="551"/>
      <c r="F31" s="565">
        <f>+O151</f>
        <v>1.8542E-4</v>
      </c>
      <c r="G31" s="565">
        <f t="shared" si="3"/>
        <v>1.778895E-3</v>
      </c>
      <c r="H31" s="565">
        <f t="shared" si="4"/>
        <v>9.4836839999999992E-3</v>
      </c>
      <c r="I31" s="565">
        <f t="shared" si="5"/>
        <v>3.2286402999999991E-2</v>
      </c>
      <c r="J31" s="529">
        <f t="shared" si="6"/>
        <v>1.6990259193169731E-2</v>
      </c>
      <c r="K31" s="564">
        <f t="shared" si="7"/>
        <v>2.0388311031803674E-2</v>
      </c>
      <c r="L31" s="564">
        <f t="shared" si="8"/>
        <v>2.0388311031803674E-2</v>
      </c>
      <c r="M31" s="529">
        <f t="shared" si="9"/>
        <v>2.7184414709071562E-2</v>
      </c>
      <c r="N31" s="529">
        <f t="shared" si="10"/>
        <v>2.7184414709071562E-2</v>
      </c>
      <c r="O31" s="2"/>
    </row>
    <row r="32" spans="2:15" x14ac:dyDescent="0.4">
      <c r="B32" s="518" t="s">
        <v>162</v>
      </c>
      <c r="C32" s="532"/>
      <c r="D32" s="532">
        <f>SUM(D19:D31)</f>
        <v>0.54061580999999992</v>
      </c>
      <c r="E32" s="532">
        <f t="shared" ref="E32:N32" si="11">SUM(E19:E31)</f>
        <v>0.94558749399999997</v>
      </c>
      <c r="F32" s="532">
        <f t="shared" si="11"/>
        <v>2.0256621500000005</v>
      </c>
      <c r="G32" s="532">
        <f t="shared" si="11"/>
        <v>3.7559149493000001</v>
      </c>
      <c r="H32" s="532">
        <f t="shared" si="11"/>
        <v>4.9962337640000003</v>
      </c>
      <c r="I32" s="532">
        <f t="shared" si="11"/>
        <v>6.5526458629999986</v>
      </c>
      <c r="J32" s="532">
        <f t="shared" si="11"/>
        <v>8.9508788610023284</v>
      </c>
      <c r="K32" s="532">
        <f t="shared" si="11"/>
        <v>10.741054633202797</v>
      </c>
      <c r="L32" s="532">
        <f t="shared" si="11"/>
        <v>10.741054633202797</v>
      </c>
      <c r="M32" s="532">
        <f t="shared" si="11"/>
        <v>14.321406177603722</v>
      </c>
      <c r="N32" s="532">
        <f t="shared" si="11"/>
        <v>14.321406177603723</v>
      </c>
      <c r="O32" s="2"/>
    </row>
    <row r="33" spans="2:15" x14ac:dyDescent="0.4">
      <c r="B33" s="521"/>
      <c r="C33" s="532"/>
      <c r="D33" s="532"/>
      <c r="E33" s="532"/>
      <c r="F33" s="529"/>
      <c r="G33" s="529"/>
      <c r="H33" s="529"/>
      <c r="I33" s="529"/>
      <c r="J33" s="529"/>
      <c r="K33" s="530"/>
      <c r="L33" s="530"/>
      <c r="M33" s="529"/>
      <c r="N33" s="529"/>
      <c r="O33" s="2"/>
    </row>
    <row r="34" spans="2:15" x14ac:dyDescent="0.4">
      <c r="B34" s="43" t="s">
        <v>164</v>
      </c>
      <c r="C34" s="534"/>
      <c r="D34" s="534">
        <f t="shared" ref="D34:N34" si="12">+D32+D16</f>
        <v>2.40892806</v>
      </c>
      <c r="E34" s="534">
        <f t="shared" si="12"/>
        <v>2.4210731069999998</v>
      </c>
      <c r="F34" s="534">
        <f t="shared" si="12"/>
        <v>3.5869339019000002</v>
      </c>
      <c r="G34" s="534">
        <f t="shared" si="12"/>
        <v>4.2743843493</v>
      </c>
      <c r="H34" s="534">
        <f t="shared" si="12"/>
        <v>5.6102937896000009</v>
      </c>
      <c r="I34" s="534">
        <f t="shared" si="12"/>
        <v>7.2049609330000006</v>
      </c>
      <c r="J34" s="534">
        <f t="shared" si="12"/>
        <v>9.7284219176953552</v>
      </c>
      <c r="K34" s="534">
        <f t="shared" si="12"/>
        <v>11.63714650123443</v>
      </c>
      <c r="L34" s="534">
        <f t="shared" si="12"/>
        <v>11.637146501234428</v>
      </c>
      <c r="M34" s="534">
        <f t="shared" si="12"/>
        <v>15.454595668312564</v>
      </c>
      <c r="N34" s="534">
        <f t="shared" si="12"/>
        <v>15.454595668312564</v>
      </c>
      <c r="O34" s="2"/>
    </row>
    <row r="35" spans="2:15" x14ac:dyDescent="0.4">
      <c r="B35" s="118" t="s">
        <v>165</v>
      </c>
    </row>
    <row r="36" spans="2:15" x14ac:dyDescent="0.4">
      <c r="B36" s="27" t="s">
        <v>166</v>
      </c>
    </row>
    <row r="37" spans="2:15" x14ac:dyDescent="0.4">
      <c r="B37" s="10" t="s">
        <v>167</v>
      </c>
    </row>
    <row r="38" spans="2:15" x14ac:dyDescent="0.4">
      <c r="B38" s="27" t="s">
        <v>168</v>
      </c>
    </row>
    <row r="39" spans="2:15" x14ac:dyDescent="0.4">
      <c r="B39" s="118"/>
    </row>
    <row r="40" spans="2:15" x14ac:dyDescent="0.4">
      <c r="B40" s="118"/>
    </row>
    <row r="41" spans="2:15" x14ac:dyDescent="0.4">
      <c r="B41" s="32" t="s">
        <v>169</v>
      </c>
    </row>
    <row r="42" spans="2:15" x14ac:dyDescent="0.4">
      <c r="B42" s="32"/>
    </row>
    <row r="43" spans="2:15" x14ac:dyDescent="0.4">
      <c r="B43" s="32" t="s">
        <v>1020</v>
      </c>
      <c r="C43" s="8"/>
      <c r="D43" s="8"/>
      <c r="E43" s="8"/>
      <c r="F43" s="8"/>
      <c r="G43" s="8"/>
      <c r="H43" s="8"/>
      <c r="I43" s="8"/>
      <c r="J43" s="8"/>
      <c r="K43" s="8"/>
      <c r="L43" s="8"/>
      <c r="M43" s="8"/>
      <c r="N43" s="8"/>
      <c r="O43" s="4"/>
    </row>
    <row r="44" spans="2:15" x14ac:dyDescent="0.4">
      <c r="B44" s="32"/>
      <c r="C44" s="38"/>
      <c r="D44" s="38"/>
      <c r="O44" s="38" t="s">
        <v>171</v>
      </c>
    </row>
    <row r="45" spans="2:15" x14ac:dyDescent="0.4">
      <c r="B45" s="98" t="s">
        <v>160</v>
      </c>
      <c r="C45" s="98" t="s">
        <v>172</v>
      </c>
      <c r="D45" s="98" t="s">
        <v>173</v>
      </c>
      <c r="E45" s="98" t="s">
        <v>174</v>
      </c>
      <c r="F45" s="98" t="s">
        <v>175</v>
      </c>
      <c r="G45" s="98" t="s">
        <v>176</v>
      </c>
      <c r="H45" s="98" t="s">
        <v>177</v>
      </c>
      <c r="I45" s="98" t="s">
        <v>178</v>
      </c>
      <c r="J45" s="98" t="s">
        <v>179</v>
      </c>
      <c r="K45" s="98" t="s">
        <v>180</v>
      </c>
      <c r="L45" s="98" t="s">
        <v>181</v>
      </c>
      <c r="M45" s="98" t="s">
        <v>182</v>
      </c>
      <c r="N45" s="98" t="s">
        <v>183</v>
      </c>
      <c r="O45" s="98" t="s">
        <v>164</v>
      </c>
    </row>
    <row r="46" spans="2:15" ht="13.8" customHeight="1" x14ac:dyDescent="0.4">
      <c r="B46" s="517" t="s">
        <v>161</v>
      </c>
      <c r="C46" s="1948" t="s">
        <v>1128</v>
      </c>
      <c r="D46" s="1949"/>
      <c r="E46" s="1949"/>
      <c r="F46" s="1949"/>
      <c r="G46" s="1949"/>
      <c r="H46" s="1949"/>
      <c r="I46" s="1949"/>
      <c r="J46" s="1949"/>
      <c r="K46" s="1949"/>
      <c r="L46" s="1949"/>
      <c r="M46" s="1949"/>
      <c r="N46" s="1949"/>
      <c r="O46" s="1949"/>
    </row>
    <row r="47" spans="2:15" x14ac:dyDescent="0.4">
      <c r="B47" s="429" t="s">
        <v>1129</v>
      </c>
      <c r="C47" s="1951"/>
      <c r="D47" s="1952"/>
      <c r="E47" s="1952"/>
      <c r="F47" s="1952"/>
      <c r="G47" s="1952"/>
      <c r="H47" s="1952"/>
      <c r="I47" s="1952"/>
      <c r="J47" s="1952"/>
      <c r="K47" s="1952"/>
      <c r="L47" s="1952"/>
      <c r="M47" s="1952"/>
      <c r="N47" s="1952"/>
      <c r="O47" s="1952"/>
    </row>
    <row r="48" spans="2:15" x14ac:dyDescent="0.4">
      <c r="B48" s="429" t="s">
        <v>1130</v>
      </c>
      <c r="C48" s="1951"/>
      <c r="D48" s="1952"/>
      <c r="E48" s="1952"/>
      <c r="F48" s="1952"/>
      <c r="G48" s="1952"/>
      <c r="H48" s="1952"/>
      <c r="I48" s="1952"/>
      <c r="J48" s="1952"/>
      <c r="K48" s="1952"/>
      <c r="L48" s="1952"/>
      <c r="M48" s="1952"/>
      <c r="N48" s="1952"/>
      <c r="O48" s="1952"/>
    </row>
    <row r="49" spans="2:15" x14ac:dyDescent="0.4">
      <c r="B49" s="429" t="s">
        <v>1131</v>
      </c>
      <c r="C49" s="1951"/>
      <c r="D49" s="1952"/>
      <c r="E49" s="1952"/>
      <c r="F49" s="1952"/>
      <c r="G49" s="1952"/>
      <c r="H49" s="1952"/>
      <c r="I49" s="1952"/>
      <c r="J49" s="1952"/>
      <c r="K49" s="1952"/>
      <c r="L49" s="1952"/>
      <c r="M49" s="1952"/>
      <c r="N49" s="1952"/>
      <c r="O49" s="1952"/>
    </row>
    <row r="50" spans="2:15" x14ac:dyDescent="0.4">
      <c r="B50" s="429" t="s">
        <v>1132</v>
      </c>
      <c r="C50" s="1951"/>
      <c r="D50" s="1952"/>
      <c r="E50" s="1952"/>
      <c r="F50" s="1952"/>
      <c r="G50" s="1952"/>
      <c r="H50" s="1952"/>
      <c r="I50" s="1952"/>
      <c r="J50" s="1952"/>
      <c r="K50" s="1952"/>
      <c r="L50" s="1952"/>
      <c r="M50" s="1952"/>
      <c r="N50" s="1952"/>
      <c r="O50" s="1952"/>
    </row>
    <row r="51" spans="2:15" x14ac:dyDescent="0.4">
      <c r="B51" s="518" t="s">
        <v>162</v>
      </c>
      <c r="C51" s="1951"/>
      <c r="D51" s="1952"/>
      <c r="E51" s="1952"/>
      <c r="F51" s="1952"/>
      <c r="G51" s="1952"/>
      <c r="H51" s="1952"/>
      <c r="I51" s="1952"/>
      <c r="J51" s="1952"/>
      <c r="K51" s="1952"/>
      <c r="L51" s="1952"/>
      <c r="M51" s="1952"/>
      <c r="N51" s="1952"/>
      <c r="O51" s="1952"/>
    </row>
    <row r="52" spans="2:15" x14ac:dyDescent="0.4">
      <c r="B52" s="517" t="s">
        <v>163</v>
      </c>
      <c r="C52" s="1951"/>
      <c r="D52" s="1952"/>
      <c r="E52" s="1952"/>
      <c r="F52" s="1952"/>
      <c r="G52" s="1952"/>
      <c r="H52" s="1952"/>
      <c r="I52" s="1952"/>
      <c r="J52" s="1952"/>
      <c r="K52" s="1952"/>
      <c r="L52" s="1952"/>
      <c r="M52" s="1952"/>
      <c r="N52" s="1952"/>
      <c r="O52" s="1952"/>
    </row>
    <row r="53" spans="2:15" x14ac:dyDescent="0.4">
      <c r="B53" s="519" t="s">
        <v>1133</v>
      </c>
      <c r="C53" s="1951"/>
      <c r="D53" s="1952"/>
      <c r="E53" s="1952"/>
      <c r="F53" s="1952"/>
      <c r="G53" s="1952"/>
      <c r="H53" s="1952"/>
      <c r="I53" s="1952"/>
      <c r="J53" s="1952"/>
      <c r="K53" s="1952"/>
      <c r="L53" s="1952"/>
      <c r="M53" s="1952"/>
      <c r="N53" s="1952"/>
      <c r="O53" s="1952"/>
    </row>
    <row r="54" spans="2:15" x14ac:dyDescent="0.4">
      <c r="B54" s="520" t="s">
        <v>1106</v>
      </c>
      <c r="C54" s="1951"/>
      <c r="D54" s="1952"/>
      <c r="E54" s="1952"/>
      <c r="F54" s="1952"/>
      <c r="G54" s="1952"/>
      <c r="H54" s="1952"/>
      <c r="I54" s="1952"/>
      <c r="J54" s="1952"/>
      <c r="K54" s="1952"/>
      <c r="L54" s="1952"/>
      <c r="M54" s="1952"/>
      <c r="N54" s="1952"/>
      <c r="O54" s="1952"/>
    </row>
    <row r="55" spans="2:15" x14ac:dyDescent="0.4">
      <c r="B55" s="520" t="s">
        <v>1107</v>
      </c>
      <c r="C55" s="1951"/>
      <c r="D55" s="1952"/>
      <c r="E55" s="1952"/>
      <c r="F55" s="1952"/>
      <c r="G55" s="1952"/>
      <c r="H55" s="1952"/>
      <c r="I55" s="1952"/>
      <c r="J55" s="1952"/>
      <c r="K55" s="1952"/>
      <c r="L55" s="1952"/>
      <c r="M55" s="1952"/>
      <c r="N55" s="1952"/>
      <c r="O55" s="1952"/>
    </row>
    <row r="56" spans="2:15" x14ac:dyDescent="0.4">
      <c r="B56" s="520" t="s">
        <v>1108</v>
      </c>
      <c r="C56" s="1951"/>
      <c r="D56" s="1952"/>
      <c r="E56" s="1952"/>
      <c r="F56" s="1952"/>
      <c r="G56" s="1952"/>
      <c r="H56" s="1952"/>
      <c r="I56" s="1952"/>
      <c r="J56" s="1952"/>
      <c r="K56" s="1952"/>
      <c r="L56" s="1952"/>
      <c r="M56" s="1952"/>
      <c r="N56" s="1952"/>
      <c r="O56" s="1952"/>
    </row>
    <row r="57" spans="2:15" x14ac:dyDescent="0.4">
      <c r="B57" s="520" t="s">
        <v>1109</v>
      </c>
      <c r="C57" s="1951"/>
      <c r="D57" s="1952"/>
      <c r="E57" s="1952"/>
      <c r="F57" s="1952"/>
      <c r="G57" s="1952"/>
      <c r="H57" s="1952"/>
      <c r="I57" s="1952"/>
      <c r="J57" s="1952"/>
      <c r="K57" s="1952"/>
      <c r="L57" s="1952"/>
      <c r="M57" s="1952"/>
      <c r="N57" s="1952"/>
      <c r="O57" s="1952"/>
    </row>
    <row r="58" spans="2:15" x14ac:dyDescent="0.4">
      <c r="B58" s="520" t="s">
        <v>1110</v>
      </c>
      <c r="C58" s="1951"/>
      <c r="D58" s="1952"/>
      <c r="E58" s="1952"/>
      <c r="F58" s="1952"/>
      <c r="G58" s="1952"/>
      <c r="H58" s="1952"/>
      <c r="I58" s="1952"/>
      <c r="J58" s="1952"/>
      <c r="K58" s="1952"/>
      <c r="L58" s="1952"/>
      <c r="M58" s="1952"/>
      <c r="N58" s="1952"/>
      <c r="O58" s="1952"/>
    </row>
    <row r="59" spans="2:15" x14ac:dyDescent="0.4">
      <c r="B59" s="519" t="s">
        <v>1134</v>
      </c>
      <c r="C59" s="1951"/>
      <c r="D59" s="1952"/>
      <c r="E59" s="1952"/>
      <c r="F59" s="1952"/>
      <c r="G59" s="1952"/>
      <c r="H59" s="1952"/>
      <c r="I59" s="1952"/>
      <c r="J59" s="1952"/>
      <c r="K59" s="1952"/>
      <c r="L59" s="1952"/>
      <c r="M59" s="1952"/>
      <c r="N59" s="1952"/>
      <c r="O59" s="1952"/>
    </row>
    <row r="60" spans="2:15" x14ac:dyDescent="0.4">
      <c r="B60" s="519" t="s">
        <v>1111</v>
      </c>
      <c r="C60" s="1951"/>
      <c r="D60" s="1952"/>
      <c r="E60" s="1952"/>
      <c r="F60" s="1952"/>
      <c r="G60" s="1952"/>
      <c r="H60" s="1952"/>
      <c r="I60" s="1952"/>
      <c r="J60" s="1952"/>
      <c r="K60" s="1952"/>
      <c r="L60" s="1952"/>
      <c r="M60" s="1952"/>
      <c r="N60" s="1952"/>
      <c r="O60" s="1952"/>
    </row>
    <row r="61" spans="2:15" x14ac:dyDescent="0.4">
      <c r="B61" s="519" t="s">
        <v>1135</v>
      </c>
      <c r="C61" s="1951"/>
      <c r="D61" s="1952"/>
      <c r="E61" s="1952"/>
      <c r="F61" s="1952"/>
      <c r="G61" s="1952"/>
      <c r="H61" s="1952"/>
      <c r="I61" s="1952"/>
      <c r="J61" s="1952"/>
      <c r="K61" s="1952"/>
      <c r="L61" s="1952"/>
      <c r="M61" s="1952"/>
      <c r="N61" s="1952"/>
      <c r="O61" s="1952"/>
    </row>
    <row r="62" spans="2:15" x14ac:dyDescent="0.4">
      <c r="B62" s="519" t="s">
        <v>1136</v>
      </c>
      <c r="C62" s="1951"/>
      <c r="D62" s="1952"/>
      <c r="E62" s="1952"/>
      <c r="F62" s="1952"/>
      <c r="G62" s="1952"/>
      <c r="H62" s="1952"/>
      <c r="I62" s="1952"/>
      <c r="J62" s="1952"/>
      <c r="K62" s="1952"/>
      <c r="L62" s="1952"/>
      <c r="M62" s="1952"/>
      <c r="N62" s="1952"/>
      <c r="O62" s="1952"/>
    </row>
    <row r="63" spans="2:15" x14ac:dyDescent="0.4">
      <c r="B63" s="175" t="s">
        <v>162</v>
      </c>
      <c r="C63" s="1954"/>
      <c r="D63" s="1955"/>
      <c r="E63" s="1955"/>
      <c r="F63" s="1955"/>
      <c r="G63" s="1955"/>
      <c r="H63" s="1955"/>
      <c r="I63" s="1955"/>
      <c r="J63" s="1955"/>
      <c r="K63" s="1955"/>
      <c r="L63" s="1955"/>
      <c r="M63" s="1955"/>
      <c r="N63" s="1955"/>
      <c r="O63" s="1955"/>
    </row>
    <row r="64" spans="2:15" x14ac:dyDescent="0.4">
      <c r="B64" s="175"/>
      <c r="C64" s="522"/>
      <c r="D64" s="522"/>
      <c r="E64" s="522"/>
      <c r="F64" s="522"/>
      <c r="G64" s="522"/>
      <c r="H64" s="522"/>
      <c r="I64" s="510"/>
      <c r="J64" s="510"/>
      <c r="K64" s="510"/>
      <c r="L64" s="510"/>
      <c r="M64" s="510"/>
      <c r="N64" s="510"/>
      <c r="O64" s="510"/>
    </row>
    <row r="65" spans="2:15" x14ac:dyDescent="0.4">
      <c r="B65" s="119" t="s">
        <v>164</v>
      </c>
      <c r="C65" s="26"/>
      <c r="D65" s="26"/>
      <c r="E65" s="26"/>
      <c r="F65" s="26"/>
      <c r="G65" s="26"/>
      <c r="H65" s="26"/>
      <c r="I65" s="511">
        <f t="shared" ref="I65:O65" si="13">I51+I63</f>
        <v>0</v>
      </c>
      <c r="J65" s="511">
        <f t="shared" si="13"/>
        <v>0</v>
      </c>
      <c r="K65" s="511">
        <f t="shared" si="13"/>
        <v>0</v>
      </c>
      <c r="L65" s="511">
        <f t="shared" si="13"/>
        <v>0</v>
      </c>
      <c r="M65" s="511">
        <f t="shared" si="13"/>
        <v>0</v>
      </c>
      <c r="N65" s="511">
        <f t="shared" si="13"/>
        <v>0</v>
      </c>
      <c r="O65" s="511">
        <f t="shared" si="13"/>
        <v>0</v>
      </c>
    </row>
    <row r="66" spans="2:15" x14ac:dyDescent="0.4">
      <c r="B66" s="118" t="s">
        <v>165</v>
      </c>
    </row>
    <row r="67" spans="2:15" x14ac:dyDescent="0.4">
      <c r="B67" s="27" t="s">
        <v>166</v>
      </c>
    </row>
    <row r="68" spans="2:15" x14ac:dyDescent="0.4">
      <c r="B68" s="1" t="s">
        <v>184</v>
      </c>
      <c r="C68" s="30"/>
      <c r="D68" s="30"/>
      <c r="E68" s="30"/>
      <c r="F68" s="30"/>
    </row>
    <row r="69" spans="2:15" x14ac:dyDescent="0.4">
      <c r="B69" s="27" t="s">
        <v>168</v>
      </c>
      <c r="C69" s="30"/>
      <c r="D69" s="30"/>
      <c r="E69" s="30"/>
      <c r="F69" s="30"/>
    </row>
    <row r="70" spans="2:15" x14ac:dyDescent="0.4">
      <c r="B70" s="27"/>
      <c r="C70" s="30"/>
      <c r="D70" s="30"/>
      <c r="E70" s="30"/>
      <c r="F70" s="30"/>
    </row>
    <row r="71" spans="2:15" x14ac:dyDescent="0.4">
      <c r="B71" s="32" t="s">
        <v>1021</v>
      </c>
      <c r="C71" s="8"/>
      <c r="D71" s="8"/>
      <c r="E71" s="8"/>
      <c r="F71" s="8"/>
      <c r="G71" s="8"/>
      <c r="H71" s="8"/>
      <c r="I71" s="8"/>
      <c r="J71" s="8"/>
      <c r="K71" s="8"/>
      <c r="L71" s="8"/>
      <c r="M71" s="8"/>
      <c r="N71" s="8"/>
      <c r="O71" s="4"/>
    </row>
    <row r="72" spans="2:15" x14ac:dyDescent="0.4">
      <c r="B72" s="32"/>
      <c r="C72" s="38"/>
      <c r="D72" s="38"/>
      <c r="O72" s="38" t="s">
        <v>171</v>
      </c>
    </row>
    <row r="73" spans="2:15" x14ac:dyDescent="0.4">
      <c r="B73" s="98" t="s">
        <v>160</v>
      </c>
      <c r="C73" s="98" t="s">
        <v>172</v>
      </c>
      <c r="D73" s="98" t="s">
        <v>173</v>
      </c>
      <c r="E73" s="98" t="s">
        <v>174</v>
      </c>
      <c r="F73" s="98" t="s">
        <v>175</v>
      </c>
      <c r="G73" s="98" t="s">
        <v>176</v>
      </c>
      <c r="H73" s="98" t="s">
        <v>177</v>
      </c>
      <c r="I73" s="98" t="s">
        <v>178</v>
      </c>
      <c r="J73" s="98" t="s">
        <v>179</v>
      </c>
      <c r="K73" s="98" t="s">
        <v>180</v>
      </c>
      <c r="L73" s="98" t="s">
        <v>181</v>
      </c>
      <c r="M73" s="98" t="s">
        <v>182</v>
      </c>
      <c r="N73" s="98" t="s">
        <v>183</v>
      </c>
      <c r="O73" s="98" t="s">
        <v>164</v>
      </c>
    </row>
    <row r="74" spans="2:15" x14ac:dyDescent="0.4">
      <c r="B74" s="517" t="s">
        <v>161</v>
      </c>
      <c r="C74" s="78"/>
      <c r="D74" s="78"/>
      <c r="E74" s="78"/>
      <c r="F74" s="3"/>
      <c r="G74" s="3"/>
      <c r="H74" s="2"/>
      <c r="I74" s="43"/>
      <c r="J74" s="44"/>
      <c r="K74" s="124"/>
      <c r="L74" s="124"/>
      <c r="M74" s="2"/>
      <c r="N74" s="2"/>
      <c r="O74" s="2"/>
    </row>
    <row r="75" spans="2:15" x14ac:dyDescent="0.4">
      <c r="B75" s="429" t="s">
        <v>1129</v>
      </c>
      <c r="C75" s="512"/>
      <c r="D75" s="512"/>
      <c r="E75" s="512"/>
      <c r="F75" s="512"/>
      <c r="G75" s="512"/>
      <c r="H75" s="512"/>
      <c r="I75" s="512"/>
      <c r="J75" s="512"/>
      <c r="K75" s="512"/>
      <c r="L75" s="512"/>
      <c r="M75" s="512"/>
      <c r="N75" s="512"/>
      <c r="O75" s="510">
        <f>SUM(C75:N75)</f>
        <v>0</v>
      </c>
    </row>
    <row r="76" spans="2:15" x14ac:dyDescent="0.4">
      <c r="B76" s="429" t="s">
        <v>1130</v>
      </c>
      <c r="C76" s="559">
        <v>0.19884044000000001</v>
      </c>
      <c r="D76" s="559">
        <v>0.16798057</v>
      </c>
      <c r="E76" s="559">
        <v>0.15093497000000003</v>
      </c>
      <c r="F76" s="559">
        <v>0.13923380000000002</v>
      </c>
      <c r="G76" s="559">
        <v>0.11222405999999999</v>
      </c>
      <c r="H76" s="559">
        <v>0.11659796</v>
      </c>
      <c r="I76" s="559">
        <v>0.11485153999999997</v>
      </c>
      <c r="J76" s="559">
        <v>6.4664200000000005E-2</v>
      </c>
      <c r="K76" s="559">
        <v>7.7683929999999998E-2</v>
      </c>
      <c r="L76" s="559">
        <v>4.5191959999999989E-2</v>
      </c>
      <c r="M76" s="559">
        <v>4.6578819999999993E-2</v>
      </c>
      <c r="N76" s="559">
        <v>7.0226330000000003E-2</v>
      </c>
      <c r="O76" s="510">
        <f>SUM(C76:N76)</f>
        <v>1.30500858</v>
      </c>
    </row>
    <row r="77" spans="2:15" x14ac:dyDescent="0.4">
      <c r="B77" s="429" t="s">
        <v>1131</v>
      </c>
      <c r="C77" s="559">
        <v>0</v>
      </c>
      <c r="D77" s="559">
        <v>1.9900299999999999E-2</v>
      </c>
      <c r="E77" s="559">
        <v>2.8550950000000002E-2</v>
      </c>
      <c r="F77" s="559">
        <v>4.7114749999999997E-2</v>
      </c>
      <c r="G77" s="559">
        <v>5.5926999999999998E-2</v>
      </c>
      <c r="H77" s="559">
        <v>6.2180449999999998E-2</v>
      </c>
      <c r="I77" s="559">
        <v>6.1310300000000005E-2</v>
      </c>
      <c r="J77" s="559">
        <v>5.7791459999999996E-2</v>
      </c>
      <c r="K77" s="559">
        <v>5.8304540000000002E-2</v>
      </c>
      <c r="L77" s="559">
        <v>6.0667940000000004E-2</v>
      </c>
      <c r="M77" s="559">
        <v>6.0793E-2</v>
      </c>
      <c r="N77" s="559">
        <v>5.0762980000000006E-2</v>
      </c>
      <c r="O77" s="510">
        <f>SUM(C77:N77)</f>
        <v>0.56330367000000003</v>
      </c>
    </row>
    <row r="78" spans="2:15" x14ac:dyDescent="0.4">
      <c r="B78" s="429" t="s">
        <v>1132</v>
      </c>
      <c r="C78" s="559"/>
      <c r="D78" s="559"/>
      <c r="E78" s="559"/>
      <c r="F78" s="559"/>
      <c r="G78" s="559"/>
      <c r="H78" s="559"/>
      <c r="I78" s="559"/>
      <c r="J78" s="559"/>
      <c r="K78" s="559"/>
      <c r="L78" s="559"/>
      <c r="M78" s="559"/>
      <c r="N78" s="559"/>
      <c r="O78" s="510">
        <f>SUM(C78:N78)</f>
        <v>0</v>
      </c>
    </row>
    <row r="79" spans="2:15" x14ac:dyDescent="0.4">
      <c r="B79" s="518" t="s">
        <v>162</v>
      </c>
      <c r="C79" s="513">
        <f>SUM(C75:C78)</f>
        <v>0.19884044000000001</v>
      </c>
      <c r="D79" s="513">
        <f t="shared" ref="D79:O79" si="14">SUM(D75:D78)</f>
        <v>0.18788087000000001</v>
      </c>
      <c r="E79" s="513">
        <f t="shared" si="14"/>
        <v>0.17948592000000002</v>
      </c>
      <c r="F79" s="513">
        <f t="shared" si="14"/>
        <v>0.18634855</v>
      </c>
      <c r="G79" s="513">
        <f t="shared" si="14"/>
        <v>0.16815105999999999</v>
      </c>
      <c r="H79" s="513">
        <f t="shared" si="14"/>
        <v>0.17877841</v>
      </c>
      <c r="I79" s="513">
        <f t="shared" si="14"/>
        <v>0.17616183999999999</v>
      </c>
      <c r="J79" s="513">
        <f t="shared" si="14"/>
        <v>0.12245565999999999</v>
      </c>
      <c r="K79" s="513">
        <f t="shared" si="14"/>
        <v>0.13598847</v>
      </c>
      <c r="L79" s="513">
        <f t="shared" si="14"/>
        <v>0.10585989999999999</v>
      </c>
      <c r="M79" s="513">
        <f t="shared" si="14"/>
        <v>0.10737181999999999</v>
      </c>
      <c r="N79" s="513">
        <f t="shared" si="14"/>
        <v>0.12098931000000002</v>
      </c>
      <c r="O79" s="513">
        <f t="shared" si="14"/>
        <v>1.86831225</v>
      </c>
    </row>
    <row r="80" spans="2:15" x14ac:dyDescent="0.4">
      <c r="B80" s="517" t="s">
        <v>163</v>
      </c>
      <c r="C80" s="513"/>
      <c r="D80" s="513"/>
      <c r="E80" s="513"/>
      <c r="F80" s="513"/>
      <c r="G80" s="513"/>
      <c r="H80" s="513"/>
      <c r="I80" s="513"/>
      <c r="J80" s="513"/>
      <c r="K80" s="513"/>
      <c r="L80" s="513"/>
      <c r="M80" s="513"/>
      <c r="N80" s="513"/>
      <c r="O80" s="535"/>
    </row>
    <row r="81" spans="2:15" x14ac:dyDescent="0.4">
      <c r="B81" s="519" t="s">
        <v>1133</v>
      </c>
      <c r="C81" s="536"/>
      <c r="D81" s="536"/>
      <c r="E81" s="514"/>
      <c r="F81" s="536"/>
      <c r="G81" s="514"/>
      <c r="H81" s="514"/>
      <c r="I81" s="512"/>
      <c r="J81" s="513"/>
      <c r="K81" s="514"/>
      <c r="L81" s="513"/>
      <c r="M81" s="513"/>
      <c r="N81" s="515"/>
      <c r="O81" s="514"/>
    </row>
    <row r="82" spans="2:15" x14ac:dyDescent="0.4">
      <c r="B82" s="520" t="s">
        <v>1106</v>
      </c>
      <c r="C82" s="537">
        <v>1.1969999999999999E-3</v>
      </c>
      <c r="D82" s="537">
        <v>1.322E-3</v>
      </c>
      <c r="E82" s="537">
        <v>1.1199999999999999E-3</v>
      </c>
      <c r="F82" s="537">
        <v>1.4580000000000001E-3</v>
      </c>
      <c r="G82" s="537">
        <v>1.075E-3</v>
      </c>
      <c r="H82" s="537">
        <v>1.717E-3</v>
      </c>
      <c r="I82" s="537">
        <v>1.8190000000000001E-3</v>
      </c>
      <c r="J82" s="537">
        <v>1.9550000000000001E-3</v>
      </c>
      <c r="K82" s="537">
        <v>8.4381400000000002E-3</v>
      </c>
      <c r="L82" s="537">
        <v>8.1741699999999997E-3</v>
      </c>
      <c r="M82" s="537">
        <v>8.1685300000000002E-3</v>
      </c>
      <c r="N82" s="537">
        <v>8.7911499999999993E-3</v>
      </c>
      <c r="O82" s="510">
        <f t="shared" ref="O82:O88" si="15">SUM(C82:N82)</f>
        <v>4.5234989999999996E-2</v>
      </c>
    </row>
    <row r="83" spans="2:15" x14ac:dyDescent="0.4">
      <c r="B83" s="520" t="s">
        <v>1107</v>
      </c>
      <c r="C83" s="537">
        <v>6.2989999999999999E-3</v>
      </c>
      <c r="D83" s="537">
        <v>6.2659999999999999E-3</v>
      </c>
      <c r="E83" s="537">
        <v>8.0219999999999996E-3</v>
      </c>
      <c r="F83" s="537">
        <v>8.2410000000000001E-3</v>
      </c>
      <c r="G83" s="537">
        <v>8.4110000000000001E-3</v>
      </c>
      <c r="H83" s="537">
        <v>7.6080000000000002E-3</v>
      </c>
      <c r="I83" s="537">
        <v>8.5170000000000003E-3</v>
      </c>
      <c r="J83" s="537">
        <v>8.1689999999999992E-3</v>
      </c>
      <c r="K83" s="537">
        <v>5.7728599999999995E-3</v>
      </c>
      <c r="L83" s="537">
        <v>4.6718300000000001E-3</v>
      </c>
      <c r="M83" s="537">
        <v>5.8184700000000001E-3</v>
      </c>
      <c r="N83" s="537">
        <v>6.12285E-3</v>
      </c>
      <c r="O83" s="510">
        <f t="shared" si="15"/>
        <v>8.3919010000000002E-2</v>
      </c>
    </row>
    <row r="84" spans="2:15" x14ac:dyDescent="0.4">
      <c r="B84" s="520" t="s">
        <v>1108</v>
      </c>
      <c r="C84" s="537">
        <v>4.7499999999999999E-3</v>
      </c>
      <c r="D84" s="537">
        <v>4.0610000000000004E-3</v>
      </c>
      <c r="E84" s="537">
        <v>2.9640000000000001E-3</v>
      </c>
      <c r="F84" s="537">
        <v>3.686E-3</v>
      </c>
      <c r="G84" s="537">
        <v>2.9880000000000002E-3</v>
      </c>
      <c r="H84" s="537">
        <v>3.1830000000000001E-3</v>
      </c>
      <c r="I84" s="537">
        <v>2.1949999999999999E-3</v>
      </c>
      <c r="J84" s="537">
        <v>3.0200000000000001E-3</v>
      </c>
      <c r="K84" s="537">
        <v>1.9600299999999998E-3</v>
      </c>
      <c r="L84" s="537">
        <v>2.0327000000000001E-3</v>
      </c>
      <c r="M84" s="537">
        <v>2.27363E-3</v>
      </c>
      <c r="N84" s="537">
        <v>1.9176900000000001E-3</v>
      </c>
      <c r="O84" s="510">
        <f t="shared" si="15"/>
        <v>3.5031049999999994E-2</v>
      </c>
    </row>
    <row r="85" spans="2:15" x14ac:dyDescent="0.4">
      <c r="B85" s="520" t="s">
        <v>1109</v>
      </c>
      <c r="C85" s="537">
        <v>2.9949999999999998E-3</v>
      </c>
      <c r="D85" s="537">
        <v>5.7559999999999998E-3</v>
      </c>
      <c r="E85" s="537">
        <v>4.5830000000000003E-3</v>
      </c>
      <c r="F85" s="537">
        <v>6.2100000000000002E-4</v>
      </c>
      <c r="G85" s="537">
        <v>1.039E-3</v>
      </c>
      <c r="H85" s="537">
        <v>0</v>
      </c>
      <c r="I85" s="537">
        <v>5.1599999999999997E-4</v>
      </c>
      <c r="J85" s="537">
        <v>5.0699999999999996E-4</v>
      </c>
      <c r="K85" s="537">
        <v>4.1856899999999997E-3</v>
      </c>
      <c r="L85" s="537">
        <v>5.1666999999999998E-3</v>
      </c>
      <c r="M85" s="537">
        <v>5.3166300000000001E-3</v>
      </c>
      <c r="N85" s="537">
        <v>3.6166900000000001E-3</v>
      </c>
      <c r="O85" s="510">
        <f t="shared" si="15"/>
        <v>3.430271E-2</v>
      </c>
    </row>
    <row r="86" spans="2:15" x14ac:dyDescent="0.4">
      <c r="B86" s="520" t="s">
        <v>1110</v>
      </c>
      <c r="C86" s="537">
        <v>7.7289999999999998E-3</v>
      </c>
      <c r="D86" s="537">
        <v>8.3940000000000004E-3</v>
      </c>
      <c r="E86" s="537">
        <v>7.6930000000000002E-3</v>
      </c>
      <c r="F86" s="537">
        <v>8.8079999999999999E-3</v>
      </c>
      <c r="G86" s="537">
        <v>9.5379999999999996E-3</v>
      </c>
      <c r="H86" s="537">
        <v>1.0076E-2</v>
      </c>
      <c r="I86" s="537">
        <v>9.2250000000000006E-3</v>
      </c>
      <c r="J86" s="537">
        <v>5.4864999999999997E-2</v>
      </c>
      <c r="K86" s="537">
        <v>4.6639279999999998E-2</v>
      </c>
      <c r="L86" s="537">
        <v>5.7909599999999999E-2</v>
      </c>
      <c r="M86" s="537">
        <v>5.3139739999999998E-2</v>
      </c>
      <c r="N86" s="537">
        <v>3.2963599999999996E-2</v>
      </c>
      <c r="O86" s="510">
        <f t="shared" si="15"/>
        <v>0.30698021999999997</v>
      </c>
    </row>
    <row r="87" spans="2:15" x14ac:dyDescent="0.4">
      <c r="B87" s="519" t="s">
        <v>1134</v>
      </c>
      <c r="C87" s="537">
        <v>0</v>
      </c>
      <c r="D87" s="537">
        <v>0</v>
      </c>
      <c r="E87" s="537">
        <v>0</v>
      </c>
      <c r="F87" s="537">
        <v>0</v>
      </c>
      <c r="G87" s="537">
        <v>0</v>
      </c>
      <c r="H87" s="537">
        <v>0</v>
      </c>
      <c r="I87" s="537">
        <v>0</v>
      </c>
      <c r="J87" s="537">
        <v>0</v>
      </c>
      <c r="K87" s="537">
        <v>0</v>
      </c>
      <c r="L87" s="537">
        <v>0</v>
      </c>
      <c r="M87" s="537">
        <v>9.9999999999999995E-7</v>
      </c>
      <c r="N87" s="537">
        <v>1.8000000000000001E-4</v>
      </c>
      <c r="O87" s="510">
        <f t="shared" si="15"/>
        <v>1.8100000000000001E-4</v>
      </c>
    </row>
    <row r="88" spans="2:15" x14ac:dyDescent="0.4">
      <c r="B88" s="519" t="s">
        <v>1111</v>
      </c>
      <c r="C88" s="537"/>
      <c r="D88" s="537"/>
      <c r="E88" s="537"/>
      <c r="F88" s="537"/>
      <c r="G88" s="537"/>
      <c r="H88" s="537"/>
      <c r="I88" s="537"/>
      <c r="J88" s="537"/>
      <c r="K88" s="537"/>
      <c r="L88" s="537"/>
      <c r="M88" s="537"/>
      <c r="N88" s="537"/>
      <c r="O88" s="510">
        <f t="shared" si="15"/>
        <v>0</v>
      </c>
    </row>
    <row r="89" spans="2:15" x14ac:dyDescent="0.4">
      <c r="B89" s="519" t="s">
        <v>1135</v>
      </c>
      <c r="C89" s="537">
        <v>1.9330000000000007E-3</v>
      </c>
      <c r="D89" s="537">
        <v>2.5200000000000014E-3</v>
      </c>
      <c r="E89" s="537">
        <v>1.8969999999999994E-3</v>
      </c>
      <c r="F89" s="537">
        <v>2.2599999999999999E-3</v>
      </c>
      <c r="G89" s="537">
        <v>2.8710000000000003E-3</v>
      </c>
      <c r="H89" s="537">
        <v>2.9579999999999988E-3</v>
      </c>
      <c r="I89" s="537">
        <v>1.4459999999999994E-3</v>
      </c>
      <c r="J89" s="537">
        <v>1.346E-3</v>
      </c>
      <c r="K89" s="537">
        <v>1.1599999999999996E-3</v>
      </c>
      <c r="L89" s="537">
        <v>1.3639999999999989E-3</v>
      </c>
      <c r="M89" s="537">
        <v>9.9699999999999962E-4</v>
      </c>
      <c r="N89" s="537">
        <v>1.0279999999999994E-3</v>
      </c>
      <c r="O89" s="510">
        <f>SUM(C89:N89)</f>
        <v>2.1779999999999994E-2</v>
      </c>
    </row>
    <row r="90" spans="2:15" x14ac:dyDescent="0.4">
      <c r="B90" s="519" t="s">
        <v>1136</v>
      </c>
      <c r="C90" s="537">
        <v>0</v>
      </c>
      <c r="D90" s="537">
        <v>2.483E-3</v>
      </c>
      <c r="E90" s="537">
        <v>2.385E-3</v>
      </c>
      <c r="F90" s="537">
        <v>1.3294300000000002E-3</v>
      </c>
      <c r="G90" s="537">
        <v>1.1996999999999999E-3</v>
      </c>
      <c r="H90" s="537">
        <v>9.4589999999999995E-4</v>
      </c>
      <c r="I90" s="537">
        <v>1.0974000000000001E-3</v>
      </c>
      <c r="J90" s="537">
        <v>1.0968E-3</v>
      </c>
      <c r="K90" s="537">
        <v>8.2170000000000008E-4</v>
      </c>
      <c r="L90" s="537">
        <v>4.8689999999999996E-4</v>
      </c>
      <c r="M90" s="537">
        <v>6.1200000000000002E-4</v>
      </c>
      <c r="N90" s="537">
        <v>7.2900000000000005E-4</v>
      </c>
      <c r="O90" s="510">
        <f>SUM(C90:N90)</f>
        <v>1.318683E-2</v>
      </c>
    </row>
    <row r="91" spans="2:15" x14ac:dyDescent="0.4">
      <c r="B91" s="175" t="s">
        <v>162</v>
      </c>
      <c r="C91" s="513">
        <f>SUM(C82:C90)</f>
        <v>2.4902999999999998E-2</v>
      </c>
      <c r="D91" s="513">
        <f t="shared" ref="D91:O91" si="16">SUM(D82:D90)</f>
        <v>3.0802000000000003E-2</v>
      </c>
      <c r="E91" s="513">
        <f t="shared" si="16"/>
        <v>2.8664000000000002E-2</v>
      </c>
      <c r="F91" s="513">
        <f t="shared" si="16"/>
        <v>2.6403429999999999E-2</v>
      </c>
      <c r="G91" s="513">
        <f t="shared" si="16"/>
        <v>2.7121700000000002E-2</v>
      </c>
      <c r="H91" s="513">
        <f t="shared" si="16"/>
        <v>2.6487899999999998E-2</v>
      </c>
      <c r="I91" s="513">
        <f t="shared" si="16"/>
        <v>2.4815400000000001E-2</v>
      </c>
      <c r="J91" s="513">
        <f t="shared" si="16"/>
        <v>7.0958799999999989E-2</v>
      </c>
      <c r="K91" s="513">
        <f t="shared" si="16"/>
        <v>6.8977699999999989E-2</v>
      </c>
      <c r="L91" s="513">
        <f t="shared" si="16"/>
        <v>7.9805899999999999E-2</v>
      </c>
      <c r="M91" s="513">
        <f t="shared" si="16"/>
        <v>7.6326999999999992E-2</v>
      </c>
      <c r="N91" s="513">
        <f t="shared" si="16"/>
        <v>5.5348979999999999E-2</v>
      </c>
      <c r="O91" s="513">
        <f t="shared" si="16"/>
        <v>0.54061580999999992</v>
      </c>
    </row>
    <row r="92" spans="2:15" x14ac:dyDescent="0.4">
      <c r="B92" s="175"/>
      <c r="C92" s="512"/>
      <c r="D92" s="512"/>
      <c r="E92" s="512"/>
      <c r="F92" s="512"/>
      <c r="G92" s="512"/>
      <c r="H92" s="512"/>
      <c r="I92" s="512"/>
      <c r="J92" s="512"/>
      <c r="K92" s="512"/>
      <c r="L92" s="512"/>
      <c r="M92" s="512"/>
      <c r="N92" s="512"/>
      <c r="O92" s="538"/>
    </row>
    <row r="93" spans="2:15" x14ac:dyDescent="0.4">
      <c r="B93" s="119" t="s">
        <v>164</v>
      </c>
      <c r="C93" s="513">
        <f t="shared" ref="C93:N93" si="17">C79+C91</f>
        <v>0.22374344000000002</v>
      </c>
      <c r="D93" s="513">
        <f t="shared" si="17"/>
        <v>0.21868287</v>
      </c>
      <c r="E93" s="513">
        <f t="shared" si="17"/>
        <v>0.20814992000000002</v>
      </c>
      <c r="F93" s="513">
        <f t="shared" si="17"/>
        <v>0.21275198000000001</v>
      </c>
      <c r="G93" s="513">
        <f t="shared" si="17"/>
        <v>0.19527275999999999</v>
      </c>
      <c r="H93" s="513">
        <f t="shared" si="17"/>
        <v>0.20526631000000001</v>
      </c>
      <c r="I93" s="513">
        <f t="shared" si="17"/>
        <v>0.20097724</v>
      </c>
      <c r="J93" s="513">
        <f t="shared" si="17"/>
        <v>0.19341445999999998</v>
      </c>
      <c r="K93" s="513">
        <f t="shared" si="17"/>
        <v>0.20496617</v>
      </c>
      <c r="L93" s="513">
        <f t="shared" si="17"/>
        <v>0.18566579999999999</v>
      </c>
      <c r="M93" s="513">
        <f t="shared" si="17"/>
        <v>0.18369881999999998</v>
      </c>
      <c r="N93" s="513">
        <f t="shared" si="17"/>
        <v>0.17633829000000001</v>
      </c>
      <c r="O93" s="539">
        <f>+O79+O91</f>
        <v>2.40892806</v>
      </c>
    </row>
    <row r="94" spans="2:15" x14ac:dyDescent="0.4">
      <c r="B94" s="118" t="s">
        <v>165</v>
      </c>
    </row>
    <row r="95" spans="2:15" x14ac:dyDescent="0.4">
      <c r="B95" s="27" t="s">
        <v>166</v>
      </c>
    </row>
    <row r="96" spans="2:15" x14ac:dyDescent="0.4">
      <c r="B96" s="1" t="s">
        <v>184</v>
      </c>
      <c r="C96" s="30"/>
      <c r="D96" s="30"/>
      <c r="E96" s="30"/>
      <c r="F96" s="30"/>
    </row>
    <row r="97" spans="2:15" x14ac:dyDescent="0.4">
      <c r="B97" s="27" t="s">
        <v>168</v>
      </c>
      <c r="C97" s="30"/>
      <c r="D97" s="30"/>
      <c r="E97" s="30"/>
      <c r="F97" s="30"/>
    </row>
    <row r="98" spans="2:15" x14ac:dyDescent="0.4">
      <c r="B98" s="32"/>
    </row>
    <row r="99" spans="2:15" x14ac:dyDescent="0.4">
      <c r="B99" s="32" t="s">
        <v>1022</v>
      </c>
      <c r="C99" s="8"/>
      <c r="D99" s="8"/>
      <c r="E99" s="8"/>
      <c r="F99" s="8"/>
      <c r="G99" s="8"/>
      <c r="H99" s="8"/>
      <c r="I99" s="8"/>
      <c r="J99" s="8"/>
      <c r="K99" s="8"/>
      <c r="L99" s="8"/>
      <c r="M99" s="8"/>
      <c r="N99" s="8"/>
      <c r="O99" s="4"/>
    </row>
    <row r="100" spans="2:15" x14ac:dyDescent="0.4">
      <c r="B100" s="32"/>
      <c r="C100" s="38"/>
      <c r="D100" s="38"/>
      <c r="O100" s="38" t="s">
        <v>171</v>
      </c>
    </row>
    <row r="101" spans="2:15" x14ac:dyDescent="0.4">
      <c r="B101" s="98" t="s">
        <v>160</v>
      </c>
      <c r="C101" s="98" t="s">
        <v>172</v>
      </c>
      <c r="D101" s="98" t="s">
        <v>173</v>
      </c>
      <c r="E101" s="98" t="s">
        <v>174</v>
      </c>
      <c r="F101" s="98" t="s">
        <v>175</v>
      </c>
      <c r="G101" s="98" t="s">
        <v>176</v>
      </c>
      <c r="H101" s="98" t="s">
        <v>177</v>
      </c>
      <c r="I101" s="98" t="s">
        <v>178</v>
      </c>
      <c r="J101" s="98" t="s">
        <v>179</v>
      </c>
      <c r="K101" s="98" t="s">
        <v>180</v>
      </c>
      <c r="L101" s="98" t="s">
        <v>181</v>
      </c>
      <c r="M101" s="98" t="s">
        <v>182</v>
      </c>
      <c r="N101" s="98" t="s">
        <v>183</v>
      </c>
      <c r="O101" s="98" t="s">
        <v>164</v>
      </c>
    </row>
    <row r="102" spans="2:15" x14ac:dyDescent="0.4">
      <c r="B102" s="517" t="s">
        <v>161</v>
      </c>
      <c r="C102" s="540"/>
      <c r="D102" s="540"/>
      <c r="E102" s="541"/>
      <c r="F102" s="542"/>
      <c r="G102" s="541"/>
      <c r="H102" s="541"/>
      <c r="I102" s="541"/>
      <c r="J102" s="541"/>
      <c r="K102" s="541"/>
      <c r="L102" s="541"/>
      <c r="M102" s="541"/>
      <c r="N102" s="541"/>
      <c r="O102" s="540"/>
    </row>
    <row r="103" spans="2:15" x14ac:dyDescent="0.4">
      <c r="B103" s="429" t="s">
        <v>1129</v>
      </c>
      <c r="C103" s="543">
        <v>0</v>
      </c>
      <c r="D103" s="543">
        <v>0</v>
      </c>
      <c r="E103" s="543">
        <v>0</v>
      </c>
      <c r="F103" s="543">
        <v>0</v>
      </c>
      <c r="G103" s="543">
        <v>0</v>
      </c>
      <c r="H103" s="543">
        <v>0</v>
      </c>
      <c r="I103" s="543">
        <v>0</v>
      </c>
      <c r="J103" s="543">
        <v>0</v>
      </c>
      <c r="K103" s="543">
        <v>0</v>
      </c>
      <c r="L103" s="543">
        <v>0</v>
      </c>
      <c r="M103" s="543">
        <v>0</v>
      </c>
      <c r="N103" s="543">
        <v>1.44E-2</v>
      </c>
      <c r="O103" s="544">
        <f>SUM(C103:N103)</f>
        <v>1.44E-2</v>
      </c>
    </row>
    <row r="104" spans="2:15" x14ac:dyDescent="0.4">
      <c r="B104" s="429" t="s">
        <v>1130</v>
      </c>
      <c r="C104" s="543">
        <v>7.8644739999999991E-2</v>
      </c>
      <c r="D104" s="543">
        <v>9.3843180000000012E-2</v>
      </c>
      <c r="E104" s="543">
        <v>0.10885072999999999</v>
      </c>
      <c r="F104" s="543">
        <v>0.13220805000000002</v>
      </c>
      <c r="G104" s="543">
        <v>0.16362735000000006</v>
      </c>
      <c r="H104" s="543">
        <v>0.16524335000000001</v>
      </c>
      <c r="I104" s="543">
        <v>0.13007436999999999</v>
      </c>
      <c r="J104" s="543">
        <v>0.10706346999999994</v>
      </c>
      <c r="K104" s="543">
        <v>0.12148355300000002</v>
      </c>
      <c r="L104" s="543">
        <v>0.11306293999999995</v>
      </c>
      <c r="M104" s="543">
        <v>0.11073312000000002</v>
      </c>
      <c r="N104" s="543">
        <v>0.13625076000000003</v>
      </c>
      <c r="O104" s="544">
        <f>SUM(C104:N104)</f>
        <v>1.4610856130000001</v>
      </c>
    </row>
    <row r="105" spans="2:15" x14ac:dyDescent="0.4">
      <c r="B105" s="429" t="s">
        <v>1131</v>
      </c>
      <c r="C105" s="543"/>
      <c r="D105" s="543"/>
      <c r="E105" s="543"/>
      <c r="F105" s="543"/>
      <c r="G105" s="543"/>
      <c r="H105" s="543"/>
      <c r="I105" s="543"/>
      <c r="J105" s="543"/>
      <c r="K105" s="543"/>
      <c r="L105" s="543"/>
      <c r="M105" s="543"/>
      <c r="N105" s="543"/>
      <c r="O105" s="544">
        <f>SUM(C105:N105)</f>
        <v>0</v>
      </c>
    </row>
    <row r="106" spans="2:15" x14ac:dyDescent="0.4">
      <c r="B106" s="429" t="s">
        <v>1132</v>
      </c>
      <c r="C106" s="543"/>
      <c r="D106" s="543"/>
      <c r="E106" s="543"/>
      <c r="F106" s="543"/>
      <c r="G106" s="543"/>
      <c r="H106" s="543"/>
      <c r="I106" s="543"/>
      <c r="J106" s="543"/>
      <c r="K106" s="543"/>
      <c r="L106" s="543"/>
      <c r="M106" s="543"/>
      <c r="N106" s="543"/>
      <c r="O106" s="544">
        <f>SUM(C106:N106)</f>
        <v>0</v>
      </c>
    </row>
    <row r="107" spans="2:15" x14ac:dyDescent="0.4">
      <c r="B107" s="518" t="s">
        <v>162</v>
      </c>
      <c r="C107" s="545">
        <f>SUM(C103:C106)</f>
        <v>7.8644739999999991E-2</v>
      </c>
      <c r="D107" s="545">
        <f t="shared" ref="D107:O107" si="18">SUM(D103:D106)</f>
        <v>9.3843180000000012E-2</v>
      </c>
      <c r="E107" s="545">
        <f t="shared" si="18"/>
        <v>0.10885072999999999</v>
      </c>
      <c r="F107" s="545">
        <f t="shared" si="18"/>
        <v>0.13220805000000002</v>
      </c>
      <c r="G107" s="545">
        <f t="shared" si="18"/>
        <v>0.16362735000000006</v>
      </c>
      <c r="H107" s="545">
        <f t="shared" si="18"/>
        <v>0.16524335000000001</v>
      </c>
      <c r="I107" s="545">
        <f t="shared" si="18"/>
        <v>0.13007436999999999</v>
      </c>
      <c r="J107" s="545">
        <f t="shared" si="18"/>
        <v>0.10706346999999994</v>
      </c>
      <c r="K107" s="545">
        <f t="shared" si="18"/>
        <v>0.12148355300000002</v>
      </c>
      <c r="L107" s="545">
        <f t="shared" si="18"/>
        <v>0.11306293999999995</v>
      </c>
      <c r="M107" s="545">
        <f t="shared" si="18"/>
        <v>0.11073312000000002</v>
      </c>
      <c r="N107" s="545">
        <f t="shared" si="18"/>
        <v>0.15065076000000002</v>
      </c>
      <c r="O107" s="545">
        <f t="shared" si="18"/>
        <v>1.475485613</v>
      </c>
    </row>
    <row r="108" spans="2:15" x14ac:dyDescent="0.4">
      <c r="B108" s="517" t="s">
        <v>163</v>
      </c>
      <c r="C108" s="545"/>
      <c r="D108" s="545"/>
      <c r="E108" s="545"/>
      <c r="F108" s="545"/>
      <c r="G108" s="545"/>
      <c r="H108" s="545"/>
      <c r="I108" s="545"/>
      <c r="J108" s="545"/>
      <c r="K108" s="545"/>
      <c r="L108" s="545"/>
      <c r="M108" s="545"/>
      <c r="N108" s="545"/>
      <c r="O108" s="545"/>
    </row>
    <row r="109" spans="2:15" x14ac:dyDescent="0.4">
      <c r="B109" s="519" t="s">
        <v>1133</v>
      </c>
      <c r="C109" s="546"/>
      <c r="D109" s="546"/>
      <c r="E109" s="547"/>
      <c r="F109" s="546"/>
      <c r="G109" s="547"/>
      <c r="H109" s="547"/>
      <c r="I109" s="543"/>
      <c r="J109" s="545"/>
      <c r="K109" s="547"/>
      <c r="L109" s="545"/>
      <c r="M109" s="545"/>
      <c r="N109" s="548"/>
      <c r="O109" s="544">
        <f>SUM(C109:N109)</f>
        <v>0</v>
      </c>
    </row>
    <row r="110" spans="2:15" x14ac:dyDescent="0.4">
      <c r="B110" s="520" t="s">
        <v>1106</v>
      </c>
      <c r="C110" s="549">
        <v>8.2039999999999995E-3</v>
      </c>
      <c r="D110" s="549">
        <v>9.8307700000000008E-3</v>
      </c>
      <c r="E110" s="549">
        <v>1.1536329999999999E-2</v>
      </c>
      <c r="F110" s="549">
        <v>1.3002E-2</v>
      </c>
      <c r="G110" s="549">
        <v>1.3668E-2</v>
      </c>
      <c r="H110" s="549">
        <v>1.315E-2</v>
      </c>
      <c r="I110" s="549">
        <v>1.567528E-2</v>
      </c>
      <c r="J110" s="549">
        <v>1.5862000000000001E-2</v>
      </c>
      <c r="K110" s="549">
        <v>1.7311279999999998E-2</v>
      </c>
      <c r="L110" s="549">
        <v>1.835459E-2</v>
      </c>
      <c r="M110" s="549">
        <v>1.8162000000000001E-2</v>
      </c>
      <c r="N110" s="549">
        <v>2.1302999999999999E-2</v>
      </c>
      <c r="O110" s="544">
        <f>SUM(C110:N110)</f>
        <v>0.17605925</v>
      </c>
    </row>
    <row r="111" spans="2:15" x14ac:dyDescent="0.4">
      <c r="B111" s="520" t="s">
        <v>1107</v>
      </c>
      <c r="C111" s="549">
        <v>7.8619999999999992E-3</v>
      </c>
      <c r="D111" s="549">
        <v>8.4091550000000015E-3</v>
      </c>
      <c r="E111" s="549">
        <v>1.0525670000000001E-2</v>
      </c>
      <c r="F111" s="549">
        <v>1.2416E-2</v>
      </c>
      <c r="G111" s="549">
        <v>1.1931000000000001E-2</v>
      </c>
      <c r="H111" s="549">
        <v>1.0208E-2</v>
      </c>
      <c r="I111" s="549">
        <v>1.3000629999999999E-2</v>
      </c>
      <c r="J111" s="549">
        <v>1.1001E-2</v>
      </c>
      <c r="K111" s="549">
        <v>1.1514659999999999E-2</v>
      </c>
      <c r="L111" s="549">
        <v>1.1989329999999999E-2</v>
      </c>
      <c r="M111" s="549">
        <v>1.107E-2</v>
      </c>
      <c r="N111" s="549">
        <v>1.9285E-2</v>
      </c>
      <c r="O111" s="544">
        <f>SUM(C111:N111)</f>
        <v>0.13921244499999999</v>
      </c>
    </row>
    <row r="112" spans="2:15" x14ac:dyDescent="0.4">
      <c r="B112" s="520" t="s">
        <v>1108</v>
      </c>
      <c r="C112" s="549">
        <v>3.3670000000000002E-3</v>
      </c>
      <c r="D112" s="549">
        <v>3.6613710000000001E-3</v>
      </c>
      <c r="E112" s="549">
        <v>2.9680000000000002E-3</v>
      </c>
      <c r="F112" s="549">
        <v>3.5920000000000001E-3</v>
      </c>
      <c r="G112" s="549">
        <v>2.9399999999999999E-3</v>
      </c>
      <c r="H112" s="549">
        <v>1.9E-3</v>
      </c>
      <c r="I112" s="549">
        <v>4.5247109999999998E-3</v>
      </c>
      <c r="J112" s="549">
        <v>3.2109999999999999E-3</v>
      </c>
      <c r="K112" s="549">
        <v>3.0090250000000002E-3</v>
      </c>
      <c r="L112" s="549">
        <v>2.933382E-3</v>
      </c>
      <c r="M112" s="549">
        <v>2.9420000000000002E-3</v>
      </c>
      <c r="N112" s="549">
        <v>7.1029999999999999E-3</v>
      </c>
      <c r="O112" s="544">
        <f>SUM(C112:N112)</f>
        <v>4.2151488999999993E-2</v>
      </c>
    </row>
    <row r="113" spans="2:15" x14ac:dyDescent="0.4">
      <c r="B113" s="520" t="s">
        <v>1109</v>
      </c>
      <c r="C113" s="549">
        <v>2.6509000000000001E-2</v>
      </c>
      <c r="D113" s="549">
        <v>2.7998700000000001E-2</v>
      </c>
      <c r="E113" s="549">
        <v>2.9003999999999999E-2</v>
      </c>
      <c r="F113" s="549">
        <v>2.6303E-2</v>
      </c>
      <c r="G113" s="549">
        <v>1.3410999999999999E-2</v>
      </c>
      <c r="H113" s="549">
        <v>5.9760000000000004E-3</v>
      </c>
      <c r="I113" s="549">
        <v>4.5565379999999996E-2</v>
      </c>
      <c r="J113" s="549">
        <v>7.0018999999999998E-2</v>
      </c>
      <c r="K113" s="549">
        <v>6.5235029999999999E-2</v>
      </c>
      <c r="L113" s="549">
        <v>6.1694699999999998E-2</v>
      </c>
      <c r="M113" s="549">
        <v>5.3609999999999998E-2</v>
      </c>
      <c r="N113" s="549">
        <v>6.5232999999999999E-2</v>
      </c>
      <c r="O113" s="544">
        <f>SUM(C113:N113)</f>
        <v>0.49055880999999996</v>
      </c>
    </row>
    <row r="114" spans="2:15" x14ac:dyDescent="0.4">
      <c r="B114" s="520" t="s">
        <v>1110</v>
      </c>
      <c r="C114" s="549"/>
      <c r="D114" s="549"/>
      <c r="E114" s="549"/>
      <c r="F114" s="549"/>
      <c r="G114" s="549"/>
      <c r="H114" s="549"/>
      <c r="I114" s="549"/>
      <c r="J114" s="549"/>
      <c r="K114" s="549"/>
      <c r="L114" s="549"/>
      <c r="M114" s="549"/>
      <c r="N114" s="549"/>
      <c r="O114" s="544"/>
    </row>
    <row r="115" spans="2:15" x14ac:dyDescent="0.4">
      <c r="B115" s="519" t="s">
        <v>1139</v>
      </c>
      <c r="C115" s="550"/>
      <c r="D115" s="550"/>
      <c r="E115" s="550"/>
      <c r="F115" s="550"/>
      <c r="G115" s="550"/>
      <c r="H115" s="550"/>
      <c r="I115" s="550"/>
      <c r="J115" s="550"/>
      <c r="K115" s="550"/>
      <c r="L115" s="550"/>
      <c r="M115" s="550"/>
      <c r="N115" s="550"/>
      <c r="O115" s="544">
        <f>SUM(C115:N115)</f>
        <v>0</v>
      </c>
    </row>
    <row r="116" spans="2:15" x14ac:dyDescent="0.4">
      <c r="B116" s="520" t="s">
        <v>1140</v>
      </c>
      <c r="C116" s="550">
        <v>1.6799999999999999E-4</v>
      </c>
      <c r="D116" s="550">
        <v>2.5099999999999998E-4</v>
      </c>
      <c r="E116" s="550">
        <v>2.6700000000000004E-4</v>
      </c>
      <c r="F116" s="550">
        <v>2.6400000000000002E-4</v>
      </c>
      <c r="G116" s="550">
        <v>4.8599999999999994E-4</v>
      </c>
      <c r="H116" s="550">
        <v>5.8100000000000003E-4</v>
      </c>
      <c r="I116" s="550">
        <v>9.9299999999999996E-4</v>
      </c>
      <c r="J116" s="550">
        <v>1.0499999999999999E-3</v>
      </c>
      <c r="K116" s="550">
        <v>9.4899999999999997E-4</v>
      </c>
      <c r="L116" s="550">
        <v>8.7299999999999997E-4</v>
      </c>
      <c r="M116" s="550">
        <v>8.7900000000000001E-4</v>
      </c>
      <c r="N116" s="550">
        <v>1.8270000000000001E-3</v>
      </c>
      <c r="O116" s="544">
        <f>SUM(C116:N116)</f>
        <v>8.5880000000000001E-3</v>
      </c>
    </row>
    <row r="117" spans="2:15" x14ac:dyDescent="0.4">
      <c r="B117" s="520" t="s">
        <v>1141</v>
      </c>
      <c r="C117" s="550"/>
      <c r="D117" s="550"/>
      <c r="E117" s="550"/>
      <c r="F117" s="550"/>
      <c r="G117" s="550"/>
      <c r="H117" s="550"/>
      <c r="I117" s="550"/>
      <c r="J117" s="550"/>
      <c r="K117" s="550"/>
      <c r="L117" s="550"/>
      <c r="M117" s="550"/>
      <c r="N117" s="550"/>
      <c r="O117" s="544"/>
    </row>
    <row r="118" spans="2:15" x14ac:dyDescent="0.4">
      <c r="B118" s="519" t="s">
        <v>1111</v>
      </c>
      <c r="C118" s="550"/>
      <c r="D118" s="550"/>
      <c r="E118" s="550"/>
      <c r="F118" s="550"/>
      <c r="G118" s="550"/>
      <c r="H118" s="550"/>
      <c r="I118" s="550"/>
      <c r="J118" s="550"/>
      <c r="K118" s="550">
        <v>8.1519999999999995E-3</v>
      </c>
      <c r="L118" s="550">
        <v>2.1056800000000001E-2</v>
      </c>
      <c r="M118" s="550">
        <v>2.0331200000000001E-2</v>
      </c>
      <c r="N118" s="550">
        <v>2.3040000000000001E-2</v>
      </c>
      <c r="O118" s="544">
        <f>SUM(C118:N118)</f>
        <v>7.2580000000000006E-2</v>
      </c>
    </row>
    <row r="119" spans="2:15" x14ac:dyDescent="0.4">
      <c r="B119" s="519" t="s">
        <v>1135</v>
      </c>
      <c r="C119" s="543">
        <v>8.2899999999999988E-4</v>
      </c>
      <c r="D119" s="543">
        <v>6.509999999999988E-4</v>
      </c>
      <c r="E119" s="543">
        <v>0</v>
      </c>
      <c r="F119" s="543">
        <v>9.6599999999999984E-4</v>
      </c>
      <c r="G119" s="543">
        <v>9.1300000000000062E-4</v>
      </c>
      <c r="H119" s="543">
        <v>9.2900000000000101E-4</v>
      </c>
      <c r="I119" s="543">
        <v>1.0229999999999996E-3</v>
      </c>
      <c r="J119" s="543">
        <v>1.0050000000000007E-3</v>
      </c>
      <c r="K119" s="543">
        <v>1.0180000000000015E-3</v>
      </c>
      <c r="L119" s="543">
        <v>9.2700000000000074E-4</v>
      </c>
      <c r="M119" s="543">
        <v>9.6000000000000078E-4</v>
      </c>
      <c r="N119" s="543">
        <v>8.0099999999999963E-4</v>
      </c>
      <c r="O119" s="544">
        <f>SUM(C119:N119)</f>
        <v>1.0022000000000003E-2</v>
      </c>
    </row>
    <row r="120" spans="2:15" x14ac:dyDescent="0.4">
      <c r="B120" s="519" t="s">
        <v>1136</v>
      </c>
      <c r="C120" s="543">
        <v>6.648E-4</v>
      </c>
      <c r="D120" s="543">
        <v>3.5819999999999998E-4</v>
      </c>
      <c r="E120" s="543">
        <v>7.0889999999999994E-4</v>
      </c>
      <c r="F120" s="543">
        <v>5.2800000000000004E-4</v>
      </c>
      <c r="G120" s="543">
        <v>3.1530000000000002E-4</v>
      </c>
      <c r="H120" s="543">
        <v>5.4660000000000006E-4</v>
      </c>
      <c r="I120" s="543">
        <v>5.9460000000000003E-4</v>
      </c>
      <c r="J120" s="543">
        <v>3.7649999999999999E-4</v>
      </c>
      <c r="K120" s="543">
        <v>4.2569999999999999E-4</v>
      </c>
      <c r="L120" s="543">
        <v>5.0969999999999998E-4</v>
      </c>
      <c r="M120" s="543">
        <v>4.1970000000000001E-4</v>
      </c>
      <c r="N120" s="543">
        <v>9.6750000000000004E-4</v>
      </c>
      <c r="O120" s="544">
        <f>SUM(C120:N120)</f>
        <v>6.4155000000000011E-3</v>
      </c>
    </row>
    <row r="121" spans="2:15" x14ac:dyDescent="0.4">
      <c r="B121" s="175" t="s">
        <v>162</v>
      </c>
      <c r="C121" s="545">
        <f>SUM(C110:C120)</f>
        <v>4.7603799999999995E-2</v>
      </c>
      <c r="D121" s="545">
        <f t="shared" ref="D121:O121" si="19">SUM(D110:D120)</f>
        <v>5.1160196000000005E-2</v>
      </c>
      <c r="E121" s="545">
        <f t="shared" si="19"/>
        <v>5.50099E-2</v>
      </c>
      <c r="F121" s="545">
        <f t="shared" si="19"/>
        <v>5.7071000000000004E-2</v>
      </c>
      <c r="G121" s="545">
        <f t="shared" si="19"/>
        <v>4.3664299999999996E-2</v>
      </c>
      <c r="H121" s="545">
        <f t="shared" si="19"/>
        <v>3.3290599999999997E-2</v>
      </c>
      <c r="I121" s="545">
        <f t="shared" si="19"/>
        <v>8.1376600999999993E-2</v>
      </c>
      <c r="J121" s="545">
        <f t="shared" si="19"/>
        <v>0.1025245</v>
      </c>
      <c r="K121" s="545">
        <f t="shared" si="19"/>
        <v>0.107614695</v>
      </c>
      <c r="L121" s="545">
        <f t="shared" si="19"/>
        <v>0.118338502</v>
      </c>
      <c r="M121" s="545">
        <f t="shared" si="19"/>
        <v>0.10837390000000001</v>
      </c>
      <c r="N121" s="545">
        <f t="shared" si="19"/>
        <v>0.1395595</v>
      </c>
      <c r="O121" s="545">
        <f t="shared" si="19"/>
        <v>0.94558749399999997</v>
      </c>
    </row>
    <row r="122" spans="2:15" x14ac:dyDescent="0.4">
      <c r="B122" s="175"/>
      <c r="C122" s="543"/>
      <c r="D122" s="543"/>
      <c r="E122" s="543"/>
      <c r="F122" s="543"/>
      <c r="G122" s="543"/>
      <c r="H122" s="543"/>
      <c r="I122" s="543"/>
      <c r="J122" s="543"/>
      <c r="K122" s="543"/>
      <c r="L122" s="543"/>
      <c r="M122" s="543"/>
      <c r="N122" s="543"/>
      <c r="O122" s="543"/>
    </row>
    <row r="123" spans="2:15" x14ac:dyDescent="0.4">
      <c r="B123" s="119" t="s">
        <v>164</v>
      </c>
      <c r="C123" s="545">
        <f t="shared" ref="C123:O123" si="20">C107+C121</f>
        <v>0.12624853999999999</v>
      </c>
      <c r="D123" s="545">
        <f t="shared" si="20"/>
        <v>0.14500337600000002</v>
      </c>
      <c r="E123" s="545">
        <f t="shared" si="20"/>
        <v>0.16386063000000001</v>
      </c>
      <c r="F123" s="545">
        <f t="shared" si="20"/>
        <v>0.18927905000000003</v>
      </c>
      <c r="G123" s="545">
        <f t="shared" si="20"/>
        <v>0.20729165000000005</v>
      </c>
      <c r="H123" s="545">
        <f t="shared" si="20"/>
        <v>0.19853395000000001</v>
      </c>
      <c r="I123" s="545">
        <f t="shared" si="20"/>
        <v>0.21145097099999999</v>
      </c>
      <c r="J123" s="545">
        <f t="shared" si="20"/>
        <v>0.20958796999999996</v>
      </c>
      <c r="K123" s="545">
        <f t="shared" si="20"/>
        <v>0.229098248</v>
      </c>
      <c r="L123" s="545">
        <f t="shared" si="20"/>
        <v>0.23140144199999996</v>
      </c>
      <c r="M123" s="545">
        <f t="shared" si="20"/>
        <v>0.21910702000000004</v>
      </c>
      <c r="N123" s="545">
        <f t="shared" si="20"/>
        <v>0.29021026000000005</v>
      </c>
      <c r="O123" s="545">
        <f t="shared" si="20"/>
        <v>2.4210731069999998</v>
      </c>
    </row>
    <row r="124" spans="2:15" x14ac:dyDescent="0.4">
      <c r="B124" s="118" t="s">
        <v>165</v>
      </c>
    </row>
    <row r="125" spans="2:15" x14ac:dyDescent="0.4">
      <c r="B125" s="27" t="s">
        <v>166</v>
      </c>
    </row>
    <row r="126" spans="2:15" x14ac:dyDescent="0.4">
      <c r="B126" s="1" t="s">
        <v>184</v>
      </c>
      <c r="C126" s="30"/>
      <c r="D126" s="30"/>
      <c r="E126" s="30"/>
      <c r="F126" s="30"/>
    </row>
    <row r="127" spans="2:15" x14ac:dyDescent="0.4">
      <c r="B127" s="27" t="s">
        <v>168</v>
      </c>
      <c r="C127" s="30"/>
      <c r="D127" s="30"/>
      <c r="E127" s="30"/>
      <c r="F127" s="30"/>
    </row>
    <row r="128" spans="2:15" x14ac:dyDescent="0.4">
      <c r="B128" s="32"/>
    </row>
    <row r="129" spans="2:15" x14ac:dyDescent="0.4">
      <c r="B129" s="32" t="s">
        <v>1023</v>
      </c>
      <c r="C129" s="8"/>
      <c r="D129" s="8"/>
      <c r="E129" s="8"/>
      <c r="F129" s="8"/>
      <c r="G129" s="8"/>
      <c r="H129" s="8"/>
      <c r="I129" s="8"/>
      <c r="J129" s="8"/>
      <c r="K129" s="8"/>
      <c r="L129" s="8"/>
      <c r="M129" s="8"/>
      <c r="N129" s="8"/>
      <c r="O129" s="4"/>
    </row>
    <row r="130" spans="2:15" x14ac:dyDescent="0.4">
      <c r="B130" s="32"/>
      <c r="C130" s="38"/>
      <c r="D130" s="38"/>
      <c r="O130" s="38" t="s">
        <v>171</v>
      </c>
    </row>
    <row r="131" spans="2:15" x14ac:dyDescent="0.4">
      <c r="B131" s="98" t="s">
        <v>160</v>
      </c>
      <c r="C131" s="98" t="s">
        <v>172</v>
      </c>
      <c r="D131" s="98" t="s">
        <v>173</v>
      </c>
      <c r="E131" s="98" t="s">
        <v>174</v>
      </c>
      <c r="F131" s="98" t="s">
        <v>175</v>
      </c>
      <c r="G131" s="98" t="s">
        <v>176</v>
      </c>
      <c r="H131" s="98" t="s">
        <v>177</v>
      </c>
      <c r="I131" s="98" t="s">
        <v>178</v>
      </c>
      <c r="J131" s="98" t="s">
        <v>179</v>
      </c>
      <c r="K131" s="98" t="s">
        <v>180</v>
      </c>
      <c r="L131" s="98" t="s">
        <v>181</v>
      </c>
      <c r="M131" s="98" t="s">
        <v>182</v>
      </c>
      <c r="N131" s="98" t="s">
        <v>183</v>
      </c>
      <c r="O131" s="98" t="s">
        <v>164</v>
      </c>
    </row>
    <row r="132" spans="2:15" x14ac:dyDescent="0.4">
      <c r="B132" s="517" t="s">
        <v>161</v>
      </c>
      <c r="C132" s="78"/>
      <c r="D132" s="78"/>
      <c r="E132" s="78"/>
      <c r="F132" s="3"/>
      <c r="G132" s="3"/>
      <c r="H132" s="2"/>
      <c r="I132" s="43"/>
      <c r="J132" s="44"/>
      <c r="K132" s="124"/>
      <c r="L132" s="124"/>
      <c r="M132" s="2"/>
      <c r="N132" s="2"/>
      <c r="O132" s="2"/>
    </row>
    <row r="133" spans="2:15" x14ac:dyDescent="0.4">
      <c r="B133" s="429" t="s">
        <v>1129</v>
      </c>
      <c r="C133" s="527">
        <v>1.8000000000000016E-2</v>
      </c>
      <c r="D133" s="527">
        <v>2.4000000000000021E-2</v>
      </c>
      <c r="E133" s="527">
        <v>2.0399999999999974E-2</v>
      </c>
      <c r="F133" s="529">
        <v>2.0399999999999974E-2</v>
      </c>
      <c r="G133" s="529">
        <v>2.2799999999999931E-2</v>
      </c>
      <c r="H133" s="529">
        <v>1.8000000000000016E-2</v>
      </c>
      <c r="I133" s="529">
        <v>1.9200000000000106E-2</v>
      </c>
      <c r="J133" s="529">
        <v>1.9199999999999884E-2</v>
      </c>
      <c r="K133" s="564">
        <v>1.6799999999999926E-2</v>
      </c>
      <c r="L133" s="564">
        <v>1.8000000000000016E-2</v>
      </c>
      <c r="M133" s="529">
        <v>1.5600000000000058E-2</v>
      </c>
      <c r="N133" s="529">
        <v>2.0399999999999974E-2</v>
      </c>
      <c r="O133" s="544">
        <f>SUM(C133:N133)</f>
        <v>0.2327999999999999</v>
      </c>
    </row>
    <row r="134" spans="2:15" x14ac:dyDescent="0.4">
      <c r="B134" s="429" t="s">
        <v>1130</v>
      </c>
      <c r="C134" s="527">
        <v>6.6272889999999987E-2</v>
      </c>
      <c r="D134" s="527">
        <v>0.12629597609999998</v>
      </c>
      <c r="E134" s="527">
        <v>0.12648921419999998</v>
      </c>
      <c r="F134" s="529">
        <v>0.14426485859999999</v>
      </c>
      <c r="G134" s="529">
        <v>0.1287867955</v>
      </c>
      <c r="H134" s="529">
        <v>0.1252472563</v>
      </c>
      <c r="I134" s="529">
        <v>0.12846424010000002</v>
      </c>
      <c r="J134" s="529">
        <v>0.1380583061</v>
      </c>
      <c r="K134" s="564">
        <v>0.14538498720000001</v>
      </c>
      <c r="L134" s="564">
        <v>0.14291036570000001</v>
      </c>
      <c r="M134" s="529">
        <v>2.5124290000000001E-2</v>
      </c>
      <c r="N134" s="529">
        <v>3.1172572100000004E-2</v>
      </c>
      <c r="O134" s="544">
        <f>SUM(C134:N134)</f>
        <v>1.3284717518999998</v>
      </c>
    </row>
    <row r="135" spans="2:15" x14ac:dyDescent="0.4">
      <c r="B135" s="429" t="s">
        <v>1131</v>
      </c>
      <c r="C135" s="47"/>
      <c r="D135" s="47"/>
      <c r="E135" s="47"/>
      <c r="F135" s="3"/>
      <c r="G135" s="3"/>
      <c r="H135" s="2"/>
      <c r="I135" s="3"/>
      <c r="J135" s="3"/>
      <c r="K135" s="124"/>
      <c r="L135" s="124"/>
      <c r="M135" s="2"/>
      <c r="N135" s="2"/>
      <c r="O135" s="544">
        <f>SUM(C135:N135)</f>
        <v>0</v>
      </c>
    </row>
    <row r="136" spans="2:15" x14ac:dyDescent="0.4">
      <c r="B136" s="429" t="s">
        <v>1132</v>
      </c>
      <c r="C136" s="175"/>
      <c r="D136" s="175"/>
      <c r="E136" s="175"/>
      <c r="F136" s="3"/>
      <c r="G136" s="3"/>
      <c r="H136" s="2"/>
      <c r="I136" s="3"/>
      <c r="J136" s="3"/>
      <c r="K136" s="124"/>
      <c r="L136" s="124"/>
      <c r="M136" s="2"/>
      <c r="N136" s="2"/>
      <c r="O136" s="544">
        <f>SUM(C136:N136)</f>
        <v>0</v>
      </c>
    </row>
    <row r="137" spans="2:15" x14ac:dyDescent="0.4">
      <c r="B137" s="518" t="s">
        <v>162</v>
      </c>
      <c r="C137" s="545">
        <f>SUM(C133:C136)</f>
        <v>8.4272890000000003E-2</v>
      </c>
      <c r="D137" s="545">
        <f t="shared" ref="D137:O137" si="21">SUM(D133:D136)</f>
        <v>0.15029597610000001</v>
      </c>
      <c r="E137" s="545">
        <f t="shared" si="21"/>
        <v>0.14688921419999995</v>
      </c>
      <c r="F137" s="545">
        <f t="shared" si="21"/>
        <v>0.16466485859999996</v>
      </c>
      <c r="G137" s="545">
        <f t="shared" si="21"/>
        <v>0.15158679549999993</v>
      </c>
      <c r="H137" s="545">
        <f t="shared" si="21"/>
        <v>0.14324725630000001</v>
      </c>
      <c r="I137" s="545">
        <f t="shared" si="21"/>
        <v>0.14766424010000012</v>
      </c>
      <c r="J137" s="545">
        <f t="shared" si="21"/>
        <v>0.15725830609999988</v>
      </c>
      <c r="K137" s="545">
        <f t="shared" si="21"/>
        <v>0.16218498719999994</v>
      </c>
      <c r="L137" s="545">
        <f t="shared" si="21"/>
        <v>0.16091036570000003</v>
      </c>
      <c r="M137" s="545">
        <f t="shared" si="21"/>
        <v>4.0724290000000059E-2</v>
      </c>
      <c r="N137" s="545">
        <f t="shared" si="21"/>
        <v>5.1572572099999978E-2</v>
      </c>
      <c r="O137" s="545">
        <f t="shared" si="21"/>
        <v>1.5612717518999997</v>
      </c>
    </row>
    <row r="138" spans="2:15" x14ac:dyDescent="0.4">
      <c r="B138" s="517" t="s">
        <v>163</v>
      </c>
      <c r="C138" s="78"/>
      <c r="D138" s="78"/>
      <c r="E138" s="78"/>
      <c r="F138" s="3"/>
      <c r="G138" s="3"/>
      <c r="H138" s="2"/>
      <c r="I138" s="3"/>
      <c r="J138" s="3"/>
      <c r="K138" s="124"/>
      <c r="L138" s="124"/>
      <c r="M138" s="2"/>
      <c r="N138" s="2"/>
      <c r="O138" s="545"/>
    </row>
    <row r="139" spans="2:15" x14ac:dyDescent="0.4">
      <c r="B139" s="519" t="s">
        <v>1133</v>
      </c>
      <c r="C139" s="46"/>
      <c r="D139" s="46"/>
      <c r="E139" s="46"/>
      <c r="F139" s="3"/>
      <c r="G139" s="3"/>
      <c r="H139" s="2"/>
      <c r="I139" s="3"/>
      <c r="J139" s="3"/>
      <c r="K139" s="124"/>
      <c r="L139" s="124"/>
      <c r="M139" s="2"/>
      <c r="N139" s="2"/>
      <c r="O139" s="544">
        <f t="shared" ref="O139:O151" si="22">SUM(C139:N139)</f>
        <v>0</v>
      </c>
    </row>
    <row r="140" spans="2:15" x14ac:dyDescent="0.4">
      <c r="B140" s="520" t="s">
        <v>1106</v>
      </c>
      <c r="C140" s="559">
        <v>2.1066000000000001E-2</v>
      </c>
      <c r="D140" s="559">
        <v>2.0497999999999999E-2</v>
      </c>
      <c r="E140" s="559">
        <v>2.1923999999999999E-2</v>
      </c>
      <c r="F140" s="559">
        <v>2.5356E-2</v>
      </c>
      <c r="G140" s="559">
        <v>2.6627000000000001E-2</v>
      </c>
      <c r="H140" s="559">
        <v>2.8348000000000002E-2</v>
      </c>
      <c r="I140" s="559">
        <v>3.0384000000000001E-2</v>
      </c>
      <c r="J140" s="559">
        <v>3.0119E-2</v>
      </c>
      <c r="K140" s="559">
        <v>3.1092999999999999E-2</v>
      </c>
      <c r="L140" s="559">
        <v>3.2798000000000001E-2</v>
      </c>
      <c r="M140" s="559">
        <v>3.5853000000000003E-2</v>
      </c>
      <c r="N140" s="559">
        <v>3.9440999999999997E-2</v>
      </c>
      <c r="O140" s="544">
        <f t="shared" si="22"/>
        <v>0.34350700000000006</v>
      </c>
    </row>
    <row r="141" spans="2:15" x14ac:dyDescent="0.4">
      <c r="B141" s="520" t="s">
        <v>1107</v>
      </c>
      <c r="C141" s="559">
        <v>2.0612999999999999E-2</v>
      </c>
      <c r="D141" s="559">
        <v>2.1746999999999999E-2</v>
      </c>
      <c r="E141" s="559">
        <v>2.0590000000000001E-2</v>
      </c>
      <c r="F141" s="559">
        <v>2.2540999999999999E-2</v>
      </c>
      <c r="G141" s="559">
        <v>2.1229000000000001E-2</v>
      </c>
      <c r="H141" s="559">
        <v>2.3463999999999999E-2</v>
      </c>
      <c r="I141" s="559">
        <v>2.8731E-2</v>
      </c>
      <c r="J141" s="559">
        <v>2.7311999999999999E-2</v>
      </c>
      <c r="K141" s="559">
        <v>2.1582E-2</v>
      </c>
      <c r="L141" s="559">
        <v>2.2443999999999999E-2</v>
      </c>
      <c r="M141" s="559">
        <v>2.2998000000000001E-2</v>
      </c>
      <c r="N141" s="559">
        <v>3.6851000000000002E-2</v>
      </c>
      <c r="O141" s="544">
        <f t="shared" si="22"/>
        <v>0.29010199999999997</v>
      </c>
    </row>
    <row r="142" spans="2:15" x14ac:dyDescent="0.4">
      <c r="B142" s="520" t="s">
        <v>1108</v>
      </c>
      <c r="C142" s="559">
        <v>9.0500000000000008E-3</v>
      </c>
      <c r="D142" s="559">
        <v>1.0544E-2</v>
      </c>
      <c r="E142" s="559">
        <v>6.2500000000000003E-3</v>
      </c>
      <c r="F142" s="559">
        <v>6.2570000000000004E-3</v>
      </c>
      <c r="G142" s="559">
        <v>6.1409999999999998E-3</v>
      </c>
      <c r="H142" s="559">
        <v>6.5709999999999996E-3</v>
      </c>
      <c r="I142" s="559">
        <v>8.6510000000000007E-3</v>
      </c>
      <c r="J142" s="559">
        <v>8.3540000000000003E-3</v>
      </c>
      <c r="K142" s="559">
        <v>4.7860000000000003E-3</v>
      </c>
      <c r="L142" s="559">
        <v>5.0400000000000002E-3</v>
      </c>
      <c r="M142" s="559">
        <v>5.3559999999999997E-3</v>
      </c>
      <c r="N142" s="559">
        <v>1.3147000000000001E-2</v>
      </c>
      <c r="O142" s="544">
        <f t="shared" si="22"/>
        <v>9.0147000000000005E-2</v>
      </c>
    </row>
    <row r="143" spans="2:15" x14ac:dyDescent="0.4">
      <c r="B143" s="520" t="s">
        <v>1109</v>
      </c>
      <c r="C143" s="559">
        <v>0.13034899999999999</v>
      </c>
      <c r="D143" s="559">
        <v>5.4134000000000002E-2</v>
      </c>
      <c r="E143" s="559">
        <v>5.3192999999999997E-2</v>
      </c>
      <c r="F143" s="559">
        <v>6.0911E-2</v>
      </c>
      <c r="G143" s="559">
        <v>5.5378999999999998E-2</v>
      </c>
      <c r="H143" s="559">
        <v>5.9152999999999997E-2</v>
      </c>
      <c r="I143" s="559">
        <v>7.4503E-2</v>
      </c>
      <c r="J143" s="559">
        <v>6.4130999999999994E-2</v>
      </c>
      <c r="K143" s="559">
        <v>6.1163000000000002E-2</v>
      </c>
      <c r="L143" s="559">
        <v>5.9785999999999999E-2</v>
      </c>
      <c r="M143" s="559">
        <v>7.8233999999999998E-2</v>
      </c>
      <c r="N143" s="559">
        <v>9.8373000000000002E-2</v>
      </c>
      <c r="O143" s="544">
        <f t="shared" si="22"/>
        <v>0.84930899999999998</v>
      </c>
    </row>
    <row r="144" spans="2:15" x14ac:dyDescent="0.4">
      <c r="B144" s="520" t="s">
        <v>1110</v>
      </c>
      <c r="C144" s="175"/>
      <c r="D144" s="175"/>
      <c r="E144" s="175"/>
      <c r="F144" s="2"/>
      <c r="G144" s="2"/>
      <c r="H144" s="2"/>
      <c r="I144" s="2"/>
      <c r="J144" s="2"/>
      <c r="K144" s="124"/>
      <c r="L144" s="124"/>
      <c r="M144" s="2"/>
      <c r="N144" s="2"/>
      <c r="O144" s="544">
        <f t="shared" si="22"/>
        <v>0</v>
      </c>
    </row>
    <row r="145" spans="2:15" x14ac:dyDescent="0.4">
      <c r="B145" s="519" t="s">
        <v>1139</v>
      </c>
      <c r="C145" s="175"/>
      <c r="D145" s="175"/>
      <c r="E145" s="175"/>
      <c r="F145" s="2"/>
      <c r="G145" s="2"/>
      <c r="H145" s="2"/>
      <c r="I145" s="2"/>
      <c r="J145" s="2"/>
      <c r="K145" s="124"/>
      <c r="L145" s="124"/>
      <c r="M145" s="2"/>
      <c r="N145" s="2"/>
      <c r="O145" s="544">
        <f t="shared" si="22"/>
        <v>0</v>
      </c>
    </row>
    <row r="146" spans="2:15" x14ac:dyDescent="0.4">
      <c r="B146" s="520" t="s">
        <v>1140</v>
      </c>
      <c r="C146" s="531">
        <v>1.853E-3</v>
      </c>
      <c r="D146" s="531">
        <v>2.1809999999999998E-3</v>
      </c>
      <c r="E146" s="531">
        <v>2.0400000000000001E-3</v>
      </c>
      <c r="F146" s="529">
        <v>2.4709999999999997E-3</v>
      </c>
      <c r="G146" s="529">
        <v>2.5919999999999997E-3</v>
      </c>
      <c r="H146" s="529">
        <v>3.6149999999999997E-3</v>
      </c>
      <c r="I146" s="529">
        <v>4.7440000000000008E-3</v>
      </c>
      <c r="J146" s="529">
        <v>4.5890000000000002E-3</v>
      </c>
      <c r="K146" s="564">
        <v>4.1159999999999999E-3</v>
      </c>
      <c r="L146" s="564">
        <v>3.8070000000000001E-3</v>
      </c>
      <c r="M146" s="529">
        <v>3.4749999999999998E-3</v>
      </c>
      <c r="N146" s="529">
        <v>5.0600000000000003E-3</v>
      </c>
      <c r="O146" s="544">
        <f t="shared" si="22"/>
        <v>4.0542999999999996E-2</v>
      </c>
    </row>
    <row r="147" spans="2:15" x14ac:dyDescent="0.4">
      <c r="B147" s="520" t="s">
        <v>1141</v>
      </c>
      <c r="C147" s="531">
        <v>0</v>
      </c>
      <c r="D147" s="531">
        <v>0</v>
      </c>
      <c r="E147" s="531">
        <v>0</v>
      </c>
      <c r="F147" s="529">
        <v>0</v>
      </c>
      <c r="G147" s="529">
        <v>6.3798000000000001E-4</v>
      </c>
      <c r="H147" s="529">
        <v>6.6953999999999994E-4</v>
      </c>
      <c r="I147" s="529">
        <v>9.3324E-4</v>
      </c>
      <c r="J147" s="529">
        <v>4.5089999999999996E-4</v>
      </c>
      <c r="K147" s="564">
        <v>1.74E-4</v>
      </c>
      <c r="L147" s="564">
        <v>6.6660000000000002E-5</v>
      </c>
      <c r="M147" s="529">
        <v>6.4655669999999998E-2</v>
      </c>
      <c r="N147" s="529">
        <v>6.0759839999999996E-2</v>
      </c>
      <c r="O147" s="544">
        <f t="shared" si="22"/>
        <v>0.12834783</v>
      </c>
    </row>
    <row r="148" spans="2:15" x14ac:dyDescent="0.4">
      <c r="B148" s="519" t="s">
        <v>1111</v>
      </c>
      <c r="C148" s="531">
        <v>2.2880000000000001E-2</v>
      </c>
      <c r="D148" s="531">
        <v>2.5016480000000001E-2</v>
      </c>
      <c r="E148" s="531">
        <v>2.459712E-2</v>
      </c>
      <c r="F148" s="529">
        <v>2.56032E-2</v>
      </c>
      <c r="G148" s="529">
        <v>2.5200080000000003E-2</v>
      </c>
      <c r="H148" s="529">
        <v>2.4057200000000001E-2</v>
      </c>
      <c r="I148" s="529">
        <v>2.1419759999999999E-2</v>
      </c>
      <c r="J148" s="529">
        <v>1.885264E-2</v>
      </c>
      <c r="K148" s="564">
        <v>2.2568640000000001E-2</v>
      </c>
      <c r="L148" s="564">
        <v>2.2140319999999998E-2</v>
      </c>
      <c r="M148" s="529">
        <v>1.7375040000000001E-2</v>
      </c>
      <c r="N148" s="529">
        <v>1.7283439999999997E-2</v>
      </c>
      <c r="O148" s="544">
        <f t="shared" si="22"/>
        <v>0.26699392</v>
      </c>
    </row>
    <row r="149" spans="2:15" x14ac:dyDescent="0.4">
      <c r="B149" s="519" t="s">
        <v>1135</v>
      </c>
      <c r="C149" s="531">
        <v>8.0999999999999996E-4</v>
      </c>
      <c r="D149" s="531">
        <v>8.4000000000000047E-4</v>
      </c>
      <c r="E149" s="531">
        <v>8.8099999999999984E-4</v>
      </c>
      <c r="F149" s="529">
        <v>9.5899999999999978E-4</v>
      </c>
      <c r="G149" s="529">
        <v>1.1799999999999988E-3</v>
      </c>
      <c r="H149" s="529">
        <v>1.1900000000000001E-3</v>
      </c>
      <c r="I149" s="529">
        <v>1.2199999999999989E-3</v>
      </c>
      <c r="J149" s="529">
        <v>1.040000000000001E-3</v>
      </c>
      <c r="K149" s="564">
        <v>1.1470000000000004E-3</v>
      </c>
      <c r="L149" s="564">
        <v>1.3429999999999987E-3</v>
      </c>
      <c r="M149" s="529">
        <v>1.0299999999999997E-3</v>
      </c>
      <c r="N149" s="529">
        <v>1.0600000000000002E-3</v>
      </c>
      <c r="O149" s="544">
        <f t="shared" si="22"/>
        <v>1.2699999999999998E-2</v>
      </c>
    </row>
    <row r="150" spans="2:15" x14ac:dyDescent="0.4">
      <c r="B150" s="519" t="s">
        <v>1136</v>
      </c>
      <c r="C150" s="531">
        <v>1.062E-3</v>
      </c>
      <c r="D150" s="531">
        <v>1.01235E-3</v>
      </c>
      <c r="E150" s="531">
        <v>9.0395999999999998E-4</v>
      </c>
      <c r="F150" s="529">
        <v>8.4866999999999994E-4</v>
      </c>
      <c r="G150" s="529">
        <v>0</v>
      </c>
      <c r="H150" s="529">
        <v>0</v>
      </c>
      <c r="I150" s="529">
        <v>0</v>
      </c>
      <c r="J150" s="529">
        <v>0</v>
      </c>
      <c r="K150" s="564">
        <v>0</v>
      </c>
      <c r="L150" s="564">
        <v>0</v>
      </c>
      <c r="M150" s="529">
        <v>0</v>
      </c>
      <c r="N150" s="529">
        <v>0</v>
      </c>
      <c r="O150" s="544">
        <f t="shared" si="22"/>
        <v>3.8269799999999998E-3</v>
      </c>
    </row>
    <row r="151" spans="2:15" x14ac:dyDescent="0.4">
      <c r="B151" s="566" t="s">
        <v>1142</v>
      </c>
      <c r="C151" s="531"/>
      <c r="D151" s="531"/>
      <c r="E151" s="531"/>
      <c r="F151" s="529"/>
      <c r="G151" s="529"/>
      <c r="H151" s="529"/>
      <c r="I151" s="529"/>
      <c r="J151" s="529"/>
      <c r="K151" s="564"/>
      <c r="L151" s="564"/>
      <c r="M151" s="529">
        <v>4.7729999999999999E-5</v>
      </c>
      <c r="N151" s="529">
        <v>1.3768999999999999E-4</v>
      </c>
      <c r="O151" s="544">
        <f t="shared" si="22"/>
        <v>1.8542E-4</v>
      </c>
    </row>
    <row r="152" spans="2:15" x14ac:dyDescent="0.4">
      <c r="B152" s="175" t="s">
        <v>162</v>
      </c>
      <c r="C152" s="545">
        <f>SUM(C140:C151)</f>
        <v>0.20768300000000001</v>
      </c>
      <c r="D152" s="545">
        <f t="shared" ref="D152:O152" si="23">SUM(D140:D151)</f>
        <v>0.13597282999999999</v>
      </c>
      <c r="E152" s="545">
        <f t="shared" si="23"/>
        <v>0.13037907999999998</v>
      </c>
      <c r="F152" s="545">
        <f t="shared" si="23"/>
        <v>0.14494686999999998</v>
      </c>
      <c r="G152" s="545">
        <f t="shared" si="23"/>
        <v>0.13898605999999999</v>
      </c>
      <c r="H152" s="545">
        <f t="shared" si="23"/>
        <v>0.14706773999999997</v>
      </c>
      <c r="I152" s="545">
        <f t="shared" si="23"/>
        <v>0.17058600000000002</v>
      </c>
      <c r="J152" s="545">
        <f t="shared" si="23"/>
        <v>0.15484854000000001</v>
      </c>
      <c r="K152" s="545">
        <f t="shared" si="23"/>
        <v>0.14662964000000001</v>
      </c>
      <c r="L152" s="545">
        <f t="shared" si="23"/>
        <v>0.14742498000000001</v>
      </c>
      <c r="M152" s="545">
        <f t="shared" si="23"/>
        <v>0.22902444</v>
      </c>
      <c r="N152" s="545">
        <f t="shared" si="23"/>
        <v>0.27211297000000001</v>
      </c>
      <c r="O152" s="545">
        <f t="shared" si="23"/>
        <v>2.0256621500000005</v>
      </c>
    </row>
    <row r="153" spans="2:15" x14ac:dyDescent="0.4">
      <c r="B153" s="175"/>
      <c r="C153" s="543"/>
      <c r="D153" s="543"/>
      <c r="E153" s="543"/>
      <c r="F153" s="543"/>
      <c r="G153" s="543"/>
      <c r="H153" s="543"/>
      <c r="I153" s="543"/>
      <c r="J153" s="543"/>
      <c r="K153" s="543"/>
      <c r="L153" s="543"/>
      <c r="M153" s="543"/>
      <c r="N153" s="543"/>
      <c r="O153" s="543"/>
    </row>
    <row r="154" spans="2:15" x14ac:dyDescent="0.4">
      <c r="B154" s="119" t="s">
        <v>164</v>
      </c>
      <c r="C154" s="545">
        <f t="shared" ref="C154:N154" si="24">C137+C152</f>
        <v>0.29195589</v>
      </c>
      <c r="D154" s="545">
        <f t="shared" si="24"/>
        <v>0.2862688061</v>
      </c>
      <c r="E154" s="545">
        <f t="shared" si="24"/>
        <v>0.27726829419999993</v>
      </c>
      <c r="F154" s="545">
        <f t="shared" si="24"/>
        <v>0.30961172859999997</v>
      </c>
      <c r="G154" s="545">
        <f t="shared" si="24"/>
        <v>0.29057285549999989</v>
      </c>
      <c r="H154" s="545">
        <f t="shared" si="24"/>
        <v>0.29031499630000002</v>
      </c>
      <c r="I154" s="545">
        <f t="shared" si="24"/>
        <v>0.31825024010000014</v>
      </c>
      <c r="J154" s="545">
        <f t="shared" si="24"/>
        <v>0.31210684609999989</v>
      </c>
      <c r="K154" s="545">
        <f t="shared" si="24"/>
        <v>0.30881462719999997</v>
      </c>
      <c r="L154" s="545">
        <f t="shared" si="24"/>
        <v>0.30833534570000004</v>
      </c>
      <c r="M154" s="545">
        <f t="shared" si="24"/>
        <v>0.26974873000000005</v>
      </c>
      <c r="N154" s="545">
        <f t="shared" si="24"/>
        <v>0.3236855421</v>
      </c>
      <c r="O154" s="545">
        <f>O137+O152</f>
        <v>3.5869339019000002</v>
      </c>
    </row>
    <row r="155" spans="2:15" x14ac:dyDescent="0.4">
      <c r="B155" s="118" t="s">
        <v>165</v>
      </c>
    </row>
    <row r="156" spans="2:15" x14ac:dyDescent="0.4">
      <c r="B156" s="27" t="s">
        <v>166</v>
      </c>
    </row>
    <row r="157" spans="2:15" x14ac:dyDescent="0.4">
      <c r="B157" s="1" t="s">
        <v>184</v>
      </c>
      <c r="C157" s="30"/>
      <c r="D157" s="30"/>
      <c r="E157" s="30"/>
      <c r="F157" s="30"/>
    </row>
    <row r="158" spans="2:15" x14ac:dyDescent="0.4">
      <c r="B158" s="27" t="s">
        <v>168</v>
      </c>
      <c r="C158" s="30"/>
      <c r="D158" s="30"/>
      <c r="E158" s="30"/>
      <c r="F158" s="30"/>
    </row>
    <row r="159" spans="2:15" x14ac:dyDescent="0.4">
      <c r="B159" s="118"/>
    </row>
    <row r="160" spans="2:15" x14ac:dyDescent="0.4">
      <c r="B160" s="32" t="s">
        <v>170</v>
      </c>
      <c r="C160" s="8"/>
      <c r="D160" s="8"/>
      <c r="E160" s="8"/>
      <c r="F160" s="8"/>
      <c r="G160" s="8"/>
      <c r="H160" s="8"/>
      <c r="I160" s="8"/>
      <c r="J160" s="8"/>
      <c r="K160" s="8"/>
      <c r="L160" s="8"/>
      <c r="M160" s="8"/>
      <c r="N160" s="8"/>
      <c r="O160" s="4"/>
    </row>
    <row r="161" spans="2:15" x14ac:dyDescent="0.4">
      <c r="B161" s="32"/>
      <c r="C161" s="38"/>
      <c r="D161" s="38"/>
      <c r="O161" s="38" t="s">
        <v>171</v>
      </c>
    </row>
    <row r="162" spans="2:15" x14ac:dyDescent="0.4">
      <c r="B162" s="98" t="s">
        <v>160</v>
      </c>
      <c r="C162" s="98" t="s">
        <v>172</v>
      </c>
      <c r="D162" s="98" t="s">
        <v>173</v>
      </c>
      <c r="E162" s="98" t="s">
        <v>174</v>
      </c>
      <c r="F162" s="98" t="s">
        <v>175</v>
      </c>
      <c r="G162" s="98" t="s">
        <v>176</v>
      </c>
      <c r="H162" s="98" t="s">
        <v>177</v>
      </c>
      <c r="I162" s="98" t="s">
        <v>178</v>
      </c>
      <c r="J162" s="98" t="s">
        <v>179</v>
      </c>
      <c r="K162" s="98" t="s">
        <v>180</v>
      </c>
      <c r="L162" s="98" t="s">
        <v>181</v>
      </c>
      <c r="M162" s="98" t="s">
        <v>182</v>
      </c>
      <c r="N162" s="98" t="s">
        <v>183</v>
      </c>
      <c r="O162" s="98" t="s">
        <v>164</v>
      </c>
    </row>
    <row r="163" spans="2:15" x14ac:dyDescent="0.4">
      <c r="B163" s="517" t="s">
        <v>161</v>
      </c>
      <c r="C163" s="78"/>
      <c r="D163" s="78"/>
      <c r="E163" s="78"/>
      <c r="F163" s="3"/>
      <c r="G163" s="3"/>
      <c r="H163" s="2"/>
      <c r="I163" s="43"/>
      <c r="J163" s="44"/>
      <c r="K163" s="124"/>
      <c r="L163" s="124"/>
      <c r="M163" s="2"/>
      <c r="N163" s="2"/>
      <c r="O163" s="2"/>
    </row>
    <row r="164" spans="2:15" x14ac:dyDescent="0.4">
      <c r="B164" s="429" t="s">
        <v>1129</v>
      </c>
      <c r="C164" s="527">
        <v>1.9199999999999884E-2</v>
      </c>
      <c r="D164" s="527">
        <v>2.5200000000000111E-2</v>
      </c>
      <c r="E164" s="527">
        <v>2.1600000000000064E-2</v>
      </c>
      <c r="F164" s="529">
        <v>2.1600000000000064E-2</v>
      </c>
      <c r="G164" s="529">
        <v>2.1600000000000064E-2</v>
      </c>
      <c r="H164" s="529">
        <v>1.5600000000000058E-2</v>
      </c>
      <c r="I164" s="529">
        <v>1.5599999999999836E-2</v>
      </c>
      <c r="J164" s="529">
        <v>1.5600000000000058E-2</v>
      </c>
      <c r="K164" s="564">
        <v>1.8000000000000016E-2</v>
      </c>
      <c r="L164" s="564">
        <v>1.8000000000000016E-2</v>
      </c>
      <c r="M164" s="529">
        <v>1.8000000000000016E-2</v>
      </c>
      <c r="N164" s="529">
        <v>2.5199999999999889E-2</v>
      </c>
      <c r="O164" s="544">
        <f>SUM(C164:N164)</f>
        <v>0.23520000000000008</v>
      </c>
    </row>
    <row r="165" spans="2:15" x14ac:dyDescent="0.4">
      <c r="B165" s="429" t="s">
        <v>1130</v>
      </c>
      <c r="C165" s="527">
        <v>3.0259669999999999E-2</v>
      </c>
      <c r="D165" s="527">
        <v>2.9766439999999998E-2</v>
      </c>
      <c r="E165" s="527">
        <v>2.072218E-2</v>
      </c>
      <c r="F165" s="529">
        <v>3.5946430000000001E-2</v>
      </c>
      <c r="G165" s="529">
        <v>2.3948549999999999E-2</v>
      </c>
      <c r="H165" s="529">
        <v>2.5752750000000001E-2</v>
      </c>
      <c r="I165" s="529">
        <v>2.4428910000000002E-2</v>
      </c>
      <c r="J165" s="529">
        <v>1.891164E-2</v>
      </c>
      <c r="K165" s="564">
        <v>1.9169409999999998E-2</v>
      </c>
      <c r="L165" s="564">
        <v>1.799562E-2</v>
      </c>
      <c r="M165" s="529">
        <v>1.7152029999999999E-2</v>
      </c>
      <c r="N165" s="529">
        <v>1.9215769999999997E-2</v>
      </c>
      <c r="O165" s="544">
        <f>SUM(C165:N165)</f>
        <v>0.2832694</v>
      </c>
    </row>
    <row r="166" spans="2:15" x14ac:dyDescent="0.4">
      <c r="B166" s="429" t="s">
        <v>1131</v>
      </c>
      <c r="C166" s="47"/>
      <c r="D166" s="47"/>
      <c r="E166" s="47"/>
      <c r="F166" s="3"/>
      <c r="G166" s="3"/>
      <c r="H166" s="2"/>
      <c r="I166" s="3"/>
      <c r="J166" s="3"/>
      <c r="K166" s="124"/>
      <c r="L166" s="124"/>
      <c r="M166" s="2"/>
      <c r="N166" s="2"/>
      <c r="O166" s="544">
        <f>SUM(C166:N166)</f>
        <v>0</v>
      </c>
    </row>
    <row r="167" spans="2:15" x14ac:dyDescent="0.4">
      <c r="B167" s="429" t="s">
        <v>1132</v>
      </c>
      <c r="C167" s="175"/>
      <c r="D167" s="175"/>
      <c r="E167" s="175"/>
      <c r="F167" s="3"/>
      <c r="G167" s="3"/>
      <c r="H167" s="2"/>
      <c r="I167" s="3"/>
      <c r="J167" s="3"/>
      <c r="K167" s="124"/>
      <c r="L167" s="124"/>
      <c r="M167" s="2"/>
      <c r="N167" s="2"/>
      <c r="O167" s="544">
        <f>SUM(C167:N167)</f>
        <v>0</v>
      </c>
    </row>
    <row r="168" spans="2:15" x14ac:dyDescent="0.4">
      <c r="B168" s="518" t="s">
        <v>162</v>
      </c>
      <c r="C168" s="545">
        <f>SUM(C164:C167)</f>
        <v>4.9459669999999886E-2</v>
      </c>
      <c r="D168" s="545">
        <f t="shared" ref="D168:O168" si="25">SUM(D164:D167)</f>
        <v>5.4966440000000109E-2</v>
      </c>
      <c r="E168" s="545">
        <f t="shared" si="25"/>
        <v>4.2322180000000063E-2</v>
      </c>
      <c r="F168" s="545">
        <f t="shared" si="25"/>
        <v>5.7546430000000065E-2</v>
      </c>
      <c r="G168" s="545">
        <f t="shared" si="25"/>
        <v>4.5548550000000063E-2</v>
      </c>
      <c r="H168" s="545">
        <f t="shared" si="25"/>
        <v>4.1352750000000063E-2</v>
      </c>
      <c r="I168" s="545">
        <f t="shared" si="25"/>
        <v>4.0028909999999834E-2</v>
      </c>
      <c r="J168" s="545">
        <f t="shared" si="25"/>
        <v>3.4511640000000059E-2</v>
      </c>
      <c r="K168" s="545">
        <f t="shared" si="25"/>
        <v>3.7169410000000014E-2</v>
      </c>
      <c r="L168" s="545">
        <f t="shared" si="25"/>
        <v>3.599562000000002E-2</v>
      </c>
      <c r="M168" s="545">
        <f t="shared" si="25"/>
        <v>3.5152030000000015E-2</v>
      </c>
      <c r="N168" s="545">
        <f t="shared" si="25"/>
        <v>4.4415769999999882E-2</v>
      </c>
      <c r="O168" s="545">
        <f t="shared" si="25"/>
        <v>0.51846940000000008</v>
      </c>
    </row>
    <row r="169" spans="2:15" x14ac:dyDescent="0.4">
      <c r="B169" s="517" t="s">
        <v>163</v>
      </c>
      <c r="C169" s="78"/>
      <c r="D169" s="78"/>
      <c r="E169" s="78"/>
      <c r="F169" s="3"/>
      <c r="G169" s="3"/>
      <c r="H169" s="2"/>
      <c r="I169" s="3"/>
      <c r="J169" s="3"/>
      <c r="K169" s="124"/>
      <c r="L169" s="124"/>
      <c r="M169" s="2"/>
      <c r="N169" s="2"/>
      <c r="O169" s="545"/>
    </row>
    <row r="170" spans="2:15" x14ac:dyDescent="0.4">
      <c r="B170" s="519" t="s">
        <v>1133</v>
      </c>
      <c r="C170" s="46"/>
      <c r="D170" s="46"/>
      <c r="E170" s="46"/>
      <c r="F170" s="3"/>
      <c r="G170" s="3"/>
      <c r="H170" s="2"/>
      <c r="I170" s="3"/>
      <c r="J170" s="3"/>
      <c r="K170" s="124"/>
      <c r="L170" s="124"/>
      <c r="M170" s="2"/>
      <c r="N170" s="2"/>
      <c r="O170" s="544">
        <f t="shared" ref="O170:O177" si="26">SUM(C170:N170)</f>
        <v>0</v>
      </c>
    </row>
    <row r="171" spans="2:15" x14ac:dyDescent="0.4">
      <c r="B171" s="520" t="s">
        <v>1106</v>
      </c>
      <c r="C171" s="527">
        <v>4.3047000000000002E-2</v>
      </c>
      <c r="D171" s="527">
        <v>4.3984000000000002E-2</v>
      </c>
      <c r="E171" s="527">
        <v>4.6438E-2</v>
      </c>
      <c r="F171" s="529">
        <v>4.7551999999999997E-2</v>
      </c>
      <c r="G171" s="529">
        <v>4.9304000000000001E-2</v>
      </c>
      <c r="H171" s="529">
        <v>5.0854000000000003E-2</v>
      </c>
      <c r="I171" s="529">
        <v>5.1188999999999998E-2</v>
      </c>
      <c r="J171" s="529">
        <v>5.1855999999999999E-2</v>
      </c>
      <c r="K171" s="564">
        <v>5.4670999999999997E-2</v>
      </c>
      <c r="L171" s="564">
        <v>5.4886999999999998E-2</v>
      </c>
      <c r="M171" s="529">
        <v>5.5400999999999999E-2</v>
      </c>
      <c r="N171" s="529">
        <v>5.9692000000000002E-2</v>
      </c>
      <c r="O171" s="544">
        <f t="shared" si="26"/>
        <v>0.60887500000000006</v>
      </c>
    </row>
    <row r="172" spans="2:15" x14ac:dyDescent="0.4">
      <c r="B172" s="520" t="s">
        <v>1107</v>
      </c>
      <c r="C172" s="531">
        <v>4.9787999999999999E-2</v>
      </c>
      <c r="D172" s="531">
        <v>5.5271000000000001E-2</v>
      </c>
      <c r="E172" s="531">
        <v>5.3429999999999998E-2</v>
      </c>
      <c r="F172" s="529">
        <v>4.3540000000000002E-2</v>
      </c>
      <c r="G172" s="529">
        <v>4.5450999999999998E-2</v>
      </c>
      <c r="H172" s="529">
        <v>4.8910000000000002E-2</v>
      </c>
      <c r="I172" s="529">
        <v>4.8451000000000001E-2</v>
      </c>
      <c r="J172" s="529">
        <v>4.3922000000000003E-2</v>
      </c>
      <c r="K172" s="564">
        <v>4.7329000000000003E-2</v>
      </c>
      <c r="L172" s="564">
        <v>4.0472000000000001E-2</v>
      </c>
      <c r="M172" s="529">
        <v>4.5157000000000003E-2</v>
      </c>
      <c r="N172" s="529">
        <v>5.9795000000000001E-2</v>
      </c>
      <c r="O172" s="544">
        <f t="shared" si="26"/>
        <v>0.58151600000000014</v>
      </c>
    </row>
    <row r="173" spans="2:15" x14ac:dyDescent="0.4">
      <c r="B173" s="520" t="s">
        <v>1108</v>
      </c>
      <c r="C173" s="531">
        <v>2.3824000000000001E-2</v>
      </c>
      <c r="D173" s="531">
        <v>2.8712999999999999E-2</v>
      </c>
      <c r="E173" s="531">
        <v>2.2734000000000001E-2</v>
      </c>
      <c r="F173" s="529">
        <v>1.2159E-2</v>
      </c>
      <c r="G173" s="529">
        <v>1.2775E-2</v>
      </c>
      <c r="H173" s="529">
        <v>1.5139E-2</v>
      </c>
      <c r="I173" s="529">
        <v>1.5072E-2</v>
      </c>
      <c r="J173" s="529">
        <v>1.2388E-2</v>
      </c>
      <c r="K173" s="564">
        <v>1.1433E-2</v>
      </c>
      <c r="L173" s="564">
        <v>8.0839999999999992E-3</v>
      </c>
      <c r="M173" s="529">
        <v>1.0880000000000001E-2</v>
      </c>
      <c r="N173" s="529">
        <v>1.9966999999999999E-2</v>
      </c>
      <c r="O173" s="544">
        <f t="shared" si="26"/>
        <v>0.19316800000000001</v>
      </c>
    </row>
    <row r="174" spans="2:15" x14ac:dyDescent="0.4">
      <c r="B174" s="520" t="s">
        <v>1109</v>
      </c>
      <c r="C174" s="531">
        <v>0.11912399999999999</v>
      </c>
      <c r="D174" s="531">
        <v>0.11536399999999999</v>
      </c>
      <c r="E174" s="531">
        <v>0.122543</v>
      </c>
      <c r="F174" s="529">
        <v>0.13459399999999999</v>
      </c>
      <c r="G174" s="529">
        <v>0.144264</v>
      </c>
      <c r="H174" s="529">
        <v>0.13444800000000001</v>
      </c>
      <c r="I174" s="529">
        <v>0.13457</v>
      </c>
      <c r="J174" s="529">
        <v>0.13656299999999999</v>
      </c>
      <c r="K174" s="564">
        <v>0.13201499999999999</v>
      </c>
      <c r="L174" s="564">
        <v>0.141705</v>
      </c>
      <c r="M174" s="529">
        <v>0.11526699999999999</v>
      </c>
      <c r="N174" s="529">
        <v>0.13424800000000001</v>
      </c>
      <c r="O174" s="544">
        <f t="shared" si="26"/>
        <v>1.5647049999999998</v>
      </c>
    </row>
    <row r="175" spans="2:15" x14ac:dyDescent="0.4">
      <c r="B175" s="520" t="s">
        <v>1110</v>
      </c>
      <c r="C175" s="175"/>
      <c r="D175" s="175"/>
      <c r="E175" s="175"/>
      <c r="F175" s="2"/>
      <c r="G175" s="2"/>
      <c r="H175" s="2"/>
      <c r="I175" s="2"/>
      <c r="J175" s="2"/>
      <c r="K175" s="124"/>
      <c r="L175" s="124"/>
      <c r="M175" s="2"/>
      <c r="N175" s="2"/>
      <c r="O175" s="544">
        <f t="shared" si="26"/>
        <v>0</v>
      </c>
    </row>
    <row r="176" spans="2:15" x14ac:dyDescent="0.4">
      <c r="B176" s="519" t="s">
        <v>1139</v>
      </c>
      <c r="C176" s="175"/>
      <c r="D176" s="175"/>
      <c r="E176" s="175"/>
      <c r="F176" s="2"/>
      <c r="G176" s="2"/>
      <c r="H176" s="2"/>
      <c r="I176" s="2"/>
      <c r="J176" s="2"/>
      <c r="K176" s="124"/>
      <c r="L176" s="124"/>
      <c r="M176" s="2"/>
      <c r="N176" s="2"/>
      <c r="O176" s="544">
        <f t="shared" si="26"/>
        <v>0</v>
      </c>
    </row>
    <row r="177" spans="2:15" x14ac:dyDescent="0.4">
      <c r="B177" s="520" t="s">
        <v>1140</v>
      </c>
      <c r="C177" s="531">
        <v>6.1970000000000003E-3</v>
      </c>
      <c r="D177" s="531">
        <v>7.698E-3</v>
      </c>
      <c r="E177" s="531">
        <v>6.5240000000000003E-3</v>
      </c>
      <c r="F177" s="529">
        <v>5.3680000000000004E-3</v>
      </c>
      <c r="G177" s="529">
        <v>5.5360000000000001E-3</v>
      </c>
      <c r="H177" s="529">
        <v>6.4599999999999996E-3</v>
      </c>
      <c r="I177" s="529">
        <v>6.3889999999999997E-3</v>
      </c>
      <c r="J177" s="529">
        <v>6.0150000000000004E-3</v>
      </c>
      <c r="K177" s="564">
        <v>5.7270000000000003E-3</v>
      </c>
      <c r="L177" s="1753">
        <v>5.2909999999999997E-3</v>
      </c>
      <c r="M177" s="1754">
        <v>5.5019999999999999E-3</v>
      </c>
      <c r="N177" s="1754">
        <v>7.7169999999999999E-3</v>
      </c>
      <c r="O177" s="544">
        <f t="shared" si="26"/>
        <v>7.4424000000000004E-2</v>
      </c>
    </row>
    <row r="178" spans="2:15" x14ac:dyDescent="0.4">
      <c r="B178" s="520" t="s">
        <v>1144</v>
      </c>
      <c r="C178" s="531">
        <v>5.5691640000000001E-2</v>
      </c>
      <c r="D178" s="531">
        <v>6.6994434999999991E-2</v>
      </c>
      <c r="E178" s="531">
        <v>5.7454739999999997E-2</v>
      </c>
      <c r="F178" s="529">
        <v>1.3472620000000001E-2</v>
      </c>
      <c r="G178" s="529">
        <v>1.424951E-2</v>
      </c>
      <c r="H178" s="529">
        <v>1.4558177299999999E-2</v>
      </c>
      <c r="I178" s="529">
        <v>1.5206540000000001E-2</v>
      </c>
      <c r="J178" s="529">
        <v>1.444868E-2</v>
      </c>
      <c r="K178" s="564">
        <v>1.54755E-2</v>
      </c>
      <c r="L178" s="564">
        <v>1.279781E-2</v>
      </c>
      <c r="M178" s="529">
        <v>1.340994E-2</v>
      </c>
      <c r="N178" s="529">
        <v>1.569547E-2</v>
      </c>
      <c r="O178" s="544">
        <f t="shared" ref="O178:O183" si="27">SUM(C178:N178)</f>
        <v>0.30945506229999997</v>
      </c>
    </row>
    <row r="179" spans="2:15" x14ac:dyDescent="0.4">
      <c r="B179" s="520" t="s">
        <v>1143</v>
      </c>
      <c r="C179" s="531">
        <v>5.8290699999999996E-3</v>
      </c>
      <c r="D179" s="531">
        <v>5.6651899999999996E-3</v>
      </c>
      <c r="E179" s="531">
        <v>8.9625599999999996E-3</v>
      </c>
      <c r="F179" s="529">
        <v>6.23224E-3</v>
      </c>
      <c r="G179" s="529">
        <v>6.3198000000000004E-3</v>
      </c>
      <c r="H179" s="529">
        <v>6.6920959999999998E-3</v>
      </c>
      <c r="I179" s="529">
        <v>5.2642100000000001E-3</v>
      </c>
      <c r="J179" s="529">
        <v>5.1388299999999996E-3</v>
      </c>
      <c r="K179" s="564">
        <v>4.6548800000000001E-3</v>
      </c>
      <c r="L179" s="564">
        <v>3.9033900000000001E-3</v>
      </c>
      <c r="M179" s="529">
        <v>4.30818E-3</v>
      </c>
      <c r="N179" s="529">
        <v>6.5268039999999998E-3</v>
      </c>
      <c r="O179" s="544">
        <f t="shared" si="27"/>
        <v>6.9497249999999997E-2</v>
      </c>
    </row>
    <row r="180" spans="2:15" x14ac:dyDescent="0.4">
      <c r="B180" s="519" t="s">
        <v>1111</v>
      </c>
      <c r="C180" s="531">
        <v>1.668528E-2</v>
      </c>
      <c r="D180" s="531">
        <v>1.81552E-2</v>
      </c>
      <c r="E180" s="531">
        <v>1.7092720000000002E-2</v>
      </c>
      <c r="F180" s="529">
        <v>2.7070979999999998E-2</v>
      </c>
      <c r="G180" s="529">
        <v>3.1055869999999999E-2</v>
      </c>
      <c r="H180" s="529">
        <v>2.8363142000000001E-2</v>
      </c>
      <c r="I180" s="529">
        <v>2.579994E-2</v>
      </c>
      <c r="J180" s="529">
        <v>2.561857E-2</v>
      </c>
      <c r="K180" s="564">
        <v>3.6970169999999997E-2</v>
      </c>
      <c r="L180" s="564">
        <v>3.9522919999999996E-2</v>
      </c>
      <c r="M180" s="529">
        <v>3.5471330000000002E-2</v>
      </c>
      <c r="N180" s="529">
        <v>3.9499619999999999E-2</v>
      </c>
      <c r="O180" s="544">
        <f t="shared" si="27"/>
        <v>0.34130574200000002</v>
      </c>
    </row>
    <row r="181" spans="2:15" x14ac:dyDescent="0.4">
      <c r="B181" s="519" t="s">
        <v>1135</v>
      </c>
      <c r="C181" s="531">
        <v>7.7000000000000159E-4</v>
      </c>
      <c r="D181" s="531">
        <v>8.3000000000000088E-4</v>
      </c>
      <c r="E181" s="531">
        <v>7.0000000000000097E-4</v>
      </c>
      <c r="F181" s="529">
        <v>1.0819999999999996E-3</v>
      </c>
      <c r="G181" s="529">
        <v>9.8800000000000103E-4</v>
      </c>
      <c r="H181" s="529">
        <v>1.0299999999999997E-3</v>
      </c>
      <c r="I181" s="529">
        <v>1.1029999999999998E-3</v>
      </c>
      <c r="J181" s="529">
        <v>1.0170000000000005E-3</v>
      </c>
      <c r="K181" s="564">
        <v>8.8000000000000057E-4</v>
      </c>
      <c r="L181" s="564">
        <v>9.3000000000000027E-4</v>
      </c>
      <c r="M181" s="529">
        <v>8.4000000000000047E-4</v>
      </c>
      <c r="N181" s="529">
        <v>1.0200000000000001E-3</v>
      </c>
      <c r="O181" s="544">
        <f t="shared" si="27"/>
        <v>1.1190000000000005E-2</v>
      </c>
    </row>
    <row r="182" spans="2:15" x14ac:dyDescent="0.4">
      <c r="B182" s="519" t="s">
        <v>1136</v>
      </c>
      <c r="C182" s="175"/>
      <c r="D182" s="175"/>
      <c r="E182" s="175"/>
      <c r="F182" s="2"/>
      <c r="G182" s="2"/>
      <c r="H182" s="2"/>
      <c r="I182" s="2"/>
      <c r="J182" s="2"/>
      <c r="K182" s="124"/>
      <c r="L182" s="124"/>
      <c r="M182" s="2"/>
      <c r="N182" s="2"/>
      <c r="O182" s="544">
        <f t="shared" si="27"/>
        <v>0</v>
      </c>
    </row>
    <row r="183" spans="2:15" x14ac:dyDescent="0.4">
      <c r="B183" s="566" t="s">
        <v>1142</v>
      </c>
      <c r="C183" s="531">
        <v>5.9009999999999999E-5</v>
      </c>
      <c r="D183" s="531">
        <v>6.2219999999999997E-5</v>
      </c>
      <c r="E183" s="531">
        <v>1.3828000000000001E-4</v>
      </c>
      <c r="F183" s="529">
        <v>5.6350000000000001E-5</v>
      </c>
      <c r="G183" s="529">
        <v>1.1401E-4</v>
      </c>
      <c r="H183" s="529">
        <v>1.1423499999999999E-4</v>
      </c>
      <c r="I183" s="529">
        <v>1.8466999999999998E-4</v>
      </c>
      <c r="J183" s="529">
        <v>2.1871E-4</v>
      </c>
      <c r="K183" s="564">
        <v>1.9201E-4</v>
      </c>
      <c r="L183" s="564">
        <v>1.3824E-4</v>
      </c>
      <c r="M183" s="529">
        <v>2.0049999999999999E-4</v>
      </c>
      <c r="N183" s="529">
        <v>3.0066000000000001E-4</v>
      </c>
      <c r="O183" s="544">
        <f t="shared" si="27"/>
        <v>1.778895E-3</v>
      </c>
    </row>
    <row r="184" spans="2:15" x14ac:dyDescent="0.4">
      <c r="B184" s="175" t="s">
        <v>162</v>
      </c>
      <c r="C184" s="545">
        <f>SUM(C171:C183)</f>
        <v>0.32101500000000005</v>
      </c>
      <c r="D184" s="545">
        <f t="shared" ref="D184:O184" si="28">SUM(D171:D183)</f>
        <v>0.34273704499999996</v>
      </c>
      <c r="E184" s="545">
        <f t="shared" si="28"/>
        <v>0.33601729999999996</v>
      </c>
      <c r="F184" s="545">
        <f t="shared" si="28"/>
        <v>0.29112719000000004</v>
      </c>
      <c r="G184" s="545">
        <f t="shared" si="28"/>
        <v>0.31005718999999998</v>
      </c>
      <c r="H184" s="545">
        <f t="shared" si="28"/>
        <v>0.30656865029999997</v>
      </c>
      <c r="I184" s="545">
        <f t="shared" si="28"/>
        <v>0.30322936</v>
      </c>
      <c r="J184" s="545">
        <f t="shared" si="28"/>
        <v>0.29718578999999995</v>
      </c>
      <c r="K184" s="545">
        <f t="shared" si="28"/>
        <v>0.30934755999999997</v>
      </c>
      <c r="L184" s="545">
        <f t="shared" si="28"/>
        <v>0.30773136000000001</v>
      </c>
      <c r="M184" s="545">
        <f t="shared" si="28"/>
        <v>0.28643695000000002</v>
      </c>
      <c r="N184" s="545">
        <f t="shared" si="28"/>
        <v>0.344461554</v>
      </c>
      <c r="O184" s="545">
        <f t="shared" si="28"/>
        <v>3.7559149493000001</v>
      </c>
    </row>
    <row r="185" spans="2:15" x14ac:dyDescent="0.4">
      <c r="B185" s="175"/>
      <c r="C185" s="543"/>
      <c r="D185" s="543"/>
      <c r="E185" s="543"/>
      <c r="F185" s="543"/>
      <c r="G185" s="543"/>
      <c r="H185" s="543"/>
      <c r="I185" s="543"/>
      <c r="J185" s="543"/>
      <c r="K185" s="543"/>
      <c r="L185" s="543"/>
      <c r="M185" s="543"/>
      <c r="N185" s="543"/>
      <c r="O185" s="543"/>
    </row>
    <row r="186" spans="2:15" x14ac:dyDescent="0.4">
      <c r="B186" s="119" t="s">
        <v>164</v>
      </c>
      <c r="C186" s="545">
        <f t="shared" ref="C186:N186" si="29">C168+C184</f>
        <v>0.37047466999999995</v>
      </c>
      <c r="D186" s="545">
        <f t="shared" si="29"/>
        <v>0.39770348500000008</v>
      </c>
      <c r="E186" s="545">
        <f t="shared" si="29"/>
        <v>0.37833948000000001</v>
      </c>
      <c r="F186" s="545">
        <f t="shared" si="29"/>
        <v>0.34867362000000013</v>
      </c>
      <c r="G186" s="545">
        <f t="shared" si="29"/>
        <v>0.35560574000000006</v>
      </c>
      <c r="H186" s="545">
        <f t="shared" si="29"/>
        <v>0.34792140030000002</v>
      </c>
      <c r="I186" s="545">
        <f t="shared" si="29"/>
        <v>0.34325826999999987</v>
      </c>
      <c r="J186" s="545">
        <f t="shared" si="29"/>
        <v>0.33169743000000002</v>
      </c>
      <c r="K186" s="545">
        <f t="shared" si="29"/>
        <v>0.34651696999999998</v>
      </c>
      <c r="L186" s="545">
        <f t="shared" si="29"/>
        <v>0.34372698000000002</v>
      </c>
      <c r="M186" s="545">
        <f t="shared" si="29"/>
        <v>0.32158898000000002</v>
      </c>
      <c r="N186" s="545">
        <f t="shared" si="29"/>
        <v>0.38887732399999986</v>
      </c>
      <c r="O186" s="545">
        <f>O168+O184</f>
        <v>4.2743843493</v>
      </c>
    </row>
    <row r="187" spans="2:15" x14ac:dyDescent="0.4">
      <c r="B187" s="118" t="s">
        <v>165</v>
      </c>
    </row>
    <row r="188" spans="2:15" x14ac:dyDescent="0.4">
      <c r="B188" s="27" t="s">
        <v>166</v>
      </c>
    </row>
    <row r="189" spans="2:15" x14ac:dyDescent="0.4">
      <c r="B189" s="1" t="s">
        <v>184</v>
      </c>
      <c r="C189" s="30"/>
      <c r="D189" s="30"/>
      <c r="E189" s="30"/>
      <c r="F189" s="30"/>
    </row>
    <row r="190" spans="2:15" x14ac:dyDescent="0.4">
      <c r="B190" s="27" t="s">
        <v>168</v>
      </c>
      <c r="C190" s="30"/>
      <c r="D190" s="30"/>
      <c r="E190" s="30"/>
      <c r="F190" s="30"/>
    </row>
    <row r="191" spans="2:15" x14ac:dyDescent="0.4">
      <c r="B191" s="27"/>
      <c r="C191" s="30"/>
      <c r="D191" s="30"/>
      <c r="E191" s="30"/>
      <c r="F191" s="30"/>
    </row>
    <row r="192" spans="2:15" x14ac:dyDescent="0.4">
      <c r="B192" s="32" t="s">
        <v>185</v>
      </c>
      <c r="C192" s="8"/>
      <c r="D192" s="8"/>
      <c r="E192" s="8"/>
      <c r="F192" s="8"/>
      <c r="G192" s="8"/>
      <c r="H192" s="8"/>
      <c r="I192" s="8"/>
      <c r="J192" s="8"/>
      <c r="K192" s="8"/>
      <c r="L192" s="8"/>
      <c r="M192" s="8"/>
      <c r="N192" s="8"/>
      <c r="O192" s="4"/>
    </row>
    <row r="193" spans="2:15" x14ac:dyDescent="0.4">
      <c r="B193" s="32"/>
      <c r="C193" s="38"/>
      <c r="D193" s="38"/>
      <c r="O193" s="38" t="s">
        <v>171</v>
      </c>
    </row>
    <row r="194" spans="2:15" x14ac:dyDescent="0.4">
      <c r="B194" s="98" t="s">
        <v>160</v>
      </c>
      <c r="C194" s="98" t="s">
        <v>172</v>
      </c>
      <c r="D194" s="98" t="s">
        <v>173</v>
      </c>
      <c r="E194" s="98" t="s">
        <v>174</v>
      </c>
      <c r="F194" s="98" t="s">
        <v>175</v>
      </c>
      <c r="G194" s="98" t="s">
        <v>176</v>
      </c>
      <c r="H194" s="98" t="s">
        <v>177</v>
      </c>
      <c r="I194" s="98" t="s">
        <v>178</v>
      </c>
      <c r="J194" s="98" t="s">
        <v>179</v>
      </c>
      <c r="K194" s="98" t="s">
        <v>180</v>
      </c>
      <c r="L194" s="98" t="s">
        <v>181</v>
      </c>
      <c r="M194" s="98" t="s">
        <v>182</v>
      </c>
      <c r="N194" s="98" t="s">
        <v>183</v>
      </c>
      <c r="O194" s="98" t="s">
        <v>164</v>
      </c>
    </row>
    <row r="195" spans="2:15" x14ac:dyDescent="0.4">
      <c r="B195" s="517" t="s">
        <v>161</v>
      </c>
      <c r="C195" s="78"/>
      <c r="D195" s="78"/>
      <c r="E195" s="78"/>
      <c r="F195" s="3"/>
      <c r="G195" s="3"/>
      <c r="H195" s="2"/>
      <c r="I195" s="43"/>
      <c r="J195" s="44"/>
      <c r="K195" s="124"/>
      <c r="L195" s="124"/>
      <c r="M195" s="2"/>
      <c r="N195" s="2"/>
      <c r="O195" s="2"/>
    </row>
    <row r="196" spans="2:15" x14ac:dyDescent="0.4">
      <c r="B196" s="429" t="s">
        <v>1129</v>
      </c>
      <c r="C196" s="527">
        <v>2.5199999999999889E-2</v>
      </c>
      <c r="D196" s="527">
        <v>2.0399999999999974E-2</v>
      </c>
      <c r="E196" s="527">
        <v>5.0399999999999778E-2</v>
      </c>
      <c r="F196" s="529">
        <v>3.6000000000000032E-2</v>
      </c>
      <c r="G196" s="529">
        <v>2.6399999999999757E-2</v>
      </c>
      <c r="H196" s="529">
        <v>2.7600000000000069E-2</v>
      </c>
      <c r="I196" s="529">
        <v>2.5200000000000333E-2</v>
      </c>
      <c r="J196" s="529">
        <v>1.8000000000000238E-2</v>
      </c>
      <c r="K196" s="564">
        <v>2.0399999999999974E-2</v>
      </c>
      <c r="L196" s="564">
        <v>1.9200000000000106E-2</v>
      </c>
      <c r="M196" s="529">
        <v>1.440000000000019E-2</v>
      </c>
      <c r="N196" s="529">
        <v>1.5600000000000057E-8</v>
      </c>
      <c r="O196" s="544">
        <f>SUM(C196:N196)</f>
        <v>0.28320001560000035</v>
      </c>
    </row>
    <row r="197" spans="2:15" x14ac:dyDescent="0.4">
      <c r="B197" s="429" t="s">
        <v>1130</v>
      </c>
      <c r="C197" s="527">
        <v>2.0915569999999998E-2</v>
      </c>
      <c r="D197" s="527">
        <v>2.1985440000000002E-2</v>
      </c>
      <c r="E197" s="527">
        <v>2.4265170000000003E-2</v>
      </c>
      <c r="F197" s="529">
        <v>4.4258230000000003E-2</v>
      </c>
      <c r="G197" s="529">
        <v>3.0445529999999995E-2</v>
      </c>
      <c r="H197" s="529">
        <v>4.7161200000000007E-2</v>
      </c>
      <c r="I197" s="529">
        <v>2.8178770000000002E-2</v>
      </c>
      <c r="J197" s="529">
        <v>2.030293E-2</v>
      </c>
      <c r="K197" s="564">
        <v>2.6105059999999999E-2</v>
      </c>
      <c r="L197" s="564">
        <v>2.0577089999999999E-2</v>
      </c>
      <c r="M197" s="529">
        <v>2.0858429999999997E-2</v>
      </c>
      <c r="N197" s="529">
        <v>2.5806590000000001E-2</v>
      </c>
      <c r="O197" s="544">
        <f>SUM(C197:N197)</f>
        <v>0.33086001000000004</v>
      </c>
    </row>
    <row r="198" spans="2:15" x14ac:dyDescent="0.4">
      <c r="B198" s="429" t="s">
        <v>1131</v>
      </c>
      <c r="C198" s="47"/>
      <c r="D198" s="47"/>
      <c r="E198" s="47"/>
      <c r="F198" s="3"/>
      <c r="G198" s="3"/>
      <c r="H198" s="2"/>
      <c r="I198" s="3"/>
      <c r="J198" s="3"/>
      <c r="K198" s="124"/>
      <c r="L198" s="124"/>
      <c r="M198" s="2"/>
      <c r="N198" s="2"/>
      <c r="O198" s="544">
        <f>SUM(C198:N198)</f>
        <v>0</v>
      </c>
    </row>
    <row r="199" spans="2:15" x14ac:dyDescent="0.4">
      <c r="B199" s="429" t="s">
        <v>1132</v>
      </c>
      <c r="C199" s="175"/>
      <c r="D199" s="175"/>
      <c r="E199" s="175"/>
      <c r="F199" s="3"/>
      <c r="G199" s="3"/>
      <c r="H199" s="2"/>
      <c r="I199" s="3"/>
      <c r="J199" s="3"/>
      <c r="K199" s="124"/>
      <c r="L199" s="124"/>
      <c r="M199" s="2"/>
      <c r="N199" s="2"/>
      <c r="O199" s="544">
        <f>SUM(C199:N199)</f>
        <v>0</v>
      </c>
    </row>
    <row r="200" spans="2:15" x14ac:dyDescent="0.4">
      <c r="B200" s="518" t="s">
        <v>162</v>
      </c>
      <c r="C200" s="545">
        <f>SUM(C196:C199)</f>
        <v>4.6115569999999884E-2</v>
      </c>
      <c r="D200" s="545">
        <f t="shared" ref="D200:O200" si="30">SUM(D196:D199)</f>
        <v>4.2385439999999976E-2</v>
      </c>
      <c r="E200" s="545">
        <f t="shared" si="30"/>
        <v>7.4665169999999781E-2</v>
      </c>
      <c r="F200" s="545">
        <f t="shared" si="30"/>
        <v>8.0258230000000041E-2</v>
      </c>
      <c r="G200" s="545">
        <f t="shared" si="30"/>
        <v>5.6845529999999755E-2</v>
      </c>
      <c r="H200" s="545">
        <f t="shared" si="30"/>
        <v>7.4761200000000083E-2</v>
      </c>
      <c r="I200" s="545">
        <f t="shared" si="30"/>
        <v>5.3378770000000339E-2</v>
      </c>
      <c r="J200" s="545">
        <f t="shared" si="30"/>
        <v>3.8302930000000235E-2</v>
      </c>
      <c r="K200" s="545">
        <f t="shared" si="30"/>
        <v>4.6505059999999973E-2</v>
      </c>
      <c r="L200" s="545">
        <f t="shared" si="30"/>
        <v>3.9777090000000105E-2</v>
      </c>
      <c r="M200" s="545">
        <f t="shared" si="30"/>
        <v>3.5258430000000188E-2</v>
      </c>
      <c r="N200" s="545">
        <f t="shared" si="30"/>
        <v>2.5806605600000001E-2</v>
      </c>
      <c r="O200" s="545">
        <f t="shared" si="30"/>
        <v>0.61406002560000039</v>
      </c>
    </row>
    <row r="201" spans="2:15" x14ac:dyDescent="0.4">
      <c r="B201" s="517" t="s">
        <v>163</v>
      </c>
      <c r="C201" s="78"/>
      <c r="D201" s="78"/>
      <c r="E201" s="78"/>
      <c r="F201" s="3"/>
      <c r="G201" s="3"/>
      <c r="H201" s="2"/>
      <c r="I201" s="3"/>
      <c r="J201" s="3"/>
      <c r="K201" s="124"/>
      <c r="L201" s="124"/>
      <c r="M201" s="2"/>
      <c r="N201" s="2"/>
      <c r="O201" s="545"/>
    </row>
    <row r="202" spans="2:15" x14ac:dyDescent="0.4">
      <c r="B202" s="519" t="s">
        <v>1133</v>
      </c>
      <c r="C202" s="46"/>
      <c r="D202" s="46"/>
      <c r="E202" s="46"/>
      <c r="F202" s="3"/>
      <c r="G202" s="3"/>
      <c r="H202" s="2"/>
      <c r="I202" s="3"/>
      <c r="J202" s="3"/>
      <c r="K202" s="124"/>
      <c r="L202" s="124"/>
      <c r="M202" s="2"/>
      <c r="N202" s="2"/>
      <c r="O202" s="544">
        <f t="shared" ref="O202:O209" si="31">SUM(C202:N202)</f>
        <v>0</v>
      </c>
    </row>
    <row r="203" spans="2:15" x14ac:dyDescent="0.4">
      <c r="B203" s="520" t="s">
        <v>1106</v>
      </c>
      <c r="C203" s="527">
        <v>6.6030000000000005E-2</v>
      </c>
      <c r="D203" s="527">
        <v>6.8662000000000001E-2</v>
      </c>
      <c r="E203" s="527">
        <v>7.2454000000000005E-2</v>
      </c>
      <c r="F203" s="529">
        <v>6.8848999999999994E-2</v>
      </c>
      <c r="G203" s="529">
        <v>7.5384000000000007E-2</v>
      </c>
      <c r="H203" s="529">
        <v>7.6342999999999994E-2</v>
      </c>
      <c r="I203" s="529">
        <v>8.0395999999999995E-2</v>
      </c>
      <c r="J203" s="529">
        <v>8.1365999999999994E-2</v>
      </c>
      <c r="K203" s="564">
        <v>8.1823999999999994E-2</v>
      </c>
      <c r="L203" s="564">
        <v>8.6599999999999996E-2</v>
      </c>
      <c r="M203" s="529">
        <v>8.3668999999999993E-2</v>
      </c>
      <c r="N203" s="529">
        <v>8.9752999999999999E-2</v>
      </c>
      <c r="O203" s="544">
        <f t="shared" si="31"/>
        <v>0.93132999999999988</v>
      </c>
    </row>
    <row r="204" spans="2:15" x14ac:dyDescent="0.4">
      <c r="B204" s="520" t="s">
        <v>1107</v>
      </c>
      <c r="C204" s="531">
        <v>7.6935000000000003E-2</v>
      </c>
      <c r="D204" s="531">
        <v>8.1995999999999999E-2</v>
      </c>
      <c r="E204" s="531">
        <v>8.9079000000000005E-2</v>
      </c>
      <c r="F204" s="529">
        <v>6.2744999999999995E-2</v>
      </c>
      <c r="G204" s="529">
        <v>6.8973999999999994E-2</v>
      </c>
      <c r="H204" s="529">
        <v>6.9240999999999997E-2</v>
      </c>
      <c r="I204" s="529">
        <v>8.6538000000000004E-2</v>
      </c>
      <c r="J204" s="529">
        <v>7.8981999999999997E-2</v>
      </c>
      <c r="K204" s="564">
        <v>6.6804000000000002E-2</v>
      </c>
      <c r="L204" s="564">
        <v>7.2833999999999996E-2</v>
      </c>
      <c r="M204" s="529">
        <v>6.4253000000000005E-2</v>
      </c>
      <c r="N204" s="529">
        <v>8.3507999999999999E-2</v>
      </c>
      <c r="O204" s="544">
        <f t="shared" si="31"/>
        <v>0.90188899999999994</v>
      </c>
    </row>
    <row r="205" spans="2:15" x14ac:dyDescent="0.4">
      <c r="B205" s="520" t="s">
        <v>1108</v>
      </c>
      <c r="C205" s="531">
        <v>3.6034999999999998E-2</v>
      </c>
      <c r="D205" s="531">
        <v>4.4424999999999999E-2</v>
      </c>
      <c r="E205" s="531">
        <v>4.8300999999999997E-2</v>
      </c>
      <c r="F205" s="529">
        <v>1.6195999999999999E-2</v>
      </c>
      <c r="G205" s="529">
        <v>1.9425999999999999E-2</v>
      </c>
      <c r="H205" s="529">
        <v>2.0840999999999998E-2</v>
      </c>
      <c r="I205" s="529">
        <v>3.3893E-2</v>
      </c>
      <c r="J205" s="529">
        <v>2.5283E-2</v>
      </c>
      <c r="K205" s="564">
        <v>1.6441999999999998E-2</v>
      </c>
      <c r="L205" s="564">
        <v>1.7101000000000002E-2</v>
      </c>
      <c r="M205" s="529">
        <v>1.3690000000000001E-2</v>
      </c>
      <c r="N205" s="529">
        <v>2.426E-2</v>
      </c>
      <c r="O205" s="544">
        <f t="shared" si="31"/>
        <v>0.31589299999999998</v>
      </c>
    </row>
    <row r="206" spans="2:15" x14ac:dyDescent="0.4">
      <c r="B206" s="520" t="s">
        <v>1109</v>
      </c>
      <c r="C206" s="531">
        <v>0.15693599999999999</v>
      </c>
      <c r="D206" s="531">
        <v>0.17735100000000001</v>
      </c>
      <c r="E206" s="531">
        <v>0.18526999999999999</v>
      </c>
      <c r="F206" s="529">
        <v>0.14182400000000001</v>
      </c>
      <c r="G206" s="529">
        <v>0.154915</v>
      </c>
      <c r="H206" s="529">
        <v>0.14571400000000001</v>
      </c>
      <c r="I206" s="529">
        <v>0.15559700000000001</v>
      </c>
      <c r="J206" s="529">
        <v>0.14522299999999999</v>
      </c>
      <c r="K206" s="564">
        <v>0.144592</v>
      </c>
      <c r="L206" s="564">
        <v>0.165654</v>
      </c>
      <c r="M206" s="529">
        <v>0.137379</v>
      </c>
      <c r="N206" s="529">
        <v>0.14626800000000001</v>
      </c>
      <c r="O206" s="544">
        <f t="shared" si="31"/>
        <v>1.8567230000000001</v>
      </c>
    </row>
    <row r="207" spans="2:15" x14ac:dyDescent="0.4">
      <c r="B207" s="520" t="s">
        <v>1110</v>
      </c>
      <c r="C207" s="175"/>
      <c r="D207" s="175"/>
      <c r="E207" s="175"/>
      <c r="F207" s="2"/>
      <c r="G207" s="2"/>
      <c r="H207" s="2"/>
      <c r="I207" s="2"/>
      <c r="J207" s="2"/>
      <c r="K207" s="124"/>
      <c r="L207" s="124"/>
      <c r="M207" s="2"/>
      <c r="N207" s="2"/>
      <c r="O207" s="544">
        <f t="shared" si="31"/>
        <v>0</v>
      </c>
    </row>
    <row r="208" spans="2:15" x14ac:dyDescent="0.4">
      <c r="B208" s="519" t="s">
        <v>1139</v>
      </c>
      <c r="C208" s="175"/>
      <c r="D208" s="175"/>
      <c r="E208" s="175"/>
      <c r="F208" s="2"/>
      <c r="G208" s="2"/>
      <c r="H208" s="2"/>
      <c r="I208" s="2"/>
      <c r="J208" s="2"/>
      <c r="K208" s="124"/>
      <c r="L208" s="124"/>
      <c r="M208" s="2"/>
      <c r="N208" s="2"/>
      <c r="O208" s="544">
        <f t="shared" si="31"/>
        <v>0</v>
      </c>
    </row>
    <row r="209" spans="2:15" x14ac:dyDescent="0.4">
      <c r="B209" s="520" t="s">
        <v>1140</v>
      </c>
      <c r="C209" s="531">
        <v>9.7850000000000003E-3</v>
      </c>
      <c r="D209" s="531">
        <v>1.1736999999999999E-2</v>
      </c>
      <c r="E209" s="531">
        <v>1.2630000000000001E-2</v>
      </c>
      <c r="F209" s="529">
        <v>9.4149999999999998E-3</v>
      </c>
      <c r="G209" s="529">
        <v>1.1091E-2</v>
      </c>
      <c r="H209" s="529">
        <v>1.0580000000000001E-2</v>
      </c>
      <c r="I209" s="529">
        <v>1.2798E-2</v>
      </c>
      <c r="J209" s="529">
        <v>1.4517E-2</v>
      </c>
      <c r="K209" s="564">
        <v>1.6504000000000001E-2</v>
      </c>
      <c r="L209" s="1753">
        <v>1.6415000000000003E-2</v>
      </c>
      <c r="M209" s="1754">
        <v>1.4445E-2</v>
      </c>
      <c r="N209" s="1754">
        <v>1.6546000000000002E-2</v>
      </c>
      <c r="O209" s="544">
        <f t="shared" si="31"/>
        <v>0.15646300000000002</v>
      </c>
    </row>
    <row r="210" spans="2:15" x14ac:dyDescent="0.4">
      <c r="B210" s="520" t="s">
        <v>1144</v>
      </c>
      <c r="C210" s="531">
        <v>2.7159450000000002E-2</v>
      </c>
      <c r="D210" s="531">
        <v>2.9915240000000003E-2</v>
      </c>
      <c r="E210" s="531">
        <v>2.8281110000000002E-2</v>
      </c>
      <c r="F210" s="529">
        <v>2.148415E-2</v>
      </c>
      <c r="G210" s="529">
        <v>2.2732639999999998E-2</v>
      </c>
      <c r="H210" s="529">
        <v>2.0386790000000002E-2</v>
      </c>
      <c r="I210" s="529">
        <v>2.1214770000000001E-2</v>
      </c>
      <c r="J210" s="529">
        <v>1.8958060000000002E-2</v>
      </c>
      <c r="K210" s="564">
        <v>1.9974220000000001E-2</v>
      </c>
      <c r="L210" s="1753">
        <v>2.0029830000000002E-2</v>
      </c>
      <c r="M210" s="1754">
        <v>1.9739860000000001E-2</v>
      </c>
      <c r="N210" s="1754">
        <v>2.498999E-2</v>
      </c>
      <c r="O210" s="544">
        <f t="shared" ref="O210:O215" si="32">SUM(C210:N210)</f>
        <v>0.27486611</v>
      </c>
    </row>
    <row r="211" spans="2:15" x14ac:dyDescent="0.4">
      <c r="B211" s="520" t="s">
        <v>1143</v>
      </c>
      <c r="C211" s="531">
        <v>6.411234E-3</v>
      </c>
      <c r="D211" s="531">
        <v>6.5268159999999995E-3</v>
      </c>
      <c r="E211" s="531">
        <v>1.2095719999999999E-2</v>
      </c>
      <c r="F211" s="529">
        <v>6.4936999999999998E-3</v>
      </c>
      <c r="G211" s="529">
        <v>8.0795799999999994E-3</v>
      </c>
      <c r="H211" s="529">
        <v>6.7550800000000001E-3</v>
      </c>
      <c r="I211" s="529">
        <v>7.8443699999999998E-3</v>
      </c>
      <c r="J211" s="529">
        <v>5.0962200000000003E-3</v>
      </c>
      <c r="K211" s="564">
        <v>5.3214600000000001E-3</v>
      </c>
      <c r="L211" s="564">
        <v>5.6799199999999998E-3</v>
      </c>
      <c r="M211" s="529">
        <v>5.14606E-3</v>
      </c>
      <c r="N211" s="529">
        <v>6.4039200000000004E-3</v>
      </c>
      <c r="O211" s="544">
        <f t="shared" si="32"/>
        <v>8.1854079999999996E-2</v>
      </c>
    </row>
    <row r="212" spans="2:15" x14ac:dyDescent="0.4">
      <c r="B212" s="519" t="s">
        <v>1111</v>
      </c>
      <c r="C212" s="531">
        <v>3.7353150000000002E-2</v>
      </c>
      <c r="D212" s="531">
        <v>3.6408969999999999E-2</v>
      </c>
      <c r="E212" s="531">
        <v>3.8031559999999999E-2</v>
      </c>
      <c r="F212" s="529">
        <v>3.5392460000000001E-2</v>
      </c>
      <c r="G212" s="529">
        <v>3.4563749999999997E-2</v>
      </c>
      <c r="H212" s="529">
        <v>3.6090589999999999E-2</v>
      </c>
      <c r="I212" s="529">
        <v>4.4174720000000001E-2</v>
      </c>
      <c r="J212" s="529">
        <v>3.8349769999999998E-2</v>
      </c>
      <c r="K212" s="564">
        <v>3.9277739999999998E-2</v>
      </c>
      <c r="L212" s="564">
        <v>3.8563170000000001E-2</v>
      </c>
      <c r="M212" s="529">
        <v>3.7312970000000001E-2</v>
      </c>
      <c r="N212" s="529">
        <v>4.0316039999999997E-2</v>
      </c>
      <c r="O212" s="544">
        <f t="shared" si="32"/>
        <v>0.45583488999999999</v>
      </c>
    </row>
    <row r="213" spans="2:15" x14ac:dyDescent="0.4">
      <c r="B213" s="519" t="s">
        <v>1135</v>
      </c>
      <c r="C213" s="531">
        <v>1.0500000000000006E-3</v>
      </c>
      <c r="D213" s="531">
        <v>9.8599999999999903E-4</v>
      </c>
      <c r="E213" s="531">
        <v>1.0410000000000003E-3</v>
      </c>
      <c r="F213" s="529">
        <v>1.0299999999999997E-3</v>
      </c>
      <c r="G213" s="529">
        <v>1.040000000000001E-3</v>
      </c>
      <c r="H213" s="529">
        <v>9.5000000000000119E-4</v>
      </c>
      <c r="I213" s="529">
        <v>9.9999999999999915E-4</v>
      </c>
      <c r="J213" s="529">
        <v>9.0999999999999935E-4</v>
      </c>
      <c r="K213" s="564">
        <v>1.0799999999999994E-3</v>
      </c>
      <c r="L213" s="564">
        <v>1.0200000000000001E-3</v>
      </c>
      <c r="M213" s="529">
        <v>9.5999999999999905E-4</v>
      </c>
      <c r="N213" s="529">
        <v>8.2999999999999914E-4</v>
      </c>
      <c r="O213" s="544">
        <f t="shared" si="32"/>
        <v>1.1896999999999998E-2</v>
      </c>
    </row>
    <row r="214" spans="2:15" x14ac:dyDescent="0.4">
      <c r="B214" s="519" t="s">
        <v>1136</v>
      </c>
      <c r="C214" s="175"/>
      <c r="D214" s="175"/>
      <c r="E214" s="175"/>
      <c r="F214" s="2"/>
      <c r="G214" s="2"/>
      <c r="H214" s="2"/>
      <c r="I214" s="2"/>
      <c r="J214" s="2"/>
      <c r="K214" s="124"/>
      <c r="L214" s="124"/>
      <c r="M214" s="2"/>
      <c r="N214" s="2"/>
      <c r="O214" s="544">
        <f t="shared" si="32"/>
        <v>0</v>
      </c>
    </row>
    <row r="215" spans="2:15" x14ac:dyDescent="0.4">
      <c r="B215" s="566" t="s">
        <v>1142</v>
      </c>
      <c r="C215" s="531">
        <v>4.5727999999999996E-4</v>
      </c>
      <c r="D215" s="531">
        <v>3.7672000000000004E-4</v>
      </c>
      <c r="E215" s="531">
        <v>4.2480000000000003E-4</v>
      </c>
      <c r="F215" s="529">
        <v>3.7870999999999998E-4</v>
      </c>
      <c r="G215" s="529">
        <v>2.7143000000000002E-4</v>
      </c>
      <c r="H215" s="529">
        <v>1.8263E-4</v>
      </c>
      <c r="I215" s="529">
        <v>6.5096000000000002E-4</v>
      </c>
      <c r="J215" s="529">
        <v>1.2724500000000001E-3</v>
      </c>
      <c r="K215" s="564">
        <v>1.0390999999999998E-3</v>
      </c>
      <c r="L215" s="564">
        <v>1.0970299999999999E-3</v>
      </c>
      <c r="M215" s="529">
        <v>1.321734E-3</v>
      </c>
      <c r="N215" s="529">
        <v>2.0108399999999998E-3</v>
      </c>
      <c r="O215" s="544">
        <f t="shared" si="32"/>
        <v>9.4836839999999992E-3</v>
      </c>
    </row>
    <row r="216" spans="2:15" x14ac:dyDescent="0.4">
      <c r="B216" s="175" t="s">
        <v>162</v>
      </c>
      <c r="C216" s="545">
        <f t="shared" ref="C216:O216" si="33">SUM(C203:C215)</f>
        <v>0.41815211400000002</v>
      </c>
      <c r="D216" s="545">
        <f t="shared" si="33"/>
        <v>0.45838474600000001</v>
      </c>
      <c r="E216" s="545">
        <f t="shared" si="33"/>
        <v>0.48760819</v>
      </c>
      <c r="F216" s="545">
        <f t="shared" si="33"/>
        <v>0.36380801999999995</v>
      </c>
      <c r="G216" s="545">
        <f t="shared" si="33"/>
        <v>0.39647739999999998</v>
      </c>
      <c r="H216" s="545">
        <f t="shared" si="33"/>
        <v>0.38708408999999999</v>
      </c>
      <c r="I216" s="545">
        <f t="shared" si="33"/>
        <v>0.44410681999999996</v>
      </c>
      <c r="J216" s="545">
        <f t="shared" si="33"/>
        <v>0.40995749999999997</v>
      </c>
      <c r="K216" s="545">
        <f t="shared" si="33"/>
        <v>0.39285852000000004</v>
      </c>
      <c r="L216" s="545">
        <f t="shared" si="33"/>
        <v>0.42499395000000001</v>
      </c>
      <c r="M216" s="545">
        <f t="shared" si="33"/>
        <v>0.37791662400000003</v>
      </c>
      <c r="N216" s="545">
        <f t="shared" si="33"/>
        <v>0.43488579000000005</v>
      </c>
      <c r="O216" s="545">
        <f t="shared" si="33"/>
        <v>4.9962337640000003</v>
      </c>
    </row>
    <row r="217" spans="2:15" x14ac:dyDescent="0.4">
      <c r="B217" s="175"/>
      <c r="C217" s="543"/>
      <c r="D217" s="543"/>
      <c r="E217" s="543"/>
      <c r="F217" s="543"/>
      <c r="G217" s="543"/>
      <c r="H217" s="543"/>
      <c r="I217" s="543"/>
      <c r="J217" s="543"/>
      <c r="K217" s="543"/>
      <c r="L217" s="543"/>
      <c r="M217" s="543"/>
      <c r="N217" s="543"/>
      <c r="O217" s="543"/>
    </row>
    <row r="218" spans="2:15" x14ac:dyDescent="0.4">
      <c r="B218" s="119" t="s">
        <v>164</v>
      </c>
      <c r="C218" s="545">
        <f t="shared" ref="C218:O218" si="34">C200+C216</f>
        <v>0.4642676839999999</v>
      </c>
      <c r="D218" s="545">
        <f t="shared" si="34"/>
        <v>0.50077018600000001</v>
      </c>
      <c r="E218" s="545">
        <f t="shared" si="34"/>
        <v>0.56227335999999983</v>
      </c>
      <c r="F218" s="545">
        <f t="shared" si="34"/>
        <v>0.44406625</v>
      </c>
      <c r="G218" s="545">
        <f t="shared" si="34"/>
        <v>0.45332292999999974</v>
      </c>
      <c r="H218" s="545">
        <f t="shared" si="34"/>
        <v>0.46184529000000007</v>
      </c>
      <c r="I218" s="545">
        <f t="shared" si="34"/>
        <v>0.49748559000000031</v>
      </c>
      <c r="J218" s="545">
        <f t="shared" si="34"/>
        <v>0.44826043000000021</v>
      </c>
      <c r="K218" s="545">
        <f t="shared" si="34"/>
        <v>0.43936358000000003</v>
      </c>
      <c r="L218" s="545">
        <f t="shared" si="34"/>
        <v>0.46477104000000014</v>
      </c>
      <c r="M218" s="545">
        <f t="shared" si="34"/>
        <v>0.41317505400000021</v>
      </c>
      <c r="N218" s="545">
        <f t="shared" si="34"/>
        <v>0.46069239560000003</v>
      </c>
      <c r="O218" s="545">
        <f t="shared" si="34"/>
        <v>5.6102937896000009</v>
      </c>
    </row>
    <row r="219" spans="2:15" x14ac:dyDescent="0.4">
      <c r="B219" s="118" t="s">
        <v>165</v>
      </c>
    </row>
    <row r="220" spans="2:15" x14ac:dyDescent="0.4">
      <c r="B220" s="27" t="s">
        <v>166</v>
      </c>
    </row>
    <row r="221" spans="2:15" x14ac:dyDescent="0.4">
      <c r="B221" s="1" t="s">
        <v>184</v>
      </c>
      <c r="C221" s="30"/>
      <c r="D221" s="30"/>
      <c r="E221" s="30"/>
      <c r="F221" s="30"/>
    </row>
    <row r="222" spans="2:15" x14ac:dyDescent="0.4">
      <c r="B222" s="27" t="s">
        <v>168</v>
      </c>
      <c r="C222" s="30"/>
      <c r="D222" s="30"/>
      <c r="E222" s="30"/>
      <c r="F222" s="30"/>
    </row>
    <row r="223" spans="2:15" x14ac:dyDescent="0.4">
      <c r="B223" s="27"/>
      <c r="C223" s="30"/>
      <c r="D223" s="30"/>
      <c r="E223" s="30"/>
      <c r="F223" s="30"/>
    </row>
    <row r="224" spans="2:15" x14ac:dyDescent="0.4">
      <c r="B224" s="32" t="s">
        <v>1024</v>
      </c>
      <c r="C224" s="8"/>
      <c r="D224" s="8"/>
      <c r="E224" s="8"/>
      <c r="F224" s="8"/>
      <c r="G224" s="8"/>
      <c r="H224" s="8"/>
      <c r="I224" s="8"/>
      <c r="J224" s="8"/>
      <c r="K224" s="8"/>
      <c r="L224" s="8"/>
      <c r="M224" s="8"/>
      <c r="N224" s="8"/>
      <c r="O224" s="4"/>
    </row>
    <row r="225" spans="2:15" x14ac:dyDescent="0.4">
      <c r="B225" s="32"/>
      <c r="C225" s="38"/>
      <c r="D225" s="38"/>
      <c r="O225" s="38" t="s">
        <v>171</v>
      </c>
    </row>
    <row r="226" spans="2:15" s="51" customFormat="1" x14ac:dyDescent="0.35">
      <c r="B226" s="1940" t="s">
        <v>160</v>
      </c>
      <c r="C226" s="1945" t="s">
        <v>186</v>
      </c>
      <c r="D226" s="1945"/>
      <c r="E226" s="1945"/>
      <c r="F226" s="1945"/>
      <c r="G226" s="1945"/>
      <c r="H226" s="1945"/>
      <c r="I226" s="1946" t="s">
        <v>187</v>
      </c>
      <c r="J226" s="1946"/>
      <c r="K226" s="1946"/>
      <c r="L226" s="1946"/>
      <c r="M226" s="1946"/>
      <c r="N226" s="1946"/>
      <c r="O226" s="1947" t="s">
        <v>1183</v>
      </c>
    </row>
    <row r="227" spans="2:15" s="51" customFormat="1" x14ac:dyDescent="0.35">
      <c r="B227" s="1940"/>
      <c r="C227" s="106" t="s">
        <v>172</v>
      </c>
      <c r="D227" s="106" t="s">
        <v>173</v>
      </c>
      <c r="E227" s="64" t="s">
        <v>174</v>
      </c>
      <c r="F227" s="64" t="s">
        <v>175</v>
      </c>
      <c r="G227" s="64" t="s">
        <v>176</v>
      </c>
      <c r="H227" s="64" t="s">
        <v>177</v>
      </c>
      <c r="I227" s="64" t="s">
        <v>178</v>
      </c>
      <c r="J227" s="64" t="s">
        <v>179</v>
      </c>
      <c r="K227" s="64" t="s">
        <v>180</v>
      </c>
      <c r="L227" s="64" t="s">
        <v>181</v>
      </c>
      <c r="M227" s="64" t="s">
        <v>182</v>
      </c>
      <c r="N227" s="64" t="s">
        <v>183</v>
      </c>
      <c r="O227" s="1947"/>
    </row>
    <row r="228" spans="2:15" x14ac:dyDescent="0.4">
      <c r="B228" s="517" t="s">
        <v>161</v>
      </c>
      <c r="C228" s="78"/>
      <c r="D228" s="78"/>
      <c r="E228" s="78"/>
      <c r="F228" s="3"/>
      <c r="G228" s="3"/>
      <c r="H228" s="2"/>
      <c r="I228" s="43"/>
      <c r="J228" s="44"/>
      <c r="K228" s="124"/>
      <c r="L228" s="124"/>
      <c r="M228" s="2"/>
      <c r="N228" s="2"/>
      <c r="O228" s="2"/>
    </row>
    <row r="229" spans="2:15" x14ac:dyDescent="0.4">
      <c r="B229" s="429" t="s">
        <v>1129</v>
      </c>
      <c r="C229" s="527">
        <v>2.1599999999999842E-2</v>
      </c>
      <c r="D229" s="527">
        <v>2.3998999999999882E-2</v>
      </c>
      <c r="E229" s="527">
        <v>2.0400000000000418E-2</v>
      </c>
      <c r="F229" s="529">
        <v>1.0800000000000587E-2</v>
      </c>
      <c r="G229" s="529">
        <v>9.5999999999998309E-3</v>
      </c>
      <c r="H229" s="529">
        <v>1.0799999999999699E-2</v>
      </c>
      <c r="I229" s="529">
        <v>1.0799999999999699E-2</v>
      </c>
      <c r="J229" s="529">
        <v>1.0799999999999699E-2</v>
      </c>
      <c r="K229" s="564">
        <v>9.6000000000007191E-3</v>
      </c>
      <c r="L229" s="564">
        <v>1.2000000000000455E-2</v>
      </c>
      <c r="M229" s="529">
        <v>1.920000000000055E-2</v>
      </c>
      <c r="N229" s="529">
        <v>2.5200000000000777E-2</v>
      </c>
      <c r="O229" s="544">
        <f>SUM(C229:N229)</f>
        <v>0.18479900000000216</v>
      </c>
    </row>
    <row r="230" spans="2:15" x14ac:dyDescent="0.4">
      <c r="B230" s="429" t="s">
        <v>1130</v>
      </c>
      <c r="C230" s="527">
        <v>3.7655569999999999E-2</v>
      </c>
      <c r="D230" s="527">
        <v>4.3951699999999996E-2</v>
      </c>
      <c r="E230" s="527">
        <v>3.0461739999999998E-2</v>
      </c>
      <c r="F230" s="529">
        <v>4.2302619999999999E-2</v>
      </c>
      <c r="G230" s="529">
        <v>3.7745330000000007E-2</v>
      </c>
      <c r="H230" s="529">
        <v>3.6824989999999995E-2</v>
      </c>
      <c r="I230" s="529">
        <v>3.4855999999999998E-2</v>
      </c>
      <c r="J230" s="529">
        <v>2.7454779999999998E-2</v>
      </c>
      <c r="K230" s="564">
        <v>3.972212E-2</v>
      </c>
      <c r="L230" s="564">
        <v>4.4411119999999998E-2</v>
      </c>
      <c r="M230" s="529">
        <v>4.1398890000000001E-2</v>
      </c>
      <c r="N230" s="529">
        <v>5.0731209999999999E-2</v>
      </c>
      <c r="O230" s="544">
        <f>SUM(C230:N230)</f>
        <v>0.46751607000000006</v>
      </c>
    </row>
    <row r="231" spans="2:15" x14ac:dyDescent="0.4">
      <c r="B231" s="429" t="s">
        <v>1131</v>
      </c>
      <c r="C231" s="47"/>
      <c r="D231" s="47"/>
      <c r="E231" s="47"/>
      <c r="F231" s="3"/>
      <c r="G231" s="3"/>
      <c r="H231" s="2"/>
      <c r="I231" s="3"/>
      <c r="J231" s="3"/>
      <c r="K231" s="124"/>
      <c r="L231" s="124"/>
      <c r="M231" s="2"/>
      <c r="N231" s="2"/>
      <c r="O231" s="544">
        <f>SUM(C231:N231)</f>
        <v>0</v>
      </c>
    </row>
    <row r="232" spans="2:15" x14ac:dyDescent="0.4">
      <c r="B232" s="429" t="s">
        <v>1132</v>
      </c>
      <c r="C232" s="175"/>
      <c r="D232" s="175"/>
      <c r="E232" s="175"/>
      <c r="F232" s="3"/>
      <c r="G232" s="3"/>
      <c r="H232" s="2"/>
      <c r="I232" s="3"/>
      <c r="J232" s="3"/>
      <c r="K232" s="124"/>
      <c r="L232" s="124"/>
      <c r="M232" s="2"/>
      <c r="N232" s="2"/>
      <c r="O232" s="544">
        <f>SUM(C232:N232)</f>
        <v>0</v>
      </c>
    </row>
    <row r="233" spans="2:15" x14ac:dyDescent="0.4">
      <c r="B233" s="518" t="s">
        <v>162</v>
      </c>
      <c r="C233" s="545">
        <f>SUM(C229:C232)</f>
        <v>5.9255569999999841E-2</v>
      </c>
      <c r="D233" s="545">
        <f t="shared" ref="D233:O233" si="35">SUM(D229:D232)</f>
        <v>6.7950699999999878E-2</v>
      </c>
      <c r="E233" s="545">
        <f t="shared" si="35"/>
        <v>5.0861740000000419E-2</v>
      </c>
      <c r="F233" s="545">
        <f t="shared" si="35"/>
        <v>5.3102620000000586E-2</v>
      </c>
      <c r="G233" s="545">
        <f t="shared" si="35"/>
        <v>4.7345329999999838E-2</v>
      </c>
      <c r="H233" s="545">
        <f t="shared" si="35"/>
        <v>4.7624989999999694E-2</v>
      </c>
      <c r="I233" s="545">
        <f t="shared" si="35"/>
        <v>4.5655999999999697E-2</v>
      </c>
      <c r="J233" s="545">
        <f t="shared" si="35"/>
        <v>3.8254779999999697E-2</v>
      </c>
      <c r="K233" s="545">
        <f t="shared" si="35"/>
        <v>4.9322120000000719E-2</v>
      </c>
      <c r="L233" s="545">
        <f t="shared" si="35"/>
        <v>5.6411120000000453E-2</v>
      </c>
      <c r="M233" s="545">
        <f t="shared" si="35"/>
        <v>6.0598890000000551E-2</v>
      </c>
      <c r="N233" s="545">
        <f t="shared" si="35"/>
        <v>7.5931210000000776E-2</v>
      </c>
      <c r="O233" s="545">
        <f t="shared" si="35"/>
        <v>0.65231507000000222</v>
      </c>
    </row>
    <row r="234" spans="2:15" x14ac:dyDescent="0.4">
      <c r="B234" s="517" t="s">
        <v>163</v>
      </c>
      <c r="C234" s="78"/>
      <c r="D234" s="78"/>
      <c r="E234" s="78"/>
      <c r="F234" s="3"/>
      <c r="G234" s="3"/>
      <c r="H234" s="2"/>
      <c r="I234" s="3"/>
      <c r="J234" s="3"/>
      <c r="K234" s="124"/>
      <c r="L234" s="124"/>
      <c r="M234" s="2"/>
      <c r="N234" s="2"/>
      <c r="O234" s="545"/>
    </row>
    <row r="235" spans="2:15" x14ac:dyDescent="0.4">
      <c r="B235" s="519" t="s">
        <v>1133</v>
      </c>
      <c r="C235" s="46"/>
      <c r="D235" s="46"/>
      <c r="E235" s="46"/>
      <c r="F235" s="3"/>
      <c r="G235" s="3"/>
      <c r="H235" s="2"/>
      <c r="I235" s="3"/>
      <c r="J235" s="3"/>
      <c r="K235" s="124"/>
      <c r="L235" s="124"/>
      <c r="M235" s="2"/>
      <c r="N235" s="2"/>
      <c r="O235" s="544">
        <f t="shared" ref="O235:O242" si="36">SUM(C235:N235)</f>
        <v>0</v>
      </c>
    </row>
    <row r="236" spans="2:15" x14ac:dyDescent="0.4">
      <c r="B236" s="520" t="s">
        <v>1106</v>
      </c>
      <c r="C236" s="527">
        <v>9.6000000000000002E-2</v>
      </c>
      <c r="D236" s="527">
        <v>0.102669</v>
      </c>
      <c r="E236" s="527">
        <v>0.1032</v>
      </c>
      <c r="F236" s="529">
        <v>0.101856</v>
      </c>
      <c r="G236" s="529">
        <v>0.102481</v>
      </c>
      <c r="H236" s="529">
        <v>0.105015</v>
      </c>
      <c r="I236" s="529">
        <v>0.107656</v>
      </c>
      <c r="J236" s="529">
        <v>0.107849</v>
      </c>
      <c r="K236" s="564">
        <v>0.10559399999999999</v>
      </c>
      <c r="L236" s="564">
        <v>0.10945199999999999</v>
      </c>
      <c r="M236" s="529">
        <v>0.109822</v>
      </c>
      <c r="N236" s="529">
        <v>0.11692</v>
      </c>
      <c r="O236" s="544">
        <f t="shared" si="36"/>
        <v>1.2685139999999999</v>
      </c>
    </row>
    <row r="237" spans="2:15" x14ac:dyDescent="0.4">
      <c r="B237" s="520" t="s">
        <v>1107</v>
      </c>
      <c r="C237" s="531">
        <v>0.121489</v>
      </c>
      <c r="D237" s="531">
        <v>0.137655</v>
      </c>
      <c r="E237" s="531">
        <v>0.12729399999999999</v>
      </c>
      <c r="F237" s="529">
        <v>0.102731</v>
      </c>
      <c r="G237" s="529">
        <v>0.103473</v>
      </c>
      <c r="H237" s="529">
        <v>0.10245600000000001</v>
      </c>
      <c r="I237" s="529">
        <v>0.11779199999999999</v>
      </c>
      <c r="J237" s="529">
        <v>0.108319</v>
      </c>
      <c r="K237" s="564">
        <v>8.6428000000000005E-2</v>
      </c>
      <c r="L237" s="564">
        <v>9.3851000000000004E-2</v>
      </c>
      <c r="M237" s="529">
        <v>9.8311999999999997E-2</v>
      </c>
      <c r="N237" s="529">
        <v>0.139872</v>
      </c>
      <c r="O237" s="544">
        <f t="shared" si="36"/>
        <v>1.3396719999999998</v>
      </c>
    </row>
    <row r="238" spans="2:15" x14ac:dyDescent="0.4">
      <c r="B238" s="520" t="s">
        <v>1108</v>
      </c>
      <c r="C238" s="531">
        <v>6.0836000000000001E-2</v>
      </c>
      <c r="D238" s="531">
        <v>8.5533999999999999E-2</v>
      </c>
      <c r="E238" s="531">
        <v>6.0241000000000003E-2</v>
      </c>
      <c r="F238" s="529">
        <v>3.1433999999999997E-2</v>
      </c>
      <c r="G238" s="529">
        <v>3.2969999999999999E-2</v>
      </c>
      <c r="H238" s="529">
        <v>3.211E-2</v>
      </c>
      <c r="I238" s="529">
        <v>4.4697000000000001E-2</v>
      </c>
      <c r="J238" s="529">
        <v>3.78E-2</v>
      </c>
      <c r="K238" s="564">
        <v>2.0142E-2</v>
      </c>
      <c r="L238" s="564">
        <v>2.4018000000000001E-2</v>
      </c>
      <c r="M238" s="529">
        <v>2.6866999999999999E-2</v>
      </c>
      <c r="N238" s="529">
        <v>6.1256999999999999E-2</v>
      </c>
      <c r="O238" s="544">
        <f t="shared" si="36"/>
        <v>0.51790599999999987</v>
      </c>
    </row>
    <row r="239" spans="2:15" x14ac:dyDescent="0.4">
      <c r="B239" s="520" t="s">
        <v>1109</v>
      </c>
      <c r="C239" s="531">
        <v>0.18681700000000001</v>
      </c>
      <c r="D239" s="531">
        <v>0.24234</v>
      </c>
      <c r="E239" s="531">
        <v>0.16755300000000001</v>
      </c>
      <c r="F239" s="529">
        <v>0.155801</v>
      </c>
      <c r="G239" s="529">
        <v>0.15070800000000001</v>
      </c>
      <c r="H239" s="529">
        <v>0.15596499999999999</v>
      </c>
      <c r="I239" s="529">
        <v>0.16830200000000001</v>
      </c>
      <c r="J239" s="529">
        <v>0.163301</v>
      </c>
      <c r="K239" s="564">
        <v>0.14172499999999999</v>
      </c>
      <c r="L239" s="564">
        <v>0.147727</v>
      </c>
      <c r="M239" s="529">
        <v>0.13833699999999999</v>
      </c>
      <c r="N239" s="529">
        <v>0.17673800000000001</v>
      </c>
      <c r="O239" s="544">
        <f t="shared" si="36"/>
        <v>1.9953139999999996</v>
      </c>
    </row>
    <row r="240" spans="2:15" x14ac:dyDescent="0.4">
      <c r="B240" s="520" t="s">
        <v>1110</v>
      </c>
      <c r="C240" s="175"/>
      <c r="D240" s="175"/>
      <c r="E240" s="175"/>
      <c r="F240" s="2"/>
      <c r="G240" s="2"/>
      <c r="H240" s="2"/>
      <c r="I240" s="2"/>
      <c r="J240" s="2"/>
      <c r="K240" s="124"/>
      <c r="L240" s="124"/>
      <c r="M240" s="2"/>
      <c r="N240" s="2"/>
      <c r="O240" s="544">
        <f t="shared" si="36"/>
        <v>0</v>
      </c>
    </row>
    <row r="241" spans="2:15" x14ac:dyDescent="0.4">
      <c r="B241" s="519" t="s">
        <v>1139</v>
      </c>
      <c r="C241" s="175"/>
      <c r="D241" s="175"/>
      <c r="E241" s="175"/>
      <c r="F241" s="2"/>
      <c r="G241" s="2"/>
      <c r="H241" s="2"/>
      <c r="I241" s="2"/>
      <c r="J241" s="2"/>
      <c r="K241" s="124"/>
      <c r="L241" s="124"/>
      <c r="M241" s="2"/>
      <c r="N241" s="2"/>
      <c r="O241" s="544">
        <f t="shared" si="36"/>
        <v>0</v>
      </c>
    </row>
    <row r="242" spans="2:15" x14ac:dyDescent="0.4">
      <c r="B242" s="520" t="s">
        <v>1140</v>
      </c>
      <c r="C242" s="531">
        <v>2.1437000000000001E-2</v>
      </c>
      <c r="D242" s="531">
        <v>2.7632E-2</v>
      </c>
      <c r="E242" s="531">
        <v>2.3061999999999999E-2</v>
      </c>
      <c r="F242" s="531">
        <v>2.1876E-2</v>
      </c>
      <c r="G242" s="531">
        <v>2.2817E-2</v>
      </c>
      <c r="H242" s="531">
        <v>2.1007000000000001E-2</v>
      </c>
      <c r="I242" s="531">
        <v>2.1523E-2</v>
      </c>
      <c r="J242" s="531">
        <v>2.1707000000000001E-2</v>
      </c>
      <c r="K242" s="531">
        <v>1.7987E-2</v>
      </c>
      <c r="L242" s="531">
        <v>1.8969E-2</v>
      </c>
      <c r="M242" s="531">
        <v>1.8527999999999999E-2</v>
      </c>
      <c r="N242" s="531">
        <v>2.1218000000000001E-2</v>
      </c>
      <c r="O242" s="544">
        <f t="shared" si="36"/>
        <v>0.25776300000000002</v>
      </c>
    </row>
    <row r="243" spans="2:15" x14ac:dyDescent="0.4">
      <c r="B243" s="520" t="s">
        <v>1144</v>
      </c>
      <c r="C243" s="531">
        <v>3.4999820000000001E-2</v>
      </c>
      <c r="D243" s="531">
        <v>4.1628789999999999E-2</v>
      </c>
      <c r="E243" s="531">
        <v>4.2348459999999997E-2</v>
      </c>
      <c r="F243" s="529">
        <v>3.7199389999999999E-2</v>
      </c>
      <c r="G243" s="529">
        <v>4.0519039999999999E-2</v>
      </c>
      <c r="H243" s="529">
        <v>3.8298260000000001E-2</v>
      </c>
      <c r="I243" s="529">
        <v>4.4948300000000004E-2</v>
      </c>
      <c r="J243" s="529">
        <v>3.6921530000000001E-2</v>
      </c>
      <c r="K243" s="564">
        <v>3.564664E-2</v>
      </c>
      <c r="L243" s="564">
        <v>4.014968E-2</v>
      </c>
      <c r="M243" s="529">
        <v>3.8499350000000002E-2</v>
      </c>
      <c r="N243" s="529">
        <v>5.078949E-2</v>
      </c>
      <c r="O243" s="544">
        <f t="shared" ref="O243:O248" si="37">SUM(C243:N243)</f>
        <v>0.48194874999999998</v>
      </c>
    </row>
    <row r="244" spans="2:15" x14ac:dyDescent="0.4">
      <c r="B244" s="520" t="s">
        <v>1143</v>
      </c>
      <c r="C244" s="531">
        <v>8.0519399999999988E-3</v>
      </c>
      <c r="D244" s="531">
        <v>6.3393E-3</v>
      </c>
      <c r="E244" s="531">
        <v>1.0105100000000001E-2</v>
      </c>
      <c r="F244" s="529">
        <v>8.3796700000000005E-3</v>
      </c>
      <c r="G244" s="529">
        <v>9.3569300000000011E-3</v>
      </c>
      <c r="H244" s="529">
        <v>7.4920000000000004E-3</v>
      </c>
      <c r="I244" s="529">
        <v>8.5944799999999998E-3</v>
      </c>
      <c r="J244" s="529">
        <v>5.72486E-3</v>
      </c>
      <c r="K244" s="564">
        <v>4.3484799999999992E-3</v>
      </c>
      <c r="L244" s="564">
        <v>5.8403100000000005E-3</v>
      </c>
      <c r="M244" s="529">
        <v>5.9379799999999998E-3</v>
      </c>
      <c r="N244" s="529">
        <v>7.3707499999999997E-3</v>
      </c>
      <c r="O244" s="544">
        <f t="shared" si="37"/>
        <v>8.7541799999999989E-2</v>
      </c>
    </row>
    <row r="245" spans="2:15" x14ac:dyDescent="0.4">
      <c r="B245" s="519" t="s">
        <v>1111</v>
      </c>
      <c r="C245" s="531">
        <v>4.6088179999999999E-2</v>
      </c>
      <c r="D245" s="531">
        <v>4.7240570000000003E-2</v>
      </c>
      <c r="E245" s="531">
        <v>4.2285820000000002E-2</v>
      </c>
      <c r="F245" s="529">
        <v>4.6396819999999998E-2</v>
      </c>
      <c r="G245" s="529">
        <v>5.0255809999999998E-2</v>
      </c>
      <c r="H245" s="529">
        <v>4.9949050000000002E-2</v>
      </c>
      <c r="I245" s="529">
        <v>5.089983E-2</v>
      </c>
      <c r="J245" s="529">
        <v>4.9129010000000001E-2</v>
      </c>
      <c r="K245" s="564">
        <v>5.4122509999999999E-2</v>
      </c>
      <c r="L245" s="564">
        <v>4.3960150000000003E-2</v>
      </c>
      <c r="M245" s="529">
        <v>4.0398650000000001E-2</v>
      </c>
      <c r="N245" s="529">
        <v>4.0224510000000005E-2</v>
      </c>
      <c r="O245" s="544">
        <f t="shared" si="37"/>
        <v>0.56095090999999997</v>
      </c>
    </row>
    <row r="246" spans="2:15" x14ac:dyDescent="0.4">
      <c r="B246" s="519" t="s">
        <v>1135</v>
      </c>
      <c r="C246" s="531">
        <v>1.0000000000000009E-3</v>
      </c>
      <c r="D246" s="531">
        <v>1.2209999999999999E-3</v>
      </c>
      <c r="E246" s="531">
        <v>9.779999999999997E-4</v>
      </c>
      <c r="F246" s="529">
        <v>8.1999999999999955E-4</v>
      </c>
      <c r="G246" s="529">
        <v>9.5000000000000119E-4</v>
      </c>
      <c r="H246" s="529">
        <v>7.6999999999999985E-4</v>
      </c>
      <c r="I246" s="529">
        <v>7.1999999999999842E-4</v>
      </c>
      <c r="J246" s="529">
        <v>8.0999999999999996E-4</v>
      </c>
      <c r="K246" s="564">
        <v>8.9000000000000017E-4</v>
      </c>
      <c r="L246" s="564">
        <v>9.3000000000000027E-4</v>
      </c>
      <c r="M246" s="529">
        <v>7.6999999999999985E-4</v>
      </c>
      <c r="N246" s="529">
        <v>8.9000000000000017E-4</v>
      </c>
      <c r="O246" s="544">
        <f t="shared" si="37"/>
        <v>1.0749E-2</v>
      </c>
    </row>
    <row r="247" spans="2:15" x14ac:dyDescent="0.4">
      <c r="B247" s="519" t="s">
        <v>1136</v>
      </c>
      <c r="C247" s="175"/>
      <c r="D247" s="175"/>
      <c r="E247" s="175"/>
      <c r="F247" s="2"/>
      <c r="G247" s="2"/>
      <c r="H247" s="2"/>
      <c r="I247" s="2"/>
      <c r="J247" s="2"/>
      <c r="K247" s="124"/>
      <c r="L247" s="124"/>
      <c r="M247" s="2"/>
      <c r="N247" s="2"/>
      <c r="O247" s="544">
        <f t="shared" si="37"/>
        <v>0</v>
      </c>
    </row>
    <row r="248" spans="2:15" x14ac:dyDescent="0.4">
      <c r="B248" s="566" t="s">
        <v>1142</v>
      </c>
      <c r="C248" s="531">
        <v>2.2467899999999998E-3</v>
      </c>
      <c r="D248" s="531">
        <v>2.4546799999999999E-3</v>
      </c>
      <c r="E248" s="531">
        <v>2.1919609999999996E-3</v>
      </c>
      <c r="F248" s="529">
        <v>2.1631300000000001E-3</v>
      </c>
      <c r="G248" s="529">
        <v>1.8506500000000001E-3</v>
      </c>
      <c r="H248" s="529">
        <v>1.7522899999999999E-3</v>
      </c>
      <c r="I248" s="529">
        <v>2.4327399999999996E-3</v>
      </c>
      <c r="J248" s="529">
        <v>2.82986E-3</v>
      </c>
      <c r="K248" s="564">
        <v>3.3006310000000001E-3</v>
      </c>
      <c r="L248" s="564">
        <v>3.3709609999999996E-3</v>
      </c>
      <c r="M248" s="529">
        <v>3.4416100000000003E-3</v>
      </c>
      <c r="N248" s="529">
        <v>4.2511000000000007E-3</v>
      </c>
      <c r="O248" s="544">
        <f t="shared" si="37"/>
        <v>3.2286402999999991E-2</v>
      </c>
    </row>
    <row r="249" spans="2:15" x14ac:dyDescent="0.4">
      <c r="B249" s="175" t="s">
        <v>162</v>
      </c>
      <c r="C249" s="545">
        <f t="shared" ref="C249:O249" si="38">SUM(C236:C248)</f>
        <v>0.57896573000000007</v>
      </c>
      <c r="D249" s="545">
        <f t="shared" si="38"/>
        <v>0.6947143400000001</v>
      </c>
      <c r="E249" s="545">
        <f t="shared" si="38"/>
        <v>0.57925934099999998</v>
      </c>
      <c r="F249" s="545">
        <f t="shared" si="38"/>
        <v>0.50865701000000008</v>
      </c>
      <c r="G249" s="545">
        <f t="shared" si="38"/>
        <v>0.51538142999999992</v>
      </c>
      <c r="H249" s="545">
        <f t="shared" si="38"/>
        <v>0.51481460000000001</v>
      </c>
      <c r="I249" s="545">
        <f t="shared" si="38"/>
        <v>0.56756535000000008</v>
      </c>
      <c r="J249" s="545">
        <f t="shared" si="38"/>
        <v>0.53439125999999992</v>
      </c>
      <c r="K249" s="545">
        <f t="shared" si="38"/>
        <v>0.47018426099999999</v>
      </c>
      <c r="L249" s="545">
        <f t="shared" si="38"/>
        <v>0.48826810100000007</v>
      </c>
      <c r="M249" s="545">
        <f t="shared" si="38"/>
        <v>0.48091358999999989</v>
      </c>
      <c r="N249" s="545">
        <f t="shared" si="38"/>
        <v>0.61953084999999997</v>
      </c>
      <c r="O249" s="545">
        <f t="shared" si="38"/>
        <v>6.5526458629999986</v>
      </c>
    </row>
    <row r="250" spans="2:15" x14ac:dyDescent="0.4">
      <c r="B250" s="175"/>
      <c r="C250" s="543"/>
      <c r="D250" s="543"/>
      <c r="E250" s="543"/>
      <c r="F250" s="543"/>
      <c r="G250" s="543"/>
      <c r="H250" s="543"/>
      <c r="I250" s="543"/>
      <c r="J250" s="543"/>
      <c r="K250" s="543"/>
      <c r="L250" s="543"/>
      <c r="M250" s="543"/>
      <c r="N250" s="543"/>
      <c r="O250" s="543"/>
    </row>
    <row r="251" spans="2:15" x14ac:dyDescent="0.4">
      <c r="B251" s="119" t="s">
        <v>164</v>
      </c>
      <c r="C251" s="545">
        <f t="shared" ref="C251:N251" si="39">C233+C249</f>
        <v>0.63822129999999988</v>
      </c>
      <c r="D251" s="545">
        <f t="shared" si="39"/>
        <v>0.76266504000000002</v>
      </c>
      <c r="E251" s="545">
        <f t="shared" si="39"/>
        <v>0.63012108100000042</v>
      </c>
      <c r="F251" s="545">
        <f t="shared" si="39"/>
        <v>0.56175963000000062</v>
      </c>
      <c r="G251" s="545">
        <f t="shared" si="39"/>
        <v>0.56272675999999977</v>
      </c>
      <c r="H251" s="545">
        <f t="shared" si="39"/>
        <v>0.56243958999999966</v>
      </c>
      <c r="I251" s="545">
        <f t="shared" si="39"/>
        <v>0.61322134999999978</v>
      </c>
      <c r="J251" s="545">
        <f t="shared" si="39"/>
        <v>0.57264603999999963</v>
      </c>
      <c r="K251" s="545">
        <f t="shared" si="39"/>
        <v>0.51950638100000068</v>
      </c>
      <c r="L251" s="545">
        <f t="shared" si="39"/>
        <v>0.54467922100000055</v>
      </c>
      <c r="M251" s="545">
        <f t="shared" si="39"/>
        <v>0.54151248000000041</v>
      </c>
      <c r="N251" s="545">
        <f t="shared" si="39"/>
        <v>0.69546206000000077</v>
      </c>
      <c r="O251" s="545">
        <f>O233+O249</f>
        <v>7.2049609330000006</v>
      </c>
    </row>
    <row r="252" spans="2:15" x14ac:dyDescent="0.4">
      <c r="B252" s="118" t="s">
        <v>165</v>
      </c>
    </row>
    <row r="253" spans="2:15" x14ac:dyDescent="0.4">
      <c r="B253" s="27" t="s">
        <v>166</v>
      </c>
    </row>
    <row r="254" spans="2:15" x14ac:dyDescent="0.4">
      <c r="B254" s="1" t="s">
        <v>184</v>
      </c>
      <c r="C254" s="30"/>
      <c r="D254" s="30"/>
      <c r="E254" s="30"/>
      <c r="F254" s="30"/>
    </row>
    <row r="255" spans="2:15" x14ac:dyDescent="0.4">
      <c r="B255" s="27" t="s">
        <v>168</v>
      </c>
      <c r="C255" s="30"/>
      <c r="D255" s="30"/>
      <c r="E255" s="30"/>
      <c r="F255" s="30"/>
    </row>
    <row r="257" spans="2:16" x14ac:dyDescent="0.4">
      <c r="B257" s="32" t="s">
        <v>189</v>
      </c>
      <c r="C257" s="8"/>
      <c r="D257" s="8"/>
      <c r="E257" s="8"/>
      <c r="F257" s="8"/>
      <c r="G257" s="8"/>
      <c r="H257" s="8"/>
      <c r="I257" s="8"/>
      <c r="J257" s="8"/>
      <c r="K257" s="8"/>
      <c r="L257" s="8"/>
      <c r="M257" s="8"/>
      <c r="N257" s="8"/>
      <c r="O257" s="4"/>
    </row>
    <row r="258" spans="2:16" x14ac:dyDescent="0.4">
      <c r="B258" s="32"/>
      <c r="C258" s="38"/>
      <c r="D258" s="38"/>
      <c r="O258" s="38" t="s">
        <v>171</v>
      </c>
    </row>
    <row r="259" spans="2:16" s="51" customFormat="1" ht="27" x14ac:dyDescent="0.35">
      <c r="B259" s="169" t="s">
        <v>160</v>
      </c>
      <c r="C259" s="106" t="s">
        <v>172</v>
      </c>
      <c r="D259" s="106" t="s">
        <v>173</v>
      </c>
      <c r="E259" s="64" t="s">
        <v>174</v>
      </c>
      <c r="F259" s="64" t="s">
        <v>175</v>
      </c>
      <c r="G259" s="64" t="s">
        <v>176</v>
      </c>
      <c r="H259" s="64" t="s">
        <v>177</v>
      </c>
      <c r="I259" s="64" t="s">
        <v>178</v>
      </c>
      <c r="J259" s="64" t="s">
        <v>179</v>
      </c>
      <c r="K259" s="64" t="s">
        <v>180</v>
      </c>
      <c r="L259" s="64" t="s">
        <v>181</v>
      </c>
      <c r="M259" s="64" t="s">
        <v>182</v>
      </c>
      <c r="N259" s="64" t="s">
        <v>183</v>
      </c>
      <c r="O259" s="158" t="s">
        <v>188</v>
      </c>
    </row>
    <row r="260" spans="2:16" x14ac:dyDescent="0.4">
      <c r="B260" s="517" t="s">
        <v>161</v>
      </c>
      <c r="C260" s="78"/>
      <c r="D260" s="78"/>
      <c r="E260" s="78"/>
      <c r="F260" s="3"/>
      <c r="G260" s="3"/>
      <c r="H260" s="2"/>
      <c r="I260" s="43"/>
      <c r="J260" s="44"/>
      <c r="K260" s="124"/>
      <c r="L260" s="124"/>
      <c r="M260" s="2"/>
      <c r="N260" s="2"/>
      <c r="O260" s="2"/>
    </row>
    <row r="261" spans="2:16" x14ac:dyDescent="0.4">
      <c r="B261" s="429" t="s">
        <v>1129</v>
      </c>
      <c r="C261" s="527">
        <f>+$P261*C229/$O229</f>
        <v>2.1599999999999842E-2</v>
      </c>
      <c r="D261" s="527">
        <f t="shared" ref="D261:N261" si="40">+$P261*D229/$O229</f>
        <v>2.3998999999999882E-2</v>
      </c>
      <c r="E261" s="527">
        <f t="shared" si="40"/>
        <v>2.0400000000000418E-2</v>
      </c>
      <c r="F261" s="527">
        <f t="shared" si="40"/>
        <v>1.0800000000000587E-2</v>
      </c>
      <c r="G261" s="527">
        <f t="shared" si="40"/>
        <v>9.5999999999998309E-3</v>
      </c>
      <c r="H261" s="527">
        <f t="shared" si="40"/>
        <v>1.0799999999999699E-2</v>
      </c>
      <c r="I261" s="527">
        <f t="shared" si="40"/>
        <v>1.0799999999999699E-2</v>
      </c>
      <c r="J261" s="527">
        <f t="shared" si="40"/>
        <v>1.0799999999999699E-2</v>
      </c>
      <c r="K261" s="527">
        <f t="shared" si="40"/>
        <v>9.6000000000007191E-3</v>
      </c>
      <c r="L261" s="527">
        <f t="shared" si="40"/>
        <v>1.2000000000000456E-2</v>
      </c>
      <c r="M261" s="527">
        <f t="shared" si="40"/>
        <v>1.920000000000055E-2</v>
      </c>
      <c r="N261" s="527">
        <f t="shared" si="40"/>
        <v>2.5200000000000777E-2</v>
      </c>
      <c r="O261" s="544">
        <f>SUM(C261:N261)</f>
        <v>0.18479900000000216</v>
      </c>
      <c r="P261" s="622">
        <f>+O229</f>
        <v>0.18479900000000216</v>
      </c>
    </row>
    <row r="262" spans="2:16" x14ac:dyDescent="0.4">
      <c r="B262" s="429" t="s">
        <v>1130</v>
      </c>
      <c r="C262" s="527">
        <f t="shared" ref="C262:N262" si="41">+$P262*C230/$O230</f>
        <v>4.7741921082815712E-2</v>
      </c>
      <c r="D262" s="527">
        <f t="shared" si="41"/>
        <v>5.572452077755273E-2</v>
      </c>
      <c r="E262" s="527">
        <f t="shared" si="41"/>
        <v>3.8621165132416015E-2</v>
      </c>
      <c r="F262" s="527">
        <f t="shared" si="41"/>
        <v>5.3633721269823867E-2</v>
      </c>
      <c r="G262" s="527">
        <f t="shared" si="41"/>
        <v>4.7855724029800553E-2</v>
      </c>
      <c r="H262" s="527">
        <f t="shared" si="41"/>
        <v>4.6688863465762905E-2</v>
      </c>
      <c r="I262" s="527">
        <f t="shared" si="41"/>
        <v>4.4192463459260464E-2</v>
      </c>
      <c r="J262" s="527">
        <f t="shared" si="41"/>
        <v>3.480876640842423E-2</v>
      </c>
      <c r="K262" s="527">
        <f t="shared" si="41"/>
        <v>5.0362013329824394E-2</v>
      </c>
      <c r="L262" s="527">
        <f t="shared" si="41"/>
        <v>5.6307000165963725E-2</v>
      </c>
      <c r="M262" s="527">
        <f t="shared" si="41"/>
        <v>5.248791982955426E-2</v>
      </c>
      <c r="N262" s="527">
        <f t="shared" si="41"/>
        <v>6.4319977741825476E-2</v>
      </c>
      <c r="O262" s="544">
        <f>SUM(C262:N262)</f>
        <v>0.59274405669302432</v>
      </c>
      <c r="P262" s="617">
        <f>+'Sales Proj'!M72</f>
        <v>0.59274405669302443</v>
      </c>
    </row>
    <row r="263" spans="2:16" x14ac:dyDescent="0.4">
      <c r="B263" s="429" t="s">
        <v>1131</v>
      </c>
      <c r="C263" s="46"/>
      <c r="D263" s="46"/>
      <c r="E263" s="46"/>
      <c r="F263" s="46"/>
      <c r="G263" s="46"/>
      <c r="H263" s="46"/>
      <c r="I263" s="46"/>
      <c r="J263" s="46"/>
      <c r="K263" s="46"/>
      <c r="L263" s="46"/>
      <c r="M263" s="46"/>
      <c r="N263" s="46"/>
      <c r="O263" s="544">
        <f>SUM(C263:N263)</f>
        <v>0</v>
      </c>
      <c r="P263" s="617">
        <f>+'Sales Proj'!M73</f>
        <v>0</v>
      </c>
    </row>
    <row r="264" spans="2:16" x14ac:dyDescent="0.4">
      <c r="B264" s="429" t="s">
        <v>1132</v>
      </c>
      <c r="C264" s="46"/>
      <c r="D264" s="46"/>
      <c r="E264" s="46"/>
      <c r="F264" s="46"/>
      <c r="G264" s="46"/>
      <c r="H264" s="46"/>
      <c r="I264" s="46"/>
      <c r="J264" s="46"/>
      <c r="K264" s="46"/>
      <c r="L264" s="46"/>
      <c r="M264" s="46"/>
      <c r="N264" s="46"/>
      <c r="O264" s="544">
        <f>SUM(C264:N264)</f>
        <v>0</v>
      </c>
      <c r="P264" s="617">
        <f>+'Sales Proj'!M74</f>
        <v>0</v>
      </c>
    </row>
    <row r="265" spans="2:16" x14ac:dyDescent="0.4">
      <c r="B265" s="518" t="s">
        <v>162</v>
      </c>
      <c r="C265" s="545">
        <f>SUM(C261:C264)</f>
        <v>6.9341921082815561E-2</v>
      </c>
      <c r="D265" s="545">
        <f t="shared" ref="D265:O265" si="42">SUM(D261:D264)</f>
        <v>7.9723520777552612E-2</v>
      </c>
      <c r="E265" s="545">
        <f t="shared" si="42"/>
        <v>5.9021165132416432E-2</v>
      </c>
      <c r="F265" s="545">
        <f t="shared" si="42"/>
        <v>6.4433721269824454E-2</v>
      </c>
      <c r="G265" s="545">
        <f t="shared" si="42"/>
        <v>5.7455724029800384E-2</v>
      </c>
      <c r="H265" s="545">
        <f t="shared" si="42"/>
        <v>5.7488863465762603E-2</v>
      </c>
      <c r="I265" s="545">
        <f t="shared" si="42"/>
        <v>5.4992463459260163E-2</v>
      </c>
      <c r="J265" s="545">
        <f t="shared" si="42"/>
        <v>4.5608766408423929E-2</v>
      </c>
      <c r="K265" s="545">
        <f t="shared" si="42"/>
        <v>5.9962013329825113E-2</v>
      </c>
      <c r="L265" s="545">
        <f t="shared" si="42"/>
        <v>6.830700016596418E-2</v>
      </c>
      <c r="M265" s="545">
        <f t="shared" si="42"/>
        <v>7.1687919829554803E-2</v>
      </c>
      <c r="N265" s="545">
        <f t="shared" si="42"/>
        <v>8.9519977741826254E-2</v>
      </c>
      <c r="O265" s="545">
        <f t="shared" si="42"/>
        <v>0.77754305669302648</v>
      </c>
      <c r="P265" s="617"/>
    </row>
    <row r="266" spans="2:16" x14ac:dyDescent="0.4">
      <c r="B266" s="517" t="s">
        <v>163</v>
      </c>
      <c r="C266" s="78"/>
      <c r="D266" s="78"/>
      <c r="E266" s="78"/>
      <c r="F266" s="3"/>
      <c r="G266" s="3"/>
      <c r="H266" s="2"/>
      <c r="I266" s="3"/>
      <c r="J266" s="3"/>
      <c r="K266" s="124"/>
      <c r="L266" s="124"/>
      <c r="M266" s="2"/>
      <c r="N266" s="2"/>
      <c r="O266" s="545"/>
      <c r="P266" s="617"/>
    </row>
    <row r="267" spans="2:16" x14ac:dyDescent="0.4">
      <c r="B267" s="519" t="s">
        <v>1133</v>
      </c>
      <c r="C267" s="46"/>
      <c r="D267" s="46"/>
      <c r="E267" s="46"/>
      <c r="F267" s="3"/>
      <c r="G267" s="3"/>
      <c r="H267" s="2"/>
      <c r="I267" s="3"/>
      <c r="J267" s="3"/>
      <c r="K267" s="124"/>
      <c r="L267" s="124"/>
      <c r="M267" s="2"/>
      <c r="N267" s="2"/>
      <c r="O267" s="544">
        <f>SUM(C267:N267)</f>
        <v>0</v>
      </c>
      <c r="P267" s="617"/>
    </row>
    <row r="268" spans="2:16" x14ac:dyDescent="0.4">
      <c r="B268" s="520" t="s">
        <v>1106</v>
      </c>
      <c r="C268" s="527">
        <f t="shared" ref="C268:N268" si="43">+$P268*C236/$O236</f>
        <v>0.1262706716635591</v>
      </c>
      <c r="D268" s="527">
        <f t="shared" si="43"/>
        <v>0.13504253738568697</v>
      </c>
      <c r="E268" s="527">
        <f t="shared" si="43"/>
        <v>0.13574097203832605</v>
      </c>
      <c r="F268" s="527">
        <f t="shared" si="43"/>
        <v>0.13397318263503624</v>
      </c>
      <c r="G268" s="527">
        <f t="shared" si="43"/>
        <v>0.13479525732034586</v>
      </c>
      <c r="H268" s="527">
        <f t="shared" si="43"/>
        <v>0.13812827692446522</v>
      </c>
      <c r="I268" s="527">
        <f t="shared" si="43"/>
        <v>0.14160203571470958</v>
      </c>
      <c r="J268" s="527">
        <f t="shared" si="43"/>
        <v>0.14185589237753321</v>
      </c>
      <c r="K268" s="527">
        <f t="shared" si="43"/>
        <v>0.13888984691293604</v>
      </c>
      <c r="L268" s="527">
        <f t="shared" si="43"/>
        <v>0.14396434953041531</v>
      </c>
      <c r="M268" s="527">
        <f t="shared" si="43"/>
        <v>0.14445101774411864</v>
      </c>
      <c r="N268" s="527">
        <f t="shared" si="43"/>
        <v>0.15378715553024302</v>
      </c>
      <c r="O268" s="544">
        <f>SUM(C268:N268)</f>
        <v>1.6685011957773752</v>
      </c>
      <c r="P268" s="617">
        <f>+'Sales Proj'!M78</f>
        <v>1.6685011957773752</v>
      </c>
    </row>
    <row r="269" spans="2:16" x14ac:dyDescent="0.4">
      <c r="B269" s="520" t="s">
        <v>1107</v>
      </c>
      <c r="C269" s="527">
        <f t="shared" ref="C269:N269" si="44">+$P269*C237/$O237</f>
        <v>0.1465259333562712</v>
      </c>
      <c r="D269" s="527">
        <f t="shared" si="44"/>
        <v>0.16602348653917234</v>
      </c>
      <c r="E269" s="527">
        <f t="shared" si="44"/>
        <v>0.15352725070297049</v>
      </c>
      <c r="F269" s="527">
        <f t="shared" si="44"/>
        <v>0.12390221056740196</v>
      </c>
      <c r="G269" s="527">
        <f t="shared" si="44"/>
        <v>0.12479712486046843</v>
      </c>
      <c r="H269" s="527">
        <f t="shared" si="44"/>
        <v>0.12357053748034903</v>
      </c>
      <c r="I269" s="527">
        <f t="shared" si="44"/>
        <v>0.14206704098232675</v>
      </c>
      <c r="J269" s="527">
        <f t="shared" si="44"/>
        <v>0.13064180769631767</v>
      </c>
      <c r="K269" s="527">
        <f t="shared" si="44"/>
        <v>0.10423942388295078</v>
      </c>
      <c r="L269" s="527">
        <f t="shared" si="44"/>
        <v>0.11319218506547431</v>
      </c>
      <c r="M269" s="527">
        <f t="shared" si="44"/>
        <v>0.11857252557944944</v>
      </c>
      <c r="N269" s="527">
        <f t="shared" si="44"/>
        <v>0.16869737466279552</v>
      </c>
      <c r="O269" s="544">
        <f>SUM(C269:N269)</f>
        <v>1.6157569013759479</v>
      </c>
      <c r="P269" s="617">
        <f>+'Sales Proj'!M79</f>
        <v>1.6157569013759476</v>
      </c>
    </row>
    <row r="270" spans="2:16" x14ac:dyDescent="0.4">
      <c r="B270" s="520" t="s">
        <v>1108</v>
      </c>
      <c r="C270" s="527">
        <f t="shared" ref="C270:N270" si="45">+$P270*C238/$O238</f>
        <v>6.6477188043788812E-2</v>
      </c>
      <c r="D270" s="527">
        <f t="shared" si="45"/>
        <v>9.346537908701151E-2</v>
      </c>
      <c r="E270" s="527">
        <f t="shared" si="45"/>
        <v>6.5827015006671749E-2</v>
      </c>
      <c r="F270" s="527">
        <f t="shared" si="45"/>
        <v>3.4348805460064059E-2</v>
      </c>
      <c r="G270" s="527">
        <f t="shared" si="45"/>
        <v>3.6027235350840243E-2</v>
      </c>
      <c r="H270" s="527">
        <f t="shared" si="45"/>
        <v>3.5087489448452538E-2</v>
      </c>
      <c r="I270" s="527">
        <f t="shared" si="45"/>
        <v>4.8841654184910724E-2</v>
      </c>
      <c r="J270" s="527">
        <f t="shared" si="45"/>
        <v>4.1305110593320031E-2</v>
      </c>
      <c r="K270" s="527">
        <f t="shared" si="45"/>
        <v>2.2009723216154815E-2</v>
      </c>
      <c r="L270" s="527">
        <f t="shared" si="45"/>
        <v>2.6245136143660329E-2</v>
      </c>
      <c r="M270" s="527">
        <f t="shared" si="45"/>
        <v>2.9358317627267965E-2</v>
      </c>
      <c r="N270" s="527">
        <f t="shared" si="45"/>
        <v>6.6937226444841402E-2</v>
      </c>
      <c r="O270" s="544">
        <f>SUM(C270:N270)</f>
        <v>0.56593028060698414</v>
      </c>
      <c r="P270" s="617">
        <f>+'Sales Proj'!M80</f>
        <v>0.56593028060698403</v>
      </c>
    </row>
    <row r="271" spans="2:16" x14ac:dyDescent="0.4">
      <c r="B271" s="520" t="s">
        <v>1109</v>
      </c>
      <c r="C271" s="527">
        <f t="shared" ref="C271:N271" si="46">+$P271*C239/$O239</f>
        <v>0.31144057369918282</v>
      </c>
      <c r="D271" s="527">
        <f t="shared" si="46"/>
        <v>0.40400235861971856</v>
      </c>
      <c r="E271" s="527">
        <f t="shared" si="46"/>
        <v>0.27932577037967193</v>
      </c>
      <c r="F271" s="527">
        <f t="shared" si="46"/>
        <v>0.25973413994928934</v>
      </c>
      <c r="G271" s="527">
        <f t="shared" si="46"/>
        <v>0.25124365545457022</v>
      </c>
      <c r="H271" s="527">
        <f t="shared" si="46"/>
        <v>0.26000754255230007</v>
      </c>
      <c r="I271" s="527">
        <f t="shared" si="46"/>
        <v>0.28057442007269073</v>
      </c>
      <c r="J271" s="527">
        <f t="shared" si="46"/>
        <v>0.27223730776990451</v>
      </c>
      <c r="K271" s="527">
        <f t="shared" si="46"/>
        <v>0.23626819458355866</v>
      </c>
      <c r="L271" s="527">
        <f t="shared" si="46"/>
        <v>0.24627406301813634</v>
      </c>
      <c r="M271" s="527">
        <f t="shared" si="46"/>
        <v>0.23062009690672611</v>
      </c>
      <c r="N271" s="527">
        <f t="shared" si="46"/>
        <v>0.29463798323731871</v>
      </c>
      <c r="O271" s="544">
        <f>SUM(C271:N271)</f>
        <v>3.3263661062430678</v>
      </c>
      <c r="P271" s="617">
        <f>+'Sales Proj'!M81</f>
        <v>3.3263661062430674</v>
      </c>
    </row>
    <row r="272" spans="2:16" x14ac:dyDescent="0.4">
      <c r="B272" s="520" t="s">
        <v>1110</v>
      </c>
      <c r="C272" s="527"/>
      <c r="D272" s="527"/>
      <c r="E272" s="527"/>
      <c r="F272" s="527"/>
      <c r="G272" s="527"/>
      <c r="H272" s="527"/>
      <c r="I272" s="527"/>
      <c r="J272" s="527"/>
      <c r="K272" s="527"/>
      <c r="L272" s="527"/>
      <c r="M272" s="527"/>
      <c r="N272" s="527"/>
      <c r="O272" s="544"/>
      <c r="P272" s="617">
        <f>+'Sales Proj'!M82</f>
        <v>0</v>
      </c>
    </row>
    <row r="273" spans="2:16" x14ac:dyDescent="0.4">
      <c r="B273" s="519" t="s">
        <v>1139</v>
      </c>
      <c r="C273" s="527"/>
      <c r="D273" s="527"/>
      <c r="E273" s="527"/>
      <c r="F273" s="527"/>
      <c r="G273" s="527"/>
      <c r="H273" s="527"/>
      <c r="I273" s="527"/>
      <c r="J273" s="527"/>
      <c r="K273" s="527"/>
      <c r="L273" s="527"/>
      <c r="M273" s="527"/>
      <c r="N273" s="527"/>
      <c r="O273" s="544"/>
      <c r="P273" s="617">
        <f>+'Sales Proj'!M83</f>
        <v>0</v>
      </c>
    </row>
    <row r="274" spans="2:16" x14ac:dyDescent="0.4">
      <c r="B274" s="520" t="s">
        <v>1140</v>
      </c>
      <c r="C274" s="527">
        <f t="shared" ref="C274:N274" si="47">+$P274*C242/$O242</f>
        <v>2.3311918329334089E-2</v>
      </c>
      <c r="D274" s="527">
        <f t="shared" si="47"/>
        <v>3.0048744100208028E-2</v>
      </c>
      <c r="E274" s="527">
        <f t="shared" si="47"/>
        <v>2.5079043733316354E-2</v>
      </c>
      <c r="F274" s="527">
        <f t="shared" si="47"/>
        <v>2.3789314053856064E-2</v>
      </c>
      <c r="G274" s="527">
        <f t="shared" si="47"/>
        <v>2.4812615595485185E-2</v>
      </c>
      <c r="H274" s="527">
        <f t="shared" si="47"/>
        <v>2.2844309760895704E-2</v>
      </c>
      <c r="I274" s="527">
        <f t="shared" si="47"/>
        <v>2.3405440043021763E-2</v>
      </c>
      <c r="J274" s="527">
        <f t="shared" si="47"/>
        <v>2.3605533011841911E-2</v>
      </c>
      <c r="K274" s="527">
        <f t="shared" si="47"/>
        <v>1.9560175163956348E-2</v>
      </c>
      <c r="L274" s="527">
        <f t="shared" si="47"/>
        <v>2.0628062638855169E-2</v>
      </c>
      <c r="M274" s="527">
        <f t="shared" si="47"/>
        <v>2.0148491990759059E-2</v>
      </c>
      <c r="N274" s="527">
        <f t="shared" si="47"/>
        <v>2.3073764197966629E-2</v>
      </c>
      <c r="O274" s="544">
        <f t="shared" ref="O274:O280" si="48">SUM(C274:N274)</f>
        <v>0.28030741261949632</v>
      </c>
      <c r="P274" s="617">
        <f>+'Sales Proj'!M84</f>
        <v>0.28030741261949632</v>
      </c>
    </row>
    <row r="275" spans="2:16" x14ac:dyDescent="0.4">
      <c r="B275" s="520" t="s">
        <v>1144</v>
      </c>
      <c r="C275" s="527">
        <f t="shared" ref="C275:N275" si="49">+$P275*C243/$O243</f>
        <v>3.5760952548959148E-2</v>
      </c>
      <c r="D275" s="527">
        <f t="shared" si="49"/>
        <v>4.2534081142719726E-2</v>
      </c>
      <c r="E275" s="527">
        <f t="shared" si="49"/>
        <v>4.3269401630679653E-2</v>
      </c>
      <c r="F275" s="527">
        <f t="shared" si="49"/>
        <v>3.800835606126618E-2</v>
      </c>
      <c r="G275" s="527">
        <f t="shared" si="49"/>
        <v>4.1400197680141707E-2</v>
      </c>
      <c r="H275" s="527">
        <f t="shared" si="49"/>
        <v>3.9131122919137874E-2</v>
      </c>
      <c r="I275" s="527">
        <f t="shared" si="49"/>
        <v>4.5925779717049413E-2</v>
      </c>
      <c r="J275" s="527">
        <f t="shared" si="49"/>
        <v>3.7724453507617224E-2</v>
      </c>
      <c r="K275" s="527">
        <f t="shared" si="49"/>
        <v>3.6421838785737438E-2</v>
      </c>
      <c r="L275" s="527">
        <f t="shared" si="49"/>
        <v>4.1022805298309935E-2</v>
      </c>
      <c r="M275" s="527">
        <f t="shared" si="49"/>
        <v>3.9336585974321304E-2</v>
      </c>
      <c r="N275" s="527">
        <f t="shared" si="49"/>
        <v>5.1893996651292351E-2</v>
      </c>
      <c r="O275" s="544">
        <f t="shared" si="48"/>
        <v>0.49242957191723197</v>
      </c>
      <c r="P275" s="617">
        <f>+'Sales Proj'!M85</f>
        <v>0.49242957191723191</v>
      </c>
    </row>
    <row r="276" spans="2:16" x14ac:dyDescent="0.4">
      <c r="B276" s="520" t="s">
        <v>1143</v>
      </c>
      <c r="C276" s="527">
        <f t="shared" ref="C276:N276" si="50">+$P276*C244/$O244</f>
        <v>1.3488023658332359E-2</v>
      </c>
      <c r="D276" s="527">
        <f t="shared" si="50"/>
        <v>1.0619133820826574E-2</v>
      </c>
      <c r="E276" s="527">
        <f t="shared" si="50"/>
        <v>1.6927327807933785E-2</v>
      </c>
      <c r="F276" s="527">
        <f t="shared" si="50"/>
        <v>1.4037013093616933E-2</v>
      </c>
      <c r="G276" s="527">
        <f t="shared" si="50"/>
        <v>1.5674047895210326E-2</v>
      </c>
      <c r="H276" s="527">
        <f t="shared" si="50"/>
        <v>1.2550052937332624E-2</v>
      </c>
      <c r="I276" s="527">
        <f t="shared" si="50"/>
        <v>1.4396847166156765E-2</v>
      </c>
      <c r="J276" s="527">
        <f t="shared" si="50"/>
        <v>9.5898686677546776E-3</v>
      </c>
      <c r="K276" s="527">
        <f t="shared" si="50"/>
        <v>7.284257100498152E-3</v>
      </c>
      <c r="L276" s="527">
        <f t="shared" si="50"/>
        <v>9.7832621023002005E-3</v>
      </c>
      <c r="M276" s="527">
        <f t="shared" si="50"/>
        <v>9.9468717753366746E-3</v>
      </c>
      <c r="N276" s="527">
        <f t="shared" si="50"/>
        <v>1.2346943765061989E-2</v>
      </c>
      <c r="O276" s="544">
        <f t="shared" si="48"/>
        <v>0.14664364979036104</v>
      </c>
      <c r="P276" s="617">
        <f>+'Sales Proj'!M86</f>
        <v>0.14664364979036104</v>
      </c>
    </row>
    <row r="277" spans="2:16" x14ac:dyDescent="0.4">
      <c r="B277" s="519" t="s">
        <v>1111</v>
      </c>
      <c r="C277" s="527">
        <f t="shared" ref="C277:N277" si="51">+$P277*C245/$O245</f>
        <v>6.7095778215386995E-2</v>
      </c>
      <c r="D277" s="527">
        <f t="shared" si="51"/>
        <v>6.8773442724109832E-2</v>
      </c>
      <c r="E277" s="527">
        <f t="shared" si="51"/>
        <v>6.1560252550128376E-2</v>
      </c>
      <c r="F277" s="527">
        <f t="shared" si="51"/>
        <v>6.7545100384073131E-2</v>
      </c>
      <c r="G277" s="527">
        <f t="shared" si="51"/>
        <v>7.3163068747662138E-2</v>
      </c>
      <c r="H277" s="527">
        <f t="shared" si="51"/>
        <v>7.2716483507686253E-2</v>
      </c>
      <c r="I277" s="527">
        <f t="shared" si="51"/>
        <v>7.4100641528498212E-2</v>
      </c>
      <c r="J277" s="527">
        <f t="shared" si="51"/>
        <v>7.1522658497287797E-2</v>
      </c>
      <c r="K277" s="527">
        <f t="shared" si="51"/>
        <v>7.8792261430589455E-2</v>
      </c>
      <c r="L277" s="527">
        <f t="shared" si="51"/>
        <v>6.3997764171098634E-2</v>
      </c>
      <c r="M277" s="527">
        <f t="shared" si="51"/>
        <v>5.8812885659642961E-2</v>
      </c>
      <c r="N277" s="527">
        <f t="shared" si="51"/>
        <v>5.855937035879083E-2</v>
      </c>
      <c r="O277" s="544">
        <f t="shared" si="48"/>
        <v>0.81663970777495454</v>
      </c>
      <c r="P277" s="617">
        <f>+'Sales Proj'!M87</f>
        <v>0.81663970777495454</v>
      </c>
    </row>
    <row r="278" spans="2:16" x14ac:dyDescent="0.4">
      <c r="B278" s="519" t="s">
        <v>1135</v>
      </c>
      <c r="C278" s="527">
        <f t="shared" ref="C278:N278" si="52">+$P278*C246/$O246</f>
        <v>1.982861261860566E-3</v>
      </c>
      <c r="D278" s="527">
        <f t="shared" si="52"/>
        <v>2.4210736007317483E-3</v>
      </c>
      <c r="E278" s="527">
        <f t="shared" si="52"/>
        <v>1.9392383140996311E-3</v>
      </c>
      <c r="F278" s="527">
        <f t="shared" si="52"/>
        <v>1.6259462347256615E-3</v>
      </c>
      <c r="G278" s="527">
        <f t="shared" si="52"/>
        <v>1.8837181987675382E-3</v>
      </c>
      <c r="H278" s="527">
        <f t="shared" si="52"/>
        <v>1.5268031716326339E-3</v>
      </c>
      <c r="I278" s="527">
        <f t="shared" si="52"/>
        <v>1.427660108539603E-3</v>
      </c>
      <c r="J278" s="527">
        <f t="shared" si="52"/>
        <v>1.6061176221070568E-3</v>
      </c>
      <c r="K278" s="527">
        <f t="shared" si="52"/>
        <v>1.7647465230559024E-3</v>
      </c>
      <c r="L278" s="527">
        <f t="shared" si="52"/>
        <v>1.8440609735303252E-3</v>
      </c>
      <c r="M278" s="527">
        <f t="shared" si="52"/>
        <v>1.5268031716326339E-3</v>
      </c>
      <c r="N278" s="527">
        <f t="shared" si="52"/>
        <v>1.7647465230559024E-3</v>
      </c>
      <c r="O278" s="544">
        <f t="shared" si="48"/>
        <v>2.1313775703739202E-2</v>
      </c>
      <c r="P278" s="617">
        <f>+'Sales Proj'!M88</f>
        <v>2.1313775703739202E-2</v>
      </c>
    </row>
    <row r="279" spans="2:16" x14ac:dyDescent="0.4">
      <c r="B279" s="519"/>
      <c r="C279" s="527"/>
      <c r="D279" s="527"/>
      <c r="E279" s="527"/>
      <c r="F279" s="527"/>
      <c r="G279" s="527"/>
      <c r="H279" s="527"/>
      <c r="I279" s="527"/>
      <c r="J279" s="527"/>
      <c r="K279" s="527"/>
      <c r="L279" s="527"/>
      <c r="M279" s="527"/>
      <c r="N279" s="527"/>
      <c r="O279" s="544">
        <f t="shared" si="48"/>
        <v>0</v>
      </c>
      <c r="P279" s="617">
        <f>+'Sales Proj'!M89</f>
        <v>0</v>
      </c>
    </row>
    <row r="280" spans="2:16" x14ac:dyDescent="0.4">
      <c r="B280" s="566" t="s">
        <v>1142</v>
      </c>
      <c r="C280" s="527">
        <f t="shared" ref="C280:N280" si="53">+$P280*C248/$O248</f>
        <v>1.182341199563848E-3</v>
      </c>
      <c r="D280" s="527">
        <f t="shared" si="53"/>
        <v>1.2917403476717388E-3</v>
      </c>
      <c r="E280" s="527">
        <f t="shared" si="53"/>
        <v>1.1534882201439259E-3</v>
      </c>
      <c r="F280" s="527">
        <f t="shared" si="53"/>
        <v>1.1383163175074425E-3</v>
      </c>
      <c r="G280" s="527">
        <f t="shared" si="53"/>
        <v>9.7387817329293606E-4</v>
      </c>
      <c r="H280" s="527">
        <f t="shared" si="53"/>
        <v>9.2211762585009502E-4</v>
      </c>
      <c r="I280" s="527">
        <f t="shared" si="53"/>
        <v>1.2801947355235493E-3</v>
      </c>
      <c r="J280" s="527">
        <f t="shared" si="53"/>
        <v>1.489173472820224E-3</v>
      </c>
      <c r="K280" s="527">
        <f t="shared" si="53"/>
        <v>1.7369099986459008E-3</v>
      </c>
      <c r="L280" s="527">
        <f t="shared" si="53"/>
        <v>1.7739201582804571E-3</v>
      </c>
      <c r="M280" s="527">
        <f t="shared" si="53"/>
        <v>1.8110981871162573E-3</v>
      </c>
      <c r="N280" s="527">
        <f t="shared" si="53"/>
        <v>2.2370807567533573E-3</v>
      </c>
      <c r="O280" s="544">
        <f t="shared" si="48"/>
        <v>1.6990259193169731E-2</v>
      </c>
      <c r="P280" s="617">
        <f>+'Sales Proj'!M90</f>
        <v>1.6990259193169727E-2</v>
      </c>
    </row>
    <row r="281" spans="2:16" x14ac:dyDescent="0.4">
      <c r="B281" s="175" t="s">
        <v>162</v>
      </c>
      <c r="C281" s="545">
        <f t="shared" ref="C281:O281" si="54">SUM(C268:C280)</f>
        <v>0.79353624197623895</v>
      </c>
      <c r="D281" s="545">
        <f t="shared" si="54"/>
        <v>0.95422197736785708</v>
      </c>
      <c r="E281" s="545">
        <f t="shared" si="54"/>
        <v>0.784349760383942</v>
      </c>
      <c r="F281" s="545">
        <f t="shared" si="54"/>
        <v>0.69810238475683717</v>
      </c>
      <c r="G281" s="545">
        <f t="shared" si="54"/>
        <v>0.70477079927678454</v>
      </c>
      <c r="H281" s="545">
        <f t="shared" si="54"/>
        <v>0.70648473632810205</v>
      </c>
      <c r="I281" s="545">
        <f t="shared" si="54"/>
        <v>0.77362171425342696</v>
      </c>
      <c r="J281" s="545">
        <f t="shared" si="54"/>
        <v>0.73157792321650417</v>
      </c>
      <c r="K281" s="545">
        <f t="shared" si="54"/>
        <v>0.64696737759808365</v>
      </c>
      <c r="L281" s="545">
        <f t="shared" si="54"/>
        <v>0.66872560910006096</v>
      </c>
      <c r="M281" s="545">
        <f t="shared" si="54"/>
        <v>0.65458469461637114</v>
      </c>
      <c r="N281" s="545">
        <f t="shared" si="54"/>
        <v>0.83393564212811966</v>
      </c>
      <c r="O281" s="545">
        <f t="shared" si="54"/>
        <v>8.9508788610023284</v>
      </c>
      <c r="P281" s="617"/>
    </row>
    <row r="282" spans="2:16" x14ac:dyDescent="0.4">
      <c r="B282" s="175"/>
      <c r="C282" s="543"/>
      <c r="D282" s="543"/>
      <c r="E282" s="543"/>
      <c r="F282" s="543"/>
      <c r="G282" s="543"/>
      <c r="H282" s="543"/>
      <c r="I282" s="543"/>
      <c r="J282" s="543"/>
      <c r="K282" s="543"/>
      <c r="L282" s="543"/>
      <c r="M282" s="543"/>
      <c r="N282" s="543"/>
      <c r="O282" s="543"/>
      <c r="P282" s="617"/>
    </row>
    <row r="283" spans="2:16" x14ac:dyDescent="0.4">
      <c r="B283" s="119" t="s">
        <v>164</v>
      </c>
      <c r="C283" s="545">
        <f t="shared" ref="C283:N283" si="55">C265+C281</f>
        <v>0.86287816305905451</v>
      </c>
      <c r="D283" s="545">
        <f t="shared" si="55"/>
        <v>1.0339454981454097</v>
      </c>
      <c r="E283" s="545">
        <f t="shared" si="55"/>
        <v>0.84337092551635839</v>
      </c>
      <c r="F283" s="545">
        <f t="shared" si="55"/>
        <v>0.76253610602666166</v>
      </c>
      <c r="G283" s="545">
        <f t="shared" si="55"/>
        <v>0.76222652330658491</v>
      </c>
      <c r="H283" s="545">
        <f t="shared" si="55"/>
        <v>0.7639735997938647</v>
      </c>
      <c r="I283" s="545">
        <f t="shared" si="55"/>
        <v>0.82861417771268708</v>
      </c>
      <c r="J283" s="545">
        <f t="shared" si="55"/>
        <v>0.7771866896249281</v>
      </c>
      <c r="K283" s="545">
        <f t="shared" si="55"/>
        <v>0.70692939092790874</v>
      </c>
      <c r="L283" s="545">
        <f t="shared" si="55"/>
        <v>0.7370326092660251</v>
      </c>
      <c r="M283" s="545">
        <f t="shared" si="55"/>
        <v>0.72627261444592595</v>
      </c>
      <c r="N283" s="545">
        <f t="shared" si="55"/>
        <v>0.92345561986994595</v>
      </c>
      <c r="O283" s="545">
        <f>O265+O281</f>
        <v>9.7284219176953552</v>
      </c>
      <c r="P283" s="617"/>
    </row>
    <row r="284" spans="2:16" x14ac:dyDescent="0.4">
      <c r="B284" s="118"/>
      <c r="E284" s="198"/>
      <c r="F284" s="199"/>
      <c r="G284" s="198"/>
      <c r="H284" s="198"/>
      <c r="I284" s="198"/>
      <c r="J284" s="198"/>
      <c r="K284" s="198"/>
      <c r="L284" s="198"/>
      <c r="M284" s="198"/>
      <c r="N284" s="198"/>
      <c r="O284" s="199"/>
    </row>
    <row r="285" spans="2:16" x14ac:dyDescent="0.4">
      <c r="B285" s="32" t="s">
        <v>190</v>
      </c>
      <c r="C285" s="8"/>
      <c r="D285" s="8"/>
      <c r="E285" s="8"/>
      <c r="F285" s="8"/>
      <c r="G285" s="8"/>
      <c r="H285" s="8"/>
      <c r="I285" s="8"/>
      <c r="J285" s="8"/>
      <c r="K285" s="8"/>
      <c r="L285" s="8"/>
      <c r="M285" s="8"/>
      <c r="N285" s="8"/>
      <c r="O285" s="4"/>
    </row>
    <row r="286" spans="2:16" x14ac:dyDescent="0.4">
      <c r="B286" s="32"/>
      <c r="C286" s="38"/>
      <c r="D286" s="38"/>
      <c r="O286" s="38" t="s">
        <v>171</v>
      </c>
    </row>
    <row r="287" spans="2:16" s="51" customFormat="1" ht="27" x14ac:dyDescent="0.35">
      <c r="B287" s="169" t="s">
        <v>160</v>
      </c>
      <c r="C287" s="106" t="s">
        <v>172</v>
      </c>
      <c r="D287" s="106" t="s">
        <v>173</v>
      </c>
      <c r="E287" s="64" t="s">
        <v>174</v>
      </c>
      <c r="F287" s="64" t="s">
        <v>175</v>
      </c>
      <c r="G287" s="64" t="s">
        <v>176</v>
      </c>
      <c r="H287" s="64" t="s">
        <v>177</v>
      </c>
      <c r="I287" s="64" t="s">
        <v>178</v>
      </c>
      <c r="J287" s="64" t="s">
        <v>179</v>
      </c>
      <c r="K287" s="64" t="s">
        <v>180</v>
      </c>
      <c r="L287" s="64" t="s">
        <v>181</v>
      </c>
      <c r="M287" s="64" t="s">
        <v>182</v>
      </c>
      <c r="N287" s="64" t="s">
        <v>183</v>
      </c>
      <c r="O287" s="158" t="s">
        <v>188</v>
      </c>
    </row>
    <row r="288" spans="2:16" x14ac:dyDescent="0.4">
      <c r="B288" s="517" t="s">
        <v>161</v>
      </c>
      <c r="C288" s="78"/>
      <c r="D288" s="78"/>
      <c r="E288" s="78"/>
      <c r="F288" s="3"/>
      <c r="G288" s="3"/>
      <c r="H288" s="2"/>
      <c r="I288" s="43"/>
      <c r="J288" s="44"/>
      <c r="K288" s="124"/>
      <c r="L288" s="124"/>
      <c r="M288" s="2"/>
      <c r="N288" s="2"/>
      <c r="O288" s="2"/>
    </row>
    <row r="289" spans="2:16" x14ac:dyDescent="0.4">
      <c r="B289" s="429" t="s">
        <v>1129</v>
      </c>
      <c r="C289" s="527">
        <f>+$P289*C261/$O261</f>
        <v>2.1599999999999842E-2</v>
      </c>
      <c r="D289" s="527">
        <f t="shared" ref="D289:N289" si="56">+$P289*D261/$O261</f>
        <v>2.3998999999999882E-2</v>
      </c>
      <c r="E289" s="527">
        <f t="shared" si="56"/>
        <v>2.0400000000000418E-2</v>
      </c>
      <c r="F289" s="527">
        <f t="shared" si="56"/>
        <v>1.0800000000000587E-2</v>
      </c>
      <c r="G289" s="527">
        <f t="shared" si="56"/>
        <v>9.5999999999998309E-3</v>
      </c>
      <c r="H289" s="527">
        <f t="shared" si="56"/>
        <v>1.0799999999999699E-2</v>
      </c>
      <c r="I289" s="527">
        <f t="shared" si="56"/>
        <v>1.0799999999999699E-2</v>
      </c>
      <c r="J289" s="527">
        <f t="shared" si="56"/>
        <v>1.0799999999999699E-2</v>
      </c>
      <c r="K289" s="527">
        <f t="shared" si="56"/>
        <v>9.6000000000007191E-3</v>
      </c>
      <c r="L289" s="527">
        <f t="shared" si="56"/>
        <v>1.2000000000000456E-2</v>
      </c>
      <c r="M289" s="527">
        <f t="shared" si="56"/>
        <v>1.920000000000055E-2</v>
      </c>
      <c r="N289" s="527">
        <f t="shared" si="56"/>
        <v>2.5200000000000777E-2</v>
      </c>
      <c r="O289" s="544">
        <f>SUM(C289:N289)</f>
        <v>0.18479900000000216</v>
      </c>
      <c r="P289" s="622">
        <f>+O229</f>
        <v>0.18479900000000216</v>
      </c>
    </row>
    <row r="290" spans="2:16" x14ac:dyDescent="0.4">
      <c r="B290" s="429" t="s">
        <v>1130</v>
      </c>
      <c r="C290" s="527">
        <f t="shared" ref="C290:N290" si="57">+$P290*C262/$O262</f>
        <v>5.7290305299378882E-2</v>
      </c>
      <c r="D290" s="527">
        <f t="shared" si="57"/>
        <v>6.6869424933063304E-2</v>
      </c>
      <c r="E290" s="527">
        <f t="shared" si="57"/>
        <v>4.6345398158899237E-2</v>
      </c>
      <c r="F290" s="527">
        <f t="shared" si="57"/>
        <v>6.4360465523788671E-2</v>
      </c>
      <c r="G290" s="527">
        <f t="shared" si="57"/>
        <v>5.7426868835760689E-2</v>
      </c>
      <c r="H290" s="527">
        <f t="shared" si="57"/>
        <v>5.602663615891551E-2</v>
      </c>
      <c r="I290" s="527">
        <f t="shared" si="57"/>
        <v>5.3030956151112578E-2</v>
      </c>
      <c r="J290" s="527">
        <f t="shared" si="57"/>
        <v>4.1770519690109094E-2</v>
      </c>
      <c r="K290" s="527">
        <f t="shared" si="57"/>
        <v>6.0434415995789303E-2</v>
      </c>
      <c r="L290" s="527">
        <f t="shared" si="57"/>
        <v>6.7568400199156498E-2</v>
      </c>
      <c r="M290" s="527">
        <f t="shared" si="57"/>
        <v>6.2985503795465136E-2</v>
      </c>
      <c r="N290" s="527">
        <f t="shared" si="57"/>
        <v>7.7183973290190597E-2</v>
      </c>
      <c r="O290" s="544">
        <f>SUM(C290:N290)</f>
        <v>0.71129286803162961</v>
      </c>
      <c r="P290" s="617">
        <f>+'Sales Proj'!N72</f>
        <v>0.7112928680316295</v>
      </c>
    </row>
    <row r="291" spans="2:16" x14ac:dyDescent="0.4">
      <c r="B291" s="429" t="s">
        <v>1131</v>
      </c>
      <c r="C291" s="47"/>
      <c r="D291" s="47"/>
      <c r="E291" s="47"/>
      <c r="F291" s="3"/>
      <c r="G291" s="3"/>
      <c r="H291" s="2"/>
      <c r="I291" s="3"/>
      <c r="J291" s="3"/>
      <c r="K291" s="124"/>
      <c r="L291" s="124"/>
      <c r="M291" s="2"/>
      <c r="N291" s="2"/>
      <c r="O291" s="544">
        <f>SUM(C291:N291)</f>
        <v>0</v>
      </c>
    </row>
    <row r="292" spans="2:16" x14ac:dyDescent="0.4">
      <c r="B292" s="429" t="s">
        <v>1132</v>
      </c>
      <c r="C292" s="175"/>
      <c r="D292" s="175"/>
      <c r="E292" s="175"/>
      <c r="F292" s="3"/>
      <c r="G292" s="3"/>
      <c r="H292" s="2"/>
      <c r="I292" s="3"/>
      <c r="J292" s="3"/>
      <c r="K292" s="124"/>
      <c r="L292" s="124"/>
      <c r="M292" s="2"/>
      <c r="N292" s="2"/>
      <c r="O292" s="544">
        <f>SUM(C292:N292)</f>
        <v>0</v>
      </c>
    </row>
    <row r="293" spans="2:16" x14ac:dyDescent="0.4">
      <c r="B293" s="518" t="s">
        <v>162</v>
      </c>
      <c r="C293" s="545">
        <f>SUM(C289:C292)</f>
        <v>7.8890305299378724E-2</v>
      </c>
      <c r="D293" s="545">
        <f t="shared" ref="D293:O293" si="58">SUM(D289:D292)</f>
        <v>9.0868424933063185E-2</v>
      </c>
      <c r="E293" s="545">
        <f t="shared" si="58"/>
        <v>6.6745398158899655E-2</v>
      </c>
      <c r="F293" s="545">
        <f t="shared" si="58"/>
        <v>7.5160465523789258E-2</v>
      </c>
      <c r="G293" s="545">
        <f t="shared" si="58"/>
        <v>6.702686883576052E-2</v>
      </c>
      <c r="H293" s="545">
        <f t="shared" si="58"/>
        <v>6.6826636158915209E-2</v>
      </c>
      <c r="I293" s="545">
        <f t="shared" si="58"/>
        <v>6.3830956151112284E-2</v>
      </c>
      <c r="J293" s="545">
        <f t="shared" si="58"/>
        <v>5.2570519690108793E-2</v>
      </c>
      <c r="K293" s="545">
        <f t="shared" si="58"/>
        <v>7.0034415995790023E-2</v>
      </c>
      <c r="L293" s="545">
        <f t="shared" si="58"/>
        <v>7.9568400199156952E-2</v>
      </c>
      <c r="M293" s="545">
        <f t="shared" si="58"/>
        <v>8.2185503795465686E-2</v>
      </c>
      <c r="N293" s="545">
        <f t="shared" si="58"/>
        <v>0.10238397329019137</v>
      </c>
      <c r="O293" s="545">
        <f t="shared" si="58"/>
        <v>0.89609186803163177</v>
      </c>
    </row>
    <row r="294" spans="2:16" x14ac:dyDescent="0.4">
      <c r="B294" s="517" t="s">
        <v>163</v>
      </c>
      <c r="C294" s="78"/>
      <c r="D294" s="78"/>
      <c r="E294" s="78"/>
      <c r="F294" s="3"/>
      <c r="G294" s="3"/>
      <c r="H294" s="2"/>
      <c r="I294" s="3"/>
      <c r="J294" s="3"/>
      <c r="K294" s="124"/>
      <c r="L294" s="124"/>
      <c r="M294" s="2"/>
      <c r="N294" s="2"/>
      <c r="O294" s="545"/>
    </row>
    <row r="295" spans="2:16" x14ac:dyDescent="0.4">
      <c r="B295" s="519" t="s">
        <v>1133</v>
      </c>
      <c r="C295" s="46"/>
      <c r="D295" s="46"/>
      <c r="E295" s="46"/>
      <c r="F295" s="3"/>
      <c r="G295" s="3"/>
      <c r="H295" s="2"/>
      <c r="I295" s="3"/>
      <c r="J295" s="3"/>
      <c r="K295" s="124"/>
      <c r="L295" s="124"/>
      <c r="M295" s="2"/>
      <c r="N295" s="2"/>
      <c r="O295" s="544">
        <f>SUM(C295:N295)</f>
        <v>0</v>
      </c>
    </row>
    <row r="296" spans="2:16" x14ac:dyDescent="0.4">
      <c r="B296" s="520" t="s">
        <v>1106</v>
      </c>
      <c r="C296" s="527">
        <f t="shared" ref="C296:N296" si="59">+$P296*C268/$O268</f>
        <v>0.15152480599627094</v>
      </c>
      <c r="D296" s="527">
        <f t="shared" si="59"/>
        <v>0.1620510448628244</v>
      </c>
      <c r="E296" s="527">
        <f t="shared" si="59"/>
        <v>0.16288916644599127</v>
      </c>
      <c r="F296" s="527">
        <f t="shared" si="59"/>
        <v>0.16076781916204352</v>
      </c>
      <c r="G296" s="527">
        <f t="shared" si="59"/>
        <v>0.16175430878441507</v>
      </c>
      <c r="H296" s="527">
        <f t="shared" si="59"/>
        <v>0.16575393230935828</v>
      </c>
      <c r="I296" s="527">
        <f t="shared" si="59"/>
        <v>0.16992244285765151</v>
      </c>
      <c r="J296" s="527">
        <f t="shared" si="59"/>
        <v>0.17022707085303987</v>
      </c>
      <c r="K296" s="527">
        <f t="shared" si="59"/>
        <v>0.1666678162955233</v>
      </c>
      <c r="L296" s="527">
        <f t="shared" si="59"/>
        <v>0.17275721943649841</v>
      </c>
      <c r="M296" s="527">
        <f t="shared" si="59"/>
        <v>0.17334122129294238</v>
      </c>
      <c r="N296" s="527">
        <f t="shared" si="59"/>
        <v>0.18454458663629167</v>
      </c>
      <c r="O296" s="544">
        <f>SUM(C296:N296)</f>
        <v>2.0022014349328505</v>
      </c>
      <c r="P296" s="617">
        <f>+'Sales Proj'!N78</f>
        <v>2.0022014349328505</v>
      </c>
    </row>
    <row r="297" spans="2:16" x14ac:dyDescent="0.4">
      <c r="B297" s="520" t="s">
        <v>1107</v>
      </c>
      <c r="C297" s="527">
        <f t="shared" ref="C297:N297" si="60">+$P297*C269/$O269</f>
        <v>0.17583112002752546</v>
      </c>
      <c r="D297" s="527">
        <f t="shared" si="60"/>
        <v>0.19922818384700683</v>
      </c>
      <c r="E297" s="527">
        <f t="shared" si="60"/>
        <v>0.18423270084356461</v>
      </c>
      <c r="F297" s="527">
        <f t="shared" si="60"/>
        <v>0.14868265268088238</v>
      </c>
      <c r="G297" s="527">
        <f t="shared" si="60"/>
        <v>0.14975654983256212</v>
      </c>
      <c r="H297" s="527">
        <f t="shared" si="60"/>
        <v>0.14828464497641886</v>
      </c>
      <c r="I297" s="527">
        <f t="shared" si="60"/>
        <v>0.17048044917879213</v>
      </c>
      <c r="J297" s="527">
        <f t="shared" si="60"/>
        <v>0.15677016923558121</v>
      </c>
      <c r="K297" s="527">
        <f t="shared" si="60"/>
        <v>0.12508730865954096</v>
      </c>
      <c r="L297" s="527">
        <f t="shared" si="60"/>
        <v>0.13583062207856919</v>
      </c>
      <c r="M297" s="527">
        <f t="shared" si="60"/>
        <v>0.14228703069533935</v>
      </c>
      <c r="N297" s="527">
        <f t="shared" si="60"/>
        <v>0.20243684959535466</v>
      </c>
      <c r="O297" s="544">
        <f>SUM(C297:N297)</f>
        <v>1.9389082816511378</v>
      </c>
      <c r="P297" s="617">
        <f>+'Sales Proj'!N79</f>
        <v>1.9389082816511376</v>
      </c>
    </row>
    <row r="298" spans="2:16" x14ac:dyDescent="0.4">
      <c r="B298" s="520" t="s">
        <v>1108</v>
      </c>
      <c r="C298" s="527">
        <f t="shared" ref="C298:N298" si="61">+$P298*C270/$O270</f>
        <v>7.9772625652546586E-2</v>
      </c>
      <c r="D298" s="527">
        <f t="shared" si="61"/>
        <v>0.11215845490441383</v>
      </c>
      <c r="E298" s="527">
        <f t="shared" si="61"/>
        <v>7.8992418008006104E-2</v>
      </c>
      <c r="F298" s="527">
        <f t="shared" si="61"/>
        <v>4.1218566552076875E-2</v>
      </c>
      <c r="G298" s="527">
        <f t="shared" si="61"/>
        <v>4.3232682421008292E-2</v>
      </c>
      <c r="H298" s="527">
        <f t="shared" si="61"/>
        <v>4.2104987338143052E-2</v>
      </c>
      <c r="I298" s="527">
        <f t="shared" si="61"/>
        <v>5.8609985021892873E-2</v>
      </c>
      <c r="J298" s="527">
        <f t="shared" si="61"/>
        <v>4.956613271198404E-2</v>
      </c>
      <c r="K298" s="527">
        <f t="shared" si="61"/>
        <v>2.6411667859385781E-2</v>
      </c>
      <c r="L298" s="527">
        <f t="shared" si="61"/>
        <v>3.1494163372392393E-2</v>
      </c>
      <c r="M298" s="527">
        <f t="shared" si="61"/>
        <v>3.5229981152721558E-2</v>
      </c>
      <c r="N298" s="527">
        <f t="shared" si="61"/>
        <v>8.0324671733809694E-2</v>
      </c>
      <c r="O298" s="544">
        <f>SUM(C298:N298)</f>
        <v>0.67911633672838101</v>
      </c>
      <c r="P298" s="617">
        <f>+'Sales Proj'!N80</f>
        <v>0.67911633672838101</v>
      </c>
    </row>
    <row r="299" spans="2:16" x14ac:dyDescent="0.4">
      <c r="B299" s="520" t="s">
        <v>1109</v>
      </c>
      <c r="C299" s="527">
        <f t="shared" ref="C299:N299" si="62">+$P299*C271/$O271</f>
        <v>0.37372868843901941</v>
      </c>
      <c r="D299" s="527">
        <f t="shared" si="62"/>
        <v>0.48480283034366228</v>
      </c>
      <c r="E299" s="527">
        <f t="shared" si="62"/>
        <v>0.33519092445560628</v>
      </c>
      <c r="F299" s="527">
        <f t="shared" si="62"/>
        <v>0.31168096793914718</v>
      </c>
      <c r="G299" s="527">
        <f t="shared" si="62"/>
        <v>0.30149238654548427</v>
      </c>
      <c r="H299" s="527">
        <f t="shared" si="62"/>
        <v>0.31200905106276006</v>
      </c>
      <c r="I299" s="527">
        <f t="shared" si="62"/>
        <v>0.33668930408722886</v>
      </c>
      <c r="J299" s="527">
        <f t="shared" si="62"/>
        <v>0.32668476932388546</v>
      </c>
      <c r="K299" s="527">
        <f t="shared" si="62"/>
        <v>0.28352183350027038</v>
      </c>
      <c r="L299" s="527">
        <f t="shared" si="62"/>
        <v>0.29552887562176361</v>
      </c>
      <c r="M299" s="527">
        <f t="shared" si="62"/>
        <v>0.27674411628807133</v>
      </c>
      <c r="N299" s="527">
        <f t="shared" si="62"/>
        <v>0.35356557988478243</v>
      </c>
      <c r="O299" s="544">
        <f>SUM(C299:N299)</f>
        <v>3.9916393274916824</v>
      </c>
      <c r="P299" s="617">
        <f>+'Sales Proj'!N81</f>
        <v>3.9916393274916815</v>
      </c>
    </row>
    <row r="300" spans="2:16" x14ac:dyDescent="0.4">
      <c r="B300" s="520" t="s">
        <v>1110</v>
      </c>
      <c r="C300" s="527"/>
      <c r="D300" s="527"/>
      <c r="E300" s="527"/>
      <c r="F300" s="527"/>
      <c r="G300" s="527"/>
      <c r="H300" s="527"/>
      <c r="I300" s="527"/>
      <c r="J300" s="527"/>
      <c r="K300" s="527"/>
      <c r="L300" s="527"/>
      <c r="M300" s="527"/>
      <c r="N300" s="527"/>
      <c r="O300" s="544"/>
      <c r="P300" s="617">
        <f>+'Sales Proj'!N82</f>
        <v>0</v>
      </c>
    </row>
    <row r="301" spans="2:16" x14ac:dyDescent="0.4">
      <c r="B301" s="519" t="s">
        <v>1139</v>
      </c>
      <c r="C301" s="527"/>
      <c r="D301" s="527"/>
      <c r="E301" s="527"/>
      <c r="F301" s="527"/>
      <c r="G301" s="527"/>
      <c r="H301" s="527"/>
      <c r="I301" s="527"/>
      <c r="J301" s="527"/>
      <c r="K301" s="527"/>
      <c r="L301" s="527"/>
      <c r="M301" s="527"/>
      <c r="N301" s="527"/>
      <c r="O301" s="544"/>
      <c r="P301" s="617">
        <f>+'Sales Proj'!N83</f>
        <v>0</v>
      </c>
    </row>
    <row r="302" spans="2:16" x14ac:dyDescent="0.4">
      <c r="B302" s="520" t="s">
        <v>1140</v>
      </c>
      <c r="C302" s="527">
        <f t="shared" ref="C302:N302" si="63">+$P302*C274/$O274</f>
        <v>2.7974301995200911E-2</v>
      </c>
      <c r="D302" s="527">
        <f t="shared" si="63"/>
        <v>3.6058492920249638E-2</v>
      </c>
      <c r="E302" s="527">
        <f t="shared" si="63"/>
        <v>3.0094852479979627E-2</v>
      </c>
      <c r="F302" s="527">
        <f t="shared" si="63"/>
        <v>2.8547176864627283E-2</v>
      </c>
      <c r="G302" s="527">
        <f t="shared" si="63"/>
        <v>2.9775138714582226E-2</v>
      </c>
      <c r="H302" s="527">
        <f t="shared" si="63"/>
        <v>2.7413171713074849E-2</v>
      </c>
      <c r="I302" s="527">
        <f t="shared" si="63"/>
        <v>2.8086528051626123E-2</v>
      </c>
      <c r="J302" s="527">
        <f t="shared" si="63"/>
        <v>2.8326639614210298E-2</v>
      </c>
      <c r="K302" s="527">
        <f t="shared" si="63"/>
        <v>2.3472210196747622E-2</v>
      </c>
      <c r="L302" s="527">
        <f t="shared" si="63"/>
        <v>2.4753675166626209E-2</v>
      </c>
      <c r="M302" s="527">
        <f t="shared" si="63"/>
        <v>2.4178190388910874E-2</v>
      </c>
      <c r="N302" s="527">
        <f t="shared" si="63"/>
        <v>2.7688517037559958E-2</v>
      </c>
      <c r="O302" s="544">
        <f t="shared" ref="O302:O308" si="64">SUM(C302:N302)</f>
        <v>0.33636889514339563</v>
      </c>
      <c r="P302" s="617">
        <f>+'Sales Proj'!N84</f>
        <v>0.33636889514339563</v>
      </c>
    </row>
    <row r="303" spans="2:16" x14ac:dyDescent="0.4">
      <c r="B303" s="520" t="s">
        <v>1144</v>
      </c>
      <c r="C303" s="527">
        <f t="shared" ref="C303:N303" si="65">+$P303*C275/$O275</f>
        <v>4.2913143058750977E-2</v>
      </c>
      <c r="D303" s="527">
        <f t="shared" si="65"/>
        <v>5.1040897371263667E-2</v>
      </c>
      <c r="E303" s="527">
        <f t="shared" si="65"/>
        <v>5.192328195681558E-2</v>
      </c>
      <c r="F303" s="527">
        <f t="shared" si="65"/>
        <v>4.561002727351942E-2</v>
      </c>
      <c r="G303" s="527">
        <f t="shared" si="65"/>
        <v>4.9680237216170042E-2</v>
      </c>
      <c r="H303" s="527">
        <f t="shared" si="65"/>
        <v>4.6957347502965451E-2</v>
      </c>
      <c r="I303" s="527">
        <f t="shared" si="65"/>
        <v>5.5110935660459291E-2</v>
      </c>
      <c r="J303" s="527">
        <f t="shared" si="65"/>
        <v>4.5269344209140673E-2</v>
      </c>
      <c r="K303" s="527">
        <f t="shared" si="65"/>
        <v>4.3706206542884929E-2</v>
      </c>
      <c r="L303" s="527">
        <f t="shared" si="65"/>
        <v>4.9227366357971925E-2</v>
      </c>
      <c r="M303" s="527">
        <f t="shared" si="65"/>
        <v>4.720390316918556E-2</v>
      </c>
      <c r="N303" s="527">
        <f t="shared" si="65"/>
        <v>6.2272795981550819E-2</v>
      </c>
      <c r="O303" s="544">
        <f t="shared" si="64"/>
        <v>0.59091548630067836</v>
      </c>
      <c r="P303" s="617">
        <f>+'Sales Proj'!N85</f>
        <v>0.59091548630067836</v>
      </c>
    </row>
    <row r="304" spans="2:16" x14ac:dyDescent="0.4">
      <c r="B304" s="520" t="s">
        <v>1143</v>
      </c>
      <c r="C304" s="527">
        <f t="shared" ref="C304:N304" si="66">+$P304*C276/$O276</f>
        <v>1.6185628389998832E-2</v>
      </c>
      <c r="D304" s="527">
        <f t="shared" si="66"/>
        <v>1.2742960584991891E-2</v>
      </c>
      <c r="E304" s="527">
        <f t="shared" si="66"/>
        <v>2.0312793369520545E-2</v>
      </c>
      <c r="F304" s="527">
        <f t="shared" si="66"/>
        <v>1.684441571234032E-2</v>
      </c>
      <c r="G304" s="527">
        <f t="shared" si="66"/>
        <v>1.8808857474252393E-2</v>
      </c>
      <c r="H304" s="527">
        <f t="shared" si="66"/>
        <v>1.5060063524799149E-2</v>
      </c>
      <c r="I304" s="527">
        <f t="shared" si="66"/>
        <v>1.7276216599388119E-2</v>
      </c>
      <c r="J304" s="527">
        <f t="shared" si="66"/>
        <v>1.1507842401305615E-2</v>
      </c>
      <c r="K304" s="527">
        <f t="shared" si="66"/>
        <v>8.7411085205977845E-3</v>
      </c>
      <c r="L304" s="527">
        <f t="shared" si="66"/>
        <v>1.1739914522760242E-2</v>
      </c>
      <c r="M304" s="527">
        <f t="shared" si="66"/>
        <v>1.1936246130404012E-2</v>
      </c>
      <c r="N304" s="527">
        <f t="shared" si="66"/>
        <v>1.4816332518074389E-2</v>
      </c>
      <c r="O304" s="544">
        <f t="shared" si="64"/>
        <v>0.17597237974843327</v>
      </c>
      <c r="P304" s="617">
        <f>+'Sales Proj'!N86</f>
        <v>0.17597237974843327</v>
      </c>
    </row>
    <row r="305" spans="2:16" x14ac:dyDescent="0.4">
      <c r="B305" s="519" t="s">
        <v>1111</v>
      </c>
      <c r="C305" s="527">
        <f t="shared" ref="C305:N305" si="67">+$P305*C277/$O277</f>
        <v>8.0514933858464408E-2</v>
      </c>
      <c r="D305" s="527">
        <f t="shared" si="67"/>
        <v>8.2528131268931812E-2</v>
      </c>
      <c r="E305" s="527">
        <f t="shared" si="67"/>
        <v>7.3872303060154063E-2</v>
      </c>
      <c r="F305" s="527">
        <f t="shared" si="67"/>
        <v>8.1054120460887766E-2</v>
      </c>
      <c r="G305" s="527">
        <f t="shared" si="67"/>
        <v>8.7795682497194577E-2</v>
      </c>
      <c r="H305" s="527">
        <f t="shared" si="67"/>
        <v>8.7259780209223509E-2</v>
      </c>
      <c r="I305" s="527">
        <f t="shared" si="67"/>
        <v>8.8920769834197874E-2</v>
      </c>
      <c r="J305" s="527">
        <f t="shared" si="67"/>
        <v>8.5827190196745368E-2</v>
      </c>
      <c r="K305" s="527">
        <f t="shared" si="67"/>
        <v>9.4550713716707369E-2</v>
      </c>
      <c r="L305" s="527">
        <f t="shared" si="67"/>
        <v>7.6797317005318375E-2</v>
      </c>
      <c r="M305" s="527">
        <f t="shared" si="67"/>
        <v>7.0575462791571564E-2</v>
      </c>
      <c r="N305" s="527">
        <f t="shared" si="67"/>
        <v>7.027124443054901E-2</v>
      </c>
      <c r="O305" s="544">
        <f t="shared" si="64"/>
        <v>0.97996764932994562</v>
      </c>
      <c r="P305" s="617">
        <f>+'Sales Proj'!N87</f>
        <v>0.97996764932994562</v>
      </c>
    </row>
    <row r="306" spans="2:16" x14ac:dyDescent="0.4">
      <c r="B306" s="519" t="s">
        <v>1135</v>
      </c>
      <c r="C306" s="527">
        <f t="shared" ref="C306:N306" si="68">+$P306*C278/$O278</f>
        <v>2.3794335142326797E-3</v>
      </c>
      <c r="D306" s="527">
        <f t="shared" si="68"/>
        <v>2.9052883208780986E-3</v>
      </c>
      <c r="E306" s="527">
        <f t="shared" si="68"/>
        <v>2.3270859769195583E-3</v>
      </c>
      <c r="F306" s="527">
        <f t="shared" si="68"/>
        <v>1.9511354816707945E-3</v>
      </c>
      <c r="G306" s="527">
        <f t="shared" si="68"/>
        <v>2.2604618385210465E-3</v>
      </c>
      <c r="H306" s="527">
        <f t="shared" si="68"/>
        <v>1.8321638059591613E-3</v>
      </c>
      <c r="I306" s="527">
        <f t="shared" si="68"/>
        <v>1.7131921302475242E-3</v>
      </c>
      <c r="J306" s="527">
        <f t="shared" si="68"/>
        <v>1.9273411465284686E-3</v>
      </c>
      <c r="K306" s="527">
        <f t="shared" si="68"/>
        <v>2.1176958276670835E-3</v>
      </c>
      <c r="L306" s="527">
        <f t="shared" si="68"/>
        <v>2.2128731682363907E-3</v>
      </c>
      <c r="M306" s="527">
        <f t="shared" si="68"/>
        <v>1.8321638059591613E-3</v>
      </c>
      <c r="N306" s="527">
        <f t="shared" si="68"/>
        <v>2.1176958276670835E-3</v>
      </c>
      <c r="O306" s="544">
        <f t="shared" si="64"/>
        <v>2.5576530844487053E-2</v>
      </c>
      <c r="P306" s="617">
        <f>+'Sales Proj'!N88</f>
        <v>2.557653084448705E-2</v>
      </c>
    </row>
    <row r="307" spans="2:16" x14ac:dyDescent="0.4">
      <c r="B307" s="519" t="s">
        <v>1136</v>
      </c>
      <c r="C307" s="527"/>
      <c r="D307" s="527"/>
      <c r="E307" s="527"/>
      <c r="F307" s="527"/>
      <c r="G307" s="527"/>
      <c r="H307" s="527"/>
      <c r="I307" s="527"/>
      <c r="J307" s="527"/>
      <c r="K307" s="527"/>
      <c r="L307" s="527"/>
      <c r="M307" s="527"/>
      <c r="N307" s="527"/>
      <c r="O307" s="544">
        <f t="shared" si="64"/>
        <v>0</v>
      </c>
      <c r="P307" s="617">
        <f>+'Sales Proj'!N89</f>
        <v>0</v>
      </c>
    </row>
    <row r="308" spans="2:16" x14ac:dyDescent="0.4">
      <c r="B308" s="566" t="s">
        <v>1142</v>
      </c>
      <c r="C308" s="527">
        <f t="shared" ref="C308:N308" si="69">+$P308*C280/$O280</f>
        <v>1.4188094394766175E-3</v>
      </c>
      <c r="D308" s="527">
        <f t="shared" si="69"/>
        <v>1.5500884172060863E-3</v>
      </c>
      <c r="E308" s="527">
        <f t="shared" si="69"/>
        <v>1.3841858641727108E-3</v>
      </c>
      <c r="F308" s="527">
        <f t="shared" si="69"/>
        <v>1.3659795810089307E-3</v>
      </c>
      <c r="G308" s="527">
        <f t="shared" si="69"/>
        <v>1.1686538079515231E-3</v>
      </c>
      <c r="H308" s="527">
        <f t="shared" si="69"/>
        <v>1.1065411510201137E-3</v>
      </c>
      <c r="I308" s="527">
        <f t="shared" si="69"/>
        <v>1.536233682628259E-3</v>
      </c>
      <c r="J308" s="527">
        <f t="shared" si="69"/>
        <v>1.7870081673842686E-3</v>
      </c>
      <c r="K308" s="527">
        <f t="shared" si="69"/>
        <v>2.0842919983750804E-3</v>
      </c>
      <c r="L308" s="527">
        <f t="shared" si="69"/>
        <v>2.1287041899365482E-3</v>
      </c>
      <c r="M308" s="527">
        <f t="shared" si="69"/>
        <v>2.1733178245395084E-3</v>
      </c>
      <c r="N308" s="527">
        <f t="shared" si="69"/>
        <v>2.6844969081040279E-3</v>
      </c>
      <c r="O308" s="544">
        <f t="shared" si="64"/>
        <v>2.0388311031803674E-2</v>
      </c>
      <c r="P308" s="617">
        <f>+'Sales Proj'!N90</f>
        <v>2.0388311031803674E-2</v>
      </c>
    </row>
    <row r="309" spans="2:16" x14ac:dyDescent="0.4">
      <c r="B309" s="175" t="s">
        <v>162</v>
      </c>
      <c r="C309" s="545">
        <f t="shared" ref="C309:O309" si="70">SUM(C296:C308)</f>
        <v>0.9522434903714867</v>
      </c>
      <c r="D309" s="545">
        <f t="shared" si="70"/>
        <v>1.1450663728414285</v>
      </c>
      <c r="E309" s="545">
        <f t="shared" si="70"/>
        <v>0.94121971246073033</v>
      </c>
      <c r="F309" s="545">
        <f t="shared" si="70"/>
        <v>0.83772286170820442</v>
      </c>
      <c r="G309" s="545">
        <f t="shared" si="70"/>
        <v>0.84572495913214163</v>
      </c>
      <c r="H309" s="545">
        <f t="shared" si="70"/>
        <v>0.84778168359372252</v>
      </c>
      <c r="I309" s="545">
        <f t="shared" si="70"/>
        <v>0.92834605710411255</v>
      </c>
      <c r="J309" s="545">
        <f t="shared" si="70"/>
        <v>0.87789350785980536</v>
      </c>
      <c r="K309" s="545">
        <f t="shared" si="70"/>
        <v>0.77636085311770042</v>
      </c>
      <c r="L309" s="545">
        <f t="shared" si="70"/>
        <v>0.80247073092007315</v>
      </c>
      <c r="M309" s="545">
        <f t="shared" si="70"/>
        <v>0.78550163353964531</v>
      </c>
      <c r="N309" s="545">
        <f t="shared" si="70"/>
        <v>1.0007227705537436</v>
      </c>
      <c r="O309" s="545">
        <f t="shared" si="70"/>
        <v>10.741054633202797</v>
      </c>
    </row>
    <row r="310" spans="2:16" x14ac:dyDescent="0.4">
      <c r="B310" s="175"/>
      <c r="C310" s="543"/>
      <c r="D310" s="543"/>
      <c r="E310" s="543"/>
      <c r="F310" s="543"/>
      <c r="G310" s="543"/>
      <c r="H310" s="543"/>
      <c r="I310" s="543"/>
      <c r="J310" s="543"/>
      <c r="K310" s="543"/>
      <c r="L310" s="543"/>
      <c r="M310" s="543"/>
      <c r="N310" s="543"/>
      <c r="O310" s="543"/>
    </row>
    <row r="311" spans="2:16" x14ac:dyDescent="0.4">
      <c r="B311" s="119" t="s">
        <v>164</v>
      </c>
      <c r="C311" s="545">
        <f t="shared" ref="C311:N311" si="71">C293+C309</f>
        <v>1.0311337956708655</v>
      </c>
      <c r="D311" s="545">
        <f t="shared" si="71"/>
        <v>1.2359347977744917</v>
      </c>
      <c r="E311" s="545">
        <f t="shared" si="71"/>
        <v>1.0079651106196299</v>
      </c>
      <c r="F311" s="545">
        <f t="shared" si="71"/>
        <v>0.91288332723199372</v>
      </c>
      <c r="G311" s="545">
        <f t="shared" si="71"/>
        <v>0.91275182796790211</v>
      </c>
      <c r="H311" s="545">
        <f t="shared" si="71"/>
        <v>0.91460831975263779</v>
      </c>
      <c r="I311" s="545">
        <f t="shared" si="71"/>
        <v>0.99217701325522478</v>
      </c>
      <c r="J311" s="545">
        <f t="shared" si="71"/>
        <v>0.9304640275499142</v>
      </c>
      <c r="K311" s="545">
        <f t="shared" si="71"/>
        <v>0.84639526911349039</v>
      </c>
      <c r="L311" s="545">
        <f t="shared" si="71"/>
        <v>0.88203913111923016</v>
      </c>
      <c r="M311" s="545">
        <f t="shared" si="71"/>
        <v>0.86768713733511094</v>
      </c>
      <c r="N311" s="545">
        <f t="shared" si="71"/>
        <v>1.103106743843935</v>
      </c>
      <c r="O311" s="545">
        <f>O293+O309</f>
        <v>11.63714650123443</v>
      </c>
    </row>
    <row r="312" spans="2:16" x14ac:dyDescent="0.4">
      <c r="B312" s="118"/>
      <c r="E312" s="198"/>
      <c r="F312" s="199"/>
      <c r="G312" s="198"/>
      <c r="H312" s="198"/>
      <c r="I312" s="198"/>
      <c r="J312" s="198"/>
      <c r="K312" s="198"/>
      <c r="L312" s="198"/>
      <c r="M312" s="198"/>
      <c r="N312" s="198"/>
      <c r="O312" s="199"/>
    </row>
    <row r="313" spans="2:16" x14ac:dyDescent="0.4">
      <c r="B313" s="32" t="s">
        <v>191</v>
      </c>
      <c r="C313" s="8"/>
      <c r="D313" s="8"/>
      <c r="E313" s="8"/>
      <c r="F313" s="8"/>
      <c r="G313" s="8"/>
      <c r="H313" s="8"/>
      <c r="I313" s="8"/>
      <c r="J313" s="8"/>
      <c r="K313" s="8"/>
      <c r="L313" s="8"/>
      <c r="M313" s="8"/>
      <c r="N313" s="8"/>
      <c r="O313" s="4"/>
    </row>
    <row r="314" spans="2:16" x14ac:dyDescent="0.4">
      <c r="B314" s="32"/>
      <c r="C314" s="38"/>
      <c r="D314" s="38"/>
      <c r="O314" s="38" t="s">
        <v>171</v>
      </c>
    </row>
    <row r="315" spans="2:16" s="51" customFormat="1" ht="27" x14ac:dyDescent="0.35">
      <c r="B315" s="169" t="s">
        <v>160</v>
      </c>
      <c r="C315" s="106" t="s">
        <v>172</v>
      </c>
      <c r="D315" s="106" t="s">
        <v>173</v>
      </c>
      <c r="E315" s="64" t="s">
        <v>174</v>
      </c>
      <c r="F315" s="64" t="s">
        <v>175</v>
      </c>
      <c r="G315" s="64" t="s">
        <v>176</v>
      </c>
      <c r="H315" s="64" t="s">
        <v>177</v>
      </c>
      <c r="I315" s="64" t="s">
        <v>178</v>
      </c>
      <c r="J315" s="64" t="s">
        <v>179</v>
      </c>
      <c r="K315" s="64" t="s">
        <v>180</v>
      </c>
      <c r="L315" s="64" t="s">
        <v>181</v>
      </c>
      <c r="M315" s="64" t="s">
        <v>182</v>
      </c>
      <c r="N315" s="64" t="s">
        <v>183</v>
      </c>
      <c r="O315" s="158" t="s">
        <v>188</v>
      </c>
    </row>
    <row r="316" spans="2:16" x14ac:dyDescent="0.4">
      <c r="B316" s="517" t="s">
        <v>161</v>
      </c>
      <c r="C316" s="78"/>
      <c r="D316" s="78"/>
      <c r="E316" s="78"/>
      <c r="F316" s="3"/>
      <c r="G316" s="3"/>
      <c r="H316" s="2"/>
      <c r="I316" s="43"/>
      <c r="J316" s="44"/>
      <c r="K316" s="124"/>
      <c r="L316" s="124"/>
      <c r="M316" s="2"/>
      <c r="N316" s="2"/>
      <c r="O316" s="2"/>
    </row>
    <row r="317" spans="2:16" x14ac:dyDescent="0.4">
      <c r="B317" s="429" t="s">
        <v>1129</v>
      </c>
      <c r="C317" s="527">
        <f>+$P317*C289/$O289</f>
        <v>2.1599999999999842E-2</v>
      </c>
      <c r="D317" s="527">
        <f t="shared" ref="D317:N317" si="72">+$P317*D289/$O289</f>
        <v>2.3998999999999882E-2</v>
      </c>
      <c r="E317" s="527">
        <f t="shared" si="72"/>
        <v>2.0400000000000418E-2</v>
      </c>
      <c r="F317" s="527">
        <f t="shared" si="72"/>
        <v>1.0800000000000587E-2</v>
      </c>
      <c r="G317" s="527">
        <f t="shared" si="72"/>
        <v>9.5999999999998309E-3</v>
      </c>
      <c r="H317" s="527">
        <f t="shared" si="72"/>
        <v>1.0799999999999699E-2</v>
      </c>
      <c r="I317" s="527">
        <f t="shared" si="72"/>
        <v>1.0799999999999699E-2</v>
      </c>
      <c r="J317" s="527">
        <f t="shared" si="72"/>
        <v>1.0799999999999699E-2</v>
      </c>
      <c r="K317" s="527">
        <f t="shared" si="72"/>
        <v>9.6000000000007191E-3</v>
      </c>
      <c r="L317" s="527">
        <f t="shared" si="72"/>
        <v>1.2000000000000456E-2</v>
      </c>
      <c r="M317" s="527">
        <f t="shared" si="72"/>
        <v>1.920000000000055E-2</v>
      </c>
      <c r="N317" s="527">
        <f t="shared" si="72"/>
        <v>2.5200000000000777E-2</v>
      </c>
      <c r="O317" s="544">
        <f>SUM(C317:N317)</f>
        <v>0.18479900000000216</v>
      </c>
      <c r="P317" s="622">
        <f>+O229</f>
        <v>0.18479900000000216</v>
      </c>
    </row>
    <row r="318" spans="2:16" x14ac:dyDescent="0.4">
      <c r="B318" s="429" t="s">
        <v>1130</v>
      </c>
      <c r="C318" s="527">
        <f t="shared" ref="C318:N318" si="73">+$P318*C290/$O290</f>
        <v>5.7290305299378876E-2</v>
      </c>
      <c r="D318" s="527">
        <f t="shared" si="73"/>
        <v>6.686942493306329E-2</v>
      </c>
      <c r="E318" s="527">
        <f t="shared" si="73"/>
        <v>4.634539815889923E-2</v>
      </c>
      <c r="F318" s="527">
        <f t="shared" si="73"/>
        <v>6.4360465523788671E-2</v>
      </c>
      <c r="G318" s="527">
        <f t="shared" si="73"/>
        <v>5.7426868835760675E-2</v>
      </c>
      <c r="H318" s="527">
        <f t="shared" si="73"/>
        <v>5.6026636158915503E-2</v>
      </c>
      <c r="I318" s="527">
        <f t="shared" si="73"/>
        <v>5.3030956151112571E-2</v>
      </c>
      <c r="J318" s="527">
        <f t="shared" si="73"/>
        <v>4.1770519690109087E-2</v>
      </c>
      <c r="K318" s="527">
        <f t="shared" si="73"/>
        <v>6.0434415995789297E-2</v>
      </c>
      <c r="L318" s="527">
        <f t="shared" si="73"/>
        <v>6.7568400199156484E-2</v>
      </c>
      <c r="M318" s="527">
        <f t="shared" si="73"/>
        <v>6.2985503795465123E-2</v>
      </c>
      <c r="N318" s="527">
        <f t="shared" si="73"/>
        <v>7.7183973290190583E-2</v>
      </c>
      <c r="O318" s="544">
        <f>SUM(C318:N318)</f>
        <v>0.71129286803162928</v>
      </c>
      <c r="P318" s="617">
        <f>+'Sales Proj'!O72</f>
        <v>0.7112928680316295</v>
      </c>
    </row>
    <row r="319" spans="2:16" x14ac:dyDescent="0.4">
      <c r="B319" s="429" t="s">
        <v>1131</v>
      </c>
      <c r="C319" s="47"/>
      <c r="D319" s="47"/>
      <c r="E319" s="47"/>
      <c r="F319" s="3"/>
      <c r="G319" s="3"/>
      <c r="H319" s="2"/>
      <c r="I319" s="3"/>
      <c r="J319" s="3"/>
      <c r="K319" s="124"/>
      <c r="L319" s="124"/>
      <c r="M319" s="2"/>
      <c r="N319" s="2"/>
      <c r="O319" s="544">
        <f>SUM(C319:N319)</f>
        <v>0</v>
      </c>
    </row>
    <row r="320" spans="2:16" x14ac:dyDescent="0.4">
      <c r="B320" s="429" t="s">
        <v>1132</v>
      </c>
      <c r="C320" s="175"/>
      <c r="D320" s="175"/>
      <c r="E320" s="175"/>
      <c r="F320" s="3"/>
      <c r="G320" s="3"/>
      <c r="H320" s="2"/>
      <c r="I320" s="3"/>
      <c r="J320" s="3"/>
      <c r="K320" s="124"/>
      <c r="L320" s="124"/>
      <c r="M320" s="2"/>
      <c r="N320" s="2"/>
      <c r="O320" s="544">
        <f>SUM(C320:N320)</f>
        <v>0</v>
      </c>
    </row>
    <row r="321" spans="2:16" x14ac:dyDescent="0.4">
      <c r="B321" s="518" t="s">
        <v>162</v>
      </c>
      <c r="C321" s="545">
        <f>SUM(C317:C320)</f>
        <v>7.889030529937871E-2</v>
      </c>
      <c r="D321" s="545">
        <f t="shared" ref="D321:N321" si="74">SUM(D317:D320)</f>
        <v>9.0868424933063172E-2</v>
      </c>
      <c r="E321" s="545">
        <f t="shared" si="74"/>
        <v>6.6745398158899655E-2</v>
      </c>
      <c r="F321" s="545">
        <f t="shared" si="74"/>
        <v>7.5160465523789258E-2</v>
      </c>
      <c r="G321" s="545">
        <f t="shared" si="74"/>
        <v>6.7026868835760506E-2</v>
      </c>
      <c r="H321" s="545">
        <f t="shared" si="74"/>
        <v>6.6826636158915209E-2</v>
      </c>
      <c r="I321" s="545">
        <f t="shared" si="74"/>
        <v>6.383095615111227E-2</v>
      </c>
      <c r="J321" s="545">
        <f t="shared" si="74"/>
        <v>5.2570519690108786E-2</v>
      </c>
      <c r="K321" s="545">
        <f t="shared" si="74"/>
        <v>7.0034415995790023E-2</v>
      </c>
      <c r="L321" s="545">
        <f t="shared" si="74"/>
        <v>7.9568400199156938E-2</v>
      </c>
      <c r="M321" s="545">
        <f t="shared" si="74"/>
        <v>8.2185503795465673E-2</v>
      </c>
      <c r="N321" s="545">
        <f t="shared" si="74"/>
        <v>0.10238397329019136</v>
      </c>
      <c r="O321" s="545">
        <f>SUM(O317:O320)</f>
        <v>0.89609186803163143</v>
      </c>
    </row>
    <row r="322" spans="2:16" x14ac:dyDescent="0.4">
      <c r="B322" s="517" t="s">
        <v>163</v>
      </c>
      <c r="C322" s="78"/>
      <c r="D322" s="78"/>
      <c r="E322" s="78"/>
      <c r="F322" s="3"/>
      <c r="G322" s="3"/>
      <c r="H322" s="2"/>
      <c r="I322" s="3"/>
      <c r="J322" s="3"/>
      <c r="K322" s="124"/>
      <c r="L322" s="124"/>
      <c r="M322" s="2"/>
      <c r="N322" s="2"/>
      <c r="O322" s="545"/>
    </row>
    <row r="323" spans="2:16" x14ac:dyDescent="0.4">
      <c r="B323" s="519" t="s">
        <v>1133</v>
      </c>
      <c r="C323" s="46"/>
      <c r="D323" s="46"/>
      <c r="E323" s="46"/>
      <c r="F323" s="3"/>
      <c r="G323" s="3"/>
      <c r="H323" s="2"/>
      <c r="I323" s="3"/>
      <c r="J323" s="3"/>
      <c r="K323" s="124"/>
      <c r="L323" s="124"/>
      <c r="M323" s="2"/>
      <c r="N323" s="2"/>
      <c r="O323" s="544">
        <f t="shared" ref="O323:O330" si="75">SUM(C323:N323)</f>
        <v>0</v>
      </c>
    </row>
    <row r="324" spans="2:16" x14ac:dyDescent="0.4">
      <c r="B324" s="520" t="s">
        <v>1106</v>
      </c>
      <c r="C324" s="527">
        <f t="shared" ref="C324:N324" si="76">+$P324*C296/$O296</f>
        <v>0.15152480599627094</v>
      </c>
      <c r="D324" s="527">
        <f t="shared" si="76"/>
        <v>0.1620510448628244</v>
      </c>
      <c r="E324" s="527">
        <f t="shared" si="76"/>
        <v>0.16288916644599127</v>
      </c>
      <c r="F324" s="527">
        <f t="shared" si="76"/>
        <v>0.16076781916204352</v>
      </c>
      <c r="G324" s="527">
        <f t="shared" si="76"/>
        <v>0.16175430878441507</v>
      </c>
      <c r="H324" s="527">
        <f t="shared" si="76"/>
        <v>0.16575393230935828</v>
      </c>
      <c r="I324" s="527">
        <f t="shared" si="76"/>
        <v>0.16992244285765151</v>
      </c>
      <c r="J324" s="527">
        <f t="shared" si="76"/>
        <v>0.17022707085303987</v>
      </c>
      <c r="K324" s="527">
        <f t="shared" si="76"/>
        <v>0.1666678162955233</v>
      </c>
      <c r="L324" s="527">
        <f t="shared" si="76"/>
        <v>0.17275721943649841</v>
      </c>
      <c r="M324" s="527">
        <f t="shared" si="76"/>
        <v>0.17334122129294238</v>
      </c>
      <c r="N324" s="527">
        <f t="shared" si="76"/>
        <v>0.18454458663629167</v>
      </c>
      <c r="O324" s="544">
        <f t="shared" si="75"/>
        <v>2.0022014349328505</v>
      </c>
      <c r="P324" s="617">
        <f>+'Sales Proj'!O78</f>
        <v>2.0022014349328505</v>
      </c>
    </row>
    <row r="325" spans="2:16" x14ac:dyDescent="0.4">
      <c r="B325" s="520" t="s">
        <v>1107</v>
      </c>
      <c r="C325" s="527">
        <f t="shared" ref="C325:N325" si="77">+$P325*C297/$O297</f>
        <v>0.17583112002752543</v>
      </c>
      <c r="D325" s="527">
        <f t="shared" si="77"/>
        <v>0.1992281838470068</v>
      </c>
      <c r="E325" s="527">
        <f t="shared" si="77"/>
        <v>0.18423270084356458</v>
      </c>
      <c r="F325" s="527">
        <f t="shared" si="77"/>
        <v>0.14868265268088235</v>
      </c>
      <c r="G325" s="527">
        <f t="shared" si="77"/>
        <v>0.14975654983256209</v>
      </c>
      <c r="H325" s="527">
        <f t="shared" si="77"/>
        <v>0.14828464497641883</v>
      </c>
      <c r="I325" s="527">
        <f t="shared" si="77"/>
        <v>0.1704804491787921</v>
      </c>
      <c r="J325" s="527">
        <f t="shared" si="77"/>
        <v>0.15677016923558118</v>
      </c>
      <c r="K325" s="527">
        <f t="shared" si="77"/>
        <v>0.12508730865954093</v>
      </c>
      <c r="L325" s="527">
        <f t="shared" si="77"/>
        <v>0.13583062207856916</v>
      </c>
      <c r="M325" s="527">
        <f t="shared" si="77"/>
        <v>0.14228703069533932</v>
      </c>
      <c r="N325" s="527">
        <f t="shared" si="77"/>
        <v>0.20243684959535463</v>
      </c>
      <c r="O325" s="544">
        <f t="shared" si="75"/>
        <v>1.9389082816511376</v>
      </c>
      <c r="P325" s="617">
        <f>+'Sales Proj'!O79</f>
        <v>1.9389082816511376</v>
      </c>
    </row>
    <row r="326" spans="2:16" x14ac:dyDescent="0.4">
      <c r="B326" s="520" t="s">
        <v>1108</v>
      </c>
      <c r="C326" s="527">
        <f t="shared" ref="C326:N326" si="78">+$P326*C298/$O298</f>
        <v>7.9772625652546586E-2</v>
      </c>
      <c r="D326" s="527">
        <f t="shared" si="78"/>
        <v>0.11215845490441384</v>
      </c>
      <c r="E326" s="527">
        <f t="shared" si="78"/>
        <v>7.8992418008006104E-2</v>
      </c>
      <c r="F326" s="527">
        <f t="shared" si="78"/>
        <v>4.1218566552076875E-2</v>
      </c>
      <c r="G326" s="527">
        <f t="shared" si="78"/>
        <v>4.3232682421008292E-2</v>
      </c>
      <c r="H326" s="527">
        <f t="shared" si="78"/>
        <v>4.2104987338143052E-2</v>
      </c>
      <c r="I326" s="527">
        <f t="shared" si="78"/>
        <v>5.8609985021892873E-2</v>
      </c>
      <c r="J326" s="527">
        <f t="shared" si="78"/>
        <v>4.956613271198404E-2</v>
      </c>
      <c r="K326" s="527">
        <f t="shared" si="78"/>
        <v>2.6411667859385781E-2</v>
      </c>
      <c r="L326" s="527">
        <f t="shared" si="78"/>
        <v>3.1494163372392393E-2</v>
      </c>
      <c r="M326" s="527">
        <f t="shared" si="78"/>
        <v>3.5229981152721558E-2</v>
      </c>
      <c r="N326" s="527">
        <f t="shared" si="78"/>
        <v>8.0324671733809694E-2</v>
      </c>
      <c r="O326" s="544">
        <f t="shared" si="75"/>
        <v>0.67911633672838123</v>
      </c>
      <c r="P326" s="617">
        <f>+'Sales Proj'!O80</f>
        <v>0.67911633672838101</v>
      </c>
    </row>
    <row r="327" spans="2:16" x14ac:dyDescent="0.4">
      <c r="B327" s="520" t="s">
        <v>1109</v>
      </c>
      <c r="C327" s="527">
        <f t="shared" ref="C327:N327" si="79">+$P327*C299/$O299</f>
        <v>0.37372868843901935</v>
      </c>
      <c r="D327" s="527">
        <f t="shared" si="79"/>
        <v>0.48480283034366217</v>
      </c>
      <c r="E327" s="527">
        <f t="shared" si="79"/>
        <v>0.33519092445560622</v>
      </c>
      <c r="F327" s="527">
        <f t="shared" si="79"/>
        <v>0.31168096793914712</v>
      </c>
      <c r="G327" s="527">
        <f t="shared" si="79"/>
        <v>0.30149238654548421</v>
      </c>
      <c r="H327" s="527">
        <f t="shared" si="79"/>
        <v>0.31200905106276</v>
      </c>
      <c r="I327" s="527">
        <f t="shared" si="79"/>
        <v>0.3366893040872288</v>
      </c>
      <c r="J327" s="527">
        <f t="shared" si="79"/>
        <v>0.3266847693238854</v>
      </c>
      <c r="K327" s="527">
        <f t="shared" si="79"/>
        <v>0.28352183350027033</v>
      </c>
      <c r="L327" s="527">
        <f t="shared" si="79"/>
        <v>0.29552887562176355</v>
      </c>
      <c r="M327" s="527">
        <f t="shared" si="79"/>
        <v>0.27674411628807127</v>
      </c>
      <c r="N327" s="527">
        <f t="shared" si="79"/>
        <v>0.35356557988478232</v>
      </c>
      <c r="O327" s="544">
        <f t="shared" si="75"/>
        <v>3.991639327491681</v>
      </c>
      <c r="P327" s="617">
        <f>+'Sales Proj'!O81</f>
        <v>3.9916393274916815</v>
      </c>
    </row>
    <row r="328" spans="2:16" x14ac:dyDescent="0.4">
      <c r="B328" s="520" t="s">
        <v>1110</v>
      </c>
      <c r="C328" s="527"/>
      <c r="D328" s="527"/>
      <c r="E328" s="527"/>
      <c r="F328" s="527"/>
      <c r="G328" s="527"/>
      <c r="H328" s="527"/>
      <c r="I328" s="527"/>
      <c r="J328" s="527"/>
      <c r="K328" s="527"/>
      <c r="L328" s="527"/>
      <c r="M328" s="527"/>
      <c r="N328" s="527"/>
      <c r="O328" s="544">
        <f t="shared" si="75"/>
        <v>0</v>
      </c>
      <c r="P328" s="617">
        <f>+'Sales Proj'!O82</f>
        <v>0</v>
      </c>
    </row>
    <row r="329" spans="2:16" x14ac:dyDescent="0.4">
      <c r="B329" s="519" t="s">
        <v>1139</v>
      </c>
      <c r="C329" s="527"/>
      <c r="D329" s="527"/>
      <c r="E329" s="527"/>
      <c r="F329" s="527"/>
      <c r="G329" s="527"/>
      <c r="H329" s="527"/>
      <c r="I329" s="527"/>
      <c r="J329" s="527"/>
      <c r="K329" s="527"/>
      <c r="L329" s="527"/>
      <c r="M329" s="527"/>
      <c r="N329" s="527"/>
      <c r="O329" s="544">
        <f t="shared" si="75"/>
        <v>0</v>
      </c>
      <c r="P329" s="617">
        <f>+'Sales Proj'!O83</f>
        <v>0</v>
      </c>
    </row>
    <row r="330" spans="2:16" x14ac:dyDescent="0.4">
      <c r="B330" s="520" t="s">
        <v>1140</v>
      </c>
      <c r="C330" s="527">
        <f t="shared" ref="C330:N330" si="80">+$P330*C302/$O302</f>
        <v>2.7974301995200911E-2</v>
      </c>
      <c r="D330" s="527">
        <f t="shared" si="80"/>
        <v>3.6058492920249638E-2</v>
      </c>
      <c r="E330" s="527">
        <f t="shared" si="80"/>
        <v>3.0094852479979627E-2</v>
      </c>
      <c r="F330" s="527">
        <f t="shared" si="80"/>
        <v>2.8547176864627283E-2</v>
      </c>
      <c r="G330" s="527">
        <f t="shared" si="80"/>
        <v>2.9775138714582223E-2</v>
      </c>
      <c r="H330" s="527">
        <f t="shared" si="80"/>
        <v>2.7413171713074849E-2</v>
      </c>
      <c r="I330" s="527">
        <f t="shared" si="80"/>
        <v>2.8086528051626126E-2</v>
      </c>
      <c r="J330" s="527">
        <f t="shared" si="80"/>
        <v>2.8326639614210294E-2</v>
      </c>
      <c r="K330" s="527">
        <f t="shared" si="80"/>
        <v>2.3472210196747622E-2</v>
      </c>
      <c r="L330" s="527">
        <f t="shared" si="80"/>
        <v>2.4753675166626205E-2</v>
      </c>
      <c r="M330" s="527">
        <f t="shared" si="80"/>
        <v>2.4178190388910874E-2</v>
      </c>
      <c r="N330" s="527">
        <f t="shared" si="80"/>
        <v>2.7688517037559958E-2</v>
      </c>
      <c r="O330" s="544">
        <f t="shared" si="75"/>
        <v>0.33636889514339563</v>
      </c>
      <c r="P330" s="617">
        <f>+'Sales Proj'!O84</f>
        <v>0.33636889514339563</v>
      </c>
    </row>
    <row r="331" spans="2:16" x14ac:dyDescent="0.4">
      <c r="B331" s="520" t="s">
        <v>1144</v>
      </c>
      <c r="C331" s="527">
        <f t="shared" ref="C331:N331" si="81">+$P331*C303/$O303</f>
        <v>4.2913143058750977E-2</v>
      </c>
      <c r="D331" s="527">
        <f t="shared" si="81"/>
        <v>5.1040897371263667E-2</v>
      </c>
      <c r="E331" s="527">
        <f t="shared" si="81"/>
        <v>5.192328195681558E-2</v>
      </c>
      <c r="F331" s="527">
        <f t="shared" si="81"/>
        <v>4.561002727351942E-2</v>
      </c>
      <c r="G331" s="527">
        <f t="shared" si="81"/>
        <v>4.9680237216170042E-2</v>
      </c>
      <c r="H331" s="527">
        <f t="shared" si="81"/>
        <v>4.6957347502965451E-2</v>
      </c>
      <c r="I331" s="527">
        <f t="shared" si="81"/>
        <v>5.5110935660459291E-2</v>
      </c>
      <c r="J331" s="527">
        <f t="shared" si="81"/>
        <v>4.5269344209140673E-2</v>
      </c>
      <c r="K331" s="527">
        <f t="shared" si="81"/>
        <v>4.3706206542884929E-2</v>
      </c>
      <c r="L331" s="527">
        <f t="shared" si="81"/>
        <v>4.9227366357971925E-2</v>
      </c>
      <c r="M331" s="527">
        <f t="shared" si="81"/>
        <v>4.720390316918556E-2</v>
      </c>
      <c r="N331" s="527">
        <f t="shared" si="81"/>
        <v>6.2272795981550819E-2</v>
      </c>
      <c r="O331" s="544">
        <f t="shared" ref="O331:O336" si="82">SUM(C331:N331)</f>
        <v>0.59091548630067836</v>
      </c>
      <c r="P331" s="617">
        <f>+'Sales Proj'!O85</f>
        <v>0.59091548630067836</v>
      </c>
    </row>
    <row r="332" spans="2:16" x14ac:dyDescent="0.4">
      <c r="B332" s="520" t="s">
        <v>1143</v>
      </c>
      <c r="C332" s="527">
        <f t="shared" ref="C332:N332" si="83">+$P332*C304/$O304</f>
        <v>1.6185628389998832E-2</v>
      </c>
      <c r="D332" s="527">
        <f t="shared" si="83"/>
        <v>1.2742960584991891E-2</v>
      </c>
      <c r="E332" s="527">
        <f t="shared" si="83"/>
        <v>2.0312793369520545E-2</v>
      </c>
      <c r="F332" s="527">
        <f t="shared" si="83"/>
        <v>1.684441571234032E-2</v>
      </c>
      <c r="G332" s="527">
        <f t="shared" si="83"/>
        <v>1.8808857474252393E-2</v>
      </c>
      <c r="H332" s="527">
        <f t="shared" si="83"/>
        <v>1.5060063524799147E-2</v>
      </c>
      <c r="I332" s="527">
        <f t="shared" si="83"/>
        <v>1.7276216599388119E-2</v>
      </c>
      <c r="J332" s="527">
        <f t="shared" si="83"/>
        <v>1.1507842401305615E-2</v>
      </c>
      <c r="K332" s="527">
        <f t="shared" si="83"/>
        <v>8.7411085205977845E-3</v>
      </c>
      <c r="L332" s="527">
        <f t="shared" si="83"/>
        <v>1.1739914522760242E-2</v>
      </c>
      <c r="M332" s="527">
        <f t="shared" si="83"/>
        <v>1.193624613040401E-2</v>
      </c>
      <c r="N332" s="527">
        <f t="shared" si="83"/>
        <v>1.4816332518074389E-2</v>
      </c>
      <c r="O332" s="544">
        <f t="shared" si="82"/>
        <v>0.17597237974843327</v>
      </c>
      <c r="P332" s="617">
        <f>+'Sales Proj'!O86</f>
        <v>0.17597237974843327</v>
      </c>
    </row>
    <row r="333" spans="2:16" x14ac:dyDescent="0.4">
      <c r="B333" s="519" t="s">
        <v>1111</v>
      </c>
      <c r="C333" s="527">
        <f t="shared" ref="C333:N333" si="84">+$P333*C305/$O305</f>
        <v>8.0514933858464408E-2</v>
      </c>
      <c r="D333" s="527">
        <f t="shared" si="84"/>
        <v>8.2528131268931812E-2</v>
      </c>
      <c r="E333" s="527">
        <f t="shared" si="84"/>
        <v>7.3872303060154063E-2</v>
      </c>
      <c r="F333" s="527">
        <f t="shared" si="84"/>
        <v>8.1054120460887766E-2</v>
      </c>
      <c r="G333" s="527">
        <f t="shared" si="84"/>
        <v>8.7795682497194577E-2</v>
      </c>
      <c r="H333" s="527">
        <f t="shared" si="84"/>
        <v>8.7259780209223509E-2</v>
      </c>
      <c r="I333" s="527">
        <f t="shared" si="84"/>
        <v>8.8920769834197874E-2</v>
      </c>
      <c r="J333" s="527">
        <f t="shared" si="84"/>
        <v>8.5827190196745368E-2</v>
      </c>
      <c r="K333" s="527">
        <f t="shared" si="84"/>
        <v>9.4550713716707369E-2</v>
      </c>
      <c r="L333" s="527">
        <f t="shared" si="84"/>
        <v>7.6797317005318375E-2</v>
      </c>
      <c r="M333" s="527">
        <f t="shared" si="84"/>
        <v>7.0575462791571564E-2</v>
      </c>
      <c r="N333" s="527">
        <f t="shared" si="84"/>
        <v>7.027124443054901E-2</v>
      </c>
      <c r="O333" s="544">
        <f t="shared" si="82"/>
        <v>0.97996764932994562</v>
      </c>
      <c r="P333" s="617">
        <f>+'Sales Proj'!O87</f>
        <v>0.97996764932994562</v>
      </c>
    </row>
    <row r="334" spans="2:16" x14ac:dyDescent="0.4">
      <c r="B334" s="519" t="s">
        <v>1135</v>
      </c>
      <c r="C334" s="527">
        <f t="shared" ref="C334:N334" si="85">+$P334*C306/$O306</f>
        <v>2.3794335142326793E-3</v>
      </c>
      <c r="D334" s="527">
        <f t="shared" si="85"/>
        <v>2.9052883208780982E-3</v>
      </c>
      <c r="E334" s="527">
        <f t="shared" si="85"/>
        <v>2.3270859769195578E-3</v>
      </c>
      <c r="F334" s="527">
        <f t="shared" si="85"/>
        <v>1.9511354816707943E-3</v>
      </c>
      <c r="G334" s="527">
        <f t="shared" si="85"/>
        <v>2.2604618385210465E-3</v>
      </c>
      <c r="H334" s="527">
        <f t="shared" si="85"/>
        <v>1.8321638059591609E-3</v>
      </c>
      <c r="I334" s="527">
        <f t="shared" si="85"/>
        <v>1.7131921302475242E-3</v>
      </c>
      <c r="J334" s="527">
        <f t="shared" si="85"/>
        <v>1.9273411465284683E-3</v>
      </c>
      <c r="K334" s="527">
        <f t="shared" si="85"/>
        <v>2.1176958276670835E-3</v>
      </c>
      <c r="L334" s="527">
        <f t="shared" si="85"/>
        <v>2.2128731682363903E-3</v>
      </c>
      <c r="M334" s="527">
        <f t="shared" si="85"/>
        <v>1.8321638059591609E-3</v>
      </c>
      <c r="N334" s="527">
        <f t="shared" si="85"/>
        <v>2.1176958276670835E-3</v>
      </c>
      <c r="O334" s="544">
        <f t="shared" si="82"/>
        <v>2.557653084448705E-2</v>
      </c>
      <c r="P334" s="617">
        <f>+'Sales Proj'!O88</f>
        <v>2.557653084448705E-2</v>
      </c>
    </row>
    <row r="335" spans="2:16" x14ac:dyDescent="0.4">
      <c r="B335" s="519" t="s">
        <v>1136</v>
      </c>
      <c r="C335" s="527"/>
      <c r="D335" s="527"/>
      <c r="E335" s="527"/>
      <c r="F335" s="527"/>
      <c r="G335" s="527"/>
      <c r="H335" s="527"/>
      <c r="I335" s="527"/>
      <c r="J335" s="527"/>
      <c r="K335" s="527"/>
      <c r="L335" s="527"/>
      <c r="M335" s="527"/>
      <c r="N335" s="527"/>
      <c r="O335" s="544">
        <f t="shared" si="82"/>
        <v>0</v>
      </c>
      <c r="P335" s="617">
        <f>+'Sales Proj'!O89</f>
        <v>0</v>
      </c>
    </row>
    <row r="336" spans="2:16" x14ac:dyDescent="0.4">
      <c r="B336" s="566" t="s">
        <v>1142</v>
      </c>
      <c r="C336" s="527">
        <f t="shared" ref="C336:N336" si="86">+$P336*C308/$O308</f>
        <v>1.4188094394766175E-3</v>
      </c>
      <c r="D336" s="527">
        <f t="shared" si="86"/>
        <v>1.5500884172060863E-3</v>
      </c>
      <c r="E336" s="527">
        <f t="shared" si="86"/>
        <v>1.3841858641727108E-3</v>
      </c>
      <c r="F336" s="527">
        <f t="shared" si="86"/>
        <v>1.3659795810089307E-3</v>
      </c>
      <c r="G336" s="527">
        <f t="shared" si="86"/>
        <v>1.1686538079515231E-3</v>
      </c>
      <c r="H336" s="527">
        <f t="shared" si="86"/>
        <v>1.1065411510201137E-3</v>
      </c>
      <c r="I336" s="527">
        <f t="shared" si="86"/>
        <v>1.536233682628259E-3</v>
      </c>
      <c r="J336" s="527">
        <f t="shared" si="86"/>
        <v>1.7870081673842689E-3</v>
      </c>
      <c r="K336" s="527">
        <f t="shared" si="86"/>
        <v>2.0842919983750804E-3</v>
      </c>
      <c r="L336" s="527">
        <f t="shared" si="86"/>
        <v>2.1287041899365482E-3</v>
      </c>
      <c r="M336" s="527">
        <f t="shared" si="86"/>
        <v>2.1733178245395084E-3</v>
      </c>
      <c r="N336" s="527">
        <f t="shared" si="86"/>
        <v>2.6844969081040279E-3</v>
      </c>
      <c r="O336" s="544">
        <f t="shared" si="82"/>
        <v>2.0388311031803674E-2</v>
      </c>
      <c r="P336" s="617">
        <f>+'Sales Proj'!O90</f>
        <v>2.0388311031803674E-2</v>
      </c>
    </row>
    <row r="337" spans="2:16" x14ac:dyDescent="0.4">
      <c r="B337" s="175" t="s">
        <v>162</v>
      </c>
      <c r="C337" s="545">
        <f t="shared" ref="C337:O337" si="87">SUM(C324:C336)</f>
        <v>0.9522434903714867</v>
      </c>
      <c r="D337" s="545">
        <f t="shared" si="87"/>
        <v>1.1450663728414283</v>
      </c>
      <c r="E337" s="545">
        <f t="shared" si="87"/>
        <v>0.94121971246073022</v>
      </c>
      <c r="F337" s="545">
        <f t="shared" si="87"/>
        <v>0.83772286170820431</v>
      </c>
      <c r="G337" s="545">
        <f t="shared" si="87"/>
        <v>0.84572495913214163</v>
      </c>
      <c r="H337" s="545">
        <f t="shared" si="87"/>
        <v>0.84778168359372252</v>
      </c>
      <c r="I337" s="545">
        <f t="shared" si="87"/>
        <v>0.92834605710411255</v>
      </c>
      <c r="J337" s="545">
        <f t="shared" si="87"/>
        <v>0.87789350785980524</v>
      </c>
      <c r="K337" s="545">
        <f t="shared" si="87"/>
        <v>0.7763608531177002</v>
      </c>
      <c r="L337" s="545">
        <f t="shared" si="87"/>
        <v>0.80247073092007315</v>
      </c>
      <c r="M337" s="545">
        <f t="shared" si="87"/>
        <v>0.78550163353964531</v>
      </c>
      <c r="N337" s="545">
        <f t="shared" si="87"/>
        <v>1.0007227705537434</v>
      </c>
      <c r="O337" s="545">
        <f t="shared" si="87"/>
        <v>10.741054633202797</v>
      </c>
    </row>
    <row r="338" spans="2:16" x14ac:dyDescent="0.4">
      <c r="B338" s="175"/>
      <c r="C338" s="543"/>
      <c r="D338" s="543"/>
      <c r="E338" s="543"/>
      <c r="F338" s="543"/>
      <c r="G338" s="543"/>
      <c r="H338" s="543"/>
      <c r="I338" s="543"/>
      <c r="J338" s="543"/>
      <c r="K338" s="543"/>
      <c r="L338" s="543"/>
      <c r="M338" s="543"/>
      <c r="N338" s="543"/>
      <c r="O338" s="543"/>
    </row>
    <row r="339" spans="2:16" x14ac:dyDescent="0.4">
      <c r="B339" s="119" t="s">
        <v>164</v>
      </c>
      <c r="C339" s="545">
        <f t="shared" ref="C339:N339" si="88">C321+C337</f>
        <v>1.0311337956708655</v>
      </c>
      <c r="D339" s="545">
        <f t="shared" si="88"/>
        <v>1.2359347977744914</v>
      </c>
      <c r="E339" s="545">
        <f t="shared" si="88"/>
        <v>1.0079651106196299</v>
      </c>
      <c r="F339" s="545">
        <f t="shared" si="88"/>
        <v>0.91288332723199361</v>
      </c>
      <c r="G339" s="545">
        <f t="shared" si="88"/>
        <v>0.91275182796790211</v>
      </c>
      <c r="H339" s="545">
        <f t="shared" si="88"/>
        <v>0.91460831975263779</v>
      </c>
      <c r="I339" s="545">
        <f t="shared" si="88"/>
        <v>0.99217701325522478</v>
      </c>
      <c r="J339" s="545">
        <f t="shared" si="88"/>
        <v>0.93046402754991409</v>
      </c>
      <c r="K339" s="545">
        <f t="shared" si="88"/>
        <v>0.84639526911349017</v>
      </c>
      <c r="L339" s="545">
        <f t="shared" si="88"/>
        <v>0.88203913111923005</v>
      </c>
      <c r="M339" s="545">
        <f t="shared" si="88"/>
        <v>0.86768713733511094</v>
      </c>
      <c r="N339" s="545">
        <f t="shared" si="88"/>
        <v>1.1031067438439348</v>
      </c>
      <c r="O339" s="545">
        <f>O321+O337</f>
        <v>11.637146501234428</v>
      </c>
    </row>
    <row r="340" spans="2:16" x14ac:dyDescent="0.4">
      <c r="B340" s="118"/>
      <c r="E340" s="198"/>
      <c r="F340" s="199"/>
      <c r="G340" s="198"/>
      <c r="H340" s="198"/>
      <c r="I340" s="198"/>
      <c r="J340" s="198"/>
      <c r="K340" s="198"/>
      <c r="L340" s="198"/>
      <c r="M340" s="198"/>
      <c r="N340" s="198"/>
      <c r="O340" s="199"/>
    </row>
    <row r="341" spans="2:16" x14ac:dyDescent="0.4">
      <c r="B341" s="32" t="s">
        <v>192</v>
      </c>
      <c r="C341" s="8"/>
      <c r="D341" s="8"/>
      <c r="E341" s="8"/>
      <c r="F341" s="8"/>
      <c r="G341" s="8"/>
      <c r="H341" s="8"/>
      <c r="I341" s="8"/>
      <c r="J341" s="8"/>
      <c r="K341" s="8"/>
      <c r="L341" s="8"/>
      <c r="M341" s="8"/>
      <c r="N341" s="8"/>
      <c r="O341" s="4"/>
    </row>
    <row r="342" spans="2:16" x14ac:dyDescent="0.4">
      <c r="B342" s="32"/>
      <c r="C342" s="38"/>
      <c r="D342" s="38"/>
      <c r="O342" s="38" t="s">
        <v>171</v>
      </c>
    </row>
    <row r="343" spans="2:16" s="51" customFormat="1" ht="27" x14ac:dyDescent="0.35">
      <c r="B343" s="169" t="s">
        <v>160</v>
      </c>
      <c r="C343" s="106" t="s">
        <v>172</v>
      </c>
      <c r="D343" s="106" t="s">
        <v>173</v>
      </c>
      <c r="E343" s="64" t="s">
        <v>174</v>
      </c>
      <c r="F343" s="64" t="s">
        <v>175</v>
      </c>
      <c r="G343" s="64" t="s">
        <v>176</v>
      </c>
      <c r="H343" s="64" t="s">
        <v>177</v>
      </c>
      <c r="I343" s="64" t="s">
        <v>178</v>
      </c>
      <c r="J343" s="64" t="s">
        <v>179</v>
      </c>
      <c r="K343" s="64" t="s">
        <v>180</v>
      </c>
      <c r="L343" s="64" t="s">
        <v>181</v>
      </c>
      <c r="M343" s="64" t="s">
        <v>182</v>
      </c>
      <c r="N343" s="64" t="s">
        <v>183</v>
      </c>
      <c r="O343" s="158" t="s">
        <v>188</v>
      </c>
    </row>
    <row r="344" spans="2:16" x14ac:dyDescent="0.4">
      <c r="B344" s="517" t="s">
        <v>161</v>
      </c>
      <c r="C344" s="78"/>
      <c r="D344" s="78"/>
      <c r="E344" s="78"/>
      <c r="F344" s="3"/>
      <c r="G344" s="3"/>
      <c r="H344" s="2"/>
      <c r="I344" s="43"/>
      <c r="J344" s="44"/>
      <c r="K344" s="124"/>
      <c r="L344" s="124"/>
      <c r="M344" s="2"/>
      <c r="N344" s="2"/>
      <c r="O344" s="2"/>
    </row>
    <row r="345" spans="2:16" x14ac:dyDescent="0.4">
      <c r="B345" s="429" t="s">
        <v>1129</v>
      </c>
      <c r="C345" s="527">
        <f>+$P345*C317/$O317</f>
        <v>2.1599999999999842E-2</v>
      </c>
      <c r="D345" s="527">
        <f t="shared" ref="D345:N345" si="89">+$P345*D317/$O317</f>
        <v>2.3998999999999882E-2</v>
      </c>
      <c r="E345" s="527">
        <f t="shared" si="89"/>
        <v>2.0400000000000418E-2</v>
      </c>
      <c r="F345" s="527">
        <f t="shared" si="89"/>
        <v>1.0800000000000587E-2</v>
      </c>
      <c r="G345" s="527">
        <f t="shared" si="89"/>
        <v>9.5999999999998309E-3</v>
      </c>
      <c r="H345" s="527">
        <f t="shared" si="89"/>
        <v>1.0799999999999699E-2</v>
      </c>
      <c r="I345" s="527">
        <f t="shared" si="89"/>
        <v>1.0799999999999699E-2</v>
      </c>
      <c r="J345" s="527">
        <f t="shared" si="89"/>
        <v>1.0799999999999699E-2</v>
      </c>
      <c r="K345" s="527">
        <f t="shared" si="89"/>
        <v>9.6000000000007191E-3</v>
      </c>
      <c r="L345" s="527">
        <f t="shared" si="89"/>
        <v>1.2000000000000456E-2</v>
      </c>
      <c r="M345" s="527">
        <f t="shared" si="89"/>
        <v>1.920000000000055E-2</v>
      </c>
      <c r="N345" s="527">
        <f t="shared" si="89"/>
        <v>2.5200000000000777E-2</v>
      </c>
      <c r="O345" s="544">
        <f>SUM(C345:N345)</f>
        <v>0.18479900000000216</v>
      </c>
      <c r="P345" s="622">
        <f>+O229</f>
        <v>0.18479900000000216</v>
      </c>
    </row>
    <row r="346" spans="2:16" x14ac:dyDescent="0.4">
      <c r="B346" s="429" t="s">
        <v>1130</v>
      </c>
      <c r="C346" s="527">
        <f t="shared" ref="C346:N346" si="90">+$P346*C318/$O318</f>
        <v>7.6387073732505167E-2</v>
      </c>
      <c r="D346" s="527">
        <f t="shared" si="90"/>
        <v>8.9159233244084396E-2</v>
      </c>
      <c r="E346" s="527">
        <f t="shared" si="90"/>
        <v>6.179386421186564E-2</v>
      </c>
      <c r="F346" s="527">
        <f t="shared" si="90"/>
        <v>8.5813954031718237E-2</v>
      </c>
      <c r="G346" s="527">
        <f t="shared" si="90"/>
        <v>7.6569158447680905E-2</v>
      </c>
      <c r="H346" s="527">
        <f t="shared" si="90"/>
        <v>7.4702181545220667E-2</v>
      </c>
      <c r="I346" s="527">
        <f t="shared" si="90"/>
        <v>7.0707941534816771E-2</v>
      </c>
      <c r="J346" s="527">
        <f t="shared" si="90"/>
        <v>5.5694026253478787E-2</v>
      </c>
      <c r="K346" s="527">
        <f t="shared" si="90"/>
        <v>8.0579221327719067E-2</v>
      </c>
      <c r="L346" s="527">
        <f t="shared" si="90"/>
        <v>9.0091200265541987E-2</v>
      </c>
      <c r="M346" s="527">
        <f t="shared" si="90"/>
        <v>8.3980671727286835E-2</v>
      </c>
      <c r="N346" s="527">
        <f t="shared" si="90"/>
        <v>0.10291196438692078</v>
      </c>
      <c r="O346" s="544">
        <f>SUM(C346:N346)</f>
        <v>0.94839049070883918</v>
      </c>
      <c r="P346" s="617">
        <f>+'Sales Proj'!P72</f>
        <v>0.94839049070883907</v>
      </c>
    </row>
    <row r="347" spans="2:16" x14ac:dyDescent="0.4">
      <c r="B347" s="429" t="s">
        <v>1131</v>
      </c>
      <c r="C347" s="47"/>
      <c r="D347" s="47"/>
      <c r="E347" s="47"/>
      <c r="F347" s="3"/>
      <c r="G347" s="3"/>
      <c r="H347" s="2"/>
      <c r="I347" s="3"/>
      <c r="J347" s="3"/>
      <c r="K347" s="124"/>
      <c r="L347" s="124"/>
      <c r="M347" s="2"/>
      <c r="N347" s="2"/>
      <c r="O347" s="544">
        <f>SUM(C347:N347)</f>
        <v>0</v>
      </c>
    </row>
    <row r="348" spans="2:16" x14ac:dyDescent="0.4">
      <c r="B348" s="429" t="s">
        <v>1132</v>
      </c>
      <c r="C348" s="175"/>
      <c r="D348" s="175"/>
      <c r="E348" s="175"/>
      <c r="F348" s="3"/>
      <c r="G348" s="3"/>
      <c r="H348" s="2"/>
      <c r="I348" s="3"/>
      <c r="J348" s="3"/>
      <c r="K348" s="124"/>
      <c r="L348" s="124"/>
      <c r="M348" s="2"/>
      <c r="N348" s="2"/>
      <c r="O348" s="544">
        <f>SUM(C348:N348)</f>
        <v>0</v>
      </c>
    </row>
    <row r="349" spans="2:16" x14ac:dyDescent="0.4">
      <c r="B349" s="518" t="s">
        <v>162</v>
      </c>
      <c r="C349" s="545">
        <f>SUM(C345:C348)</f>
        <v>9.7987073732505009E-2</v>
      </c>
      <c r="D349" s="545">
        <f t="shared" ref="D349:O349" si="91">SUM(D345:D348)</f>
        <v>0.11315823324408428</v>
      </c>
      <c r="E349" s="545">
        <f t="shared" si="91"/>
        <v>8.2193864211866058E-2</v>
      </c>
      <c r="F349" s="545">
        <f t="shared" si="91"/>
        <v>9.6613954031718824E-2</v>
      </c>
      <c r="G349" s="545">
        <f t="shared" si="91"/>
        <v>8.6169158447680735E-2</v>
      </c>
      <c r="H349" s="545">
        <f t="shared" si="91"/>
        <v>8.5502181545220365E-2</v>
      </c>
      <c r="I349" s="545">
        <f t="shared" si="91"/>
        <v>8.1507941534816469E-2</v>
      </c>
      <c r="J349" s="545">
        <f t="shared" si="91"/>
        <v>6.6494026253478486E-2</v>
      </c>
      <c r="K349" s="545">
        <f t="shared" si="91"/>
        <v>9.0179221327719786E-2</v>
      </c>
      <c r="L349" s="545">
        <f t="shared" si="91"/>
        <v>0.10209120026554244</v>
      </c>
      <c r="M349" s="545">
        <f t="shared" si="91"/>
        <v>0.10318067172728738</v>
      </c>
      <c r="N349" s="545">
        <f t="shared" si="91"/>
        <v>0.12811196438692157</v>
      </c>
      <c r="O349" s="545">
        <f t="shared" si="91"/>
        <v>1.1331894907088413</v>
      </c>
    </row>
    <row r="350" spans="2:16" x14ac:dyDescent="0.4">
      <c r="B350" s="517" t="s">
        <v>163</v>
      </c>
      <c r="C350" s="78"/>
      <c r="D350" s="78"/>
      <c r="E350" s="78"/>
      <c r="F350" s="3"/>
      <c r="G350" s="3"/>
      <c r="H350" s="2"/>
      <c r="I350" s="3"/>
      <c r="J350" s="3"/>
      <c r="K350" s="124"/>
      <c r="L350" s="124"/>
      <c r="M350" s="2"/>
      <c r="N350" s="2"/>
      <c r="O350" s="545"/>
    </row>
    <row r="351" spans="2:16" x14ac:dyDescent="0.4">
      <c r="B351" s="519" t="s">
        <v>1133</v>
      </c>
      <c r="C351" s="46"/>
      <c r="D351" s="46"/>
      <c r="E351" s="46"/>
      <c r="F351" s="3"/>
      <c r="G351" s="3"/>
      <c r="H351" s="2"/>
      <c r="I351" s="3"/>
      <c r="J351" s="3"/>
      <c r="K351" s="124"/>
      <c r="L351" s="124"/>
      <c r="M351" s="2"/>
      <c r="N351" s="2"/>
      <c r="O351" s="544">
        <f t="shared" ref="O351:O358" si="92">SUM(C351:N351)</f>
        <v>0</v>
      </c>
    </row>
    <row r="352" spans="2:16" x14ac:dyDescent="0.4">
      <c r="B352" s="520" t="s">
        <v>1106</v>
      </c>
      <c r="C352" s="527">
        <f t="shared" ref="C352:N352" si="93">+$P352*C324/$O324</f>
        <v>0.20203307466169454</v>
      </c>
      <c r="D352" s="527">
        <f t="shared" si="93"/>
        <v>0.21606805981709915</v>
      </c>
      <c r="E352" s="527">
        <f t="shared" si="93"/>
        <v>0.21718555526132166</v>
      </c>
      <c r="F352" s="527">
        <f t="shared" si="93"/>
        <v>0.214357092216058</v>
      </c>
      <c r="G352" s="527">
        <f t="shared" si="93"/>
        <v>0.21567241171255341</v>
      </c>
      <c r="H352" s="527">
        <f t="shared" si="93"/>
        <v>0.22100524307914432</v>
      </c>
      <c r="I352" s="527">
        <f t="shared" si="93"/>
        <v>0.22656325714353531</v>
      </c>
      <c r="J352" s="527">
        <f t="shared" si="93"/>
        <v>0.2269694278040531</v>
      </c>
      <c r="K352" s="527">
        <f t="shared" si="93"/>
        <v>0.22222375506069769</v>
      </c>
      <c r="L352" s="527">
        <f t="shared" si="93"/>
        <v>0.23034295924866452</v>
      </c>
      <c r="M352" s="527">
        <f t="shared" si="93"/>
        <v>0.23112162839058981</v>
      </c>
      <c r="N352" s="527">
        <f t="shared" si="93"/>
        <v>0.24605944884838885</v>
      </c>
      <c r="O352" s="544">
        <f t="shared" si="92"/>
        <v>2.6696019132437998</v>
      </c>
      <c r="P352" s="617">
        <f>+'Sales Proj'!P78</f>
        <v>2.6696019132438003</v>
      </c>
    </row>
    <row r="353" spans="2:16" x14ac:dyDescent="0.4">
      <c r="B353" s="520" t="s">
        <v>1107</v>
      </c>
      <c r="C353" s="527">
        <f t="shared" ref="C353:N353" si="94">+$P353*C325/$O325</f>
        <v>0.23444149337003384</v>
      </c>
      <c r="D353" s="527">
        <f t="shared" si="94"/>
        <v>0.26563757846267566</v>
      </c>
      <c r="E353" s="527">
        <f t="shared" si="94"/>
        <v>0.2456436011247527</v>
      </c>
      <c r="F353" s="527">
        <f t="shared" si="94"/>
        <v>0.19824353690784308</v>
      </c>
      <c r="G353" s="527">
        <f t="shared" si="94"/>
        <v>0.19967539977674942</v>
      </c>
      <c r="H353" s="527">
        <f t="shared" si="94"/>
        <v>0.19771285996855839</v>
      </c>
      <c r="I353" s="527">
        <f t="shared" si="94"/>
        <v>0.22730726557172273</v>
      </c>
      <c r="J353" s="527">
        <f t="shared" si="94"/>
        <v>0.20902689231410818</v>
      </c>
      <c r="K353" s="527">
        <f t="shared" si="94"/>
        <v>0.1667830782127212</v>
      </c>
      <c r="L353" s="527">
        <f t="shared" si="94"/>
        <v>0.18110749610475885</v>
      </c>
      <c r="M353" s="527">
        <f t="shared" si="94"/>
        <v>0.18971604092711905</v>
      </c>
      <c r="N353" s="527">
        <f t="shared" si="94"/>
        <v>0.26991579946047278</v>
      </c>
      <c r="O353" s="544">
        <f t="shared" si="92"/>
        <v>2.5852110422015162</v>
      </c>
      <c r="P353" s="617">
        <f>+'Sales Proj'!P79</f>
        <v>2.5852110422015162</v>
      </c>
    </row>
    <row r="354" spans="2:16" x14ac:dyDescent="0.4">
      <c r="B354" s="520" t="s">
        <v>1108</v>
      </c>
      <c r="C354" s="527">
        <f t="shared" ref="C354:N354" si="95">+$P354*C326/$O326</f>
        <v>0.10636350087006206</v>
      </c>
      <c r="D354" s="527">
        <f t="shared" si="95"/>
        <v>0.14954460653921839</v>
      </c>
      <c r="E354" s="527">
        <f t="shared" si="95"/>
        <v>0.10532322401067475</v>
      </c>
      <c r="F354" s="527">
        <f t="shared" si="95"/>
        <v>5.4958088736102473E-2</v>
      </c>
      <c r="G354" s="527">
        <f t="shared" si="95"/>
        <v>5.7643576561344355E-2</v>
      </c>
      <c r="H354" s="527">
        <f t="shared" si="95"/>
        <v>5.6139983117524037E-2</v>
      </c>
      <c r="I354" s="527">
        <f t="shared" si="95"/>
        <v>7.8146646695857122E-2</v>
      </c>
      <c r="J354" s="527">
        <f t="shared" si="95"/>
        <v>6.6088176949312016E-2</v>
      </c>
      <c r="K354" s="527">
        <f t="shared" si="95"/>
        <v>3.521555714584769E-2</v>
      </c>
      <c r="L354" s="527">
        <f t="shared" si="95"/>
        <v>4.1992217829856508E-2</v>
      </c>
      <c r="M354" s="527">
        <f t="shared" si="95"/>
        <v>4.6973308203628723E-2</v>
      </c>
      <c r="N354" s="527">
        <f t="shared" si="95"/>
        <v>0.10709956231174621</v>
      </c>
      <c r="O354" s="544">
        <f t="shared" si="92"/>
        <v>0.90548844897117431</v>
      </c>
      <c r="P354" s="617">
        <f>+'Sales Proj'!P80</f>
        <v>0.90548844897117453</v>
      </c>
    </row>
    <row r="355" spans="2:16" x14ac:dyDescent="0.4">
      <c r="B355" s="520" t="s">
        <v>1109</v>
      </c>
      <c r="C355" s="527">
        <f t="shared" ref="C355:N355" si="96">+$P355*C327/$O327</f>
        <v>0.49830491791869241</v>
      </c>
      <c r="D355" s="527">
        <f t="shared" si="96"/>
        <v>0.64640377379154945</v>
      </c>
      <c r="E355" s="527">
        <f t="shared" si="96"/>
        <v>0.44692123260747491</v>
      </c>
      <c r="F355" s="527">
        <f t="shared" si="96"/>
        <v>0.41557462391886274</v>
      </c>
      <c r="G355" s="527">
        <f t="shared" si="96"/>
        <v>0.40198984872731225</v>
      </c>
      <c r="H355" s="527">
        <f t="shared" si="96"/>
        <v>0.41601206808367996</v>
      </c>
      <c r="I355" s="527">
        <f t="shared" si="96"/>
        <v>0.448919072116305</v>
      </c>
      <c r="J355" s="527">
        <f t="shared" si="96"/>
        <v>0.43557969243184719</v>
      </c>
      <c r="K355" s="527">
        <f t="shared" si="96"/>
        <v>0.37802911133369371</v>
      </c>
      <c r="L355" s="527">
        <f t="shared" si="96"/>
        <v>0.39403850082901803</v>
      </c>
      <c r="M355" s="527">
        <f t="shared" si="96"/>
        <v>0.36899215505076166</v>
      </c>
      <c r="N355" s="527">
        <f t="shared" si="96"/>
        <v>0.47142077317970971</v>
      </c>
      <c r="O355" s="544">
        <f t="shared" si="92"/>
        <v>5.3221857699889075</v>
      </c>
      <c r="P355" s="617">
        <f>+'Sales Proj'!P81</f>
        <v>5.3221857699889075</v>
      </c>
    </row>
    <row r="356" spans="2:16" x14ac:dyDescent="0.4">
      <c r="B356" s="520" t="s">
        <v>1110</v>
      </c>
      <c r="C356" s="527"/>
      <c r="D356" s="527"/>
      <c r="E356" s="527"/>
      <c r="F356" s="527"/>
      <c r="G356" s="527"/>
      <c r="H356" s="527"/>
      <c r="I356" s="527"/>
      <c r="J356" s="527"/>
      <c r="K356" s="527"/>
      <c r="L356" s="527"/>
      <c r="M356" s="527"/>
      <c r="N356" s="527"/>
      <c r="O356" s="544">
        <f t="shared" si="92"/>
        <v>0</v>
      </c>
      <c r="P356" s="617">
        <f>+'Sales Proj'!P82</f>
        <v>0</v>
      </c>
    </row>
    <row r="357" spans="2:16" x14ac:dyDescent="0.4">
      <c r="B357" s="519" t="s">
        <v>1139</v>
      </c>
      <c r="C357" s="527"/>
      <c r="D357" s="527"/>
      <c r="E357" s="527"/>
      <c r="F357" s="527"/>
      <c r="G357" s="527"/>
      <c r="H357" s="527"/>
      <c r="I357" s="527"/>
      <c r="J357" s="527"/>
      <c r="K357" s="527"/>
      <c r="L357" s="527"/>
      <c r="M357" s="527"/>
      <c r="N357" s="527"/>
      <c r="O357" s="544">
        <f t="shared" si="92"/>
        <v>0</v>
      </c>
      <c r="P357" s="617">
        <f>+'Sales Proj'!P83</f>
        <v>0</v>
      </c>
    </row>
    <row r="358" spans="2:16" x14ac:dyDescent="0.4">
      <c r="B358" s="520" t="s">
        <v>1140</v>
      </c>
      <c r="C358" s="527">
        <f t="shared" ref="C358:N358" si="97">+$P358*C330/$O330</f>
        <v>3.7299069326934546E-2</v>
      </c>
      <c r="D358" s="527">
        <f t="shared" si="97"/>
        <v>4.8077990560332851E-2</v>
      </c>
      <c r="E358" s="527">
        <f t="shared" si="97"/>
        <v>4.0126469973306163E-2</v>
      </c>
      <c r="F358" s="527">
        <f t="shared" si="97"/>
        <v>3.8062902486169704E-2</v>
      </c>
      <c r="G358" s="527">
        <f t="shared" si="97"/>
        <v>3.9700184952776295E-2</v>
      </c>
      <c r="H358" s="527">
        <f t="shared" si="97"/>
        <v>3.6550895617433132E-2</v>
      </c>
      <c r="I358" s="527">
        <f t="shared" si="97"/>
        <v>3.7448704068834833E-2</v>
      </c>
      <c r="J358" s="527">
        <f t="shared" si="97"/>
        <v>3.7768852818947055E-2</v>
      </c>
      <c r="K358" s="527">
        <f t="shared" si="97"/>
        <v>3.129628026233016E-2</v>
      </c>
      <c r="L358" s="527">
        <f t="shared" si="97"/>
        <v>3.3004900222168274E-2</v>
      </c>
      <c r="M358" s="527">
        <f t="shared" si="97"/>
        <v>3.2237587185214495E-2</v>
      </c>
      <c r="N358" s="527">
        <f t="shared" si="97"/>
        <v>3.6918022716746608E-2</v>
      </c>
      <c r="O358" s="544">
        <f t="shared" si="92"/>
        <v>0.44849186019119414</v>
      </c>
      <c r="P358" s="617">
        <f>+'Sales Proj'!P84</f>
        <v>0.44849186019119414</v>
      </c>
    </row>
    <row r="359" spans="2:16" x14ac:dyDescent="0.4">
      <c r="B359" s="520" t="s">
        <v>1144</v>
      </c>
      <c r="C359" s="527">
        <f t="shared" ref="C359:N359" si="98">+$P359*C331/$O331</f>
        <v>5.7217524078334629E-2</v>
      </c>
      <c r="D359" s="527">
        <f t="shared" si="98"/>
        <v>6.8054529828351557E-2</v>
      </c>
      <c r="E359" s="527">
        <f t="shared" si="98"/>
        <v>6.9231042609087426E-2</v>
      </c>
      <c r="F359" s="527">
        <f t="shared" si="98"/>
        <v>6.0813369698025886E-2</v>
      </c>
      <c r="G359" s="527">
        <f t="shared" si="98"/>
        <v>6.6240316288226714E-2</v>
      </c>
      <c r="H359" s="527">
        <f t="shared" si="98"/>
        <v>6.2609796670620596E-2</v>
      </c>
      <c r="I359" s="527">
        <f t="shared" si="98"/>
        <v>7.3481247547279041E-2</v>
      </c>
      <c r="J359" s="527">
        <f t="shared" si="98"/>
        <v>6.0359125612187557E-2</v>
      </c>
      <c r="K359" s="527">
        <f t="shared" si="98"/>
        <v>5.8274942057179896E-2</v>
      </c>
      <c r="L359" s="527">
        <f t="shared" si="98"/>
        <v>6.563648847729589E-2</v>
      </c>
      <c r="M359" s="527">
        <f t="shared" si="98"/>
        <v>6.2938537558914071E-2</v>
      </c>
      <c r="N359" s="527">
        <f t="shared" si="98"/>
        <v>8.3030394642067754E-2</v>
      </c>
      <c r="O359" s="544">
        <f t="shared" ref="O359:O364" si="99">SUM(C359:N359)</f>
        <v>0.78788731506757104</v>
      </c>
      <c r="P359" s="617">
        <f>+'Sales Proj'!P85</f>
        <v>0.78788731506757104</v>
      </c>
    </row>
    <row r="360" spans="2:16" x14ac:dyDescent="0.4">
      <c r="B360" s="520" t="s">
        <v>1143</v>
      </c>
      <c r="C360" s="527">
        <f t="shared" ref="C360:N360" si="100">+$P360*C332/$O332</f>
        <v>2.1580837853331775E-2</v>
      </c>
      <c r="D360" s="527">
        <f t="shared" si="100"/>
        <v>1.6990614113322519E-2</v>
      </c>
      <c r="E360" s="527">
        <f t="shared" si="100"/>
        <v>2.7083724492694059E-2</v>
      </c>
      <c r="F360" s="527">
        <f t="shared" si="100"/>
        <v>2.2459220949787091E-2</v>
      </c>
      <c r="G360" s="527">
        <f t="shared" si="100"/>
        <v>2.5078476632336522E-2</v>
      </c>
      <c r="H360" s="527">
        <f t="shared" si="100"/>
        <v>2.0080084699732194E-2</v>
      </c>
      <c r="I360" s="527">
        <f t="shared" si="100"/>
        <v>2.3034955465850826E-2</v>
      </c>
      <c r="J360" s="527">
        <f t="shared" si="100"/>
        <v>1.5343789868407485E-2</v>
      </c>
      <c r="K360" s="527">
        <f t="shared" si="100"/>
        <v>1.1654811360797044E-2</v>
      </c>
      <c r="L360" s="527">
        <f t="shared" si="100"/>
        <v>1.5653219363680321E-2</v>
      </c>
      <c r="M360" s="527">
        <f t="shared" si="100"/>
        <v>1.5914994840538679E-2</v>
      </c>
      <c r="N360" s="527">
        <f t="shared" si="100"/>
        <v>1.9755110024099184E-2</v>
      </c>
      <c r="O360" s="544">
        <f t="shared" si="99"/>
        <v>0.23462983966457771</v>
      </c>
      <c r="P360" s="617">
        <f>+'Sales Proj'!P86</f>
        <v>0.23462983966457768</v>
      </c>
    </row>
    <row r="361" spans="2:16" x14ac:dyDescent="0.4">
      <c r="B361" s="519" t="s">
        <v>1111</v>
      </c>
      <c r="C361" s="527">
        <f t="shared" ref="C361:N361" si="101">+$P361*C333/$O333</f>
        <v>0.10735324514461919</v>
      </c>
      <c r="D361" s="527">
        <f t="shared" si="101"/>
        <v>0.11003750835857574</v>
      </c>
      <c r="E361" s="527">
        <f t="shared" si="101"/>
        <v>9.8496404080205407E-2</v>
      </c>
      <c r="F361" s="527">
        <f t="shared" si="101"/>
        <v>0.10807216061451701</v>
      </c>
      <c r="G361" s="527">
        <f t="shared" si="101"/>
        <v>0.11706090999625941</v>
      </c>
      <c r="H361" s="527">
        <f t="shared" si="101"/>
        <v>0.11634637361229799</v>
      </c>
      <c r="I361" s="527">
        <f t="shared" si="101"/>
        <v>0.11856102644559716</v>
      </c>
      <c r="J361" s="527">
        <f t="shared" si="101"/>
        <v>0.11443625359566047</v>
      </c>
      <c r="K361" s="527">
        <f t="shared" si="101"/>
        <v>0.12606761828894314</v>
      </c>
      <c r="L361" s="527">
        <f t="shared" si="101"/>
        <v>0.10239642267375783</v>
      </c>
      <c r="M361" s="527">
        <f t="shared" si="101"/>
        <v>9.4100617055428729E-2</v>
      </c>
      <c r="N361" s="527">
        <f t="shared" si="101"/>
        <v>9.3694992574065328E-2</v>
      </c>
      <c r="O361" s="544">
        <f t="shared" si="99"/>
        <v>1.3066235324399276</v>
      </c>
      <c r="P361" s="617">
        <f>+'Sales Proj'!P87</f>
        <v>1.3066235324399273</v>
      </c>
    </row>
    <row r="362" spans="2:16" x14ac:dyDescent="0.4">
      <c r="B362" s="519" t="s">
        <v>1135</v>
      </c>
      <c r="C362" s="527">
        <f t="shared" ref="C362:N362" si="102">+$P362*C334/$O334</f>
        <v>3.1725780189769052E-3</v>
      </c>
      <c r="D362" s="527">
        <f t="shared" si="102"/>
        <v>3.873717761170797E-3</v>
      </c>
      <c r="E362" s="527">
        <f t="shared" si="102"/>
        <v>3.1027813025594105E-3</v>
      </c>
      <c r="F362" s="527">
        <f t="shared" si="102"/>
        <v>2.6015139755610588E-3</v>
      </c>
      <c r="G362" s="527">
        <f t="shared" si="102"/>
        <v>3.0139491180280619E-3</v>
      </c>
      <c r="H362" s="527">
        <f t="shared" si="102"/>
        <v>2.4428850746122145E-3</v>
      </c>
      <c r="I362" s="527">
        <f t="shared" si="102"/>
        <v>2.2842561736633655E-3</v>
      </c>
      <c r="J362" s="527">
        <f t="shared" si="102"/>
        <v>2.5697881953712911E-3</v>
      </c>
      <c r="K362" s="527">
        <f t="shared" si="102"/>
        <v>2.8235944368894443E-3</v>
      </c>
      <c r="L362" s="527">
        <f t="shared" si="102"/>
        <v>2.9504975576485201E-3</v>
      </c>
      <c r="M362" s="527">
        <f t="shared" si="102"/>
        <v>2.4428850746122145E-3</v>
      </c>
      <c r="N362" s="527">
        <f t="shared" si="102"/>
        <v>2.8235944368894443E-3</v>
      </c>
      <c r="O362" s="544">
        <f t="shared" si="99"/>
        <v>3.4102041125982731E-2</v>
      </c>
      <c r="P362" s="617">
        <f>+'Sales Proj'!P88</f>
        <v>3.4102041125982731E-2</v>
      </c>
    </row>
    <row r="363" spans="2:16" x14ac:dyDescent="0.4">
      <c r="B363" s="519" t="s">
        <v>1136</v>
      </c>
      <c r="C363" s="527"/>
      <c r="D363" s="527"/>
      <c r="E363" s="527"/>
      <c r="F363" s="527"/>
      <c r="G363" s="527"/>
      <c r="H363" s="527"/>
      <c r="I363" s="527"/>
      <c r="J363" s="527"/>
      <c r="K363" s="527"/>
      <c r="L363" s="527"/>
      <c r="M363" s="527"/>
      <c r="N363" s="527"/>
      <c r="O363" s="544">
        <f t="shared" si="99"/>
        <v>0</v>
      </c>
      <c r="P363" s="617">
        <f>+'Sales Proj'!P89</f>
        <v>0</v>
      </c>
    </row>
    <row r="364" spans="2:16" x14ac:dyDescent="0.4">
      <c r="B364" s="566" t="s">
        <v>1142</v>
      </c>
      <c r="C364" s="527">
        <f t="shared" ref="C364:N364" si="103">+$P364*C336/$O336</f>
        <v>1.8917459193021565E-3</v>
      </c>
      <c r="D364" s="527">
        <f t="shared" si="103"/>
        <v>2.0667845562747818E-3</v>
      </c>
      <c r="E364" s="527">
        <f t="shared" si="103"/>
        <v>1.8455811522302809E-3</v>
      </c>
      <c r="F364" s="527">
        <f t="shared" si="103"/>
        <v>1.8213061080119073E-3</v>
      </c>
      <c r="G364" s="527">
        <f t="shared" si="103"/>
        <v>1.5582050772686973E-3</v>
      </c>
      <c r="H364" s="527">
        <f t="shared" si="103"/>
        <v>1.4753882013601514E-3</v>
      </c>
      <c r="I364" s="527">
        <f t="shared" si="103"/>
        <v>2.0483115768376785E-3</v>
      </c>
      <c r="J364" s="527">
        <f t="shared" si="103"/>
        <v>2.382677556512358E-3</v>
      </c>
      <c r="K364" s="527">
        <f t="shared" si="103"/>
        <v>2.7790559978334399E-3</v>
      </c>
      <c r="L364" s="527">
        <f t="shared" si="103"/>
        <v>2.8382722532487308E-3</v>
      </c>
      <c r="M364" s="527">
        <f t="shared" si="103"/>
        <v>2.8977570993860106E-3</v>
      </c>
      <c r="N364" s="527">
        <f t="shared" si="103"/>
        <v>3.5793292108053701E-3</v>
      </c>
      <c r="O364" s="544">
        <f t="shared" si="99"/>
        <v>2.7184414709071562E-2</v>
      </c>
      <c r="P364" s="617">
        <f>+'Sales Proj'!P90</f>
        <v>2.7184414709071562E-2</v>
      </c>
    </row>
    <row r="365" spans="2:16" x14ac:dyDescent="0.4">
      <c r="B365" s="175" t="s">
        <v>162</v>
      </c>
      <c r="C365" s="545">
        <f t="shared" ref="C365:O365" si="104">SUM(C352:C364)</f>
        <v>1.2696579871619822</v>
      </c>
      <c r="D365" s="545">
        <f t="shared" si="104"/>
        <v>1.5267551637885706</v>
      </c>
      <c r="E365" s="545">
        <f t="shared" si="104"/>
        <v>1.2549596166143067</v>
      </c>
      <c r="F365" s="545">
        <f t="shared" si="104"/>
        <v>1.1169638156109389</v>
      </c>
      <c r="G365" s="545">
        <f t="shared" si="104"/>
        <v>1.1276332788428551</v>
      </c>
      <c r="H365" s="545">
        <f t="shared" si="104"/>
        <v>1.1303755781249631</v>
      </c>
      <c r="I365" s="545">
        <f t="shared" si="104"/>
        <v>1.2377947428054832</v>
      </c>
      <c r="J365" s="545">
        <f t="shared" si="104"/>
        <v>1.1705246771464066</v>
      </c>
      <c r="K365" s="545">
        <f t="shared" si="104"/>
        <v>1.0351478041569333</v>
      </c>
      <c r="L365" s="545">
        <f t="shared" si="104"/>
        <v>1.0699609745600975</v>
      </c>
      <c r="M365" s="545">
        <f t="shared" si="104"/>
        <v>1.0473355113861937</v>
      </c>
      <c r="N365" s="545">
        <f t="shared" si="104"/>
        <v>1.3342970274049915</v>
      </c>
      <c r="O365" s="545">
        <f t="shared" si="104"/>
        <v>14.321406177603722</v>
      </c>
    </row>
    <row r="366" spans="2:16" x14ac:dyDescent="0.4">
      <c r="B366" s="175"/>
      <c r="C366" s="543"/>
      <c r="D366" s="543"/>
      <c r="E366" s="543"/>
      <c r="F366" s="543"/>
      <c r="G366" s="543"/>
      <c r="H366" s="543"/>
      <c r="I366" s="543"/>
      <c r="J366" s="543"/>
      <c r="K366" s="543"/>
      <c r="L366" s="543"/>
      <c r="M366" s="543"/>
      <c r="N366" s="543"/>
      <c r="O366" s="543"/>
    </row>
    <row r="367" spans="2:16" x14ac:dyDescent="0.4">
      <c r="B367" s="119" t="s">
        <v>164</v>
      </c>
      <c r="C367" s="545">
        <f t="shared" ref="C367:N367" si="105">C349+C365</f>
        <v>1.3676450608944872</v>
      </c>
      <c r="D367" s="545">
        <f t="shared" si="105"/>
        <v>1.6399133970326549</v>
      </c>
      <c r="E367" s="545">
        <f t="shared" si="105"/>
        <v>1.3371534808261727</v>
      </c>
      <c r="F367" s="545">
        <f t="shared" si="105"/>
        <v>1.2135777696426577</v>
      </c>
      <c r="G367" s="545">
        <f t="shared" si="105"/>
        <v>1.2138024372905358</v>
      </c>
      <c r="H367" s="545">
        <f t="shared" si="105"/>
        <v>1.2158777596701835</v>
      </c>
      <c r="I367" s="545">
        <f t="shared" si="105"/>
        <v>1.3193026843402997</v>
      </c>
      <c r="J367" s="545">
        <f t="shared" si="105"/>
        <v>1.2370187033998852</v>
      </c>
      <c r="K367" s="545">
        <f t="shared" si="105"/>
        <v>1.125327025484653</v>
      </c>
      <c r="L367" s="545">
        <f t="shared" si="105"/>
        <v>1.1720521748256401</v>
      </c>
      <c r="M367" s="545">
        <f t="shared" si="105"/>
        <v>1.1505161831134811</v>
      </c>
      <c r="N367" s="545">
        <f t="shared" si="105"/>
        <v>1.462408991791913</v>
      </c>
      <c r="O367" s="545">
        <f>O349+O365</f>
        <v>15.454595668312564</v>
      </c>
    </row>
    <row r="368" spans="2:16" x14ac:dyDescent="0.4">
      <c r="B368" s="118"/>
      <c r="E368" s="198"/>
      <c r="F368" s="199"/>
      <c r="G368" s="198"/>
      <c r="H368" s="198"/>
      <c r="I368" s="198"/>
      <c r="J368" s="198"/>
      <c r="K368" s="198"/>
      <c r="L368" s="198"/>
      <c r="M368" s="198"/>
      <c r="N368" s="198"/>
      <c r="O368" s="199"/>
    </row>
    <row r="369" spans="2:16" x14ac:dyDescent="0.4">
      <c r="B369" s="32" t="s">
        <v>193</v>
      </c>
      <c r="C369" s="8"/>
      <c r="D369" s="8"/>
      <c r="E369" s="8"/>
      <c r="F369" s="8"/>
      <c r="G369" s="8"/>
      <c r="H369" s="8"/>
      <c r="I369" s="8"/>
      <c r="J369" s="8"/>
      <c r="K369" s="8"/>
      <c r="L369" s="8"/>
      <c r="M369" s="8"/>
      <c r="N369" s="8"/>
      <c r="O369" s="4"/>
    </row>
    <row r="370" spans="2:16" x14ac:dyDescent="0.4">
      <c r="B370" s="32"/>
      <c r="C370" s="38"/>
      <c r="D370" s="38"/>
      <c r="O370" s="38" t="s">
        <v>171</v>
      </c>
    </row>
    <row r="371" spans="2:16" s="51" customFormat="1" ht="27" x14ac:dyDescent="0.35">
      <c r="B371" s="169" t="s">
        <v>160</v>
      </c>
      <c r="C371" s="106" t="s">
        <v>172</v>
      </c>
      <c r="D371" s="106" t="s">
        <v>173</v>
      </c>
      <c r="E371" s="64" t="s">
        <v>174</v>
      </c>
      <c r="F371" s="64" t="s">
        <v>175</v>
      </c>
      <c r="G371" s="64" t="s">
        <v>176</v>
      </c>
      <c r="H371" s="64" t="s">
        <v>177</v>
      </c>
      <c r="I371" s="64" t="s">
        <v>178</v>
      </c>
      <c r="J371" s="64" t="s">
        <v>179</v>
      </c>
      <c r="K371" s="64" t="s">
        <v>180</v>
      </c>
      <c r="L371" s="64" t="s">
        <v>181</v>
      </c>
      <c r="M371" s="64" t="s">
        <v>182</v>
      </c>
      <c r="N371" s="64" t="s">
        <v>183</v>
      </c>
      <c r="O371" s="158" t="s">
        <v>188</v>
      </c>
    </row>
    <row r="372" spans="2:16" x14ac:dyDescent="0.4">
      <c r="B372" s="517" t="s">
        <v>161</v>
      </c>
      <c r="C372" s="78"/>
      <c r="D372" s="78"/>
      <c r="E372" s="78"/>
      <c r="F372" s="3"/>
      <c r="G372" s="3"/>
      <c r="H372" s="2"/>
      <c r="I372" s="43"/>
      <c r="J372" s="44"/>
      <c r="K372" s="124"/>
      <c r="L372" s="124"/>
      <c r="M372" s="2"/>
      <c r="N372" s="2"/>
      <c r="O372" s="2"/>
    </row>
    <row r="373" spans="2:16" x14ac:dyDescent="0.4">
      <c r="B373" s="429" t="s">
        <v>1129</v>
      </c>
      <c r="C373" s="527">
        <f>+$P373*C345/$O345</f>
        <v>2.1599999999999842E-2</v>
      </c>
      <c r="D373" s="527">
        <f t="shared" ref="D373:N373" si="106">+$P373*D345/$O345</f>
        <v>2.3998999999999882E-2</v>
      </c>
      <c r="E373" s="527">
        <f t="shared" si="106"/>
        <v>2.0400000000000418E-2</v>
      </c>
      <c r="F373" s="527">
        <f t="shared" si="106"/>
        <v>1.0800000000000587E-2</v>
      </c>
      <c r="G373" s="527">
        <f t="shared" si="106"/>
        <v>9.5999999999998309E-3</v>
      </c>
      <c r="H373" s="527">
        <f t="shared" si="106"/>
        <v>1.0799999999999699E-2</v>
      </c>
      <c r="I373" s="527">
        <f t="shared" si="106"/>
        <v>1.0799999999999699E-2</v>
      </c>
      <c r="J373" s="527">
        <f t="shared" si="106"/>
        <v>1.0799999999999699E-2</v>
      </c>
      <c r="K373" s="527">
        <f t="shared" si="106"/>
        <v>9.6000000000007191E-3</v>
      </c>
      <c r="L373" s="527">
        <f t="shared" si="106"/>
        <v>1.2000000000000456E-2</v>
      </c>
      <c r="M373" s="527">
        <f t="shared" si="106"/>
        <v>1.920000000000055E-2</v>
      </c>
      <c r="N373" s="527">
        <f t="shared" si="106"/>
        <v>2.5200000000000777E-2</v>
      </c>
      <c r="O373" s="544">
        <f>SUM(C373:N373)</f>
        <v>0.18479900000000216</v>
      </c>
      <c r="P373" s="622">
        <f>+O229</f>
        <v>0.18479900000000216</v>
      </c>
    </row>
    <row r="374" spans="2:16" x14ac:dyDescent="0.4">
      <c r="B374" s="429" t="s">
        <v>1130</v>
      </c>
      <c r="C374" s="527">
        <f t="shared" ref="C374:N374" si="107">+$P374*C346/$O346</f>
        <v>7.6387073732505154E-2</v>
      </c>
      <c r="D374" s="527">
        <f t="shared" si="107"/>
        <v>8.9159233244084382E-2</v>
      </c>
      <c r="E374" s="527">
        <f t="shared" si="107"/>
        <v>6.1793864211865626E-2</v>
      </c>
      <c r="F374" s="527">
        <f t="shared" si="107"/>
        <v>8.5813954031718223E-2</v>
      </c>
      <c r="G374" s="527">
        <f t="shared" si="107"/>
        <v>7.6569158447680891E-2</v>
      </c>
      <c r="H374" s="527">
        <f t="shared" si="107"/>
        <v>7.4702181545220667E-2</v>
      </c>
      <c r="I374" s="527">
        <f t="shared" si="107"/>
        <v>7.0707941534816757E-2</v>
      </c>
      <c r="J374" s="527">
        <f t="shared" si="107"/>
        <v>5.569402625347878E-2</v>
      </c>
      <c r="K374" s="527">
        <f t="shared" si="107"/>
        <v>8.0579221327719053E-2</v>
      </c>
      <c r="L374" s="527">
        <f t="shared" si="107"/>
        <v>9.0091200265541987E-2</v>
      </c>
      <c r="M374" s="527">
        <f t="shared" si="107"/>
        <v>8.3980671727286835E-2</v>
      </c>
      <c r="N374" s="527">
        <f t="shared" si="107"/>
        <v>0.10291196438692077</v>
      </c>
      <c r="O374" s="544">
        <f>SUM(C374:N374)</f>
        <v>0.94839049070883907</v>
      </c>
      <c r="P374" s="617">
        <f>+'Sales Proj'!Q72</f>
        <v>0.94839049070883907</v>
      </c>
    </row>
    <row r="375" spans="2:16" x14ac:dyDescent="0.4">
      <c r="B375" s="429" t="s">
        <v>1131</v>
      </c>
      <c r="C375" s="47"/>
      <c r="D375" s="47"/>
      <c r="E375" s="47"/>
      <c r="F375" s="3"/>
      <c r="G375" s="3"/>
      <c r="H375" s="2"/>
      <c r="I375" s="3"/>
      <c r="J375" s="3"/>
      <c r="K375" s="124"/>
      <c r="L375" s="124"/>
      <c r="M375" s="2"/>
      <c r="N375" s="2"/>
      <c r="O375" s="544">
        <f>SUM(C375:N375)</f>
        <v>0</v>
      </c>
    </row>
    <row r="376" spans="2:16" x14ac:dyDescent="0.4">
      <c r="B376" s="429" t="s">
        <v>1132</v>
      </c>
      <c r="C376" s="175"/>
      <c r="D376" s="175"/>
      <c r="E376" s="175"/>
      <c r="F376" s="3"/>
      <c r="G376" s="3"/>
      <c r="H376" s="2"/>
      <c r="I376" s="3"/>
      <c r="J376" s="3"/>
      <c r="K376" s="124"/>
      <c r="L376" s="124"/>
      <c r="M376" s="2"/>
      <c r="N376" s="2"/>
      <c r="O376" s="544">
        <f>SUM(C376:N376)</f>
        <v>0</v>
      </c>
    </row>
    <row r="377" spans="2:16" x14ac:dyDescent="0.4">
      <c r="B377" s="518" t="s">
        <v>162</v>
      </c>
      <c r="C377" s="545">
        <f>SUM(C373:C376)</f>
        <v>9.7987073732504995E-2</v>
      </c>
      <c r="D377" s="545">
        <f t="shared" ref="D377:O377" si="108">SUM(D373:D376)</f>
        <v>0.11315823324408426</v>
      </c>
      <c r="E377" s="545">
        <f t="shared" si="108"/>
        <v>8.2193864211866044E-2</v>
      </c>
      <c r="F377" s="545">
        <f t="shared" si="108"/>
        <v>9.661395403171881E-2</v>
      </c>
      <c r="G377" s="545">
        <f t="shared" si="108"/>
        <v>8.6169158447680722E-2</v>
      </c>
      <c r="H377" s="545">
        <f t="shared" si="108"/>
        <v>8.5502181545220365E-2</v>
      </c>
      <c r="I377" s="545">
        <f t="shared" si="108"/>
        <v>8.1507941534816455E-2</v>
      </c>
      <c r="J377" s="545">
        <f t="shared" si="108"/>
        <v>6.6494026253478472E-2</v>
      </c>
      <c r="K377" s="545">
        <f t="shared" si="108"/>
        <v>9.0179221327719772E-2</v>
      </c>
      <c r="L377" s="545">
        <f t="shared" si="108"/>
        <v>0.10209120026554244</v>
      </c>
      <c r="M377" s="545">
        <f t="shared" si="108"/>
        <v>0.10318067172728738</v>
      </c>
      <c r="N377" s="545">
        <f t="shared" si="108"/>
        <v>0.12811196438692155</v>
      </c>
      <c r="O377" s="545">
        <f t="shared" si="108"/>
        <v>1.1331894907088413</v>
      </c>
    </row>
    <row r="378" spans="2:16" x14ac:dyDescent="0.4">
      <c r="B378" s="517" t="s">
        <v>163</v>
      </c>
      <c r="C378" s="78"/>
      <c r="D378" s="78"/>
      <c r="E378" s="78"/>
      <c r="F378" s="3"/>
      <c r="G378" s="3"/>
      <c r="H378" s="2"/>
      <c r="I378" s="3"/>
      <c r="J378" s="3"/>
      <c r="K378" s="124"/>
      <c r="L378" s="124"/>
      <c r="M378" s="2"/>
      <c r="N378" s="2"/>
      <c r="O378" s="545"/>
    </row>
    <row r="379" spans="2:16" x14ac:dyDescent="0.4">
      <c r="B379" s="519" t="s">
        <v>1133</v>
      </c>
      <c r="C379" s="46"/>
      <c r="D379" s="46"/>
      <c r="E379" s="46"/>
      <c r="F379" s="3"/>
      <c r="G379" s="3"/>
      <c r="H379" s="2"/>
      <c r="I379" s="3"/>
      <c r="J379" s="3"/>
      <c r="K379" s="124"/>
      <c r="L379" s="124"/>
      <c r="M379" s="2"/>
      <c r="N379" s="2"/>
      <c r="O379" s="544">
        <f t="shared" ref="O379:O386" si="109">SUM(C379:N379)</f>
        <v>0</v>
      </c>
    </row>
    <row r="380" spans="2:16" x14ac:dyDescent="0.4">
      <c r="B380" s="520" t="s">
        <v>1106</v>
      </c>
      <c r="C380" s="527">
        <f t="shared" ref="C380:N380" si="110">+$P380*C352/$O352</f>
        <v>0.20203307466169457</v>
      </c>
      <c r="D380" s="527">
        <f t="shared" si="110"/>
        <v>0.21606805981709917</v>
      </c>
      <c r="E380" s="527">
        <f t="shared" si="110"/>
        <v>0.21718555526132169</v>
      </c>
      <c r="F380" s="527">
        <f t="shared" si="110"/>
        <v>0.21435709221605806</v>
      </c>
      <c r="G380" s="527">
        <f t="shared" si="110"/>
        <v>0.21567241171255344</v>
      </c>
      <c r="H380" s="527">
        <f t="shared" si="110"/>
        <v>0.22100524307914435</v>
      </c>
      <c r="I380" s="527">
        <f t="shared" si="110"/>
        <v>0.22656325714353534</v>
      </c>
      <c r="J380" s="527">
        <f t="shared" si="110"/>
        <v>0.22696942780405316</v>
      </c>
      <c r="K380" s="527">
        <f t="shared" si="110"/>
        <v>0.22222375506069775</v>
      </c>
      <c r="L380" s="527">
        <f t="shared" si="110"/>
        <v>0.23034295924866457</v>
      </c>
      <c r="M380" s="527">
        <f t="shared" si="110"/>
        <v>0.23112162839058983</v>
      </c>
      <c r="N380" s="527">
        <f t="shared" si="110"/>
        <v>0.2460594488483889</v>
      </c>
      <c r="O380" s="544">
        <f t="shared" si="109"/>
        <v>2.6696019132438007</v>
      </c>
      <c r="P380" s="617">
        <f>+'Sales Proj'!Q78</f>
        <v>2.6696019132438003</v>
      </c>
    </row>
    <row r="381" spans="2:16" x14ac:dyDescent="0.4">
      <c r="B381" s="520" t="s">
        <v>1107</v>
      </c>
      <c r="C381" s="527">
        <f t="shared" ref="C381:N381" si="111">+$P381*C353/$O353</f>
        <v>0.23444149337003384</v>
      </c>
      <c r="D381" s="527">
        <f t="shared" si="111"/>
        <v>0.26563757846267566</v>
      </c>
      <c r="E381" s="527">
        <f t="shared" si="111"/>
        <v>0.24564360112475273</v>
      </c>
      <c r="F381" s="527">
        <f t="shared" si="111"/>
        <v>0.1982435369078431</v>
      </c>
      <c r="G381" s="527">
        <f t="shared" si="111"/>
        <v>0.19967539977674942</v>
      </c>
      <c r="H381" s="527">
        <f t="shared" si="111"/>
        <v>0.19771285996855836</v>
      </c>
      <c r="I381" s="527">
        <f t="shared" si="111"/>
        <v>0.22730726557172271</v>
      </c>
      <c r="J381" s="527">
        <f t="shared" si="111"/>
        <v>0.20902689231410815</v>
      </c>
      <c r="K381" s="527">
        <f t="shared" si="111"/>
        <v>0.1667830782127212</v>
      </c>
      <c r="L381" s="527">
        <f t="shared" si="111"/>
        <v>0.18110749610475885</v>
      </c>
      <c r="M381" s="527">
        <f t="shared" si="111"/>
        <v>0.18971604092711905</v>
      </c>
      <c r="N381" s="527">
        <f t="shared" si="111"/>
        <v>0.26991579946047278</v>
      </c>
      <c r="O381" s="544">
        <f t="shared" si="109"/>
        <v>2.5852110422015158</v>
      </c>
      <c r="P381" s="617">
        <f>+'Sales Proj'!Q79</f>
        <v>2.5852110422015162</v>
      </c>
    </row>
    <row r="382" spans="2:16" x14ac:dyDescent="0.4">
      <c r="B382" s="520" t="s">
        <v>1108</v>
      </c>
      <c r="C382" s="527">
        <f t="shared" ref="C382:N382" si="112">+$P382*C354/$O354</f>
        <v>0.10636350087006209</v>
      </c>
      <c r="D382" s="527">
        <f t="shared" si="112"/>
        <v>0.14954460653921842</v>
      </c>
      <c r="E382" s="527">
        <f t="shared" si="112"/>
        <v>0.10532322401067476</v>
      </c>
      <c r="F382" s="527">
        <f t="shared" si="112"/>
        <v>5.4958088736102487E-2</v>
      </c>
      <c r="G382" s="527">
        <f t="shared" si="112"/>
        <v>5.7643576561344369E-2</v>
      </c>
      <c r="H382" s="527">
        <f t="shared" si="112"/>
        <v>5.613998311752405E-2</v>
      </c>
      <c r="I382" s="527">
        <f t="shared" si="112"/>
        <v>7.8146646695857136E-2</v>
      </c>
      <c r="J382" s="527">
        <f t="shared" si="112"/>
        <v>6.608817694931203E-2</v>
      </c>
      <c r="K382" s="527">
        <f t="shared" si="112"/>
        <v>3.5215557145847697E-2</v>
      </c>
      <c r="L382" s="527">
        <f t="shared" si="112"/>
        <v>4.1992217829856522E-2</v>
      </c>
      <c r="M382" s="527">
        <f t="shared" si="112"/>
        <v>4.697330820362873E-2</v>
      </c>
      <c r="N382" s="527">
        <f t="shared" si="112"/>
        <v>0.10709956231174624</v>
      </c>
      <c r="O382" s="544">
        <f t="shared" si="109"/>
        <v>0.90548844897117453</v>
      </c>
      <c r="P382" s="617">
        <f>+'Sales Proj'!Q80</f>
        <v>0.90548844897117453</v>
      </c>
    </row>
    <row r="383" spans="2:16" x14ac:dyDescent="0.4">
      <c r="B383" s="520" t="s">
        <v>1109</v>
      </c>
      <c r="C383" s="527">
        <f t="shared" ref="C383:N383" si="113">+$P383*C355/$O355</f>
        <v>0.49830491791869241</v>
      </c>
      <c r="D383" s="527">
        <f t="shared" si="113"/>
        <v>0.64640377379154945</v>
      </c>
      <c r="E383" s="527">
        <f t="shared" si="113"/>
        <v>0.44692123260747485</v>
      </c>
      <c r="F383" s="527">
        <f t="shared" si="113"/>
        <v>0.41557462391886268</v>
      </c>
      <c r="G383" s="527">
        <f t="shared" si="113"/>
        <v>0.40198984872731225</v>
      </c>
      <c r="H383" s="527">
        <f t="shared" si="113"/>
        <v>0.41601206808367996</v>
      </c>
      <c r="I383" s="527">
        <f t="shared" si="113"/>
        <v>0.448919072116305</v>
      </c>
      <c r="J383" s="527">
        <f t="shared" si="113"/>
        <v>0.43557969243184719</v>
      </c>
      <c r="K383" s="527">
        <f t="shared" si="113"/>
        <v>0.37802911133369371</v>
      </c>
      <c r="L383" s="527">
        <f t="shared" si="113"/>
        <v>0.39403850082901803</v>
      </c>
      <c r="M383" s="527">
        <f t="shared" si="113"/>
        <v>0.36899215505076166</v>
      </c>
      <c r="N383" s="527">
        <f t="shared" si="113"/>
        <v>0.47142077317970971</v>
      </c>
      <c r="O383" s="544">
        <f t="shared" si="109"/>
        <v>5.3221857699889075</v>
      </c>
      <c r="P383" s="617">
        <f>+'Sales Proj'!Q81</f>
        <v>5.3221857699889075</v>
      </c>
    </row>
    <row r="384" spans="2:16" x14ac:dyDescent="0.4">
      <c r="B384" s="520" t="s">
        <v>1110</v>
      </c>
      <c r="C384" s="527"/>
      <c r="D384" s="527"/>
      <c r="E384" s="527"/>
      <c r="F384" s="527"/>
      <c r="G384" s="527"/>
      <c r="H384" s="527"/>
      <c r="I384" s="527"/>
      <c r="J384" s="527"/>
      <c r="K384" s="527"/>
      <c r="L384" s="527"/>
      <c r="M384" s="527"/>
      <c r="N384" s="527"/>
      <c r="O384" s="544">
        <f t="shared" si="109"/>
        <v>0</v>
      </c>
      <c r="P384" s="617">
        <f>+'Sales Proj'!Q82</f>
        <v>0</v>
      </c>
    </row>
    <row r="385" spans="2:16" x14ac:dyDescent="0.4">
      <c r="B385" s="519" t="s">
        <v>1139</v>
      </c>
      <c r="C385" s="527"/>
      <c r="D385" s="527"/>
      <c r="E385" s="527"/>
      <c r="F385" s="527"/>
      <c r="G385" s="527"/>
      <c r="H385" s="527"/>
      <c r="I385" s="527"/>
      <c r="J385" s="527"/>
      <c r="K385" s="527"/>
      <c r="L385" s="527"/>
      <c r="M385" s="527"/>
      <c r="N385" s="527"/>
      <c r="O385" s="544">
        <f t="shared" si="109"/>
        <v>0</v>
      </c>
      <c r="P385" s="617">
        <f>+'Sales Proj'!Q83</f>
        <v>0</v>
      </c>
    </row>
    <row r="386" spans="2:16" x14ac:dyDescent="0.4">
      <c r="B386" s="520" t="s">
        <v>1140</v>
      </c>
      <c r="C386" s="527">
        <f t="shared" ref="C386:N386" si="114">+$P386*C358/$O358</f>
        <v>3.7299069326934546E-2</v>
      </c>
      <c r="D386" s="527">
        <f t="shared" si="114"/>
        <v>4.8077990560332851E-2</v>
      </c>
      <c r="E386" s="527">
        <f t="shared" si="114"/>
        <v>4.0126469973306163E-2</v>
      </c>
      <c r="F386" s="527">
        <f t="shared" si="114"/>
        <v>3.8062902486169704E-2</v>
      </c>
      <c r="G386" s="527">
        <f t="shared" si="114"/>
        <v>3.9700184952776295E-2</v>
      </c>
      <c r="H386" s="527">
        <f t="shared" si="114"/>
        <v>3.6550895617433132E-2</v>
      </c>
      <c r="I386" s="527">
        <f t="shared" si="114"/>
        <v>3.7448704068834833E-2</v>
      </c>
      <c r="J386" s="527">
        <f t="shared" si="114"/>
        <v>3.7768852818947055E-2</v>
      </c>
      <c r="K386" s="527">
        <f t="shared" si="114"/>
        <v>3.129628026233016E-2</v>
      </c>
      <c r="L386" s="527">
        <f t="shared" si="114"/>
        <v>3.3004900222168274E-2</v>
      </c>
      <c r="M386" s="527">
        <f t="shared" si="114"/>
        <v>3.2237587185214495E-2</v>
      </c>
      <c r="N386" s="527">
        <f t="shared" si="114"/>
        <v>3.6918022716746608E-2</v>
      </c>
      <c r="O386" s="544">
        <f t="shared" si="109"/>
        <v>0.44849186019119414</v>
      </c>
      <c r="P386" s="617">
        <f>+'Sales Proj'!Q84</f>
        <v>0.44849186019119414</v>
      </c>
    </row>
    <row r="387" spans="2:16" x14ac:dyDescent="0.4">
      <c r="B387" s="520" t="s">
        <v>1144</v>
      </c>
      <c r="C387" s="527">
        <f t="shared" ref="C387:N387" si="115">+$P387*C359/$O359</f>
        <v>5.7217524078334629E-2</v>
      </c>
      <c r="D387" s="527">
        <f t="shared" si="115"/>
        <v>6.8054529828351557E-2</v>
      </c>
      <c r="E387" s="527">
        <f t="shared" si="115"/>
        <v>6.9231042609087426E-2</v>
      </c>
      <c r="F387" s="527">
        <f t="shared" si="115"/>
        <v>6.0813369698025886E-2</v>
      </c>
      <c r="G387" s="527">
        <f t="shared" si="115"/>
        <v>6.6240316288226714E-2</v>
      </c>
      <c r="H387" s="527">
        <f t="shared" si="115"/>
        <v>6.2609796670620596E-2</v>
      </c>
      <c r="I387" s="527">
        <f t="shared" si="115"/>
        <v>7.3481247547279041E-2</v>
      </c>
      <c r="J387" s="527">
        <f t="shared" si="115"/>
        <v>6.0359125612187557E-2</v>
      </c>
      <c r="K387" s="527">
        <f t="shared" si="115"/>
        <v>5.8274942057179896E-2</v>
      </c>
      <c r="L387" s="527">
        <f t="shared" si="115"/>
        <v>6.563648847729589E-2</v>
      </c>
      <c r="M387" s="527">
        <f t="shared" si="115"/>
        <v>6.2938537558914071E-2</v>
      </c>
      <c r="N387" s="527">
        <f t="shared" si="115"/>
        <v>8.3030394642067754E-2</v>
      </c>
      <c r="O387" s="544">
        <f t="shared" ref="O387:O392" si="116">SUM(C387:N387)</f>
        <v>0.78788731506757104</v>
      </c>
      <c r="P387" s="617">
        <f>+'Sales Proj'!Q85</f>
        <v>0.78788731506757104</v>
      </c>
    </row>
    <row r="388" spans="2:16" x14ac:dyDescent="0.4">
      <c r="B388" s="520" t="s">
        <v>1143</v>
      </c>
      <c r="C388" s="527">
        <f t="shared" ref="C388:N388" si="117">+$P388*C360/$O360</f>
        <v>2.1580837853331775E-2</v>
      </c>
      <c r="D388" s="527">
        <f t="shared" si="117"/>
        <v>1.6990614113322519E-2</v>
      </c>
      <c r="E388" s="527">
        <f t="shared" si="117"/>
        <v>2.7083724492694059E-2</v>
      </c>
      <c r="F388" s="527">
        <f t="shared" si="117"/>
        <v>2.2459220949787088E-2</v>
      </c>
      <c r="G388" s="527">
        <f t="shared" si="117"/>
        <v>2.5078476632336519E-2</v>
      </c>
      <c r="H388" s="527">
        <f t="shared" si="117"/>
        <v>2.008008469973219E-2</v>
      </c>
      <c r="I388" s="527">
        <f t="shared" si="117"/>
        <v>2.3034955465850823E-2</v>
      </c>
      <c r="J388" s="527">
        <f t="shared" si="117"/>
        <v>1.5343789868407483E-2</v>
      </c>
      <c r="K388" s="527">
        <f t="shared" si="117"/>
        <v>1.1654811360797044E-2</v>
      </c>
      <c r="L388" s="527">
        <f t="shared" si="117"/>
        <v>1.5653219363680318E-2</v>
      </c>
      <c r="M388" s="527">
        <f t="shared" si="117"/>
        <v>1.5914994840538679E-2</v>
      </c>
      <c r="N388" s="527">
        <f t="shared" si="117"/>
        <v>1.975511002409918E-2</v>
      </c>
      <c r="O388" s="544">
        <f t="shared" si="116"/>
        <v>0.23462983966457771</v>
      </c>
      <c r="P388" s="617">
        <f>+'Sales Proj'!Q86</f>
        <v>0.23462983966457768</v>
      </c>
    </row>
    <row r="389" spans="2:16" x14ac:dyDescent="0.4">
      <c r="B389" s="519" t="s">
        <v>1111</v>
      </c>
      <c r="C389" s="527">
        <f t="shared" ref="C389:N389" si="118">+$P389*C361/$O361</f>
        <v>0.10735324514461918</v>
      </c>
      <c r="D389" s="527">
        <f t="shared" si="118"/>
        <v>0.11003750835857572</v>
      </c>
      <c r="E389" s="527">
        <f t="shared" si="118"/>
        <v>9.8496404080205394E-2</v>
      </c>
      <c r="F389" s="527">
        <f t="shared" si="118"/>
        <v>0.10807216061451699</v>
      </c>
      <c r="G389" s="527">
        <f t="shared" si="118"/>
        <v>0.1170609099962594</v>
      </c>
      <c r="H389" s="527">
        <f t="shared" si="118"/>
        <v>0.11634637361229798</v>
      </c>
      <c r="I389" s="527">
        <f t="shared" si="118"/>
        <v>0.11856102644559714</v>
      </c>
      <c r="J389" s="527">
        <f t="shared" si="118"/>
        <v>0.11443625359566044</v>
      </c>
      <c r="K389" s="527">
        <f t="shared" si="118"/>
        <v>0.12606761828894311</v>
      </c>
      <c r="L389" s="527">
        <f t="shared" si="118"/>
        <v>0.1023964226737578</v>
      </c>
      <c r="M389" s="527">
        <f t="shared" si="118"/>
        <v>9.4100617055428715E-2</v>
      </c>
      <c r="N389" s="527">
        <f t="shared" si="118"/>
        <v>9.36949925740653E-2</v>
      </c>
      <c r="O389" s="544">
        <f t="shared" si="116"/>
        <v>1.3066235324399273</v>
      </c>
      <c r="P389" s="617">
        <f>+'Sales Proj'!Q87</f>
        <v>1.3066235324399273</v>
      </c>
    </row>
    <row r="390" spans="2:16" x14ac:dyDescent="0.4">
      <c r="B390" s="519" t="s">
        <v>1135</v>
      </c>
      <c r="C390" s="527">
        <f t="shared" ref="C390:N390" si="119">+$P390*C362/$O362</f>
        <v>3.1725780189769052E-3</v>
      </c>
      <c r="D390" s="527">
        <f t="shared" si="119"/>
        <v>3.873717761170797E-3</v>
      </c>
      <c r="E390" s="527">
        <f t="shared" si="119"/>
        <v>3.1027813025594105E-3</v>
      </c>
      <c r="F390" s="527">
        <f t="shared" si="119"/>
        <v>2.6015139755610588E-3</v>
      </c>
      <c r="G390" s="527">
        <f t="shared" si="119"/>
        <v>3.0139491180280619E-3</v>
      </c>
      <c r="H390" s="527">
        <f t="shared" si="119"/>
        <v>2.4428850746122145E-3</v>
      </c>
      <c r="I390" s="527">
        <f t="shared" si="119"/>
        <v>2.2842561736633655E-3</v>
      </c>
      <c r="J390" s="527">
        <f t="shared" si="119"/>
        <v>2.5697881953712911E-3</v>
      </c>
      <c r="K390" s="527">
        <f t="shared" si="119"/>
        <v>2.8235944368894443E-3</v>
      </c>
      <c r="L390" s="527">
        <f t="shared" si="119"/>
        <v>2.9504975576485201E-3</v>
      </c>
      <c r="M390" s="527">
        <f t="shared" si="119"/>
        <v>2.4428850746122145E-3</v>
      </c>
      <c r="N390" s="527">
        <f t="shared" si="119"/>
        <v>2.8235944368894443E-3</v>
      </c>
      <c r="O390" s="544">
        <f t="shared" si="116"/>
        <v>3.4102041125982731E-2</v>
      </c>
      <c r="P390" s="617">
        <f>+'Sales Proj'!Q88</f>
        <v>3.4102041125982731E-2</v>
      </c>
    </row>
    <row r="391" spans="2:16" x14ac:dyDescent="0.4">
      <c r="B391" s="519" t="s">
        <v>1136</v>
      </c>
      <c r="C391" s="527"/>
      <c r="D391" s="527"/>
      <c r="E391" s="527"/>
      <c r="F391" s="527"/>
      <c r="G391" s="527"/>
      <c r="H391" s="527"/>
      <c r="I391" s="527"/>
      <c r="J391" s="527"/>
      <c r="K391" s="527"/>
      <c r="L391" s="527"/>
      <c r="M391" s="527"/>
      <c r="N391" s="527"/>
      <c r="O391" s="544">
        <f t="shared" si="116"/>
        <v>0</v>
      </c>
      <c r="P391" s="617">
        <f>+'Sales Proj'!Q89</f>
        <v>0</v>
      </c>
    </row>
    <row r="392" spans="2:16" x14ac:dyDescent="0.4">
      <c r="B392" s="566" t="s">
        <v>1142</v>
      </c>
      <c r="C392" s="527">
        <f t="shared" ref="C392:N392" si="120">+$P392*C364/$O364</f>
        <v>1.8917459193021568E-3</v>
      </c>
      <c r="D392" s="527">
        <f t="shared" si="120"/>
        <v>2.0667845562747818E-3</v>
      </c>
      <c r="E392" s="527">
        <f t="shared" si="120"/>
        <v>1.8455811522302809E-3</v>
      </c>
      <c r="F392" s="527">
        <f t="shared" si="120"/>
        <v>1.8213061080119073E-3</v>
      </c>
      <c r="G392" s="527">
        <f t="shared" si="120"/>
        <v>1.5582050772686973E-3</v>
      </c>
      <c r="H392" s="527">
        <f t="shared" si="120"/>
        <v>1.4753882013601514E-3</v>
      </c>
      <c r="I392" s="527">
        <f t="shared" si="120"/>
        <v>2.0483115768376785E-3</v>
      </c>
      <c r="J392" s="527">
        <f t="shared" si="120"/>
        <v>2.382677556512358E-3</v>
      </c>
      <c r="K392" s="527">
        <f t="shared" si="120"/>
        <v>2.7790559978334395E-3</v>
      </c>
      <c r="L392" s="527">
        <f t="shared" si="120"/>
        <v>2.8382722532487303E-3</v>
      </c>
      <c r="M392" s="527">
        <f t="shared" si="120"/>
        <v>2.8977570993860106E-3</v>
      </c>
      <c r="N392" s="527">
        <f t="shared" si="120"/>
        <v>3.5793292108053701E-3</v>
      </c>
      <c r="O392" s="544">
        <f t="shared" si="116"/>
        <v>2.7184414709071562E-2</v>
      </c>
      <c r="P392" s="617">
        <f>+'Sales Proj'!Q90</f>
        <v>2.7184414709071562E-2</v>
      </c>
    </row>
    <row r="393" spans="2:16" x14ac:dyDescent="0.4">
      <c r="B393" s="175" t="s">
        <v>162</v>
      </c>
      <c r="C393" s="545">
        <f t="shared" ref="C393:O393" si="121">SUM(C380:C392)</f>
        <v>1.269657987161982</v>
      </c>
      <c r="D393" s="545">
        <f t="shared" si="121"/>
        <v>1.5267551637885706</v>
      </c>
      <c r="E393" s="545">
        <f t="shared" si="121"/>
        <v>1.2549596166143067</v>
      </c>
      <c r="F393" s="545">
        <f t="shared" si="121"/>
        <v>1.1169638156109389</v>
      </c>
      <c r="G393" s="545">
        <f t="shared" si="121"/>
        <v>1.1276332788428551</v>
      </c>
      <c r="H393" s="545">
        <f t="shared" si="121"/>
        <v>1.1303755781249631</v>
      </c>
      <c r="I393" s="545">
        <f t="shared" si="121"/>
        <v>1.2377947428054832</v>
      </c>
      <c r="J393" s="545">
        <f t="shared" si="121"/>
        <v>1.1705246771464066</v>
      </c>
      <c r="K393" s="545">
        <f t="shared" si="121"/>
        <v>1.0351478041569333</v>
      </c>
      <c r="L393" s="545">
        <f t="shared" si="121"/>
        <v>1.0699609745600973</v>
      </c>
      <c r="M393" s="545">
        <f t="shared" si="121"/>
        <v>1.0473355113861937</v>
      </c>
      <c r="N393" s="545">
        <f t="shared" si="121"/>
        <v>1.3342970274049915</v>
      </c>
      <c r="O393" s="545">
        <f t="shared" si="121"/>
        <v>14.321406177603723</v>
      </c>
    </row>
    <row r="394" spans="2:16" x14ac:dyDescent="0.4">
      <c r="B394" s="175"/>
      <c r="C394" s="543"/>
      <c r="D394" s="543"/>
      <c r="E394" s="543"/>
      <c r="F394" s="543"/>
      <c r="G394" s="543"/>
      <c r="H394" s="543"/>
      <c r="I394" s="543"/>
      <c r="J394" s="543"/>
      <c r="K394" s="543"/>
      <c r="L394" s="543"/>
      <c r="M394" s="543"/>
      <c r="N394" s="543"/>
      <c r="O394" s="543"/>
    </row>
    <row r="395" spans="2:16" x14ac:dyDescent="0.4">
      <c r="B395" s="119" t="s">
        <v>164</v>
      </c>
      <c r="C395" s="545">
        <f t="shared" ref="C395:N395" si="122">C377+C393</f>
        <v>1.367645060894487</v>
      </c>
      <c r="D395" s="545">
        <f t="shared" si="122"/>
        <v>1.6399133970326549</v>
      </c>
      <c r="E395" s="545">
        <f t="shared" si="122"/>
        <v>1.3371534808261727</v>
      </c>
      <c r="F395" s="545">
        <f t="shared" si="122"/>
        <v>1.2135777696426577</v>
      </c>
      <c r="G395" s="545">
        <f t="shared" si="122"/>
        <v>1.2138024372905358</v>
      </c>
      <c r="H395" s="545">
        <f t="shared" si="122"/>
        <v>1.2158777596701835</v>
      </c>
      <c r="I395" s="545">
        <f t="shared" si="122"/>
        <v>1.3193026843402997</v>
      </c>
      <c r="J395" s="545">
        <f t="shared" si="122"/>
        <v>1.2370187033998852</v>
      </c>
      <c r="K395" s="545">
        <f t="shared" si="122"/>
        <v>1.125327025484653</v>
      </c>
      <c r="L395" s="545">
        <f t="shared" si="122"/>
        <v>1.1720521748256398</v>
      </c>
      <c r="M395" s="545">
        <f t="shared" si="122"/>
        <v>1.1505161831134811</v>
      </c>
      <c r="N395" s="545">
        <f t="shared" si="122"/>
        <v>1.462408991791913</v>
      </c>
      <c r="O395" s="545">
        <f>O377+O393</f>
        <v>15.454595668312564</v>
      </c>
    </row>
    <row r="396" spans="2:16" x14ac:dyDescent="0.4">
      <c r="B396" s="118"/>
      <c r="E396" s="198"/>
      <c r="F396" s="199"/>
      <c r="G396" s="198"/>
      <c r="H396" s="198"/>
      <c r="I396" s="198"/>
      <c r="J396" s="198"/>
      <c r="K396" s="198"/>
      <c r="L396" s="198"/>
      <c r="M396" s="198"/>
      <c r="N396" s="198"/>
      <c r="O396" s="199"/>
    </row>
    <row r="397" spans="2:16" x14ac:dyDescent="0.4">
      <c r="B397" s="6" t="s">
        <v>194</v>
      </c>
    </row>
    <row r="399" spans="2:16" x14ac:dyDescent="0.4">
      <c r="B399" s="106" t="s">
        <v>160</v>
      </c>
      <c r="C399" s="64" t="s">
        <v>196</v>
      </c>
      <c r="D399" s="64" t="s">
        <v>197</v>
      </c>
      <c r="E399" s="64" t="s">
        <v>198</v>
      </c>
      <c r="F399" s="64" t="s">
        <v>199</v>
      </c>
      <c r="G399" s="64" t="s">
        <v>112</v>
      </c>
      <c r="H399" s="64" t="s">
        <v>113</v>
      </c>
      <c r="I399" s="64" t="s">
        <v>114</v>
      </c>
    </row>
    <row r="400" spans="2:16" x14ac:dyDescent="0.4">
      <c r="B400" s="517" t="s">
        <v>161</v>
      </c>
      <c r="C400" s="65"/>
      <c r="D400" s="65"/>
      <c r="E400" s="65"/>
      <c r="F400" s="65"/>
      <c r="G400" s="65"/>
      <c r="H400" s="65"/>
      <c r="I400" s="65"/>
    </row>
    <row r="401" spans="2:9" x14ac:dyDescent="0.4">
      <c r="B401" s="429" t="s">
        <v>1129</v>
      </c>
      <c r="C401" s="65"/>
      <c r="D401" s="620">
        <f t="shared" ref="D401:I401" si="123">+D12</f>
        <v>0</v>
      </c>
      <c r="E401" s="620">
        <f t="shared" si="123"/>
        <v>1.44E-2</v>
      </c>
      <c r="F401" s="620">
        <f t="shared" si="123"/>
        <v>0.2327999999999999</v>
      </c>
      <c r="G401" s="620">
        <f t="shared" si="123"/>
        <v>0.23520000000000008</v>
      </c>
      <c r="H401" s="620">
        <f t="shared" si="123"/>
        <v>0.28320001560000035</v>
      </c>
      <c r="I401" s="620">
        <f t="shared" si="123"/>
        <v>0.18479900000000216</v>
      </c>
    </row>
    <row r="402" spans="2:9" x14ac:dyDescent="0.4">
      <c r="B402" s="429" t="s">
        <v>1130</v>
      </c>
      <c r="C402" s="65"/>
      <c r="D402" s="620">
        <f t="shared" ref="D402:I402" si="124">+D13</f>
        <v>1.30500858</v>
      </c>
      <c r="E402" s="620">
        <f t="shared" si="124"/>
        <v>1.4610856130000001</v>
      </c>
      <c r="F402" s="620">
        <f t="shared" si="124"/>
        <v>1.3284717518999998</v>
      </c>
      <c r="G402" s="620">
        <f t="shared" si="124"/>
        <v>0.2832694</v>
      </c>
      <c r="H402" s="620">
        <f t="shared" si="124"/>
        <v>0.33086001000000004</v>
      </c>
      <c r="I402" s="620">
        <f t="shared" si="124"/>
        <v>0.46751607000000006</v>
      </c>
    </row>
    <row r="403" spans="2:9" x14ac:dyDescent="0.4">
      <c r="B403" s="429" t="s">
        <v>1131</v>
      </c>
      <c r="C403" s="65"/>
      <c r="D403" s="620">
        <f t="shared" ref="D403:I403" si="125">+D14</f>
        <v>0.56330367000000003</v>
      </c>
      <c r="E403" s="620">
        <f t="shared" si="125"/>
        <v>0</v>
      </c>
      <c r="F403" s="620">
        <f t="shared" si="125"/>
        <v>0</v>
      </c>
      <c r="G403" s="620">
        <f t="shared" si="125"/>
        <v>0</v>
      </c>
      <c r="H403" s="620">
        <f t="shared" si="125"/>
        <v>0</v>
      </c>
      <c r="I403" s="620">
        <f t="shared" si="125"/>
        <v>0</v>
      </c>
    </row>
    <row r="404" spans="2:9" x14ac:dyDescent="0.4">
      <c r="B404" s="429" t="s">
        <v>1132</v>
      </c>
      <c r="C404" s="65"/>
      <c r="D404" s="620">
        <f t="shared" ref="D404:I404" si="126">+D15</f>
        <v>0</v>
      </c>
      <c r="E404" s="620">
        <f t="shared" si="126"/>
        <v>0</v>
      </c>
      <c r="F404" s="620">
        <f t="shared" si="126"/>
        <v>0</v>
      </c>
      <c r="G404" s="620">
        <f t="shared" si="126"/>
        <v>0</v>
      </c>
      <c r="H404" s="620">
        <f t="shared" si="126"/>
        <v>0</v>
      </c>
      <c r="I404" s="620">
        <f t="shared" si="126"/>
        <v>0</v>
      </c>
    </row>
    <row r="405" spans="2:9" x14ac:dyDescent="0.4">
      <c r="B405" s="518" t="s">
        <v>162</v>
      </c>
      <c r="C405" s="65"/>
      <c r="D405" s="619">
        <f t="shared" ref="D405:I405" si="127">SUM(D401:D404)</f>
        <v>1.86831225</v>
      </c>
      <c r="E405" s="619">
        <f t="shared" si="127"/>
        <v>1.475485613</v>
      </c>
      <c r="F405" s="619">
        <f t="shared" si="127"/>
        <v>1.5612717518999997</v>
      </c>
      <c r="G405" s="619">
        <f t="shared" si="127"/>
        <v>0.51846940000000008</v>
      </c>
      <c r="H405" s="619">
        <f t="shared" si="127"/>
        <v>0.61406002560000039</v>
      </c>
      <c r="I405" s="619">
        <f t="shared" si="127"/>
        <v>0.65231507000000222</v>
      </c>
    </row>
    <row r="406" spans="2:9" x14ac:dyDescent="0.4">
      <c r="B406" s="517" t="s">
        <v>163</v>
      </c>
      <c r="C406" s="65"/>
      <c r="D406" s="620"/>
      <c r="E406" s="620"/>
      <c r="F406" s="620"/>
      <c r="G406" s="620"/>
      <c r="H406" s="620"/>
      <c r="I406" s="620"/>
    </row>
    <row r="407" spans="2:9" x14ac:dyDescent="0.4">
      <c r="B407" s="519" t="s">
        <v>1133</v>
      </c>
      <c r="C407" s="65"/>
      <c r="D407" s="620"/>
      <c r="E407" s="620"/>
      <c r="F407" s="620"/>
      <c r="G407" s="620"/>
      <c r="H407" s="620"/>
      <c r="I407" s="620"/>
    </row>
    <row r="408" spans="2:9" x14ac:dyDescent="0.4">
      <c r="B408" s="520" t="s">
        <v>1106</v>
      </c>
      <c r="C408" s="65"/>
      <c r="D408" s="620">
        <f t="shared" ref="D408:I408" si="128">+D19</f>
        <v>4.5234989999999996E-2</v>
      </c>
      <c r="E408" s="620">
        <f t="shared" si="128"/>
        <v>0.17605925</v>
      </c>
      <c r="F408" s="620">
        <f t="shared" si="128"/>
        <v>0.34350700000000006</v>
      </c>
      <c r="G408" s="620">
        <f t="shared" si="128"/>
        <v>0.60887500000000006</v>
      </c>
      <c r="H408" s="620">
        <f t="shared" si="128"/>
        <v>0.93132999999999988</v>
      </c>
      <c r="I408" s="620">
        <f t="shared" si="128"/>
        <v>1.2685139999999999</v>
      </c>
    </row>
    <row r="409" spans="2:9" x14ac:dyDescent="0.4">
      <c r="B409" s="520" t="s">
        <v>1107</v>
      </c>
      <c r="C409" s="65"/>
      <c r="D409" s="620">
        <f t="shared" ref="D409:I409" si="129">+D20</f>
        <v>8.3919010000000002E-2</v>
      </c>
      <c r="E409" s="620">
        <f t="shared" si="129"/>
        <v>0.13921244499999999</v>
      </c>
      <c r="F409" s="620">
        <f t="shared" si="129"/>
        <v>0.29010199999999997</v>
      </c>
      <c r="G409" s="620">
        <f t="shared" si="129"/>
        <v>0.58151600000000014</v>
      </c>
      <c r="H409" s="620">
        <f t="shared" si="129"/>
        <v>0.90188899999999994</v>
      </c>
      <c r="I409" s="620">
        <f t="shared" si="129"/>
        <v>1.3396719999999998</v>
      </c>
    </row>
    <row r="410" spans="2:9" x14ac:dyDescent="0.4">
      <c r="B410" s="520" t="s">
        <v>1108</v>
      </c>
      <c r="C410" s="65"/>
      <c r="D410" s="620">
        <f t="shared" ref="D410:I410" si="130">+D21</f>
        <v>3.5031049999999994E-2</v>
      </c>
      <c r="E410" s="620">
        <f t="shared" si="130"/>
        <v>4.2151488999999993E-2</v>
      </c>
      <c r="F410" s="620">
        <f t="shared" si="130"/>
        <v>9.0147000000000005E-2</v>
      </c>
      <c r="G410" s="620">
        <f t="shared" si="130"/>
        <v>0.19316800000000001</v>
      </c>
      <c r="H410" s="620">
        <f t="shared" si="130"/>
        <v>0.31589299999999998</v>
      </c>
      <c r="I410" s="620">
        <f t="shared" si="130"/>
        <v>0.51790599999999987</v>
      </c>
    </row>
    <row r="411" spans="2:9" x14ac:dyDescent="0.4">
      <c r="B411" s="520" t="s">
        <v>1109</v>
      </c>
      <c r="C411" s="65"/>
      <c r="D411" s="620">
        <f t="shared" ref="D411:I411" si="131">+D22</f>
        <v>3.430271E-2</v>
      </c>
      <c r="E411" s="620">
        <f t="shared" si="131"/>
        <v>0.49055880999999996</v>
      </c>
      <c r="F411" s="620">
        <f t="shared" si="131"/>
        <v>0.84930899999999998</v>
      </c>
      <c r="G411" s="620">
        <f t="shared" si="131"/>
        <v>1.5647049999999998</v>
      </c>
      <c r="H411" s="620">
        <f t="shared" si="131"/>
        <v>1.8567230000000001</v>
      </c>
      <c r="I411" s="620">
        <f t="shared" si="131"/>
        <v>1.9953139999999996</v>
      </c>
    </row>
    <row r="412" spans="2:9" x14ac:dyDescent="0.4">
      <c r="B412" s="520" t="s">
        <v>1110</v>
      </c>
      <c r="C412" s="65"/>
      <c r="D412" s="620">
        <f t="shared" ref="D412:I412" si="132">+D23</f>
        <v>0.30698021999999997</v>
      </c>
      <c r="E412" s="620">
        <f t="shared" si="132"/>
        <v>0</v>
      </c>
      <c r="F412" s="620">
        <f t="shared" si="132"/>
        <v>0</v>
      </c>
      <c r="G412" s="620">
        <f t="shared" si="132"/>
        <v>0</v>
      </c>
      <c r="H412" s="620">
        <f t="shared" si="132"/>
        <v>0</v>
      </c>
      <c r="I412" s="620">
        <f t="shared" si="132"/>
        <v>0</v>
      </c>
    </row>
    <row r="413" spans="2:9" x14ac:dyDescent="0.4">
      <c r="B413" s="519" t="s">
        <v>1139</v>
      </c>
      <c r="C413" s="65"/>
      <c r="D413" s="620">
        <f t="shared" ref="D413:I413" si="133">+D24</f>
        <v>0</v>
      </c>
      <c r="E413" s="620">
        <f t="shared" si="133"/>
        <v>0</v>
      </c>
      <c r="F413" s="620">
        <f t="shared" si="133"/>
        <v>0</v>
      </c>
      <c r="G413" s="620">
        <f t="shared" si="133"/>
        <v>0</v>
      </c>
      <c r="H413" s="620">
        <f t="shared" si="133"/>
        <v>0</v>
      </c>
      <c r="I413" s="620">
        <f t="shared" si="133"/>
        <v>0</v>
      </c>
    </row>
    <row r="414" spans="2:9" x14ac:dyDescent="0.4">
      <c r="B414" s="520" t="s">
        <v>1140</v>
      </c>
      <c r="C414" s="65"/>
      <c r="D414" s="620">
        <f t="shared" ref="D414:I414" si="134">+D25</f>
        <v>1.8100000000000001E-4</v>
      </c>
      <c r="E414" s="620">
        <f t="shared" si="134"/>
        <v>8.5880000000000001E-3</v>
      </c>
      <c r="F414" s="620">
        <f t="shared" si="134"/>
        <v>4.0542999999999996E-2</v>
      </c>
      <c r="G414" s="620">
        <f t="shared" si="134"/>
        <v>7.4424000000000004E-2</v>
      </c>
      <c r="H414" s="620">
        <f t="shared" si="134"/>
        <v>0.15646300000000002</v>
      </c>
      <c r="I414" s="620">
        <f t="shared" si="134"/>
        <v>0.25776300000000002</v>
      </c>
    </row>
    <row r="415" spans="2:9" x14ac:dyDescent="0.4">
      <c r="B415" s="520" t="s">
        <v>1141</v>
      </c>
      <c r="C415" s="65"/>
      <c r="D415" s="620">
        <f t="shared" ref="D415:I415" si="135">+D26</f>
        <v>0</v>
      </c>
      <c r="E415" s="620">
        <f t="shared" si="135"/>
        <v>0</v>
      </c>
      <c r="F415" s="620">
        <f t="shared" si="135"/>
        <v>0.12834783</v>
      </c>
      <c r="G415" s="620">
        <f t="shared" si="135"/>
        <v>0.30945506229999997</v>
      </c>
      <c r="H415" s="620">
        <f t="shared" si="135"/>
        <v>0.27486611</v>
      </c>
      <c r="I415" s="620">
        <f t="shared" si="135"/>
        <v>0.48194874999999998</v>
      </c>
    </row>
    <row r="416" spans="2:9" x14ac:dyDescent="0.4">
      <c r="B416" s="520"/>
      <c r="C416" s="65"/>
      <c r="D416" s="620">
        <f t="shared" ref="D416:I416" si="136">+D27</f>
        <v>0</v>
      </c>
      <c r="E416" s="620">
        <f t="shared" si="136"/>
        <v>0</v>
      </c>
      <c r="F416" s="620">
        <f t="shared" si="136"/>
        <v>0</v>
      </c>
      <c r="G416" s="620">
        <f t="shared" si="136"/>
        <v>6.9497249999999997E-2</v>
      </c>
      <c r="H416" s="620">
        <f t="shared" si="136"/>
        <v>8.1854079999999996E-2</v>
      </c>
      <c r="I416" s="620">
        <f t="shared" si="136"/>
        <v>8.7541799999999989E-2</v>
      </c>
    </row>
    <row r="417" spans="2:9" x14ac:dyDescent="0.4">
      <c r="B417" s="519" t="s">
        <v>1111</v>
      </c>
      <c r="C417" s="65"/>
      <c r="D417" s="620">
        <f t="shared" ref="D417:I417" si="137">+D28</f>
        <v>0</v>
      </c>
      <c r="E417" s="620">
        <f t="shared" si="137"/>
        <v>7.2580000000000006E-2</v>
      </c>
      <c r="F417" s="620">
        <f t="shared" si="137"/>
        <v>0.26699392</v>
      </c>
      <c r="G417" s="620">
        <f t="shared" si="137"/>
        <v>0.34130574200000002</v>
      </c>
      <c r="H417" s="620">
        <f t="shared" si="137"/>
        <v>0.45583488999999999</v>
      </c>
      <c r="I417" s="620">
        <f t="shared" si="137"/>
        <v>0.56095090999999997</v>
      </c>
    </row>
    <row r="418" spans="2:9" x14ac:dyDescent="0.4">
      <c r="B418" s="519" t="s">
        <v>1135</v>
      </c>
      <c r="C418" s="65"/>
      <c r="D418" s="620">
        <f t="shared" ref="D418:I418" si="138">+D29</f>
        <v>2.1779999999999994E-2</v>
      </c>
      <c r="E418" s="620">
        <f t="shared" si="138"/>
        <v>1.0022000000000003E-2</v>
      </c>
      <c r="F418" s="620">
        <f t="shared" si="138"/>
        <v>1.2699999999999998E-2</v>
      </c>
      <c r="G418" s="620">
        <f t="shared" si="138"/>
        <v>1.1190000000000005E-2</v>
      </c>
      <c r="H418" s="620">
        <f t="shared" si="138"/>
        <v>1.1896999999999998E-2</v>
      </c>
      <c r="I418" s="620">
        <f t="shared" si="138"/>
        <v>1.0749E-2</v>
      </c>
    </row>
    <row r="419" spans="2:9" x14ac:dyDescent="0.4">
      <c r="B419" s="519" t="s">
        <v>1136</v>
      </c>
      <c r="C419" s="65"/>
      <c r="D419" s="620">
        <f t="shared" ref="D419:I419" si="139">+D30</f>
        <v>1.318683E-2</v>
      </c>
      <c r="E419" s="620">
        <f t="shared" si="139"/>
        <v>6.4155000000000011E-3</v>
      </c>
      <c r="F419" s="620">
        <f t="shared" si="139"/>
        <v>3.8269799999999998E-3</v>
      </c>
      <c r="G419" s="620">
        <f t="shared" si="139"/>
        <v>0</v>
      </c>
      <c r="H419" s="620">
        <f t="shared" si="139"/>
        <v>0</v>
      </c>
      <c r="I419" s="620">
        <f t="shared" si="139"/>
        <v>0</v>
      </c>
    </row>
    <row r="420" spans="2:9" x14ac:dyDescent="0.4">
      <c r="B420" s="566" t="s">
        <v>1142</v>
      </c>
      <c r="C420" s="65"/>
      <c r="D420" s="620">
        <f t="shared" ref="D420:I420" si="140">+D31</f>
        <v>0</v>
      </c>
      <c r="E420" s="620">
        <f t="shared" si="140"/>
        <v>0</v>
      </c>
      <c r="F420" s="620">
        <f t="shared" si="140"/>
        <v>1.8542E-4</v>
      </c>
      <c r="G420" s="620">
        <f t="shared" si="140"/>
        <v>1.778895E-3</v>
      </c>
      <c r="H420" s="620">
        <f t="shared" si="140"/>
        <v>9.4836839999999992E-3</v>
      </c>
      <c r="I420" s="620">
        <f t="shared" si="140"/>
        <v>3.2286402999999991E-2</v>
      </c>
    </row>
    <row r="421" spans="2:9" x14ac:dyDescent="0.4">
      <c r="B421" s="175" t="s">
        <v>162</v>
      </c>
      <c r="C421" s="65"/>
      <c r="D421" s="619">
        <f t="shared" ref="D421:I421" si="141">SUM(D408:D420)</f>
        <v>0.54061580999999992</v>
      </c>
      <c r="E421" s="619">
        <f t="shared" si="141"/>
        <v>0.94558749399999997</v>
      </c>
      <c r="F421" s="619">
        <f t="shared" si="141"/>
        <v>2.0256621500000005</v>
      </c>
      <c r="G421" s="619">
        <f t="shared" si="141"/>
        <v>3.7559149493000001</v>
      </c>
      <c r="H421" s="619">
        <f t="shared" si="141"/>
        <v>4.9962337640000003</v>
      </c>
      <c r="I421" s="619">
        <f t="shared" si="141"/>
        <v>6.5526458629999986</v>
      </c>
    </row>
    <row r="422" spans="2:9" x14ac:dyDescent="0.4">
      <c r="B422" s="175"/>
      <c r="C422" s="65"/>
      <c r="D422" s="620">
        <f t="shared" ref="D422:I422" si="142">+D33</f>
        <v>0</v>
      </c>
      <c r="E422" s="620">
        <f t="shared" si="142"/>
        <v>0</v>
      </c>
      <c r="F422" s="620">
        <f t="shared" si="142"/>
        <v>0</v>
      </c>
      <c r="G422" s="620">
        <f t="shared" si="142"/>
        <v>0</v>
      </c>
      <c r="H422" s="620">
        <f t="shared" si="142"/>
        <v>0</v>
      </c>
      <c r="I422" s="620">
        <f t="shared" si="142"/>
        <v>0</v>
      </c>
    </row>
    <row r="423" spans="2:9" x14ac:dyDescent="0.4">
      <c r="B423" s="119" t="s">
        <v>164</v>
      </c>
      <c r="C423" s="65"/>
      <c r="D423" s="619">
        <f t="shared" ref="D423:I423" si="143">+D421+D405</f>
        <v>2.40892806</v>
      </c>
      <c r="E423" s="619">
        <f t="shared" si="143"/>
        <v>2.4210731069999998</v>
      </c>
      <c r="F423" s="619">
        <f t="shared" si="143"/>
        <v>3.5869339019000002</v>
      </c>
      <c r="G423" s="619">
        <f t="shared" si="143"/>
        <v>4.2743843493</v>
      </c>
      <c r="H423" s="619">
        <f t="shared" si="143"/>
        <v>5.6102937896000009</v>
      </c>
      <c r="I423" s="619">
        <f t="shared" si="143"/>
        <v>7.2049609330000006</v>
      </c>
    </row>
    <row r="424" spans="2:9" x14ac:dyDescent="0.4">
      <c r="B424" s="118" t="s">
        <v>165</v>
      </c>
      <c r="D424" s="562"/>
      <c r="E424" s="562"/>
      <c r="F424" s="562"/>
      <c r="G424" s="562"/>
      <c r="H424" s="562"/>
      <c r="I424" s="562"/>
    </row>
    <row r="425" spans="2:9" x14ac:dyDescent="0.4">
      <c r="B425" s="27" t="s">
        <v>166</v>
      </c>
    </row>
    <row r="426" spans="2:9" x14ac:dyDescent="0.4">
      <c r="B426" s="1" t="s">
        <v>184</v>
      </c>
      <c r="C426" s="30"/>
      <c r="D426" s="30"/>
      <c r="E426" s="30"/>
      <c r="F426" s="30"/>
    </row>
    <row r="427" spans="2:9" x14ac:dyDescent="0.4">
      <c r="B427" s="27" t="s">
        <v>168</v>
      </c>
    </row>
  </sheetData>
  <mergeCells count="11">
    <mergeCell ref="B2:O2"/>
    <mergeCell ref="B3:O3"/>
    <mergeCell ref="B4:O4"/>
    <mergeCell ref="B9:B10"/>
    <mergeCell ref="J9:N9"/>
    <mergeCell ref="C10:H10"/>
    <mergeCell ref="B226:B227"/>
    <mergeCell ref="C226:H226"/>
    <mergeCell ref="I226:N226"/>
    <mergeCell ref="O226:O227"/>
    <mergeCell ref="C46:O63"/>
  </mergeCells>
  <pageMargins left="1.0236220472440944" right="0.23622047244094491" top="0.98425196850393704" bottom="0.98425196850393704" header="0.23622047244094491" footer="0.23622047244094491"/>
  <pageSetup paperSize="9" scale="28" orientation="portrait" r:id="rId1"/>
  <headerFooter alignWithMargins="0">
    <oddHeader>&amp;F</oddHeader>
  </headerFooter>
  <rowBreaks count="4" manualBreakCount="4">
    <brk id="38" min="1" max="14" man="1"/>
    <brk id="128" min="1" max="14" man="1"/>
    <brk id="222" min="1" max="14" man="1"/>
    <brk id="339" min="1"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177D-C48F-402B-BE0A-7899560EF3A5}">
  <dimension ref="B2:R428"/>
  <sheetViews>
    <sheetView showGridLines="0" view="pageBreakPreview" topLeftCell="A415" zoomScale="60" zoomScaleNormal="75" zoomScalePageLayoutView="110" workbookViewId="0">
      <selection activeCell="C90" sqref="B90:P113"/>
    </sheetView>
  </sheetViews>
  <sheetFormatPr defaultColWidth="9.33203125" defaultRowHeight="13.9" x14ac:dyDescent="0.4"/>
  <cols>
    <col min="1" max="1" width="9.33203125" style="1"/>
    <col min="2" max="2" width="44.1328125" style="1" customWidth="1"/>
    <col min="3" max="3" width="13.6640625" style="1" customWidth="1"/>
    <col min="4" max="4" width="14.6640625" style="1" customWidth="1"/>
    <col min="5" max="6" width="14.33203125" style="1" customWidth="1"/>
    <col min="7" max="7" width="15.46484375" style="1" customWidth="1"/>
    <col min="8" max="8" width="17.33203125" style="1" customWidth="1"/>
    <col min="9" max="10" width="14.53125" style="1" customWidth="1"/>
    <col min="11" max="11" width="16.6640625" style="1" customWidth="1"/>
    <col min="12" max="12" width="18.6640625" style="1" customWidth="1"/>
    <col min="13" max="13" width="18.46484375" style="1" customWidth="1"/>
    <col min="14" max="14" width="14.46484375" style="1" customWidth="1"/>
    <col min="15" max="15" width="16.6640625" style="1" customWidth="1"/>
    <col min="16" max="253" width="9.33203125" style="1"/>
    <col min="254" max="254" width="15.6640625" style="1" customWidth="1"/>
    <col min="255" max="255" width="30.46484375" style="1" customWidth="1"/>
    <col min="256" max="267" width="10.6640625" style="1" customWidth="1"/>
    <col min="268" max="268" width="12.53125" style="1" customWidth="1"/>
    <col min="269" max="269" width="6.33203125" style="1" bestFit="1" customWidth="1"/>
    <col min="270" max="270" width="11.53125" style="1" customWidth="1"/>
    <col min="271" max="509" width="9.33203125" style="1"/>
    <col min="510" max="510" width="15.6640625" style="1" customWidth="1"/>
    <col min="511" max="511" width="30.46484375" style="1" customWidth="1"/>
    <col min="512" max="523" width="10.6640625" style="1" customWidth="1"/>
    <col min="524" max="524" width="12.53125" style="1" customWidth="1"/>
    <col min="525" max="525" width="6.33203125" style="1" bestFit="1" customWidth="1"/>
    <col min="526" max="526" width="11.53125" style="1" customWidth="1"/>
    <col min="527" max="765" width="9.33203125" style="1"/>
    <col min="766" max="766" width="15.6640625" style="1" customWidth="1"/>
    <col min="767" max="767" width="30.46484375" style="1" customWidth="1"/>
    <col min="768" max="779" width="10.6640625" style="1" customWidth="1"/>
    <col min="780" max="780" width="12.53125" style="1" customWidth="1"/>
    <col min="781" max="781" width="6.33203125" style="1" bestFit="1" customWidth="1"/>
    <col min="782" max="782" width="11.53125" style="1" customWidth="1"/>
    <col min="783" max="1021" width="9.33203125" style="1"/>
    <col min="1022" max="1022" width="15.6640625" style="1" customWidth="1"/>
    <col min="1023" max="1023" width="30.46484375" style="1" customWidth="1"/>
    <col min="1024" max="1035" width="10.6640625" style="1" customWidth="1"/>
    <col min="1036" max="1036" width="12.53125" style="1" customWidth="1"/>
    <col min="1037" max="1037" width="6.33203125" style="1" bestFit="1" customWidth="1"/>
    <col min="1038" max="1038" width="11.53125" style="1" customWidth="1"/>
    <col min="1039" max="1277" width="9.33203125" style="1"/>
    <col min="1278" max="1278" width="15.6640625" style="1" customWidth="1"/>
    <col min="1279" max="1279" width="30.46484375" style="1" customWidth="1"/>
    <col min="1280" max="1291" width="10.6640625" style="1" customWidth="1"/>
    <col min="1292" max="1292" width="12.53125" style="1" customWidth="1"/>
    <col min="1293" max="1293" width="6.33203125" style="1" bestFit="1" customWidth="1"/>
    <col min="1294" max="1294" width="11.53125" style="1" customWidth="1"/>
    <col min="1295" max="1533" width="9.33203125" style="1"/>
    <col min="1534" max="1534" width="15.6640625" style="1" customWidth="1"/>
    <col min="1535" max="1535" width="30.46484375" style="1" customWidth="1"/>
    <col min="1536" max="1547" width="10.6640625" style="1" customWidth="1"/>
    <col min="1548" max="1548" width="12.53125" style="1" customWidth="1"/>
    <col min="1549" max="1549" width="6.33203125" style="1" bestFit="1" customWidth="1"/>
    <col min="1550" max="1550" width="11.53125" style="1" customWidth="1"/>
    <col min="1551" max="1789" width="9.33203125" style="1"/>
    <col min="1790" max="1790" width="15.6640625" style="1" customWidth="1"/>
    <col min="1791" max="1791" width="30.46484375" style="1" customWidth="1"/>
    <col min="1792" max="1803" width="10.6640625" style="1" customWidth="1"/>
    <col min="1804" max="1804" width="12.53125" style="1" customWidth="1"/>
    <col min="1805" max="1805" width="6.33203125" style="1" bestFit="1" customWidth="1"/>
    <col min="1806" max="1806" width="11.53125" style="1" customWidth="1"/>
    <col min="1807" max="2045" width="9.33203125" style="1"/>
    <col min="2046" max="2046" width="15.6640625" style="1" customWidth="1"/>
    <col min="2047" max="2047" width="30.46484375" style="1" customWidth="1"/>
    <col min="2048" max="2059" width="10.6640625" style="1" customWidth="1"/>
    <col min="2060" max="2060" width="12.53125" style="1" customWidth="1"/>
    <col min="2061" max="2061" width="6.33203125" style="1" bestFit="1" customWidth="1"/>
    <col min="2062" max="2062" width="11.53125" style="1" customWidth="1"/>
    <col min="2063" max="2301" width="9.33203125" style="1"/>
    <col min="2302" max="2302" width="15.6640625" style="1" customWidth="1"/>
    <col min="2303" max="2303" width="30.46484375" style="1" customWidth="1"/>
    <col min="2304" max="2315" width="10.6640625" style="1" customWidth="1"/>
    <col min="2316" max="2316" width="12.53125" style="1" customWidth="1"/>
    <col min="2317" max="2317" width="6.33203125" style="1" bestFit="1" customWidth="1"/>
    <col min="2318" max="2318" width="11.53125" style="1" customWidth="1"/>
    <col min="2319" max="2557" width="9.33203125" style="1"/>
    <col min="2558" max="2558" width="15.6640625" style="1" customWidth="1"/>
    <col min="2559" max="2559" width="30.46484375" style="1" customWidth="1"/>
    <col min="2560" max="2571" width="10.6640625" style="1" customWidth="1"/>
    <col min="2572" max="2572" width="12.53125" style="1" customWidth="1"/>
    <col min="2573" max="2573" width="6.33203125" style="1" bestFit="1" customWidth="1"/>
    <col min="2574" max="2574" width="11.53125" style="1" customWidth="1"/>
    <col min="2575" max="2813" width="9.33203125" style="1"/>
    <col min="2814" max="2814" width="15.6640625" style="1" customWidth="1"/>
    <col min="2815" max="2815" width="30.46484375" style="1" customWidth="1"/>
    <col min="2816" max="2827" width="10.6640625" style="1" customWidth="1"/>
    <col min="2828" max="2828" width="12.53125" style="1" customWidth="1"/>
    <col min="2829" max="2829" width="6.33203125" style="1" bestFit="1" customWidth="1"/>
    <col min="2830" max="2830" width="11.53125" style="1" customWidth="1"/>
    <col min="2831" max="3069" width="9.33203125" style="1"/>
    <col min="3070" max="3070" width="15.6640625" style="1" customWidth="1"/>
    <col min="3071" max="3071" width="30.46484375" style="1" customWidth="1"/>
    <col min="3072" max="3083" width="10.6640625" style="1" customWidth="1"/>
    <col min="3084" max="3084" width="12.53125" style="1" customWidth="1"/>
    <col min="3085" max="3085" width="6.33203125" style="1" bestFit="1" customWidth="1"/>
    <col min="3086" max="3086" width="11.53125" style="1" customWidth="1"/>
    <col min="3087" max="3325" width="9.33203125" style="1"/>
    <col min="3326" max="3326" width="15.6640625" style="1" customWidth="1"/>
    <col min="3327" max="3327" width="30.46484375" style="1" customWidth="1"/>
    <col min="3328" max="3339" width="10.6640625" style="1" customWidth="1"/>
    <col min="3340" max="3340" width="12.53125" style="1" customWidth="1"/>
    <col min="3341" max="3341" width="6.33203125" style="1" bestFit="1" customWidth="1"/>
    <col min="3342" max="3342" width="11.53125" style="1" customWidth="1"/>
    <col min="3343" max="3581" width="9.33203125" style="1"/>
    <col min="3582" max="3582" width="15.6640625" style="1" customWidth="1"/>
    <col min="3583" max="3583" width="30.46484375" style="1" customWidth="1"/>
    <col min="3584" max="3595" width="10.6640625" style="1" customWidth="1"/>
    <col min="3596" max="3596" width="12.53125" style="1" customWidth="1"/>
    <col min="3597" max="3597" width="6.33203125" style="1" bestFit="1" customWidth="1"/>
    <col min="3598" max="3598" width="11.53125" style="1" customWidth="1"/>
    <col min="3599" max="3837" width="9.33203125" style="1"/>
    <col min="3838" max="3838" width="15.6640625" style="1" customWidth="1"/>
    <col min="3839" max="3839" width="30.46484375" style="1" customWidth="1"/>
    <col min="3840" max="3851" width="10.6640625" style="1" customWidth="1"/>
    <col min="3852" max="3852" width="12.53125" style="1" customWidth="1"/>
    <col min="3853" max="3853" width="6.33203125" style="1" bestFit="1" customWidth="1"/>
    <col min="3854" max="3854" width="11.53125" style="1" customWidth="1"/>
    <col min="3855" max="4093" width="9.33203125" style="1"/>
    <col min="4094" max="4094" width="15.6640625" style="1" customWidth="1"/>
    <col min="4095" max="4095" width="30.46484375" style="1" customWidth="1"/>
    <col min="4096" max="4107" width="10.6640625" style="1" customWidth="1"/>
    <col min="4108" max="4108" width="12.53125" style="1" customWidth="1"/>
    <col min="4109" max="4109" width="6.33203125" style="1" bestFit="1" customWidth="1"/>
    <col min="4110" max="4110" width="11.53125" style="1" customWidth="1"/>
    <col min="4111" max="4349" width="9.33203125" style="1"/>
    <col min="4350" max="4350" width="15.6640625" style="1" customWidth="1"/>
    <col min="4351" max="4351" width="30.46484375" style="1" customWidth="1"/>
    <col min="4352" max="4363" width="10.6640625" style="1" customWidth="1"/>
    <col min="4364" max="4364" width="12.53125" style="1" customWidth="1"/>
    <col min="4365" max="4365" width="6.33203125" style="1" bestFit="1" customWidth="1"/>
    <col min="4366" max="4366" width="11.53125" style="1" customWidth="1"/>
    <col min="4367" max="4605" width="9.33203125" style="1"/>
    <col min="4606" max="4606" width="15.6640625" style="1" customWidth="1"/>
    <col min="4607" max="4607" width="30.46484375" style="1" customWidth="1"/>
    <col min="4608" max="4619" width="10.6640625" style="1" customWidth="1"/>
    <col min="4620" max="4620" width="12.53125" style="1" customWidth="1"/>
    <col min="4621" max="4621" width="6.33203125" style="1" bestFit="1" customWidth="1"/>
    <col min="4622" max="4622" width="11.53125" style="1" customWidth="1"/>
    <col min="4623" max="4861" width="9.33203125" style="1"/>
    <col min="4862" max="4862" width="15.6640625" style="1" customWidth="1"/>
    <col min="4863" max="4863" width="30.46484375" style="1" customWidth="1"/>
    <col min="4864" max="4875" width="10.6640625" style="1" customWidth="1"/>
    <col min="4876" max="4876" width="12.53125" style="1" customWidth="1"/>
    <col min="4877" max="4877" width="6.33203125" style="1" bestFit="1" customWidth="1"/>
    <col min="4878" max="4878" width="11.53125" style="1" customWidth="1"/>
    <col min="4879" max="5117" width="9.33203125" style="1"/>
    <col min="5118" max="5118" width="15.6640625" style="1" customWidth="1"/>
    <col min="5119" max="5119" width="30.46484375" style="1" customWidth="1"/>
    <col min="5120" max="5131" width="10.6640625" style="1" customWidth="1"/>
    <col min="5132" max="5132" width="12.53125" style="1" customWidth="1"/>
    <col min="5133" max="5133" width="6.33203125" style="1" bestFit="1" customWidth="1"/>
    <col min="5134" max="5134" width="11.53125" style="1" customWidth="1"/>
    <col min="5135" max="5373" width="9.33203125" style="1"/>
    <col min="5374" max="5374" width="15.6640625" style="1" customWidth="1"/>
    <col min="5375" max="5375" width="30.46484375" style="1" customWidth="1"/>
    <col min="5376" max="5387" width="10.6640625" style="1" customWidth="1"/>
    <col min="5388" max="5388" width="12.53125" style="1" customWidth="1"/>
    <col min="5389" max="5389" width="6.33203125" style="1" bestFit="1" customWidth="1"/>
    <col min="5390" max="5390" width="11.53125" style="1" customWidth="1"/>
    <col min="5391" max="5629" width="9.33203125" style="1"/>
    <col min="5630" max="5630" width="15.6640625" style="1" customWidth="1"/>
    <col min="5631" max="5631" width="30.46484375" style="1" customWidth="1"/>
    <col min="5632" max="5643" width="10.6640625" style="1" customWidth="1"/>
    <col min="5644" max="5644" width="12.53125" style="1" customWidth="1"/>
    <col min="5645" max="5645" width="6.33203125" style="1" bestFit="1" customWidth="1"/>
    <col min="5646" max="5646" width="11.53125" style="1" customWidth="1"/>
    <col min="5647" max="5885" width="9.33203125" style="1"/>
    <col min="5886" max="5886" width="15.6640625" style="1" customWidth="1"/>
    <col min="5887" max="5887" width="30.46484375" style="1" customWidth="1"/>
    <col min="5888" max="5899" width="10.6640625" style="1" customWidth="1"/>
    <col min="5900" max="5900" width="12.53125" style="1" customWidth="1"/>
    <col min="5901" max="5901" width="6.33203125" style="1" bestFit="1" customWidth="1"/>
    <col min="5902" max="5902" width="11.53125" style="1" customWidth="1"/>
    <col min="5903" max="6141" width="9.33203125" style="1"/>
    <col min="6142" max="6142" width="15.6640625" style="1" customWidth="1"/>
    <col min="6143" max="6143" width="30.46484375" style="1" customWidth="1"/>
    <col min="6144" max="6155" width="10.6640625" style="1" customWidth="1"/>
    <col min="6156" max="6156" width="12.53125" style="1" customWidth="1"/>
    <col min="6157" max="6157" width="6.33203125" style="1" bestFit="1" customWidth="1"/>
    <col min="6158" max="6158" width="11.53125" style="1" customWidth="1"/>
    <col min="6159" max="6397" width="9.33203125" style="1"/>
    <col min="6398" max="6398" width="15.6640625" style="1" customWidth="1"/>
    <col min="6399" max="6399" width="30.46484375" style="1" customWidth="1"/>
    <col min="6400" max="6411" width="10.6640625" style="1" customWidth="1"/>
    <col min="6412" max="6412" width="12.53125" style="1" customWidth="1"/>
    <col min="6413" max="6413" width="6.33203125" style="1" bestFit="1" customWidth="1"/>
    <col min="6414" max="6414" width="11.53125" style="1" customWidth="1"/>
    <col min="6415" max="6653" width="9.33203125" style="1"/>
    <col min="6654" max="6654" width="15.6640625" style="1" customWidth="1"/>
    <col min="6655" max="6655" width="30.46484375" style="1" customWidth="1"/>
    <col min="6656" max="6667" width="10.6640625" style="1" customWidth="1"/>
    <col min="6668" max="6668" width="12.53125" style="1" customWidth="1"/>
    <col min="6669" max="6669" width="6.33203125" style="1" bestFit="1" customWidth="1"/>
    <col min="6670" max="6670" width="11.53125" style="1" customWidth="1"/>
    <col min="6671" max="6909" width="9.33203125" style="1"/>
    <col min="6910" max="6910" width="15.6640625" style="1" customWidth="1"/>
    <col min="6911" max="6911" width="30.46484375" style="1" customWidth="1"/>
    <col min="6912" max="6923" width="10.6640625" style="1" customWidth="1"/>
    <col min="6924" max="6924" width="12.53125" style="1" customWidth="1"/>
    <col min="6925" max="6925" width="6.33203125" style="1" bestFit="1" customWidth="1"/>
    <col min="6926" max="6926" width="11.53125" style="1" customWidth="1"/>
    <col min="6927" max="7165" width="9.33203125" style="1"/>
    <col min="7166" max="7166" width="15.6640625" style="1" customWidth="1"/>
    <col min="7167" max="7167" width="30.46484375" style="1" customWidth="1"/>
    <col min="7168" max="7179" width="10.6640625" style="1" customWidth="1"/>
    <col min="7180" max="7180" width="12.53125" style="1" customWidth="1"/>
    <col min="7181" max="7181" width="6.33203125" style="1" bestFit="1" customWidth="1"/>
    <col min="7182" max="7182" width="11.53125" style="1" customWidth="1"/>
    <col min="7183" max="7421" width="9.33203125" style="1"/>
    <col min="7422" max="7422" width="15.6640625" style="1" customWidth="1"/>
    <col min="7423" max="7423" width="30.46484375" style="1" customWidth="1"/>
    <col min="7424" max="7435" width="10.6640625" style="1" customWidth="1"/>
    <col min="7436" max="7436" width="12.53125" style="1" customWidth="1"/>
    <col min="7437" max="7437" width="6.33203125" style="1" bestFit="1" customWidth="1"/>
    <col min="7438" max="7438" width="11.53125" style="1" customWidth="1"/>
    <col min="7439" max="7677" width="9.33203125" style="1"/>
    <col min="7678" max="7678" width="15.6640625" style="1" customWidth="1"/>
    <col min="7679" max="7679" width="30.46484375" style="1" customWidth="1"/>
    <col min="7680" max="7691" width="10.6640625" style="1" customWidth="1"/>
    <col min="7692" max="7692" width="12.53125" style="1" customWidth="1"/>
    <col min="7693" max="7693" width="6.33203125" style="1" bestFit="1" customWidth="1"/>
    <col min="7694" max="7694" width="11.53125" style="1" customWidth="1"/>
    <col min="7695" max="7933" width="9.33203125" style="1"/>
    <col min="7934" max="7934" width="15.6640625" style="1" customWidth="1"/>
    <col min="7935" max="7935" width="30.46484375" style="1" customWidth="1"/>
    <col min="7936" max="7947" width="10.6640625" style="1" customWidth="1"/>
    <col min="7948" max="7948" width="12.53125" style="1" customWidth="1"/>
    <col min="7949" max="7949" width="6.33203125" style="1" bestFit="1" customWidth="1"/>
    <col min="7950" max="7950" width="11.53125" style="1" customWidth="1"/>
    <col min="7951" max="8189" width="9.33203125" style="1"/>
    <col min="8190" max="8190" width="15.6640625" style="1" customWidth="1"/>
    <col min="8191" max="8191" width="30.46484375" style="1" customWidth="1"/>
    <col min="8192" max="8203" width="10.6640625" style="1" customWidth="1"/>
    <col min="8204" max="8204" width="12.53125" style="1" customWidth="1"/>
    <col min="8205" max="8205" width="6.33203125" style="1" bestFit="1" customWidth="1"/>
    <col min="8206" max="8206" width="11.53125" style="1" customWidth="1"/>
    <col min="8207" max="8445" width="9.33203125" style="1"/>
    <col min="8446" max="8446" width="15.6640625" style="1" customWidth="1"/>
    <col min="8447" max="8447" width="30.46484375" style="1" customWidth="1"/>
    <col min="8448" max="8459" width="10.6640625" style="1" customWidth="1"/>
    <col min="8460" max="8460" width="12.53125" style="1" customWidth="1"/>
    <col min="8461" max="8461" width="6.33203125" style="1" bestFit="1" customWidth="1"/>
    <col min="8462" max="8462" width="11.53125" style="1" customWidth="1"/>
    <col min="8463" max="8701" width="9.33203125" style="1"/>
    <col min="8702" max="8702" width="15.6640625" style="1" customWidth="1"/>
    <col min="8703" max="8703" width="30.46484375" style="1" customWidth="1"/>
    <col min="8704" max="8715" width="10.6640625" style="1" customWidth="1"/>
    <col min="8716" max="8716" width="12.53125" style="1" customWidth="1"/>
    <col min="8717" max="8717" width="6.33203125" style="1" bestFit="1" customWidth="1"/>
    <col min="8718" max="8718" width="11.53125" style="1" customWidth="1"/>
    <col min="8719" max="8957" width="9.33203125" style="1"/>
    <col min="8958" max="8958" width="15.6640625" style="1" customWidth="1"/>
    <col min="8959" max="8959" width="30.46484375" style="1" customWidth="1"/>
    <col min="8960" max="8971" width="10.6640625" style="1" customWidth="1"/>
    <col min="8972" max="8972" width="12.53125" style="1" customWidth="1"/>
    <col min="8973" max="8973" width="6.33203125" style="1" bestFit="1" customWidth="1"/>
    <col min="8974" max="8974" width="11.53125" style="1" customWidth="1"/>
    <col min="8975" max="9213" width="9.33203125" style="1"/>
    <col min="9214" max="9214" width="15.6640625" style="1" customWidth="1"/>
    <col min="9215" max="9215" width="30.46484375" style="1" customWidth="1"/>
    <col min="9216" max="9227" width="10.6640625" style="1" customWidth="1"/>
    <col min="9228" max="9228" width="12.53125" style="1" customWidth="1"/>
    <col min="9229" max="9229" width="6.33203125" style="1" bestFit="1" customWidth="1"/>
    <col min="9230" max="9230" width="11.53125" style="1" customWidth="1"/>
    <col min="9231" max="9469" width="9.33203125" style="1"/>
    <col min="9470" max="9470" width="15.6640625" style="1" customWidth="1"/>
    <col min="9471" max="9471" width="30.46484375" style="1" customWidth="1"/>
    <col min="9472" max="9483" width="10.6640625" style="1" customWidth="1"/>
    <col min="9484" max="9484" width="12.53125" style="1" customWidth="1"/>
    <col min="9485" max="9485" width="6.33203125" style="1" bestFit="1" customWidth="1"/>
    <col min="9486" max="9486" width="11.53125" style="1" customWidth="1"/>
    <col min="9487" max="9725" width="9.33203125" style="1"/>
    <col min="9726" max="9726" width="15.6640625" style="1" customWidth="1"/>
    <col min="9727" max="9727" width="30.46484375" style="1" customWidth="1"/>
    <col min="9728" max="9739" width="10.6640625" style="1" customWidth="1"/>
    <col min="9740" max="9740" width="12.53125" style="1" customWidth="1"/>
    <col min="9741" max="9741" width="6.33203125" style="1" bestFit="1" customWidth="1"/>
    <col min="9742" max="9742" width="11.53125" style="1" customWidth="1"/>
    <col min="9743" max="9981" width="9.33203125" style="1"/>
    <col min="9982" max="9982" width="15.6640625" style="1" customWidth="1"/>
    <col min="9983" max="9983" width="30.46484375" style="1" customWidth="1"/>
    <col min="9984" max="9995" width="10.6640625" style="1" customWidth="1"/>
    <col min="9996" max="9996" width="12.53125" style="1" customWidth="1"/>
    <col min="9997" max="9997" width="6.33203125" style="1" bestFit="1" customWidth="1"/>
    <col min="9998" max="9998" width="11.53125" style="1" customWidth="1"/>
    <col min="9999" max="10237" width="9.33203125" style="1"/>
    <col min="10238" max="10238" width="15.6640625" style="1" customWidth="1"/>
    <col min="10239" max="10239" width="30.46484375" style="1" customWidth="1"/>
    <col min="10240" max="10251" width="10.6640625" style="1" customWidth="1"/>
    <col min="10252" max="10252" width="12.53125" style="1" customWidth="1"/>
    <col min="10253" max="10253" width="6.33203125" style="1" bestFit="1" customWidth="1"/>
    <col min="10254" max="10254" width="11.53125" style="1" customWidth="1"/>
    <col min="10255" max="10493" width="9.33203125" style="1"/>
    <col min="10494" max="10494" width="15.6640625" style="1" customWidth="1"/>
    <col min="10495" max="10495" width="30.46484375" style="1" customWidth="1"/>
    <col min="10496" max="10507" width="10.6640625" style="1" customWidth="1"/>
    <col min="10508" max="10508" width="12.53125" style="1" customWidth="1"/>
    <col min="10509" max="10509" width="6.33203125" style="1" bestFit="1" customWidth="1"/>
    <col min="10510" max="10510" width="11.53125" style="1" customWidth="1"/>
    <col min="10511" max="10749" width="9.33203125" style="1"/>
    <col min="10750" max="10750" width="15.6640625" style="1" customWidth="1"/>
    <col min="10751" max="10751" width="30.46484375" style="1" customWidth="1"/>
    <col min="10752" max="10763" width="10.6640625" style="1" customWidth="1"/>
    <col min="10764" max="10764" width="12.53125" style="1" customWidth="1"/>
    <col min="10765" max="10765" width="6.33203125" style="1" bestFit="1" customWidth="1"/>
    <col min="10766" max="10766" width="11.53125" style="1" customWidth="1"/>
    <col min="10767" max="11005" width="9.33203125" style="1"/>
    <col min="11006" max="11006" width="15.6640625" style="1" customWidth="1"/>
    <col min="11007" max="11007" width="30.46484375" style="1" customWidth="1"/>
    <col min="11008" max="11019" width="10.6640625" style="1" customWidth="1"/>
    <col min="11020" max="11020" width="12.53125" style="1" customWidth="1"/>
    <col min="11021" max="11021" width="6.33203125" style="1" bestFit="1" customWidth="1"/>
    <col min="11022" max="11022" width="11.53125" style="1" customWidth="1"/>
    <col min="11023" max="11261" width="9.33203125" style="1"/>
    <col min="11262" max="11262" width="15.6640625" style="1" customWidth="1"/>
    <col min="11263" max="11263" width="30.46484375" style="1" customWidth="1"/>
    <col min="11264" max="11275" width="10.6640625" style="1" customWidth="1"/>
    <col min="11276" max="11276" width="12.53125" style="1" customWidth="1"/>
    <col min="11277" max="11277" width="6.33203125" style="1" bestFit="1" customWidth="1"/>
    <col min="11278" max="11278" width="11.53125" style="1" customWidth="1"/>
    <col min="11279" max="11517" width="9.33203125" style="1"/>
    <col min="11518" max="11518" width="15.6640625" style="1" customWidth="1"/>
    <col min="11519" max="11519" width="30.46484375" style="1" customWidth="1"/>
    <col min="11520" max="11531" width="10.6640625" style="1" customWidth="1"/>
    <col min="11532" max="11532" width="12.53125" style="1" customWidth="1"/>
    <col min="11533" max="11533" width="6.33203125" style="1" bestFit="1" customWidth="1"/>
    <col min="11534" max="11534" width="11.53125" style="1" customWidth="1"/>
    <col min="11535" max="11773" width="9.33203125" style="1"/>
    <col min="11774" max="11774" width="15.6640625" style="1" customWidth="1"/>
    <col min="11775" max="11775" width="30.46484375" style="1" customWidth="1"/>
    <col min="11776" max="11787" width="10.6640625" style="1" customWidth="1"/>
    <col min="11788" max="11788" width="12.53125" style="1" customWidth="1"/>
    <col min="11789" max="11789" width="6.33203125" style="1" bestFit="1" customWidth="1"/>
    <col min="11790" max="11790" width="11.53125" style="1" customWidth="1"/>
    <col min="11791" max="12029" width="9.33203125" style="1"/>
    <col min="12030" max="12030" width="15.6640625" style="1" customWidth="1"/>
    <col min="12031" max="12031" width="30.46484375" style="1" customWidth="1"/>
    <col min="12032" max="12043" width="10.6640625" style="1" customWidth="1"/>
    <col min="12044" max="12044" width="12.53125" style="1" customWidth="1"/>
    <col min="12045" max="12045" width="6.33203125" style="1" bestFit="1" customWidth="1"/>
    <col min="12046" max="12046" width="11.53125" style="1" customWidth="1"/>
    <col min="12047" max="12285" width="9.33203125" style="1"/>
    <col min="12286" max="12286" width="15.6640625" style="1" customWidth="1"/>
    <col min="12287" max="12287" width="30.46484375" style="1" customWidth="1"/>
    <col min="12288" max="12299" width="10.6640625" style="1" customWidth="1"/>
    <col min="12300" max="12300" width="12.53125" style="1" customWidth="1"/>
    <col min="12301" max="12301" width="6.33203125" style="1" bestFit="1" customWidth="1"/>
    <col min="12302" max="12302" width="11.53125" style="1" customWidth="1"/>
    <col min="12303" max="12541" width="9.33203125" style="1"/>
    <col min="12542" max="12542" width="15.6640625" style="1" customWidth="1"/>
    <col min="12543" max="12543" width="30.46484375" style="1" customWidth="1"/>
    <col min="12544" max="12555" width="10.6640625" style="1" customWidth="1"/>
    <col min="12556" max="12556" width="12.53125" style="1" customWidth="1"/>
    <col min="12557" max="12557" width="6.33203125" style="1" bestFit="1" customWidth="1"/>
    <col min="12558" max="12558" width="11.53125" style="1" customWidth="1"/>
    <col min="12559" max="12797" width="9.33203125" style="1"/>
    <col min="12798" max="12798" width="15.6640625" style="1" customWidth="1"/>
    <col min="12799" max="12799" width="30.46484375" style="1" customWidth="1"/>
    <col min="12800" max="12811" width="10.6640625" style="1" customWidth="1"/>
    <col min="12812" max="12812" width="12.53125" style="1" customWidth="1"/>
    <col min="12813" max="12813" width="6.33203125" style="1" bestFit="1" customWidth="1"/>
    <col min="12814" max="12814" width="11.53125" style="1" customWidth="1"/>
    <col min="12815" max="13053" width="9.33203125" style="1"/>
    <col min="13054" max="13054" width="15.6640625" style="1" customWidth="1"/>
    <col min="13055" max="13055" width="30.46484375" style="1" customWidth="1"/>
    <col min="13056" max="13067" width="10.6640625" style="1" customWidth="1"/>
    <col min="13068" max="13068" width="12.53125" style="1" customWidth="1"/>
    <col min="13069" max="13069" width="6.33203125" style="1" bestFit="1" customWidth="1"/>
    <col min="13070" max="13070" width="11.53125" style="1" customWidth="1"/>
    <col min="13071" max="13309" width="9.33203125" style="1"/>
    <col min="13310" max="13310" width="15.6640625" style="1" customWidth="1"/>
    <col min="13311" max="13311" width="30.46484375" style="1" customWidth="1"/>
    <col min="13312" max="13323" width="10.6640625" style="1" customWidth="1"/>
    <col min="13324" max="13324" width="12.53125" style="1" customWidth="1"/>
    <col min="13325" max="13325" width="6.33203125" style="1" bestFit="1" customWidth="1"/>
    <col min="13326" max="13326" width="11.53125" style="1" customWidth="1"/>
    <col min="13327" max="13565" width="9.33203125" style="1"/>
    <col min="13566" max="13566" width="15.6640625" style="1" customWidth="1"/>
    <col min="13567" max="13567" width="30.46484375" style="1" customWidth="1"/>
    <col min="13568" max="13579" width="10.6640625" style="1" customWidth="1"/>
    <col min="13580" max="13580" width="12.53125" style="1" customWidth="1"/>
    <col min="13581" max="13581" width="6.33203125" style="1" bestFit="1" customWidth="1"/>
    <col min="13582" max="13582" width="11.53125" style="1" customWidth="1"/>
    <col min="13583" max="13821" width="9.33203125" style="1"/>
    <col min="13822" max="13822" width="15.6640625" style="1" customWidth="1"/>
    <col min="13823" max="13823" width="30.46484375" style="1" customWidth="1"/>
    <col min="13824" max="13835" width="10.6640625" style="1" customWidth="1"/>
    <col min="13836" max="13836" width="12.53125" style="1" customWidth="1"/>
    <col min="13837" max="13837" width="6.33203125" style="1" bestFit="1" customWidth="1"/>
    <col min="13838" max="13838" width="11.53125" style="1" customWidth="1"/>
    <col min="13839" max="14077" width="9.33203125" style="1"/>
    <col min="14078" max="14078" width="15.6640625" style="1" customWidth="1"/>
    <col min="14079" max="14079" width="30.46484375" style="1" customWidth="1"/>
    <col min="14080" max="14091" width="10.6640625" style="1" customWidth="1"/>
    <col min="14092" max="14092" width="12.53125" style="1" customWidth="1"/>
    <col min="14093" max="14093" width="6.33203125" style="1" bestFit="1" customWidth="1"/>
    <col min="14094" max="14094" width="11.53125" style="1" customWidth="1"/>
    <col min="14095" max="14333" width="9.33203125" style="1"/>
    <col min="14334" max="14334" width="15.6640625" style="1" customWidth="1"/>
    <col min="14335" max="14335" width="30.46484375" style="1" customWidth="1"/>
    <col min="14336" max="14347" width="10.6640625" style="1" customWidth="1"/>
    <col min="14348" max="14348" width="12.53125" style="1" customWidth="1"/>
    <col min="14349" max="14349" width="6.33203125" style="1" bestFit="1" customWidth="1"/>
    <col min="14350" max="14350" width="11.53125" style="1" customWidth="1"/>
    <col min="14351" max="14589" width="9.33203125" style="1"/>
    <col min="14590" max="14590" width="15.6640625" style="1" customWidth="1"/>
    <col min="14591" max="14591" width="30.46484375" style="1" customWidth="1"/>
    <col min="14592" max="14603" width="10.6640625" style="1" customWidth="1"/>
    <col min="14604" max="14604" width="12.53125" style="1" customWidth="1"/>
    <col min="14605" max="14605" width="6.33203125" style="1" bestFit="1" customWidth="1"/>
    <col min="14606" max="14606" width="11.53125" style="1" customWidth="1"/>
    <col min="14607" max="14845" width="9.33203125" style="1"/>
    <col min="14846" max="14846" width="15.6640625" style="1" customWidth="1"/>
    <col min="14847" max="14847" width="30.46484375" style="1" customWidth="1"/>
    <col min="14848" max="14859" width="10.6640625" style="1" customWidth="1"/>
    <col min="14860" max="14860" width="12.53125" style="1" customWidth="1"/>
    <col min="14861" max="14861" width="6.33203125" style="1" bestFit="1" customWidth="1"/>
    <col min="14862" max="14862" width="11.53125" style="1" customWidth="1"/>
    <col min="14863" max="15101" width="9.33203125" style="1"/>
    <col min="15102" max="15102" width="15.6640625" style="1" customWidth="1"/>
    <col min="15103" max="15103" width="30.46484375" style="1" customWidth="1"/>
    <col min="15104" max="15115" width="10.6640625" style="1" customWidth="1"/>
    <col min="15116" max="15116" width="12.53125" style="1" customWidth="1"/>
    <col min="15117" max="15117" width="6.33203125" style="1" bestFit="1" customWidth="1"/>
    <col min="15118" max="15118" width="11.53125" style="1" customWidth="1"/>
    <col min="15119" max="15357" width="9.33203125" style="1"/>
    <col min="15358" max="15358" width="15.6640625" style="1" customWidth="1"/>
    <col min="15359" max="15359" width="30.46484375" style="1" customWidth="1"/>
    <col min="15360" max="15371" width="10.6640625" style="1" customWidth="1"/>
    <col min="15372" max="15372" width="12.53125" style="1" customWidth="1"/>
    <col min="15373" max="15373" width="6.33203125" style="1" bestFit="1" customWidth="1"/>
    <col min="15374" max="15374" width="11.53125" style="1" customWidth="1"/>
    <col min="15375" max="15613" width="9.33203125" style="1"/>
    <col min="15614" max="15614" width="15.6640625" style="1" customWidth="1"/>
    <col min="15615" max="15615" width="30.46484375" style="1" customWidth="1"/>
    <col min="15616" max="15627" width="10.6640625" style="1" customWidth="1"/>
    <col min="15628" max="15628" width="12.53125" style="1" customWidth="1"/>
    <col min="15629" max="15629" width="6.33203125" style="1" bestFit="1" customWidth="1"/>
    <col min="15630" max="15630" width="11.53125" style="1" customWidth="1"/>
    <col min="15631" max="15869" width="9.33203125" style="1"/>
    <col min="15870" max="15870" width="15.6640625" style="1" customWidth="1"/>
    <col min="15871" max="15871" width="30.46484375" style="1" customWidth="1"/>
    <col min="15872" max="15883" width="10.6640625" style="1" customWidth="1"/>
    <col min="15884" max="15884" width="12.53125" style="1" customWidth="1"/>
    <col min="15885" max="15885" width="6.33203125" style="1" bestFit="1" customWidth="1"/>
    <col min="15886" max="15886" width="11.53125" style="1" customWidth="1"/>
    <col min="15887" max="16125" width="9.33203125" style="1"/>
    <col min="16126" max="16126" width="15.6640625" style="1" customWidth="1"/>
    <col min="16127" max="16127" width="30.46484375" style="1" customWidth="1"/>
    <col min="16128" max="16139" width="10.6640625" style="1" customWidth="1"/>
    <col min="16140" max="16140" width="12.53125" style="1" customWidth="1"/>
    <col min="16141" max="16141" width="6.33203125" style="1" bestFit="1" customWidth="1"/>
    <col min="16142" max="16142" width="11.53125" style="1" customWidth="1"/>
    <col min="16143" max="16384" width="9.33203125" style="1"/>
  </cols>
  <sheetData>
    <row r="2" spans="2:18" x14ac:dyDescent="0.4">
      <c r="B2" s="1875" t="str">
        <f>+Index!$B$2</f>
        <v>Nidar Utilities Panvel LLP</v>
      </c>
      <c r="C2" s="1875"/>
      <c r="D2" s="1875"/>
      <c r="E2" s="1875"/>
      <c r="F2" s="1875"/>
      <c r="G2" s="1875"/>
      <c r="H2" s="1875"/>
      <c r="I2" s="1875"/>
      <c r="J2" s="1875"/>
      <c r="K2" s="1875"/>
      <c r="L2" s="1875"/>
      <c r="M2" s="1875"/>
      <c r="N2" s="1875"/>
      <c r="O2" s="1875"/>
    </row>
    <row r="3" spans="2:18" x14ac:dyDescent="0.4">
      <c r="B3" s="1875" t="s">
        <v>107</v>
      </c>
      <c r="C3" s="1875"/>
      <c r="D3" s="1875"/>
      <c r="E3" s="1875"/>
      <c r="F3" s="1875"/>
      <c r="G3" s="1875"/>
      <c r="H3" s="1875"/>
      <c r="I3" s="1875"/>
      <c r="J3" s="1875"/>
      <c r="K3" s="1875"/>
      <c r="L3" s="1875"/>
      <c r="M3" s="1875"/>
      <c r="N3" s="1875"/>
      <c r="O3" s="1875"/>
    </row>
    <row r="4" spans="2:18" x14ac:dyDescent="0.4">
      <c r="B4" s="1875" t="s">
        <v>200</v>
      </c>
      <c r="C4" s="1875"/>
      <c r="D4" s="1875"/>
      <c r="E4" s="1875"/>
      <c r="F4" s="1875"/>
      <c r="G4" s="1875"/>
      <c r="H4" s="1875"/>
      <c r="I4" s="1875"/>
      <c r="J4" s="1875"/>
      <c r="K4" s="1875"/>
      <c r="L4" s="1875"/>
      <c r="M4" s="1875"/>
      <c r="N4" s="1875"/>
      <c r="O4" s="1875"/>
    </row>
    <row r="5" spans="2:18" x14ac:dyDescent="0.4">
      <c r="B5" s="12"/>
      <c r="C5" s="8"/>
      <c r="D5" s="8"/>
      <c r="E5" s="8"/>
      <c r="F5" s="8"/>
      <c r="G5" s="8"/>
      <c r="H5" s="8"/>
      <c r="I5" s="8"/>
      <c r="J5" s="8"/>
      <c r="K5" s="8"/>
      <c r="L5" s="8"/>
      <c r="M5" s="8"/>
      <c r="N5" s="8"/>
      <c r="O5" s="8"/>
    </row>
    <row r="6" spans="2:18" x14ac:dyDescent="0.4">
      <c r="B6" s="12"/>
      <c r="C6" s="8"/>
      <c r="D6" s="8"/>
      <c r="E6" s="8"/>
      <c r="F6" s="8"/>
      <c r="G6" s="8"/>
      <c r="H6" s="8"/>
      <c r="I6" s="8"/>
      <c r="J6" s="8"/>
      <c r="K6" s="8"/>
      <c r="L6" s="8"/>
      <c r="M6" s="8"/>
      <c r="N6" s="8"/>
      <c r="O6" s="8"/>
    </row>
    <row r="7" spans="2:18" x14ac:dyDescent="0.4">
      <c r="B7" s="32" t="s">
        <v>159</v>
      </c>
      <c r="C7" s="8"/>
      <c r="D7" s="8"/>
      <c r="E7" s="8"/>
      <c r="F7" s="8"/>
      <c r="G7" s="8"/>
      <c r="H7" s="8"/>
      <c r="I7" s="8"/>
      <c r="J7" s="8"/>
      <c r="K7" s="8"/>
      <c r="L7" s="8"/>
      <c r="M7" s="8"/>
      <c r="N7" s="8"/>
      <c r="O7" s="4"/>
    </row>
    <row r="8" spans="2:18" x14ac:dyDescent="0.4">
      <c r="B8" s="32"/>
      <c r="C8" s="8"/>
      <c r="D8" s="8"/>
      <c r="E8" s="8"/>
      <c r="F8" s="8"/>
      <c r="G8" s="8"/>
      <c r="H8" s="8"/>
      <c r="I8" s="8"/>
      <c r="J8" s="8"/>
      <c r="K8" s="8"/>
      <c r="L8" s="8"/>
      <c r="M8" s="8"/>
      <c r="N8" s="8"/>
      <c r="O8" s="4"/>
    </row>
    <row r="9" spans="2:18" x14ac:dyDescent="0.4">
      <c r="B9" s="1947" t="s">
        <v>160</v>
      </c>
      <c r="C9" s="98" t="s">
        <v>196</v>
      </c>
      <c r="D9" s="98" t="s">
        <v>197</v>
      </c>
      <c r="E9" s="98" t="s">
        <v>198</v>
      </c>
      <c r="F9" s="98" t="s">
        <v>199</v>
      </c>
      <c r="G9" s="358" t="s">
        <v>112</v>
      </c>
      <c r="H9" s="358" t="s">
        <v>113</v>
      </c>
      <c r="I9" s="358" t="s">
        <v>114</v>
      </c>
      <c r="J9" s="1934" t="s">
        <v>1019</v>
      </c>
      <c r="K9" s="1935"/>
      <c r="L9" s="1935"/>
      <c r="M9" s="1935"/>
      <c r="N9" s="1936"/>
      <c r="O9" s="363"/>
    </row>
    <row r="10" spans="2:18" ht="27" x14ac:dyDescent="0.4">
      <c r="B10" s="1947"/>
      <c r="C10" s="1934" t="s">
        <v>117</v>
      </c>
      <c r="D10" s="1935"/>
      <c r="E10" s="1935"/>
      <c r="F10" s="1935"/>
      <c r="G10" s="1935"/>
      <c r="H10" s="1936"/>
      <c r="I10" s="217" t="s">
        <v>121</v>
      </c>
      <c r="J10" s="217" t="s">
        <v>123</v>
      </c>
      <c r="K10" s="217" t="s">
        <v>124</v>
      </c>
      <c r="L10" s="217" t="s">
        <v>125</v>
      </c>
      <c r="M10" s="217" t="s">
        <v>126</v>
      </c>
      <c r="N10" s="217" t="s">
        <v>127</v>
      </c>
      <c r="O10" s="217"/>
    </row>
    <row r="11" spans="2:18" x14ac:dyDescent="0.4">
      <c r="B11" s="517" t="s">
        <v>161</v>
      </c>
      <c r="C11" s="78"/>
      <c r="D11" s="78"/>
      <c r="E11" s="78"/>
      <c r="F11" s="3"/>
      <c r="G11" s="3"/>
      <c r="H11" s="2"/>
      <c r="I11" s="43"/>
      <c r="J11" s="44"/>
      <c r="K11" s="124"/>
      <c r="L11" s="124"/>
      <c r="M11" s="2"/>
      <c r="N11" s="2"/>
      <c r="O11" s="2"/>
    </row>
    <row r="12" spans="2:18" x14ac:dyDescent="0.4">
      <c r="B12" s="429" t="s">
        <v>1129</v>
      </c>
      <c r="C12" s="523">
        <f>+O47</f>
        <v>0</v>
      </c>
      <c r="D12" s="523">
        <f>+O75</f>
        <v>0</v>
      </c>
      <c r="E12" s="551">
        <f>+O104</f>
        <v>1.44E-2</v>
      </c>
      <c r="F12" s="565">
        <f>+O134</f>
        <v>13.381979999999999</v>
      </c>
      <c r="G12" s="565">
        <f>+O165</f>
        <v>21.446820000000002</v>
      </c>
      <c r="H12" s="565">
        <f>+O197</f>
        <v>33.8577600156</v>
      </c>
      <c r="I12" s="565">
        <f>+O230</f>
        <v>73.164360000000002</v>
      </c>
      <c r="J12" s="529">
        <f>+O262</f>
        <v>130.57773500000002</v>
      </c>
      <c r="K12" s="564">
        <f>+O290</f>
        <v>162.74159900000001</v>
      </c>
      <c r="L12" s="564">
        <f>+O318</f>
        <v>203.31539899999999</v>
      </c>
      <c r="M12" s="529">
        <f>+O346</f>
        <v>243.94679900000003</v>
      </c>
      <c r="N12" s="529">
        <f>+O374</f>
        <v>264.970799</v>
      </c>
      <c r="O12" s="2"/>
      <c r="R12" s="562"/>
    </row>
    <row r="13" spans="2:18" x14ac:dyDescent="0.4">
      <c r="B13" s="429" t="s">
        <v>1130</v>
      </c>
      <c r="C13" s="527">
        <f>+O48</f>
        <v>1.0070348</v>
      </c>
      <c r="D13" s="523">
        <f>+O76</f>
        <v>1.86831243</v>
      </c>
      <c r="E13" s="551">
        <f>+O105</f>
        <v>6.8380711400000012</v>
      </c>
      <c r="F13" s="565">
        <f>+O135</f>
        <v>1.3603304818999999</v>
      </c>
      <c r="G13" s="565">
        <f>+O166</f>
        <v>0.31088268000000002</v>
      </c>
      <c r="H13" s="565">
        <f>+O198</f>
        <v>0.34753758999999995</v>
      </c>
      <c r="I13" s="565">
        <f>+O231</f>
        <v>0.4924518</v>
      </c>
      <c r="J13" s="529">
        <f>+O263</f>
        <v>0.62262236209784638</v>
      </c>
      <c r="K13" s="564">
        <f>+O291</f>
        <v>0.74714683451741581</v>
      </c>
      <c r="L13" s="564">
        <f>+O319</f>
        <v>0.74714683451741581</v>
      </c>
      <c r="M13" s="529">
        <f>+O347</f>
        <v>0.99619577935655423</v>
      </c>
      <c r="N13" s="529">
        <f>+O375</f>
        <v>0.99619577935655412</v>
      </c>
      <c r="O13" s="2"/>
      <c r="R13" s="562"/>
    </row>
    <row r="14" spans="2:18" x14ac:dyDescent="0.4">
      <c r="B14" s="429" t="s">
        <v>1131</v>
      </c>
      <c r="C14" s="527">
        <f>+O49</f>
        <v>0</v>
      </c>
      <c r="D14" s="523">
        <f>+O77</f>
        <v>0.56330367000000003</v>
      </c>
      <c r="E14" s="551">
        <f>+O106</f>
        <v>0</v>
      </c>
      <c r="F14" s="565">
        <f>+O136</f>
        <v>0</v>
      </c>
      <c r="G14" s="565">
        <f>+O167</f>
        <v>0</v>
      </c>
      <c r="H14" s="565">
        <f>+O199</f>
        <v>0</v>
      </c>
      <c r="I14" s="565">
        <f>+O232</f>
        <v>0</v>
      </c>
      <c r="J14" s="529">
        <f>+O264</f>
        <v>0</v>
      </c>
      <c r="K14" s="564">
        <f>+O292</f>
        <v>0</v>
      </c>
      <c r="L14" s="564">
        <f>+O320</f>
        <v>0</v>
      </c>
      <c r="M14" s="529">
        <f>+O348</f>
        <v>0</v>
      </c>
      <c r="N14" s="529">
        <f>+O376</f>
        <v>0</v>
      </c>
      <c r="O14" s="2"/>
      <c r="R14" s="562"/>
    </row>
    <row r="15" spans="2:18" x14ac:dyDescent="0.4">
      <c r="B15" s="429" t="s">
        <v>1132</v>
      </c>
      <c r="C15" s="527">
        <f>+O50</f>
        <v>0</v>
      </c>
      <c r="D15" s="523">
        <f>+O78</f>
        <v>0</v>
      </c>
      <c r="E15" s="551">
        <f>+O107</f>
        <v>0</v>
      </c>
      <c r="F15" s="565">
        <f>+O137</f>
        <v>0</v>
      </c>
      <c r="G15" s="565">
        <f>+O168</f>
        <v>0</v>
      </c>
      <c r="H15" s="565">
        <f>+O200</f>
        <v>0</v>
      </c>
      <c r="I15" s="565">
        <f>+O233</f>
        <v>0</v>
      </c>
      <c r="J15" s="529">
        <f>+O265</f>
        <v>0</v>
      </c>
      <c r="K15" s="564">
        <f>+O293</f>
        <v>0</v>
      </c>
      <c r="L15" s="564">
        <f>+O321</f>
        <v>0</v>
      </c>
      <c r="M15" s="529">
        <f>+O349</f>
        <v>0</v>
      </c>
      <c r="N15" s="529">
        <f>+O377</f>
        <v>0</v>
      </c>
      <c r="O15" s="2"/>
      <c r="R15" s="562"/>
    </row>
    <row r="16" spans="2:18" x14ac:dyDescent="0.4">
      <c r="B16" s="518" t="s">
        <v>162</v>
      </c>
      <c r="C16" s="532">
        <f>SUM(C12:C15)</f>
        <v>1.0070348</v>
      </c>
      <c r="D16" s="532">
        <f t="shared" ref="D16:N16" si="0">SUM(D12:D15)</f>
        <v>2.4316161000000003</v>
      </c>
      <c r="E16" s="532">
        <f t="shared" si="0"/>
        <v>6.8524711400000013</v>
      </c>
      <c r="F16" s="532">
        <f t="shared" si="0"/>
        <v>14.742310481899999</v>
      </c>
      <c r="G16" s="532">
        <f t="shared" si="0"/>
        <v>21.757702680000001</v>
      </c>
      <c r="H16" s="532">
        <f t="shared" si="0"/>
        <v>34.205297605600002</v>
      </c>
      <c r="I16" s="532">
        <f t="shared" si="0"/>
        <v>73.6568118</v>
      </c>
      <c r="J16" s="532">
        <f t="shared" si="0"/>
        <v>131.20035736209786</v>
      </c>
      <c r="K16" s="532">
        <f t="shared" si="0"/>
        <v>163.48874583451743</v>
      </c>
      <c r="L16" s="532">
        <f t="shared" si="0"/>
        <v>204.06254583451741</v>
      </c>
      <c r="M16" s="532">
        <f t="shared" si="0"/>
        <v>244.94299477935658</v>
      </c>
      <c r="N16" s="532">
        <f t="shared" si="0"/>
        <v>265.96699477935653</v>
      </c>
      <c r="O16" s="2"/>
      <c r="R16" s="562"/>
    </row>
    <row r="17" spans="2:18" x14ac:dyDescent="0.4">
      <c r="B17" s="517" t="s">
        <v>163</v>
      </c>
      <c r="C17" s="533"/>
      <c r="D17" s="533"/>
      <c r="E17" s="533"/>
      <c r="F17" s="528"/>
      <c r="G17" s="528"/>
      <c r="H17" s="529"/>
      <c r="I17" s="528"/>
      <c r="J17" s="528"/>
      <c r="K17" s="530"/>
      <c r="L17" s="530"/>
      <c r="M17" s="529"/>
      <c r="N17" s="529"/>
      <c r="O17" s="2"/>
      <c r="R17" s="562"/>
    </row>
    <row r="18" spans="2:18" x14ac:dyDescent="0.4">
      <c r="B18" s="519" t="s">
        <v>1133</v>
      </c>
      <c r="C18" s="527"/>
      <c r="D18" s="527"/>
      <c r="E18" s="527"/>
      <c r="F18" s="528"/>
      <c r="G18" s="528"/>
      <c r="H18" s="529"/>
      <c r="I18" s="528"/>
      <c r="J18" s="528"/>
      <c r="K18" s="530"/>
      <c r="L18" s="530"/>
      <c r="M18" s="529"/>
      <c r="N18" s="529"/>
      <c r="O18" s="2"/>
      <c r="R18" s="562"/>
    </row>
    <row r="19" spans="2:18" x14ac:dyDescent="0.4">
      <c r="B19" s="520" t="s">
        <v>1106</v>
      </c>
      <c r="C19" s="527">
        <f>+O54</f>
        <v>0</v>
      </c>
      <c r="D19" s="523">
        <f>+O82</f>
        <v>4.5234989999999996E-2</v>
      </c>
      <c r="E19" s="551">
        <f t="shared" ref="E19:E26" si="1">+O111</f>
        <v>0.17605925</v>
      </c>
      <c r="F19" s="565">
        <f t="shared" ref="F19:F26" si="2">+O141</f>
        <v>0.34350700000000006</v>
      </c>
      <c r="G19" s="565">
        <f t="shared" ref="G19:G31" si="3">+O172</f>
        <v>0.60887500000000006</v>
      </c>
      <c r="H19" s="565">
        <f t="shared" ref="H19:H31" si="4">+O204</f>
        <v>0.93132999999999988</v>
      </c>
      <c r="I19" s="565">
        <f t="shared" ref="I19:I31" si="5">+O237</f>
        <v>1.2685139999999999</v>
      </c>
      <c r="J19" s="529">
        <f t="shared" ref="J19:J31" si="6">+O269</f>
        <v>1.6685011957773752</v>
      </c>
      <c r="K19" s="564">
        <f t="shared" ref="K19:K31" si="7">+O297</f>
        <v>2.0022014349328505</v>
      </c>
      <c r="L19" s="564">
        <f t="shared" ref="L19:L31" si="8">+O325</f>
        <v>2.0022014349328505</v>
      </c>
      <c r="M19" s="529">
        <f t="shared" ref="M19:M31" si="9">+O353</f>
        <v>2.6696019132437998</v>
      </c>
      <c r="N19" s="529">
        <f t="shared" ref="N19:N31" si="10">+O381</f>
        <v>2.6696019132438007</v>
      </c>
      <c r="O19" s="2"/>
      <c r="R19" s="562"/>
    </row>
    <row r="20" spans="2:18" x14ac:dyDescent="0.4">
      <c r="B20" s="520" t="s">
        <v>1107</v>
      </c>
      <c r="C20" s="527">
        <f>+O55</f>
        <v>3.6902539999999984E-2</v>
      </c>
      <c r="D20" s="523">
        <f>+O83</f>
        <v>8.3919010000000002E-2</v>
      </c>
      <c r="E20" s="551">
        <f t="shared" si="1"/>
        <v>0.13921244499999999</v>
      </c>
      <c r="F20" s="565">
        <f t="shared" si="2"/>
        <v>0.29010199999999997</v>
      </c>
      <c r="G20" s="565">
        <f t="shared" si="3"/>
        <v>0.58151600000000014</v>
      </c>
      <c r="H20" s="565">
        <f t="shared" si="4"/>
        <v>0.90188899999999994</v>
      </c>
      <c r="I20" s="565">
        <f t="shared" si="5"/>
        <v>1.3396719999999998</v>
      </c>
      <c r="J20" s="529">
        <f t="shared" si="6"/>
        <v>1.6157569013759479</v>
      </c>
      <c r="K20" s="564">
        <f t="shared" si="7"/>
        <v>1.9389082816511378</v>
      </c>
      <c r="L20" s="564">
        <f t="shared" si="8"/>
        <v>1.9389082816511376</v>
      </c>
      <c r="M20" s="529">
        <f t="shared" si="9"/>
        <v>2.5852110422015162</v>
      </c>
      <c r="N20" s="529">
        <f t="shared" si="10"/>
        <v>2.5852110422015158</v>
      </c>
      <c r="O20" s="2"/>
      <c r="R20" s="562"/>
    </row>
    <row r="21" spans="2:18" x14ac:dyDescent="0.4">
      <c r="B21" s="520" t="s">
        <v>1108</v>
      </c>
      <c r="C21" s="527">
        <f>+O56</f>
        <v>2.9829460000000016E-2</v>
      </c>
      <c r="D21" s="523">
        <f>+O84</f>
        <v>3.5031049999999994E-2</v>
      </c>
      <c r="E21" s="551">
        <f t="shared" si="1"/>
        <v>4.2151488999999993E-2</v>
      </c>
      <c r="F21" s="565">
        <f t="shared" si="2"/>
        <v>9.0147000000000005E-2</v>
      </c>
      <c r="G21" s="565">
        <f t="shared" si="3"/>
        <v>0.19316800000000001</v>
      </c>
      <c r="H21" s="565">
        <f t="shared" si="4"/>
        <v>0.31589299999999998</v>
      </c>
      <c r="I21" s="565">
        <f t="shared" si="5"/>
        <v>0.51790599999999987</v>
      </c>
      <c r="J21" s="529">
        <f t="shared" si="6"/>
        <v>0.56593028060698414</v>
      </c>
      <c r="K21" s="564">
        <f t="shared" si="7"/>
        <v>0.67911633672838101</v>
      </c>
      <c r="L21" s="564">
        <f t="shared" si="8"/>
        <v>0.67911633672838123</v>
      </c>
      <c r="M21" s="529">
        <f t="shared" si="9"/>
        <v>0.90548844897117431</v>
      </c>
      <c r="N21" s="529">
        <f t="shared" si="10"/>
        <v>0.90548844897117453</v>
      </c>
      <c r="O21" s="2"/>
      <c r="R21" s="562"/>
    </row>
    <row r="22" spans="2:18" x14ac:dyDescent="0.4">
      <c r="B22" s="520" t="s">
        <v>1109</v>
      </c>
      <c r="C22" s="527">
        <f>+O57</f>
        <v>6.0957200000000007E-3</v>
      </c>
      <c r="D22" s="523">
        <f>+O85</f>
        <v>3.430271E-2</v>
      </c>
      <c r="E22" s="551">
        <f t="shared" si="1"/>
        <v>0.49055880999999996</v>
      </c>
      <c r="F22" s="565">
        <f t="shared" si="2"/>
        <v>0.84930899999999998</v>
      </c>
      <c r="G22" s="565">
        <f t="shared" si="3"/>
        <v>1.5647049999999998</v>
      </c>
      <c r="H22" s="565">
        <f t="shared" si="4"/>
        <v>1.8567230000000001</v>
      </c>
      <c r="I22" s="565">
        <f t="shared" si="5"/>
        <v>1.9953139999999996</v>
      </c>
      <c r="J22" s="529">
        <f t="shared" si="6"/>
        <v>3.3263661062430678</v>
      </c>
      <c r="K22" s="564">
        <f t="shared" si="7"/>
        <v>3.9916393274916824</v>
      </c>
      <c r="L22" s="564">
        <f t="shared" si="8"/>
        <v>3.991639327491681</v>
      </c>
      <c r="M22" s="529">
        <f t="shared" si="9"/>
        <v>5.3221857699889075</v>
      </c>
      <c r="N22" s="529">
        <f t="shared" si="10"/>
        <v>5.3221857699889075</v>
      </c>
      <c r="O22" s="2"/>
      <c r="R22" s="562"/>
    </row>
    <row r="23" spans="2:18" x14ac:dyDescent="0.4">
      <c r="B23" s="520" t="s">
        <v>1110</v>
      </c>
      <c r="C23" s="527">
        <f>+O58</f>
        <v>7.2720199999999997E-3</v>
      </c>
      <c r="D23" s="523">
        <f>+O86</f>
        <v>0.30698021999999997</v>
      </c>
      <c r="E23" s="551">
        <f t="shared" si="1"/>
        <v>0</v>
      </c>
      <c r="F23" s="565">
        <f t="shared" si="2"/>
        <v>0</v>
      </c>
      <c r="G23" s="565">
        <f t="shared" si="3"/>
        <v>0</v>
      </c>
      <c r="H23" s="565">
        <f t="shared" si="4"/>
        <v>0</v>
      </c>
      <c r="I23" s="565">
        <f t="shared" si="5"/>
        <v>0</v>
      </c>
      <c r="J23" s="529">
        <f t="shared" si="6"/>
        <v>0</v>
      </c>
      <c r="K23" s="564">
        <f t="shared" si="7"/>
        <v>0</v>
      </c>
      <c r="L23" s="564">
        <f t="shared" si="8"/>
        <v>0</v>
      </c>
      <c r="M23" s="529">
        <f t="shared" si="9"/>
        <v>0</v>
      </c>
      <c r="N23" s="529">
        <f t="shared" si="10"/>
        <v>0</v>
      </c>
      <c r="O23" s="2"/>
      <c r="R23" s="562"/>
    </row>
    <row r="24" spans="2:18" x14ac:dyDescent="0.4">
      <c r="B24" s="519" t="s">
        <v>1139</v>
      </c>
      <c r="C24" s="2"/>
      <c r="D24" s="2"/>
      <c r="E24" s="551">
        <f t="shared" si="1"/>
        <v>0</v>
      </c>
      <c r="F24" s="565">
        <f t="shared" si="2"/>
        <v>0</v>
      </c>
      <c r="G24" s="565">
        <f t="shared" si="3"/>
        <v>0</v>
      </c>
      <c r="H24" s="565">
        <f t="shared" si="4"/>
        <v>0</v>
      </c>
      <c r="I24" s="565">
        <f t="shared" si="5"/>
        <v>0</v>
      </c>
      <c r="J24" s="529">
        <f t="shared" si="6"/>
        <v>0</v>
      </c>
      <c r="K24" s="564">
        <f t="shared" si="7"/>
        <v>0</v>
      </c>
      <c r="L24" s="564">
        <f t="shared" si="8"/>
        <v>0</v>
      </c>
      <c r="M24" s="529">
        <f t="shared" si="9"/>
        <v>0</v>
      </c>
      <c r="N24" s="529">
        <f t="shared" si="10"/>
        <v>0</v>
      </c>
      <c r="O24" s="2"/>
      <c r="R24" s="562"/>
    </row>
    <row r="25" spans="2:18" x14ac:dyDescent="0.4">
      <c r="B25" s="520" t="s">
        <v>1140</v>
      </c>
      <c r="C25" s="527">
        <f>+O59</f>
        <v>3.8889259999999995E-2</v>
      </c>
      <c r="D25" s="523">
        <f>+O87</f>
        <v>1.8100000000000001E-4</v>
      </c>
      <c r="E25" s="551">
        <f t="shared" si="1"/>
        <v>8.8260000000000005E-3</v>
      </c>
      <c r="F25" s="565">
        <f t="shared" si="2"/>
        <v>4.0835999999999997E-2</v>
      </c>
      <c r="G25" s="565">
        <f t="shared" si="3"/>
        <v>7.4553000000000008E-2</v>
      </c>
      <c r="H25" s="565">
        <f t="shared" si="4"/>
        <v>0.15646300000000002</v>
      </c>
      <c r="I25" s="565">
        <f t="shared" si="5"/>
        <v>0.25776300000000002</v>
      </c>
      <c r="J25" s="529">
        <f t="shared" si="6"/>
        <v>0.28030741261949632</v>
      </c>
      <c r="K25" s="564">
        <f t="shared" si="7"/>
        <v>0.33636889514339563</v>
      </c>
      <c r="L25" s="564">
        <f t="shared" si="8"/>
        <v>0.33636889514339563</v>
      </c>
      <c r="M25" s="529">
        <f t="shared" si="9"/>
        <v>0.44849186019119414</v>
      </c>
      <c r="N25" s="529">
        <f t="shared" si="10"/>
        <v>0.44849186019119414</v>
      </c>
      <c r="O25" s="2"/>
      <c r="R25" s="562"/>
    </row>
    <row r="26" spans="2:18" x14ac:dyDescent="0.4">
      <c r="B26" s="520" t="s">
        <v>1144</v>
      </c>
      <c r="C26" s="527">
        <f>+O60</f>
        <v>0</v>
      </c>
      <c r="D26" s="523">
        <f>+O88</f>
        <v>0</v>
      </c>
      <c r="E26" s="551">
        <f t="shared" si="1"/>
        <v>0</v>
      </c>
      <c r="F26" s="565">
        <f t="shared" si="2"/>
        <v>0.12834783</v>
      </c>
      <c r="G26" s="565">
        <f t="shared" si="3"/>
        <v>0.30945506229999997</v>
      </c>
      <c r="H26" s="565">
        <f t="shared" si="4"/>
        <v>0.27486611</v>
      </c>
      <c r="I26" s="565">
        <f t="shared" si="5"/>
        <v>0.48194874999999998</v>
      </c>
      <c r="J26" s="529">
        <f t="shared" si="6"/>
        <v>0.49242957191723197</v>
      </c>
      <c r="K26" s="564">
        <f t="shared" si="7"/>
        <v>0.59091548630067836</v>
      </c>
      <c r="L26" s="564">
        <f t="shared" si="8"/>
        <v>0.59091548630067836</v>
      </c>
      <c r="M26" s="529">
        <f t="shared" si="9"/>
        <v>0.78788731506757104</v>
      </c>
      <c r="N26" s="529">
        <f t="shared" si="10"/>
        <v>0.78788731506757104</v>
      </c>
      <c r="O26" s="2"/>
      <c r="R26" s="562"/>
    </row>
    <row r="27" spans="2:18" x14ac:dyDescent="0.4">
      <c r="B27" s="520" t="s">
        <v>1143</v>
      </c>
      <c r="C27" s="527"/>
      <c r="D27" s="523"/>
      <c r="E27" s="551"/>
      <c r="F27" s="565"/>
      <c r="G27" s="565">
        <f t="shared" si="3"/>
        <v>6.9497249999999997E-2</v>
      </c>
      <c r="H27" s="565">
        <f t="shared" si="4"/>
        <v>8.1854079999999996E-2</v>
      </c>
      <c r="I27" s="565">
        <f t="shared" si="5"/>
        <v>8.7541799999999989E-2</v>
      </c>
      <c r="J27" s="529">
        <f t="shared" si="6"/>
        <v>0.14664364979036104</v>
      </c>
      <c r="K27" s="564">
        <f t="shared" si="7"/>
        <v>0.17597237974843327</v>
      </c>
      <c r="L27" s="564">
        <f t="shared" si="8"/>
        <v>0.17597237974843327</v>
      </c>
      <c r="M27" s="529">
        <f t="shared" si="9"/>
        <v>0.23462983966457771</v>
      </c>
      <c r="N27" s="529">
        <f t="shared" si="10"/>
        <v>0.23462983966457771</v>
      </c>
      <c r="O27" s="2"/>
      <c r="R27" s="562"/>
    </row>
    <row r="28" spans="2:18" x14ac:dyDescent="0.4">
      <c r="B28" s="519" t="s">
        <v>1111</v>
      </c>
      <c r="C28" s="527">
        <f>+O60</f>
        <v>0</v>
      </c>
      <c r="D28" s="523">
        <f>+O88</f>
        <v>0</v>
      </c>
      <c r="E28" s="551">
        <f>+O119</f>
        <v>7.2580000000000006E-2</v>
      </c>
      <c r="F28" s="565">
        <f>+O149</f>
        <v>0.26699392</v>
      </c>
      <c r="G28" s="565">
        <f t="shared" si="3"/>
        <v>0.34130574200000002</v>
      </c>
      <c r="H28" s="565">
        <f t="shared" si="4"/>
        <v>0.45583488999999999</v>
      </c>
      <c r="I28" s="565">
        <f t="shared" si="5"/>
        <v>0.56095090999999997</v>
      </c>
      <c r="J28" s="529">
        <f t="shared" si="6"/>
        <v>0.81663970777495454</v>
      </c>
      <c r="K28" s="564">
        <f t="shared" si="7"/>
        <v>0.97996764932994562</v>
      </c>
      <c r="L28" s="564">
        <f t="shared" si="8"/>
        <v>0.97996764932994562</v>
      </c>
      <c r="M28" s="529">
        <f t="shared" si="9"/>
        <v>1.3066235324399276</v>
      </c>
      <c r="N28" s="529">
        <f t="shared" si="10"/>
        <v>1.3066235324399273</v>
      </c>
      <c r="O28" s="2"/>
      <c r="R28" s="562"/>
    </row>
    <row r="29" spans="2:18" x14ac:dyDescent="0.4">
      <c r="B29" s="519" t="s">
        <v>1135</v>
      </c>
      <c r="C29" s="527">
        <f>+O61</f>
        <v>0</v>
      </c>
      <c r="D29" s="523">
        <f>+O89</f>
        <v>0.12328399999999998</v>
      </c>
      <c r="E29" s="551">
        <f>+O120</f>
        <v>0.120709</v>
      </c>
      <c r="F29" s="565">
        <f>+O150</f>
        <v>0.13652400000000001</v>
      </c>
      <c r="G29" s="565">
        <f t="shared" si="3"/>
        <v>0.13664599999999999</v>
      </c>
      <c r="H29" s="565">
        <f t="shared" si="4"/>
        <v>0.16902500000000001</v>
      </c>
      <c r="I29" s="565">
        <f t="shared" si="5"/>
        <v>0.16315700000000005</v>
      </c>
      <c r="J29" s="529">
        <f t="shared" si="6"/>
        <v>0.30281255260355711</v>
      </c>
      <c r="K29" s="564">
        <f t="shared" si="7"/>
        <v>0.36337506312426865</v>
      </c>
      <c r="L29" s="564">
        <f t="shared" si="8"/>
        <v>0.3633750631242687</v>
      </c>
      <c r="M29" s="529">
        <f t="shared" si="9"/>
        <v>0.4845000841656914</v>
      </c>
      <c r="N29" s="529">
        <f t="shared" si="10"/>
        <v>0.4845000841656914</v>
      </c>
      <c r="O29" s="2"/>
      <c r="R29" s="562"/>
    </row>
    <row r="30" spans="2:18" x14ac:dyDescent="0.4">
      <c r="B30" s="519" t="s">
        <v>1136</v>
      </c>
      <c r="C30" s="527">
        <f>+O62</f>
        <v>5.5825E-2</v>
      </c>
      <c r="D30" s="523">
        <f>+O90</f>
        <v>1.318683E-2</v>
      </c>
      <c r="E30" s="551">
        <f>+O121</f>
        <v>6.4155000000000011E-3</v>
      </c>
      <c r="F30" s="565">
        <f>+O151</f>
        <v>3.8269799999999998E-3</v>
      </c>
      <c r="G30" s="565">
        <f t="shared" si="3"/>
        <v>0</v>
      </c>
      <c r="H30" s="565">
        <f t="shared" si="4"/>
        <v>0</v>
      </c>
      <c r="I30" s="565">
        <f t="shared" si="5"/>
        <v>0</v>
      </c>
      <c r="J30" s="529">
        <f t="shared" si="6"/>
        <v>0</v>
      </c>
      <c r="K30" s="564">
        <f t="shared" si="7"/>
        <v>0</v>
      </c>
      <c r="L30" s="564">
        <f t="shared" si="8"/>
        <v>0</v>
      </c>
      <c r="M30" s="529">
        <f t="shared" si="9"/>
        <v>0</v>
      </c>
      <c r="N30" s="529">
        <f t="shared" si="10"/>
        <v>0</v>
      </c>
      <c r="O30" s="2"/>
      <c r="R30" s="562"/>
    </row>
    <row r="31" spans="2:18" x14ac:dyDescent="0.4">
      <c r="B31" s="566" t="s">
        <v>1142</v>
      </c>
      <c r="C31" s="527"/>
      <c r="D31" s="523"/>
      <c r="E31" s="551"/>
      <c r="F31" s="565">
        <f>+O152</f>
        <v>1.8542E-4</v>
      </c>
      <c r="G31" s="565">
        <f t="shared" si="3"/>
        <v>1.778895E-3</v>
      </c>
      <c r="H31" s="565">
        <f t="shared" si="4"/>
        <v>9.4836839999999992E-3</v>
      </c>
      <c r="I31" s="565">
        <f t="shared" si="5"/>
        <v>3.2286402999999991E-2</v>
      </c>
      <c r="J31" s="529">
        <f t="shared" si="6"/>
        <v>1.6990259193169731E-2</v>
      </c>
      <c r="K31" s="564">
        <f t="shared" si="7"/>
        <v>2.0388311031803674E-2</v>
      </c>
      <c r="L31" s="564">
        <f t="shared" si="8"/>
        <v>2.0388311031803674E-2</v>
      </c>
      <c r="M31" s="529">
        <f t="shared" si="9"/>
        <v>2.7184414709071562E-2</v>
      </c>
      <c r="N31" s="529">
        <f t="shared" si="10"/>
        <v>2.7184414709071562E-2</v>
      </c>
      <c r="O31" s="2"/>
      <c r="R31" s="562"/>
    </row>
    <row r="32" spans="2:18" x14ac:dyDescent="0.4">
      <c r="B32" s="518" t="s">
        <v>162</v>
      </c>
      <c r="C32" s="532">
        <f>SUM(C19:C31)</f>
        <v>0.174814</v>
      </c>
      <c r="D32" s="532">
        <f>SUM(D19:D31)</f>
        <v>0.64211980999999985</v>
      </c>
      <c r="E32" s="532">
        <f>SUM(E19:E31)</f>
        <v>1.0565124939999999</v>
      </c>
      <c r="F32" s="532">
        <f>SUM(F19:F31)</f>
        <v>2.1497791500000005</v>
      </c>
      <c r="G32" s="532">
        <f t="shared" ref="G32:N32" si="11">SUM(G19:G31)</f>
        <v>3.8814999492999998</v>
      </c>
      <c r="H32" s="532">
        <f t="shared" si="11"/>
        <v>5.1533617640000005</v>
      </c>
      <c r="I32" s="532">
        <f t="shared" si="11"/>
        <v>6.7050538629999989</v>
      </c>
      <c r="J32" s="532">
        <f t="shared" si="11"/>
        <v>9.2323776379021467</v>
      </c>
      <c r="K32" s="532">
        <f t="shared" si="11"/>
        <v>11.078853165482577</v>
      </c>
      <c r="L32" s="532">
        <f t="shared" si="11"/>
        <v>11.078853165482577</v>
      </c>
      <c r="M32" s="532">
        <f t="shared" si="11"/>
        <v>14.77180422064343</v>
      </c>
      <c r="N32" s="532">
        <f t="shared" si="11"/>
        <v>14.771804220643432</v>
      </c>
      <c r="O32" s="2"/>
      <c r="R32" s="562"/>
    </row>
    <row r="33" spans="2:18" x14ac:dyDescent="0.4">
      <c r="B33" s="521"/>
      <c r="C33" s="532"/>
      <c r="D33" s="532"/>
      <c r="E33" s="532"/>
      <c r="F33" s="529"/>
      <c r="G33" s="529"/>
      <c r="H33" s="529"/>
      <c r="I33" s="529"/>
      <c r="J33" s="529"/>
      <c r="K33" s="530"/>
      <c r="L33" s="530"/>
      <c r="M33" s="529"/>
      <c r="N33" s="529"/>
      <c r="O33" s="2"/>
      <c r="R33" s="562"/>
    </row>
    <row r="34" spans="2:18" x14ac:dyDescent="0.4">
      <c r="B34" s="43" t="s">
        <v>164</v>
      </c>
      <c r="C34" s="534">
        <f>+C32+C16</f>
        <v>1.1818488</v>
      </c>
      <c r="D34" s="534">
        <f t="shared" ref="D34:N34" si="12">+D32+D16</f>
        <v>3.0737359099999999</v>
      </c>
      <c r="E34" s="534">
        <f t="shared" si="12"/>
        <v>7.908983634000001</v>
      </c>
      <c r="F34" s="534">
        <f t="shared" si="12"/>
        <v>16.892089631899999</v>
      </c>
      <c r="G34" s="534">
        <f t="shared" si="12"/>
        <v>25.639202629300001</v>
      </c>
      <c r="H34" s="534">
        <f t="shared" si="12"/>
        <v>39.358659369600005</v>
      </c>
      <c r="I34" s="534">
        <f t="shared" si="12"/>
        <v>80.361865663000003</v>
      </c>
      <c r="J34" s="534">
        <f t="shared" si="12"/>
        <v>140.43273500000001</v>
      </c>
      <c r="K34" s="534">
        <f t="shared" si="12"/>
        <v>174.567599</v>
      </c>
      <c r="L34" s="534">
        <f t="shared" si="12"/>
        <v>215.14139899999998</v>
      </c>
      <c r="M34" s="534">
        <f t="shared" si="12"/>
        <v>259.71479900000003</v>
      </c>
      <c r="N34" s="534">
        <f t="shared" si="12"/>
        <v>280.73879899999997</v>
      </c>
      <c r="O34" s="2"/>
    </row>
    <row r="35" spans="2:18" x14ac:dyDescent="0.4">
      <c r="B35" s="118" t="s">
        <v>165</v>
      </c>
      <c r="D35" s="562">
        <f>+'F1 SEZ'!D34+'F1 Non-SEZ'!D34-D34</f>
        <v>0</v>
      </c>
      <c r="E35" s="562">
        <f>+'F1 SEZ'!E34+'F1 Non-SEZ'!E34-E34</f>
        <v>0</v>
      </c>
      <c r="F35" s="560">
        <f>+'F1 SEZ'!F34+'F1 Non-SEZ'!F34-F34</f>
        <v>0</v>
      </c>
      <c r="G35" s="562">
        <f>+'F1 SEZ'!G34+'F1 Non-SEZ'!G34-G34</f>
        <v>0</v>
      </c>
      <c r="H35" s="562">
        <f>+'F1 SEZ'!H34+'F1 Non-SEZ'!H34-H34</f>
        <v>0</v>
      </c>
      <c r="I35" s="562">
        <f>+'F1 SEZ'!I34+'F1 Non-SEZ'!I34-I34</f>
        <v>0</v>
      </c>
      <c r="J35" s="562">
        <f>+'F1 SEZ'!J34+'F1 Non-SEZ'!J34-J34</f>
        <v>0</v>
      </c>
      <c r="K35" s="562">
        <f>+'F1 SEZ'!K34+'F1 Non-SEZ'!K34-K34</f>
        <v>0</v>
      </c>
      <c r="L35" s="562">
        <f>+'F1 SEZ'!L34+'F1 Non-SEZ'!L34-L34</f>
        <v>0</v>
      </c>
      <c r="M35" s="562">
        <f>+'F1 SEZ'!M34+'F1 Non-SEZ'!M34-M34</f>
        <v>0</v>
      </c>
      <c r="N35" s="562">
        <f>+'F1 SEZ'!N34+'F1 Non-SEZ'!N34-N34</f>
        <v>0</v>
      </c>
    </row>
    <row r="36" spans="2:18" x14ac:dyDescent="0.4">
      <c r="B36" s="27" t="s">
        <v>166</v>
      </c>
    </row>
    <row r="37" spans="2:18" x14ac:dyDescent="0.4">
      <c r="B37" s="10" t="s">
        <v>167</v>
      </c>
    </row>
    <row r="38" spans="2:18" x14ac:dyDescent="0.4">
      <c r="B38" s="27"/>
    </row>
    <row r="39" spans="2:18" x14ac:dyDescent="0.4">
      <c r="B39" s="118"/>
    </row>
    <row r="40" spans="2:18" x14ac:dyDescent="0.4">
      <c r="B40" s="118"/>
    </row>
    <row r="41" spans="2:18" x14ac:dyDescent="0.4">
      <c r="B41" s="32" t="s">
        <v>169</v>
      </c>
    </row>
    <row r="42" spans="2:18" x14ac:dyDescent="0.4">
      <c r="B42" s="32"/>
    </row>
    <row r="43" spans="2:18" x14ac:dyDescent="0.4">
      <c r="B43" s="32" t="s">
        <v>1020</v>
      </c>
      <c r="C43" s="8"/>
      <c r="D43" s="8"/>
      <c r="E43" s="8"/>
      <c r="F43" s="8"/>
      <c r="G43" s="8"/>
      <c r="H43" s="8"/>
      <c r="I43" s="8"/>
      <c r="J43" s="8"/>
      <c r="K43" s="8"/>
      <c r="L43" s="8"/>
      <c r="M43" s="8"/>
      <c r="N43" s="8"/>
      <c r="O43" s="4"/>
    </row>
    <row r="44" spans="2:18" x14ac:dyDescent="0.4">
      <c r="B44" s="32"/>
      <c r="C44" s="38"/>
      <c r="D44" s="38"/>
      <c r="O44" s="38" t="s">
        <v>171</v>
      </c>
    </row>
    <row r="45" spans="2:18" x14ac:dyDescent="0.4">
      <c r="B45" s="98" t="s">
        <v>160</v>
      </c>
      <c r="C45" s="98" t="s">
        <v>172</v>
      </c>
      <c r="D45" s="98" t="s">
        <v>173</v>
      </c>
      <c r="E45" s="98" t="s">
        <v>174</v>
      </c>
      <c r="F45" s="98" t="s">
        <v>175</v>
      </c>
      <c r="G45" s="98" t="s">
        <v>176</v>
      </c>
      <c r="H45" s="98" t="s">
        <v>177</v>
      </c>
      <c r="I45" s="98" t="s">
        <v>178</v>
      </c>
      <c r="J45" s="98" t="s">
        <v>179</v>
      </c>
      <c r="K45" s="98" t="s">
        <v>180</v>
      </c>
      <c r="L45" s="98" t="s">
        <v>181</v>
      </c>
      <c r="M45" s="98" t="s">
        <v>182</v>
      </c>
      <c r="N45" s="98" t="s">
        <v>183</v>
      </c>
      <c r="O45" s="98" t="s">
        <v>164</v>
      </c>
    </row>
    <row r="46" spans="2:18" ht="13.8" customHeight="1" x14ac:dyDescent="0.4">
      <c r="B46" s="517" t="s">
        <v>161</v>
      </c>
      <c r="C46" s="1948" t="s">
        <v>1128</v>
      </c>
      <c r="D46" s="1949"/>
      <c r="E46" s="1949"/>
      <c r="F46" s="1949"/>
      <c r="G46" s="1949"/>
      <c r="H46" s="1950"/>
      <c r="I46" s="509"/>
      <c r="J46" s="509"/>
      <c r="K46" s="509"/>
      <c r="L46" s="509"/>
      <c r="M46" s="509"/>
      <c r="N46" s="509"/>
      <c r="O46" s="509"/>
    </row>
    <row r="47" spans="2:18" x14ac:dyDescent="0.4">
      <c r="B47" s="429" t="s">
        <v>1129</v>
      </c>
      <c r="C47" s="1951"/>
      <c r="D47" s="1952"/>
      <c r="E47" s="1952"/>
      <c r="F47" s="1952"/>
      <c r="G47" s="1952"/>
      <c r="H47" s="1953"/>
      <c r="I47" s="510">
        <v>0</v>
      </c>
      <c r="J47" s="510">
        <v>0</v>
      </c>
      <c r="K47" s="510">
        <v>0</v>
      </c>
      <c r="L47" s="510">
        <v>0</v>
      </c>
      <c r="M47" s="510">
        <v>0</v>
      </c>
      <c r="N47" s="510">
        <v>0</v>
      </c>
      <c r="O47" s="510">
        <f>SUM(C47:N47)</f>
        <v>0</v>
      </c>
    </row>
    <row r="48" spans="2:18" x14ac:dyDescent="0.4">
      <c r="B48" s="429" t="s">
        <v>1130</v>
      </c>
      <c r="C48" s="1951"/>
      <c r="D48" s="1952"/>
      <c r="E48" s="1952"/>
      <c r="F48" s="1952"/>
      <c r="G48" s="1952"/>
      <c r="H48" s="1953"/>
      <c r="I48" s="510">
        <v>0.14257723999999999</v>
      </c>
      <c r="J48" s="510">
        <v>0.16259593</v>
      </c>
      <c r="K48" s="510">
        <v>0.17538799999999999</v>
      </c>
      <c r="L48" s="510">
        <v>0.17651585</v>
      </c>
      <c r="M48" s="510">
        <v>0.16310631</v>
      </c>
      <c r="N48" s="510">
        <v>0.18685146999999999</v>
      </c>
      <c r="O48" s="510">
        <f>SUM(C48:N48)</f>
        <v>1.0070348</v>
      </c>
    </row>
    <row r="49" spans="2:15" x14ac:dyDescent="0.4">
      <c r="B49" s="429" t="s">
        <v>1131</v>
      </c>
      <c r="C49" s="1951"/>
      <c r="D49" s="1952"/>
      <c r="E49" s="1952"/>
      <c r="F49" s="1952"/>
      <c r="G49" s="1952"/>
      <c r="H49" s="1953"/>
      <c r="I49" s="510">
        <v>0</v>
      </c>
      <c r="J49" s="510">
        <v>0</v>
      </c>
      <c r="K49" s="510">
        <v>0</v>
      </c>
      <c r="L49" s="510">
        <v>0</v>
      </c>
      <c r="M49" s="510">
        <v>0</v>
      </c>
      <c r="N49" s="510">
        <v>0</v>
      </c>
      <c r="O49" s="510">
        <f>SUM(C49:N49)</f>
        <v>0</v>
      </c>
    </row>
    <row r="50" spans="2:15" x14ac:dyDescent="0.4">
      <c r="B50" s="429" t="s">
        <v>1132</v>
      </c>
      <c r="C50" s="1951"/>
      <c r="D50" s="1952"/>
      <c r="E50" s="1952"/>
      <c r="F50" s="1952"/>
      <c r="G50" s="1952"/>
      <c r="H50" s="1953"/>
    </row>
    <row r="51" spans="2:15" x14ac:dyDescent="0.4">
      <c r="B51" s="518" t="s">
        <v>162</v>
      </c>
      <c r="C51" s="1951"/>
      <c r="D51" s="1952"/>
      <c r="E51" s="1952"/>
      <c r="F51" s="1952"/>
      <c r="G51" s="1952"/>
      <c r="H51" s="1953"/>
      <c r="I51" s="511">
        <f>SUM(I47:I50)</f>
        <v>0.14257723999999999</v>
      </c>
      <c r="J51" s="511">
        <f t="shared" ref="J51:O51" si="13">SUM(J47:J50)</f>
        <v>0.16259593</v>
      </c>
      <c r="K51" s="511">
        <f t="shared" si="13"/>
        <v>0.17538799999999999</v>
      </c>
      <c r="L51" s="511">
        <f t="shared" si="13"/>
        <v>0.17651585</v>
      </c>
      <c r="M51" s="511">
        <f t="shared" si="13"/>
        <v>0.16310631</v>
      </c>
      <c r="N51" s="511">
        <f t="shared" si="13"/>
        <v>0.18685146999999999</v>
      </c>
      <c r="O51" s="511">
        <f t="shared" si="13"/>
        <v>1.0070348</v>
      </c>
    </row>
    <row r="52" spans="2:15" x14ac:dyDescent="0.4">
      <c r="B52" s="517" t="s">
        <v>163</v>
      </c>
      <c r="C52" s="1951"/>
      <c r="D52" s="1952"/>
      <c r="E52" s="1952"/>
      <c r="F52" s="1952"/>
      <c r="G52" s="1952"/>
      <c r="H52" s="1953"/>
      <c r="I52" s="510"/>
      <c r="J52" s="510"/>
      <c r="K52" s="510"/>
      <c r="L52" s="510"/>
      <c r="M52" s="510"/>
      <c r="N52" s="510"/>
      <c r="O52" s="510"/>
    </row>
    <row r="53" spans="2:15" x14ac:dyDescent="0.4">
      <c r="B53" s="519" t="s">
        <v>1133</v>
      </c>
      <c r="C53" s="1951"/>
      <c r="D53" s="1952"/>
      <c r="E53" s="1952"/>
      <c r="F53" s="1952"/>
      <c r="G53" s="1952"/>
      <c r="H53" s="1953"/>
      <c r="I53" s="512"/>
      <c r="J53" s="513"/>
      <c r="K53" s="514"/>
      <c r="L53" s="513"/>
      <c r="M53" s="513"/>
      <c r="N53" s="515"/>
      <c r="O53" s="514"/>
    </row>
    <row r="54" spans="2:15" x14ac:dyDescent="0.4">
      <c r="B54" s="520" t="s">
        <v>1106</v>
      </c>
      <c r="C54" s="1951"/>
      <c r="D54" s="1952"/>
      <c r="E54" s="1952"/>
      <c r="F54" s="1952"/>
      <c r="G54" s="1952"/>
      <c r="H54" s="1953"/>
      <c r="I54" s="512">
        <v>5.7628399999999974E-3</v>
      </c>
      <c r="J54" s="512">
        <v>5.8999999999999999E-3</v>
      </c>
      <c r="K54" s="512">
        <v>6.0231799999999978E-3</v>
      </c>
      <c r="L54" s="512">
        <v>6.3388599999999965E-3</v>
      </c>
      <c r="M54" s="512">
        <v>6.023169999999997E-3</v>
      </c>
      <c r="N54" s="512">
        <v>6.8544899999999969E-3</v>
      </c>
      <c r="O54" s="510">
        <f t="shared" ref="O54:O59" si="14">SUM(C53:N53)</f>
        <v>0</v>
      </c>
    </row>
    <row r="55" spans="2:15" x14ac:dyDescent="0.4">
      <c r="B55" s="520" t="s">
        <v>1107</v>
      </c>
      <c r="C55" s="1951"/>
      <c r="D55" s="1952"/>
      <c r="E55" s="1952"/>
      <c r="F55" s="1952"/>
      <c r="G55" s="1952"/>
      <c r="H55" s="1953"/>
      <c r="I55" s="512">
        <v>6.7341600000000029E-3</v>
      </c>
      <c r="J55" s="512">
        <v>5.1640000000000002E-3</v>
      </c>
      <c r="K55" s="512">
        <v>4.5558200000000021E-3</v>
      </c>
      <c r="L55" s="512">
        <v>3.4201400000000021E-3</v>
      </c>
      <c r="M55" s="512">
        <v>4.1248300000000021E-3</v>
      </c>
      <c r="N55" s="512">
        <v>5.8305100000000023E-3</v>
      </c>
      <c r="O55" s="510">
        <f t="shared" si="14"/>
        <v>3.6902539999999984E-2</v>
      </c>
    </row>
    <row r="56" spans="2:15" x14ac:dyDescent="0.4">
      <c r="B56" s="520" t="s">
        <v>1108</v>
      </c>
      <c r="C56" s="1951"/>
      <c r="D56" s="1952"/>
      <c r="E56" s="1952"/>
      <c r="F56" s="1952"/>
      <c r="G56" s="1952"/>
      <c r="H56" s="1953"/>
      <c r="I56" s="512">
        <v>2.3796899999999998E-3</v>
      </c>
      <c r="J56" s="512">
        <v>9.59E-4</v>
      </c>
      <c r="K56" s="512">
        <v>5.4133999999999996E-4</v>
      </c>
      <c r="L56" s="512">
        <v>4.3233999999999997E-4</v>
      </c>
      <c r="M56" s="512">
        <v>5.5833999999999994E-4</v>
      </c>
      <c r="N56" s="512">
        <v>1.2250099999999999E-3</v>
      </c>
      <c r="O56" s="510">
        <f t="shared" si="14"/>
        <v>2.9829460000000016E-2</v>
      </c>
    </row>
    <row r="57" spans="2:15" x14ac:dyDescent="0.4">
      <c r="B57" s="520" t="s">
        <v>1109</v>
      </c>
      <c r="C57" s="1951"/>
      <c r="D57" s="1952"/>
      <c r="E57" s="1952"/>
      <c r="F57" s="1952"/>
      <c r="G57" s="1952"/>
      <c r="H57" s="1953"/>
      <c r="I57" s="512">
        <v>1.96933E-3</v>
      </c>
      <c r="J57" s="512">
        <v>1.116E-3</v>
      </c>
      <c r="K57" s="516">
        <v>1.03334E-3</v>
      </c>
      <c r="L57" s="516">
        <v>1.03334E-3</v>
      </c>
      <c r="M57" s="516">
        <v>9.3334000000000006E-4</v>
      </c>
      <c r="N57" s="512">
        <v>1.1866700000000001E-3</v>
      </c>
      <c r="O57" s="510">
        <f t="shared" si="14"/>
        <v>6.0957200000000007E-3</v>
      </c>
    </row>
    <row r="58" spans="2:15" x14ac:dyDescent="0.4">
      <c r="B58" s="520" t="s">
        <v>1110</v>
      </c>
      <c r="C58" s="1951"/>
      <c r="D58" s="1952"/>
      <c r="E58" s="1952"/>
      <c r="F58" s="1952"/>
      <c r="G58" s="1952"/>
      <c r="H58" s="1953"/>
      <c r="I58" s="512">
        <v>4.8379799999999995E-3</v>
      </c>
      <c r="J58" s="512">
        <v>9.8259999999999997E-3</v>
      </c>
      <c r="K58" s="512">
        <v>7.2933199999999998E-3</v>
      </c>
      <c r="L58" s="512">
        <v>6.9953199999999993E-3</v>
      </c>
      <c r="M58" s="512">
        <v>4.9663199999999998E-3</v>
      </c>
      <c r="N58" s="512">
        <v>4.9703199999999994E-3</v>
      </c>
      <c r="O58" s="510">
        <f t="shared" si="14"/>
        <v>7.2720199999999997E-3</v>
      </c>
    </row>
    <row r="59" spans="2:15" x14ac:dyDescent="0.4">
      <c r="B59" s="519" t="s">
        <v>1134</v>
      </c>
      <c r="C59" s="1951"/>
      <c r="D59" s="1952"/>
      <c r="E59" s="1952"/>
      <c r="F59" s="1952"/>
      <c r="G59" s="1952"/>
      <c r="H59" s="1953"/>
      <c r="I59" s="510">
        <v>0</v>
      </c>
      <c r="J59" s="510">
        <v>0</v>
      </c>
      <c r="K59" s="510">
        <v>0</v>
      </c>
      <c r="L59" s="510">
        <v>0</v>
      </c>
      <c r="M59" s="510">
        <v>0</v>
      </c>
      <c r="N59" s="510">
        <v>0</v>
      </c>
      <c r="O59" s="510">
        <f t="shared" si="14"/>
        <v>3.8889259999999995E-2</v>
      </c>
    </row>
    <row r="60" spans="2:15" x14ac:dyDescent="0.4">
      <c r="B60" s="519" t="s">
        <v>1111</v>
      </c>
      <c r="C60" s="1951"/>
      <c r="D60" s="1952"/>
      <c r="E60" s="1952"/>
      <c r="F60" s="1952"/>
      <c r="G60" s="1952"/>
      <c r="H60" s="1953"/>
      <c r="I60" s="510"/>
      <c r="J60" s="510"/>
      <c r="K60" s="510"/>
      <c r="L60" s="510"/>
      <c r="M60" s="510"/>
      <c r="N60" s="510"/>
      <c r="O60" s="510"/>
    </row>
    <row r="61" spans="2:15" x14ac:dyDescent="0.4">
      <c r="B61" s="519" t="s">
        <v>1135</v>
      </c>
      <c r="C61" s="1951"/>
      <c r="D61" s="1952"/>
      <c r="E61" s="1952"/>
      <c r="F61" s="1952"/>
      <c r="G61" s="1952"/>
      <c r="H61" s="1953"/>
      <c r="I61" s="510">
        <v>0</v>
      </c>
      <c r="J61" s="510">
        <v>1.7492000000000001E-2</v>
      </c>
      <c r="K61" s="510">
        <v>1.0743000000000001E-2</v>
      </c>
      <c r="L61" s="510">
        <v>9.0469999999999995E-3</v>
      </c>
      <c r="M61" s="510">
        <v>8.3470000000000003E-3</v>
      </c>
      <c r="N61" s="510">
        <v>1.0196E-2</v>
      </c>
      <c r="O61" s="510">
        <f>SUM(C60:N60)</f>
        <v>0</v>
      </c>
    </row>
    <row r="62" spans="2:15" x14ac:dyDescent="0.4">
      <c r="B62" s="519" t="s">
        <v>1136</v>
      </c>
      <c r="C62" s="1951"/>
      <c r="D62" s="1952"/>
      <c r="E62" s="1952"/>
      <c r="F62" s="1952"/>
      <c r="G62" s="1952"/>
      <c r="H62" s="1953"/>
      <c r="I62" s="510">
        <v>0</v>
      </c>
      <c r="J62" s="510">
        <v>0</v>
      </c>
      <c r="K62" s="510">
        <v>0</v>
      </c>
      <c r="L62" s="510">
        <v>0</v>
      </c>
      <c r="M62" s="510">
        <v>0</v>
      </c>
      <c r="N62" s="510">
        <v>0</v>
      </c>
      <c r="O62" s="510">
        <f>SUM(C61:N61)</f>
        <v>5.5825E-2</v>
      </c>
    </row>
    <row r="63" spans="2:15" x14ac:dyDescent="0.4">
      <c r="B63" s="175" t="s">
        <v>162</v>
      </c>
      <c r="C63" s="1954"/>
      <c r="D63" s="1955"/>
      <c r="E63" s="1955"/>
      <c r="F63" s="1955"/>
      <c r="G63" s="1955"/>
      <c r="H63" s="1956"/>
      <c r="I63" s="511">
        <f>SUM(I54:I62)</f>
        <v>2.1684000000000002E-2</v>
      </c>
      <c r="J63" s="511">
        <f t="shared" ref="J63:O63" si="15">SUM(J54:J62)</f>
        <v>4.0457E-2</v>
      </c>
      <c r="K63" s="511">
        <f t="shared" si="15"/>
        <v>3.0190000000000002E-2</v>
      </c>
      <c r="L63" s="511">
        <f t="shared" si="15"/>
        <v>2.7267E-2</v>
      </c>
      <c r="M63" s="511">
        <f t="shared" si="15"/>
        <v>2.4952999999999996E-2</v>
      </c>
      <c r="N63" s="511">
        <f t="shared" si="15"/>
        <v>3.0262999999999998E-2</v>
      </c>
      <c r="O63" s="511">
        <f t="shared" si="15"/>
        <v>0.174814</v>
      </c>
    </row>
    <row r="64" spans="2:15" x14ac:dyDescent="0.4">
      <c r="B64" s="175"/>
      <c r="C64" s="522"/>
      <c r="D64" s="522"/>
      <c r="E64" s="522"/>
      <c r="F64" s="522"/>
      <c r="G64" s="522"/>
      <c r="H64" s="522"/>
      <c r="I64" s="510"/>
      <c r="J64" s="510"/>
      <c r="K64" s="510"/>
      <c r="L64" s="510"/>
      <c r="M64" s="510"/>
      <c r="N64" s="510"/>
      <c r="O64" s="510"/>
    </row>
    <row r="65" spans="2:17" x14ac:dyDescent="0.4">
      <c r="B65" s="119" t="s">
        <v>164</v>
      </c>
      <c r="C65" s="26"/>
      <c r="D65" s="26"/>
      <c r="E65" s="26"/>
      <c r="F65" s="26"/>
      <c r="G65" s="26"/>
      <c r="H65" s="26"/>
      <c r="I65" s="511">
        <f t="shared" ref="I65:O65" si="16">I51+I63</f>
        <v>0.16426124</v>
      </c>
      <c r="J65" s="511">
        <f t="shared" si="16"/>
        <v>0.20305292999999999</v>
      </c>
      <c r="K65" s="511">
        <f t="shared" si="16"/>
        <v>0.20557799999999998</v>
      </c>
      <c r="L65" s="511">
        <f t="shared" si="16"/>
        <v>0.20378285000000002</v>
      </c>
      <c r="M65" s="511">
        <f t="shared" si="16"/>
        <v>0.18805931000000001</v>
      </c>
      <c r="N65" s="511">
        <f t="shared" si="16"/>
        <v>0.21711447</v>
      </c>
      <c r="O65" s="511">
        <f t="shared" si="16"/>
        <v>1.1818488</v>
      </c>
    </row>
    <row r="66" spans="2:17" x14ac:dyDescent="0.4">
      <c r="B66" s="118" t="s">
        <v>165</v>
      </c>
    </row>
    <row r="67" spans="2:17" x14ac:dyDescent="0.4">
      <c r="B67" s="27" t="s">
        <v>166</v>
      </c>
    </row>
    <row r="68" spans="2:17" x14ac:dyDescent="0.4">
      <c r="B68" s="1" t="s">
        <v>184</v>
      </c>
      <c r="C68" s="30"/>
      <c r="D68" s="30"/>
      <c r="E68" s="30"/>
      <c r="F68" s="30"/>
    </row>
    <row r="69" spans="2:17" x14ac:dyDescent="0.4">
      <c r="B69" s="27" t="s">
        <v>168</v>
      </c>
      <c r="C69" s="30"/>
      <c r="D69" s="30"/>
      <c r="E69" s="30"/>
      <c r="F69" s="30"/>
    </row>
    <row r="70" spans="2:17" x14ac:dyDescent="0.4">
      <c r="B70" s="27"/>
      <c r="C70" s="30"/>
      <c r="D70" s="30"/>
      <c r="E70" s="30"/>
      <c r="F70" s="30"/>
    </row>
    <row r="71" spans="2:17" x14ac:dyDescent="0.4">
      <c r="B71" s="32" t="s">
        <v>1021</v>
      </c>
      <c r="C71" s="8"/>
      <c r="D71" s="8"/>
      <c r="E71" s="8"/>
      <c r="F71" s="8"/>
      <c r="G71" s="8"/>
      <c r="H71" s="8"/>
      <c r="I71" s="8"/>
      <c r="J71" s="8"/>
      <c r="K71" s="8"/>
      <c r="L71" s="8"/>
      <c r="M71" s="8"/>
      <c r="N71" s="8"/>
      <c r="O71" s="4"/>
    </row>
    <row r="72" spans="2:17" x14ac:dyDescent="0.4">
      <c r="B72" s="32"/>
      <c r="C72" s="38"/>
      <c r="D72" s="38"/>
      <c r="O72" s="38" t="s">
        <v>171</v>
      </c>
    </row>
    <row r="73" spans="2:17" x14ac:dyDescent="0.4">
      <c r="B73" s="98" t="s">
        <v>160</v>
      </c>
      <c r="C73" s="98" t="s">
        <v>172</v>
      </c>
      <c r="D73" s="98" t="s">
        <v>173</v>
      </c>
      <c r="E73" s="98" t="s">
        <v>174</v>
      </c>
      <c r="F73" s="98" t="s">
        <v>175</v>
      </c>
      <c r="G73" s="98" t="s">
        <v>176</v>
      </c>
      <c r="H73" s="98" t="s">
        <v>177</v>
      </c>
      <c r="I73" s="98" t="s">
        <v>178</v>
      </c>
      <c r="J73" s="98" t="s">
        <v>179</v>
      </c>
      <c r="K73" s="98" t="s">
        <v>180</v>
      </c>
      <c r="L73" s="98" t="s">
        <v>181</v>
      </c>
      <c r="M73" s="98" t="s">
        <v>182</v>
      </c>
      <c r="N73" s="98" t="s">
        <v>183</v>
      </c>
      <c r="O73" s="98" t="s">
        <v>164</v>
      </c>
    </row>
    <row r="74" spans="2:17" x14ac:dyDescent="0.4">
      <c r="B74" s="517" t="s">
        <v>161</v>
      </c>
      <c r="C74" s="78"/>
      <c r="D74" s="78"/>
      <c r="E74" s="78"/>
      <c r="F74" s="3"/>
      <c r="G74" s="3"/>
      <c r="H74" s="2"/>
      <c r="I74" s="43"/>
      <c r="J74" s="44"/>
      <c r="K74" s="124"/>
      <c r="L74" s="124"/>
      <c r="M74" s="2"/>
      <c r="N74" s="2"/>
      <c r="O74" s="2"/>
    </row>
    <row r="75" spans="2:17" x14ac:dyDescent="0.4">
      <c r="B75" s="429" t="s">
        <v>1129</v>
      </c>
      <c r="C75" s="512">
        <f>+'F1 SEZ'!C75+'F1 Non-SEZ'!C75</f>
        <v>0</v>
      </c>
      <c r="D75" s="512">
        <f>+'F1 SEZ'!D75+'F1 Non-SEZ'!D75</f>
        <v>0</v>
      </c>
      <c r="E75" s="512">
        <f>+'F1 SEZ'!E75+'F1 Non-SEZ'!E75</f>
        <v>0</v>
      </c>
      <c r="F75" s="512">
        <f>+'F1 SEZ'!F75+'F1 Non-SEZ'!F75</f>
        <v>0</v>
      </c>
      <c r="G75" s="512">
        <f>+'F1 SEZ'!G75+'F1 Non-SEZ'!G75</f>
        <v>0</v>
      </c>
      <c r="H75" s="512">
        <f>+'F1 SEZ'!H75+'F1 Non-SEZ'!H75</f>
        <v>0</v>
      </c>
      <c r="I75" s="512">
        <f>+'F1 SEZ'!I75+'F1 Non-SEZ'!I75</f>
        <v>0</v>
      </c>
      <c r="J75" s="512">
        <f>+'F1 SEZ'!J75+'F1 Non-SEZ'!J75</f>
        <v>0</v>
      </c>
      <c r="K75" s="512">
        <f>+'F1 SEZ'!K75+'F1 Non-SEZ'!K75</f>
        <v>0</v>
      </c>
      <c r="L75" s="512">
        <f>+'F1 SEZ'!L75+'F1 Non-SEZ'!L75</f>
        <v>0</v>
      </c>
      <c r="M75" s="512">
        <f>+'F1 SEZ'!M75+'F1 Non-SEZ'!M75</f>
        <v>0</v>
      </c>
      <c r="N75" s="512">
        <f>+'F1 SEZ'!N75+'F1 Non-SEZ'!N75</f>
        <v>0</v>
      </c>
      <c r="O75" s="510">
        <f>SUM(C75:N75)</f>
        <v>0</v>
      </c>
      <c r="P75" s="561">
        <f>+'F1 SEZ'!O75+'F1 Non-SEZ'!O75</f>
        <v>0</v>
      </c>
      <c r="Q75" s="562">
        <f>+P75-O75</f>
        <v>0</v>
      </c>
    </row>
    <row r="76" spans="2:17" x14ac:dyDescent="0.4">
      <c r="B76" s="429" t="s">
        <v>1130</v>
      </c>
      <c r="C76" s="512">
        <f>+'F1 SEZ'!C76+'F1 Non-SEZ'!C76</f>
        <v>0.19884044000000001</v>
      </c>
      <c r="D76" s="512">
        <f>+'F1 SEZ'!D76+'F1 Non-SEZ'!D76</f>
        <v>0.18788087000000001</v>
      </c>
      <c r="E76" s="512">
        <f>+'F1 SEZ'!E76+'F1 Non-SEZ'!E76</f>
        <v>0.17948592000000002</v>
      </c>
      <c r="F76" s="512">
        <f>+'F1 SEZ'!F76+'F1 Non-SEZ'!F76</f>
        <v>0.18634855</v>
      </c>
      <c r="G76" s="512">
        <f>+'F1 SEZ'!G76+'F1 Non-SEZ'!G76</f>
        <v>0.16815105999999999</v>
      </c>
      <c r="H76" s="512">
        <f>+'F1 SEZ'!H76+'F1 Non-SEZ'!H76</f>
        <v>0.17877841</v>
      </c>
      <c r="I76" s="512">
        <f>+'F1 SEZ'!I76+'F1 Non-SEZ'!I76</f>
        <v>0.17616183999999999</v>
      </c>
      <c r="J76" s="512">
        <f>+'F1 SEZ'!J76+'F1 Non-SEZ'!J76</f>
        <v>0.12245565999999999</v>
      </c>
      <c r="K76" s="512">
        <f>+'F1 SEZ'!K76+'F1 Non-SEZ'!K76</f>
        <v>0.13598847</v>
      </c>
      <c r="L76" s="512">
        <f>+'F1 SEZ'!L76+'F1 Non-SEZ'!L76</f>
        <v>0.10585989999999999</v>
      </c>
      <c r="M76" s="512">
        <f>+'F1 SEZ'!M76+'F1 Non-SEZ'!M76</f>
        <v>0.107372</v>
      </c>
      <c r="N76" s="512">
        <f>+'F1 SEZ'!N76+'F1 Non-SEZ'!N76</f>
        <v>0.12098931000000002</v>
      </c>
      <c r="O76" s="510">
        <f>SUM(C76:N76)</f>
        <v>1.86831243</v>
      </c>
      <c r="P76" s="561"/>
      <c r="Q76" s="562"/>
    </row>
    <row r="77" spans="2:17" x14ac:dyDescent="0.4">
      <c r="B77" s="429" t="s">
        <v>1131</v>
      </c>
      <c r="C77" s="512">
        <f>+'F1 SEZ'!C77+'F1 Non-SEZ'!C77</f>
        <v>0</v>
      </c>
      <c r="D77" s="512">
        <f>+'F1 SEZ'!D77+'F1 Non-SEZ'!D77</f>
        <v>1.9900299999999999E-2</v>
      </c>
      <c r="E77" s="512">
        <f>+'F1 SEZ'!E77+'F1 Non-SEZ'!E77</f>
        <v>2.8550950000000002E-2</v>
      </c>
      <c r="F77" s="512">
        <f>+'F1 SEZ'!F77+'F1 Non-SEZ'!F77</f>
        <v>4.7114749999999997E-2</v>
      </c>
      <c r="G77" s="512">
        <f>+'F1 SEZ'!G77+'F1 Non-SEZ'!G77</f>
        <v>5.5926999999999998E-2</v>
      </c>
      <c r="H77" s="512">
        <f>+'F1 SEZ'!H77+'F1 Non-SEZ'!H77</f>
        <v>6.2180449999999998E-2</v>
      </c>
      <c r="I77" s="512">
        <f>+'F1 SEZ'!I77+'F1 Non-SEZ'!I77</f>
        <v>6.1310300000000005E-2</v>
      </c>
      <c r="J77" s="512">
        <f>+'F1 SEZ'!J77+'F1 Non-SEZ'!J77</f>
        <v>5.7791459999999996E-2</v>
      </c>
      <c r="K77" s="512">
        <f>+'F1 SEZ'!K77+'F1 Non-SEZ'!K77</f>
        <v>5.8304540000000002E-2</v>
      </c>
      <c r="L77" s="512">
        <f>+'F1 SEZ'!L77+'F1 Non-SEZ'!L77</f>
        <v>6.0667940000000004E-2</v>
      </c>
      <c r="M77" s="512">
        <f>+'F1 SEZ'!M77+'F1 Non-SEZ'!M77</f>
        <v>6.0793E-2</v>
      </c>
      <c r="N77" s="512">
        <f>+'F1 SEZ'!N77+'F1 Non-SEZ'!N77</f>
        <v>5.0762980000000006E-2</v>
      </c>
      <c r="O77" s="510">
        <f>SUM(C77:N77)</f>
        <v>0.56330367000000003</v>
      </c>
      <c r="P77" s="561"/>
      <c r="Q77" s="562"/>
    </row>
    <row r="78" spans="2:17" x14ac:dyDescent="0.4">
      <c r="B78" s="429" t="s">
        <v>1132</v>
      </c>
      <c r="C78" s="512">
        <f>+'F1 SEZ'!C78+'F1 Non-SEZ'!C78</f>
        <v>0</v>
      </c>
      <c r="D78" s="512">
        <f>+'F1 SEZ'!D78+'F1 Non-SEZ'!D78</f>
        <v>0</v>
      </c>
      <c r="E78" s="512">
        <f>+'F1 SEZ'!E78+'F1 Non-SEZ'!E78</f>
        <v>0</v>
      </c>
      <c r="F78" s="512">
        <f>+'F1 SEZ'!F78+'F1 Non-SEZ'!F78</f>
        <v>0</v>
      </c>
      <c r="G78" s="512">
        <f>+'F1 SEZ'!G78+'F1 Non-SEZ'!G78</f>
        <v>0</v>
      </c>
      <c r="H78" s="512">
        <f>+'F1 SEZ'!H78+'F1 Non-SEZ'!H78</f>
        <v>0</v>
      </c>
      <c r="I78" s="512">
        <f>+'F1 SEZ'!I78+'F1 Non-SEZ'!I78</f>
        <v>0</v>
      </c>
      <c r="J78" s="512">
        <f>+'F1 SEZ'!J78+'F1 Non-SEZ'!J78</f>
        <v>0</v>
      </c>
      <c r="K78" s="512">
        <f>+'F1 SEZ'!K78+'F1 Non-SEZ'!K78</f>
        <v>0</v>
      </c>
      <c r="L78" s="512">
        <f>+'F1 SEZ'!L78+'F1 Non-SEZ'!L78</f>
        <v>0</v>
      </c>
      <c r="M78" s="512">
        <f>+'F1 SEZ'!M78+'F1 Non-SEZ'!M78</f>
        <v>0</v>
      </c>
      <c r="N78" s="512">
        <f>+'F1 SEZ'!N78+'F1 Non-SEZ'!N78</f>
        <v>0</v>
      </c>
      <c r="O78" s="510">
        <f>SUM(C78:N78)</f>
        <v>0</v>
      </c>
    </row>
    <row r="79" spans="2:17" x14ac:dyDescent="0.4">
      <c r="B79" s="518" t="s">
        <v>162</v>
      </c>
      <c r="C79" s="513">
        <f>SUM(C75:C78)</f>
        <v>0.19884044000000001</v>
      </c>
      <c r="D79" s="513">
        <f t="shared" ref="D79:O79" si="17">SUM(D75:D78)</f>
        <v>0.20778117000000002</v>
      </c>
      <c r="E79" s="513">
        <f t="shared" si="17"/>
        <v>0.20803687000000001</v>
      </c>
      <c r="F79" s="513">
        <f t="shared" si="17"/>
        <v>0.23346329999999998</v>
      </c>
      <c r="G79" s="513">
        <f t="shared" si="17"/>
        <v>0.22407806</v>
      </c>
      <c r="H79" s="513">
        <f t="shared" si="17"/>
        <v>0.24095886</v>
      </c>
      <c r="I79" s="513">
        <f t="shared" si="17"/>
        <v>0.23747214</v>
      </c>
      <c r="J79" s="513">
        <f t="shared" si="17"/>
        <v>0.18024711999999998</v>
      </c>
      <c r="K79" s="513">
        <f t="shared" si="17"/>
        <v>0.19429300999999999</v>
      </c>
      <c r="L79" s="513">
        <f t="shared" si="17"/>
        <v>0.16652783999999998</v>
      </c>
      <c r="M79" s="513">
        <f t="shared" si="17"/>
        <v>0.16816500000000001</v>
      </c>
      <c r="N79" s="513">
        <f t="shared" si="17"/>
        <v>0.17175229000000003</v>
      </c>
      <c r="O79" s="513">
        <f t="shared" si="17"/>
        <v>2.4316161000000003</v>
      </c>
    </row>
    <row r="80" spans="2:17" x14ac:dyDescent="0.4">
      <c r="B80" s="517" t="s">
        <v>163</v>
      </c>
      <c r="C80" s="513"/>
      <c r="D80" s="513"/>
      <c r="E80" s="513"/>
      <c r="F80" s="513"/>
      <c r="G80" s="513"/>
      <c r="H80" s="513"/>
      <c r="I80" s="513"/>
      <c r="J80" s="513"/>
      <c r="K80" s="513"/>
      <c r="L80" s="513"/>
      <c r="M80" s="513"/>
      <c r="N80" s="513"/>
      <c r="O80" s="535"/>
    </row>
    <row r="81" spans="2:17" x14ac:dyDescent="0.4">
      <c r="B81" s="519" t="s">
        <v>1133</v>
      </c>
      <c r="C81" s="536"/>
      <c r="D81" s="536"/>
      <c r="E81" s="514"/>
      <c r="F81" s="536"/>
      <c r="G81" s="514"/>
      <c r="H81" s="514"/>
      <c r="I81" s="512"/>
      <c r="J81" s="513"/>
      <c r="K81" s="514"/>
      <c r="L81" s="513"/>
      <c r="M81" s="513"/>
      <c r="N81" s="515"/>
      <c r="O81" s="514"/>
    </row>
    <row r="82" spans="2:17" x14ac:dyDescent="0.4">
      <c r="B82" s="520" t="s">
        <v>1106</v>
      </c>
      <c r="C82" s="512">
        <f>+'F1 SEZ'!C82+'F1 Non-SEZ'!C82</f>
        <v>1.1969999999999999E-3</v>
      </c>
      <c r="D82" s="512">
        <f>+'F1 SEZ'!D82+'F1 Non-SEZ'!D82</f>
        <v>1.322E-3</v>
      </c>
      <c r="E82" s="512">
        <f>+'F1 SEZ'!E82+'F1 Non-SEZ'!E82</f>
        <v>1.1199999999999999E-3</v>
      </c>
      <c r="F82" s="512">
        <f>+'F1 SEZ'!F82+'F1 Non-SEZ'!F82</f>
        <v>1.4580000000000001E-3</v>
      </c>
      <c r="G82" s="512">
        <f>+'F1 SEZ'!G82+'F1 Non-SEZ'!G82</f>
        <v>1.075E-3</v>
      </c>
      <c r="H82" s="512">
        <f>+'F1 SEZ'!H82+'F1 Non-SEZ'!H82</f>
        <v>1.717E-3</v>
      </c>
      <c r="I82" s="512">
        <f>+'F1 SEZ'!I82+'F1 Non-SEZ'!I82</f>
        <v>1.8190000000000001E-3</v>
      </c>
      <c r="J82" s="512">
        <f>+'F1 SEZ'!J82+'F1 Non-SEZ'!J82</f>
        <v>1.9550000000000001E-3</v>
      </c>
      <c r="K82" s="512">
        <f>+'F1 SEZ'!K82+'F1 Non-SEZ'!K82</f>
        <v>8.4381400000000002E-3</v>
      </c>
      <c r="L82" s="512">
        <f>+'F1 SEZ'!L82+'F1 Non-SEZ'!L82</f>
        <v>8.1741699999999997E-3</v>
      </c>
      <c r="M82" s="512">
        <f>+'F1 SEZ'!M82+'F1 Non-SEZ'!M82</f>
        <v>8.1685300000000002E-3</v>
      </c>
      <c r="N82" s="512">
        <f>+'F1 SEZ'!N82+'F1 Non-SEZ'!N82</f>
        <v>8.7911499999999993E-3</v>
      </c>
      <c r="O82" s="510">
        <f t="shared" ref="O82:O88" si="18">SUM(C82:N82)</f>
        <v>4.5234989999999996E-2</v>
      </c>
      <c r="P82" s="561"/>
      <c r="Q82" s="562"/>
    </row>
    <row r="83" spans="2:17" x14ac:dyDescent="0.4">
      <c r="B83" s="520" t="s">
        <v>1107</v>
      </c>
      <c r="C83" s="512">
        <f>+'F1 SEZ'!C83+'F1 Non-SEZ'!C83</f>
        <v>6.2989999999999999E-3</v>
      </c>
      <c r="D83" s="512">
        <f>+'F1 SEZ'!D83+'F1 Non-SEZ'!D83</f>
        <v>6.2659999999999999E-3</v>
      </c>
      <c r="E83" s="512">
        <f>+'F1 SEZ'!E83+'F1 Non-SEZ'!E83</f>
        <v>8.0219999999999996E-3</v>
      </c>
      <c r="F83" s="512">
        <f>+'F1 SEZ'!F83+'F1 Non-SEZ'!F83</f>
        <v>8.2410000000000001E-3</v>
      </c>
      <c r="G83" s="512">
        <f>+'F1 SEZ'!G83+'F1 Non-SEZ'!G83</f>
        <v>8.4110000000000001E-3</v>
      </c>
      <c r="H83" s="512">
        <f>+'F1 SEZ'!H83+'F1 Non-SEZ'!H83</f>
        <v>7.6080000000000002E-3</v>
      </c>
      <c r="I83" s="512">
        <f>+'F1 SEZ'!I83+'F1 Non-SEZ'!I83</f>
        <v>8.5170000000000003E-3</v>
      </c>
      <c r="J83" s="512">
        <f>+'F1 SEZ'!J83+'F1 Non-SEZ'!J83</f>
        <v>8.1689999999999992E-3</v>
      </c>
      <c r="K83" s="512">
        <f>+'F1 SEZ'!K83+'F1 Non-SEZ'!K83</f>
        <v>5.7728599999999995E-3</v>
      </c>
      <c r="L83" s="512">
        <f>+'F1 SEZ'!L83+'F1 Non-SEZ'!L83</f>
        <v>4.6718300000000001E-3</v>
      </c>
      <c r="M83" s="512">
        <f>+'F1 SEZ'!M83+'F1 Non-SEZ'!M83</f>
        <v>5.8184700000000001E-3</v>
      </c>
      <c r="N83" s="512">
        <f>+'F1 SEZ'!N83+'F1 Non-SEZ'!N83</f>
        <v>6.12285E-3</v>
      </c>
      <c r="O83" s="510">
        <f t="shared" si="18"/>
        <v>8.3919010000000002E-2</v>
      </c>
      <c r="P83" s="561"/>
      <c r="Q83" s="562"/>
    </row>
    <row r="84" spans="2:17" x14ac:dyDescent="0.4">
      <c r="B84" s="520" t="s">
        <v>1108</v>
      </c>
      <c r="C84" s="512">
        <f>+'F1 SEZ'!C84+'F1 Non-SEZ'!C84</f>
        <v>4.7499999999999999E-3</v>
      </c>
      <c r="D84" s="512">
        <f>+'F1 SEZ'!D84+'F1 Non-SEZ'!D84</f>
        <v>4.0610000000000004E-3</v>
      </c>
      <c r="E84" s="512">
        <f>+'F1 SEZ'!E84+'F1 Non-SEZ'!E84</f>
        <v>2.9640000000000001E-3</v>
      </c>
      <c r="F84" s="512">
        <f>+'F1 SEZ'!F84+'F1 Non-SEZ'!F84</f>
        <v>3.686E-3</v>
      </c>
      <c r="G84" s="512">
        <f>+'F1 SEZ'!G84+'F1 Non-SEZ'!G84</f>
        <v>2.9880000000000002E-3</v>
      </c>
      <c r="H84" s="512">
        <f>+'F1 SEZ'!H84+'F1 Non-SEZ'!H84</f>
        <v>3.1830000000000001E-3</v>
      </c>
      <c r="I84" s="512">
        <f>+'F1 SEZ'!I84+'F1 Non-SEZ'!I84</f>
        <v>2.1949999999999999E-3</v>
      </c>
      <c r="J84" s="512">
        <f>+'F1 SEZ'!J84+'F1 Non-SEZ'!J84</f>
        <v>3.0200000000000001E-3</v>
      </c>
      <c r="K84" s="512">
        <f>+'F1 SEZ'!K84+'F1 Non-SEZ'!K84</f>
        <v>1.9600299999999998E-3</v>
      </c>
      <c r="L84" s="512">
        <f>+'F1 SEZ'!L84+'F1 Non-SEZ'!L84</f>
        <v>2.0327000000000001E-3</v>
      </c>
      <c r="M84" s="512">
        <f>+'F1 SEZ'!M84+'F1 Non-SEZ'!M84</f>
        <v>2.27363E-3</v>
      </c>
      <c r="N84" s="512">
        <f>+'F1 SEZ'!N84+'F1 Non-SEZ'!N84</f>
        <v>1.9176900000000001E-3</v>
      </c>
      <c r="O84" s="510">
        <f t="shared" si="18"/>
        <v>3.5031049999999994E-2</v>
      </c>
      <c r="P84" s="561"/>
      <c r="Q84" s="562"/>
    </row>
    <row r="85" spans="2:17" x14ac:dyDescent="0.4">
      <c r="B85" s="520" t="s">
        <v>1109</v>
      </c>
      <c r="C85" s="512">
        <f>+'F1 SEZ'!C85+'F1 Non-SEZ'!C85</f>
        <v>2.9949999999999998E-3</v>
      </c>
      <c r="D85" s="512">
        <f>+'F1 SEZ'!D85+'F1 Non-SEZ'!D85</f>
        <v>5.7559999999999998E-3</v>
      </c>
      <c r="E85" s="512">
        <f>+'F1 SEZ'!E85+'F1 Non-SEZ'!E85</f>
        <v>4.5830000000000003E-3</v>
      </c>
      <c r="F85" s="512">
        <f>+'F1 SEZ'!F85+'F1 Non-SEZ'!F85</f>
        <v>6.2100000000000002E-4</v>
      </c>
      <c r="G85" s="512">
        <f>+'F1 SEZ'!G85+'F1 Non-SEZ'!G85</f>
        <v>1.039E-3</v>
      </c>
      <c r="H85" s="512">
        <f>+'F1 SEZ'!H85+'F1 Non-SEZ'!H85</f>
        <v>0</v>
      </c>
      <c r="I85" s="512">
        <f>+'F1 SEZ'!I85+'F1 Non-SEZ'!I85</f>
        <v>5.1599999999999997E-4</v>
      </c>
      <c r="J85" s="512">
        <f>+'F1 SEZ'!J85+'F1 Non-SEZ'!J85</f>
        <v>5.0699999999999996E-4</v>
      </c>
      <c r="K85" s="512">
        <f>+'F1 SEZ'!K85+'F1 Non-SEZ'!K85</f>
        <v>4.1856899999999997E-3</v>
      </c>
      <c r="L85" s="512">
        <f>+'F1 SEZ'!L85+'F1 Non-SEZ'!L85</f>
        <v>5.1666999999999998E-3</v>
      </c>
      <c r="M85" s="512">
        <f>+'F1 SEZ'!M85+'F1 Non-SEZ'!M85</f>
        <v>5.3166300000000001E-3</v>
      </c>
      <c r="N85" s="512">
        <f>+'F1 SEZ'!N85+'F1 Non-SEZ'!N85</f>
        <v>3.6166900000000001E-3</v>
      </c>
      <c r="O85" s="510">
        <f t="shared" si="18"/>
        <v>3.430271E-2</v>
      </c>
      <c r="P85" s="561"/>
      <c r="Q85" s="562"/>
    </row>
    <row r="86" spans="2:17" x14ac:dyDescent="0.4">
      <c r="B86" s="520" t="s">
        <v>1110</v>
      </c>
      <c r="C86" s="512">
        <f>+'F1 SEZ'!C86+'F1 Non-SEZ'!C86</f>
        <v>7.7289999999999998E-3</v>
      </c>
      <c r="D86" s="512">
        <f>+'F1 SEZ'!D86+'F1 Non-SEZ'!D86</f>
        <v>8.3940000000000004E-3</v>
      </c>
      <c r="E86" s="512">
        <f>+'F1 SEZ'!E86+'F1 Non-SEZ'!E86</f>
        <v>7.6930000000000002E-3</v>
      </c>
      <c r="F86" s="512">
        <f>+'F1 SEZ'!F86+'F1 Non-SEZ'!F86</f>
        <v>8.8079999999999999E-3</v>
      </c>
      <c r="G86" s="512">
        <f>+'F1 SEZ'!G86+'F1 Non-SEZ'!G86</f>
        <v>9.5379999999999996E-3</v>
      </c>
      <c r="H86" s="512">
        <f>+'F1 SEZ'!H86+'F1 Non-SEZ'!H86</f>
        <v>1.0076E-2</v>
      </c>
      <c r="I86" s="512">
        <f>+'F1 SEZ'!I86+'F1 Non-SEZ'!I86</f>
        <v>9.2250000000000006E-3</v>
      </c>
      <c r="J86" s="512">
        <f>+'F1 SEZ'!J86+'F1 Non-SEZ'!J86</f>
        <v>5.4864999999999997E-2</v>
      </c>
      <c r="K86" s="512">
        <f>+'F1 SEZ'!K86+'F1 Non-SEZ'!K86</f>
        <v>4.6639279999999998E-2</v>
      </c>
      <c r="L86" s="512">
        <f>+'F1 SEZ'!L86+'F1 Non-SEZ'!L86</f>
        <v>5.7909599999999999E-2</v>
      </c>
      <c r="M86" s="512">
        <f>+'F1 SEZ'!M86+'F1 Non-SEZ'!M86</f>
        <v>5.3139739999999998E-2</v>
      </c>
      <c r="N86" s="512">
        <f>+'F1 SEZ'!N86+'F1 Non-SEZ'!N86</f>
        <v>3.2963599999999996E-2</v>
      </c>
      <c r="O86" s="510">
        <f t="shared" si="18"/>
        <v>0.30698021999999997</v>
      </c>
      <c r="P86" s="561"/>
      <c r="Q86" s="562"/>
    </row>
    <row r="87" spans="2:17" x14ac:dyDescent="0.4">
      <c r="B87" s="519" t="s">
        <v>1134</v>
      </c>
      <c r="C87" s="512">
        <f>+'F1 SEZ'!C87+'F1 Non-SEZ'!C87</f>
        <v>0</v>
      </c>
      <c r="D87" s="512">
        <f>+'F1 SEZ'!D87+'F1 Non-SEZ'!D87</f>
        <v>0</v>
      </c>
      <c r="E87" s="512">
        <f>+'F1 SEZ'!E87+'F1 Non-SEZ'!E87</f>
        <v>0</v>
      </c>
      <c r="F87" s="512">
        <f>+'F1 SEZ'!F87+'F1 Non-SEZ'!F87</f>
        <v>0</v>
      </c>
      <c r="G87" s="512">
        <f>+'F1 SEZ'!G87+'F1 Non-SEZ'!G87</f>
        <v>0</v>
      </c>
      <c r="H87" s="512">
        <f>+'F1 SEZ'!H87+'F1 Non-SEZ'!H87</f>
        <v>0</v>
      </c>
      <c r="I87" s="512">
        <f>+'F1 SEZ'!I87+'F1 Non-SEZ'!I87</f>
        <v>0</v>
      </c>
      <c r="J87" s="512">
        <f>+'F1 SEZ'!J87+'F1 Non-SEZ'!J87</f>
        <v>0</v>
      </c>
      <c r="K87" s="512">
        <f>+'F1 SEZ'!K87+'F1 Non-SEZ'!K87</f>
        <v>0</v>
      </c>
      <c r="L87" s="512">
        <f>+'F1 SEZ'!L87+'F1 Non-SEZ'!L87</f>
        <v>0</v>
      </c>
      <c r="M87" s="512">
        <f>+'F1 SEZ'!M87+'F1 Non-SEZ'!M87</f>
        <v>9.9999999999999995E-7</v>
      </c>
      <c r="N87" s="512">
        <f>+'F1 SEZ'!N87+'F1 Non-SEZ'!N87</f>
        <v>1.8000000000000001E-4</v>
      </c>
      <c r="O87" s="510">
        <f t="shared" si="18"/>
        <v>1.8100000000000001E-4</v>
      </c>
      <c r="P87" s="561"/>
      <c r="Q87" s="562"/>
    </row>
    <row r="88" spans="2:17" x14ac:dyDescent="0.4">
      <c r="B88" s="519" t="s">
        <v>1111</v>
      </c>
      <c r="C88" s="512">
        <f>+'F1 SEZ'!C88+'F1 Non-SEZ'!C88</f>
        <v>0</v>
      </c>
      <c r="D88" s="512">
        <f>+'F1 SEZ'!D88+'F1 Non-SEZ'!D88</f>
        <v>0</v>
      </c>
      <c r="E88" s="512">
        <f>+'F1 SEZ'!E88+'F1 Non-SEZ'!E88</f>
        <v>0</v>
      </c>
      <c r="F88" s="512">
        <f>+'F1 SEZ'!F88+'F1 Non-SEZ'!F88</f>
        <v>0</v>
      </c>
      <c r="G88" s="512">
        <f>+'F1 SEZ'!G88+'F1 Non-SEZ'!G88</f>
        <v>0</v>
      </c>
      <c r="H88" s="512">
        <f>+'F1 SEZ'!H88+'F1 Non-SEZ'!H88</f>
        <v>0</v>
      </c>
      <c r="I88" s="512">
        <f>+'F1 SEZ'!I88+'F1 Non-SEZ'!I88</f>
        <v>0</v>
      </c>
      <c r="J88" s="512">
        <f>+'F1 SEZ'!J88+'F1 Non-SEZ'!J88</f>
        <v>0</v>
      </c>
      <c r="K88" s="512">
        <f>+'F1 SEZ'!K88+'F1 Non-SEZ'!K88</f>
        <v>0</v>
      </c>
      <c r="L88" s="512">
        <f>+'F1 SEZ'!L88+'F1 Non-SEZ'!L88</f>
        <v>0</v>
      </c>
      <c r="M88" s="512">
        <f>+'F1 SEZ'!M88+'F1 Non-SEZ'!M88</f>
        <v>0</v>
      </c>
      <c r="N88" s="512">
        <f>+'F1 SEZ'!N88+'F1 Non-SEZ'!N88</f>
        <v>0</v>
      </c>
      <c r="O88" s="510">
        <f t="shared" si="18"/>
        <v>0</v>
      </c>
      <c r="P88" s="561"/>
      <c r="Q88" s="562"/>
    </row>
    <row r="89" spans="2:17" x14ac:dyDescent="0.4">
      <c r="B89" s="519" t="s">
        <v>1135</v>
      </c>
      <c r="C89" s="512">
        <f>+'F1 SEZ'!C89+'F1 Non-SEZ'!C89</f>
        <v>1.0109E-2</v>
      </c>
      <c r="D89" s="512">
        <f>+'F1 SEZ'!D89+'F1 Non-SEZ'!D89</f>
        <v>1.0880000000000001E-2</v>
      </c>
      <c r="E89" s="512">
        <f>+'F1 SEZ'!E89+'F1 Non-SEZ'!E89</f>
        <v>1.2352999999999999E-2</v>
      </c>
      <c r="F89" s="512">
        <f>+'F1 SEZ'!F89+'F1 Non-SEZ'!F89</f>
        <v>8.3479999999999995E-3</v>
      </c>
      <c r="G89" s="512">
        <f>+'F1 SEZ'!G89+'F1 Non-SEZ'!G89</f>
        <v>1.1391E-2</v>
      </c>
      <c r="H89" s="512">
        <f>+'F1 SEZ'!H89+'F1 Non-SEZ'!H89</f>
        <v>1.0869999999999999E-2</v>
      </c>
      <c r="I89" s="512">
        <f>+'F1 SEZ'!I89+'F1 Non-SEZ'!I89</f>
        <v>1.0437999999999999E-2</v>
      </c>
      <c r="J89" s="512">
        <f>+'F1 SEZ'!J89+'F1 Non-SEZ'!J89</f>
        <v>9.946E-3</v>
      </c>
      <c r="K89" s="512">
        <f>+'F1 SEZ'!K89+'F1 Non-SEZ'!K89</f>
        <v>1.0168E-2</v>
      </c>
      <c r="L89" s="512">
        <f>+'F1 SEZ'!L89+'F1 Non-SEZ'!L89</f>
        <v>9.1959999999999993E-3</v>
      </c>
      <c r="M89" s="512">
        <f>+'F1 SEZ'!M89+'F1 Non-SEZ'!M89</f>
        <v>9.6530000000000001E-3</v>
      </c>
      <c r="N89" s="512">
        <f>+'F1 SEZ'!N89+'F1 Non-SEZ'!N89</f>
        <v>9.9319999999999999E-3</v>
      </c>
      <c r="O89" s="510">
        <f>SUM(C89:N89)</f>
        <v>0.12328399999999998</v>
      </c>
      <c r="P89" s="561"/>
      <c r="Q89" s="562"/>
    </row>
    <row r="90" spans="2:17" x14ac:dyDescent="0.4">
      <c r="B90" s="519" t="s">
        <v>1136</v>
      </c>
      <c r="C90" s="512">
        <f>+'F1 SEZ'!C90+'F1 Non-SEZ'!C90</f>
        <v>0</v>
      </c>
      <c r="D90" s="512">
        <f>+'F1 SEZ'!D90+'F1 Non-SEZ'!D90</f>
        <v>2.483E-3</v>
      </c>
      <c r="E90" s="512">
        <f>+'F1 SEZ'!E90+'F1 Non-SEZ'!E90</f>
        <v>2.385E-3</v>
      </c>
      <c r="F90" s="512">
        <f>+'F1 SEZ'!F90+'F1 Non-SEZ'!F90</f>
        <v>1.3294300000000002E-3</v>
      </c>
      <c r="G90" s="512">
        <f>+'F1 SEZ'!G90+'F1 Non-SEZ'!G90</f>
        <v>1.1996999999999999E-3</v>
      </c>
      <c r="H90" s="512">
        <f>+'F1 SEZ'!H90+'F1 Non-SEZ'!H90</f>
        <v>9.4589999999999995E-4</v>
      </c>
      <c r="I90" s="512">
        <f>+'F1 SEZ'!I90+'F1 Non-SEZ'!I90</f>
        <v>1.0974000000000001E-3</v>
      </c>
      <c r="J90" s="512">
        <f>+'F1 SEZ'!J90+'F1 Non-SEZ'!J90</f>
        <v>1.0968E-3</v>
      </c>
      <c r="K90" s="512">
        <f>+'F1 SEZ'!K90+'F1 Non-SEZ'!K90</f>
        <v>8.2170000000000008E-4</v>
      </c>
      <c r="L90" s="512">
        <f>+'F1 SEZ'!L90+'F1 Non-SEZ'!L90</f>
        <v>4.8689999999999996E-4</v>
      </c>
      <c r="M90" s="512">
        <f>+'F1 SEZ'!M90+'F1 Non-SEZ'!M90</f>
        <v>6.1200000000000002E-4</v>
      </c>
      <c r="N90" s="512">
        <f>+'F1 SEZ'!N90+'F1 Non-SEZ'!N90</f>
        <v>7.2900000000000005E-4</v>
      </c>
      <c r="O90" s="510">
        <f>SUM(C90:N90)</f>
        <v>1.318683E-2</v>
      </c>
      <c r="P90" s="561"/>
      <c r="Q90" s="562"/>
    </row>
    <row r="91" spans="2:17" x14ac:dyDescent="0.4">
      <c r="B91" s="566" t="s">
        <v>1142</v>
      </c>
      <c r="C91" s="512"/>
      <c r="D91" s="512"/>
      <c r="E91" s="512"/>
      <c r="F91" s="512"/>
      <c r="G91" s="512"/>
      <c r="H91" s="512"/>
      <c r="I91" s="512"/>
      <c r="J91" s="512"/>
      <c r="K91" s="512"/>
      <c r="L91" s="512"/>
      <c r="M91" s="512"/>
      <c r="N91" s="512"/>
      <c r="O91" s="510"/>
      <c r="P91" s="561"/>
      <c r="Q91" s="562"/>
    </row>
    <row r="92" spans="2:17" x14ac:dyDescent="0.4">
      <c r="B92" s="175" t="s">
        <v>162</v>
      </c>
      <c r="C92" s="513">
        <f>SUM(C82:C90)</f>
        <v>3.3078999999999997E-2</v>
      </c>
      <c r="D92" s="513">
        <f t="shared" ref="D92:O92" si="19">SUM(D82:D90)</f>
        <v>3.9162000000000002E-2</v>
      </c>
      <c r="E92" s="513">
        <f t="shared" si="19"/>
        <v>3.9120000000000002E-2</v>
      </c>
      <c r="F92" s="513">
        <f t="shared" si="19"/>
        <v>3.2491430000000002E-2</v>
      </c>
      <c r="G92" s="513">
        <f t="shared" si="19"/>
        <v>3.5641699999999998E-2</v>
      </c>
      <c r="H92" s="513">
        <f t="shared" si="19"/>
        <v>3.4399899999999997E-2</v>
      </c>
      <c r="I92" s="513">
        <f t="shared" si="19"/>
        <v>3.3807400000000001E-2</v>
      </c>
      <c r="J92" s="513">
        <f t="shared" si="19"/>
        <v>7.9558799999999985E-2</v>
      </c>
      <c r="K92" s="513">
        <f t="shared" si="19"/>
        <v>7.7985699999999991E-2</v>
      </c>
      <c r="L92" s="513">
        <f t="shared" si="19"/>
        <v>8.7637899999999991E-2</v>
      </c>
      <c r="M92" s="513">
        <f t="shared" si="19"/>
        <v>8.4982999999999989E-2</v>
      </c>
      <c r="N92" s="513">
        <f t="shared" si="19"/>
        <v>6.4252979999999987E-2</v>
      </c>
      <c r="O92" s="513">
        <f t="shared" si="19"/>
        <v>0.64211980999999985</v>
      </c>
    </row>
    <row r="93" spans="2:17" x14ac:dyDescent="0.4">
      <c r="B93" s="175"/>
      <c r="C93" s="512"/>
      <c r="D93" s="512"/>
      <c r="E93" s="512"/>
      <c r="F93" s="512"/>
      <c r="G93" s="512"/>
      <c r="H93" s="512"/>
      <c r="I93" s="512"/>
      <c r="J93" s="512"/>
      <c r="K93" s="512"/>
      <c r="L93" s="512"/>
      <c r="M93" s="512"/>
      <c r="N93" s="512"/>
      <c r="O93" s="538"/>
    </row>
    <row r="94" spans="2:17" x14ac:dyDescent="0.4">
      <c r="B94" s="119" t="s">
        <v>164</v>
      </c>
      <c r="C94" s="513">
        <f t="shared" ref="C94:N94" si="20">C79+C92</f>
        <v>0.23191944</v>
      </c>
      <c r="D94" s="513">
        <f t="shared" si="20"/>
        <v>0.24694317000000002</v>
      </c>
      <c r="E94" s="513">
        <f t="shared" si="20"/>
        <v>0.24715687000000003</v>
      </c>
      <c r="F94" s="513">
        <f t="shared" si="20"/>
        <v>0.26595472999999997</v>
      </c>
      <c r="G94" s="513">
        <f t="shared" si="20"/>
        <v>0.25971975999999997</v>
      </c>
      <c r="H94" s="513">
        <f t="shared" si="20"/>
        <v>0.27535875999999998</v>
      </c>
      <c r="I94" s="513">
        <f t="shared" si="20"/>
        <v>0.27127953999999999</v>
      </c>
      <c r="J94" s="513">
        <f t="shared" si="20"/>
        <v>0.25980591999999997</v>
      </c>
      <c r="K94" s="513">
        <f t="shared" si="20"/>
        <v>0.27227870999999998</v>
      </c>
      <c r="L94" s="513">
        <f t="shared" si="20"/>
        <v>0.25416573999999997</v>
      </c>
      <c r="M94" s="513">
        <f t="shared" si="20"/>
        <v>0.25314799999999998</v>
      </c>
      <c r="N94" s="513">
        <f t="shared" si="20"/>
        <v>0.23600527000000002</v>
      </c>
      <c r="O94" s="539">
        <f>+O79+O92</f>
        <v>3.0737359099999999</v>
      </c>
    </row>
    <row r="95" spans="2:17" x14ac:dyDescent="0.4">
      <c r="B95" s="118" t="s">
        <v>165</v>
      </c>
    </row>
    <row r="96" spans="2:17" x14ac:dyDescent="0.4">
      <c r="B96" s="27" t="s">
        <v>166</v>
      </c>
    </row>
    <row r="97" spans="2:17" x14ac:dyDescent="0.4">
      <c r="B97" s="1" t="s">
        <v>184</v>
      </c>
      <c r="C97" s="30"/>
      <c r="D97" s="30"/>
      <c r="E97" s="30"/>
      <c r="F97" s="30"/>
    </row>
    <row r="98" spans="2:17" x14ac:dyDescent="0.4">
      <c r="B98" s="27" t="s">
        <v>168</v>
      </c>
      <c r="C98" s="30"/>
      <c r="D98" s="30"/>
      <c r="E98" s="30"/>
      <c r="F98" s="30"/>
    </row>
    <row r="99" spans="2:17" x14ac:dyDescent="0.4">
      <c r="B99" s="32"/>
    </row>
    <row r="100" spans="2:17" x14ac:dyDescent="0.4">
      <c r="B100" s="32" t="s">
        <v>1022</v>
      </c>
      <c r="C100" s="8"/>
      <c r="D100" s="8"/>
      <c r="E100" s="8"/>
      <c r="F100" s="8"/>
      <c r="G100" s="8"/>
      <c r="H100" s="8"/>
      <c r="I100" s="8"/>
      <c r="J100" s="8"/>
      <c r="K100" s="8"/>
      <c r="L100" s="8"/>
      <c r="M100" s="8"/>
      <c r="N100" s="8"/>
      <c r="O100" s="4"/>
    </row>
    <row r="101" spans="2:17" x14ac:dyDescent="0.4">
      <c r="B101" s="32"/>
      <c r="C101" s="38"/>
      <c r="D101" s="38"/>
      <c r="O101" s="38" t="s">
        <v>171</v>
      </c>
    </row>
    <row r="102" spans="2:17" x14ac:dyDescent="0.4">
      <c r="B102" s="98" t="s">
        <v>160</v>
      </c>
      <c r="C102" s="98" t="s">
        <v>172</v>
      </c>
      <c r="D102" s="98" t="s">
        <v>173</v>
      </c>
      <c r="E102" s="98" t="s">
        <v>174</v>
      </c>
      <c r="F102" s="98" t="s">
        <v>175</v>
      </c>
      <c r="G102" s="98" t="s">
        <v>176</v>
      </c>
      <c r="H102" s="98" t="s">
        <v>177</v>
      </c>
      <c r="I102" s="98" t="s">
        <v>178</v>
      </c>
      <c r="J102" s="98" t="s">
        <v>179</v>
      </c>
      <c r="K102" s="98" t="s">
        <v>180</v>
      </c>
      <c r="L102" s="98" t="s">
        <v>181</v>
      </c>
      <c r="M102" s="98" t="s">
        <v>182</v>
      </c>
      <c r="N102" s="98" t="s">
        <v>183</v>
      </c>
      <c r="O102" s="98" t="s">
        <v>164</v>
      </c>
    </row>
    <row r="103" spans="2:17" x14ac:dyDescent="0.4">
      <c r="B103" s="517" t="s">
        <v>161</v>
      </c>
      <c r="C103" s="540"/>
      <c r="D103" s="540"/>
      <c r="E103" s="541"/>
      <c r="F103" s="542"/>
      <c r="G103" s="541"/>
      <c r="H103" s="541"/>
      <c r="I103" s="541"/>
      <c r="J103" s="541"/>
      <c r="K103" s="541"/>
      <c r="L103" s="541"/>
      <c r="M103" s="541"/>
      <c r="N103" s="541"/>
      <c r="O103" s="540"/>
    </row>
    <row r="104" spans="2:17" x14ac:dyDescent="0.4">
      <c r="B104" s="429" t="s">
        <v>1129</v>
      </c>
      <c r="C104" s="512">
        <f>+'F1 SEZ'!C103+'F1 Non-SEZ'!C103</f>
        <v>0</v>
      </c>
      <c r="D104" s="512">
        <f>+'F1 SEZ'!D103+'F1 Non-SEZ'!D103</f>
        <v>0</v>
      </c>
      <c r="E104" s="512">
        <f>+'F1 SEZ'!E103+'F1 Non-SEZ'!E103</f>
        <v>0</v>
      </c>
      <c r="F104" s="512">
        <f>+'F1 SEZ'!F103+'F1 Non-SEZ'!F103</f>
        <v>0</v>
      </c>
      <c r="G104" s="512">
        <f>+'F1 SEZ'!G103+'F1 Non-SEZ'!G103</f>
        <v>0</v>
      </c>
      <c r="H104" s="512">
        <f>+'F1 SEZ'!H103+'F1 Non-SEZ'!H103</f>
        <v>0</v>
      </c>
      <c r="I104" s="512">
        <f>+'F1 SEZ'!I103+'F1 Non-SEZ'!I103</f>
        <v>0</v>
      </c>
      <c r="J104" s="512">
        <f>+'F1 SEZ'!J103+'F1 Non-SEZ'!J103</f>
        <v>0</v>
      </c>
      <c r="K104" s="512">
        <f>+'F1 SEZ'!K103+'F1 Non-SEZ'!K103</f>
        <v>0</v>
      </c>
      <c r="L104" s="512">
        <f>+'F1 SEZ'!L103+'F1 Non-SEZ'!L103</f>
        <v>0</v>
      </c>
      <c r="M104" s="512">
        <f>+'F1 SEZ'!M103+'F1 Non-SEZ'!M103</f>
        <v>0</v>
      </c>
      <c r="N104" s="512">
        <f>+'F1 SEZ'!N103+'F1 Non-SEZ'!N103</f>
        <v>1.44E-2</v>
      </c>
      <c r="O104" s="544">
        <f>SUM(C104:N104)</f>
        <v>1.44E-2</v>
      </c>
      <c r="P104" s="561"/>
      <c r="Q104" s="562"/>
    </row>
    <row r="105" spans="2:17" x14ac:dyDescent="0.4">
      <c r="B105" s="429" t="s">
        <v>1130</v>
      </c>
      <c r="C105" s="512">
        <f>+'F1 SEZ'!C104+'F1 Non-SEZ'!C104</f>
        <v>0.13674323999999999</v>
      </c>
      <c r="D105" s="512">
        <f>+'F1 SEZ'!D104+'F1 Non-SEZ'!D104</f>
        <v>0.17050226000000002</v>
      </c>
      <c r="E105" s="512">
        <f>+'F1 SEZ'!E104+'F1 Non-SEZ'!E104</f>
        <v>0.22207947</v>
      </c>
      <c r="F105" s="512">
        <f>+'F1 SEZ'!F104+'F1 Non-SEZ'!F104</f>
        <v>0.37797284000000003</v>
      </c>
      <c r="G105" s="512">
        <f>+'F1 SEZ'!G104+'F1 Non-SEZ'!G104</f>
        <v>0.67011540000000003</v>
      </c>
      <c r="H105" s="512">
        <f>+'F1 SEZ'!H104+'F1 Non-SEZ'!H104</f>
        <v>0.75534069999999998</v>
      </c>
      <c r="I105" s="512">
        <f>+'F1 SEZ'!I104+'F1 Non-SEZ'!I104</f>
        <v>0.74586701</v>
      </c>
      <c r="J105" s="512">
        <f>+'F1 SEZ'!J104+'F1 Non-SEZ'!J104</f>
        <v>0.66990434999999993</v>
      </c>
      <c r="K105" s="512">
        <f>+'F1 SEZ'!K104+'F1 Non-SEZ'!K104</f>
        <v>0.6950672</v>
      </c>
      <c r="L105" s="512">
        <f>+'F1 SEZ'!L104+'F1 Non-SEZ'!L104</f>
        <v>0.76876736999999995</v>
      </c>
      <c r="M105" s="512">
        <f>+'F1 SEZ'!M104+'F1 Non-SEZ'!M104</f>
        <v>0.71843003000000005</v>
      </c>
      <c r="N105" s="512">
        <f>+'F1 SEZ'!N104+'F1 Non-SEZ'!N104</f>
        <v>0.90728127000000003</v>
      </c>
      <c r="O105" s="544">
        <f>SUM(C105:N105)</f>
        <v>6.8380711400000012</v>
      </c>
      <c r="P105" s="561"/>
      <c r="Q105" s="562"/>
    </row>
    <row r="106" spans="2:17" x14ac:dyDescent="0.4">
      <c r="B106" s="429" t="s">
        <v>1131</v>
      </c>
      <c r="C106" s="512">
        <f>+'F1 SEZ'!C105+'F1 Non-SEZ'!C105</f>
        <v>0</v>
      </c>
      <c r="D106" s="512">
        <f>+'F1 SEZ'!D105+'F1 Non-SEZ'!D105</f>
        <v>0</v>
      </c>
      <c r="E106" s="512">
        <f>+'F1 SEZ'!E105+'F1 Non-SEZ'!E105</f>
        <v>0</v>
      </c>
      <c r="F106" s="512">
        <f>+'F1 SEZ'!F105+'F1 Non-SEZ'!F105</f>
        <v>0</v>
      </c>
      <c r="G106" s="512">
        <f>+'F1 SEZ'!G105+'F1 Non-SEZ'!G105</f>
        <v>0</v>
      </c>
      <c r="H106" s="512">
        <f>+'F1 SEZ'!H105+'F1 Non-SEZ'!H105</f>
        <v>0</v>
      </c>
      <c r="I106" s="512">
        <f>+'F1 SEZ'!I105+'F1 Non-SEZ'!I105</f>
        <v>0</v>
      </c>
      <c r="J106" s="512">
        <f>+'F1 SEZ'!J105+'F1 Non-SEZ'!J105</f>
        <v>0</v>
      </c>
      <c r="K106" s="512">
        <f>+'F1 SEZ'!K105+'F1 Non-SEZ'!K105</f>
        <v>0</v>
      </c>
      <c r="L106" s="512">
        <f>+'F1 SEZ'!L105+'F1 Non-SEZ'!L105</f>
        <v>0</v>
      </c>
      <c r="M106" s="512">
        <f>+'F1 SEZ'!M105+'F1 Non-SEZ'!M105</f>
        <v>0</v>
      </c>
      <c r="N106" s="512">
        <f>+'F1 SEZ'!N105+'F1 Non-SEZ'!N105</f>
        <v>0</v>
      </c>
      <c r="O106" s="544">
        <f>SUM(C106:N106)</f>
        <v>0</v>
      </c>
      <c r="P106" s="561"/>
      <c r="Q106" s="562"/>
    </row>
    <row r="107" spans="2:17" x14ac:dyDescent="0.4">
      <c r="B107" s="429" t="s">
        <v>1132</v>
      </c>
      <c r="C107" s="512">
        <f>+'F1 SEZ'!C106+'F1 Non-SEZ'!C106</f>
        <v>0</v>
      </c>
      <c r="D107" s="512">
        <f>+'F1 SEZ'!D106+'F1 Non-SEZ'!D106</f>
        <v>0</v>
      </c>
      <c r="E107" s="512">
        <f>+'F1 SEZ'!E106+'F1 Non-SEZ'!E106</f>
        <v>0</v>
      </c>
      <c r="F107" s="512">
        <f>+'F1 SEZ'!F106+'F1 Non-SEZ'!F106</f>
        <v>0</v>
      </c>
      <c r="G107" s="512">
        <f>+'F1 SEZ'!G106+'F1 Non-SEZ'!G106</f>
        <v>0</v>
      </c>
      <c r="H107" s="512">
        <f>+'F1 SEZ'!H106+'F1 Non-SEZ'!H106</f>
        <v>0</v>
      </c>
      <c r="I107" s="512">
        <f>+'F1 SEZ'!I106+'F1 Non-SEZ'!I106</f>
        <v>0</v>
      </c>
      <c r="J107" s="512">
        <f>+'F1 SEZ'!J106+'F1 Non-SEZ'!J106</f>
        <v>0</v>
      </c>
      <c r="K107" s="512">
        <f>+'F1 SEZ'!K106+'F1 Non-SEZ'!K106</f>
        <v>0</v>
      </c>
      <c r="L107" s="512">
        <f>+'F1 SEZ'!L106+'F1 Non-SEZ'!L106</f>
        <v>0</v>
      </c>
      <c r="M107" s="512">
        <f>+'F1 SEZ'!M106+'F1 Non-SEZ'!M106</f>
        <v>0</v>
      </c>
      <c r="N107" s="512">
        <f>+'F1 SEZ'!N106+'F1 Non-SEZ'!N106</f>
        <v>0</v>
      </c>
      <c r="O107" s="544">
        <f>SUM(C107:N107)</f>
        <v>0</v>
      </c>
      <c r="P107" s="561"/>
      <c r="Q107" s="562"/>
    </row>
    <row r="108" spans="2:17" x14ac:dyDescent="0.4">
      <c r="B108" s="518" t="s">
        <v>162</v>
      </c>
      <c r="C108" s="545">
        <f>SUM(C104:C107)</f>
        <v>0.13674323999999999</v>
      </c>
      <c r="D108" s="545">
        <f t="shared" ref="D108:O108" si="21">SUM(D104:D107)</f>
        <v>0.17050226000000002</v>
      </c>
      <c r="E108" s="545">
        <f t="shared" si="21"/>
        <v>0.22207947</v>
      </c>
      <c r="F108" s="545">
        <f t="shared" si="21"/>
        <v>0.37797284000000003</v>
      </c>
      <c r="G108" s="545">
        <f t="shared" si="21"/>
        <v>0.67011540000000003</v>
      </c>
      <c r="H108" s="545">
        <f t="shared" si="21"/>
        <v>0.75534069999999998</v>
      </c>
      <c r="I108" s="545">
        <f t="shared" si="21"/>
        <v>0.74586701</v>
      </c>
      <c r="J108" s="545">
        <f t="shared" si="21"/>
        <v>0.66990434999999993</v>
      </c>
      <c r="K108" s="545">
        <f t="shared" si="21"/>
        <v>0.6950672</v>
      </c>
      <c r="L108" s="545">
        <f t="shared" si="21"/>
        <v>0.76876736999999995</v>
      </c>
      <c r="M108" s="545">
        <f t="shared" si="21"/>
        <v>0.71843003000000005</v>
      </c>
      <c r="N108" s="545">
        <f t="shared" si="21"/>
        <v>0.92168127</v>
      </c>
      <c r="O108" s="545">
        <f t="shared" si="21"/>
        <v>6.8524711400000013</v>
      </c>
      <c r="P108" s="561"/>
      <c r="Q108" s="562"/>
    </row>
    <row r="109" spans="2:17" x14ac:dyDescent="0.4">
      <c r="B109" s="517" t="s">
        <v>163</v>
      </c>
      <c r="C109" s="545"/>
      <c r="D109" s="545"/>
      <c r="E109" s="545"/>
      <c r="F109" s="545"/>
      <c r="G109" s="545"/>
      <c r="H109" s="545"/>
      <c r="I109" s="545"/>
      <c r="J109" s="545"/>
      <c r="K109" s="545"/>
      <c r="L109" s="545"/>
      <c r="M109" s="545"/>
      <c r="N109" s="545"/>
      <c r="O109" s="545"/>
    </row>
    <row r="110" spans="2:17" x14ac:dyDescent="0.4">
      <c r="B110" s="519" t="s">
        <v>1133</v>
      </c>
      <c r="C110" s="546"/>
      <c r="D110" s="546"/>
      <c r="E110" s="547"/>
      <c r="F110" s="546"/>
      <c r="G110" s="547"/>
      <c r="H110" s="547"/>
      <c r="I110" s="543"/>
      <c r="J110" s="545"/>
      <c r="K110" s="547"/>
      <c r="L110" s="545"/>
      <c r="M110" s="545"/>
      <c r="N110" s="548"/>
      <c r="O110" s="544">
        <f t="shared" ref="O110:O121" si="22">SUM(C110:N110)</f>
        <v>0</v>
      </c>
    </row>
    <row r="111" spans="2:17" x14ac:dyDescent="0.4">
      <c r="B111" s="520" t="s">
        <v>1106</v>
      </c>
      <c r="C111" s="512">
        <f>+'F1 SEZ'!C110+'F1 Non-SEZ'!C110</f>
        <v>8.2039999999999995E-3</v>
      </c>
      <c r="D111" s="512">
        <f>+'F1 SEZ'!D110+'F1 Non-SEZ'!D110</f>
        <v>9.8307700000000008E-3</v>
      </c>
      <c r="E111" s="512">
        <f>+'F1 SEZ'!E110+'F1 Non-SEZ'!E110</f>
        <v>1.1536329999999999E-2</v>
      </c>
      <c r="F111" s="512">
        <f>+'F1 SEZ'!F110+'F1 Non-SEZ'!F110</f>
        <v>1.3002E-2</v>
      </c>
      <c r="G111" s="512">
        <f>+'F1 SEZ'!G110+'F1 Non-SEZ'!G110</f>
        <v>1.3668E-2</v>
      </c>
      <c r="H111" s="512">
        <f>+'F1 SEZ'!H110+'F1 Non-SEZ'!H110</f>
        <v>1.315E-2</v>
      </c>
      <c r="I111" s="512">
        <f>+'F1 SEZ'!I110+'F1 Non-SEZ'!I110</f>
        <v>1.567528E-2</v>
      </c>
      <c r="J111" s="512">
        <f>+'F1 SEZ'!J110+'F1 Non-SEZ'!J110</f>
        <v>1.5862000000000001E-2</v>
      </c>
      <c r="K111" s="512">
        <f>+'F1 SEZ'!K110+'F1 Non-SEZ'!K110</f>
        <v>1.7311279999999998E-2</v>
      </c>
      <c r="L111" s="512">
        <f>+'F1 SEZ'!L110+'F1 Non-SEZ'!L110</f>
        <v>1.835459E-2</v>
      </c>
      <c r="M111" s="512">
        <f>+'F1 SEZ'!M110+'F1 Non-SEZ'!M110</f>
        <v>1.8162000000000001E-2</v>
      </c>
      <c r="N111" s="512">
        <f>+'F1 SEZ'!N110+'F1 Non-SEZ'!N110</f>
        <v>2.1302999999999999E-2</v>
      </c>
      <c r="O111" s="544">
        <f t="shared" si="22"/>
        <v>0.17605925</v>
      </c>
      <c r="P111" s="561"/>
      <c r="Q111" s="562"/>
    </row>
    <row r="112" spans="2:17" x14ac:dyDescent="0.4">
      <c r="B112" s="520" t="s">
        <v>1107</v>
      </c>
      <c r="C112" s="512">
        <f>+'F1 SEZ'!C111+'F1 Non-SEZ'!C111</f>
        <v>7.8619999999999992E-3</v>
      </c>
      <c r="D112" s="512">
        <f>+'F1 SEZ'!D111+'F1 Non-SEZ'!D111</f>
        <v>8.4091550000000015E-3</v>
      </c>
      <c r="E112" s="512">
        <f>+'F1 SEZ'!E111+'F1 Non-SEZ'!E111</f>
        <v>1.0525670000000001E-2</v>
      </c>
      <c r="F112" s="512">
        <f>+'F1 SEZ'!F111+'F1 Non-SEZ'!F111</f>
        <v>1.2416E-2</v>
      </c>
      <c r="G112" s="512">
        <f>+'F1 SEZ'!G111+'F1 Non-SEZ'!G111</f>
        <v>1.1931000000000001E-2</v>
      </c>
      <c r="H112" s="512">
        <f>+'F1 SEZ'!H111+'F1 Non-SEZ'!H111</f>
        <v>1.0208E-2</v>
      </c>
      <c r="I112" s="512">
        <f>+'F1 SEZ'!I111+'F1 Non-SEZ'!I111</f>
        <v>1.3000629999999999E-2</v>
      </c>
      <c r="J112" s="512">
        <f>+'F1 SEZ'!J111+'F1 Non-SEZ'!J111</f>
        <v>1.1001E-2</v>
      </c>
      <c r="K112" s="512">
        <f>+'F1 SEZ'!K111+'F1 Non-SEZ'!K111</f>
        <v>1.1514659999999999E-2</v>
      </c>
      <c r="L112" s="512">
        <f>+'F1 SEZ'!L111+'F1 Non-SEZ'!L111</f>
        <v>1.1989329999999999E-2</v>
      </c>
      <c r="M112" s="512">
        <f>+'F1 SEZ'!M111+'F1 Non-SEZ'!M111</f>
        <v>1.107E-2</v>
      </c>
      <c r="N112" s="512">
        <f>+'F1 SEZ'!N111+'F1 Non-SEZ'!N111</f>
        <v>1.9285E-2</v>
      </c>
      <c r="O112" s="544">
        <f t="shared" si="22"/>
        <v>0.13921244499999999</v>
      </c>
      <c r="P112" s="561"/>
      <c r="Q112" s="562"/>
    </row>
    <row r="113" spans="2:17" x14ac:dyDescent="0.4">
      <c r="B113" s="520" t="s">
        <v>1108</v>
      </c>
      <c r="C113" s="512">
        <f>+'F1 SEZ'!C112+'F1 Non-SEZ'!C112</f>
        <v>3.3670000000000002E-3</v>
      </c>
      <c r="D113" s="512">
        <f>+'F1 SEZ'!D112+'F1 Non-SEZ'!D112</f>
        <v>3.6613710000000001E-3</v>
      </c>
      <c r="E113" s="512">
        <f>+'F1 SEZ'!E112+'F1 Non-SEZ'!E112</f>
        <v>2.9680000000000002E-3</v>
      </c>
      <c r="F113" s="512">
        <f>+'F1 SEZ'!F112+'F1 Non-SEZ'!F112</f>
        <v>3.5920000000000001E-3</v>
      </c>
      <c r="G113" s="512">
        <f>+'F1 SEZ'!G112+'F1 Non-SEZ'!G112</f>
        <v>2.9399999999999999E-3</v>
      </c>
      <c r="H113" s="512">
        <f>+'F1 SEZ'!H112+'F1 Non-SEZ'!H112</f>
        <v>1.9E-3</v>
      </c>
      <c r="I113" s="512">
        <f>+'F1 SEZ'!I112+'F1 Non-SEZ'!I112</f>
        <v>4.5247109999999998E-3</v>
      </c>
      <c r="J113" s="512">
        <f>+'F1 SEZ'!J112+'F1 Non-SEZ'!J112</f>
        <v>3.2109999999999999E-3</v>
      </c>
      <c r="K113" s="512">
        <f>+'F1 SEZ'!K112+'F1 Non-SEZ'!K112</f>
        <v>3.0090250000000002E-3</v>
      </c>
      <c r="L113" s="512">
        <f>+'F1 SEZ'!L112+'F1 Non-SEZ'!L112</f>
        <v>2.933382E-3</v>
      </c>
      <c r="M113" s="512">
        <f>+'F1 SEZ'!M112+'F1 Non-SEZ'!M112</f>
        <v>2.9420000000000002E-3</v>
      </c>
      <c r="N113" s="512">
        <f>+'F1 SEZ'!N112+'F1 Non-SEZ'!N112</f>
        <v>7.1029999999999999E-3</v>
      </c>
      <c r="O113" s="544">
        <f t="shared" si="22"/>
        <v>4.2151488999999993E-2</v>
      </c>
      <c r="P113" s="561"/>
      <c r="Q113" s="562"/>
    </row>
    <row r="114" spans="2:17" x14ac:dyDescent="0.4">
      <c r="B114" s="520" t="s">
        <v>1109</v>
      </c>
      <c r="C114" s="512">
        <f>+'F1 SEZ'!C113+'F1 Non-SEZ'!C113</f>
        <v>2.6509000000000001E-2</v>
      </c>
      <c r="D114" s="512">
        <f>+'F1 SEZ'!D113+'F1 Non-SEZ'!D113</f>
        <v>2.7998700000000001E-2</v>
      </c>
      <c r="E114" s="512">
        <f>+'F1 SEZ'!E113+'F1 Non-SEZ'!E113</f>
        <v>2.9003999999999999E-2</v>
      </c>
      <c r="F114" s="512">
        <f>+'F1 SEZ'!F113+'F1 Non-SEZ'!F113</f>
        <v>2.6303E-2</v>
      </c>
      <c r="G114" s="512">
        <f>+'F1 SEZ'!G113+'F1 Non-SEZ'!G113</f>
        <v>1.3410999999999999E-2</v>
      </c>
      <c r="H114" s="512">
        <f>+'F1 SEZ'!H113+'F1 Non-SEZ'!H113</f>
        <v>5.9760000000000004E-3</v>
      </c>
      <c r="I114" s="512">
        <f>+'F1 SEZ'!I113+'F1 Non-SEZ'!I113</f>
        <v>4.5565379999999996E-2</v>
      </c>
      <c r="J114" s="512">
        <f>+'F1 SEZ'!J113+'F1 Non-SEZ'!J113</f>
        <v>7.0018999999999998E-2</v>
      </c>
      <c r="K114" s="512">
        <f>+'F1 SEZ'!K113+'F1 Non-SEZ'!K113</f>
        <v>6.5235029999999999E-2</v>
      </c>
      <c r="L114" s="512">
        <f>+'F1 SEZ'!L113+'F1 Non-SEZ'!L113</f>
        <v>6.1694699999999998E-2</v>
      </c>
      <c r="M114" s="512">
        <f>+'F1 SEZ'!M113+'F1 Non-SEZ'!M113</f>
        <v>5.3609999999999998E-2</v>
      </c>
      <c r="N114" s="512">
        <f>+'F1 SEZ'!N113+'F1 Non-SEZ'!N113</f>
        <v>6.5232999999999999E-2</v>
      </c>
      <c r="O114" s="544">
        <f t="shared" si="22"/>
        <v>0.49055880999999996</v>
      </c>
      <c r="P114" s="561"/>
      <c r="Q114" s="562"/>
    </row>
    <row r="115" spans="2:17" x14ac:dyDescent="0.4">
      <c r="B115" s="520" t="s">
        <v>1110</v>
      </c>
      <c r="C115" s="512">
        <f>+'F1 SEZ'!C114+'F1 Non-SEZ'!C114</f>
        <v>0</v>
      </c>
      <c r="D115" s="512">
        <f>+'F1 SEZ'!D114+'F1 Non-SEZ'!D114</f>
        <v>0</v>
      </c>
      <c r="E115" s="512">
        <f>+'F1 SEZ'!E114+'F1 Non-SEZ'!E114</f>
        <v>0</v>
      </c>
      <c r="F115" s="512">
        <f>+'F1 SEZ'!F114+'F1 Non-SEZ'!F114</f>
        <v>0</v>
      </c>
      <c r="G115" s="512">
        <f>+'F1 SEZ'!G114+'F1 Non-SEZ'!G114</f>
        <v>0</v>
      </c>
      <c r="H115" s="512">
        <f>+'F1 SEZ'!H114+'F1 Non-SEZ'!H114</f>
        <v>0</v>
      </c>
      <c r="I115" s="512">
        <f>+'F1 SEZ'!I114+'F1 Non-SEZ'!I114</f>
        <v>0</v>
      </c>
      <c r="J115" s="512">
        <f>+'F1 SEZ'!J114+'F1 Non-SEZ'!J114</f>
        <v>0</v>
      </c>
      <c r="K115" s="512">
        <f>+'F1 SEZ'!K114+'F1 Non-SEZ'!K114</f>
        <v>0</v>
      </c>
      <c r="L115" s="512">
        <f>+'F1 SEZ'!L114+'F1 Non-SEZ'!L114</f>
        <v>0</v>
      </c>
      <c r="M115" s="512">
        <f>+'F1 SEZ'!M114+'F1 Non-SEZ'!M114</f>
        <v>0</v>
      </c>
      <c r="N115" s="512">
        <f>+'F1 SEZ'!N114+'F1 Non-SEZ'!N114</f>
        <v>0</v>
      </c>
      <c r="O115" s="544">
        <f t="shared" si="22"/>
        <v>0</v>
      </c>
    </row>
    <row r="116" spans="2:17" x14ac:dyDescent="0.4">
      <c r="B116" s="519" t="s">
        <v>1139</v>
      </c>
      <c r="C116" s="512">
        <f>+'F1 SEZ'!C115+'F1 Non-SEZ'!C115</f>
        <v>0</v>
      </c>
      <c r="D116" s="512">
        <f>+'F1 SEZ'!D115+'F1 Non-SEZ'!D115</f>
        <v>0</v>
      </c>
      <c r="E116" s="512">
        <f>+'F1 SEZ'!E115+'F1 Non-SEZ'!E115</f>
        <v>0</v>
      </c>
      <c r="F116" s="512">
        <f>+'F1 SEZ'!F115+'F1 Non-SEZ'!F115</f>
        <v>0</v>
      </c>
      <c r="G116" s="512">
        <f>+'F1 SEZ'!G115+'F1 Non-SEZ'!G115</f>
        <v>0</v>
      </c>
      <c r="H116" s="512">
        <f>+'F1 SEZ'!H115+'F1 Non-SEZ'!H115</f>
        <v>0</v>
      </c>
      <c r="I116" s="512">
        <f>+'F1 SEZ'!I115+'F1 Non-SEZ'!I115</f>
        <v>0</v>
      </c>
      <c r="J116" s="512">
        <f>+'F1 SEZ'!J115+'F1 Non-SEZ'!J115</f>
        <v>0</v>
      </c>
      <c r="K116" s="512">
        <f>+'F1 SEZ'!K115+'F1 Non-SEZ'!K115</f>
        <v>0</v>
      </c>
      <c r="L116" s="512">
        <f>+'F1 SEZ'!L115+'F1 Non-SEZ'!L115</f>
        <v>0</v>
      </c>
      <c r="M116" s="512">
        <f>+'F1 SEZ'!M115+'F1 Non-SEZ'!M115</f>
        <v>0</v>
      </c>
      <c r="N116" s="512">
        <f>+'F1 SEZ'!N115+'F1 Non-SEZ'!N115</f>
        <v>0</v>
      </c>
      <c r="O116" s="544">
        <f t="shared" si="22"/>
        <v>0</v>
      </c>
    </row>
    <row r="117" spans="2:17" x14ac:dyDescent="0.4">
      <c r="B117" s="520" t="s">
        <v>1140</v>
      </c>
      <c r="C117" s="512">
        <f>+'F1 SEZ'!C116+'F1 Non-SEZ'!C116</f>
        <v>1.6799999999999999E-4</v>
      </c>
      <c r="D117" s="512">
        <f>+'F1 SEZ'!D116+'F1 Non-SEZ'!D116</f>
        <v>2.5099999999999998E-4</v>
      </c>
      <c r="E117" s="512">
        <f>+'F1 SEZ'!E116+'F1 Non-SEZ'!E116</f>
        <v>2.9100000000000003E-4</v>
      </c>
      <c r="F117" s="512">
        <f>+'F1 SEZ'!F116+'F1 Non-SEZ'!F116</f>
        <v>2.8800000000000001E-4</v>
      </c>
      <c r="G117" s="512">
        <f>+'F1 SEZ'!G116+'F1 Non-SEZ'!G116</f>
        <v>5.1099999999999995E-4</v>
      </c>
      <c r="H117" s="512">
        <f>+'F1 SEZ'!H116+'F1 Non-SEZ'!H116</f>
        <v>6.0300000000000002E-4</v>
      </c>
      <c r="I117" s="512">
        <f>+'F1 SEZ'!I116+'F1 Non-SEZ'!I116</f>
        <v>1.016E-3</v>
      </c>
      <c r="J117" s="512">
        <f>+'F1 SEZ'!J116+'F1 Non-SEZ'!J116</f>
        <v>1.075E-3</v>
      </c>
      <c r="K117" s="512">
        <f>+'F1 SEZ'!K116+'F1 Non-SEZ'!K116</f>
        <v>9.7300000000000002E-4</v>
      </c>
      <c r="L117" s="512">
        <f>+'F1 SEZ'!L116+'F1 Non-SEZ'!L116</f>
        <v>8.9700000000000001E-4</v>
      </c>
      <c r="M117" s="512">
        <f>+'F1 SEZ'!M116+'F1 Non-SEZ'!M116</f>
        <v>9.0200000000000002E-4</v>
      </c>
      <c r="N117" s="512">
        <f>+'F1 SEZ'!N116+'F1 Non-SEZ'!N116</f>
        <v>1.851E-3</v>
      </c>
      <c r="O117" s="544">
        <f t="shared" si="22"/>
        <v>8.8260000000000005E-3</v>
      </c>
      <c r="P117" s="561"/>
      <c r="Q117" s="562"/>
    </row>
    <row r="118" spans="2:17" x14ac:dyDescent="0.4">
      <c r="B118" s="520" t="s">
        <v>1141</v>
      </c>
      <c r="C118" s="512">
        <f>+'F1 SEZ'!C117+'F1 Non-SEZ'!C117</f>
        <v>0</v>
      </c>
      <c r="D118" s="512">
        <f>+'F1 SEZ'!D117+'F1 Non-SEZ'!D117</f>
        <v>0</v>
      </c>
      <c r="E118" s="512">
        <f>+'F1 SEZ'!E117+'F1 Non-SEZ'!E117</f>
        <v>0</v>
      </c>
      <c r="F118" s="512">
        <f>+'F1 SEZ'!F117+'F1 Non-SEZ'!F117</f>
        <v>0</v>
      </c>
      <c r="G118" s="512">
        <f>+'F1 SEZ'!G117+'F1 Non-SEZ'!G117</f>
        <v>0</v>
      </c>
      <c r="H118" s="512">
        <f>+'F1 SEZ'!H117+'F1 Non-SEZ'!H117</f>
        <v>0</v>
      </c>
      <c r="I118" s="512">
        <f>+'F1 SEZ'!I117+'F1 Non-SEZ'!I117</f>
        <v>0</v>
      </c>
      <c r="J118" s="512">
        <f>+'F1 SEZ'!J117+'F1 Non-SEZ'!J117</f>
        <v>0</v>
      </c>
      <c r="K118" s="512">
        <f>+'F1 SEZ'!K117+'F1 Non-SEZ'!K117</f>
        <v>0</v>
      </c>
      <c r="L118" s="512">
        <f>+'F1 SEZ'!L117+'F1 Non-SEZ'!L117</f>
        <v>0</v>
      </c>
      <c r="M118" s="512">
        <f>+'F1 SEZ'!M117+'F1 Non-SEZ'!M117</f>
        <v>0</v>
      </c>
      <c r="N118" s="512">
        <f>+'F1 SEZ'!N117+'F1 Non-SEZ'!N117</f>
        <v>0</v>
      </c>
      <c r="O118" s="544">
        <f t="shared" si="22"/>
        <v>0</v>
      </c>
      <c r="P118" s="561"/>
      <c r="Q118" s="562"/>
    </row>
    <row r="119" spans="2:17" x14ac:dyDescent="0.4">
      <c r="B119" s="519" t="s">
        <v>1111</v>
      </c>
      <c r="C119" s="512">
        <f>+'F1 SEZ'!C118+'F1 Non-SEZ'!C118</f>
        <v>0</v>
      </c>
      <c r="D119" s="512">
        <f>+'F1 SEZ'!D118+'F1 Non-SEZ'!D118</f>
        <v>0</v>
      </c>
      <c r="E119" s="512">
        <f>+'F1 SEZ'!E118+'F1 Non-SEZ'!E118</f>
        <v>0</v>
      </c>
      <c r="F119" s="512">
        <f>+'F1 SEZ'!F118+'F1 Non-SEZ'!F118</f>
        <v>0</v>
      </c>
      <c r="G119" s="512">
        <f>+'F1 SEZ'!G118+'F1 Non-SEZ'!G118</f>
        <v>0</v>
      </c>
      <c r="H119" s="512">
        <f>+'F1 SEZ'!H118+'F1 Non-SEZ'!H118</f>
        <v>0</v>
      </c>
      <c r="I119" s="512">
        <f>+'F1 SEZ'!I118+'F1 Non-SEZ'!I118</f>
        <v>0</v>
      </c>
      <c r="J119" s="512">
        <f>+'F1 SEZ'!J118+'F1 Non-SEZ'!J118</f>
        <v>0</v>
      </c>
      <c r="K119" s="512">
        <f>+'F1 SEZ'!K118+'F1 Non-SEZ'!K118</f>
        <v>8.1519999999999995E-3</v>
      </c>
      <c r="L119" s="512">
        <f>+'F1 SEZ'!L118+'F1 Non-SEZ'!L118</f>
        <v>2.1056800000000001E-2</v>
      </c>
      <c r="M119" s="512">
        <f>+'F1 SEZ'!M118+'F1 Non-SEZ'!M118</f>
        <v>2.0331200000000001E-2</v>
      </c>
      <c r="N119" s="512">
        <f>+'F1 SEZ'!N118+'F1 Non-SEZ'!N118</f>
        <v>2.3040000000000001E-2</v>
      </c>
      <c r="O119" s="544">
        <f t="shared" si="22"/>
        <v>7.2580000000000006E-2</v>
      </c>
      <c r="P119" s="561"/>
      <c r="Q119" s="562"/>
    </row>
    <row r="120" spans="2:17" x14ac:dyDescent="0.4">
      <c r="B120" s="519" t="s">
        <v>1135</v>
      </c>
      <c r="C120" s="512">
        <f>+'F1 SEZ'!C119+'F1 Non-SEZ'!C119</f>
        <v>1.0893E-2</v>
      </c>
      <c r="D120" s="512">
        <f>+'F1 SEZ'!D119+'F1 Non-SEZ'!D119</f>
        <v>1.2664999999999999E-2</v>
      </c>
      <c r="E120" s="512">
        <f>+'F1 SEZ'!E119+'F1 Non-SEZ'!E119</f>
        <v>1.0071E-2</v>
      </c>
      <c r="F120" s="512">
        <f>+'F1 SEZ'!F119+'F1 Non-SEZ'!F119</f>
        <v>9.5820000000000002E-3</v>
      </c>
      <c r="G120" s="512">
        <f>+'F1 SEZ'!G119+'F1 Non-SEZ'!G119</f>
        <v>9.3290000000000005E-3</v>
      </c>
      <c r="H120" s="512">
        <f>+'F1 SEZ'!H119+'F1 Non-SEZ'!H119</f>
        <v>1.0299000000000001E-2</v>
      </c>
      <c r="I120" s="512">
        <f>+'F1 SEZ'!I119+'F1 Non-SEZ'!I119</f>
        <v>1.0631E-2</v>
      </c>
      <c r="J120" s="512">
        <f>+'F1 SEZ'!J119+'F1 Non-SEZ'!J119</f>
        <v>9.861E-3</v>
      </c>
      <c r="K120" s="512">
        <f>+'F1 SEZ'!K119+'F1 Non-SEZ'!K119</f>
        <v>9.5860000000000008E-3</v>
      </c>
      <c r="L120" s="512">
        <f>+'F1 SEZ'!L119+'F1 Non-SEZ'!L119</f>
        <v>9.2069999999999999E-3</v>
      </c>
      <c r="M120" s="512">
        <f>+'F1 SEZ'!M119+'F1 Non-SEZ'!M119</f>
        <v>8.3040000000000006E-3</v>
      </c>
      <c r="N120" s="512">
        <f>+'F1 SEZ'!N119+'F1 Non-SEZ'!N119</f>
        <v>1.0281E-2</v>
      </c>
      <c r="O120" s="544">
        <f t="shared" si="22"/>
        <v>0.120709</v>
      </c>
      <c r="P120" s="561"/>
      <c r="Q120" s="562"/>
    </row>
    <row r="121" spans="2:17" x14ac:dyDescent="0.4">
      <c r="B121" s="519" t="s">
        <v>1136</v>
      </c>
      <c r="C121" s="512">
        <f>+'F1 SEZ'!C120+'F1 Non-SEZ'!C120</f>
        <v>6.648E-4</v>
      </c>
      <c r="D121" s="512">
        <f>+'F1 SEZ'!D120+'F1 Non-SEZ'!D120</f>
        <v>3.5819999999999998E-4</v>
      </c>
      <c r="E121" s="512">
        <f>+'F1 SEZ'!E120+'F1 Non-SEZ'!E120</f>
        <v>7.0889999999999994E-4</v>
      </c>
      <c r="F121" s="512">
        <f>+'F1 SEZ'!F120+'F1 Non-SEZ'!F120</f>
        <v>5.2800000000000004E-4</v>
      </c>
      <c r="G121" s="512">
        <f>+'F1 SEZ'!G120+'F1 Non-SEZ'!G120</f>
        <v>3.1530000000000002E-4</v>
      </c>
      <c r="H121" s="512">
        <f>+'F1 SEZ'!H120+'F1 Non-SEZ'!H120</f>
        <v>5.4660000000000006E-4</v>
      </c>
      <c r="I121" s="512">
        <f>+'F1 SEZ'!I120+'F1 Non-SEZ'!I120</f>
        <v>5.9460000000000003E-4</v>
      </c>
      <c r="J121" s="512">
        <f>+'F1 SEZ'!J120+'F1 Non-SEZ'!J120</f>
        <v>3.7649999999999999E-4</v>
      </c>
      <c r="K121" s="512">
        <f>+'F1 SEZ'!K120+'F1 Non-SEZ'!K120</f>
        <v>4.2569999999999999E-4</v>
      </c>
      <c r="L121" s="512">
        <f>+'F1 SEZ'!L120+'F1 Non-SEZ'!L120</f>
        <v>5.0969999999999998E-4</v>
      </c>
      <c r="M121" s="512">
        <f>+'F1 SEZ'!M120+'F1 Non-SEZ'!M120</f>
        <v>4.1970000000000001E-4</v>
      </c>
      <c r="N121" s="512">
        <f>+'F1 SEZ'!N120+'F1 Non-SEZ'!N120</f>
        <v>9.6750000000000004E-4</v>
      </c>
      <c r="O121" s="544">
        <f t="shared" si="22"/>
        <v>6.4155000000000011E-3</v>
      </c>
      <c r="P121" s="561"/>
      <c r="Q121" s="562"/>
    </row>
    <row r="122" spans="2:17" x14ac:dyDescent="0.4">
      <c r="B122" s="175" t="s">
        <v>162</v>
      </c>
      <c r="C122" s="545">
        <f>SUM(C111:C121)</f>
        <v>5.7667799999999998E-2</v>
      </c>
      <c r="D122" s="545">
        <f t="shared" ref="D122:O122" si="23">SUM(D111:D121)</f>
        <v>6.3174196000000002E-2</v>
      </c>
      <c r="E122" s="545">
        <f t="shared" si="23"/>
        <v>6.5104899999999993E-2</v>
      </c>
      <c r="F122" s="545">
        <f t="shared" si="23"/>
        <v>6.5710999999999992E-2</v>
      </c>
      <c r="G122" s="545">
        <f t="shared" si="23"/>
        <v>5.21053E-2</v>
      </c>
      <c r="H122" s="545">
        <f t="shared" si="23"/>
        <v>4.2682600000000001E-2</v>
      </c>
      <c r="I122" s="545">
        <f t="shared" si="23"/>
        <v>9.1007601000000007E-2</v>
      </c>
      <c r="J122" s="545">
        <f t="shared" si="23"/>
        <v>0.1114055</v>
      </c>
      <c r="K122" s="545">
        <f t="shared" si="23"/>
        <v>0.11620669499999998</v>
      </c>
      <c r="L122" s="545">
        <f t="shared" si="23"/>
        <v>0.12664250199999999</v>
      </c>
      <c r="M122" s="545">
        <f t="shared" si="23"/>
        <v>0.11574090000000001</v>
      </c>
      <c r="N122" s="545">
        <f t="shared" si="23"/>
        <v>0.14906350000000002</v>
      </c>
      <c r="O122" s="545">
        <f t="shared" si="23"/>
        <v>1.0565124939999999</v>
      </c>
    </row>
    <row r="123" spans="2:17" x14ac:dyDescent="0.4">
      <c r="B123" s="175"/>
      <c r="C123" s="543"/>
      <c r="D123" s="543"/>
      <c r="E123" s="543"/>
      <c r="F123" s="543"/>
      <c r="G123" s="543"/>
      <c r="H123" s="543"/>
      <c r="I123" s="543"/>
      <c r="J123" s="543"/>
      <c r="K123" s="543"/>
      <c r="L123" s="543"/>
      <c r="M123" s="543"/>
      <c r="N123" s="543"/>
      <c r="O123" s="543"/>
    </row>
    <row r="124" spans="2:17" x14ac:dyDescent="0.4">
      <c r="B124" s="119" t="s">
        <v>164</v>
      </c>
      <c r="C124" s="545">
        <f t="shared" ref="C124:O124" si="24">C108+C122</f>
        <v>0.19441103999999998</v>
      </c>
      <c r="D124" s="545">
        <f t="shared" si="24"/>
        <v>0.23367645600000003</v>
      </c>
      <c r="E124" s="545">
        <f t="shared" si="24"/>
        <v>0.28718436999999997</v>
      </c>
      <c r="F124" s="545">
        <f t="shared" si="24"/>
        <v>0.44368384000000005</v>
      </c>
      <c r="G124" s="545">
        <f t="shared" si="24"/>
        <v>0.72222070000000005</v>
      </c>
      <c r="H124" s="545">
        <f t="shared" si="24"/>
        <v>0.79802329999999999</v>
      </c>
      <c r="I124" s="545">
        <f t="shared" si="24"/>
        <v>0.83687461100000005</v>
      </c>
      <c r="J124" s="545">
        <f t="shared" si="24"/>
        <v>0.78130984999999997</v>
      </c>
      <c r="K124" s="545">
        <f t="shared" si="24"/>
        <v>0.81127389500000002</v>
      </c>
      <c r="L124" s="545">
        <f t="shared" si="24"/>
        <v>0.89540987199999988</v>
      </c>
      <c r="M124" s="545">
        <f t="shared" si="24"/>
        <v>0.83417093000000009</v>
      </c>
      <c r="N124" s="545">
        <f t="shared" si="24"/>
        <v>1.0707447700000001</v>
      </c>
      <c r="O124" s="545">
        <f t="shared" si="24"/>
        <v>7.908983634000001</v>
      </c>
    </row>
    <row r="125" spans="2:17" x14ac:dyDescent="0.4">
      <c r="B125" s="118" t="s">
        <v>165</v>
      </c>
    </row>
    <row r="126" spans="2:17" x14ac:dyDescent="0.4">
      <c r="B126" s="27" t="s">
        <v>166</v>
      </c>
    </row>
    <row r="127" spans="2:17" x14ac:dyDescent="0.4">
      <c r="B127" s="1" t="s">
        <v>184</v>
      </c>
      <c r="C127" s="30"/>
      <c r="D127" s="30"/>
      <c r="E127" s="30"/>
      <c r="F127" s="30"/>
    </row>
    <row r="128" spans="2:17" x14ac:dyDescent="0.4">
      <c r="B128" s="27" t="s">
        <v>168</v>
      </c>
      <c r="C128" s="30"/>
      <c r="D128" s="30"/>
      <c r="E128" s="30"/>
      <c r="F128" s="30"/>
    </row>
    <row r="129" spans="2:16" x14ac:dyDescent="0.4">
      <c r="B129" s="32"/>
    </row>
    <row r="130" spans="2:16" x14ac:dyDescent="0.4">
      <c r="B130" s="32" t="s">
        <v>1023</v>
      </c>
      <c r="C130" s="8"/>
      <c r="D130" s="8"/>
      <c r="E130" s="8"/>
      <c r="F130" s="8"/>
      <c r="G130" s="8"/>
      <c r="H130" s="8"/>
      <c r="I130" s="8"/>
      <c r="J130" s="8"/>
      <c r="K130" s="8"/>
      <c r="L130" s="8"/>
      <c r="M130" s="8"/>
      <c r="N130" s="8"/>
      <c r="O130" s="4"/>
    </row>
    <row r="131" spans="2:16" x14ac:dyDescent="0.4">
      <c r="B131" s="32"/>
      <c r="C131" s="38"/>
      <c r="D131" s="38"/>
      <c r="O131" s="38" t="s">
        <v>171</v>
      </c>
    </row>
    <row r="132" spans="2:16" x14ac:dyDescent="0.4">
      <c r="B132" s="98" t="s">
        <v>160</v>
      </c>
      <c r="C132" s="98" t="s">
        <v>172</v>
      </c>
      <c r="D132" s="98" t="s">
        <v>173</v>
      </c>
      <c r="E132" s="98" t="s">
        <v>174</v>
      </c>
      <c r="F132" s="98" t="s">
        <v>175</v>
      </c>
      <c r="G132" s="98" t="s">
        <v>176</v>
      </c>
      <c r="H132" s="98" t="s">
        <v>177</v>
      </c>
      <c r="I132" s="98" t="s">
        <v>178</v>
      </c>
      <c r="J132" s="98" t="s">
        <v>179</v>
      </c>
      <c r="K132" s="98" t="s">
        <v>180</v>
      </c>
      <c r="L132" s="98" t="s">
        <v>181</v>
      </c>
      <c r="M132" s="98" t="s">
        <v>182</v>
      </c>
      <c r="N132" s="98" t="s">
        <v>183</v>
      </c>
      <c r="O132" s="98" t="s">
        <v>164</v>
      </c>
    </row>
    <row r="133" spans="2:16" x14ac:dyDescent="0.4">
      <c r="B133" s="517" t="s">
        <v>161</v>
      </c>
      <c r="C133" s="78"/>
      <c r="D133" s="78"/>
      <c r="E133" s="78"/>
      <c r="F133" s="3"/>
      <c r="G133" s="3"/>
      <c r="H133" s="2"/>
      <c r="I133" s="43"/>
      <c r="J133" s="44"/>
      <c r="K133" s="124"/>
      <c r="L133" s="124"/>
      <c r="M133" s="2"/>
      <c r="N133" s="2"/>
      <c r="O133" s="2"/>
    </row>
    <row r="134" spans="2:16" x14ac:dyDescent="0.4">
      <c r="B134" s="429" t="s">
        <v>1129</v>
      </c>
      <c r="C134" s="512">
        <f>+'F1 SEZ'!C133+'F1 Non-SEZ'!C133</f>
        <v>0.83411999999999997</v>
      </c>
      <c r="D134" s="512">
        <f>+'F1 SEZ'!D133+'F1 Non-SEZ'!D133</f>
        <v>0.89910000000000001</v>
      </c>
      <c r="E134" s="512">
        <f>+'F1 SEZ'!E133+'F1 Non-SEZ'!E133</f>
        <v>0.9768</v>
      </c>
      <c r="F134" s="512">
        <f>+'F1 SEZ'!F133+'F1 Non-SEZ'!F133</f>
        <v>1.0461</v>
      </c>
      <c r="G134" s="512">
        <f>+'F1 SEZ'!G133+'F1 Non-SEZ'!G133</f>
        <v>1.0420799999999999</v>
      </c>
      <c r="H134" s="512">
        <f>+'F1 SEZ'!H133+'F1 Non-SEZ'!H133</f>
        <v>1.00248</v>
      </c>
      <c r="I134" s="512">
        <f>+'F1 SEZ'!I133+'F1 Non-SEZ'!I133</f>
        <v>1.12866</v>
      </c>
      <c r="J134" s="512">
        <f>+'F1 SEZ'!J133+'F1 Non-SEZ'!J133</f>
        <v>1.13364</v>
      </c>
      <c r="K134" s="512">
        <f>+'F1 SEZ'!K133+'F1 Non-SEZ'!K133</f>
        <v>1.24512</v>
      </c>
      <c r="L134" s="512">
        <f>+'F1 SEZ'!L133+'F1 Non-SEZ'!L133</f>
        <v>1.27362</v>
      </c>
      <c r="M134" s="512">
        <f>+'F1 SEZ'!M133+'F1 Non-SEZ'!M133</f>
        <v>1.1736</v>
      </c>
      <c r="N134" s="512">
        <f>+'F1 SEZ'!N133+'F1 Non-SEZ'!N133</f>
        <v>1.62666</v>
      </c>
      <c r="O134" s="544">
        <f>SUM(C134:N134)</f>
        <v>13.381979999999999</v>
      </c>
      <c r="P134" s="562">
        <f>+'F1 SEZ'!O133+'F1 Non-SEZ'!O133-O134</f>
        <v>0</v>
      </c>
    </row>
    <row r="135" spans="2:16" x14ac:dyDescent="0.4">
      <c r="B135" s="429" t="s">
        <v>1130</v>
      </c>
      <c r="C135" s="512">
        <f>+'F1 SEZ'!C134+'F1 Non-SEZ'!C134</f>
        <v>6.9480539999999993E-2</v>
      </c>
      <c r="D135" s="512">
        <f>+'F1 SEZ'!D134+'F1 Non-SEZ'!D134</f>
        <v>0.12885175609999999</v>
      </c>
      <c r="E135" s="512">
        <f>+'F1 SEZ'!E134+'F1 Non-SEZ'!E134</f>
        <v>0.12892561419999998</v>
      </c>
      <c r="F135" s="512">
        <f>+'F1 SEZ'!F134+'F1 Non-SEZ'!F134</f>
        <v>0.14694271859999999</v>
      </c>
      <c r="G135" s="512">
        <f>+'F1 SEZ'!G134+'F1 Non-SEZ'!G134</f>
        <v>0.1316041855</v>
      </c>
      <c r="H135" s="512">
        <f>+'F1 SEZ'!H134+'F1 Non-SEZ'!H134</f>
        <v>0.1277661363</v>
      </c>
      <c r="I135" s="512">
        <f>+'F1 SEZ'!I134+'F1 Non-SEZ'!I134</f>
        <v>0.13084414010000001</v>
      </c>
      <c r="J135" s="512">
        <f>+'F1 SEZ'!J134+'F1 Non-SEZ'!J134</f>
        <v>0.14034013610000001</v>
      </c>
      <c r="K135" s="512">
        <f>+'F1 SEZ'!K134+'F1 Non-SEZ'!K134</f>
        <v>0.14809026720000001</v>
      </c>
      <c r="L135" s="512">
        <f>+'F1 SEZ'!L134+'F1 Non-SEZ'!L134</f>
        <v>0.14569344570000001</v>
      </c>
      <c r="M135" s="512">
        <f>+'F1 SEZ'!M134+'F1 Non-SEZ'!M134</f>
        <v>2.779237E-2</v>
      </c>
      <c r="N135" s="512">
        <f>+'F1 SEZ'!N134+'F1 Non-SEZ'!N134</f>
        <v>3.3999172100000002E-2</v>
      </c>
      <c r="O135" s="544">
        <f>SUM(C135:N135)</f>
        <v>1.3603304818999999</v>
      </c>
      <c r="P135" s="562">
        <f>+'F1 SEZ'!O134+'F1 Non-SEZ'!O134-O135</f>
        <v>0</v>
      </c>
    </row>
    <row r="136" spans="2:16" x14ac:dyDescent="0.4">
      <c r="B136" s="429" t="s">
        <v>1131</v>
      </c>
      <c r="C136" s="512">
        <f>+'F1 SEZ'!C135+'F1 Non-SEZ'!C135</f>
        <v>0</v>
      </c>
      <c r="D136" s="512">
        <f>+'F1 SEZ'!D135+'F1 Non-SEZ'!D135</f>
        <v>0</v>
      </c>
      <c r="E136" s="512">
        <f>+'F1 SEZ'!E135+'F1 Non-SEZ'!E135</f>
        <v>0</v>
      </c>
      <c r="F136" s="512">
        <f>+'F1 SEZ'!F135+'F1 Non-SEZ'!F135</f>
        <v>0</v>
      </c>
      <c r="G136" s="512">
        <f>+'F1 SEZ'!G135+'F1 Non-SEZ'!G135</f>
        <v>0</v>
      </c>
      <c r="H136" s="512">
        <f>+'F1 SEZ'!H135+'F1 Non-SEZ'!H135</f>
        <v>0</v>
      </c>
      <c r="I136" s="512">
        <f>+'F1 SEZ'!I135+'F1 Non-SEZ'!I135</f>
        <v>0</v>
      </c>
      <c r="J136" s="512">
        <f>+'F1 SEZ'!J135+'F1 Non-SEZ'!J135</f>
        <v>0</v>
      </c>
      <c r="K136" s="512">
        <f>+'F1 SEZ'!K135+'F1 Non-SEZ'!K135</f>
        <v>0</v>
      </c>
      <c r="L136" s="512">
        <f>+'F1 SEZ'!L135+'F1 Non-SEZ'!L135</f>
        <v>0</v>
      </c>
      <c r="M136" s="512">
        <f>+'F1 SEZ'!M135+'F1 Non-SEZ'!M135</f>
        <v>0</v>
      </c>
      <c r="N136" s="512">
        <f>+'F1 SEZ'!N135+'F1 Non-SEZ'!N135</f>
        <v>0</v>
      </c>
      <c r="O136" s="544">
        <f>SUM(C136:N136)</f>
        <v>0</v>
      </c>
      <c r="P136" s="562">
        <f>+'F1 SEZ'!O135+'F1 Non-SEZ'!O135-O136</f>
        <v>0</v>
      </c>
    </row>
    <row r="137" spans="2:16" x14ac:dyDescent="0.4">
      <c r="B137" s="429" t="s">
        <v>1132</v>
      </c>
      <c r="C137" s="512">
        <f>+'F1 SEZ'!C136+'F1 Non-SEZ'!C136</f>
        <v>0</v>
      </c>
      <c r="D137" s="512">
        <f>+'F1 SEZ'!D136+'F1 Non-SEZ'!D136</f>
        <v>0</v>
      </c>
      <c r="E137" s="512">
        <f>+'F1 SEZ'!E136+'F1 Non-SEZ'!E136</f>
        <v>0</v>
      </c>
      <c r="F137" s="512">
        <f>+'F1 SEZ'!F136+'F1 Non-SEZ'!F136</f>
        <v>0</v>
      </c>
      <c r="G137" s="512">
        <f>+'F1 SEZ'!G136+'F1 Non-SEZ'!G136</f>
        <v>0</v>
      </c>
      <c r="H137" s="512">
        <f>+'F1 SEZ'!H136+'F1 Non-SEZ'!H136</f>
        <v>0</v>
      </c>
      <c r="I137" s="512">
        <f>+'F1 SEZ'!I136+'F1 Non-SEZ'!I136</f>
        <v>0</v>
      </c>
      <c r="J137" s="512">
        <f>+'F1 SEZ'!J136+'F1 Non-SEZ'!J136</f>
        <v>0</v>
      </c>
      <c r="K137" s="512">
        <f>+'F1 SEZ'!K136+'F1 Non-SEZ'!K136</f>
        <v>0</v>
      </c>
      <c r="L137" s="512">
        <f>+'F1 SEZ'!L136+'F1 Non-SEZ'!L136</f>
        <v>0</v>
      </c>
      <c r="M137" s="512">
        <f>+'F1 SEZ'!M136+'F1 Non-SEZ'!M136</f>
        <v>0</v>
      </c>
      <c r="N137" s="512">
        <f>+'F1 SEZ'!N136+'F1 Non-SEZ'!N136</f>
        <v>0</v>
      </c>
      <c r="O137" s="544">
        <f>SUM(C137:N137)</f>
        <v>0</v>
      </c>
      <c r="P137" s="562">
        <f>+'F1 SEZ'!O136+'F1 Non-SEZ'!O136-O137</f>
        <v>0</v>
      </c>
    </row>
    <row r="138" spans="2:16" x14ac:dyDescent="0.4">
      <c r="B138" s="518" t="s">
        <v>162</v>
      </c>
      <c r="C138" s="545">
        <f>SUM(C134:C137)</f>
        <v>0.90360054000000001</v>
      </c>
      <c r="D138" s="545">
        <f t="shared" ref="D138:O138" si="25">SUM(D134:D137)</f>
        <v>1.0279517561</v>
      </c>
      <c r="E138" s="545">
        <f t="shared" si="25"/>
        <v>1.1057256142</v>
      </c>
      <c r="F138" s="545">
        <f t="shared" si="25"/>
        <v>1.1930427186000001</v>
      </c>
      <c r="G138" s="545">
        <f t="shared" si="25"/>
        <v>1.1736841855</v>
      </c>
      <c r="H138" s="545">
        <f t="shared" si="25"/>
        <v>1.1302461363</v>
      </c>
      <c r="I138" s="545">
        <f t="shared" si="25"/>
        <v>1.2595041401</v>
      </c>
      <c r="J138" s="545">
        <f t="shared" si="25"/>
        <v>1.2739801361</v>
      </c>
      <c r="K138" s="545">
        <f t="shared" si="25"/>
        <v>1.3932102672</v>
      </c>
      <c r="L138" s="545">
        <f t="shared" si="25"/>
        <v>1.4193134457000001</v>
      </c>
      <c r="M138" s="545">
        <f t="shared" si="25"/>
        <v>1.20139237</v>
      </c>
      <c r="N138" s="545">
        <f t="shared" si="25"/>
        <v>1.6606591720999999</v>
      </c>
      <c r="O138" s="545">
        <f t="shared" si="25"/>
        <v>14.742310481899999</v>
      </c>
      <c r="P138" s="562">
        <f>+'F1 SEZ'!O137+'F1 Non-SEZ'!O137-O138</f>
        <v>0</v>
      </c>
    </row>
    <row r="139" spans="2:16" x14ac:dyDescent="0.4">
      <c r="B139" s="517" t="s">
        <v>163</v>
      </c>
      <c r="C139" s="545"/>
      <c r="D139" s="545"/>
      <c r="E139" s="545"/>
      <c r="F139" s="545"/>
      <c r="G139" s="545"/>
      <c r="H139" s="545"/>
      <c r="I139" s="545"/>
      <c r="J139" s="545"/>
      <c r="K139" s="545"/>
      <c r="L139" s="545"/>
      <c r="M139" s="545"/>
      <c r="N139" s="545"/>
      <c r="O139" s="545"/>
      <c r="P139" s="562">
        <f>+'F1 SEZ'!O138+'F1 Non-SEZ'!O138-O139</f>
        <v>0</v>
      </c>
    </row>
    <row r="140" spans="2:16" x14ac:dyDescent="0.4">
      <c r="B140" s="519" t="s">
        <v>1133</v>
      </c>
      <c r="C140" s="546"/>
      <c r="D140" s="546"/>
      <c r="E140" s="547"/>
      <c r="F140" s="546"/>
      <c r="G140" s="547"/>
      <c r="H140" s="547"/>
      <c r="I140" s="543"/>
      <c r="J140" s="545"/>
      <c r="K140" s="547"/>
      <c r="L140" s="545"/>
      <c r="M140" s="545"/>
      <c r="N140" s="548"/>
      <c r="O140" s="544">
        <f t="shared" ref="O140:O152" si="26">SUM(C140:N140)</f>
        <v>0</v>
      </c>
      <c r="P140" s="562">
        <f>+'F1 SEZ'!O139+'F1 Non-SEZ'!O139-O140</f>
        <v>0</v>
      </c>
    </row>
    <row r="141" spans="2:16" x14ac:dyDescent="0.4">
      <c r="B141" s="520" t="s">
        <v>1106</v>
      </c>
      <c r="C141" s="512">
        <f>+'F1 SEZ'!C140+'F1 Non-SEZ'!C140</f>
        <v>2.1066000000000001E-2</v>
      </c>
      <c r="D141" s="512">
        <f>+'F1 SEZ'!D140+'F1 Non-SEZ'!D140</f>
        <v>2.0497999999999999E-2</v>
      </c>
      <c r="E141" s="512">
        <f>+'F1 SEZ'!E140+'F1 Non-SEZ'!E140</f>
        <v>2.1923999999999999E-2</v>
      </c>
      <c r="F141" s="512">
        <f>+'F1 SEZ'!F140+'F1 Non-SEZ'!F140</f>
        <v>2.5356E-2</v>
      </c>
      <c r="G141" s="512">
        <f>+'F1 SEZ'!G140+'F1 Non-SEZ'!G140</f>
        <v>2.6627000000000001E-2</v>
      </c>
      <c r="H141" s="512">
        <f>+'F1 SEZ'!H140+'F1 Non-SEZ'!H140</f>
        <v>2.8348000000000002E-2</v>
      </c>
      <c r="I141" s="512">
        <f>+'F1 SEZ'!I140+'F1 Non-SEZ'!I140</f>
        <v>3.0384000000000001E-2</v>
      </c>
      <c r="J141" s="512">
        <f>+'F1 SEZ'!J140+'F1 Non-SEZ'!J140</f>
        <v>3.0119E-2</v>
      </c>
      <c r="K141" s="512">
        <f>+'F1 SEZ'!K140+'F1 Non-SEZ'!K140</f>
        <v>3.1092999999999999E-2</v>
      </c>
      <c r="L141" s="512">
        <f>+'F1 SEZ'!L140+'F1 Non-SEZ'!L140</f>
        <v>3.2798000000000001E-2</v>
      </c>
      <c r="M141" s="512">
        <f>+'F1 SEZ'!M140+'F1 Non-SEZ'!M140</f>
        <v>3.5853000000000003E-2</v>
      </c>
      <c r="N141" s="512">
        <f>+'F1 SEZ'!N140+'F1 Non-SEZ'!N140</f>
        <v>3.9440999999999997E-2</v>
      </c>
      <c r="O141" s="544">
        <f t="shared" si="26"/>
        <v>0.34350700000000006</v>
      </c>
      <c r="P141" s="562">
        <f>+'F1 SEZ'!O140+'F1 Non-SEZ'!O140-O141</f>
        <v>0</v>
      </c>
    </row>
    <row r="142" spans="2:16" x14ac:dyDescent="0.4">
      <c r="B142" s="520" t="s">
        <v>1107</v>
      </c>
      <c r="C142" s="512">
        <f>+'F1 SEZ'!C141+'F1 Non-SEZ'!C141</f>
        <v>2.0612999999999999E-2</v>
      </c>
      <c r="D142" s="512">
        <f>+'F1 SEZ'!D141+'F1 Non-SEZ'!D141</f>
        <v>2.1746999999999999E-2</v>
      </c>
      <c r="E142" s="512">
        <f>+'F1 SEZ'!E141+'F1 Non-SEZ'!E141</f>
        <v>2.0590000000000001E-2</v>
      </c>
      <c r="F142" s="512">
        <f>+'F1 SEZ'!F141+'F1 Non-SEZ'!F141</f>
        <v>2.2540999999999999E-2</v>
      </c>
      <c r="G142" s="512">
        <f>+'F1 SEZ'!G141+'F1 Non-SEZ'!G141</f>
        <v>2.1229000000000001E-2</v>
      </c>
      <c r="H142" s="512">
        <f>+'F1 SEZ'!H141+'F1 Non-SEZ'!H141</f>
        <v>2.3463999999999999E-2</v>
      </c>
      <c r="I142" s="512">
        <f>+'F1 SEZ'!I141+'F1 Non-SEZ'!I141</f>
        <v>2.8731E-2</v>
      </c>
      <c r="J142" s="512">
        <f>+'F1 SEZ'!J141+'F1 Non-SEZ'!J141</f>
        <v>2.7311999999999999E-2</v>
      </c>
      <c r="K142" s="512">
        <f>+'F1 SEZ'!K141+'F1 Non-SEZ'!K141</f>
        <v>2.1582E-2</v>
      </c>
      <c r="L142" s="512">
        <f>+'F1 SEZ'!L141+'F1 Non-SEZ'!L141</f>
        <v>2.2443999999999999E-2</v>
      </c>
      <c r="M142" s="512">
        <f>+'F1 SEZ'!M141+'F1 Non-SEZ'!M141</f>
        <v>2.2998000000000001E-2</v>
      </c>
      <c r="N142" s="512">
        <f>+'F1 SEZ'!N141+'F1 Non-SEZ'!N141</f>
        <v>3.6851000000000002E-2</v>
      </c>
      <c r="O142" s="544">
        <f t="shared" si="26"/>
        <v>0.29010199999999997</v>
      </c>
      <c r="P142" s="562">
        <f>+'F1 SEZ'!O141+'F1 Non-SEZ'!O141-O142</f>
        <v>0</v>
      </c>
    </row>
    <row r="143" spans="2:16" x14ac:dyDescent="0.4">
      <c r="B143" s="520" t="s">
        <v>1108</v>
      </c>
      <c r="C143" s="512">
        <f>+'F1 SEZ'!C142+'F1 Non-SEZ'!C142</f>
        <v>9.0500000000000008E-3</v>
      </c>
      <c r="D143" s="512">
        <f>+'F1 SEZ'!D142+'F1 Non-SEZ'!D142</f>
        <v>1.0544E-2</v>
      </c>
      <c r="E143" s="512">
        <f>+'F1 SEZ'!E142+'F1 Non-SEZ'!E142</f>
        <v>6.2500000000000003E-3</v>
      </c>
      <c r="F143" s="512">
        <f>+'F1 SEZ'!F142+'F1 Non-SEZ'!F142</f>
        <v>6.2570000000000004E-3</v>
      </c>
      <c r="G143" s="512">
        <f>+'F1 SEZ'!G142+'F1 Non-SEZ'!G142</f>
        <v>6.1409999999999998E-3</v>
      </c>
      <c r="H143" s="512">
        <f>+'F1 SEZ'!H142+'F1 Non-SEZ'!H142</f>
        <v>6.5709999999999996E-3</v>
      </c>
      <c r="I143" s="512">
        <f>+'F1 SEZ'!I142+'F1 Non-SEZ'!I142</f>
        <v>8.6510000000000007E-3</v>
      </c>
      <c r="J143" s="512">
        <f>+'F1 SEZ'!J142+'F1 Non-SEZ'!J142</f>
        <v>8.3540000000000003E-3</v>
      </c>
      <c r="K143" s="512">
        <f>+'F1 SEZ'!K142+'F1 Non-SEZ'!K142</f>
        <v>4.7860000000000003E-3</v>
      </c>
      <c r="L143" s="512">
        <f>+'F1 SEZ'!L142+'F1 Non-SEZ'!L142</f>
        <v>5.0400000000000002E-3</v>
      </c>
      <c r="M143" s="512">
        <f>+'F1 SEZ'!M142+'F1 Non-SEZ'!M142</f>
        <v>5.3559999999999997E-3</v>
      </c>
      <c r="N143" s="512">
        <f>+'F1 SEZ'!N142+'F1 Non-SEZ'!N142</f>
        <v>1.3147000000000001E-2</v>
      </c>
      <c r="O143" s="544">
        <f t="shared" si="26"/>
        <v>9.0147000000000005E-2</v>
      </c>
      <c r="P143" s="562">
        <f>+'F1 SEZ'!O142+'F1 Non-SEZ'!O142-O143</f>
        <v>0</v>
      </c>
    </row>
    <row r="144" spans="2:16" x14ac:dyDescent="0.4">
      <c r="B144" s="520" t="s">
        <v>1109</v>
      </c>
      <c r="C144" s="512">
        <f>+'F1 SEZ'!C143+'F1 Non-SEZ'!C143</f>
        <v>0.13034899999999999</v>
      </c>
      <c r="D144" s="512">
        <f>+'F1 SEZ'!D143+'F1 Non-SEZ'!D143</f>
        <v>5.4134000000000002E-2</v>
      </c>
      <c r="E144" s="512">
        <f>+'F1 SEZ'!E143+'F1 Non-SEZ'!E143</f>
        <v>5.3192999999999997E-2</v>
      </c>
      <c r="F144" s="512">
        <f>+'F1 SEZ'!F143+'F1 Non-SEZ'!F143</f>
        <v>6.0911E-2</v>
      </c>
      <c r="G144" s="512">
        <f>+'F1 SEZ'!G143+'F1 Non-SEZ'!G143</f>
        <v>5.5378999999999998E-2</v>
      </c>
      <c r="H144" s="512">
        <f>+'F1 SEZ'!H143+'F1 Non-SEZ'!H143</f>
        <v>5.9152999999999997E-2</v>
      </c>
      <c r="I144" s="512">
        <f>+'F1 SEZ'!I143+'F1 Non-SEZ'!I143</f>
        <v>7.4503E-2</v>
      </c>
      <c r="J144" s="512">
        <f>+'F1 SEZ'!J143+'F1 Non-SEZ'!J143</f>
        <v>6.4130999999999994E-2</v>
      </c>
      <c r="K144" s="512">
        <f>+'F1 SEZ'!K143+'F1 Non-SEZ'!K143</f>
        <v>6.1163000000000002E-2</v>
      </c>
      <c r="L144" s="512">
        <f>+'F1 SEZ'!L143+'F1 Non-SEZ'!L143</f>
        <v>5.9785999999999999E-2</v>
      </c>
      <c r="M144" s="512">
        <f>+'F1 SEZ'!M143+'F1 Non-SEZ'!M143</f>
        <v>7.8233999999999998E-2</v>
      </c>
      <c r="N144" s="512">
        <f>+'F1 SEZ'!N143+'F1 Non-SEZ'!N143</f>
        <v>9.8373000000000002E-2</v>
      </c>
      <c r="O144" s="544">
        <f t="shared" si="26"/>
        <v>0.84930899999999998</v>
      </c>
      <c r="P144" s="562">
        <f>+'F1 SEZ'!O143+'F1 Non-SEZ'!O143-O144</f>
        <v>0</v>
      </c>
    </row>
    <row r="145" spans="2:16" x14ac:dyDescent="0.4">
      <c r="B145" s="520" t="s">
        <v>1110</v>
      </c>
      <c r="C145" s="512">
        <f>+'F1 SEZ'!C144+'F1 Non-SEZ'!C144</f>
        <v>0</v>
      </c>
      <c r="D145" s="512">
        <f>+'F1 SEZ'!D144+'F1 Non-SEZ'!D144</f>
        <v>0</v>
      </c>
      <c r="E145" s="512">
        <f>+'F1 SEZ'!E144+'F1 Non-SEZ'!E144</f>
        <v>0</v>
      </c>
      <c r="F145" s="512">
        <f>+'F1 SEZ'!F144+'F1 Non-SEZ'!F144</f>
        <v>0</v>
      </c>
      <c r="G145" s="512">
        <f>+'F1 SEZ'!G144+'F1 Non-SEZ'!G144</f>
        <v>0</v>
      </c>
      <c r="H145" s="512">
        <f>+'F1 SEZ'!H144+'F1 Non-SEZ'!H144</f>
        <v>0</v>
      </c>
      <c r="I145" s="512">
        <f>+'F1 SEZ'!I144+'F1 Non-SEZ'!I144</f>
        <v>0</v>
      </c>
      <c r="J145" s="512">
        <f>+'F1 SEZ'!J144+'F1 Non-SEZ'!J144</f>
        <v>0</v>
      </c>
      <c r="K145" s="512">
        <f>+'F1 SEZ'!K144+'F1 Non-SEZ'!K144</f>
        <v>0</v>
      </c>
      <c r="L145" s="512">
        <f>+'F1 SEZ'!L144+'F1 Non-SEZ'!L144</f>
        <v>0</v>
      </c>
      <c r="M145" s="512">
        <f>+'F1 SEZ'!M144+'F1 Non-SEZ'!M144</f>
        <v>0</v>
      </c>
      <c r="N145" s="512">
        <f>+'F1 SEZ'!N144+'F1 Non-SEZ'!N144</f>
        <v>0</v>
      </c>
      <c r="O145" s="544">
        <f t="shared" si="26"/>
        <v>0</v>
      </c>
      <c r="P145" s="562">
        <f>+'F1 SEZ'!O144+'F1 Non-SEZ'!O144-O145</f>
        <v>0</v>
      </c>
    </row>
    <row r="146" spans="2:16" x14ac:dyDescent="0.4">
      <c r="B146" s="519" t="s">
        <v>1139</v>
      </c>
      <c r="C146" s="512">
        <f>+'F1 SEZ'!C145+'F1 Non-SEZ'!C145</f>
        <v>0</v>
      </c>
      <c r="D146" s="512">
        <f>+'F1 SEZ'!D145+'F1 Non-SEZ'!D145</f>
        <v>0</v>
      </c>
      <c r="E146" s="512">
        <f>+'F1 SEZ'!E145+'F1 Non-SEZ'!E145</f>
        <v>0</v>
      </c>
      <c r="F146" s="512">
        <f>+'F1 SEZ'!F145+'F1 Non-SEZ'!F145</f>
        <v>0</v>
      </c>
      <c r="G146" s="512">
        <f>+'F1 SEZ'!G145+'F1 Non-SEZ'!G145</f>
        <v>0</v>
      </c>
      <c r="H146" s="512">
        <f>+'F1 SEZ'!H145+'F1 Non-SEZ'!H145</f>
        <v>0</v>
      </c>
      <c r="I146" s="512">
        <f>+'F1 SEZ'!I145+'F1 Non-SEZ'!I145</f>
        <v>0</v>
      </c>
      <c r="J146" s="512">
        <f>+'F1 SEZ'!J145+'F1 Non-SEZ'!J145</f>
        <v>0</v>
      </c>
      <c r="K146" s="512">
        <f>+'F1 SEZ'!K145+'F1 Non-SEZ'!K145</f>
        <v>0</v>
      </c>
      <c r="L146" s="512">
        <f>+'F1 SEZ'!L145+'F1 Non-SEZ'!L145</f>
        <v>0</v>
      </c>
      <c r="M146" s="512">
        <f>+'F1 SEZ'!M145+'F1 Non-SEZ'!M145</f>
        <v>0</v>
      </c>
      <c r="N146" s="512">
        <f>+'F1 SEZ'!N145+'F1 Non-SEZ'!N145</f>
        <v>0</v>
      </c>
      <c r="O146" s="544">
        <f t="shared" si="26"/>
        <v>0</v>
      </c>
      <c r="P146" s="562">
        <f>+'F1 SEZ'!O145+'F1 Non-SEZ'!O145-O146</f>
        <v>0</v>
      </c>
    </row>
    <row r="147" spans="2:16" x14ac:dyDescent="0.4">
      <c r="B147" s="520" t="s">
        <v>1140</v>
      </c>
      <c r="C147" s="512">
        <f>+'F1 SEZ'!C146+'F1 Non-SEZ'!C146</f>
        <v>1.8760000000000001E-3</v>
      </c>
      <c r="D147" s="512">
        <f>+'F1 SEZ'!D146+'F1 Non-SEZ'!D146</f>
        <v>2.2039999999999998E-3</v>
      </c>
      <c r="E147" s="512">
        <f>+'F1 SEZ'!E146+'F1 Non-SEZ'!E146</f>
        <v>2.0630000000000002E-3</v>
      </c>
      <c r="F147" s="512">
        <f>+'F1 SEZ'!F146+'F1 Non-SEZ'!F146</f>
        <v>2.4949999999999998E-3</v>
      </c>
      <c r="G147" s="512">
        <f>+'F1 SEZ'!G146+'F1 Non-SEZ'!G146</f>
        <v>2.6159999999999998E-3</v>
      </c>
      <c r="H147" s="512">
        <f>+'F1 SEZ'!H146+'F1 Non-SEZ'!H146</f>
        <v>3.6389999999999999E-3</v>
      </c>
      <c r="I147" s="512">
        <f>+'F1 SEZ'!I146+'F1 Non-SEZ'!I146</f>
        <v>4.7670000000000004E-3</v>
      </c>
      <c r="J147" s="512">
        <f>+'F1 SEZ'!J146+'F1 Non-SEZ'!J146</f>
        <v>4.614E-3</v>
      </c>
      <c r="K147" s="512">
        <f>+'F1 SEZ'!K146+'F1 Non-SEZ'!K146</f>
        <v>4.1489999999999999E-3</v>
      </c>
      <c r="L147" s="512">
        <f>+'F1 SEZ'!L146+'F1 Non-SEZ'!L146</f>
        <v>3.833E-3</v>
      </c>
      <c r="M147" s="512">
        <f>+'F1 SEZ'!M146+'F1 Non-SEZ'!M146</f>
        <v>3.496E-3</v>
      </c>
      <c r="N147" s="512">
        <f>+'F1 SEZ'!N146+'F1 Non-SEZ'!N146</f>
        <v>5.084E-3</v>
      </c>
      <c r="O147" s="544">
        <f t="shared" si="26"/>
        <v>4.0835999999999997E-2</v>
      </c>
      <c r="P147" s="562">
        <f>+'F1 SEZ'!O146+'F1 Non-SEZ'!O146-O147</f>
        <v>0</v>
      </c>
    </row>
    <row r="148" spans="2:16" x14ac:dyDescent="0.4">
      <c r="B148" s="520" t="s">
        <v>1141</v>
      </c>
      <c r="C148" s="512">
        <f>+'F1 SEZ'!C147+'F1 Non-SEZ'!C147</f>
        <v>0</v>
      </c>
      <c r="D148" s="512">
        <f>+'F1 SEZ'!D147+'F1 Non-SEZ'!D147</f>
        <v>0</v>
      </c>
      <c r="E148" s="512">
        <f>+'F1 SEZ'!E147+'F1 Non-SEZ'!E147</f>
        <v>0</v>
      </c>
      <c r="F148" s="512">
        <f>+'F1 SEZ'!F147+'F1 Non-SEZ'!F147</f>
        <v>0</v>
      </c>
      <c r="G148" s="512">
        <f>+'F1 SEZ'!G147+'F1 Non-SEZ'!G147</f>
        <v>6.3798000000000001E-4</v>
      </c>
      <c r="H148" s="512">
        <f>+'F1 SEZ'!H147+'F1 Non-SEZ'!H147</f>
        <v>6.6953999999999994E-4</v>
      </c>
      <c r="I148" s="512">
        <f>+'F1 SEZ'!I147+'F1 Non-SEZ'!I147</f>
        <v>9.3324E-4</v>
      </c>
      <c r="J148" s="512">
        <f>+'F1 SEZ'!J147+'F1 Non-SEZ'!J147</f>
        <v>4.5089999999999996E-4</v>
      </c>
      <c r="K148" s="512">
        <f>+'F1 SEZ'!K147+'F1 Non-SEZ'!K147</f>
        <v>1.74E-4</v>
      </c>
      <c r="L148" s="512">
        <f>+'F1 SEZ'!L147+'F1 Non-SEZ'!L147</f>
        <v>6.6660000000000002E-5</v>
      </c>
      <c r="M148" s="512">
        <f>+'F1 SEZ'!M147+'F1 Non-SEZ'!M147</f>
        <v>6.4655669999999998E-2</v>
      </c>
      <c r="N148" s="512">
        <f>+'F1 SEZ'!N147+'F1 Non-SEZ'!N147</f>
        <v>6.0759839999999996E-2</v>
      </c>
      <c r="O148" s="544">
        <f t="shared" si="26"/>
        <v>0.12834783</v>
      </c>
      <c r="P148" s="562">
        <f>+'F1 SEZ'!O147+'F1 Non-SEZ'!O147-O148</f>
        <v>0</v>
      </c>
    </row>
    <row r="149" spans="2:16" x14ac:dyDescent="0.4">
      <c r="B149" s="519" t="s">
        <v>1111</v>
      </c>
      <c r="C149" s="512">
        <f>+'F1 SEZ'!C148+'F1 Non-SEZ'!C148</f>
        <v>2.2880000000000001E-2</v>
      </c>
      <c r="D149" s="512">
        <f>+'F1 SEZ'!D148+'F1 Non-SEZ'!D148</f>
        <v>2.5016480000000001E-2</v>
      </c>
      <c r="E149" s="512">
        <f>+'F1 SEZ'!E148+'F1 Non-SEZ'!E148</f>
        <v>2.459712E-2</v>
      </c>
      <c r="F149" s="512">
        <f>+'F1 SEZ'!F148+'F1 Non-SEZ'!F148</f>
        <v>2.56032E-2</v>
      </c>
      <c r="G149" s="512">
        <f>+'F1 SEZ'!G148+'F1 Non-SEZ'!G148</f>
        <v>2.5200080000000003E-2</v>
      </c>
      <c r="H149" s="512">
        <f>+'F1 SEZ'!H148+'F1 Non-SEZ'!H148</f>
        <v>2.4057200000000001E-2</v>
      </c>
      <c r="I149" s="512">
        <f>+'F1 SEZ'!I148+'F1 Non-SEZ'!I148</f>
        <v>2.1419759999999999E-2</v>
      </c>
      <c r="J149" s="512">
        <f>+'F1 SEZ'!J148+'F1 Non-SEZ'!J148</f>
        <v>1.885264E-2</v>
      </c>
      <c r="K149" s="512">
        <f>+'F1 SEZ'!K148+'F1 Non-SEZ'!K148</f>
        <v>2.2568640000000001E-2</v>
      </c>
      <c r="L149" s="512">
        <f>+'F1 SEZ'!L148+'F1 Non-SEZ'!L148</f>
        <v>2.2140319999999998E-2</v>
      </c>
      <c r="M149" s="512">
        <f>+'F1 SEZ'!M148+'F1 Non-SEZ'!M148</f>
        <v>1.7375040000000001E-2</v>
      </c>
      <c r="N149" s="512">
        <f>+'F1 SEZ'!N148+'F1 Non-SEZ'!N148</f>
        <v>1.7283439999999997E-2</v>
      </c>
      <c r="O149" s="544">
        <f t="shared" si="26"/>
        <v>0.26699392</v>
      </c>
      <c r="P149" s="562">
        <f>+'F1 SEZ'!O148+'F1 Non-SEZ'!O148-O149</f>
        <v>0</v>
      </c>
    </row>
    <row r="150" spans="2:16" x14ac:dyDescent="0.4">
      <c r="B150" s="519" t="s">
        <v>1135</v>
      </c>
      <c r="C150" s="512">
        <f>+'F1 SEZ'!C149+'F1 Non-SEZ'!C149</f>
        <v>1.0881999999999999E-2</v>
      </c>
      <c r="D150" s="512">
        <f>+'F1 SEZ'!D149+'F1 Non-SEZ'!D149</f>
        <v>1.1736E-2</v>
      </c>
      <c r="E150" s="512">
        <f>+'F1 SEZ'!E149+'F1 Non-SEZ'!E149</f>
        <v>9.4570000000000001E-3</v>
      </c>
      <c r="F150" s="512">
        <f>+'F1 SEZ'!F149+'F1 Non-SEZ'!F149</f>
        <v>1.0855E-2</v>
      </c>
      <c r="G150" s="512">
        <f>+'F1 SEZ'!G149+'F1 Non-SEZ'!G149</f>
        <v>1.3524E-2</v>
      </c>
      <c r="H150" s="512">
        <f>+'F1 SEZ'!H149+'F1 Non-SEZ'!H149</f>
        <v>1.2829999999999999E-2</v>
      </c>
      <c r="I150" s="512">
        <f>+'F1 SEZ'!I149+'F1 Non-SEZ'!I149</f>
        <v>1.2475999999999999E-2</v>
      </c>
      <c r="J150" s="512">
        <f>+'F1 SEZ'!J149+'F1 Non-SEZ'!J149</f>
        <v>1.1664000000000001E-2</v>
      </c>
      <c r="K150" s="512">
        <f>+'F1 SEZ'!K149+'F1 Non-SEZ'!K149</f>
        <v>1.0347E-2</v>
      </c>
      <c r="L150" s="512">
        <f>+'F1 SEZ'!L149+'F1 Non-SEZ'!L149</f>
        <v>1.1174999999999999E-2</v>
      </c>
      <c r="M150" s="512">
        <f>+'F1 SEZ'!M149+'F1 Non-SEZ'!M149</f>
        <v>9.7979999999999994E-3</v>
      </c>
      <c r="N150" s="512">
        <f>+'F1 SEZ'!N149+'F1 Non-SEZ'!N149</f>
        <v>1.1780000000000001E-2</v>
      </c>
      <c r="O150" s="544">
        <f t="shared" si="26"/>
        <v>0.13652400000000001</v>
      </c>
      <c r="P150" s="562">
        <f>+'F1 SEZ'!O149+'F1 Non-SEZ'!O149-O150</f>
        <v>0</v>
      </c>
    </row>
    <row r="151" spans="2:16" x14ac:dyDescent="0.4">
      <c r="B151" s="519" t="s">
        <v>1136</v>
      </c>
      <c r="C151" s="512">
        <f>+'F1 SEZ'!C150+'F1 Non-SEZ'!C150</f>
        <v>1.062E-3</v>
      </c>
      <c r="D151" s="512">
        <f>+'F1 SEZ'!D150+'F1 Non-SEZ'!D150</f>
        <v>1.01235E-3</v>
      </c>
      <c r="E151" s="512">
        <f>+'F1 SEZ'!E150+'F1 Non-SEZ'!E150</f>
        <v>9.0395999999999998E-4</v>
      </c>
      <c r="F151" s="512">
        <f>+'F1 SEZ'!F150+'F1 Non-SEZ'!F150</f>
        <v>8.4866999999999994E-4</v>
      </c>
      <c r="G151" s="512">
        <f>+'F1 SEZ'!G150+'F1 Non-SEZ'!G150</f>
        <v>0</v>
      </c>
      <c r="H151" s="512">
        <f>+'F1 SEZ'!H150+'F1 Non-SEZ'!H150</f>
        <v>0</v>
      </c>
      <c r="I151" s="512">
        <f>+'F1 SEZ'!I150+'F1 Non-SEZ'!I150</f>
        <v>0</v>
      </c>
      <c r="J151" s="512">
        <f>+'F1 SEZ'!J150+'F1 Non-SEZ'!J150</f>
        <v>0</v>
      </c>
      <c r="K151" s="512">
        <f>+'F1 SEZ'!K150+'F1 Non-SEZ'!K150</f>
        <v>0</v>
      </c>
      <c r="L151" s="512">
        <f>+'F1 SEZ'!L150+'F1 Non-SEZ'!L150</f>
        <v>0</v>
      </c>
      <c r="M151" s="512">
        <f>+'F1 SEZ'!M150+'F1 Non-SEZ'!M150</f>
        <v>0</v>
      </c>
      <c r="N151" s="512">
        <f>+'F1 SEZ'!N150+'F1 Non-SEZ'!N150</f>
        <v>0</v>
      </c>
      <c r="O151" s="544">
        <f t="shared" si="26"/>
        <v>3.8269799999999998E-3</v>
      </c>
      <c r="P151" s="562">
        <f>+'F1 SEZ'!O150+'F1 Non-SEZ'!O150-O151</f>
        <v>0</v>
      </c>
    </row>
    <row r="152" spans="2:16" x14ac:dyDescent="0.4">
      <c r="B152" s="566" t="s">
        <v>1142</v>
      </c>
      <c r="C152" s="512">
        <f>+'F1 SEZ'!C151+'F1 Non-SEZ'!C151</f>
        <v>0</v>
      </c>
      <c r="D152" s="512">
        <f>+'F1 SEZ'!D151+'F1 Non-SEZ'!D151</f>
        <v>0</v>
      </c>
      <c r="E152" s="512">
        <f>+'F1 SEZ'!E151+'F1 Non-SEZ'!E151</f>
        <v>0</v>
      </c>
      <c r="F152" s="512">
        <f>+'F1 SEZ'!F151+'F1 Non-SEZ'!F151</f>
        <v>0</v>
      </c>
      <c r="G152" s="512">
        <f>+'F1 SEZ'!G151+'F1 Non-SEZ'!G151</f>
        <v>0</v>
      </c>
      <c r="H152" s="512">
        <f>+'F1 SEZ'!H151+'F1 Non-SEZ'!H151</f>
        <v>0</v>
      </c>
      <c r="I152" s="512">
        <f>+'F1 SEZ'!I151+'F1 Non-SEZ'!I151</f>
        <v>0</v>
      </c>
      <c r="J152" s="512">
        <f>+'F1 SEZ'!J151+'F1 Non-SEZ'!J151</f>
        <v>0</v>
      </c>
      <c r="K152" s="512">
        <f>+'F1 SEZ'!K151+'F1 Non-SEZ'!K151</f>
        <v>0</v>
      </c>
      <c r="L152" s="512">
        <f>+'F1 SEZ'!L151+'F1 Non-SEZ'!L151</f>
        <v>0</v>
      </c>
      <c r="M152" s="512">
        <f>+'F1 SEZ'!M151+'F1 Non-SEZ'!M151</f>
        <v>4.7729999999999999E-5</v>
      </c>
      <c r="N152" s="512">
        <f>+'F1 SEZ'!N151+'F1 Non-SEZ'!N151</f>
        <v>1.3768999999999999E-4</v>
      </c>
      <c r="O152" s="544">
        <f t="shared" si="26"/>
        <v>1.8542E-4</v>
      </c>
      <c r="P152" s="562">
        <f>+'F1 SEZ'!O151+'F1 Non-SEZ'!O151-O152</f>
        <v>0</v>
      </c>
    </row>
    <row r="153" spans="2:16" x14ac:dyDescent="0.4">
      <c r="B153" s="175" t="s">
        <v>162</v>
      </c>
      <c r="C153" s="567">
        <f>SUM(C141:C152)</f>
        <v>0.217778</v>
      </c>
      <c r="D153" s="567">
        <f t="shared" ref="D153:O153" si="27">SUM(D141:D152)</f>
        <v>0.14689182999999997</v>
      </c>
      <c r="E153" s="567">
        <f t="shared" si="27"/>
        <v>0.13897807999999998</v>
      </c>
      <c r="F153" s="567">
        <f t="shared" si="27"/>
        <v>0.15486686999999999</v>
      </c>
      <c r="G153" s="567">
        <f t="shared" si="27"/>
        <v>0.15135406000000001</v>
      </c>
      <c r="H153" s="567">
        <f t="shared" si="27"/>
        <v>0.15873174000000001</v>
      </c>
      <c r="I153" s="567">
        <f t="shared" si="27"/>
        <v>0.181865</v>
      </c>
      <c r="J153" s="567">
        <f t="shared" si="27"/>
        <v>0.16549754</v>
      </c>
      <c r="K153" s="567">
        <f t="shared" si="27"/>
        <v>0.15586264</v>
      </c>
      <c r="L153" s="567">
        <f t="shared" si="27"/>
        <v>0.15728297999999999</v>
      </c>
      <c r="M153" s="567">
        <f t="shared" si="27"/>
        <v>0.23781343999999999</v>
      </c>
      <c r="N153" s="567">
        <f t="shared" si="27"/>
        <v>0.28285697000000004</v>
      </c>
      <c r="O153" s="567">
        <f t="shared" si="27"/>
        <v>2.1497791500000005</v>
      </c>
      <c r="P153" s="562">
        <f>+'F1 SEZ'!O152+'F1 Non-SEZ'!O152-O153</f>
        <v>0</v>
      </c>
    </row>
    <row r="154" spans="2:16" x14ac:dyDescent="0.4">
      <c r="B154" s="175"/>
      <c r="C154" s="26"/>
      <c r="D154" s="26"/>
      <c r="E154" s="26"/>
      <c r="F154" s="26"/>
      <c r="G154" s="26"/>
      <c r="H154" s="26"/>
      <c r="I154" s="26"/>
      <c r="J154" s="26"/>
      <c r="K154" s="26"/>
      <c r="L154" s="26"/>
      <c r="M154" s="26"/>
      <c r="N154" s="26"/>
      <c r="O154" s="26"/>
    </row>
    <row r="155" spans="2:16" x14ac:dyDescent="0.4">
      <c r="B155" s="119" t="s">
        <v>164</v>
      </c>
      <c r="C155" s="568">
        <f>+C153+C138</f>
        <v>1.12137854</v>
      </c>
      <c r="D155" s="568">
        <f t="shared" ref="D155:O155" si="28">+D153+D138</f>
        <v>1.1748435860999999</v>
      </c>
      <c r="E155" s="568">
        <f t="shared" si="28"/>
        <v>1.2447036942</v>
      </c>
      <c r="F155" s="568">
        <f t="shared" si="28"/>
        <v>1.3479095886000001</v>
      </c>
      <c r="G155" s="568">
        <f t="shared" si="28"/>
        <v>1.3250382455</v>
      </c>
      <c r="H155" s="568">
        <f t="shared" si="28"/>
        <v>1.2889778763000002</v>
      </c>
      <c r="I155" s="568">
        <f t="shared" si="28"/>
        <v>1.4413691400999999</v>
      </c>
      <c r="J155" s="568">
        <f t="shared" si="28"/>
        <v>1.4394776761000001</v>
      </c>
      <c r="K155" s="568">
        <f t="shared" si="28"/>
        <v>1.5490729072</v>
      </c>
      <c r="L155" s="568">
        <f t="shared" si="28"/>
        <v>1.5765964257</v>
      </c>
      <c r="M155" s="568">
        <f t="shared" si="28"/>
        <v>1.43920581</v>
      </c>
      <c r="N155" s="568">
        <f t="shared" si="28"/>
        <v>1.9435161421</v>
      </c>
      <c r="O155" s="568">
        <f t="shared" si="28"/>
        <v>16.892089631899999</v>
      </c>
    </row>
    <row r="156" spans="2:16" x14ac:dyDescent="0.4">
      <c r="B156" s="118" t="s">
        <v>165</v>
      </c>
    </row>
    <row r="157" spans="2:16" x14ac:dyDescent="0.4">
      <c r="B157" s="27" t="s">
        <v>166</v>
      </c>
    </row>
    <row r="158" spans="2:16" x14ac:dyDescent="0.4">
      <c r="B158" s="1" t="s">
        <v>184</v>
      </c>
      <c r="C158" s="30"/>
      <c r="D158" s="30"/>
      <c r="E158" s="30"/>
      <c r="F158" s="30"/>
    </row>
    <row r="159" spans="2:16" x14ac:dyDescent="0.4">
      <c r="B159" s="27" t="s">
        <v>168</v>
      </c>
      <c r="C159" s="30"/>
      <c r="D159" s="30"/>
      <c r="E159" s="30"/>
      <c r="F159" s="30"/>
    </row>
    <row r="160" spans="2:16" x14ac:dyDescent="0.4">
      <c r="B160" s="118"/>
    </row>
    <row r="161" spans="2:15" x14ac:dyDescent="0.4">
      <c r="B161" s="32" t="s">
        <v>170</v>
      </c>
      <c r="C161" s="8"/>
      <c r="D161" s="8"/>
      <c r="E161" s="8"/>
      <c r="F161" s="8"/>
      <c r="G161" s="8"/>
      <c r="H161" s="8"/>
      <c r="I161" s="8"/>
      <c r="J161" s="8"/>
      <c r="K161" s="8"/>
      <c r="L161" s="8"/>
      <c r="M161" s="8"/>
      <c r="N161" s="8"/>
      <c r="O161" s="4"/>
    </row>
    <row r="162" spans="2:15" x14ac:dyDescent="0.4">
      <c r="B162" s="32"/>
      <c r="C162" s="38"/>
      <c r="D162" s="38"/>
      <c r="O162" s="38" t="s">
        <v>171</v>
      </c>
    </row>
    <row r="163" spans="2:15" x14ac:dyDescent="0.4">
      <c r="B163" s="98" t="s">
        <v>160</v>
      </c>
      <c r="C163" s="98" t="s">
        <v>172</v>
      </c>
      <c r="D163" s="98" t="s">
        <v>173</v>
      </c>
      <c r="E163" s="98" t="s">
        <v>174</v>
      </c>
      <c r="F163" s="98" t="s">
        <v>175</v>
      </c>
      <c r="G163" s="98" t="s">
        <v>176</v>
      </c>
      <c r="H163" s="98" t="s">
        <v>177</v>
      </c>
      <c r="I163" s="98" t="s">
        <v>178</v>
      </c>
      <c r="J163" s="98" t="s">
        <v>179</v>
      </c>
      <c r="K163" s="98" t="s">
        <v>180</v>
      </c>
      <c r="L163" s="98" t="s">
        <v>181</v>
      </c>
      <c r="M163" s="98" t="s">
        <v>182</v>
      </c>
      <c r="N163" s="98" t="s">
        <v>183</v>
      </c>
      <c r="O163" s="98" t="s">
        <v>164</v>
      </c>
    </row>
    <row r="164" spans="2:15" x14ac:dyDescent="0.4">
      <c r="B164" s="517" t="s">
        <v>161</v>
      </c>
      <c r="C164" s="78"/>
      <c r="D164" s="78"/>
      <c r="E164" s="78"/>
      <c r="F164" s="3"/>
      <c r="G164" s="3"/>
      <c r="H164" s="2"/>
      <c r="I164" s="43"/>
      <c r="J164" s="44"/>
      <c r="K164" s="124"/>
      <c r="L164" s="124"/>
      <c r="M164" s="2"/>
      <c r="N164" s="2"/>
      <c r="O164" s="2"/>
    </row>
    <row r="165" spans="2:15" x14ac:dyDescent="0.4">
      <c r="B165" s="429" t="s">
        <v>1129</v>
      </c>
      <c r="C165" s="512">
        <f>+'F1 SEZ'!C164+'F1 Non-SEZ'!C164</f>
        <v>1.6745399999999999</v>
      </c>
      <c r="D165" s="512">
        <f>+'F1 SEZ'!D164+'F1 Non-SEZ'!D164</f>
        <v>1.7526600000000001</v>
      </c>
      <c r="E165" s="512">
        <f>+'F1 SEZ'!E164+'F1 Non-SEZ'!E164</f>
        <v>1.6752</v>
      </c>
      <c r="F165" s="512">
        <f>+'F1 SEZ'!F164+'F1 Non-SEZ'!F164</f>
        <v>1.6296600000000001</v>
      </c>
      <c r="G165" s="512">
        <f>+'F1 SEZ'!G164+'F1 Non-SEZ'!G164</f>
        <v>1.74936</v>
      </c>
      <c r="H165" s="512">
        <f>+'F1 SEZ'!H164+'F1 Non-SEZ'!H164</f>
        <v>1.71516</v>
      </c>
      <c r="I165" s="512">
        <f>+'F1 SEZ'!I164+'F1 Non-SEZ'!I164</f>
        <v>1.8092999999999999</v>
      </c>
      <c r="J165" s="512">
        <f>+'F1 SEZ'!J164+'F1 Non-SEZ'!J164</f>
        <v>1.7883599999999999</v>
      </c>
      <c r="K165" s="512">
        <f>+'F1 SEZ'!K164+'F1 Non-SEZ'!K164</f>
        <v>1.86486</v>
      </c>
      <c r="L165" s="512">
        <f>+'F1 SEZ'!L164+'F1 Non-SEZ'!L164</f>
        <v>1.84992</v>
      </c>
      <c r="M165" s="512">
        <f>+'F1 SEZ'!M164+'F1 Non-SEZ'!M164</f>
        <v>1.78434</v>
      </c>
      <c r="N165" s="512">
        <f>+'F1 SEZ'!N164+'F1 Non-SEZ'!N164</f>
        <v>2.1534599999999999</v>
      </c>
      <c r="O165" s="544">
        <f>SUM(C165:N165)</f>
        <v>21.446820000000002</v>
      </c>
    </row>
    <row r="166" spans="2:15" x14ac:dyDescent="0.4">
      <c r="B166" s="429" t="s">
        <v>1130</v>
      </c>
      <c r="C166" s="512">
        <f>+'F1 SEZ'!C165+'F1 Non-SEZ'!C165</f>
        <v>3.2371879999999999E-2</v>
      </c>
      <c r="D166" s="512">
        <f>+'F1 SEZ'!D165+'F1 Non-SEZ'!D165</f>
        <v>3.1369359999999999E-2</v>
      </c>
      <c r="E166" s="512">
        <f>+'F1 SEZ'!E165+'F1 Non-SEZ'!E165</f>
        <v>2.3005370000000001E-2</v>
      </c>
      <c r="F166" s="512">
        <f>+'F1 SEZ'!F165+'F1 Non-SEZ'!F165</f>
        <v>3.9394459999999999E-2</v>
      </c>
      <c r="G166" s="512">
        <f>+'F1 SEZ'!G165+'F1 Non-SEZ'!G165</f>
        <v>2.759416E-2</v>
      </c>
      <c r="H166" s="512">
        <f>+'F1 SEZ'!H165+'F1 Non-SEZ'!H165</f>
        <v>2.791594E-2</v>
      </c>
      <c r="I166" s="512">
        <f>+'F1 SEZ'!I165+'F1 Non-SEZ'!I165</f>
        <v>2.670782E-2</v>
      </c>
      <c r="J166" s="512">
        <f>+'F1 SEZ'!J165+'F1 Non-SEZ'!J165</f>
        <v>2.1391540000000001E-2</v>
      </c>
      <c r="K166" s="512">
        <f>+'F1 SEZ'!K165+'F1 Non-SEZ'!K165</f>
        <v>2.168585E-2</v>
      </c>
      <c r="L166" s="512">
        <f>+'F1 SEZ'!L165+'F1 Non-SEZ'!L165</f>
        <v>2.00439E-2</v>
      </c>
      <c r="M166" s="512">
        <f>+'F1 SEZ'!M165+'F1 Non-SEZ'!M165</f>
        <v>1.869121E-2</v>
      </c>
      <c r="N166" s="512">
        <f>+'F1 SEZ'!N165+'F1 Non-SEZ'!N165</f>
        <v>2.0711189999999997E-2</v>
      </c>
      <c r="O166" s="544">
        <f>SUM(C166:N166)</f>
        <v>0.31088268000000002</v>
      </c>
    </row>
    <row r="167" spans="2:15" x14ac:dyDescent="0.4">
      <c r="B167" s="429" t="s">
        <v>1131</v>
      </c>
      <c r="C167" s="512">
        <f>+'F1 SEZ'!C166+'F1 Non-SEZ'!C166</f>
        <v>0</v>
      </c>
      <c r="D167" s="512">
        <f>+'F1 SEZ'!D166+'F1 Non-SEZ'!D166</f>
        <v>0</v>
      </c>
      <c r="E167" s="512">
        <f>+'F1 SEZ'!E166+'F1 Non-SEZ'!E166</f>
        <v>0</v>
      </c>
      <c r="F167" s="512">
        <f>+'F1 SEZ'!F166+'F1 Non-SEZ'!F166</f>
        <v>0</v>
      </c>
      <c r="G167" s="512">
        <f>+'F1 SEZ'!G166+'F1 Non-SEZ'!G166</f>
        <v>0</v>
      </c>
      <c r="H167" s="512">
        <f>+'F1 SEZ'!H166+'F1 Non-SEZ'!H166</f>
        <v>0</v>
      </c>
      <c r="I167" s="512">
        <f>+'F1 SEZ'!I166+'F1 Non-SEZ'!I166</f>
        <v>0</v>
      </c>
      <c r="J167" s="512">
        <f>+'F1 SEZ'!J166+'F1 Non-SEZ'!J166</f>
        <v>0</v>
      </c>
      <c r="K167" s="512">
        <f>+'F1 SEZ'!K166+'F1 Non-SEZ'!K166</f>
        <v>0</v>
      </c>
      <c r="L167" s="512">
        <f>+'F1 SEZ'!L166+'F1 Non-SEZ'!L166</f>
        <v>0</v>
      </c>
      <c r="M167" s="512">
        <f>+'F1 SEZ'!M166+'F1 Non-SEZ'!M166</f>
        <v>0</v>
      </c>
      <c r="N167" s="512">
        <f>+'F1 SEZ'!N166+'F1 Non-SEZ'!N166</f>
        <v>0</v>
      </c>
      <c r="O167" s="544">
        <f>SUM(C167:N167)</f>
        <v>0</v>
      </c>
    </row>
    <row r="168" spans="2:15" x14ac:dyDescent="0.4">
      <c r="B168" s="429" t="s">
        <v>1132</v>
      </c>
      <c r="C168" s="512">
        <f>+'F1 SEZ'!C167+'F1 Non-SEZ'!C167</f>
        <v>0</v>
      </c>
      <c r="D168" s="512">
        <f>+'F1 SEZ'!D167+'F1 Non-SEZ'!D167</f>
        <v>0</v>
      </c>
      <c r="E168" s="512">
        <f>+'F1 SEZ'!E167+'F1 Non-SEZ'!E167</f>
        <v>0</v>
      </c>
      <c r="F168" s="512">
        <f>+'F1 SEZ'!F167+'F1 Non-SEZ'!F167</f>
        <v>0</v>
      </c>
      <c r="G168" s="512">
        <f>+'F1 SEZ'!G167+'F1 Non-SEZ'!G167</f>
        <v>0</v>
      </c>
      <c r="H168" s="512">
        <f>+'F1 SEZ'!H167+'F1 Non-SEZ'!H167</f>
        <v>0</v>
      </c>
      <c r="I168" s="512">
        <f>+'F1 SEZ'!I167+'F1 Non-SEZ'!I167</f>
        <v>0</v>
      </c>
      <c r="J168" s="512">
        <f>+'F1 SEZ'!J167+'F1 Non-SEZ'!J167</f>
        <v>0</v>
      </c>
      <c r="K168" s="512">
        <f>+'F1 SEZ'!K167+'F1 Non-SEZ'!K167</f>
        <v>0</v>
      </c>
      <c r="L168" s="512">
        <f>+'F1 SEZ'!L167+'F1 Non-SEZ'!L167</f>
        <v>0</v>
      </c>
      <c r="M168" s="512">
        <f>+'F1 SEZ'!M167+'F1 Non-SEZ'!M167</f>
        <v>0</v>
      </c>
      <c r="N168" s="512">
        <f>+'F1 SEZ'!N167+'F1 Non-SEZ'!N167</f>
        <v>0</v>
      </c>
      <c r="O168" s="544">
        <f>SUM(C168:N168)</f>
        <v>0</v>
      </c>
    </row>
    <row r="169" spans="2:15" x14ac:dyDescent="0.4">
      <c r="B169" s="518" t="s">
        <v>162</v>
      </c>
      <c r="C169" s="545">
        <f>SUM(C165:C168)</f>
        <v>1.7069118799999998</v>
      </c>
      <c r="D169" s="545">
        <f t="shared" ref="D169:O169" si="29">SUM(D165:D168)</f>
        <v>1.7840293600000001</v>
      </c>
      <c r="E169" s="545">
        <f t="shared" si="29"/>
        <v>1.6982053699999999</v>
      </c>
      <c r="F169" s="545">
        <f t="shared" si="29"/>
        <v>1.6690544600000001</v>
      </c>
      <c r="G169" s="545">
        <f t="shared" si="29"/>
        <v>1.7769541600000001</v>
      </c>
      <c r="H169" s="545">
        <f t="shared" si="29"/>
        <v>1.74307594</v>
      </c>
      <c r="I169" s="545">
        <f t="shared" si="29"/>
        <v>1.8360078199999998</v>
      </c>
      <c r="J169" s="545">
        <f t="shared" si="29"/>
        <v>1.8097515399999999</v>
      </c>
      <c r="K169" s="545">
        <f t="shared" si="29"/>
        <v>1.8865458499999999</v>
      </c>
      <c r="L169" s="545">
        <f t="shared" si="29"/>
        <v>1.8699638999999999</v>
      </c>
      <c r="M169" s="545">
        <f t="shared" si="29"/>
        <v>1.8030312100000001</v>
      </c>
      <c r="N169" s="545">
        <f t="shared" si="29"/>
        <v>2.17417119</v>
      </c>
      <c r="O169" s="545">
        <f t="shared" si="29"/>
        <v>21.757702680000001</v>
      </c>
    </row>
    <row r="170" spans="2:15" x14ac:dyDescent="0.4">
      <c r="B170" s="517" t="s">
        <v>163</v>
      </c>
      <c r="C170" s="545"/>
      <c r="D170" s="545"/>
      <c r="E170" s="545"/>
      <c r="F170" s="545"/>
      <c r="G170" s="545"/>
      <c r="H170" s="545"/>
      <c r="I170" s="545"/>
      <c r="J170" s="545"/>
      <c r="K170" s="545"/>
      <c r="L170" s="545"/>
      <c r="M170" s="545"/>
      <c r="N170" s="545"/>
      <c r="O170" s="545"/>
    </row>
    <row r="171" spans="2:15" x14ac:dyDescent="0.4">
      <c r="B171" s="519" t="s">
        <v>1133</v>
      </c>
      <c r="C171" s="546"/>
      <c r="D171" s="546"/>
      <c r="E171" s="547"/>
      <c r="F171" s="546"/>
      <c r="G171" s="547"/>
      <c r="H171" s="547"/>
      <c r="I171" s="543"/>
      <c r="J171" s="545"/>
      <c r="K171" s="547"/>
      <c r="L171" s="545"/>
      <c r="M171" s="545"/>
      <c r="N171" s="548"/>
      <c r="O171" s="544">
        <f t="shared" ref="O171:O184" si="30">SUM(C171:N171)</f>
        <v>0</v>
      </c>
    </row>
    <row r="172" spans="2:15" x14ac:dyDescent="0.4">
      <c r="B172" s="520" t="s">
        <v>1106</v>
      </c>
      <c r="C172" s="512">
        <f>+'F1 SEZ'!C171+'F1 Non-SEZ'!C171</f>
        <v>4.3047000000000002E-2</v>
      </c>
      <c r="D172" s="512">
        <f>+'F1 SEZ'!D171+'F1 Non-SEZ'!D171</f>
        <v>4.3984000000000002E-2</v>
      </c>
      <c r="E172" s="512">
        <f>+'F1 SEZ'!E171+'F1 Non-SEZ'!E171</f>
        <v>4.6438E-2</v>
      </c>
      <c r="F172" s="512">
        <f>+'F1 SEZ'!F171+'F1 Non-SEZ'!F171</f>
        <v>4.7551999999999997E-2</v>
      </c>
      <c r="G172" s="512">
        <f>+'F1 SEZ'!G171+'F1 Non-SEZ'!G171</f>
        <v>4.9304000000000001E-2</v>
      </c>
      <c r="H172" s="512">
        <f>+'F1 SEZ'!H171+'F1 Non-SEZ'!H171</f>
        <v>5.0854000000000003E-2</v>
      </c>
      <c r="I172" s="512">
        <f>+'F1 SEZ'!I171+'F1 Non-SEZ'!I171</f>
        <v>5.1188999999999998E-2</v>
      </c>
      <c r="J172" s="512">
        <f>+'F1 SEZ'!J171+'F1 Non-SEZ'!J171</f>
        <v>5.1855999999999999E-2</v>
      </c>
      <c r="K172" s="512">
        <f>+'F1 SEZ'!K171+'F1 Non-SEZ'!K171</f>
        <v>5.4670999999999997E-2</v>
      </c>
      <c r="L172" s="512">
        <f>+'F1 SEZ'!L171+'F1 Non-SEZ'!L171</f>
        <v>5.4886999999999998E-2</v>
      </c>
      <c r="M172" s="512">
        <f>+'F1 SEZ'!M171+'F1 Non-SEZ'!M171</f>
        <v>5.5400999999999999E-2</v>
      </c>
      <c r="N172" s="512">
        <f>+'F1 SEZ'!N171+'F1 Non-SEZ'!N171</f>
        <v>5.9692000000000002E-2</v>
      </c>
      <c r="O172" s="544">
        <f t="shared" si="30"/>
        <v>0.60887500000000006</v>
      </c>
    </row>
    <row r="173" spans="2:15" x14ac:dyDescent="0.4">
      <c r="B173" s="520" t="s">
        <v>1107</v>
      </c>
      <c r="C173" s="512">
        <f>+'F1 SEZ'!C172+'F1 Non-SEZ'!C172</f>
        <v>4.9787999999999999E-2</v>
      </c>
      <c r="D173" s="512">
        <f>+'F1 SEZ'!D172+'F1 Non-SEZ'!D172</f>
        <v>5.5271000000000001E-2</v>
      </c>
      <c r="E173" s="512">
        <f>+'F1 SEZ'!E172+'F1 Non-SEZ'!E172</f>
        <v>5.3429999999999998E-2</v>
      </c>
      <c r="F173" s="512">
        <f>+'F1 SEZ'!F172+'F1 Non-SEZ'!F172</f>
        <v>4.3540000000000002E-2</v>
      </c>
      <c r="G173" s="512">
        <f>+'F1 SEZ'!G172+'F1 Non-SEZ'!G172</f>
        <v>4.5450999999999998E-2</v>
      </c>
      <c r="H173" s="512">
        <f>+'F1 SEZ'!H172+'F1 Non-SEZ'!H172</f>
        <v>4.8910000000000002E-2</v>
      </c>
      <c r="I173" s="512">
        <f>+'F1 SEZ'!I172+'F1 Non-SEZ'!I172</f>
        <v>4.8451000000000001E-2</v>
      </c>
      <c r="J173" s="512">
        <f>+'F1 SEZ'!J172+'F1 Non-SEZ'!J172</f>
        <v>4.3922000000000003E-2</v>
      </c>
      <c r="K173" s="512">
        <f>+'F1 SEZ'!K172+'F1 Non-SEZ'!K172</f>
        <v>4.7329000000000003E-2</v>
      </c>
      <c r="L173" s="512">
        <f>+'F1 SEZ'!L172+'F1 Non-SEZ'!L172</f>
        <v>4.0472000000000001E-2</v>
      </c>
      <c r="M173" s="512">
        <f>+'F1 SEZ'!M172+'F1 Non-SEZ'!M172</f>
        <v>4.5157000000000003E-2</v>
      </c>
      <c r="N173" s="512">
        <f>+'F1 SEZ'!N172+'F1 Non-SEZ'!N172</f>
        <v>5.9795000000000001E-2</v>
      </c>
      <c r="O173" s="544">
        <f t="shared" si="30"/>
        <v>0.58151600000000014</v>
      </c>
    </row>
    <row r="174" spans="2:15" x14ac:dyDescent="0.4">
      <c r="B174" s="520" t="s">
        <v>1108</v>
      </c>
      <c r="C174" s="512">
        <f>+'F1 SEZ'!C173+'F1 Non-SEZ'!C173</f>
        <v>2.3824000000000001E-2</v>
      </c>
      <c r="D174" s="512">
        <f>+'F1 SEZ'!D173+'F1 Non-SEZ'!D173</f>
        <v>2.8712999999999999E-2</v>
      </c>
      <c r="E174" s="512">
        <f>+'F1 SEZ'!E173+'F1 Non-SEZ'!E173</f>
        <v>2.2734000000000001E-2</v>
      </c>
      <c r="F174" s="512">
        <f>+'F1 SEZ'!F173+'F1 Non-SEZ'!F173</f>
        <v>1.2159E-2</v>
      </c>
      <c r="G174" s="512">
        <f>+'F1 SEZ'!G173+'F1 Non-SEZ'!G173</f>
        <v>1.2775E-2</v>
      </c>
      <c r="H174" s="512">
        <f>+'F1 SEZ'!H173+'F1 Non-SEZ'!H173</f>
        <v>1.5139E-2</v>
      </c>
      <c r="I174" s="512">
        <f>+'F1 SEZ'!I173+'F1 Non-SEZ'!I173</f>
        <v>1.5072E-2</v>
      </c>
      <c r="J174" s="512">
        <f>+'F1 SEZ'!J173+'F1 Non-SEZ'!J173</f>
        <v>1.2388E-2</v>
      </c>
      <c r="K174" s="512">
        <f>+'F1 SEZ'!K173+'F1 Non-SEZ'!K173</f>
        <v>1.1433E-2</v>
      </c>
      <c r="L174" s="512">
        <f>+'F1 SEZ'!L173+'F1 Non-SEZ'!L173</f>
        <v>8.0839999999999992E-3</v>
      </c>
      <c r="M174" s="512">
        <f>+'F1 SEZ'!M173+'F1 Non-SEZ'!M173</f>
        <v>1.0880000000000001E-2</v>
      </c>
      <c r="N174" s="512">
        <f>+'F1 SEZ'!N173+'F1 Non-SEZ'!N173</f>
        <v>1.9966999999999999E-2</v>
      </c>
      <c r="O174" s="544">
        <f t="shared" si="30"/>
        <v>0.19316800000000001</v>
      </c>
    </row>
    <row r="175" spans="2:15" x14ac:dyDescent="0.4">
      <c r="B175" s="520" t="s">
        <v>1109</v>
      </c>
      <c r="C175" s="512">
        <f>+'F1 SEZ'!C174+'F1 Non-SEZ'!C174</f>
        <v>0.11912399999999999</v>
      </c>
      <c r="D175" s="512">
        <f>+'F1 SEZ'!D174+'F1 Non-SEZ'!D174</f>
        <v>0.11536399999999999</v>
      </c>
      <c r="E175" s="512">
        <f>+'F1 SEZ'!E174+'F1 Non-SEZ'!E174</f>
        <v>0.122543</v>
      </c>
      <c r="F175" s="512">
        <f>+'F1 SEZ'!F174+'F1 Non-SEZ'!F174</f>
        <v>0.13459399999999999</v>
      </c>
      <c r="G175" s="512">
        <f>+'F1 SEZ'!G174+'F1 Non-SEZ'!G174</f>
        <v>0.144264</v>
      </c>
      <c r="H175" s="512">
        <f>+'F1 SEZ'!H174+'F1 Non-SEZ'!H174</f>
        <v>0.13444800000000001</v>
      </c>
      <c r="I175" s="512">
        <f>+'F1 SEZ'!I174+'F1 Non-SEZ'!I174</f>
        <v>0.13457</v>
      </c>
      <c r="J175" s="512">
        <f>+'F1 SEZ'!J174+'F1 Non-SEZ'!J174</f>
        <v>0.13656299999999999</v>
      </c>
      <c r="K175" s="512">
        <f>+'F1 SEZ'!K174+'F1 Non-SEZ'!K174</f>
        <v>0.13201499999999999</v>
      </c>
      <c r="L175" s="512">
        <f>+'F1 SEZ'!L174+'F1 Non-SEZ'!L174</f>
        <v>0.141705</v>
      </c>
      <c r="M175" s="512">
        <f>+'F1 SEZ'!M174+'F1 Non-SEZ'!M174</f>
        <v>0.11526699999999999</v>
      </c>
      <c r="N175" s="512">
        <f>+'F1 SEZ'!N174+'F1 Non-SEZ'!N174</f>
        <v>0.13424800000000001</v>
      </c>
      <c r="O175" s="544">
        <f t="shared" si="30"/>
        <v>1.5647049999999998</v>
      </c>
    </row>
    <row r="176" spans="2:15" x14ac:dyDescent="0.4">
      <c r="B176" s="520" t="s">
        <v>1110</v>
      </c>
      <c r="C176" s="512">
        <f>+'F1 SEZ'!C175+'F1 Non-SEZ'!C175</f>
        <v>0</v>
      </c>
      <c r="D176" s="512">
        <f>+'F1 SEZ'!D175+'F1 Non-SEZ'!D175</f>
        <v>0</v>
      </c>
      <c r="E176" s="512">
        <f>+'F1 SEZ'!E175+'F1 Non-SEZ'!E175</f>
        <v>0</v>
      </c>
      <c r="F176" s="512">
        <f>+'F1 SEZ'!F175+'F1 Non-SEZ'!F175</f>
        <v>0</v>
      </c>
      <c r="G176" s="512">
        <f>+'F1 SEZ'!G175+'F1 Non-SEZ'!G175</f>
        <v>0</v>
      </c>
      <c r="H176" s="512">
        <f>+'F1 SEZ'!H175+'F1 Non-SEZ'!H175</f>
        <v>0</v>
      </c>
      <c r="I176" s="512">
        <f>+'F1 SEZ'!I175+'F1 Non-SEZ'!I175</f>
        <v>0</v>
      </c>
      <c r="J176" s="512">
        <f>+'F1 SEZ'!J175+'F1 Non-SEZ'!J175</f>
        <v>0</v>
      </c>
      <c r="K176" s="512">
        <f>+'F1 SEZ'!K175+'F1 Non-SEZ'!K175</f>
        <v>0</v>
      </c>
      <c r="L176" s="512">
        <f>+'F1 SEZ'!L175+'F1 Non-SEZ'!L175</f>
        <v>0</v>
      </c>
      <c r="M176" s="512">
        <f>+'F1 SEZ'!M175+'F1 Non-SEZ'!M175</f>
        <v>0</v>
      </c>
      <c r="N176" s="512">
        <f>+'F1 SEZ'!N175+'F1 Non-SEZ'!N175</f>
        <v>0</v>
      </c>
      <c r="O176" s="544">
        <f t="shared" si="30"/>
        <v>0</v>
      </c>
    </row>
    <row r="177" spans="2:15" x14ac:dyDescent="0.4">
      <c r="B177" s="519" t="s">
        <v>1145</v>
      </c>
      <c r="C177" s="512">
        <f>+'F1 SEZ'!C176+'F1 Non-SEZ'!C176</f>
        <v>0</v>
      </c>
      <c r="D177" s="512">
        <f>+'F1 SEZ'!D176+'F1 Non-SEZ'!D176</f>
        <v>0</v>
      </c>
      <c r="E177" s="512">
        <f>+'F1 SEZ'!E176+'F1 Non-SEZ'!E176</f>
        <v>0</v>
      </c>
      <c r="F177" s="512">
        <f>+'F1 SEZ'!F176+'F1 Non-SEZ'!F176</f>
        <v>0</v>
      </c>
      <c r="G177" s="512">
        <f>+'F1 SEZ'!G176+'F1 Non-SEZ'!G176</f>
        <v>0</v>
      </c>
      <c r="H177" s="512">
        <f>+'F1 SEZ'!H176+'F1 Non-SEZ'!H176</f>
        <v>0</v>
      </c>
      <c r="I177" s="512">
        <f>+'F1 SEZ'!I176+'F1 Non-SEZ'!I176</f>
        <v>0</v>
      </c>
      <c r="J177" s="512">
        <f>+'F1 SEZ'!J176+'F1 Non-SEZ'!J176</f>
        <v>0</v>
      </c>
      <c r="K177" s="512">
        <f>+'F1 SEZ'!K176+'F1 Non-SEZ'!K176</f>
        <v>0</v>
      </c>
      <c r="L177" s="512">
        <f>+'F1 SEZ'!L176+'F1 Non-SEZ'!L176</f>
        <v>0</v>
      </c>
      <c r="M177" s="512">
        <f>+'F1 SEZ'!M176+'F1 Non-SEZ'!M176</f>
        <v>0</v>
      </c>
      <c r="N177" s="512">
        <f>+'F1 SEZ'!N176+'F1 Non-SEZ'!N176</f>
        <v>0</v>
      </c>
      <c r="O177" s="544">
        <f t="shared" si="30"/>
        <v>0</v>
      </c>
    </row>
    <row r="178" spans="2:15" x14ac:dyDescent="0.4">
      <c r="B178" s="520" t="s">
        <v>1140</v>
      </c>
      <c r="C178" s="512">
        <f>+'F1 SEZ'!C177+'F1 Non-SEZ'!C177</f>
        <v>6.2199999999999998E-3</v>
      </c>
      <c r="D178" s="512">
        <f>+'F1 SEZ'!D177+'F1 Non-SEZ'!D177</f>
        <v>7.7209999999999996E-3</v>
      </c>
      <c r="E178" s="512">
        <f>+'F1 SEZ'!E177+'F1 Non-SEZ'!E177</f>
        <v>6.5500000000000003E-3</v>
      </c>
      <c r="F178" s="512">
        <f>+'F1 SEZ'!F177+'F1 Non-SEZ'!F177</f>
        <v>5.391E-3</v>
      </c>
      <c r="G178" s="512">
        <f>+'F1 SEZ'!G177+'F1 Non-SEZ'!G177</f>
        <v>5.561E-3</v>
      </c>
      <c r="H178" s="512">
        <f>+'F1 SEZ'!H177+'F1 Non-SEZ'!H177</f>
        <v>6.4689999999999999E-3</v>
      </c>
      <c r="I178" s="512">
        <f>+'F1 SEZ'!I177+'F1 Non-SEZ'!I177</f>
        <v>6.3889999999999997E-3</v>
      </c>
      <c r="J178" s="512">
        <f>+'F1 SEZ'!J177+'F1 Non-SEZ'!J177</f>
        <v>6.0150000000000004E-3</v>
      </c>
      <c r="K178" s="512">
        <f>+'F1 SEZ'!K177+'F1 Non-SEZ'!K177</f>
        <v>5.7270000000000003E-3</v>
      </c>
      <c r="L178" s="512">
        <f>+'F1 SEZ'!L177+'F1 Non-SEZ'!L177</f>
        <v>5.2909999999999997E-3</v>
      </c>
      <c r="M178" s="512">
        <f>+'F1 SEZ'!M177+'F1 Non-SEZ'!M177</f>
        <v>5.5019999999999999E-3</v>
      </c>
      <c r="N178" s="512">
        <f>+'F1 SEZ'!N177+'F1 Non-SEZ'!N177</f>
        <v>7.7169999999999999E-3</v>
      </c>
      <c r="O178" s="544">
        <f t="shared" si="30"/>
        <v>7.4553000000000008E-2</v>
      </c>
    </row>
    <row r="179" spans="2:15" x14ac:dyDescent="0.4">
      <c r="B179" s="520" t="s">
        <v>1144</v>
      </c>
      <c r="C179" s="512">
        <f>+'F1 SEZ'!C178+'F1 Non-SEZ'!C178</f>
        <v>5.5691640000000001E-2</v>
      </c>
      <c r="D179" s="512">
        <f>+'F1 SEZ'!D178+'F1 Non-SEZ'!D178</f>
        <v>6.6994434999999991E-2</v>
      </c>
      <c r="E179" s="512">
        <f>+'F1 SEZ'!E178+'F1 Non-SEZ'!E178</f>
        <v>5.7454739999999997E-2</v>
      </c>
      <c r="F179" s="512">
        <f>+'F1 SEZ'!F178+'F1 Non-SEZ'!F178</f>
        <v>1.3472620000000001E-2</v>
      </c>
      <c r="G179" s="512">
        <f>+'F1 SEZ'!G178+'F1 Non-SEZ'!G178</f>
        <v>1.424951E-2</v>
      </c>
      <c r="H179" s="512">
        <f>+'F1 SEZ'!H178+'F1 Non-SEZ'!H178</f>
        <v>1.4558177299999999E-2</v>
      </c>
      <c r="I179" s="512">
        <f>+'F1 SEZ'!I178+'F1 Non-SEZ'!I178</f>
        <v>1.5206540000000001E-2</v>
      </c>
      <c r="J179" s="512">
        <f>+'F1 SEZ'!J178+'F1 Non-SEZ'!J178</f>
        <v>1.444868E-2</v>
      </c>
      <c r="K179" s="512">
        <f>+'F1 SEZ'!K178+'F1 Non-SEZ'!K178</f>
        <v>1.54755E-2</v>
      </c>
      <c r="L179" s="512">
        <f>+'F1 SEZ'!L178+'F1 Non-SEZ'!L178</f>
        <v>1.279781E-2</v>
      </c>
      <c r="M179" s="512">
        <f>+'F1 SEZ'!M178+'F1 Non-SEZ'!M178</f>
        <v>1.340994E-2</v>
      </c>
      <c r="N179" s="512">
        <f>+'F1 SEZ'!N178+'F1 Non-SEZ'!N178</f>
        <v>1.569547E-2</v>
      </c>
      <c r="O179" s="544">
        <f t="shared" si="30"/>
        <v>0.30945506229999997</v>
      </c>
    </row>
    <row r="180" spans="2:15" x14ac:dyDescent="0.4">
      <c r="B180" s="520" t="s">
        <v>1143</v>
      </c>
      <c r="C180" s="512">
        <f>+'F1 SEZ'!C179+'F1 Non-SEZ'!C179</f>
        <v>5.8290699999999996E-3</v>
      </c>
      <c r="D180" s="512">
        <f>+'F1 SEZ'!D179+'F1 Non-SEZ'!D179</f>
        <v>5.6651899999999996E-3</v>
      </c>
      <c r="E180" s="512">
        <f>+'F1 SEZ'!E179+'F1 Non-SEZ'!E179</f>
        <v>8.9625599999999996E-3</v>
      </c>
      <c r="F180" s="512">
        <f>+'F1 SEZ'!F179+'F1 Non-SEZ'!F179</f>
        <v>6.23224E-3</v>
      </c>
      <c r="G180" s="512">
        <f>+'F1 SEZ'!G179+'F1 Non-SEZ'!G179</f>
        <v>6.3198000000000004E-3</v>
      </c>
      <c r="H180" s="512">
        <f>+'F1 SEZ'!H179+'F1 Non-SEZ'!H179</f>
        <v>6.6920959999999998E-3</v>
      </c>
      <c r="I180" s="512">
        <f>+'F1 SEZ'!I179+'F1 Non-SEZ'!I179</f>
        <v>5.2642100000000001E-3</v>
      </c>
      <c r="J180" s="512">
        <f>+'F1 SEZ'!J179+'F1 Non-SEZ'!J179</f>
        <v>5.1388299999999996E-3</v>
      </c>
      <c r="K180" s="512">
        <f>+'F1 SEZ'!K179+'F1 Non-SEZ'!K179</f>
        <v>4.6548800000000001E-3</v>
      </c>
      <c r="L180" s="512">
        <f>+'F1 SEZ'!L179+'F1 Non-SEZ'!L179</f>
        <v>3.9033900000000001E-3</v>
      </c>
      <c r="M180" s="512">
        <f>+'F1 SEZ'!M179+'F1 Non-SEZ'!M179</f>
        <v>4.30818E-3</v>
      </c>
      <c r="N180" s="512">
        <f>+'F1 SEZ'!N179+'F1 Non-SEZ'!N179</f>
        <v>6.5268039999999998E-3</v>
      </c>
      <c r="O180" s="544">
        <f t="shared" si="30"/>
        <v>6.9497249999999997E-2</v>
      </c>
    </row>
    <row r="181" spans="2:15" x14ac:dyDescent="0.4">
      <c r="B181" s="519" t="s">
        <v>1111</v>
      </c>
      <c r="C181" s="512">
        <f>+'F1 SEZ'!C180+'F1 Non-SEZ'!C180</f>
        <v>1.668528E-2</v>
      </c>
      <c r="D181" s="512">
        <f>+'F1 SEZ'!D180+'F1 Non-SEZ'!D180</f>
        <v>1.81552E-2</v>
      </c>
      <c r="E181" s="512">
        <f>+'F1 SEZ'!E180+'F1 Non-SEZ'!E180</f>
        <v>1.7092720000000002E-2</v>
      </c>
      <c r="F181" s="512">
        <f>+'F1 SEZ'!F180+'F1 Non-SEZ'!F180</f>
        <v>2.7070979999999998E-2</v>
      </c>
      <c r="G181" s="512">
        <f>+'F1 SEZ'!G180+'F1 Non-SEZ'!G180</f>
        <v>3.1055869999999999E-2</v>
      </c>
      <c r="H181" s="512">
        <f>+'F1 SEZ'!H180+'F1 Non-SEZ'!H180</f>
        <v>2.8363142000000001E-2</v>
      </c>
      <c r="I181" s="512">
        <f>+'F1 SEZ'!I180+'F1 Non-SEZ'!I180</f>
        <v>2.579994E-2</v>
      </c>
      <c r="J181" s="512">
        <f>+'F1 SEZ'!J180+'F1 Non-SEZ'!J180</f>
        <v>2.561857E-2</v>
      </c>
      <c r="K181" s="512">
        <f>+'F1 SEZ'!K180+'F1 Non-SEZ'!K180</f>
        <v>3.6970169999999997E-2</v>
      </c>
      <c r="L181" s="512">
        <f>+'F1 SEZ'!L180+'F1 Non-SEZ'!L180</f>
        <v>3.9522919999999996E-2</v>
      </c>
      <c r="M181" s="512">
        <f>+'F1 SEZ'!M180+'F1 Non-SEZ'!M180</f>
        <v>3.5471330000000002E-2</v>
      </c>
      <c r="N181" s="512">
        <f>+'F1 SEZ'!N180+'F1 Non-SEZ'!N180</f>
        <v>3.9499619999999999E-2</v>
      </c>
      <c r="O181" s="544">
        <f t="shared" si="30"/>
        <v>0.34130574200000002</v>
      </c>
    </row>
    <row r="182" spans="2:15" x14ac:dyDescent="0.4">
      <c r="B182" s="519" t="s">
        <v>1135</v>
      </c>
      <c r="C182" s="512">
        <f>+'F1 SEZ'!C181+'F1 Non-SEZ'!C181</f>
        <v>1.1338000000000001E-2</v>
      </c>
      <c r="D182" s="512">
        <f>+'F1 SEZ'!D181+'F1 Non-SEZ'!D181</f>
        <v>1.315E-2</v>
      </c>
      <c r="E182" s="512">
        <f>+'F1 SEZ'!E181+'F1 Non-SEZ'!E181</f>
        <v>9.6600000000000002E-3</v>
      </c>
      <c r="F182" s="512">
        <f>+'F1 SEZ'!F181+'F1 Non-SEZ'!F181</f>
        <v>1.1554E-2</v>
      </c>
      <c r="G182" s="512">
        <f>+'F1 SEZ'!G181+'F1 Non-SEZ'!G181</f>
        <v>1.3204E-2</v>
      </c>
      <c r="H182" s="512">
        <f>+'F1 SEZ'!H181+'F1 Non-SEZ'!H181</f>
        <v>1.299E-2</v>
      </c>
      <c r="I182" s="512">
        <f>+'F1 SEZ'!I181+'F1 Non-SEZ'!I181</f>
        <v>1.2775E-2</v>
      </c>
      <c r="J182" s="512">
        <f>+'F1 SEZ'!J181+'F1 Non-SEZ'!J181</f>
        <v>1.1297E-2</v>
      </c>
      <c r="K182" s="512">
        <f>+'F1 SEZ'!K181+'F1 Non-SEZ'!K181</f>
        <v>9.5919999999999998E-3</v>
      </c>
      <c r="L182" s="512">
        <f>+'F1 SEZ'!L181+'F1 Non-SEZ'!L181</f>
        <v>9.8899999999999995E-3</v>
      </c>
      <c r="M182" s="512">
        <f>+'F1 SEZ'!M181+'F1 Non-SEZ'!M181</f>
        <v>9.7359999999999999E-3</v>
      </c>
      <c r="N182" s="512">
        <f>+'F1 SEZ'!N181+'F1 Non-SEZ'!N181</f>
        <v>1.146E-2</v>
      </c>
      <c r="O182" s="544">
        <f t="shared" si="30"/>
        <v>0.13664599999999999</v>
      </c>
    </row>
    <row r="183" spans="2:15" x14ac:dyDescent="0.4">
      <c r="B183" s="519" t="s">
        <v>1136</v>
      </c>
      <c r="C183" s="512">
        <f>+'F1 SEZ'!C182+'F1 Non-SEZ'!C182</f>
        <v>0</v>
      </c>
      <c r="D183" s="512">
        <f>+'F1 SEZ'!D182+'F1 Non-SEZ'!D182</f>
        <v>0</v>
      </c>
      <c r="E183" s="512">
        <f>+'F1 SEZ'!E182+'F1 Non-SEZ'!E182</f>
        <v>0</v>
      </c>
      <c r="F183" s="512">
        <f>+'F1 SEZ'!F182+'F1 Non-SEZ'!F182</f>
        <v>0</v>
      </c>
      <c r="G183" s="512">
        <f>+'F1 SEZ'!G182+'F1 Non-SEZ'!G182</f>
        <v>0</v>
      </c>
      <c r="H183" s="512">
        <f>+'F1 SEZ'!H182+'F1 Non-SEZ'!H182</f>
        <v>0</v>
      </c>
      <c r="I183" s="512">
        <f>+'F1 SEZ'!I182+'F1 Non-SEZ'!I182</f>
        <v>0</v>
      </c>
      <c r="J183" s="512">
        <f>+'F1 SEZ'!J182+'F1 Non-SEZ'!J182</f>
        <v>0</v>
      </c>
      <c r="K183" s="512">
        <f>+'F1 SEZ'!K182+'F1 Non-SEZ'!K182</f>
        <v>0</v>
      </c>
      <c r="L183" s="512">
        <f>+'F1 SEZ'!L182+'F1 Non-SEZ'!L182</f>
        <v>0</v>
      </c>
      <c r="M183" s="512">
        <f>+'F1 SEZ'!M182+'F1 Non-SEZ'!M182</f>
        <v>0</v>
      </c>
      <c r="N183" s="512">
        <f>+'F1 SEZ'!N182+'F1 Non-SEZ'!N182</f>
        <v>0</v>
      </c>
      <c r="O183" s="544">
        <f t="shared" si="30"/>
        <v>0</v>
      </c>
    </row>
    <row r="184" spans="2:15" x14ac:dyDescent="0.4">
      <c r="B184" s="566" t="s">
        <v>1142</v>
      </c>
      <c r="C184" s="512">
        <f>+'F1 SEZ'!C183+'F1 Non-SEZ'!C183</f>
        <v>5.9009999999999999E-5</v>
      </c>
      <c r="D184" s="512">
        <f>+'F1 SEZ'!D183+'F1 Non-SEZ'!D183</f>
        <v>6.2219999999999997E-5</v>
      </c>
      <c r="E184" s="512">
        <f>+'F1 SEZ'!E183+'F1 Non-SEZ'!E183</f>
        <v>1.3828000000000001E-4</v>
      </c>
      <c r="F184" s="512">
        <f>+'F1 SEZ'!F183+'F1 Non-SEZ'!F183</f>
        <v>5.6350000000000001E-5</v>
      </c>
      <c r="G184" s="512">
        <f>+'F1 SEZ'!G183+'F1 Non-SEZ'!G183</f>
        <v>1.1401E-4</v>
      </c>
      <c r="H184" s="512">
        <f>+'F1 SEZ'!H183+'F1 Non-SEZ'!H183</f>
        <v>1.1423499999999999E-4</v>
      </c>
      <c r="I184" s="512">
        <f>+'F1 SEZ'!I183+'F1 Non-SEZ'!I183</f>
        <v>1.8466999999999998E-4</v>
      </c>
      <c r="J184" s="512">
        <f>+'F1 SEZ'!J183+'F1 Non-SEZ'!J183</f>
        <v>2.1871E-4</v>
      </c>
      <c r="K184" s="512">
        <f>+'F1 SEZ'!K183+'F1 Non-SEZ'!K183</f>
        <v>1.9201E-4</v>
      </c>
      <c r="L184" s="512">
        <f>+'F1 SEZ'!L183+'F1 Non-SEZ'!L183</f>
        <v>1.3824E-4</v>
      </c>
      <c r="M184" s="512">
        <f>+'F1 SEZ'!M183+'F1 Non-SEZ'!M183</f>
        <v>2.0049999999999999E-4</v>
      </c>
      <c r="N184" s="512">
        <f>+'F1 SEZ'!N183+'F1 Non-SEZ'!N183</f>
        <v>3.0066000000000001E-4</v>
      </c>
      <c r="O184" s="544">
        <f t="shared" si="30"/>
        <v>1.778895E-3</v>
      </c>
    </row>
    <row r="185" spans="2:15" x14ac:dyDescent="0.4">
      <c r="B185" s="175" t="s">
        <v>162</v>
      </c>
      <c r="C185" s="567">
        <f>SUM(C172:C184)</f>
        <v>0.33160600000000007</v>
      </c>
      <c r="D185" s="567">
        <f t="shared" ref="D185:O185" si="31">SUM(D172:D184)</f>
        <v>0.35508004499999996</v>
      </c>
      <c r="E185" s="567">
        <f t="shared" si="31"/>
        <v>0.34500330000000001</v>
      </c>
      <c r="F185" s="567">
        <f t="shared" si="31"/>
        <v>0.30162219000000001</v>
      </c>
      <c r="G185" s="567">
        <f t="shared" si="31"/>
        <v>0.32229818999999998</v>
      </c>
      <c r="H185" s="567">
        <f t="shared" si="31"/>
        <v>0.31853765029999997</v>
      </c>
      <c r="I185" s="567">
        <f t="shared" si="31"/>
        <v>0.31490135999999996</v>
      </c>
      <c r="J185" s="567">
        <f t="shared" si="31"/>
        <v>0.30746578999999996</v>
      </c>
      <c r="K185" s="567">
        <f t="shared" si="31"/>
        <v>0.31805955999999996</v>
      </c>
      <c r="L185" s="567">
        <f t="shared" si="31"/>
        <v>0.31669136000000003</v>
      </c>
      <c r="M185" s="567">
        <f t="shared" si="31"/>
        <v>0.29533295000000004</v>
      </c>
      <c r="N185" s="567">
        <f t="shared" si="31"/>
        <v>0.35490155400000001</v>
      </c>
      <c r="O185" s="567">
        <f t="shared" si="31"/>
        <v>3.8814999492999998</v>
      </c>
    </row>
    <row r="186" spans="2:15" x14ac:dyDescent="0.4">
      <c r="B186" s="175"/>
      <c r="C186" s="26"/>
      <c r="D186" s="26"/>
      <c r="E186" s="26"/>
      <c r="F186" s="26"/>
      <c r="G186" s="26"/>
      <c r="H186" s="26"/>
      <c r="I186" s="26"/>
      <c r="J186" s="26"/>
      <c r="K186" s="26"/>
      <c r="L186" s="26"/>
      <c r="M186" s="26"/>
      <c r="N186" s="26"/>
      <c r="O186" s="26"/>
    </row>
    <row r="187" spans="2:15" x14ac:dyDescent="0.4">
      <c r="B187" s="119" t="s">
        <v>164</v>
      </c>
      <c r="C187" s="568">
        <f>+C185+C169</f>
        <v>2.0385178799999997</v>
      </c>
      <c r="D187" s="568">
        <f t="shared" ref="D187:O187" si="32">+D185+D169</f>
        <v>2.1391094050000001</v>
      </c>
      <c r="E187" s="568">
        <f t="shared" si="32"/>
        <v>2.0432086699999998</v>
      </c>
      <c r="F187" s="568">
        <f t="shared" si="32"/>
        <v>1.9706766500000001</v>
      </c>
      <c r="G187" s="568">
        <f t="shared" si="32"/>
        <v>2.09925235</v>
      </c>
      <c r="H187" s="568">
        <f t="shared" si="32"/>
        <v>2.0616135902999999</v>
      </c>
      <c r="I187" s="568">
        <f t="shared" si="32"/>
        <v>2.1509091799999998</v>
      </c>
      <c r="J187" s="568">
        <f t="shared" si="32"/>
        <v>2.1172173299999999</v>
      </c>
      <c r="K187" s="568">
        <f t="shared" si="32"/>
        <v>2.2046054099999997</v>
      </c>
      <c r="L187" s="568">
        <f t="shared" si="32"/>
        <v>2.1866552599999998</v>
      </c>
      <c r="M187" s="568">
        <f t="shared" si="32"/>
        <v>2.09836416</v>
      </c>
      <c r="N187" s="568">
        <f t="shared" si="32"/>
        <v>2.529072744</v>
      </c>
      <c r="O187" s="568">
        <f t="shared" si="32"/>
        <v>25.639202629300001</v>
      </c>
    </row>
    <row r="188" spans="2:15" x14ac:dyDescent="0.4">
      <c r="B188" s="118" t="s">
        <v>165</v>
      </c>
    </row>
    <row r="189" spans="2:15" x14ac:dyDescent="0.4">
      <c r="B189" s="27" t="s">
        <v>166</v>
      </c>
    </row>
    <row r="190" spans="2:15" x14ac:dyDescent="0.4">
      <c r="B190" s="1" t="s">
        <v>184</v>
      </c>
      <c r="C190" s="30"/>
      <c r="D190" s="30"/>
      <c r="E190" s="30"/>
      <c r="F190" s="30"/>
    </row>
    <row r="191" spans="2:15" x14ac:dyDescent="0.4">
      <c r="B191" s="27" t="s">
        <v>168</v>
      </c>
      <c r="C191" s="30"/>
      <c r="D191" s="30"/>
      <c r="E191" s="30"/>
      <c r="F191" s="30"/>
    </row>
    <row r="192" spans="2:15" x14ac:dyDescent="0.4">
      <c r="B192" s="27"/>
      <c r="C192" s="30"/>
      <c r="D192" s="30"/>
      <c r="E192" s="30"/>
      <c r="F192" s="30"/>
    </row>
    <row r="193" spans="2:15" x14ac:dyDescent="0.4">
      <c r="B193" s="32" t="s">
        <v>185</v>
      </c>
      <c r="C193" s="8"/>
      <c r="D193" s="8"/>
      <c r="E193" s="8"/>
      <c r="F193" s="8"/>
      <c r="G193" s="8"/>
      <c r="H193" s="8"/>
      <c r="I193" s="8"/>
      <c r="J193" s="8"/>
      <c r="K193" s="8"/>
      <c r="L193" s="8"/>
      <c r="M193" s="8"/>
      <c r="N193" s="8"/>
      <c r="O193" s="4"/>
    </row>
    <row r="194" spans="2:15" x14ac:dyDescent="0.4">
      <c r="B194" s="32"/>
      <c r="C194" s="38"/>
      <c r="D194" s="38"/>
      <c r="O194" s="38" t="s">
        <v>171</v>
      </c>
    </row>
    <row r="195" spans="2:15" x14ac:dyDescent="0.4">
      <c r="B195" s="98" t="s">
        <v>160</v>
      </c>
      <c r="C195" s="98" t="s">
        <v>172</v>
      </c>
      <c r="D195" s="98" t="s">
        <v>173</v>
      </c>
      <c r="E195" s="98" t="s">
        <v>174</v>
      </c>
      <c r="F195" s="98" t="s">
        <v>175</v>
      </c>
      <c r="G195" s="98" t="s">
        <v>176</v>
      </c>
      <c r="H195" s="98" t="s">
        <v>177</v>
      </c>
      <c r="I195" s="98" t="s">
        <v>178</v>
      </c>
      <c r="J195" s="98" t="s">
        <v>179</v>
      </c>
      <c r="K195" s="98" t="s">
        <v>180</v>
      </c>
      <c r="L195" s="98" t="s">
        <v>181</v>
      </c>
      <c r="M195" s="98" t="s">
        <v>182</v>
      </c>
      <c r="N195" s="98" t="s">
        <v>183</v>
      </c>
      <c r="O195" s="98" t="s">
        <v>164</v>
      </c>
    </row>
    <row r="196" spans="2:15" x14ac:dyDescent="0.4">
      <c r="B196" s="517" t="s">
        <v>161</v>
      </c>
      <c r="C196" s="78"/>
      <c r="D196" s="78"/>
      <c r="E196" s="78"/>
      <c r="F196" s="3"/>
      <c r="G196" s="3"/>
      <c r="H196" s="2"/>
      <c r="I196" s="43"/>
      <c r="J196" s="44"/>
      <c r="K196" s="124"/>
      <c r="L196" s="124"/>
      <c r="M196" s="2"/>
      <c r="N196" s="2"/>
      <c r="O196" s="2"/>
    </row>
    <row r="197" spans="2:15" x14ac:dyDescent="0.4">
      <c r="B197" s="429" t="s">
        <v>1129</v>
      </c>
      <c r="C197" s="512">
        <f>+'F1 SEZ'!C196+'F1 Non-SEZ'!C196</f>
        <v>2.2034400000000001</v>
      </c>
      <c r="D197" s="512">
        <f>+'F1 SEZ'!D196+'F1 Non-SEZ'!D196</f>
        <v>2.4106800000000002</v>
      </c>
      <c r="E197" s="512">
        <f>+'F1 SEZ'!E196+'F1 Non-SEZ'!E196</f>
        <v>2.3118599999999998</v>
      </c>
      <c r="F197" s="512">
        <f>+'F1 SEZ'!F196+'F1 Non-SEZ'!F196</f>
        <v>2.3652000000000002</v>
      </c>
      <c r="G197" s="512">
        <f>+'F1 SEZ'!G196+'F1 Non-SEZ'!G196</f>
        <v>2.8481399999999999</v>
      </c>
      <c r="H197" s="512">
        <f>+'F1 SEZ'!H196+'F1 Non-SEZ'!H196</f>
        <v>2.8423799999999999</v>
      </c>
      <c r="I197" s="512">
        <f>+'F1 SEZ'!I196+'F1 Non-SEZ'!I196</f>
        <v>3.1110000000000002</v>
      </c>
      <c r="J197" s="512">
        <f>+'F1 SEZ'!J196+'F1 Non-SEZ'!J196</f>
        <v>3.0201600000000002</v>
      </c>
      <c r="K197" s="512">
        <f>+'F1 SEZ'!K196+'F1 Non-SEZ'!K196</f>
        <v>3.1319400000000002</v>
      </c>
      <c r="L197" s="512">
        <f>+'F1 SEZ'!L196+'F1 Non-SEZ'!L196</f>
        <v>3.2474400000000001</v>
      </c>
      <c r="M197" s="512">
        <f>+'F1 SEZ'!M196+'F1 Non-SEZ'!M196</f>
        <v>3.0624600000000002</v>
      </c>
      <c r="N197" s="512">
        <f>+'F1 SEZ'!N196+'F1 Non-SEZ'!N196</f>
        <v>3.3030600155999998</v>
      </c>
      <c r="O197" s="544">
        <f>SUM(C197:N197)</f>
        <v>33.8577600156</v>
      </c>
    </row>
    <row r="198" spans="2:15" x14ac:dyDescent="0.4">
      <c r="B198" s="429" t="s">
        <v>1130</v>
      </c>
      <c r="C198" s="512">
        <f>+'F1 SEZ'!C197+'F1 Non-SEZ'!C197</f>
        <v>2.2176619999999998E-2</v>
      </c>
      <c r="D198" s="512">
        <f>+'F1 SEZ'!D197+'F1 Non-SEZ'!D197</f>
        <v>2.3154810000000001E-2</v>
      </c>
      <c r="E198" s="512">
        <f>+'F1 SEZ'!E197+'F1 Non-SEZ'!E197</f>
        <v>2.5375450000000001E-2</v>
      </c>
      <c r="F198" s="512">
        <f>+'F1 SEZ'!F197+'F1 Non-SEZ'!F197</f>
        <v>4.5368510000000001E-2</v>
      </c>
      <c r="G198" s="512">
        <f>+'F1 SEZ'!G197+'F1 Non-SEZ'!G197</f>
        <v>3.1869549999999996E-2</v>
      </c>
      <c r="H198" s="512">
        <f>+'F1 SEZ'!H197+'F1 Non-SEZ'!H197</f>
        <v>4.8727660000000006E-2</v>
      </c>
      <c r="I198" s="512">
        <f>+'F1 SEZ'!I197+'F1 Non-SEZ'!I197</f>
        <v>2.9795160000000001E-2</v>
      </c>
      <c r="J198" s="512">
        <f>+'F1 SEZ'!J197+'F1 Non-SEZ'!J197</f>
        <v>2.180147E-2</v>
      </c>
      <c r="K198" s="512">
        <f>+'F1 SEZ'!K197+'F1 Non-SEZ'!K197</f>
        <v>2.7562759999999999E-2</v>
      </c>
      <c r="L198" s="512">
        <f>+'F1 SEZ'!L197+'F1 Non-SEZ'!L197</f>
        <v>2.2048479999999999E-2</v>
      </c>
      <c r="M198" s="512">
        <f>+'F1 SEZ'!M197+'F1 Non-SEZ'!M197</f>
        <v>2.2363729999999998E-2</v>
      </c>
      <c r="N198" s="512">
        <f>+'F1 SEZ'!N197+'F1 Non-SEZ'!N197</f>
        <v>2.7293390000000001E-2</v>
      </c>
      <c r="O198" s="544">
        <f>SUM(C198:N198)</f>
        <v>0.34753758999999995</v>
      </c>
    </row>
    <row r="199" spans="2:15" x14ac:dyDescent="0.4">
      <c r="B199" s="429" t="s">
        <v>1131</v>
      </c>
      <c r="C199" s="512">
        <f>+'F1 SEZ'!C198+'F1 Non-SEZ'!C198</f>
        <v>0</v>
      </c>
      <c r="D199" s="512">
        <f>+'F1 SEZ'!D198+'F1 Non-SEZ'!D198</f>
        <v>0</v>
      </c>
      <c r="E199" s="512">
        <f>+'F1 SEZ'!E198+'F1 Non-SEZ'!E198</f>
        <v>0</v>
      </c>
      <c r="F199" s="512">
        <f>+'F1 SEZ'!F198+'F1 Non-SEZ'!F198</f>
        <v>0</v>
      </c>
      <c r="G199" s="512">
        <f>+'F1 SEZ'!G198+'F1 Non-SEZ'!G198</f>
        <v>0</v>
      </c>
      <c r="H199" s="512">
        <f>+'F1 SEZ'!H198+'F1 Non-SEZ'!H198</f>
        <v>0</v>
      </c>
      <c r="I199" s="512">
        <f>+'F1 SEZ'!I198+'F1 Non-SEZ'!I198</f>
        <v>0</v>
      </c>
      <c r="J199" s="512">
        <f>+'F1 SEZ'!J198+'F1 Non-SEZ'!J198</f>
        <v>0</v>
      </c>
      <c r="K199" s="512">
        <f>+'F1 SEZ'!K198+'F1 Non-SEZ'!K198</f>
        <v>0</v>
      </c>
      <c r="L199" s="512">
        <f>+'F1 SEZ'!L198+'F1 Non-SEZ'!L198</f>
        <v>0</v>
      </c>
      <c r="M199" s="512">
        <f>+'F1 SEZ'!M198+'F1 Non-SEZ'!M198</f>
        <v>0</v>
      </c>
      <c r="N199" s="512">
        <f>+'F1 SEZ'!N198+'F1 Non-SEZ'!N198</f>
        <v>0</v>
      </c>
      <c r="O199" s="544">
        <f>SUM(C199:N199)</f>
        <v>0</v>
      </c>
    </row>
    <row r="200" spans="2:15" x14ac:dyDescent="0.4">
      <c r="B200" s="429" t="s">
        <v>1132</v>
      </c>
      <c r="C200" s="512">
        <f>+'F1 SEZ'!C199+'F1 Non-SEZ'!C199</f>
        <v>0</v>
      </c>
      <c r="D200" s="512">
        <f>+'F1 SEZ'!D199+'F1 Non-SEZ'!D199</f>
        <v>0</v>
      </c>
      <c r="E200" s="512">
        <f>+'F1 SEZ'!E199+'F1 Non-SEZ'!E199</f>
        <v>0</v>
      </c>
      <c r="F200" s="512">
        <f>+'F1 SEZ'!F199+'F1 Non-SEZ'!F199</f>
        <v>0</v>
      </c>
      <c r="G200" s="512">
        <f>+'F1 SEZ'!G199+'F1 Non-SEZ'!G199</f>
        <v>0</v>
      </c>
      <c r="H200" s="512">
        <f>+'F1 SEZ'!H199+'F1 Non-SEZ'!H199</f>
        <v>0</v>
      </c>
      <c r="I200" s="512">
        <f>+'F1 SEZ'!I199+'F1 Non-SEZ'!I199</f>
        <v>0</v>
      </c>
      <c r="J200" s="512">
        <f>+'F1 SEZ'!J199+'F1 Non-SEZ'!J199</f>
        <v>0</v>
      </c>
      <c r="K200" s="512">
        <f>+'F1 SEZ'!K199+'F1 Non-SEZ'!K199</f>
        <v>0</v>
      </c>
      <c r="L200" s="512">
        <f>+'F1 SEZ'!L199+'F1 Non-SEZ'!L199</f>
        <v>0</v>
      </c>
      <c r="M200" s="512">
        <f>+'F1 SEZ'!M199+'F1 Non-SEZ'!M199</f>
        <v>0</v>
      </c>
      <c r="N200" s="512">
        <f>+'F1 SEZ'!N199+'F1 Non-SEZ'!N199</f>
        <v>0</v>
      </c>
      <c r="O200" s="544">
        <f>SUM(C200:N200)</f>
        <v>0</v>
      </c>
    </row>
    <row r="201" spans="2:15" x14ac:dyDescent="0.4">
      <c r="B201" s="518" t="s">
        <v>162</v>
      </c>
      <c r="C201" s="545">
        <f>SUM(C197:C200)</f>
        <v>2.2256166200000003</v>
      </c>
      <c r="D201" s="545">
        <f t="shared" ref="D201:O201" si="33">SUM(D197:D200)</f>
        <v>2.43383481</v>
      </c>
      <c r="E201" s="545">
        <f t="shared" si="33"/>
        <v>2.3372354499999997</v>
      </c>
      <c r="F201" s="545">
        <f t="shared" si="33"/>
        <v>2.4105685100000001</v>
      </c>
      <c r="G201" s="545">
        <f t="shared" si="33"/>
        <v>2.88000955</v>
      </c>
      <c r="H201" s="545">
        <f t="shared" si="33"/>
        <v>2.8911076599999999</v>
      </c>
      <c r="I201" s="545">
        <f t="shared" si="33"/>
        <v>3.1407951600000001</v>
      </c>
      <c r="J201" s="545">
        <f t="shared" si="33"/>
        <v>3.0419614700000004</v>
      </c>
      <c r="K201" s="545">
        <f t="shared" si="33"/>
        <v>3.1595027600000001</v>
      </c>
      <c r="L201" s="545">
        <f t="shared" si="33"/>
        <v>3.2694884800000001</v>
      </c>
      <c r="M201" s="545">
        <f t="shared" si="33"/>
        <v>3.0848237300000001</v>
      </c>
      <c r="N201" s="545">
        <f t="shared" si="33"/>
        <v>3.3303534055999999</v>
      </c>
      <c r="O201" s="545">
        <f t="shared" si="33"/>
        <v>34.205297605600002</v>
      </c>
    </row>
    <row r="202" spans="2:15" x14ac:dyDescent="0.4">
      <c r="B202" s="517" t="s">
        <v>163</v>
      </c>
      <c r="C202" s="545"/>
      <c r="D202" s="545"/>
      <c r="E202" s="545"/>
      <c r="F202" s="545"/>
      <c r="G202" s="545"/>
      <c r="H202" s="545"/>
      <c r="I202" s="545"/>
      <c r="J202" s="545"/>
      <c r="K202" s="545"/>
      <c r="L202" s="545"/>
      <c r="M202" s="545"/>
      <c r="N202" s="545"/>
      <c r="O202" s="545"/>
    </row>
    <row r="203" spans="2:15" x14ac:dyDescent="0.4">
      <c r="B203" s="519" t="s">
        <v>1133</v>
      </c>
      <c r="C203" s="546"/>
      <c r="D203" s="546"/>
      <c r="E203" s="547"/>
      <c r="F203" s="546"/>
      <c r="G203" s="547"/>
      <c r="H203" s="547"/>
      <c r="I203" s="543"/>
      <c r="J203" s="545"/>
      <c r="K203" s="547"/>
      <c r="L203" s="545"/>
      <c r="M203" s="545"/>
      <c r="N203" s="548"/>
      <c r="O203" s="544">
        <f t="shared" ref="O203:O216" si="34">SUM(C203:N203)</f>
        <v>0</v>
      </c>
    </row>
    <row r="204" spans="2:15" x14ac:dyDescent="0.4">
      <c r="B204" s="520" t="s">
        <v>1106</v>
      </c>
      <c r="C204" s="512">
        <f>+'F1 SEZ'!C203+'F1 Non-SEZ'!C203</f>
        <v>6.6030000000000005E-2</v>
      </c>
      <c r="D204" s="512">
        <f>+'F1 SEZ'!D203+'F1 Non-SEZ'!D203</f>
        <v>6.8662000000000001E-2</v>
      </c>
      <c r="E204" s="512">
        <f>+'F1 SEZ'!E203+'F1 Non-SEZ'!E203</f>
        <v>7.2454000000000005E-2</v>
      </c>
      <c r="F204" s="512">
        <f>+'F1 SEZ'!F203+'F1 Non-SEZ'!F203</f>
        <v>6.8848999999999994E-2</v>
      </c>
      <c r="G204" s="512">
        <f>+'F1 SEZ'!G203+'F1 Non-SEZ'!G203</f>
        <v>7.5384000000000007E-2</v>
      </c>
      <c r="H204" s="512">
        <f>+'F1 SEZ'!H203+'F1 Non-SEZ'!H203</f>
        <v>7.6342999999999994E-2</v>
      </c>
      <c r="I204" s="512">
        <f>+'F1 SEZ'!I203+'F1 Non-SEZ'!I203</f>
        <v>8.0395999999999995E-2</v>
      </c>
      <c r="J204" s="512">
        <f>+'F1 SEZ'!J203+'F1 Non-SEZ'!J203</f>
        <v>8.1365999999999994E-2</v>
      </c>
      <c r="K204" s="512">
        <f>+'F1 SEZ'!K203+'F1 Non-SEZ'!K203</f>
        <v>8.1823999999999994E-2</v>
      </c>
      <c r="L204" s="512">
        <f>+'F1 SEZ'!L203+'F1 Non-SEZ'!L203</f>
        <v>8.6599999999999996E-2</v>
      </c>
      <c r="M204" s="512">
        <f>+'F1 SEZ'!M203+'F1 Non-SEZ'!M203</f>
        <v>8.3668999999999993E-2</v>
      </c>
      <c r="N204" s="512">
        <f>+'F1 SEZ'!N203+'F1 Non-SEZ'!N203</f>
        <v>8.9752999999999999E-2</v>
      </c>
      <c r="O204" s="544">
        <f t="shared" si="34"/>
        <v>0.93132999999999988</v>
      </c>
    </row>
    <row r="205" spans="2:15" x14ac:dyDescent="0.4">
      <c r="B205" s="520" t="s">
        <v>1107</v>
      </c>
      <c r="C205" s="512">
        <f>+'F1 SEZ'!C204+'F1 Non-SEZ'!C204</f>
        <v>7.6935000000000003E-2</v>
      </c>
      <c r="D205" s="512">
        <f>+'F1 SEZ'!D204+'F1 Non-SEZ'!D204</f>
        <v>8.1995999999999999E-2</v>
      </c>
      <c r="E205" s="512">
        <f>+'F1 SEZ'!E204+'F1 Non-SEZ'!E204</f>
        <v>8.9079000000000005E-2</v>
      </c>
      <c r="F205" s="512">
        <f>+'F1 SEZ'!F204+'F1 Non-SEZ'!F204</f>
        <v>6.2744999999999995E-2</v>
      </c>
      <c r="G205" s="512">
        <f>+'F1 SEZ'!G204+'F1 Non-SEZ'!G204</f>
        <v>6.8973999999999994E-2</v>
      </c>
      <c r="H205" s="512">
        <f>+'F1 SEZ'!H204+'F1 Non-SEZ'!H204</f>
        <v>6.9240999999999997E-2</v>
      </c>
      <c r="I205" s="512">
        <f>+'F1 SEZ'!I204+'F1 Non-SEZ'!I204</f>
        <v>8.6538000000000004E-2</v>
      </c>
      <c r="J205" s="512">
        <f>+'F1 SEZ'!J204+'F1 Non-SEZ'!J204</f>
        <v>7.8981999999999997E-2</v>
      </c>
      <c r="K205" s="512">
        <f>+'F1 SEZ'!K204+'F1 Non-SEZ'!K204</f>
        <v>6.6804000000000002E-2</v>
      </c>
      <c r="L205" s="512">
        <f>+'F1 SEZ'!L204+'F1 Non-SEZ'!L204</f>
        <v>7.2833999999999996E-2</v>
      </c>
      <c r="M205" s="512">
        <f>+'F1 SEZ'!M204+'F1 Non-SEZ'!M204</f>
        <v>6.4253000000000005E-2</v>
      </c>
      <c r="N205" s="512">
        <f>+'F1 SEZ'!N204+'F1 Non-SEZ'!N204</f>
        <v>8.3507999999999999E-2</v>
      </c>
      <c r="O205" s="544">
        <f t="shared" si="34"/>
        <v>0.90188899999999994</v>
      </c>
    </row>
    <row r="206" spans="2:15" x14ac:dyDescent="0.4">
      <c r="B206" s="520" t="s">
        <v>1108</v>
      </c>
      <c r="C206" s="512">
        <f>+'F1 SEZ'!C205+'F1 Non-SEZ'!C205</f>
        <v>3.6034999999999998E-2</v>
      </c>
      <c r="D206" s="512">
        <f>+'F1 SEZ'!D205+'F1 Non-SEZ'!D205</f>
        <v>4.4424999999999999E-2</v>
      </c>
      <c r="E206" s="512">
        <f>+'F1 SEZ'!E205+'F1 Non-SEZ'!E205</f>
        <v>4.8300999999999997E-2</v>
      </c>
      <c r="F206" s="512">
        <f>+'F1 SEZ'!F205+'F1 Non-SEZ'!F205</f>
        <v>1.6195999999999999E-2</v>
      </c>
      <c r="G206" s="512">
        <f>+'F1 SEZ'!G205+'F1 Non-SEZ'!G205</f>
        <v>1.9425999999999999E-2</v>
      </c>
      <c r="H206" s="512">
        <f>+'F1 SEZ'!H205+'F1 Non-SEZ'!H205</f>
        <v>2.0840999999999998E-2</v>
      </c>
      <c r="I206" s="512">
        <f>+'F1 SEZ'!I205+'F1 Non-SEZ'!I205</f>
        <v>3.3893E-2</v>
      </c>
      <c r="J206" s="512">
        <f>+'F1 SEZ'!J205+'F1 Non-SEZ'!J205</f>
        <v>2.5283E-2</v>
      </c>
      <c r="K206" s="512">
        <f>+'F1 SEZ'!K205+'F1 Non-SEZ'!K205</f>
        <v>1.6441999999999998E-2</v>
      </c>
      <c r="L206" s="512">
        <f>+'F1 SEZ'!L205+'F1 Non-SEZ'!L205</f>
        <v>1.7101000000000002E-2</v>
      </c>
      <c r="M206" s="512">
        <f>+'F1 SEZ'!M205+'F1 Non-SEZ'!M205</f>
        <v>1.3690000000000001E-2</v>
      </c>
      <c r="N206" s="512">
        <f>+'F1 SEZ'!N205+'F1 Non-SEZ'!N205</f>
        <v>2.426E-2</v>
      </c>
      <c r="O206" s="544">
        <f t="shared" si="34"/>
        <v>0.31589299999999998</v>
      </c>
    </row>
    <row r="207" spans="2:15" x14ac:dyDescent="0.4">
      <c r="B207" s="520" t="s">
        <v>1109</v>
      </c>
      <c r="C207" s="512">
        <f>+'F1 SEZ'!C206+'F1 Non-SEZ'!C206</f>
        <v>0.15693599999999999</v>
      </c>
      <c r="D207" s="512">
        <f>+'F1 SEZ'!D206+'F1 Non-SEZ'!D206</f>
        <v>0.17735100000000001</v>
      </c>
      <c r="E207" s="512">
        <f>+'F1 SEZ'!E206+'F1 Non-SEZ'!E206</f>
        <v>0.18526999999999999</v>
      </c>
      <c r="F207" s="512">
        <f>+'F1 SEZ'!F206+'F1 Non-SEZ'!F206</f>
        <v>0.14182400000000001</v>
      </c>
      <c r="G207" s="512">
        <f>+'F1 SEZ'!G206+'F1 Non-SEZ'!G206</f>
        <v>0.154915</v>
      </c>
      <c r="H207" s="512">
        <f>+'F1 SEZ'!H206+'F1 Non-SEZ'!H206</f>
        <v>0.14571400000000001</v>
      </c>
      <c r="I207" s="512">
        <f>+'F1 SEZ'!I206+'F1 Non-SEZ'!I206</f>
        <v>0.15559700000000001</v>
      </c>
      <c r="J207" s="512">
        <f>+'F1 SEZ'!J206+'F1 Non-SEZ'!J206</f>
        <v>0.14522299999999999</v>
      </c>
      <c r="K207" s="512">
        <f>+'F1 SEZ'!K206+'F1 Non-SEZ'!K206</f>
        <v>0.144592</v>
      </c>
      <c r="L207" s="512">
        <f>+'F1 SEZ'!L206+'F1 Non-SEZ'!L206</f>
        <v>0.165654</v>
      </c>
      <c r="M207" s="512">
        <f>+'F1 SEZ'!M206+'F1 Non-SEZ'!M206</f>
        <v>0.137379</v>
      </c>
      <c r="N207" s="512">
        <f>+'F1 SEZ'!N206+'F1 Non-SEZ'!N206</f>
        <v>0.14626800000000001</v>
      </c>
      <c r="O207" s="544">
        <f t="shared" si="34"/>
        <v>1.8567230000000001</v>
      </c>
    </row>
    <row r="208" spans="2:15" x14ac:dyDescent="0.4">
      <c r="B208" s="520" t="s">
        <v>1110</v>
      </c>
      <c r="C208" s="512">
        <f>+'F1 SEZ'!C207+'F1 Non-SEZ'!C207</f>
        <v>0</v>
      </c>
      <c r="D208" s="512">
        <f>+'F1 SEZ'!D207+'F1 Non-SEZ'!D207</f>
        <v>0</v>
      </c>
      <c r="E208" s="512">
        <f>+'F1 SEZ'!E207+'F1 Non-SEZ'!E207</f>
        <v>0</v>
      </c>
      <c r="F208" s="512">
        <f>+'F1 SEZ'!F207+'F1 Non-SEZ'!F207</f>
        <v>0</v>
      </c>
      <c r="G208" s="512">
        <f>+'F1 SEZ'!G207+'F1 Non-SEZ'!G207</f>
        <v>0</v>
      </c>
      <c r="H208" s="512">
        <f>+'F1 SEZ'!H207+'F1 Non-SEZ'!H207</f>
        <v>0</v>
      </c>
      <c r="I208" s="512">
        <f>+'F1 SEZ'!I207+'F1 Non-SEZ'!I207</f>
        <v>0</v>
      </c>
      <c r="J208" s="512">
        <f>+'F1 SEZ'!J207+'F1 Non-SEZ'!J207</f>
        <v>0</v>
      </c>
      <c r="K208" s="512">
        <f>+'F1 SEZ'!K207+'F1 Non-SEZ'!K207</f>
        <v>0</v>
      </c>
      <c r="L208" s="512">
        <f>+'F1 SEZ'!L207+'F1 Non-SEZ'!L207</f>
        <v>0</v>
      </c>
      <c r="M208" s="512">
        <f>+'F1 SEZ'!M207+'F1 Non-SEZ'!M207</f>
        <v>0</v>
      </c>
      <c r="N208" s="512">
        <f>+'F1 SEZ'!N207+'F1 Non-SEZ'!N207</f>
        <v>0</v>
      </c>
      <c r="O208" s="544">
        <f t="shared" si="34"/>
        <v>0</v>
      </c>
    </row>
    <row r="209" spans="2:15" x14ac:dyDescent="0.4">
      <c r="B209" s="519" t="s">
        <v>1145</v>
      </c>
      <c r="C209" s="512">
        <f>+'F1 SEZ'!C208+'F1 Non-SEZ'!C208</f>
        <v>0</v>
      </c>
      <c r="D209" s="512">
        <f>+'F1 SEZ'!D208+'F1 Non-SEZ'!D208</f>
        <v>0</v>
      </c>
      <c r="E209" s="512">
        <f>+'F1 SEZ'!E208+'F1 Non-SEZ'!E208</f>
        <v>0</v>
      </c>
      <c r="F209" s="512">
        <f>+'F1 SEZ'!F208+'F1 Non-SEZ'!F208</f>
        <v>0</v>
      </c>
      <c r="G209" s="512">
        <f>+'F1 SEZ'!G208+'F1 Non-SEZ'!G208</f>
        <v>0</v>
      </c>
      <c r="H209" s="512">
        <f>+'F1 SEZ'!H208+'F1 Non-SEZ'!H208</f>
        <v>0</v>
      </c>
      <c r="I209" s="512">
        <f>+'F1 SEZ'!I208+'F1 Non-SEZ'!I208</f>
        <v>0</v>
      </c>
      <c r="J209" s="512">
        <f>+'F1 SEZ'!J208+'F1 Non-SEZ'!J208</f>
        <v>0</v>
      </c>
      <c r="K209" s="512">
        <f>+'F1 SEZ'!K208+'F1 Non-SEZ'!K208</f>
        <v>0</v>
      </c>
      <c r="L209" s="512">
        <f>+'F1 SEZ'!L208+'F1 Non-SEZ'!L208</f>
        <v>0</v>
      </c>
      <c r="M209" s="512">
        <f>+'F1 SEZ'!M208+'F1 Non-SEZ'!M208</f>
        <v>0</v>
      </c>
      <c r="N209" s="512">
        <f>+'F1 SEZ'!N208+'F1 Non-SEZ'!N208</f>
        <v>0</v>
      </c>
      <c r="O209" s="544">
        <f t="shared" si="34"/>
        <v>0</v>
      </c>
    </row>
    <row r="210" spans="2:15" x14ac:dyDescent="0.4">
      <c r="B210" s="520" t="s">
        <v>1140</v>
      </c>
      <c r="C210" s="512">
        <f>+'F1 SEZ'!C209+'F1 Non-SEZ'!C209</f>
        <v>9.7850000000000003E-3</v>
      </c>
      <c r="D210" s="512">
        <f>+'F1 SEZ'!D209+'F1 Non-SEZ'!D209</f>
        <v>1.1736999999999999E-2</v>
      </c>
      <c r="E210" s="512">
        <f>+'F1 SEZ'!E209+'F1 Non-SEZ'!E209</f>
        <v>1.2630000000000001E-2</v>
      </c>
      <c r="F210" s="512">
        <f>+'F1 SEZ'!F209+'F1 Non-SEZ'!F209</f>
        <v>9.4149999999999998E-3</v>
      </c>
      <c r="G210" s="512">
        <f>+'F1 SEZ'!G209+'F1 Non-SEZ'!G209</f>
        <v>1.1091E-2</v>
      </c>
      <c r="H210" s="512">
        <f>+'F1 SEZ'!H209+'F1 Non-SEZ'!H209</f>
        <v>1.0580000000000001E-2</v>
      </c>
      <c r="I210" s="512">
        <f>+'F1 SEZ'!I209+'F1 Non-SEZ'!I209</f>
        <v>1.2798E-2</v>
      </c>
      <c r="J210" s="512">
        <f>+'F1 SEZ'!J209+'F1 Non-SEZ'!J209</f>
        <v>1.4517E-2</v>
      </c>
      <c r="K210" s="512">
        <f>+'F1 SEZ'!K209+'F1 Non-SEZ'!K209</f>
        <v>1.6504000000000001E-2</v>
      </c>
      <c r="L210" s="512">
        <f>+'F1 SEZ'!L209+'F1 Non-SEZ'!L209</f>
        <v>1.6415000000000003E-2</v>
      </c>
      <c r="M210" s="512">
        <f>+'F1 SEZ'!M209+'F1 Non-SEZ'!M209</f>
        <v>1.4445E-2</v>
      </c>
      <c r="N210" s="512">
        <f>+'F1 SEZ'!N209+'F1 Non-SEZ'!N209</f>
        <v>1.6546000000000002E-2</v>
      </c>
      <c r="O210" s="544">
        <f t="shared" si="34"/>
        <v>0.15646300000000002</v>
      </c>
    </row>
    <row r="211" spans="2:15" x14ac:dyDescent="0.4">
      <c r="B211" s="520" t="s">
        <v>1144</v>
      </c>
      <c r="C211" s="512">
        <f>+'F1 SEZ'!C210+'F1 Non-SEZ'!C210</f>
        <v>2.7159450000000002E-2</v>
      </c>
      <c r="D211" s="512">
        <f>+'F1 SEZ'!D210+'F1 Non-SEZ'!D210</f>
        <v>2.9915240000000003E-2</v>
      </c>
      <c r="E211" s="512">
        <f>+'F1 SEZ'!E210+'F1 Non-SEZ'!E210</f>
        <v>2.8281110000000002E-2</v>
      </c>
      <c r="F211" s="512">
        <f>+'F1 SEZ'!F210+'F1 Non-SEZ'!F210</f>
        <v>2.148415E-2</v>
      </c>
      <c r="G211" s="512">
        <f>+'F1 SEZ'!G210+'F1 Non-SEZ'!G210</f>
        <v>2.2732639999999998E-2</v>
      </c>
      <c r="H211" s="512">
        <f>+'F1 SEZ'!H210+'F1 Non-SEZ'!H210</f>
        <v>2.0386790000000002E-2</v>
      </c>
      <c r="I211" s="512">
        <f>+'F1 SEZ'!I210+'F1 Non-SEZ'!I210</f>
        <v>2.1214770000000001E-2</v>
      </c>
      <c r="J211" s="512">
        <f>+'F1 SEZ'!J210+'F1 Non-SEZ'!J210</f>
        <v>1.8958060000000002E-2</v>
      </c>
      <c r="K211" s="512">
        <f>+'F1 SEZ'!K210+'F1 Non-SEZ'!K210</f>
        <v>1.9974220000000001E-2</v>
      </c>
      <c r="L211" s="512">
        <f>+'F1 SEZ'!L210+'F1 Non-SEZ'!L210</f>
        <v>2.0029830000000002E-2</v>
      </c>
      <c r="M211" s="512">
        <f>+'F1 SEZ'!M210+'F1 Non-SEZ'!M210</f>
        <v>1.9739860000000001E-2</v>
      </c>
      <c r="N211" s="512">
        <f>+'F1 SEZ'!N210+'F1 Non-SEZ'!N210</f>
        <v>2.498999E-2</v>
      </c>
      <c r="O211" s="544">
        <f t="shared" si="34"/>
        <v>0.27486611</v>
      </c>
    </row>
    <row r="212" spans="2:15" x14ac:dyDescent="0.4">
      <c r="B212" s="520" t="s">
        <v>1143</v>
      </c>
      <c r="C212" s="512">
        <f>+'F1 SEZ'!C211+'F1 Non-SEZ'!C211</f>
        <v>6.411234E-3</v>
      </c>
      <c r="D212" s="512">
        <f>+'F1 SEZ'!D211+'F1 Non-SEZ'!D211</f>
        <v>6.5268159999999995E-3</v>
      </c>
      <c r="E212" s="512">
        <f>+'F1 SEZ'!E211+'F1 Non-SEZ'!E211</f>
        <v>1.2095719999999999E-2</v>
      </c>
      <c r="F212" s="512">
        <f>+'F1 SEZ'!F211+'F1 Non-SEZ'!F211</f>
        <v>6.4936999999999998E-3</v>
      </c>
      <c r="G212" s="512">
        <f>+'F1 SEZ'!G211+'F1 Non-SEZ'!G211</f>
        <v>8.0795799999999994E-3</v>
      </c>
      <c r="H212" s="512">
        <f>+'F1 SEZ'!H211+'F1 Non-SEZ'!H211</f>
        <v>6.7550800000000001E-3</v>
      </c>
      <c r="I212" s="512">
        <f>+'F1 SEZ'!I211+'F1 Non-SEZ'!I211</f>
        <v>7.8443699999999998E-3</v>
      </c>
      <c r="J212" s="512">
        <f>+'F1 SEZ'!J211+'F1 Non-SEZ'!J211</f>
        <v>5.0962200000000003E-3</v>
      </c>
      <c r="K212" s="512">
        <f>+'F1 SEZ'!K211+'F1 Non-SEZ'!K211</f>
        <v>5.3214600000000001E-3</v>
      </c>
      <c r="L212" s="512">
        <f>+'F1 SEZ'!L211+'F1 Non-SEZ'!L211</f>
        <v>5.6799199999999998E-3</v>
      </c>
      <c r="M212" s="512">
        <f>+'F1 SEZ'!M211+'F1 Non-SEZ'!M211</f>
        <v>5.14606E-3</v>
      </c>
      <c r="N212" s="512">
        <f>+'F1 SEZ'!N211+'F1 Non-SEZ'!N211</f>
        <v>6.4039200000000004E-3</v>
      </c>
      <c r="O212" s="544">
        <f t="shared" si="34"/>
        <v>8.1854079999999996E-2</v>
      </c>
    </row>
    <row r="213" spans="2:15" x14ac:dyDescent="0.4">
      <c r="B213" s="519" t="s">
        <v>1111</v>
      </c>
      <c r="C213" s="512">
        <f>+'F1 SEZ'!C212+'F1 Non-SEZ'!C212</f>
        <v>3.7353150000000002E-2</v>
      </c>
      <c r="D213" s="512">
        <f>+'F1 SEZ'!D212+'F1 Non-SEZ'!D212</f>
        <v>3.6408969999999999E-2</v>
      </c>
      <c r="E213" s="512">
        <f>+'F1 SEZ'!E212+'F1 Non-SEZ'!E212</f>
        <v>3.8031559999999999E-2</v>
      </c>
      <c r="F213" s="512">
        <f>+'F1 SEZ'!F212+'F1 Non-SEZ'!F212</f>
        <v>3.5392460000000001E-2</v>
      </c>
      <c r="G213" s="512">
        <f>+'F1 SEZ'!G212+'F1 Non-SEZ'!G212</f>
        <v>3.4563749999999997E-2</v>
      </c>
      <c r="H213" s="512">
        <f>+'F1 SEZ'!H212+'F1 Non-SEZ'!H212</f>
        <v>3.6090589999999999E-2</v>
      </c>
      <c r="I213" s="512">
        <f>+'F1 SEZ'!I212+'F1 Non-SEZ'!I212</f>
        <v>4.4174720000000001E-2</v>
      </c>
      <c r="J213" s="512">
        <f>+'F1 SEZ'!J212+'F1 Non-SEZ'!J212</f>
        <v>3.8349769999999998E-2</v>
      </c>
      <c r="K213" s="512">
        <f>+'F1 SEZ'!K212+'F1 Non-SEZ'!K212</f>
        <v>3.9277739999999998E-2</v>
      </c>
      <c r="L213" s="512">
        <f>+'F1 SEZ'!L212+'F1 Non-SEZ'!L212</f>
        <v>3.8563170000000001E-2</v>
      </c>
      <c r="M213" s="512">
        <f>+'F1 SEZ'!M212+'F1 Non-SEZ'!M212</f>
        <v>3.7312970000000001E-2</v>
      </c>
      <c r="N213" s="512">
        <f>+'F1 SEZ'!N212+'F1 Non-SEZ'!N212</f>
        <v>4.0316039999999997E-2</v>
      </c>
      <c r="O213" s="544">
        <f t="shared" si="34"/>
        <v>0.45583488999999999</v>
      </c>
    </row>
    <row r="214" spans="2:15" x14ac:dyDescent="0.4">
      <c r="B214" s="519" t="s">
        <v>1135</v>
      </c>
      <c r="C214" s="512">
        <f>+'F1 SEZ'!C213+'F1 Non-SEZ'!C213</f>
        <v>1.353E-2</v>
      </c>
      <c r="D214" s="512">
        <f>+'F1 SEZ'!D213+'F1 Non-SEZ'!D213</f>
        <v>1.5129999999999999E-2</v>
      </c>
      <c r="E214" s="512">
        <f>+'F1 SEZ'!E213+'F1 Non-SEZ'!E213</f>
        <v>1.3009E-2</v>
      </c>
      <c r="F214" s="512">
        <f>+'F1 SEZ'!F213+'F1 Non-SEZ'!F213</f>
        <v>1.4334E-2</v>
      </c>
      <c r="G214" s="512">
        <f>+'F1 SEZ'!G213+'F1 Non-SEZ'!G213</f>
        <v>1.5816E-2</v>
      </c>
      <c r="H214" s="512">
        <f>+'F1 SEZ'!H213+'F1 Non-SEZ'!H213</f>
        <v>1.4422000000000001E-2</v>
      </c>
      <c r="I214" s="512">
        <f>+'F1 SEZ'!I213+'F1 Non-SEZ'!I213</f>
        <v>1.584E-2</v>
      </c>
      <c r="J214" s="512">
        <f>+'F1 SEZ'!J213+'F1 Non-SEZ'!J213</f>
        <v>1.4142E-2</v>
      </c>
      <c r="K214" s="512">
        <f>+'F1 SEZ'!K213+'F1 Non-SEZ'!K213</f>
        <v>1.4768E-2</v>
      </c>
      <c r="L214" s="512">
        <f>+'F1 SEZ'!L213+'F1 Non-SEZ'!L213</f>
        <v>1.2996000000000001E-2</v>
      </c>
      <c r="M214" s="512">
        <f>+'F1 SEZ'!M213+'F1 Non-SEZ'!M213</f>
        <v>1.1408E-2</v>
      </c>
      <c r="N214" s="512">
        <f>+'F1 SEZ'!N213+'F1 Non-SEZ'!N213</f>
        <v>1.363E-2</v>
      </c>
      <c r="O214" s="544">
        <f t="shared" si="34"/>
        <v>0.16902500000000001</v>
      </c>
    </row>
    <row r="215" spans="2:15" x14ac:dyDescent="0.4">
      <c r="B215" s="519" t="s">
        <v>1136</v>
      </c>
      <c r="C215" s="512">
        <f>+'F1 SEZ'!C214+'F1 Non-SEZ'!C214</f>
        <v>0</v>
      </c>
      <c r="D215" s="512">
        <f>+'F1 SEZ'!D214+'F1 Non-SEZ'!D214</f>
        <v>0</v>
      </c>
      <c r="E215" s="512">
        <f>+'F1 SEZ'!E214+'F1 Non-SEZ'!E214</f>
        <v>0</v>
      </c>
      <c r="F215" s="512">
        <f>+'F1 SEZ'!F214+'F1 Non-SEZ'!F214</f>
        <v>0</v>
      </c>
      <c r="G215" s="512">
        <f>+'F1 SEZ'!G214+'F1 Non-SEZ'!G214</f>
        <v>0</v>
      </c>
      <c r="H215" s="512">
        <f>+'F1 SEZ'!H214+'F1 Non-SEZ'!H214</f>
        <v>0</v>
      </c>
      <c r="I215" s="512">
        <f>+'F1 SEZ'!I214+'F1 Non-SEZ'!I214</f>
        <v>0</v>
      </c>
      <c r="J215" s="512">
        <f>+'F1 SEZ'!J214+'F1 Non-SEZ'!J214</f>
        <v>0</v>
      </c>
      <c r="K215" s="512">
        <f>+'F1 SEZ'!K214+'F1 Non-SEZ'!K214</f>
        <v>0</v>
      </c>
      <c r="L215" s="512">
        <f>+'F1 SEZ'!L214+'F1 Non-SEZ'!L214</f>
        <v>0</v>
      </c>
      <c r="M215" s="512">
        <f>+'F1 SEZ'!M214+'F1 Non-SEZ'!M214</f>
        <v>0</v>
      </c>
      <c r="N215" s="512">
        <f>+'F1 SEZ'!N214+'F1 Non-SEZ'!N214</f>
        <v>0</v>
      </c>
      <c r="O215" s="544">
        <f t="shared" si="34"/>
        <v>0</v>
      </c>
    </row>
    <row r="216" spans="2:15" x14ac:dyDescent="0.4">
      <c r="B216" s="566" t="s">
        <v>1142</v>
      </c>
      <c r="C216" s="512">
        <f>+'F1 SEZ'!C215+'F1 Non-SEZ'!C215</f>
        <v>4.5727999999999996E-4</v>
      </c>
      <c r="D216" s="512">
        <f>+'F1 SEZ'!D215+'F1 Non-SEZ'!D215</f>
        <v>3.7672000000000004E-4</v>
      </c>
      <c r="E216" s="512">
        <f>+'F1 SEZ'!E215+'F1 Non-SEZ'!E215</f>
        <v>4.2480000000000003E-4</v>
      </c>
      <c r="F216" s="512">
        <f>+'F1 SEZ'!F215+'F1 Non-SEZ'!F215</f>
        <v>3.7870999999999998E-4</v>
      </c>
      <c r="G216" s="512">
        <f>+'F1 SEZ'!G215+'F1 Non-SEZ'!G215</f>
        <v>2.7143000000000002E-4</v>
      </c>
      <c r="H216" s="512">
        <f>+'F1 SEZ'!H215+'F1 Non-SEZ'!H215</f>
        <v>1.8263E-4</v>
      </c>
      <c r="I216" s="512">
        <f>+'F1 SEZ'!I215+'F1 Non-SEZ'!I215</f>
        <v>6.5096000000000002E-4</v>
      </c>
      <c r="J216" s="512">
        <f>+'F1 SEZ'!J215+'F1 Non-SEZ'!J215</f>
        <v>1.2724500000000001E-3</v>
      </c>
      <c r="K216" s="512">
        <f>+'F1 SEZ'!K215+'F1 Non-SEZ'!K215</f>
        <v>1.0390999999999998E-3</v>
      </c>
      <c r="L216" s="512">
        <f>+'F1 SEZ'!L215+'F1 Non-SEZ'!L215</f>
        <v>1.0970299999999999E-3</v>
      </c>
      <c r="M216" s="512">
        <f>+'F1 SEZ'!M215+'F1 Non-SEZ'!M215</f>
        <v>1.321734E-3</v>
      </c>
      <c r="N216" s="512">
        <f>+'F1 SEZ'!N215+'F1 Non-SEZ'!N215</f>
        <v>2.0108399999999998E-3</v>
      </c>
      <c r="O216" s="544">
        <f t="shared" si="34"/>
        <v>9.4836839999999992E-3</v>
      </c>
    </row>
    <row r="217" spans="2:15" x14ac:dyDescent="0.4">
      <c r="B217" s="175" t="s">
        <v>162</v>
      </c>
      <c r="C217" s="567">
        <f>SUM(C204:C216)</f>
        <v>0.43063211400000001</v>
      </c>
      <c r="D217" s="567">
        <f t="shared" ref="D217:O217" si="35">SUM(D204:D216)</f>
        <v>0.472528746</v>
      </c>
      <c r="E217" s="567">
        <f t="shared" si="35"/>
        <v>0.49957618999999998</v>
      </c>
      <c r="F217" s="567">
        <f t="shared" si="35"/>
        <v>0.37711201999999999</v>
      </c>
      <c r="G217" s="567">
        <f t="shared" si="35"/>
        <v>0.41125339999999999</v>
      </c>
      <c r="H217" s="567">
        <f t="shared" si="35"/>
        <v>0.40055608999999998</v>
      </c>
      <c r="I217" s="567">
        <f t="shared" si="35"/>
        <v>0.45894681999999998</v>
      </c>
      <c r="J217" s="567">
        <f t="shared" si="35"/>
        <v>0.42318949999999994</v>
      </c>
      <c r="K217" s="567">
        <f t="shared" si="35"/>
        <v>0.40654652000000002</v>
      </c>
      <c r="L217" s="567">
        <f t="shared" si="35"/>
        <v>0.43696995</v>
      </c>
      <c r="M217" s="567">
        <f t="shared" si="35"/>
        <v>0.38836462399999999</v>
      </c>
      <c r="N217" s="567">
        <f t="shared" si="35"/>
        <v>0.44768579000000003</v>
      </c>
      <c r="O217" s="567">
        <f t="shared" si="35"/>
        <v>5.1533617640000005</v>
      </c>
    </row>
    <row r="218" spans="2:15" x14ac:dyDescent="0.4">
      <c r="B218" s="175"/>
      <c r="C218" s="26"/>
      <c r="D218" s="26"/>
      <c r="E218" s="26"/>
      <c r="F218" s="26"/>
      <c r="G218" s="26"/>
      <c r="H218" s="26"/>
      <c r="I218" s="26"/>
      <c r="J218" s="26"/>
      <c r="K218" s="26"/>
      <c r="L218" s="26"/>
      <c r="M218" s="26"/>
      <c r="N218" s="26"/>
      <c r="O218" s="26"/>
    </row>
    <row r="219" spans="2:15" x14ac:dyDescent="0.4">
      <c r="B219" s="119" t="s">
        <v>164</v>
      </c>
      <c r="C219" s="568">
        <f>+C217+C201</f>
        <v>2.6562487340000001</v>
      </c>
      <c r="D219" s="568">
        <f t="shared" ref="D219:O219" si="36">+D217+D201</f>
        <v>2.9063635560000001</v>
      </c>
      <c r="E219" s="568">
        <f t="shared" si="36"/>
        <v>2.8368116399999996</v>
      </c>
      <c r="F219" s="568">
        <f t="shared" si="36"/>
        <v>2.7876805300000003</v>
      </c>
      <c r="G219" s="568">
        <f t="shared" si="36"/>
        <v>3.2912629500000001</v>
      </c>
      <c r="H219" s="568">
        <f t="shared" si="36"/>
        <v>3.2916637499999997</v>
      </c>
      <c r="I219" s="568">
        <f t="shared" si="36"/>
        <v>3.5997419800000001</v>
      </c>
      <c r="J219" s="568">
        <f t="shared" si="36"/>
        <v>3.4651509700000003</v>
      </c>
      <c r="K219" s="568">
        <f t="shared" si="36"/>
        <v>3.5660492800000001</v>
      </c>
      <c r="L219" s="568">
        <f t="shared" si="36"/>
        <v>3.7064584300000001</v>
      </c>
      <c r="M219" s="568">
        <f t="shared" si="36"/>
        <v>3.4731883539999999</v>
      </c>
      <c r="N219" s="568">
        <f t="shared" si="36"/>
        <v>3.7780391955999999</v>
      </c>
      <c r="O219" s="568">
        <f t="shared" si="36"/>
        <v>39.358659369600005</v>
      </c>
    </row>
    <row r="220" spans="2:15" x14ac:dyDescent="0.4">
      <c r="B220" s="118" t="s">
        <v>165</v>
      </c>
    </row>
    <row r="221" spans="2:15" x14ac:dyDescent="0.4">
      <c r="B221" s="27" t="s">
        <v>166</v>
      </c>
    </row>
    <row r="222" spans="2:15" x14ac:dyDescent="0.4">
      <c r="B222" s="1" t="s">
        <v>184</v>
      </c>
      <c r="C222" s="30"/>
      <c r="D222" s="30"/>
      <c r="E222" s="30"/>
      <c r="F222" s="30"/>
    </row>
    <row r="223" spans="2:15" x14ac:dyDescent="0.4">
      <c r="B223" s="27" t="s">
        <v>168</v>
      </c>
      <c r="C223" s="30"/>
      <c r="D223" s="30"/>
      <c r="E223" s="30"/>
      <c r="F223" s="30"/>
    </row>
    <row r="224" spans="2:15" x14ac:dyDescent="0.4">
      <c r="B224" s="27"/>
      <c r="C224" s="30"/>
      <c r="D224" s="30"/>
      <c r="E224" s="30"/>
      <c r="F224" s="30"/>
    </row>
    <row r="225" spans="2:15" x14ac:dyDescent="0.4">
      <c r="B225" s="32" t="s">
        <v>1024</v>
      </c>
      <c r="C225" s="8"/>
      <c r="D225" s="8"/>
      <c r="E225" s="8"/>
      <c r="F225" s="8"/>
      <c r="G225" s="8"/>
      <c r="H225" s="8"/>
      <c r="I225" s="8"/>
      <c r="J225" s="8"/>
      <c r="K225" s="8"/>
      <c r="L225" s="8"/>
      <c r="M225" s="8"/>
      <c r="N225" s="8"/>
      <c r="O225" s="4"/>
    </row>
    <row r="226" spans="2:15" x14ac:dyDescent="0.4">
      <c r="B226" s="32"/>
      <c r="C226" s="38"/>
      <c r="D226" s="38"/>
      <c r="O226" s="38" t="s">
        <v>171</v>
      </c>
    </row>
    <row r="227" spans="2:15" s="51" customFormat="1" x14ac:dyDescent="0.35">
      <c r="B227" s="1940" t="s">
        <v>160</v>
      </c>
      <c r="C227" s="1945" t="s">
        <v>186</v>
      </c>
      <c r="D227" s="1945"/>
      <c r="E227" s="1945"/>
      <c r="F227" s="1945"/>
      <c r="G227" s="1945"/>
      <c r="H227" s="1945"/>
      <c r="I227" s="1946" t="s">
        <v>187</v>
      </c>
      <c r="J227" s="1946"/>
      <c r="K227" s="1946"/>
      <c r="L227" s="1946"/>
      <c r="M227" s="1946"/>
      <c r="N227" s="1946"/>
      <c r="O227" s="1947" t="s">
        <v>188</v>
      </c>
    </row>
    <row r="228" spans="2:15" s="51" customFormat="1" x14ac:dyDescent="0.35">
      <c r="B228" s="1940"/>
      <c r="C228" s="106" t="s">
        <v>172</v>
      </c>
      <c r="D228" s="106" t="s">
        <v>173</v>
      </c>
      <c r="E228" s="64" t="s">
        <v>174</v>
      </c>
      <c r="F228" s="64" t="s">
        <v>175</v>
      </c>
      <c r="G228" s="64" t="s">
        <v>176</v>
      </c>
      <c r="H228" s="64" t="s">
        <v>177</v>
      </c>
      <c r="I228" s="64" t="s">
        <v>178</v>
      </c>
      <c r="J228" s="64" t="s">
        <v>179</v>
      </c>
      <c r="K228" s="64" t="s">
        <v>180</v>
      </c>
      <c r="L228" s="64" t="s">
        <v>181</v>
      </c>
      <c r="M228" s="64" t="s">
        <v>182</v>
      </c>
      <c r="N228" s="64" t="s">
        <v>183</v>
      </c>
      <c r="O228" s="1947"/>
    </row>
    <row r="229" spans="2:15" x14ac:dyDescent="0.4">
      <c r="B229" s="517" t="s">
        <v>161</v>
      </c>
      <c r="C229" s="78"/>
      <c r="D229" s="78"/>
      <c r="E229" s="78"/>
      <c r="F229" s="3"/>
      <c r="G229" s="3"/>
      <c r="H229" s="2"/>
      <c r="I229" s="43"/>
      <c r="J229" s="44"/>
      <c r="K229" s="124"/>
      <c r="L229" s="124"/>
      <c r="M229" s="2"/>
      <c r="N229" s="2"/>
      <c r="O229" s="2"/>
    </row>
    <row r="230" spans="2:15" x14ac:dyDescent="0.4">
      <c r="B230" s="429" t="s">
        <v>1129</v>
      </c>
      <c r="C230" s="512">
        <f>+'F1 SEZ'!C229+'F1 Non-SEZ'!C229</f>
        <v>3.4148399999999999</v>
      </c>
      <c r="D230" s="512">
        <f>+'F1 SEZ'!D229+'F1 Non-SEZ'!D229</f>
        <v>4.1491199999999999</v>
      </c>
      <c r="E230" s="512">
        <f>+'F1 SEZ'!E229+'F1 Non-SEZ'!E229</f>
        <v>5.8598400000000002</v>
      </c>
      <c r="F230" s="512">
        <f>+'F1 SEZ'!F229+'F1 Non-SEZ'!F229</f>
        <v>6.2614200000000002</v>
      </c>
      <c r="G230" s="512">
        <f>+'F1 SEZ'!G229+'F1 Non-SEZ'!G229</f>
        <v>5.9743199999999996</v>
      </c>
      <c r="H230" s="512">
        <f>+'F1 SEZ'!H229+'F1 Non-SEZ'!H229</f>
        <v>6.2991599999999996</v>
      </c>
      <c r="I230" s="512">
        <f>+'F1 SEZ'!I229+'F1 Non-SEZ'!I229</f>
        <v>6.8262</v>
      </c>
      <c r="J230" s="512">
        <f>+'F1 SEZ'!J229+'F1 Non-SEZ'!J229</f>
        <v>6.7975199999999996</v>
      </c>
      <c r="K230" s="512">
        <f>+'F1 SEZ'!K229+'F1 Non-SEZ'!K229</f>
        <v>7.2103200000000003</v>
      </c>
      <c r="L230" s="512">
        <f>+'F1 SEZ'!L229+'F1 Non-SEZ'!L229</f>
        <v>6.3647400000000003</v>
      </c>
      <c r="M230" s="512">
        <f>+'F1 SEZ'!M229+'F1 Non-SEZ'!M229</f>
        <v>6.3689400000000003</v>
      </c>
      <c r="N230" s="512">
        <f>+'F1 SEZ'!N229+'F1 Non-SEZ'!N229</f>
        <v>7.6379400000000004</v>
      </c>
      <c r="O230" s="544">
        <f>SUM(C230:N230)</f>
        <v>73.164360000000002</v>
      </c>
    </row>
    <row r="231" spans="2:15" x14ac:dyDescent="0.4">
      <c r="B231" s="429" t="s">
        <v>1130</v>
      </c>
      <c r="C231" s="512">
        <f>+'F1 SEZ'!C230+'F1 Non-SEZ'!C230</f>
        <v>3.9028569999999999E-2</v>
      </c>
      <c r="D231" s="512">
        <f>+'F1 SEZ'!D230+'F1 Non-SEZ'!D230</f>
        <v>4.4999809999999994E-2</v>
      </c>
      <c r="E231" s="512">
        <f>+'F1 SEZ'!E230+'F1 Non-SEZ'!E230</f>
        <v>3.1761379999999999E-2</v>
      </c>
      <c r="F231" s="512">
        <f>+'F1 SEZ'!F230+'F1 Non-SEZ'!F230</f>
        <v>4.4103749999999997E-2</v>
      </c>
      <c r="G231" s="512">
        <f>+'F1 SEZ'!G230+'F1 Non-SEZ'!G230</f>
        <v>3.9460510000000004E-2</v>
      </c>
      <c r="H231" s="512">
        <f>+'F1 SEZ'!H230+'F1 Non-SEZ'!H230</f>
        <v>3.9271639999999997E-2</v>
      </c>
      <c r="I231" s="512">
        <f>+'F1 SEZ'!I230+'F1 Non-SEZ'!I230</f>
        <v>3.7890609999999998E-2</v>
      </c>
      <c r="J231" s="512">
        <f>+'F1 SEZ'!J230+'F1 Non-SEZ'!J230</f>
        <v>3.0070639999999999E-2</v>
      </c>
      <c r="K231" s="512">
        <f>+'F1 SEZ'!K230+'F1 Non-SEZ'!K230</f>
        <v>4.2325309999999998E-2</v>
      </c>
      <c r="L231" s="512">
        <f>+'F1 SEZ'!L230+'F1 Non-SEZ'!L230</f>
        <v>4.7025839999999999E-2</v>
      </c>
      <c r="M231" s="512">
        <f>+'F1 SEZ'!M230+'F1 Non-SEZ'!M230</f>
        <v>4.3599650000000004E-2</v>
      </c>
      <c r="N231" s="512">
        <f>+'F1 SEZ'!N230+'F1 Non-SEZ'!N230</f>
        <v>5.2914089999999997E-2</v>
      </c>
      <c r="O231" s="544">
        <f>SUM(C231:N231)</f>
        <v>0.4924518</v>
      </c>
    </row>
    <row r="232" spans="2:15" x14ac:dyDescent="0.4">
      <c r="B232" s="429" t="s">
        <v>1131</v>
      </c>
      <c r="C232" s="512">
        <f>+'F1 SEZ'!C231+'F1 Non-SEZ'!C231</f>
        <v>0</v>
      </c>
      <c r="D232" s="512">
        <f>+'F1 SEZ'!D231+'F1 Non-SEZ'!D231</f>
        <v>0</v>
      </c>
      <c r="E232" s="512">
        <f>+'F1 SEZ'!E231+'F1 Non-SEZ'!E231</f>
        <v>0</v>
      </c>
      <c r="F232" s="512">
        <f>+'F1 SEZ'!F231+'F1 Non-SEZ'!F231</f>
        <v>0</v>
      </c>
      <c r="G232" s="512">
        <f>+'F1 SEZ'!G231+'F1 Non-SEZ'!G231</f>
        <v>0</v>
      </c>
      <c r="H232" s="512">
        <f>+'F1 SEZ'!H231+'F1 Non-SEZ'!H231</f>
        <v>0</v>
      </c>
      <c r="I232" s="512">
        <f>+'F1 SEZ'!I231+'F1 Non-SEZ'!I231</f>
        <v>0</v>
      </c>
      <c r="J232" s="512">
        <f>+'F1 SEZ'!J231+'F1 Non-SEZ'!J231</f>
        <v>0</v>
      </c>
      <c r="K232" s="512">
        <f>+'F1 SEZ'!K231+'F1 Non-SEZ'!K231</f>
        <v>0</v>
      </c>
      <c r="L232" s="512">
        <f>+'F1 SEZ'!L231+'F1 Non-SEZ'!L231</f>
        <v>0</v>
      </c>
      <c r="M232" s="512">
        <f>+'F1 SEZ'!M231+'F1 Non-SEZ'!M231</f>
        <v>0</v>
      </c>
      <c r="N232" s="512">
        <f>+'F1 SEZ'!N231+'F1 Non-SEZ'!N231</f>
        <v>0</v>
      </c>
      <c r="O232" s="544">
        <f>SUM(C232:N232)</f>
        <v>0</v>
      </c>
    </row>
    <row r="233" spans="2:15" x14ac:dyDescent="0.4">
      <c r="B233" s="429" t="s">
        <v>1132</v>
      </c>
      <c r="C233" s="512">
        <f>+'F1 SEZ'!C232+'F1 Non-SEZ'!C232</f>
        <v>0</v>
      </c>
      <c r="D233" s="512">
        <f>+'F1 SEZ'!D232+'F1 Non-SEZ'!D232</f>
        <v>0</v>
      </c>
      <c r="E233" s="512">
        <f>+'F1 SEZ'!E232+'F1 Non-SEZ'!E232</f>
        <v>0</v>
      </c>
      <c r="F233" s="512">
        <f>+'F1 SEZ'!F232+'F1 Non-SEZ'!F232</f>
        <v>0</v>
      </c>
      <c r="G233" s="512">
        <f>+'F1 SEZ'!G232+'F1 Non-SEZ'!G232</f>
        <v>0</v>
      </c>
      <c r="H233" s="512">
        <f>+'F1 SEZ'!H232+'F1 Non-SEZ'!H232</f>
        <v>0</v>
      </c>
      <c r="I233" s="512">
        <f>+'F1 SEZ'!I232+'F1 Non-SEZ'!I232</f>
        <v>0</v>
      </c>
      <c r="J233" s="512">
        <f>+'F1 SEZ'!J232+'F1 Non-SEZ'!J232</f>
        <v>0</v>
      </c>
      <c r="K233" s="512">
        <f>+'F1 SEZ'!K232+'F1 Non-SEZ'!K232</f>
        <v>0</v>
      </c>
      <c r="L233" s="512">
        <f>+'F1 SEZ'!L232+'F1 Non-SEZ'!L232</f>
        <v>0</v>
      </c>
      <c r="M233" s="512">
        <f>+'F1 SEZ'!M232+'F1 Non-SEZ'!M232</f>
        <v>0</v>
      </c>
      <c r="N233" s="512">
        <f>+'F1 SEZ'!N232+'F1 Non-SEZ'!N232</f>
        <v>0</v>
      </c>
      <c r="O233" s="544">
        <f>SUM(C233:N233)</f>
        <v>0</v>
      </c>
    </row>
    <row r="234" spans="2:15" x14ac:dyDescent="0.4">
      <c r="B234" s="518" t="s">
        <v>162</v>
      </c>
      <c r="C234" s="545">
        <f>SUM(C230:C233)</f>
        <v>3.45386857</v>
      </c>
      <c r="D234" s="545">
        <f t="shared" ref="D234:O234" si="37">SUM(D230:D233)</f>
        <v>4.1941198100000001</v>
      </c>
      <c r="E234" s="545">
        <f t="shared" si="37"/>
        <v>5.89160138</v>
      </c>
      <c r="F234" s="545">
        <f t="shared" si="37"/>
        <v>6.3055237499999999</v>
      </c>
      <c r="G234" s="545">
        <f t="shared" si="37"/>
        <v>6.0137805099999992</v>
      </c>
      <c r="H234" s="545">
        <f t="shared" si="37"/>
        <v>6.3384316399999996</v>
      </c>
      <c r="I234" s="545">
        <f t="shared" si="37"/>
        <v>6.8640906099999999</v>
      </c>
      <c r="J234" s="545">
        <f t="shared" si="37"/>
        <v>6.8275906399999995</v>
      </c>
      <c r="K234" s="545">
        <f t="shared" si="37"/>
        <v>7.2526453100000001</v>
      </c>
      <c r="L234" s="545">
        <f t="shared" si="37"/>
        <v>6.4117658400000002</v>
      </c>
      <c r="M234" s="545">
        <f t="shared" si="37"/>
        <v>6.4125396500000003</v>
      </c>
      <c r="N234" s="545">
        <f t="shared" si="37"/>
        <v>7.6908540900000002</v>
      </c>
      <c r="O234" s="545">
        <f t="shared" si="37"/>
        <v>73.6568118</v>
      </c>
    </row>
    <row r="235" spans="2:15" x14ac:dyDescent="0.4">
      <c r="B235" s="517" t="s">
        <v>163</v>
      </c>
      <c r="C235" s="545"/>
      <c r="D235" s="545"/>
      <c r="E235" s="545"/>
      <c r="F235" s="545"/>
      <c r="G235" s="545"/>
      <c r="H235" s="545"/>
      <c r="I235" s="545"/>
      <c r="J235" s="545"/>
      <c r="K235" s="545"/>
      <c r="L235" s="545"/>
      <c r="M235" s="545"/>
      <c r="N235" s="545"/>
      <c r="O235" s="545"/>
    </row>
    <row r="236" spans="2:15" x14ac:dyDescent="0.4">
      <c r="B236" s="519" t="s">
        <v>1133</v>
      </c>
      <c r="C236" s="546"/>
      <c r="D236" s="546"/>
      <c r="E236" s="547"/>
      <c r="F236" s="546"/>
      <c r="G236" s="547"/>
      <c r="H236" s="547"/>
      <c r="I236" s="543"/>
      <c r="J236" s="545"/>
      <c r="K236" s="547"/>
      <c r="L236" s="545"/>
      <c r="M236" s="545"/>
      <c r="N236" s="548"/>
      <c r="O236" s="544">
        <f t="shared" ref="O236:O249" si="38">SUM(C236:N236)</f>
        <v>0</v>
      </c>
    </row>
    <row r="237" spans="2:15" x14ac:dyDescent="0.4">
      <c r="B237" s="520" t="s">
        <v>1106</v>
      </c>
      <c r="C237" s="512">
        <f>+'F1 SEZ'!C236+'F1 Non-SEZ'!C236</f>
        <v>9.6000000000000002E-2</v>
      </c>
      <c r="D237" s="512">
        <f>+'F1 SEZ'!D236+'F1 Non-SEZ'!D236</f>
        <v>0.102669</v>
      </c>
      <c r="E237" s="512">
        <f>+'F1 SEZ'!E236+'F1 Non-SEZ'!E236</f>
        <v>0.1032</v>
      </c>
      <c r="F237" s="512">
        <f>+'F1 SEZ'!F236+'F1 Non-SEZ'!F236</f>
        <v>0.101856</v>
      </c>
      <c r="G237" s="512">
        <f>+'F1 SEZ'!G236+'F1 Non-SEZ'!G236</f>
        <v>0.102481</v>
      </c>
      <c r="H237" s="512">
        <f>+'F1 SEZ'!H236+'F1 Non-SEZ'!H236</f>
        <v>0.105015</v>
      </c>
      <c r="I237" s="512">
        <f>+'F1 SEZ'!I236+'F1 Non-SEZ'!I236</f>
        <v>0.107656</v>
      </c>
      <c r="J237" s="512">
        <f>+'F1 SEZ'!J236+'F1 Non-SEZ'!J236</f>
        <v>0.107849</v>
      </c>
      <c r="K237" s="512">
        <f>+'F1 SEZ'!K236+'F1 Non-SEZ'!K236</f>
        <v>0.10559399999999999</v>
      </c>
      <c r="L237" s="512">
        <f>+'F1 SEZ'!L236+'F1 Non-SEZ'!L236</f>
        <v>0.10945199999999999</v>
      </c>
      <c r="M237" s="512">
        <f>+'F1 SEZ'!M236+'F1 Non-SEZ'!M236</f>
        <v>0.109822</v>
      </c>
      <c r="N237" s="512">
        <f>+'F1 SEZ'!N236+'F1 Non-SEZ'!N236</f>
        <v>0.11692</v>
      </c>
      <c r="O237" s="544">
        <f t="shared" si="38"/>
        <v>1.2685139999999999</v>
      </c>
    </row>
    <row r="238" spans="2:15" x14ac:dyDescent="0.4">
      <c r="B238" s="520" t="s">
        <v>1107</v>
      </c>
      <c r="C238" s="512">
        <f>+'F1 SEZ'!C237+'F1 Non-SEZ'!C237</f>
        <v>0.121489</v>
      </c>
      <c r="D238" s="512">
        <f>+'F1 SEZ'!D237+'F1 Non-SEZ'!D237</f>
        <v>0.137655</v>
      </c>
      <c r="E238" s="512">
        <f>+'F1 SEZ'!E237+'F1 Non-SEZ'!E237</f>
        <v>0.12729399999999999</v>
      </c>
      <c r="F238" s="512">
        <f>+'F1 SEZ'!F237+'F1 Non-SEZ'!F237</f>
        <v>0.102731</v>
      </c>
      <c r="G238" s="512">
        <f>+'F1 SEZ'!G237+'F1 Non-SEZ'!G237</f>
        <v>0.103473</v>
      </c>
      <c r="H238" s="512">
        <f>+'F1 SEZ'!H237+'F1 Non-SEZ'!H237</f>
        <v>0.10245600000000001</v>
      </c>
      <c r="I238" s="512">
        <f>+'F1 SEZ'!I237+'F1 Non-SEZ'!I237</f>
        <v>0.11779199999999999</v>
      </c>
      <c r="J238" s="512">
        <f>+'F1 SEZ'!J237+'F1 Non-SEZ'!J237</f>
        <v>0.108319</v>
      </c>
      <c r="K238" s="512">
        <f>+'F1 SEZ'!K237+'F1 Non-SEZ'!K237</f>
        <v>8.6428000000000005E-2</v>
      </c>
      <c r="L238" s="512">
        <f>+'F1 SEZ'!L237+'F1 Non-SEZ'!L237</f>
        <v>9.3851000000000004E-2</v>
      </c>
      <c r="M238" s="512">
        <f>+'F1 SEZ'!M237+'F1 Non-SEZ'!M237</f>
        <v>9.8311999999999997E-2</v>
      </c>
      <c r="N238" s="512">
        <f>+'F1 SEZ'!N237+'F1 Non-SEZ'!N237</f>
        <v>0.139872</v>
      </c>
      <c r="O238" s="544">
        <f t="shared" si="38"/>
        <v>1.3396719999999998</v>
      </c>
    </row>
    <row r="239" spans="2:15" x14ac:dyDescent="0.4">
      <c r="B239" s="520" t="s">
        <v>1108</v>
      </c>
      <c r="C239" s="512">
        <f>+'F1 SEZ'!C238+'F1 Non-SEZ'!C238</f>
        <v>6.0836000000000001E-2</v>
      </c>
      <c r="D239" s="512">
        <f>+'F1 SEZ'!D238+'F1 Non-SEZ'!D238</f>
        <v>8.5533999999999999E-2</v>
      </c>
      <c r="E239" s="512">
        <f>+'F1 SEZ'!E238+'F1 Non-SEZ'!E238</f>
        <v>6.0241000000000003E-2</v>
      </c>
      <c r="F239" s="512">
        <f>+'F1 SEZ'!F238+'F1 Non-SEZ'!F238</f>
        <v>3.1433999999999997E-2</v>
      </c>
      <c r="G239" s="512">
        <f>+'F1 SEZ'!G238+'F1 Non-SEZ'!G238</f>
        <v>3.2969999999999999E-2</v>
      </c>
      <c r="H239" s="512">
        <f>+'F1 SEZ'!H238+'F1 Non-SEZ'!H238</f>
        <v>3.211E-2</v>
      </c>
      <c r="I239" s="512">
        <f>+'F1 SEZ'!I238+'F1 Non-SEZ'!I238</f>
        <v>4.4697000000000001E-2</v>
      </c>
      <c r="J239" s="512">
        <f>+'F1 SEZ'!J238+'F1 Non-SEZ'!J238</f>
        <v>3.78E-2</v>
      </c>
      <c r="K239" s="512">
        <f>+'F1 SEZ'!K238+'F1 Non-SEZ'!K238</f>
        <v>2.0142E-2</v>
      </c>
      <c r="L239" s="512">
        <f>+'F1 SEZ'!L238+'F1 Non-SEZ'!L238</f>
        <v>2.4018000000000001E-2</v>
      </c>
      <c r="M239" s="512">
        <f>+'F1 SEZ'!M238+'F1 Non-SEZ'!M238</f>
        <v>2.6866999999999999E-2</v>
      </c>
      <c r="N239" s="512">
        <f>+'F1 SEZ'!N238+'F1 Non-SEZ'!N238</f>
        <v>6.1256999999999999E-2</v>
      </c>
      <c r="O239" s="544">
        <f t="shared" si="38"/>
        <v>0.51790599999999987</v>
      </c>
    </row>
    <row r="240" spans="2:15" x14ac:dyDescent="0.4">
      <c r="B240" s="520" t="s">
        <v>1109</v>
      </c>
      <c r="C240" s="512">
        <f>+'F1 SEZ'!C239+'F1 Non-SEZ'!C239</f>
        <v>0.18681700000000001</v>
      </c>
      <c r="D240" s="512">
        <f>+'F1 SEZ'!D239+'F1 Non-SEZ'!D239</f>
        <v>0.24234</v>
      </c>
      <c r="E240" s="512">
        <f>+'F1 SEZ'!E239+'F1 Non-SEZ'!E239</f>
        <v>0.16755300000000001</v>
      </c>
      <c r="F240" s="512">
        <f>+'F1 SEZ'!F239+'F1 Non-SEZ'!F239</f>
        <v>0.155801</v>
      </c>
      <c r="G240" s="512">
        <f>+'F1 SEZ'!G239+'F1 Non-SEZ'!G239</f>
        <v>0.15070800000000001</v>
      </c>
      <c r="H240" s="512">
        <f>+'F1 SEZ'!H239+'F1 Non-SEZ'!H239</f>
        <v>0.15596499999999999</v>
      </c>
      <c r="I240" s="512">
        <f>+'F1 SEZ'!I239+'F1 Non-SEZ'!I239</f>
        <v>0.16830200000000001</v>
      </c>
      <c r="J240" s="512">
        <f>+'F1 SEZ'!J239+'F1 Non-SEZ'!J239</f>
        <v>0.163301</v>
      </c>
      <c r="K240" s="512">
        <f>+'F1 SEZ'!K239+'F1 Non-SEZ'!K239</f>
        <v>0.14172499999999999</v>
      </c>
      <c r="L240" s="512">
        <f>+'F1 SEZ'!L239+'F1 Non-SEZ'!L239</f>
        <v>0.147727</v>
      </c>
      <c r="M240" s="512">
        <f>+'F1 SEZ'!M239+'F1 Non-SEZ'!M239</f>
        <v>0.13833699999999999</v>
      </c>
      <c r="N240" s="512">
        <f>+'F1 SEZ'!N239+'F1 Non-SEZ'!N239</f>
        <v>0.17673800000000001</v>
      </c>
      <c r="O240" s="544">
        <f t="shared" si="38"/>
        <v>1.9953139999999996</v>
      </c>
    </row>
    <row r="241" spans="2:15" x14ac:dyDescent="0.4">
      <c r="B241" s="520" t="s">
        <v>1110</v>
      </c>
      <c r="C241" s="512">
        <f>+'F1 SEZ'!C240+'F1 Non-SEZ'!C240</f>
        <v>0</v>
      </c>
      <c r="D241" s="512">
        <f>+'F1 SEZ'!D240+'F1 Non-SEZ'!D240</f>
        <v>0</v>
      </c>
      <c r="E241" s="512">
        <f>+'F1 SEZ'!E240+'F1 Non-SEZ'!E240</f>
        <v>0</v>
      </c>
      <c r="F241" s="512">
        <f>+'F1 SEZ'!F240+'F1 Non-SEZ'!F240</f>
        <v>0</v>
      </c>
      <c r="G241" s="512">
        <f>+'F1 SEZ'!G240+'F1 Non-SEZ'!G240</f>
        <v>0</v>
      </c>
      <c r="H241" s="512">
        <f>+'F1 SEZ'!H240+'F1 Non-SEZ'!H240</f>
        <v>0</v>
      </c>
      <c r="I241" s="512">
        <f>+'F1 SEZ'!I240+'F1 Non-SEZ'!I240</f>
        <v>0</v>
      </c>
      <c r="J241" s="512">
        <f>+'F1 SEZ'!J240+'F1 Non-SEZ'!J240</f>
        <v>0</v>
      </c>
      <c r="K241" s="512">
        <f>+'F1 SEZ'!K240+'F1 Non-SEZ'!K240</f>
        <v>0</v>
      </c>
      <c r="L241" s="512">
        <f>+'F1 SEZ'!L240+'F1 Non-SEZ'!L240</f>
        <v>0</v>
      </c>
      <c r="M241" s="512">
        <f>+'F1 SEZ'!M240+'F1 Non-SEZ'!M240</f>
        <v>0</v>
      </c>
      <c r="N241" s="512">
        <f>+'F1 SEZ'!N240+'F1 Non-SEZ'!N240</f>
        <v>0</v>
      </c>
      <c r="O241" s="544">
        <f t="shared" si="38"/>
        <v>0</v>
      </c>
    </row>
    <row r="242" spans="2:15" x14ac:dyDescent="0.4">
      <c r="B242" s="519" t="s">
        <v>1145</v>
      </c>
      <c r="C242" s="512">
        <f>+'F1 SEZ'!C241+'F1 Non-SEZ'!C241</f>
        <v>0</v>
      </c>
      <c r="D242" s="512">
        <f>+'F1 SEZ'!D241+'F1 Non-SEZ'!D241</f>
        <v>0</v>
      </c>
      <c r="E242" s="512">
        <f>+'F1 SEZ'!E241+'F1 Non-SEZ'!E241</f>
        <v>0</v>
      </c>
      <c r="F242" s="512">
        <f>+'F1 SEZ'!F241+'F1 Non-SEZ'!F241</f>
        <v>0</v>
      </c>
      <c r="G242" s="512">
        <f>+'F1 SEZ'!G241+'F1 Non-SEZ'!G241</f>
        <v>0</v>
      </c>
      <c r="H242" s="512">
        <f>+'F1 SEZ'!H241+'F1 Non-SEZ'!H241</f>
        <v>0</v>
      </c>
      <c r="I242" s="512">
        <f>+'F1 SEZ'!I241+'F1 Non-SEZ'!I241</f>
        <v>0</v>
      </c>
      <c r="J242" s="512">
        <f>+'F1 SEZ'!J241+'F1 Non-SEZ'!J241</f>
        <v>0</v>
      </c>
      <c r="K242" s="512">
        <f>+'F1 SEZ'!K241+'F1 Non-SEZ'!K241</f>
        <v>0</v>
      </c>
      <c r="L242" s="512">
        <f>+'F1 SEZ'!L241+'F1 Non-SEZ'!L241</f>
        <v>0</v>
      </c>
      <c r="M242" s="512">
        <f>+'F1 SEZ'!M241+'F1 Non-SEZ'!M241</f>
        <v>0</v>
      </c>
      <c r="N242" s="512">
        <f>+'F1 SEZ'!N241+'F1 Non-SEZ'!N241</f>
        <v>0</v>
      </c>
      <c r="O242" s="544">
        <f t="shared" si="38"/>
        <v>0</v>
      </c>
    </row>
    <row r="243" spans="2:15" x14ac:dyDescent="0.4">
      <c r="B243" s="520" t="s">
        <v>1140</v>
      </c>
      <c r="C243" s="512">
        <f>+'F1 SEZ'!C242+'F1 Non-SEZ'!C242</f>
        <v>2.1437000000000001E-2</v>
      </c>
      <c r="D243" s="512">
        <f>+'F1 SEZ'!D242+'F1 Non-SEZ'!D242</f>
        <v>2.7632E-2</v>
      </c>
      <c r="E243" s="512">
        <f>+'F1 SEZ'!E242+'F1 Non-SEZ'!E242</f>
        <v>2.3061999999999999E-2</v>
      </c>
      <c r="F243" s="512">
        <f>+'F1 SEZ'!F242+'F1 Non-SEZ'!F242</f>
        <v>2.1876E-2</v>
      </c>
      <c r="G243" s="512">
        <f>+'F1 SEZ'!G242+'F1 Non-SEZ'!G242</f>
        <v>2.2817E-2</v>
      </c>
      <c r="H243" s="512">
        <f>+'F1 SEZ'!H242+'F1 Non-SEZ'!H242</f>
        <v>2.1007000000000001E-2</v>
      </c>
      <c r="I243" s="512">
        <f>+'F1 SEZ'!I242+'F1 Non-SEZ'!I242</f>
        <v>2.1523E-2</v>
      </c>
      <c r="J243" s="512">
        <f>+'F1 SEZ'!J242+'F1 Non-SEZ'!J242</f>
        <v>2.1707000000000001E-2</v>
      </c>
      <c r="K243" s="512">
        <f>+'F1 SEZ'!K242+'F1 Non-SEZ'!K242</f>
        <v>1.7987E-2</v>
      </c>
      <c r="L243" s="512">
        <f>+'F1 SEZ'!L242+'F1 Non-SEZ'!L242</f>
        <v>1.8969E-2</v>
      </c>
      <c r="M243" s="512">
        <f>+'F1 SEZ'!M242+'F1 Non-SEZ'!M242</f>
        <v>1.8527999999999999E-2</v>
      </c>
      <c r="N243" s="512">
        <f>+'F1 SEZ'!N242+'F1 Non-SEZ'!N242</f>
        <v>2.1218000000000001E-2</v>
      </c>
      <c r="O243" s="544">
        <f t="shared" si="38"/>
        <v>0.25776300000000002</v>
      </c>
    </row>
    <row r="244" spans="2:15" x14ac:dyDescent="0.4">
      <c r="B244" s="520" t="s">
        <v>1144</v>
      </c>
      <c r="C244" s="512">
        <f>+'F1 SEZ'!C243+'F1 Non-SEZ'!C243</f>
        <v>3.4999820000000001E-2</v>
      </c>
      <c r="D244" s="512">
        <f>+'F1 SEZ'!D243+'F1 Non-SEZ'!D243</f>
        <v>4.1628789999999999E-2</v>
      </c>
      <c r="E244" s="512">
        <f>+'F1 SEZ'!E243+'F1 Non-SEZ'!E243</f>
        <v>4.2348459999999997E-2</v>
      </c>
      <c r="F244" s="512">
        <f>+'F1 SEZ'!F243+'F1 Non-SEZ'!F243</f>
        <v>3.7199389999999999E-2</v>
      </c>
      <c r="G244" s="512">
        <f>+'F1 SEZ'!G243+'F1 Non-SEZ'!G243</f>
        <v>4.0519039999999999E-2</v>
      </c>
      <c r="H244" s="512">
        <f>+'F1 SEZ'!H243+'F1 Non-SEZ'!H243</f>
        <v>3.8298260000000001E-2</v>
      </c>
      <c r="I244" s="512">
        <f>+'F1 SEZ'!I243+'F1 Non-SEZ'!I243</f>
        <v>4.4948300000000004E-2</v>
      </c>
      <c r="J244" s="512">
        <f>+'F1 SEZ'!J243+'F1 Non-SEZ'!J243</f>
        <v>3.6921530000000001E-2</v>
      </c>
      <c r="K244" s="512">
        <f>+'F1 SEZ'!K243+'F1 Non-SEZ'!K243</f>
        <v>3.564664E-2</v>
      </c>
      <c r="L244" s="512">
        <f>+'F1 SEZ'!L243+'F1 Non-SEZ'!L243</f>
        <v>4.014968E-2</v>
      </c>
      <c r="M244" s="512">
        <f>+'F1 SEZ'!M243+'F1 Non-SEZ'!M243</f>
        <v>3.8499350000000002E-2</v>
      </c>
      <c r="N244" s="512">
        <f>+'F1 SEZ'!N243+'F1 Non-SEZ'!N243</f>
        <v>5.078949E-2</v>
      </c>
      <c r="O244" s="544">
        <f t="shared" si="38"/>
        <v>0.48194874999999998</v>
      </c>
    </row>
    <row r="245" spans="2:15" x14ac:dyDescent="0.4">
      <c r="B245" s="520" t="s">
        <v>1143</v>
      </c>
      <c r="C245" s="512">
        <f>+'F1 SEZ'!C244+'F1 Non-SEZ'!C244</f>
        <v>8.0519399999999988E-3</v>
      </c>
      <c r="D245" s="512">
        <f>+'F1 SEZ'!D244+'F1 Non-SEZ'!D244</f>
        <v>6.3393E-3</v>
      </c>
      <c r="E245" s="512">
        <f>+'F1 SEZ'!E244+'F1 Non-SEZ'!E244</f>
        <v>1.0105100000000001E-2</v>
      </c>
      <c r="F245" s="512">
        <f>+'F1 SEZ'!F244+'F1 Non-SEZ'!F244</f>
        <v>8.3796700000000005E-3</v>
      </c>
      <c r="G245" s="512">
        <f>+'F1 SEZ'!G244+'F1 Non-SEZ'!G244</f>
        <v>9.3569300000000011E-3</v>
      </c>
      <c r="H245" s="512">
        <f>+'F1 SEZ'!H244+'F1 Non-SEZ'!H244</f>
        <v>7.4920000000000004E-3</v>
      </c>
      <c r="I245" s="512">
        <f>+'F1 SEZ'!I244+'F1 Non-SEZ'!I244</f>
        <v>8.5944799999999998E-3</v>
      </c>
      <c r="J245" s="512">
        <f>+'F1 SEZ'!J244+'F1 Non-SEZ'!J244</f>
        <v>5.72486E-3</v>
      </c>
      <c r="K245" s="512">
        <f>+'F1 SEZ'!K244+'F1 Non-SEZ'!K244</f>
        <v>4.3484799999999992E-3</v>
      </c>
      <c r="L245" s="512">
        <f>+'F1 SEZ'!L244+'F1 Non-SEZ'!L244</f>
        <v>5.8403100000000005E-3</v>
      </c>
      <c r="M245" s="512">
        <f>+'F1 SEZ'!M244+'F1 Non-SEZ'!M244</f>
        <v>5.9379799999999998E-3</v>
      </c>
      <c r="N245" s="512">
        <f>+'F1 SEZ'!N244+'F1 Non-SEZ'!N244</f>
        <v>7.3707499999999997E-3</v>
      </c>
      <c r="O245" s="544">
        <f t="shared" si="38"/>
        <v>8.7541799999999989E-2</v>
      </c>
    </row>
    <row r="246" spans="2:15" x14ac:dyDescent="0.4">
      <c r="B246" s="519" t="s">
        <v>1111</v>
      </c>
      <c r="C246" s="512">
        <f>+'F1 SEZ'!C245+'F1 Non-SEZ'!C245</f>
        <v>4.6088179999999999E-2</v>
      </c>
      <c r="D246" s="512">
        <f>+'F1 SEZ'!D245+'F1 Non-SEZ'!D245</f>
        <v>4.7240570000000003E-2</v>
      </c>
      <c r="E246" s="512">
        <f>+'F1 SEZ'!E245+'F1 Non-SEZ'!E245</f>
        <v>4.2285820000000002E-2</v>
      </c>
      <c r="F246" s="512">
        <f>+'F1 SEZ'!F245+'F1 Non-SEZ'!F245</f>
        <v>4.6396819999999998E-2</v>
      </c>
      <c r="G246" s="512">
        <f>+'F1 SEZ'!G245+'F1 Non-SEZ'!G245</f>
        <v>5.0255809999999998E-2</v>
      </c>
      <c r="H246" s="512">
        <f>+'F1 SEZ'!H245+'F1 Non-SEZ'!H245</f>
        <v>4.9949050000000002E-2</v>
      </c>
      <c r="I246" s="512">
        <f>+'F1 SEZ'!I245+'F1 Non-SEZ'!I245</f>
        <v>5.089983E-2</v>
      </c>
      <c r="J246" s="512">
        <f>+'F1 SEZ'!J245+'F1 Non-SEZ'!J245</f>
        <v>4.9129010000000001E-2</v>
      </c>
      <c r="K246" s="512">
        <f>+'F1 SEZ'!K245+'F1 Non-SEZ'!K245</f>
        <v>5.4122509999999999E-2</v>
      </c>
      <c r="L246" s="512">
        <f>+'F1 SEZ'!L245+'F1 Non-SEZ'!L245</f>
        <v>4.3960150000000003E-2</v>
      </c>
      <c r="M246" s="512">
        <f>+'F1 SEZ'!M245+'F1 Non-SEZ'!M245</f>
        <v>4.0398650000000001E-2</v>
      </c>
      <c r="N246" s="512">
        <f>+'F1 SEZ'!N245+'F1 Non-SEZ'!N245</f>
        <v>4.0224510000000005E-2</v>
      </c>
      <c r="O246" s="544">
        <f t="shared" si="38"/>
        <v>0.56095090999999997</v>
      </c>
    </row>
    <row r="247" spans="2:15" x14ac:dyDescent="0.4">
      <c r="B247" s="519" t="s">
        <v>1135</v>
      </c>
      <c r="C247" s="512">
        <f>+'F1 SEZ'!C246+'F1 Non-SEZ'!C246</f>
        <v>1.46E-2</v>
      </c>
      <c r="D247" s="512">
        <f>+'F1 SEZ'!D246+'F1 Non-SEZ'!D246</f>
        <v>1.3381000000000001E-2</v>
      </c>
      <c r="E247" s="512">
        <f>+'F1 SEZ'!E246+'F1 Non-SEZ'!E246</f>
        <v>1.4234E-2</v>
      </c>
      <c r="F247" s="512">
        <f>+'F1 SEZ'!F246+'F1 Non-SEZ'!F246</f>
        <v>1.3804E-2</v>
      </c>
      <c r="G247" s="512">
        <f>+'F1 SEZ'!G246+'F1 Non-SEZ'!G246</f>
        <v>1.4174000000000001E-2</v>
      </c>
      <c r="H247" s="512">
        <f>+'F1 SEZ'!H246+'F1 Non-SEZ'!H246</f>
        <v>1.3906E-2</v>
      </c>
      <c r="I247" s="512">
        <f>+'F1 SEZ'!I246+'F1 Non-SEZ'!I246</f>
        <v>1.5991999999999999E-2</v>
      </c>
      <c r="J247" s="512">
        <f>+'F1 SEZ'!J246+'F1 Non-SEZ'!J246</f>
        <v>1.3506000000000001E-2</v>
      </c>
      <c r="K247" s="512">
        <f>+'F1 SEZ'!K246+'F1 Non-SEZ'!K246</f>
        <v>1.193E-2</v>
      </c>
      <c r="L247" s="512">
        <f>+'F1 SEZ'!L246+'F1 Non-SEZ'!L246</f>
        <v>1.261E-2</v>
      </c>
      <c r="M247" s="512">
        <f>+'F1 SEZ'!M246+'F1 Non-SEZ'!M246</f>
        <v>1.133E-2</v>
      </c>
      <c r="N247" s="512">
        <f>+'F1 SEZ'!N246+'F1 Non-SEZ'!N246</f>
        <v>1.3690000000000001E-2</v>
      </c>
      <c r="O247" s="544">
        <f t="shared" si="38"/>
        <v>0.16315700000000005</v>
      </c>
    </row>
    <row r="248" spans="2:15" x14ac:dyDescent="0.4">
      <c r="B248" s="519" t="s">
        <v>1136</v>
      </c>
      <c r="C248" s="512">
        <f>+'F1 SEZ'!C247+'F1 Non-SEZ'!C247</f>
        <v>0</v>
      </c>
      <c r="D248" s="512">
        <f>+'F1 SEZ'!D247+'F1 Non-SEZ'!D247</f>
        <v>0</v>
      </c>
      <c r="E248" s="512">
        <f>+'F1 SEZ'!E247+'F1 Non-SEZ'!E247</f>
        <v>0</v>
      </c>
      <c r="F248" s="512">
        <f>+'F1 SEZ'!F247+'F1 Non-SEZ'!F247</f>
        <v>0</v>
      </c>
      <c r="G248" s="512">
        <f>+'F1 SEZ'!G247+'F1 Non-SEZ'!G247</f>
        <v>0</v>
      </c>
      <c r="H248" s="512">
        <f>+'F1 SEZ'!H247+'F1 Non-SEZ'!H247</f>
        <v>0</v>
      </c>
      <c r="I248" s="512">
        <f>+'F1 SEZ'!I247+'F1 Non-SEZ'!I247</f>
        <v>0</v>
      </c>
      <c r="J248" s="512">
        <f>+'F1 SEZ'!J247+'F1 Non-SEZ'!J247</f>
        <v>0</v>
      </c>
      <c r="K248" s="512">
        <f>+'F1 SEZ'!K247+'F1 Non-SEZ'!K247</f>
        <v>0</v>
      </c>
      <c r="L248" s="512">
        <f>+'F1 SEZ'!L247+'F1 Non-SEZ'!L247</f>
        <v>0</v>
      </c>
      <c r="M248" s="512">
        <f>+'F1 SEZ'!M247+'F1 Non-SEZ'!M247</f>
        <v>0</v>
      </c>
      <c r="N248" s="512">
        <f>+'F1 SEZ'!N247+'F1 Non-SEZ'!N247</f>
        <v>0</v>
      </c>
      <c r="O248" s="544">
        <f t="shared" si="38"/>
        <v>0</v>
      </c>
    </row>
    <row r="249" spans="2:15" x14ac:dyDescent="0.4">
      <c r="B249" s="566" t="s">
        <v>1142</v>
      </c>
      <c r="C249" s="512">
        <f>+'F1 SEZ'!C248+'F1 Non-SEZ'!C248</f>
        <v>2.2467899999999998E-3</v>
      </c>
      <c r="D249" s="512">
        <f>+'F1 SEZ'!D248+'F1 Non-SEZ'!D248</f>
        <v>2.4546799999999999E-3</v>
      </c>
      <c r="E249" s="512">
        <f>+'F1 SEZ'!E248+'F1 Non-SEZ'!E248</f>
        <v>2.1919609999999996E-3</v>
      </c>
      <c r="F249" s="512">
        <f>+'F1 SEZ'!F248+'F1 Non-SEZ'!F248</f>
        <v>2.1631300000000001E-3</v>
      </c>
      <c r="G249" s="512">
        <f>+'F1 SEZ'!G248+'F1 Non-SEZ'!G248</f>
        <v>1.8506500000000001E-3</v>
      </c>
      <c r="H249" s="512">
        <f>+'F1 SEZ'!H248+'F1 Non-SEZ'!H248</f>
        <v>1.7522899999999999E-3</v>
      </c>
      <c r="I249" s="512">
        <f>+'F1 SEZ'!I248+'F1 Non-SEZ'!I248</f>
        <v>2.4327399999999996E-3</v>
      </c>
      <c r="J249" s="512">
        <f>+'F1 SEZ'!J248+'F1 Non-SEZ'!J248</f>
        <v>2.82986E-3</v>
      </c>
      <c r="K249" s="512">
        <f>+'F1 SEZ'!K248+'F1 Non-SEZ'!K248</f>
        <v>3.3006310000000001E-3</v>
      </c>
      <c r="L249" s="512">
        <f>+'F1 SEZ'!L248+'F1 Non-SEZ'!L248</f>
        <v>3.3709609999999996E-3</v>
      </c>
      <c r="M249" s="512">
        <f>+'F1 SEZ'!M248+'F1 Non-SEZ'!M248</f>
        <v>3.4416100000000003E-3</v>
      </c>
      <c r="N249" s="512">
        <f>+'F1 SEZ'!N248+'F1 Non-SEZ'!N248</f>
        <v>4.2511000000000007E-3</v>
      </c>
      <c r="O249" s="544">
        <f t="shared" si="38"/>
        <v>3.2286402999999991E-2</v>
      </c>
    </row>
    <row r="250" spans="2:15" x14ac:dyDescent="0.4">
      <c r="B250" s="175" t="s">
        <v>162</v>
      </c>
      <c r="C250" s="567">
        <f>SUM(C237:C249)</f>
        <v>0.59256573000000001</v>
      </c>
      <c r="D250" s="567">
        <f t="shared" ref="D250:O250" si="39">SUM(D237:D249)</f>
        <v>0.70687434000000005</v>
      </c>
      <c r="E250" s="567">
        <f t="shared" si="39"/>
        <v>0.59251534099999992</v>
      </c>
      <c r="F250" s="567">
        <f t="shared" si="39"/>
        <v>0.52164101000000007</v>
      </c>
      <c r="G250" s="567">
        <f t="shared" si="39"/>
        <v>0.52860542999999993</v>
      </c>
      <c r="H250" s="567">
        <f t="shared" si="39"/>
        <v>0.52795059999999994</v>
      </c>
      <c r="I250" s="567">
        <f t="shared" si="39"/>
        <v>0.58283735000000003</v>
      </c>
      <c r="J250" s="567">
        <f t="shared" si="39"/>
        <v>0.54708725999999996</v>
      </c>
      <c r="K250" s="567">
        <f t="shared" si="39"/>
        <v>0.48122426099999999</v>
      </c>
      <c r="L250" s="567">
        <f t="shared" si="39"/>
        <v>0.49994810100000009</v>
      </c>
      <c r="M250" s="567">
        <f t="shared" si="39"/>
        <v>0.4914735899999999</v>
      </c>
      <c r="N250" s="567">
        <f t="shared" si="39"/>
        <v>0.63233085</v>
      </c>
      <c r="O250" s="567">
        <f t="shared" si="39"/>
        <v>6.7050538629999989</v>
      </c>
    </row>
    <row r="251" spans="2:15" x14ac:dyDescent="0.4">
      <c r="B251" s="175"/>
      <c r="C251" s="26"/>
      <c r="D251" s="26"/>
      <c r="E251" s="26"/>
      <c r="F251" s="26"/>
      <c r="G251" s="26"/>
      <c r="H251" s="26"/>
      <c r="I251" s="26"/>
      <c r="J251" s="26"/>
      <c r="K251" s="26"/>
      <c r="L251" s="26"/>
      <c r="M251" s="26"/>
      <c r="N251" s="26"/>
      <c r="O251" s="26"/>
    </row>
    <row r="252" spans="2:15" x14ac:dyDescent="0.4">
      <c r="B252" s="119" t="s">
        <v>164</v>
      </c>
      <c r="C252" s="568">
        <f>+C250+C234</f>
        <v>4.0464342999999996</v>
      </c>
      <c r="D252" s="568">
        <f t="shared" ref="D252:O252" si="40">+D250+D234</f>
        <v>4.9009941499999998</v>
      </c>
      <c r="E252" s="568">
        <f t="shared" si="40"/>
        <v>6.4841167209999995</v>
      </c>
      <c r="F252" s="568">
        <f t="shared" si="40"/>
        <v>6.8271647599999996</v>
      </c>
      <c r="G252" s="568">
        <f t="shared" si="40"/>
        <v>6.5423859399999991</v>
      </c>
      <c r="H252" s="568">
        <f t="shared" si="40"/>
        <v>6.8663822399999992</v>
      </c>
      <c r="I252" s="568">
        <f t="shared" si="40"/>
        <v>7.44692796</v>
      </c>
      <c r="J252" s="568">
        <f t="shared" si="40"/>
        <v>7.3746778999999991</v>
      </c>
      <c r="K252" s="568">
        <f t="shared" si="40"/>
        <v>7.7338695710000005</v>
      </c>
      <c r="L252" s="568">
        <f t="shared" si="40"/>
        <v>6.9117139410000004</v>
      </c>
      <c r="M252" s="568">
        <f t="shared" si="40"/>
        <v>6.9040132400000003</v>
      </c>
      <c r="N252" s="568">
        <f t="shared" si="40"/>
        <v>8.3231849400000009</v>
      </c>
      <c r="O252" s="568">
        <f t="shared" si="40"/>
        <v>80.361865663000003</v>
      </c>
    </row>
    <row r="253" spans="2:15" x14ac:dyDescent="0.4">
      <c r="B253" s="118" t="s">
        <v>165</v>
      </c>
    </row>
    <row r="254" spans="2:15" x14ac:dyDescent="0.4">
      <c r="B254" s="27" t="s">
        <v>166</v>
      </c>
    </row>
    <row r="255" spans="2:15" x14ac:dyDescent="0.4">
      <c r="B255" s="1" t="s">
        <v>184</v>
      </c>
      <c r="C255" s="30"/>
      <c r="D255" s="30"/>
      <c r="E255" s="30"/>
      <c r="F255" s="30"/>
    </row>
    <row r="256" spans="2:15" x14ac:dyDescent="0.4">
      <c r="B256" s="27" t="s">
        <v>168</v>
      </c>
      <c r="C256" s="30"/>
      <c r="D256" s="30"/>
      <c r="E256" s="30"/>
      <c r="F256" s="30"/>
    </row>
    <row r="258" spans="2:15" x14ac:dyDescent="0.4">
      <c r="B258" s="32" t="s">
        <v>189</v>
      </c>
      <c r="C258" s="8"/>
      <c r="D258" s="8"/>
      <c r="E258" s="8"/>
      <c r="F258" s="8"/>
      <c r="G258" s="8"/>
      <c r="H258" s="8"/>
      <c r="I258" s="8"/>
      <c r="J258" s="8"/>
      <c r="K258" s="8"/>
      <c r="L258" s="8"/>
      <c r="M258" s="8"/>
      <c r="N258" s="8"/>
      <c r="O258" s="4"/>
    </row>
    <row r="259" spans="2:15" x14ac:dyDescent="0.4">
      <c r="B259" s="32"/>
      <c r="C259" s="38"/>
      <c r="D259" s="38"/>
      <c r="O259" s="38" t="s">
        <v>171</v>
      </c>
    </row>
    <row r="260" spans="2:15" s="51" customFormat="1" ht="27" x14ac:dyDescent="0.35">
      <c r="B260" s="169" t="s">
        <v>160</v>
      </c>
      <c r="C260" s="106" t="s">
        <v>172</v>
      </c>
      <c r="D260" s="106" t="s">
        <v>173</v>
      </c>
      <c r="E260" s="64" t="s">
        <v>174</v>
      </c>
      <c r="F260" s="64" t="s">
        <v>175</v>
      </c>
      <c r="G260" s="64" t="s">
        <v>176</v>
      </c>
      <c r="H260" s="64" t="s">
        <v>177</v>
      </c>
      <c r="I260" s="64" t="s">
        <v>178</v>
      </c>
      <c r="J260" s="64" t="s">
        <v>179</v>
      </c>
      <c r="K260" s="64" t="s">
        <v>180</v>
      </c>
      <c r="L260" s="64" t="s">
        <v>181</v>
      </c>
      <c r="M260" s="64" t="s">
        <v>182</v>
      </c>
      <c r="N260" s="64" t="s">
        <v>183</v>
      </c>
      <c r="O260" s="158" t="s">
        <v>188</v>
      </c>
    </row>
    <row r="261" spans="2:15" x14ac:dyDescent="0.4">
      <c r="B261" s="517" t="s">
        <v>161</v>
      </c>
      <c r="C261" s="78"/>
      <c r="D261" s="78"/>
      <c r="E261" s="78"/>
      <c r="F261" s="3"/>
      <c r="G261" s="3"/>
      <c r="H261" s="2"/>
      <c r="I261" s="43"/>
      <c r="J261" s="44"/>
      <c r="K261" s="124"/>
      <c r="L261" s="124"/>
      <c r="M261" s="2"/>
      <c r="N261" s="2"/>
      <c r="O261" s="2"/>
    </row>
    <row r="262" spans="2:15" x14ac:dyDescent="0.4">
      <c r="B262" s="429" t="s">
        <v>1129</v>
      </c>
      <c r="C262" s="512">
        <f>+'F1 SEZ'!C261+'F1 Non-SEZ'!C261</f>
        <v>9.1778399999999998</v>
      </c>
      <c r="D262" s="512">
        <f>+'F1 SEZ'!D261+'F1 Non-SEZ'!D261</f>
        <v>9.4854470000000024</v>
      </c>
      <c r="E262" s="512">
        <f>+'F1 SEZ'!E261+'F1 Non-SEZ'!E261</f>
        <v>9.1766400000000008</v>
      </c>
      <c r="F262" s="512">
        <f>+'F1 SEZ'!F261+'F1 Non-SEZ'!F261</f>
        <v>11.049156</v>
      </c>
      <c r="G262" s="512">
        <f>+'F1 SEZ'!G261+'F1 Non-SEZ'!G261</f>
        <v>11.047955999999999</v>
      </c>
      <c r="H262" s="512">
        <f>+'F1 SEZ'!H261+'F1 Non-SEZ'!H261</f>
        <v>10.69308</v>
      </c>
      <c r="I262" s="512">
        <f>+'F1 SEZ'!I261+'F1 Non-SEZ'!I261</f>
        <v>11.648447999999998</v>
      </c>
      <c r="J262" s="512">
        <f>+'F1 SEZ'!J261+'F1 Non-SEZ'!J261</f>
        <v>11.273039999999998</v>
      </c>
      <c r="K262" s="512">
        <f>+'F1 SEZ'!K261+'F1 Non-SEZ'!K261</f>
        <v>11.647247999999999</v>
      </c>
      <c r="L262" s="512">
        <f>+'F1 SEZ'!L261+'F1 Non-SEZ'!L261</f>
        <v>12.178632000000004</v>
      </c>
      <c r="M262" s="512">
        <f>+'F1 SEZ'!M261+'F1 Non-SEZ'!M261</f>
        <v>11.008416000000004</v>
      </c>
      <c r="N262" s="512">
        <f>+'F1 SEZ'!N261+'F1 Non-SEZ'!N261</f>
        <v>12.191832000000005</v>
      </c>
      <c r="O262" s="544">
        <f>SUM(C262:N262)</f>
        <v>130.57773500000002</v>
      </c>
    </row>
    <row r="263" spans="2:15" x14ac:dyDescent="0.4">
      <c r="B263" s="429" t="s">
        <v>1130</v>
      </c>
      <c r="C263" s="512">
        <f>+'F1 SEZ'!C262+'F1 Non-SEZ'!C262</f>
        <v>4.9387066956661015E-2</v>
      </c>
      <c r="D263" s="512">
        <f>+'F1 SEZ'!D262+'F1 Non-SEZ'!D262</f>
        <v>5.6980379365925635E-2</v>
      </c>
      <c r="E263" s="512">
        <f>+'F1 SEZ'!E262+'F1 Non-SEZ'!E262</f>
        <v>4.0178410131312091E-2</v>
      </c>
      <c r="F263" s="512">
        <f>+'F1 SEZ'!F262+'F1 Non-SEZ'!F262</f>
        <v>5.5791857896013958E-2</v>
      </c>
      <c r="G263" s="512">
        <f>+'F1 SEZ'!G262+'F1 Non-SEZ'!G262</f>
        <v>4.9910874284645412E-2</v>
      </c>
      <c r="H263" s="512">
        <f>+'F1 SEZ'!H262+'F1 Non-SEZ'!H262</f>
        <v>4.962047027730232E-2</v>
      </c>
      <c r="I263" s="512">
        <f>+'F1 SEZ'!I262+'F1 Non-SEZ'!I262</f>
        <v>4.7828571339981293E-2</v>
      </c>
      <c r="J263" s="512">
        <f>+'F1 SEZ'!J262+'F1 Non-SEZ'!J262</f>
        <v>3.7943122770810959E-2</v>
      </c>
      <c r="K263" s="512">
        <f>+'F1 SEZ'!K262+'F1 Non-SEZ'!K262</f>
        <v>5.3481188338808633E-2</v>
      </c>
      <c r="L263" s="512">
        <f>+'F1 SEZ'!L262+'F1 Non-SEZ'!L262</f>
        <v>5.9439990566008002E-2</v>
      </c>
      <c r="M263" s="512">
        <f>+'F1 SEZ'!M262+'F1 Non-SEZ'!M262</f>
        <v>5.5124898149527889E-2</v>
      </c>
      <c r="N263" s="512">
        <f>+'F1 SEZ'!N262+'F1 Non-SEZ'!N262</f>
        <v>6.6935532020849106E-2</v>
      </c>
      <c r="O263" s="544">
        <f>SUM(C263:N263)</f>
        <v>0.62262236209784638</v>
      </c>
    </row>
    <row r="264" spans="2:15" x14ac:dyDescent="0.4">
      <c r="B264" s="429" t="s">
        <v>1131</v>
      </c>
      <c r="C264" s="512">
        <f>+'F1 SEZ'!C263+'F1 Non-SEZ'!C263</f>
        <v>0</v>
      </c>
      <c r="D264" s="512">
        <f>+'F1 SEZ'!D263+'F1 Non-SEZ'!D263</f>
        <v>0</v>
      </c>
      <c r="E264" s="512">
        <f>+'F1 SEZ'!E263+'F1 Non-SEZ'!E263</f>
        <v>0</v>
      </c>
      <c r="F264" s="512">
        <f>+'F1 SEZ'!F263+'F1 Non-SEZ'!F263</f>
        <v>0</v>
      </c>
      <c r="G264" s="512">
        <f>+'F1 SEZ'!G263+'F1 Non-SEZ'!G263</f>
        <v>0</v>
      </c>
      <c r="H264" s="512">
        <f>+'F1 SEZ'!H263+'F1 Non-SEZ'!H263</f>
        <v>0</v>
      </c>
      <c r="I264" s="512">
        <f>+'F1 SEZ'!I263+'F1 Non-SEZ'!I263</f>
        <v>0</v>
      </c>
      <c r="J264" s="512">
        <f>+'F1 SEZ'!J263+'F1 Non-SEZ'!J263</f>
        <v>0</v>
      </c>
      <c r="K264" s="512">
        <f>+'F1 SEZ'!K263+'F1 Non-SEZ'!K263</f>
        <v>0</v>
      </c>
      <c r="L264" s="512">
        <f>+'F1 SEZ'!L263+'F1 Non-SEZ'!L263</f>
        <v>0</v>
      </c>
      <c r="M264" s="512">
        <f>+'F1 SEZ'!M263+'F1 Non-SEZ'!M263</f>
        <v>0</v>
      </c>
      <c r="N264" s="512">
        <f>+'F1 SEZ'!N263+'F1 Non-SEZ'!N263</f>
        <v>0</v>
      </c>
      <c r="O264" s="544">
        <f>SUM(C264:N264)</f>
        <v>0</v>
      </c>
    </row>
    <row r="265" spans="2:15" x14ac:dyDescent="0.4">
      <c r="B265" s="429" t="s">
        <v>1132</v>
      </c>
      <c r="C265" s="512">
        <f>+'F1 SEZ'!C264+'F1 Non-SEZ'!C264</f>
        <v>0</v>
      </c>
      <c r="D265" s="512">
        <f>+'F1 SEZ'!D264+'F1 Non-SEZ'!D264</f>
        <v>0</v>
      </c>
      <c r="E265" s="512">
        <f>+'F1 SEZ'!E264+'F1 Non-SEZ'!E264</f>
        <v>0</v>
      </c>
      <c r="F265" s="512">
        <f>+'F1 SEZ'!F264+'F1 Non-SEZ'!F264</f>
        <v>0</v>
      </c>
      <c r="G265" s="512">
        <f>+'F1 SEZ'!G264+'F1 Non-SEZ'!G264</f>
        <v>0</v>
      </c>
      <c r="H265" s="512">
        <f>+'F1 SEZ'!H264+'F1 Non-SEZ'!H264</f>
        <v>0</v>
      </c>
      <c r="I265" s="512">
        <f>+'F1 SEZ'!I264+'F1 Non-SEZ'!I264</f>
        <v>0</v>
      </c>
      <c r="J265" s="512">
        <f>+'F1 SEZ'!J264+'F1 Non-SEZ'!J264</f>
        <v>0</v>
      </c>
      <c r="K265" s="512">
        <f>+'F1 SEZ'!K264+'F1 Non-SEZ'!K264</f>
        <v>0</v>
      </c>
      <c r="L265" s="512">
        <f>+'F1 SEZ'!L264+'F1 Non-SEZ'!L264</f>
        <v>0</v>
      </c>
      <c r="M265" s="512">
        <f>+'F1 SEZ'!M264+'F1 Non-SEZ'!M264</f>
        <v>0</v>
      </c>
      <c r="N265" s="512">
        <f>+'F1 SEZ'!N264+'F1 Non-SEZ'!N264</f>
        <v>0</v>
      </c>
      <c r="O265" s="544">
        <f>SUM(C265:N265)</f>
        <v>0</v>
      </c>
    </row>
    <row r="266" spans="2:15" x14ac:dyDescent="0.4">
      <c r="B266" s="518" t="s">
        <v>162</v>
      </c>
      <c r="C266" s="545">
        <f>SUM(C262:C265)</f>
        <v>9.2272270669566616</v>
      </c>
      <c r="D266" s="545">
        <f t="shared" ref="D266:O266" si="41">SUM(D262:D265)</f>
        <v>9.5424273793659289</v>
      </c>
      <c r="E266" s="545">
        <f t="shared" si="41"/>
        <v>9.2168184101313138</v>
      </c>
      <c r="F266" s="545">
        <f t="shared" si="41"/>
        <v>11.104947857896015</v>
      </c>
      <c r="G266" s="545">
        <f t="shared" si="41"/>
        <v>11.097866874284644</v>
      </c>
      <c r="H266" s="545">
        <f t="shared" si="41"/>
        <v>10.742700470277303</v>
      </c>
      <c r="I266" s="545">
        <f t="shared" si="41"/>
        <v>11.696276571339979</v>
      </c>
      <c r="J266" s="545">
        <f t="shared" si="41"/>
        <v>11.310983122770809</v>
      </c>
      <c r="K266" s="545">
        <f t="shared" si="41"/>
        <v>11.700729188338808</v>
      </c>
      <c r="L266" s="545">
        <f t="shared" si="41"/>
        <v>12.238071990566011</v>
      </c>
      <c r="M266" s="545">
        <f t="shared" si="41"/>
        <v>11.063540898149531</v>
      </c>
      <c r="N266" s="545">
        <f t="shared" si="41"/>
        <v>12.258767532020855</v>
      </c>
      <c r="O266" s="545">
        <f t="shared" si="41"/>
        <v>131.20035736209786</v>
      </c>
    </row>
    <row r="267" spans="2:15" x14ac:dyDescent="0.4">
      <c r="B267" s="517" t="s">
        <v>163</v>
      </c>
      <c r="C267" s="545"/>
      <c r="D267" s="545"/>
      <c r="E267" s="545"/>
      <c r="F267" s="545"/>
      <c r="G267" s="545"/>
      <c r="H267" s="545"/>
      <c r="I267" s="545"/>
      <c r="J267" s="545"/>
      <c r="K267" s="545"/>
      <c r="L267" s="545"/>
      <c r="M267" s="545"/>
      <c r="N267" s="545"/>
      <c r="O267" s="545"/>
    </row>
    <row r="268" spans="2:15" x14ac:dyDescent="0.4">
      <c r="B268" s="519" t="s">
        <v>1133</v>
      </c>
      <c r="C268" s="546"/>
      <c r="D268" s="546"/>
      <c r="E268" s="547"/>
      <c r="F268" s="546"/>
      <c r="G268" s="547"/>
      <c r="H268" s="547"/>
      <c r="I268" s="543"/>
      <c r="J268" s="545"/>
      <c r="K268" s="547"/>
      <c r="L268" s="545"/>
      <c r="M268" s="545"/>
      <c r="N268" s="548"/>
      <c r="O268" s="544">
        <f t="shared" ref="O268:O281" si="42">SUM(C268:N268)</f>
        <v>0</v>
      </c>
    </row>
    <row r="269" spans="2:15" x14ac:dyDescent="0.4">
      <c r="B269" s="520" t="s">
        <v>1106</v>
      </c>
      <c r="C269" s="512">
        <f>+'F1 SEZ'!C268+'F1 Non-SEZ'!C268</f>
        <v>0.1262706716635591</v>
      </c>
      <c r="D269" s="512">
        <f>+'F1 SEZ'!D268+'F1 Non-SEZ'!D268</f>
        <v>0.13504253738568697</v>
      </c>
      <c r="E269" s="512">
        <f>+'F1 SEZ'!E268+'F1 Non-SEZ'!E268</f>
        <v>0.13574097203832605</v>
      </c>
      <c r="F269" s="512">
        <f>+'F1 SEZ'!F268+'F1 Non-SEZ'!F268</f>
        <v>0.13397318263503624</v>
      </c>
      <c r="G269" s="512">
        <f>+'F1 SEZ'!G268+'F1 Non-SEZ'!G268</f>
        <v>0.13479525732034586</v>
      </c>
      <c r="H269" s="512">
        <f>+'F1 SEZ'!H268+'F1 Non-SEZ'!H268</f>
        <v>0.13812827692446522</v>
      </c>
      <c r="I269" s="512">
        <f>+'F1 SEZ'!I268+'F1 Non-SEZ'!I268</f>
        <v>0.14160203571470958</v>
      </c>
      <c r="J269" s="512">
        <f>+'F1 SEZ'!J268+'F1 Non-SEZ'!J268</f>
        <v>0.14185589237753321</v>
      </c>
      <c r="K269" s="512">
        <f>+'F1 SEZ'!K268+'F1 Non-SEZ'!K268</f>
        <v>0.13888984691293604</v>
      </c>
      <c r="L269" s="512">
        <f>+'F1 SEZ'!L268+'F1 Non-SEZ'!L268</f>
        <v>0.14396434953041531</v>
      </c>
      <c r="M269" s="512">
        <f>+'F1 SEZ'!M268+'F1 Non-SEZ'!M268</f>
        <v>0.14445101774411864</v>
      </c>
      <c r="N269" s="512">
        <f>+'F1 SEZ'!N268+'F1 Non-SEZ'!N268</f>
        <v>0.15378715553024302</v>
      </c>
      <c r="O269" s="544">
        <f t="shared" si="42"/>
        <v>1.6685011957773752</v>
      </c>
    </row>
    <row r="270" spans="2:15" x14ac:dyDescent="0.4">
      <c r="B270" s="520" t="s">
        <v>1107</v>
      </c>
      <c r="C270" s="512">
        <f>+'F1 SEZ'!C269+'F1 Non-SEZ'!C269</f>
        <v>0.1465259333562712</v>
      </c>
      <c r="D270" s="512">
        <f>+'F1 SEZ'!D269+'F1 Non-SEZ'!D269</f>
        <v>0.16602348653917234</v>
      </c>
      <c r="E270" s="512">
        <f>+'F1 SEZ'!E269+'F1 Non-SEZ'!E269</f>
        <v>0.15352725070297049</v>
      </c>
      <c r="F270" s="512">
        <f>+'F1 SEZ'!F269+'F1 Non-SEZ'!F269</f>
        <v>0.12390221056740196</v>
      </c>
      <c r="G270" s="512">
        <f>+'F1 SEZ'!G269+'F1 Non-SEZ'!G269</f>
        <v>0.12479712486046843</v>
      </c>
      <c r="H270" s="512">
        <f>+'F1 SEZ'!H269+'F1 Non-SEZ'!H269</f>
        <v>0.12357053748034903</v>
      </c>
      <c r="I270" s="512">
        <f>+'F1 SEZ'!I269+'F1 Non-SEZ'!I269</f>
        <v>0.14206704098232675</v>
      </c>
      <c r="J270" s="512">
        <f>+'F1 SEZ'!J269+'F1 Non-SEZ'!J269</f>
        <v>0.13064180769631767</v>
      </c>
      <c r="K270" s="512">
        <f>+'F1 SEZ'!K269+'F1 Non-SEZ'!K269</f>
        <v>0.10423942388295078</v>
      </c>
      <c r="L270" s="512">
        <f>+'F1 SEZ'!L269+'F1 Non-SEZ'!L269</f>
        <v>0.11319218506547431</v>
      </c>
      <c r="M270" s="512">
        <f>+'F1 SEZ'!M269+'F1 Non-SEZ'!M269</f>
        <v>0.11857252557944944</v>
      </c>
      <c r="N270" s="512">
        <f>+'F1 SEZ'!N269+'F1 Non-SEZ'!N269</f>
        <v>0.16869737466279552</v>
      </c>
      <c r="O270" s="544">
        <f t="shared" si="42"/>
        <v>1.6157569013759479</v>
      </c>
    </row>
    <row r="271" spans="2:15" x14ac:dyDescent="0.4">
      <c r="B271" s="520" t="s">
        <v>1108</v>
      </c>
      <c r="C271" s="512">
        <f>+'F1 SEZ'!C270+'F1 Non-SEZ'!C270</f>
        <v>6.6477188043788812E-2</v>
      </c>
      <c r="D271" s="512">
        <f>+'F1 SEZ'!D270+'F1 Non-SEZ'!D270</f>
        <v>9.346537908701151E-2</v>
      </c>
      <c r="E271" s="512">
        <f>+'F1 SEZ'!E270+'F1 Non-SEZ'!E270</f>
        <v>6.5827015006671749E-2</v>
      </c>
      <c r="F271" s="512">
        <f>+'F1 SEZ'!F270+'F1 Non-SEZ'!F270</f>
        <v>3.4348805460064059E-2</v>
      </c>
      <c r="G271" s="512">
        <f>+'F1 SEZ'!G270+'F1 Non-SEZ'!G270</f>
        <v>3.6027235350840243E-2</v>
      </c>
      <c r="H271" s="512">
        <f>+'F1 SEZ'!H270+'F1 Non-SEZ'!H270</f>
        <v>3.5087489448452538E-2</v>
      </c>
      <c r="I271" s="512">
        <f>+'F1 SEZ'!I270+'F1 Non-SEZ'!I270</f>
        <v>4.8841654184910724E-2</v>
      </c>
      <c r="J271" s="512">
        <f>+'F1 SEZ'!J270+'F1 Non-SEZ'!J270</f>
        <v>4.1305110593320031E-2</v>
      </c>
      <c r="K271" s="512">
        <f>+'F1 SEZ'!K270+'F1 Non-SEZ'!K270</f>
        <v>2.2009723216154815E-2</v>
      </c>
      <c r="L271" s="512">
        <f>+'F1 SEZ'!L270+'F1 Non-SEZ'!L270</f>
        <v>2.6245136143660329E-2</v>
      </c>
      <c r="M271" s="512">
        <f>+'F1 SEZ'!M270+'F1 Non-SEZ'!M270</f>
        <v>2.9358317627267965E-2</v>
      </c>
      <c r="N271" s="512">
        <f>+'F1 SEZ'!N270+'F1 Non-SEZ'!N270</f>
        <v>6.6937226444841402E-2</v>
      </c>
      <c r="O271" s="544">
        <f t="shared" si="42"/>
        <v>0.56593028060698414</v>
      </c>
    </row>
    <row r="272" spans="2:15" x14ac:dyDescent="0.4">
      <c r="B272" s="520" t="s">
        <v>1109</v>
      </c>
      <c r="C272" s="512">
        <f>+'F1 SEZ'!C271+'F1 Non-SEZ'!C271</f>
        <v>0.31144057369918282</v>
      </c>
      <c r="D272" s="512">
        <f>+'F1 SEZ'!D271+'F1 Non-SEZ'!D271</f>
        <v>0.40400235861971856</v>
      </c>
      <c r="E272" s="512">
        <f>+'F1 SEZ'!E271+'F1 Non-SEZ'!E271</f>
        <v>0.27932577037967193</v>
      </c>
      <c r="F272" s="512">
        <f>+'F1 SEZ'!F271+'F1 Non-SEZ'!F271</f>
        <v>0.25973413994928934</v>
      </c>
      <c r="G272" s="512">
        <f>+'F1 SEZ'!G271+'F1 Non-SEZ'!G271</f>
        <v>0.25124365545457022</v>
      </c>
      <c r="H272" s="512">
        <f>+'F1 SEZ'!H271+'F1 Non-SEZ'!H271</f>
        <v>0.26000754255230007</v>
      </c>
      <c r="I272" s="512">
        <f>+'F1 SEZ'!I271+'F1 Non-SEZ'!I271</f>
        <v>0.28057442007269073</v>
      </c>
      <c r="J272" s="512">
        <f>+'F1 SEZ'!J271+'F1 Non-SEZ'!J271</f>
        <v>0.27223730776990451</v>
      </c>
      <c r="K272" s="512">
        <f>+'F1 SEZ'!K271+'F1 Non-SEZ'!K271</f>
        <v>0.23626819458355866</v>
      </c>
      <c r="L272" s="512">
        <f>+'F1 SEZ'!L271+'F1 Non-SEZ'!L271</f>
        <v>0.24627406301813634</v>
      </c>
      <c r="M272" s="512">
        <f>+'F1 SEZ'!M271+'F1 Non-SEZ'!M271</f>
        <v>0.23062009690672611</v>
      </c>
      <c r="N272" s="512">
        <f>+'F1 SEZ'!N271+'F1 Non-SEZ'!N271</f>
        <v>0.29463798323731871</v>
      </c>
      <c r="O272" s="544">
        <f t="shared" si="42"/>
        <v>3.3263661062430678</v>
      </c>
    </row>
    <row r="273" spans="2:15" x14ac:dyDescent="0.4">
      <c r="B273" s="520" t="s">
        <v>1110</v>
      </c>
      <c r="C273" s="512">
        <f>+'F1 SEZ'!C272+'F1 Non-SEZ'!C272</f>
        <v>0</v>
      </c>
      <c r="D273" s="512">
        <f>+'F1 SEZ'!D272+'F1 Non-SEZ'!D272</f>
        <v>0</v>
      </c>
      <c r="E273" s="512">
        <f>+'F1 SEZ'!E272+'F1 Non-SEZ'!E272</f>
        <v>0</v>
      </c>
      <c r="F273" s="512">
        <f>+'F1 SEZ'!F272+'F1 Non-SEZ'!F272</f>
        <v>0</v>
      </c>
      <c r="G273" s="512">
        <f>+'F1 SEZ'!G272+'F1 Non-SEZ'!G272</f>
        <v>0</v>
      </c>
      <c r="H273" s="512">
        <f>+'F1 SEZ'!H272+'F1 Non-SEZ'!H272</f>
        <v>0</v>
      </c>
      <c r="I273" s="512">
        <f>+'F1 SEZ'!I272+'F1 Non-SEZ'!I272</f>
        <v>0</v>
      </c>
      <c r="J273" s="512">
        <f>+'F1 SEZ'!J272+'F1 Non-SEZ'!J272</f>
        <v>0</v>
      </c>
      <c r="K273" s="512">
        <f>+'F1 SEZ'!K272+'F1 Non-SEZ'!K272</f>
        <v>0</v>
      </c>
      <c r="L273" s="512">
        <f>+'F1 SEZ'!L272+'F1 Non-SEZ'!L272</f>
        <v>0</v>
      </c>
      <c r="M273" s="512">
        <f>+'F1 SEZ'!M272+'F1 Non-SEZ'!M272</f>
        <v>0</v>
      </c>
      <c r="N273" s="512">
        <f>+'F1 SEZ'!N272+'F1 Non-SEZ'!N272</f>
        <v>0</v>
      </c>
      <c r="O273" s="544">
        <f t="shared" si="42"/>
        <v>0</v>
      </c>
    </row>
    <row r="274" spans="2:15" x14ac:dyDescent="0.4">
      <c r="B274" s="519" t="s">
        <v>1145</v>
      </c>
      <c r="C274" s="512">
        <f>+'F1 SEZ'!C273+'F1 Non-SEZ'!C273</f>
        <v>0</v>
      </c>
      <c r="D274" s="512">
        <f>+'F1 SEZ'!D273+'F1 Non-SEZ'!D273</f>
        <v>0</v>
      </c>
      <c r="E274" s="512">
        <f>+'F1 SEZ'!E273+'F1 Non-SEZ'!E273</f>
        <v>0</v>
      </c>
      <c r="F274" s="512">
        <f>+'F1 SEZ'!F273+'F1 Non-SEZ'!F273</f>
        <v>0</v>
      </c>
      <c r="G274" s="512">
        <f>+'F1 SEZ'!G273+'F1 Non-SEZ'!G273</f>
        <v>0</v>
      </c>
      <c r="H274" s="512">
        <f>+'F1 SEZ'!H273+'F1 Non-SEZ'!H273</f>
        <v>0</v>
      </c>
      <c r="I274" s="512">
        <f>+'F1 SEZ'!I273+'F1 Non-SEZ'!I273</f>
        <v>0</v>
      </c>
      <c r="J274" s="512">
        <f>+'F1 SEZ'!J273+'F1 Non-SEZ'!J273</f>
        <v>0</v>
      </c>
      <c r="K274" s="512">
        <f>+'F1 SEZ'!K273+'F1 Non-SEZ'!K273</f>
        <v>0</v>
      </c>
      <c r="L274" s="512">
        <f>+'F1 SEZ'!L273+'F1 Non-SEZ'!L273</f>
        <v>0</v>
      </c>
      <c r="M274" s="512">
        <f>+'F1 SEZ'!M273+'F1 Non-SEZ'!M273</f>
        <v>0</v>
      </c>
      <c r="N274" s="512">
        <f>+'F1 SEZ'!N273+'F1 Non-SEZ'!N273</f>
        <v>0</v>
      </c>
      <c r="O274" s="544">
        <f t="shared" si="42"/>
        <v>0</v>
      </c>
    </row>
    <row r="275" spans="2:15" x14ac:dyDescent="0.4">
      <c r="B275" s="520" t="s">
        <v>1140</v>
      </c>
      <c r="C275" s="512">
        <f>+'F1 SEZ'!C274+'F1 Non-SEZ'!C274</f>
        <v>2.3311918329334089E-2</v>
      </c>
      <c r="D275" s="512">
        <f>+'F1 SEZ'!D274+'F1 Non-SEZ'!D274</f>
        <v>3.0048744100208028E-2</v>
      </c>
      <c r="E275" s="512">
        <f>+'F1 SEZ'!E274+'F1 Non-SEZ'!E274</f>
        <v>2.5079043733316354E-2</v>
      </c>
      <c r="F275" s="512">
        <f>+'F1 SEZ'!F274+'F1 Non-SEZ'!F274</f>
        <v>2.3789314053856064E-2</v>
      </c>
      <c r="G275" s="512">
        <f>+'F1 SEZ'!G274+'F1 Non-SEZ'!G274</f>
        <v>2.4812615595485185E-2</v>
      </c>
      <c r="H275" s="512">
        <f>+'F1 SEZ'!H274+'F1 Non-SEZ'!H274</f>
        <v>2.2844309760895704E-2</v>
      </c>
      <c r="I275" s="512">
        <f>+'F1 SEZ'!I274+'F1 Non-SEZ'!I274</f>
        <v>2.3405440043021763E-2</v>
      </c>
      <c r="J275" s="512">
        <f>+'F1 SEZ'!J274+'F1 Non-SEZ'!J274</f>
        <v>2.3605533011841911E-2</v>
      </c>
      <c r="K275" s="512">
        <f>+'F1 SEZ'!K274+'F1 Non-SEZ'!K274</f>
        <v>1.9560175163956348E-2</v>
      </c>
      <c r="L275" s="512">
        <f>+'F1 SEZ'!L274+'F1 Non-SEZ'!L274</f>
        <v>2.0628062638855169E-2</v>
      </c>
      <c r="M275" s="512">
        <f>+'F1 SEZ'!M274+'F1 Non-SEZ'!M274</f>
        <v>2.0148491990759059E-2</v>
      </c>
      <c r="N275" s="512">
        <f>+'F1 SEZ'!N274+'F1 Non-SEZ'!N274</f>
        <v>2.3073764197966629E-2</v>
      </c>
      <c r="O275" s="544">
        <f t="shared" si="42"/>
        <v>0.28030741261949632</v>
      </c>
    </row>
    <row r="276" spans="2:15" x14ac:dyDescent="0.4">
      <c r="B276" s="520" t="s">
        <v>1144</v>
      </c>
      <c r="C276" s="512">
        <f>+'F1 SEZ'!C275+'F1 Non-SEZ'!C275</f>
        <v>3.5760952548959148E-2</v>
      </c>
      <c r="D276" s="512">
        <f>+'F1 SEZ'!D275+'F1 Non-SEZ'!D275</f>
        <v>4.2534081142719726E-2</v>
      </c>
      <c r="E276" s="512">
        <f>+'F1 SEZ'!E275+'F1 Non-SEZ'!E275</f>
        <v>4.3269401630679653E-2</v>
      </c>
      <c r="F276" s="512">
        <f>+'F1 SEZ'!F275+'F1 Non-SEZ'!F275</f>
        <v>3.800835606126618E-2</v>
      </c>
      <c r="G276" s="512">
        <f>+'F1 SEZ'!G275+'F1 Non-SEZ'!G275</f>
        <v>4.1400197680141707E-2</v>
      </c>
      <c r="H276" s="512">
        <f>+'F1 SEZ'!H275+'F1 Non-SEZ'!H275</f>
        <v>3.9131122919137874E-2</v>
      </c>
      <c r="I276" s="512">
        <f>+'F1 SEZ'!I275+'F1 Non-SEZ'!I275</f>
        <v>4.5925779717049413E-2</v>
      </c>
      <c r="J276" s="512">
        <f>+'F1 SEZ'!J275+'F1 Non-SEZ'!J275</f>
        <v>3.7724453507617224E-2</v>
      </c>
      <c r="K276" s="512">
        <f>+'F1 SEZ'!K275+'F1 Non-SEZ'!K275</f>
        <v>3.6421838785737438E-2</v>
      </c>
      <c r="L276" s="512">
        <f>+'F1 SEZ'!L275+'F1 Non-SEZ'!L275</f>
        <v>4.1022805298309935E-2</v>
      </c>
      <c r="M276" s="512">
        <f>+'F1 SEZ'!M275+'F1 Non-SEZ'!M275</f>
        <v>3.9336585974321304E-2</v>
      </c>
      <c r="N276" s="512">
        <f>+'F1 SEZ'!N275+'F1 Non-SEZ'!N275</f>
        <v>5.1893996651292351E-2</v>
      </c>
      <c r="O276" s="544">
        <f t="shared" si="42"/>
        <v>0.49242957191723197</v>
      </c>
    </row>
    <row r="277" spans="2:15" x14ac:dyDescent="0.4">
      <c r="B277" s="520" t="s">
        <v>1143</v>
      </c>
      <c r="C277" s="512">
        <f>+'F1 SEZ'!C276+'F1 Non-SEZ'!C276</f>
        <v>1.3488023658332359E-2</v>
      </c>
      <c r="D277" s="512">
        <f>+'F1 SEZ'!D276+'F1 Non-SEZ'!D276</f>
        <v>1.0619133820826574E-2</v>
      </c>
      <c r="E277" s="512">
        <f>+'F1 SEZ'!E276+'F1 Non-SEZ'!E276</f>
        <v>1.6927327807933785E-2</v>
      </c>
      <c r="F277" s="512">
        <f>+'F1 SEZ'!F276+'F1 Non-SEZ'!F276</f>
        <v>1.4037013093616933E-2</v>
      </c>
      <c r="G277" s="512">
        <f>+'F1 SEZ'!G276+'F1 Non-SEZ'!G276</f>
        <v>1.5674047895210326E-2</v>
      </c>
      <c r="H277" s="512">
        <f>+'F1 SEZ'!H276+'F1 Non-SEZ'!H276</f>
        <v>1.2550052937332624E-2</v>
      </c>
      <c r="I277" s="512">
        <f>+'F1 SEZ'!I276+'F1 Non-SEZ'!I276</f>
        <v>1.4396847166156765E-2</v>
      </c>
      <c r="J277" s="512">
        <f>+'F1 SEZ'!J276+'F1 Non-SEZ'!J276</f>
        <v>9.5898686677546776E-3</v>
      </c>
      <c r="K277" s="512">
        <f>+'F1 SEZ'!K276+'F1 Non-SEZ'!K276</f>
        <v>7.284257100498152E-3</v>
      </c>
      <c r="L277" s="512">
        <f>+'F1 SEZ'!L276+'F1 Non-SEZ'!L276</f>
        <v>9.7832621023002005E-3</v>
      </c>
      <c r="M277" s="512">
        <f>+'F1 SEZ'!M276+'F1 Non-SEZ'!M276</f>
        <v>9.9468717753366746E-3</v>
      </c>
      <c r="N277" s="512">
        <f>+'F1 SEZ'!N276+'F1 Non-SEZ'!N276</f>
        <v>1.2346943765061989E-2</v>
      </c>
      <c r="O277" s="544">
        <f t="shared" si="42"/>
        <v>0.14664364979036104</v>
      </c>
    </row>
    <row r="278" spans="2:15" x14ac:dyDescent="0.4">
      <c r="B278" s="519" t="s">
        <v>1111</v>
      </c>
      <c r="C278" s="512">
        <f>+'F1 SEZ'!C277+'F1 Non-SEZ'!C277</f>
        <v>6.7095778215386995E-2</v>
      </c>
      <c r="D278" s="512">
        <f>+'F1 SEZ'!D277+'F1 Non-SEZ'!D277</f>
        <v>6.8773442724109832E-2</v>
      </c>
      <c r="E278" s="512">
        <f>+'F1 SEZ'!E277+'F1 Non-SEZ'!E277</f>
        <v>6.1560252550128376E-2</v>
      </c>
      <c r="F278" s="512">
        <f>+'F1 SEZ'!F277+'F1 Non-SEZ'!F277</f>
        <v>6.7545100384073131E-2</v>
      </c>
      <c r="G278" s="512">
        <f>+'F1 SEZ'!G277+'F1 Non-SEZ'!G277</f>
        <v>7.3163068747662138E-2</v>
      </c>
      <c r="H278" s="512">
        <f>+'F1 SEZ'!H277+'F1 Non-SEZ'!H277</f>
        <v>7.2716483507686253E-2</v>
      </c>
      <c r="I278" s="512">
        <f>+'F1 SEZ'!I277+'F1 Non-SEZ'!I277</f>
        <v>7.4100641528498212E-2</v>
      </c>
      <c r="J278" s="512">
        <f>+'F1 SEZ'!J277+'F1 Non-SEZ'!J277</f>
        <v>7.1522658497287797E-2</v>
      </c>
      <c r="K278" s="512">
        <f>+'F1 SEZ'!K277+'F1 Non-SEZ'!K277</f>
        <v>7.8792261430589455E-2</v>
      </c>
      <c r="L278" s="512">
        <f>+'F1 SEZ'!L277+'F1 Non-SEZ'!L277</f>
        <v>6.3997764171098634E-2</v>
      </c>
      <c r="M278" s="512">
        <f>+'F1 SEZ'!M277+'F1 Non-SEZ'!M277</f>
        <v>5.8812885659642961E-2</v>
      </c>
      <c r="N278" s="512">
        <f>+'F1 SEZ'!N277+'F1 Non-SEZ'!N277</f>
        <v>5.855937035879083E-2</v>
      </c>
      <c r="O278" s="544">
        <f t="shared" si="42"/>
        <v>0.81663970777495454</v>
      </c>
    </row>
    <row r="279" spans="2:15" x14ac:dyDescent="0.4">
      <c r="B279" s="519" t="s">
        <v>1135</v>
      </c>
      <c r="C279" s="512">
        <f>+'F1 SEZ'!C278+'F1 Non-SEZ'!C278</f>
        <v>2.7102168423148186E-2</v>
      </c>
      <c r="D279" s="512">
        <f>+'F1 SEZ'!D278+'F1 Non-SEZ'!D278</f>
        <v>2.488068941553009E-2</v>
      </c>
      <c r="E279" s="512">
        <f>+'F1 SEZ'!E278+'F1 Non-SEZ'!E278</f>
        <v>2.6423174764837035E-2</v>
      </c>
      <c r="F279" s="512">
        <f>+'F1 SEZ'!F278+'F1 Non-SEZ'!F278</f>
        <v>2.5607496542237318E-2</v>
      </c>
      <c r="G279" s="512">
        <f>+'F1 SEZ'!G278+'F1 Non-SEZ'!G278</f>
        <v>2.6308550397360735E-2</v>
      </c>
      <c r="H279" s="512">
        <f>+'F1 SEZ'!H278+'F1 Non-SEZ'!H278</f>
        <v>2.5789098676829266E-2</v>
      </c>
      <c r="I279" s="512">
        <f>+'F1 SEZ'!I278+'F1 Non-SEZ'!I278</f>
        <v>2.9635164444361994E-2</v>
      </c>
      <c r="J279" s="512">
        <f>+'F1 SEZ'!J278+'F1 Non-SEZ'!J278</f>
        <v>2.5055729660320856E-2</v>
      </c>
      <c r="K279" s="512">
        <f>+'F1 SEZ'!K278+'F1 Non-SEZ'!K278</f>
        <v>2.2155713512807026E-2</v>
      </c>
      <c r="L279" s="512">
        <f>+'F1 SEZ'!L278+'F1 Non-SEZ'!L278</f>
        <v>2.3417113006165571E-2</v>
      </c>
      <c r="M279" s="512">
        <f>+'F1 SEZ'!M278+'F1 Non-SEZ'!M278</f>
        <v>2.1031206379220669E-2</v>
      </c>
      <c r="N279" s="512">
        <f>+'F1 SEZ'!N278+'F1 Non-SEZ'!N278</f>
        <v>2.540644738073837E-2</v>
      </c>
      <c r="O279" s="544">
        <f t="shared" si="42"/>
        <v>0.30281255260355711</v>
      </c>
    </row>
    <row r="280" spans="2:15" x14ac:dyDescent="0.4">
      <c r="B280" s="519" t="s">
        <v>1136</v>
      </c>
      <c r="C280" s="512">
        <f>+'F1 SEZ'!C279+'F1 Non-SEZ'!C279</f>
        <v>0</v>
      </c>
      <c r="D280" s="512">
        <f>+'F1 SEZ'!D279+'F1 Non-SEZ'!D279</f>
        <v>0</v>
      </c>
      <c r="E280" s="512">
        <f>+'F1 SEZ'!E279+'F1 Non-SEZ'!E279</f>
        <v>0</v>
      </c>
      <c r="F280" s="512">
        <f>+'F1 SEZ'!F279+'F1 Non-SEZ'!F279</f>
        <v>0</v>
      </c>
      <c r="G280" s="512">
        <f>+'F1 SEZ'!G279+'F1 Non-SEZ'!G279</f>
        <v>0</v>
      </c>
      <c r="H280" s="512">
        <f>+'F1 SEZ'!H279+'F1 Non-SEZ'!H279</f>
        <v>0</v>
      </c>
      <c r="I280" s="512">
        <f>+'F1 SEZ'!I279+'F1 Non-SEZ'!I279</f>
        <v>0</v>
      </c>
      <c r="J280" s="512">
        <f>+'F1 SEZ'!J279+'F1 Non-SEZ'!J279</f>
        <v>0</v>
      </c>
      <c r="K280" s="512">
        <f>+'F1 SEZ'!K279+'F1 Non-SEZ'!K279</f>
        <v>0</v>
      </c>
      <c r="L280" s="512">
        <f>+'F1 SEZ'!L279+'F1 Non-SEZ'!L279</f>
        <v>0</v>
      </c>
      <c r="M280" s="512">
        <f>+'F1 SEZ'!M279+'F1 Non-SEZ'!M279</f>
        <v>0</v>
      </c>
      <c r="N280" s="512">
        <f>+'F1 SEZ'!N279+'F1 Non-SEZ'!N279</f>
        <v>0</v>
      </c>
      <c r="O280" s="544">
        <f t="shared" si="42"/>
        <v>0</v>
      </c>
    </row>
    <row r="281" spans="2:15" x14ac:dyDescent="0.4">
      <c r="B281" s="566" t="s">
        <v>1142</v>
      </c>
      <c r="C281" s="512">
        <f>+'F1 SEZ'!C280+'F1 Non-SEZ'!C280</f>
        <v>1.182341199563848E-3</v>
      </c>
      <c r="D281" s="512">
        <f>+'F1 SEZ'!D280+'F1 Non-SEZ'!D280</f>
        <v>1.2917403476717388E-3</v>
      </c>
      <c r="E281" s="512">
        <f>+'F1 SEZ'!E280+'F1 Non-SEZ'!E280</f>
        <v>1.1534882201439259E-3</v>
      </c>
      <c r="F281" s="512">
        <f>+'F1 SEZ'!F280+'F1 Non-SEZ'!F280</f>
        <v>1.1383163175074425E-3</v>
      </c>
      <c r="G281" s="512">
        <f>+'F1 SEZ'!G280+'F1 Non-SEZ'!G280</f>
        <v>9.7387817329293606E-4</v>
      </c>
      <c r="H281" s="512">
        <f>+'F1 SEZ'!H280+'F1 Non-SEZ'!H280</f>
        <v>9.2211762585009502E-4</v>
      </c>
      <c r="I281" s="512">
        <f>+'F1 SEZ'!I280+'F1 Non-SEZ'!I280</f>
        <v>1.2801947355235493E-3</v>
      </c>
      <c r="J281" s="512">
        <f>+'F1 SEZ'!J280+'F1 Non-SEZ'!J280</f>
        <v>1.489173472820224E-3</v>
      </c>
      <c r="K281" s="512">
        <f>+'F1 SEZ'!K280+'F1 Non-SEZ'!K280</f>
        <v>1.7369099986459008E-3</v>
      </c>
      <c r="L281" s="512">
        <f>+'F1 SEZ'!L280+'F1 Non-SEZ'!L280</f>
        <v>1.7739201582804571E-3</v>
      </c>
      <c r="M281" s="512">
        <f>+'F1 SEZ'!M280+'F1 Non-SEZ'!M280</f>
        <v>1.8110981871162573E-3</v>
      </c>
      <c r="N281" s="512">
        <f>+'F1 SEZ'!N280+'F1 Non-SEZ'!N280</f>
        <v>2.2370807567533573E-3</v>
      </c>
      <c r="O281" s="544">
        <f t="shared" si="42"/>
        <v>1.6990259193169731E-2</v>
      </c>
    </row>
    <row r="282" spans="2:15" x14ac:dyDescent="0.4">
      <c r="B282" s="175" t="s">
        <v>162</v>
      </c>
      <c r="C282" s="567">
        <f>SUM(C269:C281)</f>
        <v>0.81865554913752658</v>
      </c>
      <c r="D282" s="567">
        <f t="shared" ref="D282:O282" si="43">SUM(D269:D281)</f>
        <v>0.97668159318265546</v>
      </c>
      <c r="E282" s="567">
        <f t="shared" si="43"/>
        <v>0.80883369683467943</v>
      </c>
      <c r="F282" s="567">
        <f t="shared" si="43"/>
        <v>0.72208393506434876</v>
      </c>
      <c r="G282" s="567">
        <f t="shared" si="43"/>
        <v>0.72919563147537769</v>
      </c>
      <c r="H282" s="567">
        <f t="shared" si="43"/>
        <v>0.73074703183329859</v>
      </c>
      <c r="I282" s="567">
        <f t="shared" si="43"/>
        <v>0.80182921858924938</v>
      </c>
      <c r="J282" s="567">
        <f t="shared" si="43"/>
        <v>0.755027535254718</v>
      </c>
      <c r="K282" s="567">
        <f t="shared" si="43"/>
        <v>0.66735834458783472</v>
      </c>
      <c r="L282" s="567">
        <f t="shared" si="43"/>
        <v>0.69029866113269622</v>
      </c>
      <c r="M282" s="567">
        <f t="shared" si="43"/>
        <v>0.67408909782395909</v>
      </c>
      <c r="N282" s="567">
        <f t="shared" si="43"/>
        <v>0.85757734298580213</v>
      </c>
      <c r="O282" s="567">
        <f t="shared" si="43"/>
        <v>9.2323776379021467</v>
      </c>
    </row>
    <row r="283" spans="2:15" x14ac:dyDescent="0.4">
      <c r="B283" s="175"/>
      <c r="C283" s="26"/>
      <c r="D283" s="26"/>
      <c r="E283" s="26"/>
      <c r="F283" s="26"/>
      <c r="G283" s="26"/>
      <c r="H283" s="26"/>
      <c r="I283" s="26"/>
      <c r="J283" s="26"/>
      <c r="K283" s="26"/>
      <c r="L283" s="26"/>
      <c r="M283" s="26"/>
      <c r="N283" s="26"/>
      <c r="O283" s="26"/>
    </row>
    <row r="284" spans="2:15" x14ac:dyDescent="0.4">
      <c r="B284" s="119" t="s">
        <v>164</v>
      </c>
      <c r="C284" s="568">
        <f>+C282+C266</f>
        <v>10.045882616094188</v>
      </c>
      <c r="D284" s="568">
        <f t="shared" ref="D284:O284" si="44">+D282+D266</f>
        <v>10.519108972548585</v>
      </c>
      <c r="E284" s="568">
        <f t="shared" si="44"/>
        <v>10.025652106965993</v>
      </c>
      <c r="F284" s="568">
        <f t="shared" si="44"/>
        <v>11.827031792960364</v>
      </c>
      <c r="G284" s="568">
        <f t="shared" si="44"/>
        <v>11.827062505760022</v>
      </c>
      <c r="H284" s="568">
        <f t="shared" si="44"/>
        <v>11.4734475021106</v>
      </c>
      <c r="I284" s="568">
        <f t="shared" si="44"/>
        <v>12.498105789929228</v>
      </c>
      <c r="J284" s="568">
        <f t="shared" si="44"/>
        <v>12.066010658025526</v>
      </c>
      <c r="K284" s="568">
        <f t="shared" si="44"/>
        <v>12.368087532926642</v>
      </c>
      <c r="L284" s="568">
        <f t="shared" si="44"/>
        <v>12.928370651698707</v>
      </c>
      <c r="M284" s="568">
        <f t="shared" si="44"/>
        <v>11.73762999597349</v>
      </c>
      <c r="N284" s="568">
        <f t="shared" si="44"/>
        <v>13.116344875006657</v>
      </c>
      <c r="O284" s="568">
        <f t="shared" si="44"/>
        <v>140.43273500000001</v>
      </c>
    </row>
    <row r="285" spans="2:15" x14ac:dyDescent="0.4">
      <c r="B285" s="118"/>
      <c r="E285" s="198"/>
      <c r="F285" s="199"/>
      <c r="G285" s="198"/>
      <c r="H285" s="198"/>
      <c r="I285" s="198"/>
      <c r="J285" s="198"/>
      <c r="K285" s="198"/>
      <c r="L285" s="198"/>
      <c r="M285" s="198"/>
      <c r="N285" s="198"/>
      <c r="O285" s="199"/>
    </row>
    <row r="286" spans="2:15" x14ac:dyDescent="0.4">
      <c r="B286" s="32" t="s">
        <v>190</v>
      </c>
      <c r="C286" s="8"/>
      <c r="D286" s="8"/>
      <c r="E286" s="8"/>
      <c r="F286" s="8"/>
      <c r="G286" s="8"/>
      <c r="H286" s="8"/>
      <c r="I286" s="8"/>
      <c r="J286" s="8"/>
      <c r="K286" s="8"/>
      <c r="L286" s="8"/>
      <c r="M286" s="8"/>
      <c r="N286" s="8"/>
      <c r="O286" s="4"/>
    </row>
    <row r="287" spans="2:15" x14ac:dyDescent="0.4">
      <c r="B287" s="32"/>
      <c r="C287" s="38"/>
      <c r="D287" s="38"/>
      <c r="O287" s="38" t="s">
        <v>171</v>
      </c>
    </row>
    <row r="288" spans="2:15" s="51" customFormat="1" ht="27" x14ac:dyDescent="0.35">
      <c r="B288" s="169" t="s">
        <v>160</v>
      </c>
      <c r="C288" s="106" t="s">
        <v>172</v>
      </c>
      <c r="D288" s="106" t="s">
        <v>173</v>
      </c>
      <c r="E288" s="64" t="s">
        <v>174</v>
      </c>
      <c r="F288" s="64" t="s">
        <v>175</v>
      </c>
      <c r="G288" s="64" t="s">
        <v>176</v>
      </c>
      <c r="H288" s="64" t="s">
        <v>177</v>
      </c>
      <c r="I288" s="64" t="s">
        <v>178</v>
      </c>
      <c r="J288" s="64" t="s">
        <v>179</v>
      </c>
      <c r="K288" s="64" t="s">
        <v>180</v>
      </c>
      <c r="L288" s="64" t="s">
        <v>181</v>
      </c>
      <c r="M288" s="64" t="s">
        <v>182</v>
      </c>
      <c r="N288" s="64" t="s">
        <v>183</v>
      </c>
      <c r="O288" s="158" t="s">
        <v>188</v>
      </c>
    </row>
    <row r="289" spans="2:15" x14ac:dyDescent="0.4">
      <c r="B289" s="517" t="s">
        <v>161</v>
      </c>
      <c r="C289" s="78"/>
      <c r="D289" s="78"/>
      <c r="E289" s="78"/>
      <c r="F289" s="3"/>
      <c r="G289" s="3"/>
      <c r="H289" s="2"/>
      <c r="I289" s="43"/>
      <c r="J289" s="44"/>
      <c r="K289" s="124"/>
      <c r="L289" s="124"/>
      <c r="M289" s="2"/>
      <c r="N289" s="2"/>
      <c r="O289" s="2"/>
    </row>
    <row r="290" spans="2:15" x14ac:dyDescent="0.4">
      <c r="B290" s="429" t="s">
        <v>1129</v>
      </c>
      <c r="C290" s="512">
        <f>+'F1 SEZ'!C289+'F1 Non-SEZ'!C289</f>
        <v>12.520799999999999</v>
      </c>
      <c r="D290" s="512">
        <f>+'F1 SEZ'!D289+'F1 Non-SEZ'!D289</f>
        <v>12.939838999999999</v>
      </c>
      <c r="E290" s="512">
        <f>+'F1 SEZ'!E289+'F1 Non-SEZ'!E289</f>
        <v>12.519600000000001</v>
      </c>
      <c r="F290" s="512">
        <f>+'F1 SEZ'!F289+'F1 Non-SEZ'!F289</f>
        <v>13.521840000000001</v>
      </c>
      <c r="G290" s="512">
        <f>+'F1 SEZ'!G289+'F1 Non-SEZ'!G289</f>
        <v>13.52064</v>
      </c>
      <c r="H290" s="512">
        <f>+'F1 SEZ'!H289+'F1 Non-SEZ'!H289</f>
        <v>13.085999999999999</v>
      </c>
      <c r="I290" s="512">
        <f>+'F1 SEZ'!I289+'F1 Non-SEZ'!I289</f>
        <v>14.117039999999999</v>
      </c>
      <c r="J290" s="512">
        <f>+'F1 SEZ'!J289+'F1 Non-SEZ'!J289</f>
        <v>13.661999999999999</v>
      </c>
      <c r="K290" s="512">
        <f>+'F1 SEZ'!K289+'F1 Non-SEZ'!K289</f>
        <v>14.11584</v>
      </c>
      <c r="L290" s="512">
        <f>+'F1 SEZ'!L289+'F1 Non-SEZ'!L289</f>
        <v>14.71344</v>
      </c>
      <c r="M290" s="512">
        <f>+'F1 SEZ'!M289+'F1 Non-SEZ'!M289</f>
        <v>13.297920000000001</v>
      </c>
      <c r="N290" s="512">
        <f>+'F1 SEZ'!N289+'F1 Non-SEZ'!N289</f>
        <v>14.72664</v>
      </c>
      <c r="O290" s="544">
        <f>SUM(C290:N290)</f>
        <v>162.74159900000001</v>
      </c>
    </row>
    <row r="291" spans="2:15" x14ac:dyDescent="0.4">
      <c r="B291" s="429" t="s">
        <v>1130</v>
      </c>
      <c r="C291" s="512">
        <f>+'F1 SEZ'!C290+'F1 Non-SEZ'!C290</f>
        <v>5.9264480347993247E-2</v>
      </c>
      <c r="D291" s="512">
        <f>+'F1 SEZ'!D290+'F1 Non-SEZ'!D290</f>
        <v>6.8376455239110789E-2</v>
      </c>
      <c r="E291" s="512">
        <f>+'F1 SEZ'!E290+'F1 Non-SEZ'!E290</f>
        <v>4.821409215757453E-2</v>
      </c>
      <c r="F291" s="512">
        <f>+'F1 SEZ'!F290+'F1 Non-SEZ'!F290</f>
        <v>6.6950229475216783E-2</v>
      </c>
      <c r="G291" s="512">
        <f>+'F1 SEZ'!G290+'F1 Non-SEZ'!G290</f>
        <v>5.989304914157452E-2</v>
      </c>
      <c r="H291" s="512">
        <f>+'F1 SEZ'!H290+'F1 Non-SEZ'!H290</f>
        <v>5.9544564332762805E-2</v>
      </c>
      <c r="I291" s="512">
        <f>+'F1 SEZ'!I290+'F1 Non-SEZ'!I290</f>
        <v>5.7394285607977574E-2</v>
      </c>
      <c r="J291" s="512">
        <f>+'F1 SEZ'!J290+'F1 Non-SEZ'!J290</f>
        <v>4.5531747324973164E-2</v>
      </c>
      <c r="K291" s="512">
        <f>+'F1 SEZ'!K290+'F1 Non-SEZ'!K290</f>
        <v>6.4177426006570393E-2</v>
      </c>
      <c r="L291" s="512">
        <f>+'F1 SEZ'!L290+'F1 Non-SEZ'!L290</f>
        <v>7.1327988679209628E-2</v>
      </c>
      <c r="M291" s="512">
        <f>+'F1 SEZ'!M290+'F1 Non-SEZ'!M290</f>
        <v>6.6149877779433486E-2</v>
      </c>
      <c r="N291" s="512">
        <f>+'F1 SEZ'!N290+'F1 Non-SEZ'!N290</f>
        <v>8.0322638425018952E-2</v>
      </c>
      <c r="O291" s="544">
        <f>SUM(C291:N291)</f>
        <v>0.74714683451741581</v>
      </c>
    </row>
    <row r="292" spans="2:15" x14ac:dyDescent="0.4">
      <c r="B292" s="429" t="s">
        <v>1131</v>
      </c>
      <c r="C292" s="512">
        <f>+'F1 SEZ'!C291+'F1 Non-SEZ'!C291</f>
        <v>0</v>
      </c>
      <c r="D292" s="512">
        <f>+'F1 SEZ'!D291+'F1 Non-SEZ'!D291</f>
        <v>0</v>
      </c>
      <c r="E292" s="512">
        <f>+'F1 SEZ'!E291+'F1 Non-SEZ'!E291</f>
        <v>0</v>
      </c>
      <c r="F292" s="512">
        <f>+'F1 SEZ'!F291+'F1 Non-SEZ'!F291</f>
        <v>0</v>
      </c>
      <c r="G292" s="512">
        <f>+'F1 SEZ'!G291+'F1 Non-SEZ'!G291</f>
        <v>0</v>
      </c>
      <c r="H292" s="512">
        <f>+'F1 SEZ'!H291+'F1 Non-SEZ'!H291</f>
        <v>0</v>
      </c>
      <c r="I292" s="512">
        <f>+'F1 SEZ'!I291+'F1 Non-SEZ'!I291</f>
        <v>0</v>
      </c>
      <c r="J292" s="512">
        <f>+'F1 SEZ'!J291+'F1 Non-SEZ'!J291</f>
        <v>0</v>
      </c>
      <c r="K292" s="512">
        <f>+'F1 SEZ'!K291+'F1 Non-SEZ'!K291</f>
        <v>0</v>
      </c>
      <c r="L292" s="512">
        <f>+'F1 SEZ'!L291+'F1 Non-SEZ'!L291</f>
        <v>0</v>
      </c>
      <c r="M292" s="512">
        <f>+'F1 SEZ'!M291+'F1 Non-SEZ'!M291</f>
        <v>0</v>
      </c>
      <c r="N292" s="512">
        <f>+'F1 SEZ'!N291+'F1 Non-SEZ'!N291</f>
        <v>0</v>
      </c>
      <c r="O292" s="544">
        <f>SUM(C292:N292)</f>
        <v>0</v>
      </c>
    </row>
    <row r="293" spans="2:15" x14ac:dyDescent="0.4">
      <c r="B293" s="429" t="s">
        <v>1132</v>
      </c>
      <c r="C293" s="512">
        <f>+'F1 SEZ'!C292+'F1 Non-SEZ'!C292</f>
        <v>0</v>
      </c>
      <c r="D293" s="512">
        <f>+'F1 SEZ'!D292+'F1 Non-SEZ'!D292</f>
        <v>0</v>
      </c>
      <c r="E293" s="512">
        <f>+'F1 SEZ'!E292+'F1 Non-SEZ'!E292</f>
        <v>0</v>
      </c>
      <c r="F293" s="512">
        <f>+'F1 SEZ'!F292+'F1 Non-SEZ'!F292</f>
        <v>0</v>
      </c>
      <c r="G293" s="512">
        <f>+'F1 SEZ'!G292+'F1 Non-SEZ'!G292</f>
        <v>0</v>
      </c>
      <c r="H293" s="512">
        <f>+'F1 SEZ'!H292+'F1 Non-SEZ'!H292</f>
        <v>0</v>
      </c>
      <c r="I293" s="512">
        <f>+'F1 SEZ'!I292+'F1 Non-SEZ'!I292</f>
        <v>0</v>
      </c>
      <c r="J293" s="512">
        <f>+'F1 SEZ'!J292+'F1 Non-SEZ'!J292</f>
        <v>0</v>
      </c>
      <c r="K293" s="512">
        <f>+'F1 SEZ'!K292+'F1 Non-SEZ'!K292</f>
        <v>0</v>
      </c>
      <c r="L293" s="512">
        <f>+'F1 SEZ'!L292+'F1 Non-SEZ'!L292</f>
        <v>0</v>
      </c>
      <c r="M293" s="512">
        <f>+'F1 SEZ'!M292+'F1 Non-SEZ'!M292</f>
        <v>0</v>
      </c>
      <c r="N293" s="512">
        <f>+'F1 SEZ'!N292+'F1 Non-SEZ'!N292</f>
        <v>0</v>
      </c>
      <c r="O293" s="544">
        <f>SUM(C293:N293)</f>
        <v>0</v>
      </c>
    </row>
    <row r="294" spans="2:15" x14ac:dyDescent="0.4">
      <c r="B294" s="518" t="s">
        <v>162</v>
      </c>
      <c r="C294" s="545">
        <f>SUM(C290:C293)</f>
        <v>12.580064480347993</v>
      </c>
      <c r="D294" s="545">
        <f t="shared" ref="D294:O294" si="45">SUM(D290:D293)</f>
        <v>13.00821545523911</v>
      </c>
      <c r="E294" s="545">
        <f t="shared" si="45"/>
        <v>12.567814092157574</v>
      </c>
      <c r="F294" s="545">
        <f t="shared" si="45"/>
        <v>13.588790229475217</v>
      </c>
      <c r="G294" s="545">
        <f t="shared" si="45"/>
        <v>13.580533049141575</v>
      </c>
      <c r="H294" s="545">
        <f t="shared" si="45"/>
        <v>13.145544564332761</v>
      </c>
      <c r="I294" s="545">
        <f t="shared" si="45"/>
        <v>14.174434285607976</v>
      </c>
      <c r="J294" s="545">
        <f t="shared" si="45"/>
        <v>13.707531747324973</v>
      </c>
      <c r="K294" s="545">
        <f t="shared" si="45"/>
        <v>14.180017426006572</v>
      </c>
      <c r="L294" s="545">
        <f t="shared" si="45"/>
        <v>14.78476798867921</v>
      </c>
      <c r="M294" s="545">
        <f t="shared" si="45"/>
        <v>13.364069877779436</v>
      </c>
      <c r="N294" s="545">
        <f t="shared" si="45"/>
        <v>14.806962638425018</v>
      </c>
      <c r="O294" s="545">
        <f t="shared" si="45"/>
        <v>163.48874583451743</v>
      </c>
    </row>
    <row r="295" spans="2:15" x14ac:dyDescent="0.4">
      <c r="B295" s="517" t="s">
        <v>163</v>
      </c>
      <c r="C295" s="545"/>
      <c r="D295" s="545"/>
      <c r="E295" s="545"/>
      <c r="F295" s="545"/>
      <c r="G295" s="545"/>
      <c r="H295" s="545"/>
      <c r="I295" s="545"/>
      <c r="J295" s="545"/>
      <c r="K295" s="545"/>
      <c r="L295" s="545"/>
      <c r="M295" s="545"/>
      <c r="N295" s="545"/>
      <c r="O295" s="545"/>
    </row>
    <row r="296" spans="2:15" x14ac:dyDescent="0.4">
      <c r="B296" s="519" t="s">
        <v>1133</v>
      </c>
      <c r="C296" s="546"/>
      <c r="D296" s="546"/>
      <c r="E296" s="547"/>
      <c r="F296" s="546"/>
      <c r="G296" s="547"/>
      <c r="H296" s="547"/>
      <c r="I296" s="543"/>
      <c r="J296" s="545"/>
      <c r="K296" s="547"/>
      <c r="L296" s="545"/>
      <c r="M296" s="545"/>
      <c r="N296" s="548"/>
      <c r="O296" s="544">
        <f t="shared" ref="O296:O309" si="46">SUM(C296:N296)</f>
        <v>0</v>
      </c>
    </row>
    <row r="297" spans="2:15" x14ac:dyDescent="0.4">
      <c r="B297" s="520" t="s">
        <v>1106</v>
      </c>
      <c r="C297" s="512">
        <f>+'F1 SEZ'!C296+'F1 Non-SEZ'!C296</f>
        <v>0.15152480599627094</v>
      </c>
      <c r="D297" s="512">
        <f>+'F1 SEZ'!D296+'F1 Non-SEZ'!D296</f>
        <v>0.1620510448628244</v>
      </c>
      <c r="E297" s="512">
        <f>+'F1 SEZ'!E296+'F1 Non-SEZ'!E296</f>
        <v>0.16288916644599127</v>
      </c>
      <c r="F297" s="512">
        <f>+'F1 SEZ'!F296+'F1 Non-SEZ'!F296</f>
        <v>0.16076781916204352</v>
      </c>
      <c r="G297" s="512">
        <f>+'F1 SEZ'!G296+'F1 Non-SEZ'!G296</f>
        <v>0.16175430878441507</v>
      </c>
      <c r="H297" s="512">
        <f>+'F1 SEZ'!H296+'F1 Non-SEZ'!H296</f>
        <v>0.16575393230935828</v>
      </c>
      <c r="I297" s="512">
        <f>+'F1 SEZ'!I296+'F1 Non-SEZ'!I296</f>
        <v>0.16992244285765151</v>
      </c>
      <c r="J297" s="512">
        <f>+'F1 SEZ'!J296+'F1 Non-SEZ'!J296</f>
        <v>0.17022707085303987</v>
      </c>
      <c r="K297" s="512">
        <f>+'F1 SEZ'!K296+'F1 Non-SEZ'!K296</f>
        <v>0.1666678162955233</v>
      </c>
      <c r="L297" s="512">
        <f>+'F1 SEZ'!L296+'F1 Non-SEZ'!L296</f>
        <v>0.17275721943649841</v>
      </c>
      <c r="M297" s="512">
        <f>+'F1 SEZ'!M296+'F1 Non-SEZ'!M296</f>
        <v>0.17334122129294238</v>
      </c>
      <c r="N297" s="512">
        <f>+'F1 SEZ'!N296+'F1 Non-SEZ'!N296</f>
        <v>0.18454458663629167</v>
      </c>
      <c r="O297" s="544">
        <f t="shared" si="46"/>
        <v>2.0022014349328505</v>
      </c>
    </row>
    <row r="298" spans="2:15" x14ac:dyDescent="0.4">
      <c r="B298" s="520" t="s">
        <v>1107</v>
      </c>
      <c r="C298" s="512">
        <f>+'F1 SEZ'!C297+'F1 Non-SEZ'!C297</f>
        <v>0.17583112002752546</v>
      </c>
      <c r="D298" s="512">
        <f>+'F1 SEZ'!D297+'F1 Non-SEZ'!D297</f>
        <v>0.19922818384700683</v>
      </c>
      <c r="E298" s="512">
        <f>+'F1 SEZ'!E297+'F1 Non-SEZ'!E297</f>
        <v>0.18423270084356461</v>
      </c>
      <c r="F298" s="512">
        <f>+'F1 SEZ'!F297+'F1 Non-SEZ'!F297</f>
        <v>0.14868265268088238</v>
      </c>
      <c r="G298" s="512">
        <f>+'F1 SEZ'!G297+'F1 Non-SEZ'!G297</f>
        <v>0.14975654983256212</v>
      </c>
      <c r="H298" s="512">
        <f>+'F1 SEZ'!H297+'F1 Non-SEZ'!H297</f>
        <v>0.14828464497641886</v>
      </c>
      <c r="I298" s="512">
        <f>+'F1 SEZ'!I297+'F1 Non-SEZ'!I297</f>
        <v>0.17048044917879213</v>
      </c>
      <c r="J298" s="512">
        <f>+'F1 SEZ'!J297+'F1 Non-SEZ'!J297</f>
        <v>0.15677016923558121</v>
      </c>
      <c r="K298" s="512">
        <f>+'F1 SEZ'!K297+'F1 Non-SEZ'!K297</f>
        <v>0.12508730865954096</v>
      </c>
      <c r="L298" s="512">
        <f>+'F1 SEZ'!L297+'F1 Non-SEZ'!L297</f>
        <v>0.13583062207856919</v>
      </c>
      <c r="M298" s="512">
        <f>+'F1 SEZ'!M297+'F1 Non-SEZ'!M297</f>
        <v>0.14228703069533935</v>
      </c>
      <c r="N298" s="512">
        <f>+'F1 SEZ'!N297+'F1 Non-SEZ'!N297</f>
        <v>0.20243684959535466</v>
      </c>
      <c r="O298" s="544">
        <f t="shared" si="46"/>
        <v>1.9389082816511378</v>
      </c>
    </row>
    <row r="299" spans="2:15" x14ac:dyDescent="0.4">
      <c r="B299" s="520" t="s">
        <v>1108</v>
      </c>
      <c r="C299" s="512">
        <f>+'F1 SEZ'!C298+'F1 Non-SEZ'!C298</f>
        <v>7.9772625652546586E-2</v>
      </c>
      <c r="D299" s="512">
        <f>+'F1 SEZ'!D298+'F1 Non-SEZ'!D298</f>
        <v>0.11215845490441383</v>
      </c>
      <c r="E299" s="512">
        <f>+'F1 SEZ'!E298+'F1 Non-SEZ'!E298</f>
        <v>7.8992418008006104E-2</v>
      </c>
      <c r="F299" s="512">
        <f>+'F1 SEZ'!F298+'F1 Non-SEZ'!F298</f>
        <v>4.1218566552076875E-2</v>
      </c>
      <c r="G299" s="512">
        <f>+'F1 SEZ'!G298+'F1 Non-SEZ'!G298</f>
        <v>4.3232682421008292E-2</v>
      </c>
      <c r="H299" s="512">
        <f>+'F1 SEZ'!H298+'F1 Non-SEZ'!H298</f>
        <v>4.2104987338143052E-2</v>
      </c>
      <c r="I299" s="512">
        <f>+'F1 SEZ'!I298+'F1 Non-SEZ'!I298</f>
        <v>5.8609985021892873E-2</v>
      </c>
      <c r="J299" s="512">
        <f>+'F1 SEZ'!J298+'F1 Non-SEZ'!J298</f>
        <v>4.956613271198404E-2</v>
      </c>
      <c r="K299" s="512">
        <f>+'F1 SEZ'!K298+'F1 Non-SEZ'!K298</f>
        <v>2.6411667859385781E-2</v>
      </c>
      <c r="L299" s="512">
        <f>+'F1 SEZ'!L298+'F1 Non-SEZ'!L298</f>
        <v>3.1494163372392393E-2</v>
      </c>
      <c r="M299" s="512">
        <f>+'F1 SEZ'!M298+'F1 Non-SEZ'!M298</f>
        <v>3.5229981152721558E-2</v>
      </c>
      <c r="N299" s="512">
        <f>+'F1 SEZ'!N298+'F1 Non-SEZ'!N298</f>
        <v>8.0324671733809694E-2</v>
      </c>
      <c r="O299" s="544">
        <f t="shared" si="46"/>
        <v>0.67911633672838101</v>
      </c>
    </row>
    <row r="300" spans="2:15" x14ac:dyDescent="0.4">
      <c r="B300" s="520" t="s">
        <v>1109</v>
      </c>
      <c r="C300" s="512">
        <f>+'F1 SEZ'!C299+'F1 Non-SEZ'!C299</f>
        <v>0.37372868843901941</v>
      </c>
      <c r="D300" s="512">
        <f>+'F1 SEZ'!D299+'F1 Non-SEZ'!D299</f>
        <v>0.48480283034366228</v>
      </c>
      <c r="E300" s="512">
        <f>+'F1 SEZ'!E299+'F1 Non-SEZ'!E299</f>
        <v>0.33519092445560628</v>
      </c>
      <c r="F300" s="512">
        <f>+'F1 SEZ'!F299+'F1 Non-SEZ'!F299</f>
        <v>0.31168096793914718</v>
      </c>
      <c r="G300" s="512">
        <f>+'F1 SEZ'!G299+'F1 Non-SEZ'!G299</f>
        <v>0.30149238654548427</v>
      </c>
      <c r="H300" s="512">
        <f>+'F1 SEZ'!H299+'F1 Non-SEZ'!H299</f>
        <v>0.31200905106276006</v>
      </c>
      <c r="I300" s="512">
        <f>+'F1 SEZ'!I299+'F1 Non-SEZ'!I299</f>
        <v>0.33668930408722886</v>
      </c>
      <c r="J300" s="512">
        <f>+'F1 SEZ'!J299+'F1 Non-SEZ'!J299</f>
        <v>0.32668476932388546</v>
      </c>
      <c r="K300" s="512">
        <f>+'F1 SEZ'!K299+'F1 Non-SEZ'!K299</f>
        <v>0.28352183350027038</v>
      </c>
      <c r="L300" s="512">
        <f>+'F1 SEZ'!L299+'F1 Non-SEZ'!L299</f>
        <v>0.29552887562176361</v>
      </c>
      <c r="M300" s="512">
        <f>+'F1 SEZ'!M299+'F1 Non-SEZ'!M299</f>
        <v>0.27674411628807133</v>
      </c>
      <c r="N300" s="512">
        <f>+'F1 SEZ'!N299+'F1 Non-SEZ'!N299</f>
        <v>0.35356557988478243</v>
      </c>
      <c r="O300" s="544">
        <f t="shared" si="46"/>
        <v>3.9916393274916824</v>
      </c>
    </row>
    <row r="301" spans="2:15" x14ac:dyDescent="0.4">
      <c r="B301" s="520" t="s">
        <v>1110</v>
      </c>
      <c r="C301" s="512">
        <f>+'F1 SEZ'!C300+'F1 Non-SEZ'!C300</f>
        <v>0</v>
      </c>
      <c r="D301" s="512">
        <f>+'F1 SEZ'!D300+'F1 Non-SEZ'!D300</f>
        <v>0</v>
      </c>
      <c r="E301" s="512">
        <f>+'F1 SEZ'!E300+'F1 Non-SEZ'!E300</f>
        <v>0</v>
      </c>
      <c r="F301" s="512">
        <f>+'F1 SEZ'!F300+'F1 Non-SEZ'!F300</f>
        <v>0</v>
      </c>
      <c r="G301" s="512">
        <f>+'F1 SEZ'!G300+'F1 Non-SEZ'!G300</f>
        <v>0</v>
      </c>
      <c r="H301" s="512">
        <f>+'F1 SEZ'!H300+'F1 Non-SEZ'!H300</f>
        <v>0</v>
      </c>
      <c r="I301" s="512">
        <f>+'F1 SEZ'!I300+'F1 Non-SEZ'!I300</f>
        <v>0</v>
      </c>
      <c r="J301" s="512">
        <f>+'F1 SEZ'!J300+'F1 Non-SEZ'!J300</f>
        <v>0</v>
      </c>
      <c r="K301" s="512">
        <f>+'F1 SEZ'!K300+'F1 Non-SEZ'!K300</f>
        <v>0</v>
      </c>
      <c r="L301" s="512">
        <f>+'F1 SEZ'!L300+'F1 Non-SEZ'!L300</f>
        <v>0</v>
      </c>
      <c r="M301" s="512">
        <f>+'F1 SEZ'!M300+'F1 Non-SEZ'!M300</f>
        <v>0</v>
      </c>
      <c r="N301" s="512">
        <f>+'F1 SEZ'!N300+'F1 Non-SEZ'!N300</f>
        <v>0</v>
      </c>
      <c r="O301" s="544">
        <f t="shared" si="46"/>
        <v>0</v>
      </c>
    </row>
    <row r="302" spans="2:15" x14ac:dyDescent="0.4">
      <c r="B302" s="519" t="s">
        <v>1145</v>
      </c>
      <c r="C302" s="512">
        <f>+'F1 SEZ'!C301+'F1 Non-SEZ'!C301</f>
        <v>0</v>
      </c>
      <c r="D302" s="512">
        <f>+'F1 SEZ'!D301+'F1 Non-SEZ'!D301</f>
        <v>0</v>
      </c>
      <c r="E302" s="512">
        <f>+'F1 SEZ'!E301+'F1 Non-SEZ'!E301</f>
        <v>0</v>
      </c>
      <c r="F302" s="512">
        <f>+'F1 SEZ'!F301+'F1 Non-SEZ'!F301</f>
        <v>0</v>
      </c>
      <c r="G302" s="512">
        <f>+'F1 SEZ'!G301+'F1 Non-SEZ'!G301</f>
        <v>0</v>
      </c>
      <c r="H302" s="512">
        <f>+'F1 SEZ'!H301+'F1 Non-SEZ'!H301</f>
        <v>0</v>
      </c>
      <c r="I302" s="512">
        <f>+'F1 SEZ'!I301+'F1 Non-SEZ'!I301</f>
        <v>0</v>
      </c>
      <c r="J302" s="512">
        <f>+'F1 SEZ'!J301+'F1 Non-SEZ'!J301</f>
        <v>0</v>
      </c>
      <c r="K302" s="512">
        <f>+'F1 SEZ'!K301+'F1 Non-SEZ'!K301</f>
        <v>0</v>
      </c>
      <c r="L302" s="512">
        <f>+'F1 SEZ'!L301+'F1 Non-SEZ'!L301</f>
        <v>0</v>
      </c>
      <c r="M302" s="512">
        <f>+'F1 SEZ'!M301+'F1 Non-SEZ'!M301</f>
        <v>0</v>
      </c>
      <c r="N302" s="512">
        <f>+'F1 SEZ'!N301+'F1 Non-SEZ'!N301</f>
        <v>0</v>
      </c>
      <c r="O302" s="544">
        <f t="shared" si="46"/>
        <v>0</v>
      </c>
    </row>
    <row r="303" spans="2:15" x14ac:dyDescent="0.4">
      <c r="B303" s="520" t="s">
        <v>1140</v>
      </c>
      <c r="C303" s="512">
        <f>+'F1 SEZ'!C302+'F1 Non-SEZ'!C302</f>
        <v>2.7974301995200911E-2</v>
      </c>
      <c r="D303" s="512">
        <f>+'F1 SEZ'!D302+'F1 Non-SEZ'!D302</f>
        <v>3.6058492920249638E-2</v>
      </c>
      <c r="E303" s="512">
        <f>+'F1 SEZ'!E302+'F1 Non-SEZ'!E302</f>
        <v>3.0094852479979627E-2</v>
      </c>
      <c r="F303" s="512">
        <f>+'F1 SEZ'!F302+'F1 Non-SEZ'!F302</f>
        <v>2.8547176864627283E-2</v>
      </c>
      <c r="G303" s="512">
        <f>+'F1 SEZ'!G302+'F1 Non-SEZ'!G302</f>
        <v>2.9775138714582226E-2</v>
      </c>
      <c r="H303" s="512">
        <f>+'F1 SEZ'!H302+'F1 Non-SEZ'!H302</f>
        <v>2.7413171713074849E-2</v>
      </c>
      <c r="I303" s="512">
        <f>+'F1 SEZ'!I302+'F1 Non-SEZ'!I302</f>
        <v>2.8086528051626123E-2</v>
      </c>
      <c r="J303" s="512">
        <f>+'F1 SEZ'!J302+'F1 Non-SEZ'!J302</f>
        <v>2.8326639614210298E-2</v>
      </c>
      <c r="K303" s="512">
        <f>+'F1 SEZ'!K302+'F1 Non-SEZ'!K302</f>
        <v>2.3472210196747622E-2</v>
      </c>
      <c r="L303" s="512">
        <f>+'F1 SEZ'!L302+'F1 Non-SEZ'!L302</f>
        <v>2.4753675166626209E-2</v>
      </c>
      <c r="M303" s="512">
        <f>+'F1 SEZ'!M302+'F1 Non-SEZ'!M302</f>
        <v>2.4178190388910874E-2</v>
      </c>
      <c r="N303" s="512">
        <f>+'F1 SEZ'!N302+'F1 Non-SEZ'!N302</f>
        <v>2.7688517037559958E-2</v>
      </c>
      <c r="O303" s="544">
        <f t="shared" si="46"/>
        <v>0.33636889514339563</v>
      </c>
    </row>
    <row r="304" spans="2:15" x14ac:dyDescent="0.4">
      <c r="B304" s="520" t="s">
        <v>1144</v>
      </c>
      <c r="C304" s="512">
        <f>+'F1 SEZ'!C303+'F1 Non-SEZ'!C303</f>
        <v>4.2913143058750977E-2</v>
      </c>
      <c r="D304" s="512">
        <f>+'F1 SEZ'!D303+'F1 Non-SEZ'!D303</f>
        <v>5.1040897371263667E-2</v>
      </c>
      <c r="E304" s="512">
        <f>+'F1 SEZ'!E303+'F1 Non-SEZ'!E303</f>
        <v>5.192328195681558E-2</v>
      </c>
      <c r="F304" s="512">
        <f>+'F1 SEZ'!F303+'F1 Non-SEZ'!F303</f>
        <v>4.561002727351942E-2</v>
      </c>
      <c r="G304" s="512">
        <f>+'F1 SEZ'!G303+'F1 Non-SEZ'!G303</f>
        <v>4.9680237216170042E-2</v>
      </c>
      <c r="H304" s="512">
        <f>+'F1 SEZ'!H303+'F1 Non-SEZ'!H303</f>
        <v>4.6957347502965451E-2</v>
      </c>
      <c r="I304" s="512">
        <f>+'F1 SEZ'!I303+'F1 Non-SEZ'!I303</f>
        <v>5.5110935660459291E-2</v>
      </c>
      <c r="J304" s="512">
        <f>+'F1 SEZ'!J303+'F1 Non-SEZ'!J303</f>
        <v>4.5269344209140673E-2</v>
      </c>
      <c r="K304" s="512">
        <f>+'F1 SEZ'!K303+'F1 Non-SEZ'!K303</f>
        <v>4.3706206542884929E-2</v>
      </c>
      <c r="L304" s="512">
        <f>+'F1 SEZ'!L303+'F1 Non-SEZ'!L303</f>
        <v>4.9227366357971925E-2</v>
      </c>
      <c r="M304" s="512">
        <f>+'F1 SEZ'!M303+'F1 Non-SEZ'!M303</f>
        <v>4.720390316918556E-2</v>
      </c>
      <c r="N304" s="512">
        <f>+'F1 SEZ'!N303+'F1 Non-SEZ'!N303</f>
        <v>6.2272795981550819E-2</v>
      </c>
      <c r="O304" s="544">
        <f t="shared" si="46"/>
        <v>0.59091548630067836</v>
      </c>
    </row>
    <row r="305" spans="2:15" x14ac:dyDescent="0.4">
      <c r="B305" s="520" t="s">
        <v>1143</v>
      </c>
      <c r="C305" s="512">
        <f>+'F1 SEZ'!C304+'F1 Non-SEZ'!C304</f>
        <v>1.6185628389998832E-2</v>
      </c>
      <c r="D305" s="512">
        <f>+'F1 SEZ'!D304+'F1 Non-SEZ'!D304</f>
        <v>1.2742960584991891E-2</v>
      </c>
      <c r="E305" s="512">
        <f>+'F1 SEZ'!E304+'F1 Non-SEZ'!E304</f>
        <v>2.0312793369520545E-2</v>
      </c>
      <c r="F305" s="512">
        <f>+'F1 SEZ'!F304+'F1 Non-SEZ'!F304</f>
        <v>1.684441571234032E-2</v>
      </c>
      <c r="G305" s="512">
        <f>+'F1 SEZ'!G304+'F1 Non-SEZ'!G304</f>
        <v>1.8808857474252393E-2</v>
      </c>
      <c r="H305" s="512">
        <f>+'F1 SEZ'!H304+'F1 Non-SEZ'!H304</f>
        <v>1.5060063524799149E-2</v>
      </c>
      <c r="I305" s="512">
        <f>+'F1 SEZ'!I304+'F1 Non-SEZ'!I304</f>
        <v>1.7276216599388119E-2</v>
      </c>
      <c r="J305" s="512">
        <f>+'F1 SEZ'!J304+'F1 Non-SEZ'!J304</f>
        <v>1.1507842401305615E-2</v>
      </c>
      <c r="K305" s="512">
        <f>+'F1 SEZ'!K304+'F1 Non-SEZ'!K304</f>
        <v>8.7411085205977845E-3</v>
      </c>
      <c r="L305" s="512">
        <f>+'F1 SEZ'!L304+'F1 Non-SEZ'!L304</f>
        <v>1.1739914522760242E-2</v>
      </c>
      <c r="M305" s="512">
        <f>+'F1 SEZ'!M304+'F1 Non-SEZ'!M304</f>
        <v>1.1936246130404012E-2</v>
      </c>
      <c r="N305" s="512">
        <f>+'F1 SEZ'!N304+'F1 Non-SEZ'!N304</f>
        <v>1.4816332518074389E-2</v>
      </c>
      <c r="O305" s="544">
        <f t="shared" si="46"/>
        <v>0.17597237974843327</v>
      </c>
    </row>
    <row r="306" spans="2:15" x14ac:dyDescent="0.4">
      <c r="B306" s="519" t="s">
        <v>1111</v>
      </c>
      <c r="C306" s="512">
        <f>+'F1 SEZ'!C305+'F1 Non-SEZ'!C305</f>
        <v>8.0514933858464408E-2</v>
      </c>
      <c r="D306" s="512">
        <f>+'F1 SEZ'!D305+'F1 Non-SEZ'!D305</f>
        <v>8.2528131268931812E-2</v>
      </c>
      <c r="E306" s="512">
        <f>+'F1 SEZ'!E305+'F1 Non-SEZ'!E305</f>
        <v>7.3872303060154063E-2</v>
      </c>
      <c r="F306" s="512">
        <f>+'F1 SEZ'!F305+'F1 Non-SEZ'!F305</f>
        <v>8.1054120460887766E-2</v>
      </c>
      <c r="G306" s="512">
        <f>+'F1 SEZ'!G305+'F1 Non-SEZ'!G305</f>
        <v>8.7795682497194577E-2</v>
      </c>
      <c r="H306" s="512">
        <f>+'F1 SEZ'!H305+'F1 Non-SEZ'!H305</f>
        <v>8.7259780209223509E-2</v>
      </c>
      <c r="I306" s="512">
        <f>+'F1 SEZ'!I305+'F1 Non-SEZ'!I305</f>
        <v>8.8920769834197874E-2</v>
      </c>
      <c r="J306" s="512">
        <f>+'F1 SEZ'!J305+'F1 Non-SEZ'!J305</f>
        <v>8.5827190196745368E-2</v>
      </c>
      <c r="K306" s="512">
        <f>+'F1 SEZ'!K305+'F1 Non-SEZ'!K305</f>
        <v>9.4550713716707369E-2</v>
      </c>
      <c r="L306" s="512">
        <f>+'F1 SEZ'!L305+'F1 Non-SEZ'!L305</f>
        <v>7.6797317005318375E-2</v>
      </c>
      <c r="M306" s="512">
        <f>+'F1 SEZ'!M305+'F1 Non-SEZ'!M305</f>
        <v>7.0575462791571564E-2</v>
      </c>
      <c r="N306" s="512">
        <f>+'F1 SEZ'!N305+'F1 Non-SEZ'!N305</f>
        <v>7.027124443054901E-2</v>
      </c>
      <c r="O306" s="544">
        <f t="shared" si="46"/>
        <v>0.97996764932994562</v>
      </c>
    </row>
    <row r="307" spans="2:15" x14ac:dyDescent="0.4">
      <c r="B307" s="519" t="s">
        <v>1135</v>
      </c>
      <c r="C307" s="512">
        <f>+'F1 SEZ'!C306+'F1 Non-SEZ'!C306</f>
        <v>3.2522602107777833E-2</v>
      </c>
      <c r="D307" s="512">
        <f>+'F1 SEZ'!D306+'F1 Non-SEZ'!D306</f>
        <v>2.9856827298636122E-2</v>
      </c>
      <c r="E307" s="512">
        <f>+'F1 SEZ'!E306+'F1 Non-SEZ'!E306</f>
        <v>3.1707809717804451E-2</v>
      </c>
      <c r="F307" s="512">
        <f>+'F1 SEZ'!F306+'F1 Non-SEZ'!F306</f>
        <v>3.0728995850684789E-2</v>
      </c>
      <c r="G307" s="512">
        <f>+'F1 SEZ'!G306+'F1 Non-SEZ'!G306</f>
        <v>3.1570260476832895E-2</v>
      </c>
      <c r="H307" s="512">
        <f>+'F1 SEZ'!H306+'F1 Non-SEZ'!H306</f>
        <v>3.0946918412195129E-2</v>
      </c>
      <c r="I307" s="512">
        <f>+'F1 SEZ'!I306+'F1 Non-SEZ'!I306</f>
        <v>3.5562197333234409E-2</v>
      </c>
      <c r="J307" s="512">
        <f>+'F1 SEZ'!J306+'F1 Non-SEZ'!J306</f>
        <v>3.0066875592385033E-2</v>
      </c>
      <c r="K307" s="512">
        <f>+'F1 SEZ'!K306+'F1 Non-SEZ'!K306</f>
        <v>2.6586856215368444E-2</v>
      </c>
      <c r="L307" s="512">
        <f>+'F1 SEZ'!L306+'F1 Non-SEZ'!L306</f>
        <v>2.81005356073987E-2</v>
      </c>
      <c r="M307" s="512">
        <f>+'F1 SEZ'!M306+'F1 Non-SEZ'!M306</f>
        <v>2.5237447655064808E-2</v>
      </c>
      <c r="N307" s="512">
        <f>+'F1 SEZ'!N306+'F1 Non-SEZ'!N306</f>
        <v>3.048773685688605E-2</v>
      </c>
      <c r="O307" s="544">
        <f t="shared" si="46"/>
        <v>0.36337506312426865</v>
      </c>
    </row>
    <row r="308" spans="2:15" x14ac:dyDescent="0.4">
      <c r="B308" s="519" t="s">
        <v>1136</v>
      </c>
      <c r="C308" s="512">
        <f>+'F1 SEZ'!C307+'F1 Non-SEZ'!C307</f>
        <v>0</v>
      </c>
      <c r="D308" s="512">
        <f>+'F1 SEZ'!D307+'F1 Non-SEZ'!D307</f>
        <v>0</v>
      </c>
      <c r="E308" s="512">
        <f>+'F1 SEZ'!E307+'F1 Non-SEZ'!E307</f>
        <v>0</v>
      </c>
      <c r="F308" s="512">
        <f>+'F1 SEZ'!F307+'F1 Non-SEZ'!F307</f>
        <v>0</v>
      </c>
      <c r="G308" s="512">
        <f>+'F1 SEZ'!G307+'F1 Non-SEZ'!G307</f>
        <v>0</v>
      </c>
      <c r="H308" s="512">
        <f>+'F1 SEZ'!H307+'F1 Non-SEZ'!H307</f>
        <v>0</v>
      </c>
      <c r="I308" s="512">
        <f>+'F1 SEZ'!I307+'F1 Non-SEZ'!I307</f>
        <v>0</v>
      </c>
      <c r="J308" s="512">
        <f>+'F1 SEZ'!J307+'F1 Non-SEZ'!J307</f>
        <v>0</v>
      </c>
      <c r="K308" s="512">
        <f>+'F1 SEZ'!K307+'F1 Non-SEZ'!K307</f>
        <v>0</v>
      </c>
      <c r="L308" s="512">
        <f>+'F1 SEZ'!L307+'F1 Non-SEZ'!L307</f>
        <v>0</v>
      </c>
      <c r="M308" s="512">
        <f>+'F1 SEZ'!M307+'F1 Non-SEZ'!M307</f>
        <v>0</v>
      </c>
      <c r="N308" s="512">
        <f>+'F1 SEZ'!N307+'F1 Non-SEZ'!N307</f>
        <v>0</v>
      </c>
      <c r="O308" s="544">
        <f t="shared" si="46"/>
        <v>0</v>
      </c>
    </row>
    <row r="309" spans="2:15" x14ac:dyDescent="0.4">
      <c r="B309" s="566" t="s">
        <v>1142</v>
      </c>
      <c r="C309" s="512">
        <f>+'F1 SEZ'!C308+'F1 Non-SEZ'!C308</f>
        <v>1.4188094394766175E-3</v>
      </c>
      <c r="D309" s="512">
        <f>+'F1 SEZ'!D308+'F1 Non-SEZ'!D308</f>
        <v>1.5500884172060863E-3</v>
      </c>
      <c r="E309" s="512">
        <f>+'F1 SEZ'!E308+'F1 Non-SEZ'!E308</f>
        <v>1.3841858641727108E-3</v>
      </c>
      <c r="F309" s="512">
        <f>+'F1 SEZ'!F308+'F1 Non-SEZ'!F308</f>
        <v>1.3659795810089307E-3</v>
      </c>
      <c r="G309" s="512">
        <f>+'F1 SEZ'!G308+'F1 Non-SEZ'!G308</f>
        <v>1.1686538079515231E-3</v>
      </c>
      <c r="H309" s="512">
        <f>+'F1 SEZ'!H308+'F1 Non-SEZ'!H308</f>
        <v>1.1065411510201137E-3</v>
      </c>
      <c r="I309" s="512">
        <f>+'F1 SEZ'!I308+'F1 Non-SEZ'!I308</f>
        <v>1.536233682628259E-3</v>
      </c>
      <c r="J309" s="512">
        <f>+'F1 SEZ'!J308+'F1 Non-SEZ'!J308</f>
        <v>1.7870081673842686E-3</v>
      </c>
      <c r="K309" s="512">
        <f>+'F1 SEZ'!K308+'F1 Non-SEZ'!K308</f>
        <v>2.0842919983750804E-3</v>
      </c>
      <c r="L309" s="512">
        <f>+'F1 SEZ'!L308+'F1 Non-SEZ'!L308</f>
        <v>2.1287041899365482E-3</v>
      </c>
      <c r="M309" s="512">
        <f>+'F1 SEZ'!M308+'F1 Non-SEZ'!M308</f>
        <v>2.1733178245395084E-3</v>
      </c>
      <c r="N309" s="512">
        <f>+'F1 SEZ'!N308+'F1 Non-SEZ'!N308</f>
        <v>2.6844969081040279E-3</v>
      </c>
      <c r="O309" s="544">
        <f t="shared" si="46"/>
        <v>2.0388311031803674E-2</v>
      </c>
    </row>
    <row r="310" spans="2:15" x14ac:dyDescent="0.4">
      <c r="B310" s="175" t="s">
        <v>162</v>
      </c>
      <c r="C310" s="567">
        <f>SUM(C297:C309)</f>
        <v>0.98238665896503186</v>
      </c>
      <c r="D310" s="567">
        <f t="shared" ref="D310:O310" si="47">SUM(D297:D309)</f>
        <v>1.1720179118191867</v>
      </c>
      <c r="E310" s="567">
        <f t="shared" si="47"/>
        <v>0.97060043620161518</v>
      </c>
      <c r="F310" s="567">
        <f t="shared" si="47"/>
        <v>0.8665007220772184</v>
      </c>
      <c r="G310" s="567">
        <f t="shared" si="47"/>
        <v>0.87503475777045348</v>
      </c>
      <c r="H310" s="567">
        <f t="shared" si="47"/>
        <v>0.87689643819995844</v>
      </c>
      <c r="I310" s="567">
        <f t="shared" si="47"/>
        <v>0.96219506230709939</v>
      </c>
      <c r="J310" s="567">
        <f t="shared" si="47"/>
        <v>0.90603304230566195</v>
      </c>
      <c r="K310" s="567">
        <f t="shared" si="47"/>
        <v>0.80083001350540184</v>
      </c>
      <c r="L310" s="567">
        <f t="shared" si="47"/>
        <v>0.82835839335923545</v>
      </c>
      <c r="M310" s="567">
        <f t="shared" si="47"/>
        <v>0.80890691738875098</v>
      </c>
      <c r="N310" s="567">
        <f t="shared" si="47"/>
        <v>1.0290928115829627</v>
      </c>
      <c r="O310" s="567">
        <f t="shared" si="47"/>
        <v>11.078853165482577</v>
      </c>
    </row>
    <row r="311" spans="2:15" x14ac:dyDescent="0.4">
      <c r="B311" s="175"/>
      <c r="C311" s="26"/>
      <c r="D311" s="26"/>
      <c r="E311" s="26"/>
      <c r="F311" s="26"/>
      <c r="G311" s="26"/>
      <c r="H311" s="26"/>
      <c r="I311" s="26"/>
      <c r="J311" s="26"/>
      <c r="K311" s="26"/>
      <c r="L311" s="26"/>
      <c r="M311" s="26"/>
      <c r="N311" s="26"/>
      <c r="O311" s="26"/>
    </row>
    <row r="312" spans="2:15" x14ac:dyDescent="0.4">
      <c r="B312" s="119" t="s">
        <v>164</v>
      </c>
      <c r="C312" s="568">
        <f>+C310+C294</f>
        <v>13.562451139313024</v>
      </c>
      <c r="D312" s="568">
        <f t="shared" ref="D312:O312" si="48">+D310+D294</f>
        <v>14.180233367058296</v>
      </c>
      <c r="E312" s="568">
        <f t="shared" si="48"/>
        <v>13.538414528359189</v>
      </c>
      <c r="F312" s="568">
        <f t="shared" si="48"/>
        <v>14.455290951552435</v>
      </c>
      <c r="G312" s="568">
        <f t="shared" si="48"/>
        <v>14.455567806912029</v>
      </c>
      <c r="H312" s="568">
        <f t="shared" si="48"/>
        <v>14.02244100253272</v>
      </c>
      <c r="I312" s="568">
        <f t="shared" si="48"/>
        <v>15.136629347915076</v>
      </c>
      <c r="J312" s="568">
        <f t="shared" si="48"/>
        <v>14.613564789630635</v>
      </c>
      <c r="K312" s="568">
        <f t="shared" si="48"/>
        <v>14.980847439511974</v>
      </c>
      <c r="L312" s="568">
        <f t="shared" si="48"/>
        <v>15.613126382038445</v>
      </c>
      <c r="M312" s="568">
        <f t="shared" si="48"/>
        <v>14.172976795168186</v>
      </c>
      <c r="N312" s="568">
        <f t="shared" si="48"/>
        <v>15.836055450007981</v>
      </c>
      <c r="O312" s="568">
        <f t="shared" si="48"/>
        <v>174.567599</v>
      </c>
    </row>
    <row r="313" spans="2:15" x14ac:dyDescent="0.4">
      <c r="B313" s="118"/>
      <c r="E313" s="198"/>
      <c r="F313" s="199"/>
      <c r="G313" s="198"/>
      <c r="H313" s="198"/>
      <c r="I313" s="198"/>
      <c r="J313" s="198"/>
      <c r="K313" s="198"/>
      <c r="L313" s="198"/>
      <c r="M313" s="198"/>
      <c r="N313" s="198"/>
      <c r="O313" s="199"/>
    </row>
    <row r="314" spans="2:15" x14ac:dyDescent="0.4">
      <c r="B314" s="32" t="s">
        <v>191</v>
      </c>
      <c r="C314" s="8"/>
      <c r="D314" s="8"/>
      <c r="E314" s="8"/>
      <c r="F314" s="8"/>
      <c r="G314" s="8"/>
      <c r="H314" s="8"/>
      <c r="I314" s="8"/>
      <c r="J314" s="8"/>
      <c r="K314" s="8"/>
      <c r="L314" s="8"/>
      <c r="M314" s="8"/>
      <c r="N314" s="8"/>
      <c r="O314" s="4"/>
    </row>
    <row r="315" spans="2:15" x14ac:dyDescent="0.4">
      <c r="B315" s="32"/>
      <c r="C315" s="38"/>
      <c r="D315" s="38"/>
      <c r="O315" s="38" t="s">
        <v>171</v>
      </c>
    </row>
    <row r="316" spans="2:15" s="51" customFormat="1" ht="27" x14ac:dyDescent="0.35">
      <c r="B316" s="169" t="s">
        <v>160</v>
      </c>
      <c r="C316" s="106" t="s">
        <v>172</v>
      </c>
      <c r="D316" s="106" t="s">
        <v>173</v>
      </c>
      <c r="E316" s="64" t="s">
        <v>174</v>
      </c>
      <c r="F316" s="64" t="s">
        <v>175</v>
      </c>
      <c r="G316" s="64" t="s">
        <v>176</v>
      </c>
      <c r="H316" s="64" t="s">
        <v>177</v>
      </c>
      <c r="I316" s="64" t="s">
        <v>178</v>
      </c>
      <c r="J316" s="64" t="s">
        <v>179</v>
      </c>
      <c r="K316" s="64" t="s">
        <v>180</v>
      </c>
      <c r="L316" s="64" t="s">
        <v>181</v>
      </c>
      <c r="M316" s="64" t="s">
        <v>182</v>
      </c>
      <c r="N316" s="64" t="s">
        <v>183</v>
      </c>
      <c r="O316" s="158" t="s">
        <v>188</v>
      </c>
    </row>
    <row r="317" spans="2:15" x14ac:dyDescent="0.4">
      <c r="B317" s="517" t="s">
        <v>161</v>
      </c>
      <c r="C317" s="78"/>
      <c r="D317" s="78"/>
      <c r="E317" s="78"/>
      <c r="F317" s="3"/>
      <c r="G317" s="3"/>
      <c r="H317" s="2"/>
      <c r="I317" s="43"/>
      <c r="J317" s="44"/>
      <c r="K317" s="124"/>
      <c r="L317" s="124"/>
      <c r="M317" s="2"/>
      <c r="N317" s="2"/>
      <c r="O317" s="2"/>
    </row>
    <row r="318" spans="2:15" x14ac:dyDescent="0.4">
      <c r="B318" s="429" t="s">
        <v>1129</v>
      </c>
      <c r="C318" s="512">
        <f>+'F1 SEZ'!C317+'F1 Non-SEZ'!C317</f>
        <v>14.994</v>
      </c>
      <c r="D318" s="512">
        <f>+'F1 SEZ'!D317+'F1 Non-SEZ'!D317</f>
        <v>15.495479000000001</v>
      </c>
      <c r="E318" s="512">
        <f>+'F1 SEZ'!E317+'F1 Non-SEZ'!E317</f>
        <v>14.992800000000001</v>
      </c>
      <c r="F318" s="512">
        <f>+'F1 SEZ'!F317+'F1 Non-SEZ'!F317</f>
        <v>16.67268</v>
      </c>
      <c r="G318" s="512">
        <f>+'F1 SEZ'!G317+'F1 Non-SEZ'!G317</f>
        <v>16.671479999999999</v>
      </c>
      <c r="H318" s="512">
        <f>+'F1 SEZ'!H317+'F1 Non-SEZ'!H317</f>
        <v>16.135200000000001</v>
      </c>
      <c r="I318" s="512">
        <f>+'F1 SEZ'!I317+'F1 Non-SEZ'!I317</f>
        <v>17.86308</v>
      </c>
      <c r="J318" s="512">
        <f>+'F1 SEZ'!J317+'F1 Non-SEZ'!J317</f>
        <v>17.287199999999999</v>
      </c>
      <c r="K318" s="512">
        <f>+'F1 SEZ'!K317+'F1 Non-SEZ'!K317</f>
        <v>17.861879999999999</v>
      </c>
      <c r="L318" s="512">
        <f>+'F1 SEZ'!L317+'F1 Non-SEZ'!L317</f>
        <v>19.054680000000001</v>
      </c>
      <c r="M318" s="512">
        <f>+'F1 SEZ'!M317+'F1 Non-SEZ'!M317</f>
        <v>17.21904</v>
      </c>
      <c r="N318" s="512">
        <f>+'F1 SEZ'!N317+'F1 Non-SEZ'!N317</f>
        <v>19.067880000000002</v>
      </c>
      <c r="O318" s="544">
        <f>SUM(C318:N318)</f>
        <v>203.31539899999999</v>
      </c>
    </row>
    <row r="319" spans="2:15" x14ac:dyDescent="0.4">
      <c r="B319" s="429" t="s">
        <v>1130</v>
      </c>
      <c r="C319" s="512">
        <f>+'F1 SEZ'!C318+'F1 Non-SEZ'!C318</f>
        <v>5.926448034799324E-2</v>
      </c>
      <c r="D319" s="512">
        <f>+'F1 SEZ'!D318+'F1 Non-SEZ'!D318</f>
        <v>6.8376455239110775E-2</v>
      </c>
      <c r="E319" s="512">
        <f>+'F1 SEZ'!E318+'F1 Non-SEZ'!E318</f>
        <v>4.8214092157574523E-2</v>
      </c>
      <c r="F319" s="512">
        <f>+'F1 SEZ'!F318+'F1 Non-SEZ'!F318</f>
        <v>6.6950229475216783E-2</v>
      </c>
      <c r="G319" s="512">
        <f>+'F1 SEZ'!G318+'F1 Non-SEZ'!G318</f>
        <v>5.9893049141574506E-2</v>
      </c>
      <c r="H319" s="512">
        <f>+'F1 SEZ'!H318+'F1 Non-SEZ'!H318</f>
        <v>5.9544564332762798E-2</v>
      </c>
      <c r="I319" s="512">
        <f>+'F1 SEZ'!I318+'F1 Non-SEZ'!I318</f>
        <v>5.7394285607977567E-2</v>
      </c>
      <c r="J319" s="512">
        <f>+'F1 SEZ'!J318+'F1 Non-SEZ'!J318</f>
        <v>4.5531747324973157E-2</v>
      </c>
      <c r="K319" s="512">
        <f>+'F1 SEZ'!K318+'F1 Non-SEZ'!K318</f>
        <v>6.4177426006570379E-2</v>
      </c>
      <c r="L319" s="512">
        <f>+'F1 SEZ'!L318+'F1 Non-SEZ'!L318</f>
        <v>7.1327988679209614E-2</v>
      </c>
      <c r="M319" s="512">
        <f>+'F1 SEZ'!M318+'F1 Non-SEZ'!M318</f>
        <v>6.6149877779433472E-2</v>
      </c>
      <c r="N319" s="512">
        <f>+'F1 SEZ'!N318+'F1 Non-SEZ'!N318</f>
        <v>8.0322638425018938E-2</v>
      </c>
      <c r="O319" s="544">
        <f>SUM(C319:N319)</f>
        <v>0.74714683451741581</v>
      </c>
    </row>
    <row r="320" spans="2:15" x14ac:dyDescent="0.4">
      <c r="B320" s="429" t="s">
        <v>1131</v>
      </c>
      <c r="C320" s="512">
        <f>+'F1 SEZ'!C319+'F1 Non-SEZ'!C319</f>
        <v>0</v>
      </c>
      <c r="D320" s="512">
        <f>+'F1 SEZ'!D319+'F1 Non-SEZ'!D319</f>
        <v>0</v>
      </c>
      <c r="E320" s="512">
        <f>+'F1 SEZ'!E319+'F1 Non-SEZ'!E319</f>
        <v>0</v>
      </c>
      <c r="F320" s="512">
        <f>+'F1 SEZ'!F319+'F1 Non-SEZ'!F319</f>
        <v>0</v>
      </c>
      <c r="G320" s="512">
        <f>+'F1 SEZ'!G319+'F1 Non-SEZ'!G319</f>
        <v>0</v>
      </c>
      <c r="H320" s="512">
        <f>+'F1 SEZ'!H319+'F1 Non-SEZ'!H319</f>
        <v>0</v>
      </c>
      <c r="I320" s="512">
        <f>+'F1 SEZ'!I319+'F1 Non-SEZ'!I319</f>
        <v>0</v>
      </c>
      <c r="J320" s="512">
        <f>+'F1 SEZ'!J319+'F1 Non-SEZ'!J319</f>
        <v>0</v>
      </c>
      <c r="K320" s="512">
        <f>+'F1 SEZ'!K319+'F1 Non-SEZ'!K319</f>
        <v>0</v>
      </c>
      <c r="L320" s="512">
        <f>+'F1 SEZ'!L319+'F1 Non-SEZ'!L319</f>
        <v>0</v>
      </c>
      <c r="M320" s="512">
        <f>+'F1 SEZ'!M319+'F1 Non-SEZ'!M319</f>
        <v>0</v>
      </c>
      <c r="N320" s="512">
        <f>+'F1 SEZ'!N319+'F1 Non-SEZ'!N319</f>
        <v>0</v>
      </c>
      <c r="O320" s="544">
        <f>SUM(C320:N320)</f>
        <v>0</v>
      </c>
    </row>
    <row r="321" spans="2:15" x14ac:dyDescent="0.4">
      <c r="B321" s="429" t="s">
        <v>1132</v>
      </c>
      <c r="C321" s="512">
        <f>+'F1 SEZ'!C320+'F1 Non-SEZ'!C320</f>
        <v>0</v>
      </c>
      <c r="D321" s="512">
        <f>+'F1 SEZ'!D320+'F1 Non-SEZ'!D320</f>
        <v>0</v>
      </c>
      <c r="E321" s="512">
        <f>+'F1 SEZ'!E320+'F1 Non-SEZ'!E320</f>
        <v>0</v>
      </c>
      <c r="F321" s="512">
        <f>+'F1 SEZ'!F320+'F1 Non-SEZ'!F320</f>
        <v>0</v>
      </c>
      <c r="G321" s="512">
        <f>+'F1 SEZ'!G320+'F1 Non-SEZ'!G320</f>
        <v>0</v>
      </c>
      <c r="H321" s="512">
        <f>+'F1 SEZ'!H320+'F1 Non-SEZ'!H320</f>
        <v>0</v>
      </c>
      <c r="I321" s="512">
        <f>+'F1 SEZ'!I320+'F1 Non-SEZ'!I320</f>
        <v>0</v>
      </c>
      <c r="J321" s="512">
        <f>+'F1 SEZ'!J320+'F1 Non-SEZ'!J320</f>
        <v>0</v>
      </c>
      <c r="K321" s="512">
        <f>+'F1 SEZ'!K320+'F1 Non-SEZ'!K320</f>
        <v>0</v>
      </c>
      <c r="L321" s="512">
        <f>+'F1 SEZ'!L320+'F1 Non-SEZ'!L320</f>
        <v>0</v>
      </c>
      <c r="M321" s="512">
        <f>+'F1 SEZ'!M320+'F1 Non-SEZ'!M320</f>
        <v>0</v>
      </c>
      <c r="N321" s="512">
        <f>+'F1 SEZ'!N320+'F1 Non-SEZ'!N320</f>
        <v>0</v>
      </c>
      <c r="O321" s="544">
        <f>SUM(C321:N321)</f>
        <v>0</v>
      </c>
    </row>
    <row r="322" spans="2:15" x14ac:dyDescent="0.4">
      <c r="B322" s="518" t="s">
        <v>162</v>
      </c>
      <c r="C322" s="545">
        <f>SUM(C318:C321)</f>
        <v>15.053264480347993</v>
      </c>
      <c r="D322" s="545">
        <f t="shared" ref="D322:O322" si="49">SUM(D318:D321)</f>
        <v>15.563855455239112</v>
      </c>
      <c r="E322" s="545">
        <f t="shared" si="49"/>
        <v>15.041014092157575</v>
      </c>
      <c r="F322" s="545">
        <f t="shared" si="49"/>
        <v>16.739630229475218</v>
      </c>
      <c r="G322" s="545">
        <f t="shared" si="49"/>
        <v>16.731373049141574</v>
      </c>
      <c r="H322" s="545">
        <f t="shared" si="49"/>
        <v>16.194744564332765</v>
      </c>
      <c r="I322" s="545">
        <f t="shared" si="49"/>
        <v>17.920474285607977</v>
      </c>
      <c r="J322" s="545">
        <f t="shared" si="49"/>
        <v>17.332731747324971</v>
      </c>
      <c r="K322" s="545">
        <f t="shared" si="49"/>
        <v>17.926057426006569</v>
      </c>
      <c r="L322" s="545">
        <f t="shared" si="49"/>
        <v>19.126007988679209</v>
      </c>
      <c r="M322" s="545">
        <f t="shared" si="49"/>
        <v>17.285189877779434</v>
      </c>
      <c r="N322" s="545">
        <f t="shared" si="49"/>
        <v>19.148202638425023</v>
      </c>
      <c r="O322" s="545">
        <f t="shared" si="49"/>
        <v>204.06254583451741</v>
      </c>
    </row>
    <row r="323" spans="2:15" x14ac:dyDescent="0.4">
      <c r="B323" s="517" t="s">
        <v>163</v>
      </c>
      <c r="C323" s="545"/>
      <c r="D323" s="545"/>
      <c r="E323" s="545"/>
      <c r="F323" s="545"/>
      <c r="G323" s="545"/>
      <c r="H323" s="545"/>
      <c r="I323" s="545"/>
      <c r="J323" s="545"/>
      <c r="K323" s="545"/>
      <c r="L323" s="545"/>
      <c r="M323" s="545"/>
      <c r="N323" s="545"/>
      <c r="O323" s="545"/>
    </row>
    <row r="324" spans="2:15" x14ac:dyDescent="0.4">
      <c r="B324" s="519" t="s">
        <v>1133</v>
      </c>
      <c r="C324" s="546"/>
      <c r="D324" s="546"/>
      <c r="E324" s="547"/>
      <c r="F324" s="546"/>
      <c r="G324" s="547"/>
      <c r="H324" s="547"/>
      <c r="I324" s="543"/>
      <c r="J324" s="545"/>
      <c r="K324" s="547"/>
      <c r="L324" s="545"/>
      <c r="M324" s="545"/>
      <c r="N324" s="548"/>
      <c r="O324" s="544">
        <f t="shared" ref="O324:O337" si="50">SUM(C324:N324)</f>
        <v>0</v>
      </c>
    </row>
    <row r="325" spans="2:15" x14ac:dyDescent="0.4">
      <c r="B325" s="520" t="s">
        <v>1106</v>
      </c>
      <c r="C325" s="512">
        <f>+'F1 SEZ'!C324+'F1 Non-SEZ'!C324</f>
        <v>0.15152480599627094</v>
      </c>
      <c r="D325" s="512">
        <f>+'F1 SEZ'!D324+'F1 Non-SEZ'!D324</f>
        <v>0.1620510448628244</v>
      </c>
      <c r="E325" s="512">
        <f>+'F1 SEZ'!E324+'F1 Non-SEZ'!E324</f>
        <v>0.16288916644599127</v>
      </c>
      <c r="F325" s="512">
        <f>+'F1 SEZ'!F324+'F1 Non-SEZ'!F324</f>
        <v>0.16076781916204352</v>
      </c>
      <c r="G325" s="512">
        <f>+'F1 SEZ'!G324+'F1 Non-SEZ'!G324</f>
        <v>0.16175430878441507</v>
      </c>
      <c r="H325" s="512">
        <f>+'F1 SEZ'!H324+'F1 Non-SEZ'!H324</f>
        <v>0.16575393230935828</v>
      </c>
      <c r="I325" s="512">
        <f>+'F1 SEZ'!I324+'F1 Non-SEZ'!I324</f>
        <v>0.16992244285765151</v>
      </c>
      <c r="J325" s="512">
        <f>+'F1 SEZ'!J324+'F1 Non-SEZ'!J324</f>
        <v>0.17022707085303987</v>
      </c>
      <c r="K325" s="512">
        <f>+'F1 SEZ'!K324+'F1 Non-SEZ'!K324</f>
        <v>0.1666678162955233</v>
      </c>
      <c r="L325" s="512">
        <f>+'F1 SEZ'!L324+'F1 Non-SEZ'!L324</f>
        <v>0.17275721943649841</v>
      </c>
      <c r="M325" s="512">
        <f>+'F1 SEZ'!M324+'F1 Non-SEZ'!M324</f>
        <v>0.17334122129294238</v>
      </c>
      <c r="N325" s="512">
        <f>+'F1 SEZ'!N324+'F1 Non-SEZ'!N324</f>
        <v>0.18454458663629167</v>
      </c>
      <c r="O325" s="544">
        <f t="shared" si="50"/>
        <v>2.0022014349328505</v>
      </c>
    </row>
    <row r="326" spans="2:15" x14ac:dyDescent="0.4">
      <c r="B326" s="520" t="s">
        <v>1107</v>
      </c>
      <c r="C326" s="512">
        <f>+'F1 SEZ'!C325+'F1 Non-SEZ'!C325</f>
        <v>0.17583112002752543</v>
      </c>
      <c r="D326" s="512">
        <f>+'F1 SEZ'!D325+'F1 Non-SEZ'!D325</f>
        <v>0.1992281838470068</v>
      </c>
      <c r="E326" s="512">
        <f>+'F1 SEZ'!E325+'F1 Non-SEZ'!E325</f>
        <v>0.18423270084356458</v>
      </c>
      <c r="F326" s="512">
        <f>+'F1 SEZ'!F325+'F1 Non-SEZ'!F325</f>
        <v>0.14868265268088235</v>
      </c>
      <c r="G326" s="512">
        <f>+'F1 SEZ'!G325+'F1 Non-SEZ'!G325</f>
        <v>0.14975654983256209</v>
      </c>
      <c r="H326" s="512">
        <f>+'F1 SEZ'!H325+'F1 Non-SEZ'!H325</f>
        <v>0.14828464497641883</v>
      </c>
      <c r="I326" s="512">
        <f>+'F1 SEZ'!I325+'F1 Non-SEZ'!I325</f>
        <v>0.1704804491787921</v>
      </c>
      <c r="J326" s="512">
        <f>+'F1 SEZ'!J325+'F1 Non-SEZ'!J325</f>
        <v>0.15677016923558118</v>
      </c>
      <c r="K326" s="512">
        <f>+'F1 SEZ'!K325+'F1 Non-SEZ'!K325</f>
        <v>0.12508730865954093</v>
      </c>
      <c r="L326" s="512">
        <f>+'F1 SEZ'!L325+'F1 Non-SEZ'!L325</f>
        <v>0.13583062207856916</v>
      </c>
      <c r="M326" s="512">
        <f>+'F1 SEZ'!M325+'F1 Non-SEZ'!M325</f>
        <v>0.14228703069533932</v>
      </c>
      <c r="N326" s="512">
        <f>+'F1 SEZ'!N325+'F1 Non-SEZ'!N325</f>
        <v>0.20243684959535463</v>
      </c>
      <c r="O326" s="544">
        <f t="shared" si="50"/>
        <v>1.9389082816511376</v>
      </c>
    </row>
    <row r="327" spans="2:15" x14ac:dyDescent="0.4">
      <c r="B327" s="520" t="s">
        <v>1108</v>
      </c>
      <c r="C327" s="512">
        <f>+'F1 SEZ'!C326+'F1 Non-SEZ'!C326</f>
        <v>7.9772625652546586E-2</v>
      </c>
      <c r="D327" s="512">
        <f>+'F1 SEZ'!D326+'F1 Non-SEZ'!D326</f>
        <v>0.11215845490441384</v>
      </c>
      <c r="E327" s="512">
        <f>+'F1 SEZ'!E326+'F1 Non-SEZ'!E326</f>
        <v>7.8992418008006104E-2</v>
      </c>
      <c r="F327" s="512">
        <f>+'F1 SEZ'!F326+'F1 Non-SEZ'!F326</f>
        <v>4.1218566552076875E-2</v>
      </c>
      <c r="G327" s="512">
        <f>+'F1 SEZ'!G326+'F1 Non-SEZ'!G326</f>
        <v>4.3232682421008292E-2</v>
      </c>
      <c r="H327" s="512">
        <f>+'F1 SEZ'!H326+'F1 Non-SEZ'!H326</f>
        <v>4.2104987338143052E-2</v>
      </c>
      <c r="I327" s="512">
        <f>+'F1 SEZ'!I326+'F1 Non-SEZ'!I326</f>
        <v>5.8609985021892873E-2</v>
      </c>
      <c r="J327" s="512">
        <f>+'F1 SEZ'!J326+'F1 Non-SEZ'!J326</f>
        <v>4.956613271198404E-2</v>
      </c>
      <c r="K327" s="512">
        <f>+'F1 SEZ'!K326+'F1 Non-SEZ'!K326</f>
        <v>2.6411667859385781E-2</v>
      </c>
      <c r="L327" s="512">
        <f>+'F1 SEZ'!L326+'F1 Non-SEZ'!L326</f>
        <v>3.1494163372392393E-2</v>
      </c>
      <c r="M327" s="512">
        <f>+'F1 SEZ'!M326+'F1 Non-SEZ'!M326</f>
        <v>3.5229981152721558E-2</v>
      </c>
      <c r="N327" s="512">
        <f>+'F1 SEZ'!N326+'F1 Non-SEZ'!N326</f>
        <v>8.0324671733809694E-2</v>
      </c>
      <c r="O327" s="544">
        <f t="shared" si="50"/>
        <v>0.67911633672838123</v>
      </c>
    </row>
    <row r="328" spans="2:15" x14ac:dyDescent="0.4">
      <c r="B328" s="520" t="s">
        <v>1109</v>
      </c>
      <c r="C328" s="512">
        <f>+'F1 SEZ'!C327+'F1 Non-SEZ'!C327</f>
        <v>0.37372868843901935</v>
      </c>
      <c r="D328" s="512">
        <f>+'F1 SEZ'!D327+'F1 Non-SEZ'!D327</f>
        <v>0.48480283034366217</v>
      </c>
      <c r="E328" s="512">
        <f>+'F1 SEZ'!E327+'F1 Non-SEZ'!E327</f>
        <v>0.33519092445560622</v>
      </c>
      <c r="F328" s="512">
        <f>+'F1 SEZ'!F327+'F1 Non-SEZ'!F327</f>
        <v>0.31168096793914712</v>
      </c>
      <c r="G328" s="512">
        <f>+'F1 SEZ'!G327+'F1 Non-SEZ'!G327</f>
        <v>0.30149238654548421</v>
      </c>
      <c r="H328" s="512">
        <f>+'F1 SEZ'!H327+'F1 Non-SEZ'!H327</f>
        <v>0.31200905106276</v>
      </c>
      <c r="I328" s="512">
        <f>+'F1 SEZ'!I327+'F1 Non-SEZ'!I327</f>
        <v>0.3366893040872288</v>
      </c>
      <c r="J328" s="512">
        <f>+'F1 SEZ'!J327+'F1 Non-SEZ'!J327</f>
        <v>0.3266847693238854</v>
      </c>
      <c r="K328" s="512">
        <f>+'F1 SEZ'!K327+'F1 Non-SEZ'!K327</f>
        <v>0.28352183350027033</v>
      </c>
      <c r="L328" s="512">
        <f>+'F1 SEZ'!L327+'F1 Non-SEZ'!L327</f>
        <v>0.29552887562176355</v>
      </c>
      <c r="M328" s="512">
        <f>+'F1 SEZ'!M327+'F1 Non-SEZ'!M327</f>
        <v>0.27674411628807127</v>
      </c>
      <c r="N328" s="512">
        <f>+'F1 SEZ'!N327+'F1 Non-SEZ'!N327</f>
        <v>0.35356557988478232</v>
      </c>
      <c r="O328" s="544">
        <f t="shared" si="50"/>
        <v>3.991639327491681</v>
      </c>
    </row>
    <row r="329" spans="2:15" x14ac:dyDescent="0.4">
      <c r="B329" s="520" t="s">
        <v>1110</v>
      </c>
      <c r="C329" s="512">
        <f>+'F1 SEZ'!C328+'F1 Non-SEZ'!C328</f>
        <v>0</v>
      </c>
      <c r="D329" s="512">
        <f>+'F1 SEZ'!D328+'F1 Non-SEZ'!D328</f>
        <v>0</v>
      </c>
      <c r="E329" s="512">
        <f>+'F1 SEZ'!E328+'F1 Non-SEZ'!E328</f>
        <v>0</v>
      </c>
      <c r="F329" s="512">
        <f>+'F1 SEZ'!F328+'F1 Non-SEZ'!F328</f>
        <v>0</v>
      </c>
      <c r="G329" s="512">
        <f>+'F1 SEZ'!G328+'F1 Non-SEZ'!G328</f>
        <v>0</v>
      </c>
      <c r="H329" s="512">
        <f>+'F1 SEZ'!H328+'F1 Non-SEZ'!H328</f>
        <v>0</v>
      </c>
      <c r="I329" s="512">
        <f>+'F1 SEZ'!I328+'F1 Non-SEZ'!I328</f>
        <v>0</v>
      </c>
      <c r="J329" s="512">
        <f>+'F1 SEZ'!J328+'F1 Non-SEZ'!J328</f>
        <v>0</v>
      </c>
      <c r="K329" s="512">
        <f>+'F1 SEZ'!K328+'F1 Non-SEZ'!K328</f>
        <v>0</v>
      </c>
      <c r="L329" s="512">
        <f>+'F1 SEZ'!L328+'F1 Non-SEZ'!L328</f>
        <v>0</v>
      </c>
      <c r="M329" s="512">
        <f>+'F1 SEZ'!M328+'F1 Non-SEZ'!M328</f>
        <v>0</v>
      </c>
      <c r="N329" s="512">
        <f>+'F1 SEZ'!N328+'F1 Non-SEZ'!N328</f>
        <v>0</v>
      </c>
      <c r="O329" s="544">
        <f t="shared" si="50"/>
        <v>0</v>
      </c>
    </row>
    <row r="330" spans="2:15" x14ac:dyDescent="0.4">
      <c r="B330" s="519" t="s">
        <v>1145</v>
      </c>
      <c r="C330" s="512">
        <f>+'F1 SEZ'!C329+'F1 Non-SEZ'!C329</f>
        <v>0</v>
      </c>
      <c r="D330" s="512">
        <f>+'F1 SEZ'!D329+'F1 Non-SEZ'!D329</f>
        <v>0</v>
      </c>
      <c r="E330" s="512">
        <f>+'F1 SEZ'!E329+'F1 Non-SEZ'!E329</f>
        <v>0</v>
      </c>
      <c r="F330" s="512">
        <f>+'F1 SEZ'!F329+'F1 Non-SEZ'!F329</f>
        <v>0</v>
      </c>
      <c r="G330" s="512">
        <f>+'F1 SEZ'!G329+'F1 Non-SEZ'!G329</f>
        <v>0</v>
      </c>
      <c r="H330" s="512">
        <f>+'F1 SEZ'!H329+'F1 Non-SEZ'!H329</f>
        <v>0</v>
      </c>
      <c r="I330" s="512">
        <f>+'F1 SEZ'!I329+'F1 Non-SEZ'!I329</f>
        <v>0</v>
      </c>
      <c r="J330" s="512">
        <f>+'F1 SEZ'!J329+'F1 Non-SEZ'!J329</f>
        <v>0</v>
      </c>
      <c r="K330" s="512">
        <f>+'F1 SEZ'!K329+'F1 Non-SEZ'!K329</f>
        <v>0</v>
      </c>
      <c r="L330" s="512">
        <f>+'F1 SEZ'!L329+'F1 Non-SEZ'!L329</f>
        <v>0</v>
      </c>
      <c r="M330" s="512">
        <f>+'F1 SEZ'!M329+'F1 Non-SEZ'!M329</f>
        <v>0</v>
      </c>
      <c r="N330" s="512">
        <f>+'F1 SEZ'!N329+'F1 Non-SEZ'!N329</f>
        <v>0</v>
      </c>
      <c r="O330" s="544">
        <f t="shared" si="50"/>
        <v>0</v>
      </c>
    </row>
    <row r="331" spans="2:15" x14ac:dyDescent="0.4">
      <c r="B331" s="520" t="s">
        <v>1140</v>
      </c>
      <c r="C331" s="512">
        <f>+'F1 SEZ'!C330+'F1 Non-SEZ'!C330</f>
        <v>2.7974301995200911E-2</v>
      </c>
      <c r="D331" s="512">
        <f>+'F1 SEZ'!D330+'F1 Non-SEZ'!D330</f>
        <v>3.6058492920249638E-2</v>
      </c>
      <c r="E331" s="512">
        <f>+'F1 SEZ'!E330+'F1 Non-SEZ'!E330</f>
        <v>3.0094852479979627E-2</v>
      </c>
      <c r="F331" s="512">
        <f>+'F1 SEZ'!F330+'F1 Non-SEZ'!F330</f>
        <v>2.8547176864627283E-2</v>
      </c>
      <c r="G331" s="512">
        <f>+'F1 SEZ'!G330+'F1 Non-SEZ'!G330</f>
        <v>2.9775138714582223E-2</v>
      </c>
      <c r="H331" s="512">
        <f>+'F1 SEZ'!H330+'F1 Non-SEZ'!H330</f>
        <v>2.7413171713074849E-2</v>
      </c>
      <c r="I331" s="512">
        <f>+'F1 SEZ'!I330+'F1 Non-SEZ'!I330</f>
        <v>2.8086528051626126E-2</v>
      </c>
      <c r="J331" s="512">
        <f>+'F1 SEZ'!J330+'F1 Non-SEZ'!J330</f>
        <v>2.8326639614210294E-2</v>
      </c>
      <c r="K331" s="512">
        <f>+'F1 SEZ'!K330+'F1 Non-SEZ'!K330</f>
        <v>2.3472210196747622E-2</v>
      </c>
      <c r="L331" s="512">
        <f>+'F1 SEZ'!L330+'F1 Non-SEZ'!L330</f>
        <v>2.4753675166626205E-2</v>
      </c>
      <c r="M331" s="512">
        <f>+'F1 SEZ'!M330+'F1 Non-SEZ'!M330</f>
        <v>2.4178190388910874E-2</v>
      </c>
      <c r="N331" s="512">
        <f>+'F1 SEZ'!N330+'F1 Non-SEZ'!N330</f>
        <v>2.7688517037559958E-2</v>
      </c>
      <c r="O331" s="544">
        <f t="shared" si="50"/>
        <v>0.33636889514339563</v>
      </c>
    </row>
    <row r="332" spans="2:15" x14ac:dyDescent="0.4">
      <c r="B332" s="520" t="s">
        <v>1144</v>
      </c>
      <c r="C332" s="512">
        <f>+'F1 SEZ'!C331+'F1 Non-SEZ'!C331</f>
        <v>4.2913143058750977E-2</v>
      </c>
      <c r="D332" s="512">
        <f>+'F1 SEZ'!D331+'F1 Non-SEZ'!D331</f>
        <v>5.1040897371263667E-2</v>
      </c>
      <c r="E332" s="512">
        <f>+'F1 SEZ'!E331+'F1 Non-SEZ'!E331</f>
        <v>5.192328195681558E-2</v>
      </c>
      <c r="F332" s="512">
        <f>+'F1 SEZ'!F331+'F1 Non-SEZ'!F331</f>
        <v>4.561002727351942E-2</v>
      </c>
      <c r="G332" s="512">
        <f>+'F1 SEZ'!G331+'F1 Non-SEZ'!G331</f>
        <v>4.9680237216170042E-2</v>
      </c>
      <c r="H332" s="512">
        <f>+'F1 SEZ'!H331+'F1 Non-SEZ'!H331</f>
        <v>4.6957347502965451E-2</v>
      </c>
      <c r="I332" s="512">
        <f>+'F1 SEZ'!I331+'F1 Non-SEZ'!I331</f>
        <v>5.5110935660459291E-2</v>
      </c>
      <c r="J332" s="512">
        <f>+'F1 SEZ'!J331+'F1 Non-SEZ'!J331</f>
        <v>4.5269344209140673E-2</v>
      </c>
      <c r="K332" s="512">
        <f>+'F1 SEZ'!K331+'F1 Non-SEZ'!K331</f>
        <v>4.3706206542884929E-2</v>
      </c>
      <c r="L332" s="512">
        <f>+'F1 SEZ'!L331+'F1 Non-SEZ'!L331</f>
        <v>4.9227366357971925E-2</v>
      </c>
      <c r="M332" s="512">
        <f>+'F1 SEZ'!M331+'F1 Non-SEZ'!M331</f>
        <v>4.720390316918556E-2</v>
      </c>
      <c r="N332" s="512">
        <f>+'F1 SEZ'!N331+'F1 Non-SEZ'!N331</f>
        <v>6.2272795981550819E-2</v>
      </c>
      <c r="O332" s="544">
        <f t="shared" si="50"/>
        <v>0.59091548630067836</v>
      </c>
    </row>
    <row r="333" spans="2:15" x14ac:dyDescent="0.4">
      <c r="B333" s="520" t="s">
        <v>1143</v>
      </c>
      <c r="C333" s="512">
        <f>+'F1 SEZ'!C332+'F1 Non-SEZ'!C332</f>
        <v>1.6185628389998832E-2</v>
      </c>
      <c r="D333" s="512">
        <f>+'F1 SEZ'!D332+'F1 Non-SEZ'!D332</f>
        <v>1.2742960584991891E-2</v>
      </c>
      <c r="E333" s="512">
        <f>+'F1 SEZ'!E332+'F1 Non-SEZ'!E332</f>
        <v>2.0312793369520545E-2</v>
      </c>
      <c r="F333" s="512">
        <f>+'F1 SEZ'!F332+'F1 Non-SEZ'!F332</f>
        <v>1.684441571234032E-2</v>
      </c>
      <c r="G333" s="512">
        <f>+'F1 SEZ'!G332+'F1 Non-SEZ'!G332</f>
        <v>1.8808857474252393E-2</v>
      </c>
      <c r="H333" s="512">
        <f>+'F1 SEZ'!H332+'F1 Non-SEZ'!H332</f>
        <v>1.5060063524799147E-2</v>
      </c>
      <c r="I333" s="512">
        <f>+'F1 SEZ'!I332+'F1 Non-SEZ'!I332</f>
        <v>1.7276216599388119E-2</v>
      </c>
      <c r="J333" s="512">
        <f>+'F1 SEZ'!J332+'F1 Non-SEZ'!J332</f>
        <v>1.1507842401305615E-2</v>
      </c>
      <c r="K333" s="512">
        <f>+'F1 SEZ'!K332+'F1 Non-SEZ'!K332</f>
        <v>8.7411085205977845E-3</v>
      </c>
      <c r="L333" s="512">
        <f>+'F1 SEZ'!L332+'F1 Non-SEZ'!L332</f>
        <v>1.1739914522760242E-2</v>
      </c>
      <c r="M333" s="512">
        <f>+'F1 SEZ'!M332+'F1 Non-SEZ'!M332</f>
        <v>1.193624613040401E-2</v>
      </c>
      <c r="N333" s="512">
        <f>+'F1 SEZ'!N332+'F1 Non-SEZ'!N332</f>
        <v>1.4816332518074389E-2</v>
      </c>
      <c r="O333" s="544">
        <f t="shared" si="50"/>
        <v>0.17597237974843327</v>
      </c>
    </row>
    <row r="334" spans="2:15" x14ac:dyDescent="0.4">
      <c r="B334" s="519" t="s">
        <v>1111</v>
      </c>
      <c r="C334" s="512">
        <f>+'F1 SEZ'!C333+'F1 Non-SEZ'!C333</f>
        <v>8.0514933858464408E-2</v>
      </c>
      <c r="D334" s="512">
        <f>+'F1 SEZ'!D333+'F1 Non-SEZ'!D333</f>
        <v>8.2528131268931812E-2</v>
      </c>
      <c r="E334" s="512">
        <f>+'F1 SEZ'!E333+'F1 Non-SEZ'!E333</f>
        <v>7.3872303060154063E-2</v>
      </c>
      <c r="F334" s="512">
        <f>+'F1 SEZ'!F333+'F1 Non-SEZ'!F333</f>
        <v>8.1054120460887766E-2</v>
      </c>
      <c r="G334" s="512">
        <f>+'F1 SEZ'!G333+'F1 Non-SEZ'!G333</f>
        <v>8.7795682497194577E-2</v>
      </c>
      <c r="H334" s="512">
        <f>+'F1 SEZ'!H333+'F1 Non-SEZ'!H333</f>
        <v>8.7259780209223509E-2</v>
      </c>
      <c r="I334" s="512">
        <f>+'F1 SEZ'!I333+'F1 Non-SEZ'!I333</f>
        <v>8.8920769834197874E-2</v>
      </c>
      <c r="J334" s="512">
        <f>+'F1 SEZ'!J333+'F1 Non-SEZ'!J333</f>
        <v>8.5827190196745368E-2</v>
      </c>
      <c r="K334" s="512">
        <f>+'F1 SEZ'!K333+'F1 Non-SEZ'!K333</f>
        <v>9.4550713716707369E-2</v>
      </c>
      <c r="L334" s="512">
        <f>+'F1 SEZ'!L333+'F1 Non-SEZ'!L333</f>
        <v>7.6797317005318375E-2</v>
      </c>
      <c r="M334" s="512">
        <f>+'F1 SEZ'!M333+'F1 Non-SEZ'!M333</f>
        <v>7.0575462791571564E-2</v>
      </c>
      <c r="N334" s="512">
        <f>+'F1 SEZ'!N333+'F1 Non-SEZ'!N333</f>
        <v>7.027124443054901E-2</v>
      </c>
      <c r="O334" s="544">
        <f t="shared" si="50"/>
        <v>0.97996764932994562</v>
      </c>
    </row>
    <row r="335" spans="2:15" x14ac:dyDescent="0.4">
      <c r="B335" s="519" t="s">
        <v>1135</v>
      </c>
      <c r="C335" s="512">
        <f>+'F1 SEZ'!C334+'F1 Non-SEZ'!C334</f>
        <v>3.252260210777784E-2</v>
      </c>
      <c r="D335" s="512">
        <f>+'F1 SEZ'!D334+'F1 Non-SEZ'!D334</f>
        <v>2.9856827298636122E-2</v>
      </c>
      <c r="E335" s="512">
        <f>+'F1 SEZ'!E334+'F1 Non-SEZ'!E334</f>
        <v>3.1707809717804458E-2</v>
      </c>
      <c r="F335" s="512">
        <f>+'F1 SEZ'!F334+'F1 Non-SEZ'!F334</f>
        <v>3.0728995850684792E-2</v>
      </c>
      <c r="G335" s="512">
        <f>+'F1 SEZ'!G334+'F1 Non-SEZ'!G334</f>
        <v>3.1570260476832895E-2</v>
      </c>
      <c r="H335" s="512">
        <f>+'F1 SEZ'!H334+'F1 Non-SEZ'!H334</f>
        <v>3.0946918412195129E-2</v>
      </c>
      <c r="I335" s="512">
        <f>+'F1 SEZ'!I334+'F1 Non-SEZ'!I334</f>
        <v>3.5562197333234409E-2</v>
      </c>
      <c r="J335" s="512">
        <f>+'F1 SEZ'!J334+'F1 Non-SEZ'!J334</f>
        <v>3.006687559238504E-2</v>
      </c>
      <c r="K335" s="512">
        <f>+'F1 SEZ'!K334+'F1 Non-SEZ'!K334</f>
        <v>2.6586856215368444E-2</v>
      </c>
      <c r="L335" s="512">
        <f>+'F1 SEZ'!L334+'F1 Non-SEZ'!L334</f>
        <v>2.81005356073987E-2</v>
      </c>
      <c r="M335" s="512">
        <f>+'F1 SEZ'!M334+'F1 Non-SEZ'!M334</f>
        <v>2.5237447655064815E-2</v>
      </c>
      <c r="N335" s="512">
        <f>+'F1 SEZ'!N334+'F1 Non-SEZ'!N334</f>
        <v>3.0487736856886057E-2</v>
      </c>
      <c r="O335" s="544">
        <f t="shared" si="50"/>
        <v>0.3633750631242687</v>
      </c>
    </row>
    <row r="336" spans="2:15" x14ac:dyDescent="0.4">
      <c r="B336" s="519" t="s">
        <v>1136</v>
      </c>
      <c r="C336" s="512">
        <f>+'F1 SEZ'!C335+'F1 Non-SEZ'!C335</f>
        <v>0</v>
      </c>
      <c r="D336" s="512">
        <f>+'F1 SEZ'!D335+'F1 Non-SEZ'!D335</f>
        <v>0</v>
      </c>
      <c r="E336" s="512">
        <f>+'F1 SEZ'!E335+'F1 Non-SEZ'!E335</f>
        <v>0</v>
      </c>
      <c r="F336" s="512">
        <f>+'F1 SEZ'!F335+'F1 Non-SEZ'!F335</f>
        <v>0</v>
      </c>
      <c r="G336" s="512">
        <f>+'F1 SEZ'!G335+'F1 Non-SEZ'!G335</f>
        <v>0</v>
      </c>
      <c r="H336" s="512">
        <f>+'F1 SEZ'!H335+'F1 Non-SEZ'!H335</f>
        <v>0</v>
      </c>
      <c r="I336" s="512">
        <f>+'F1 SEZ'!I335+'F1 Non-SEZ'!I335</f>
        <v>0</v>
      </c>
      <c r="J336" s="512">
        <f>+'F1 SEZ'!J335+'F1 Non-SEZ'!J335</f>
        <v>0</v>
      </c>
      <c r="K336" s="512">
        <f>+'F1 SEZ'!K335+'F1 Non-SEZ'!K335</f>
        <v>0</v>
      </c>
      <c r="L336" s="512">
        <f>+'F1 SEZ'!L335+'F1 Non-SEZ'!L335</f>
        <v>0</v>
      </c>
      <c r="M336" s="512">
        <f>+'F1 SEZ'!M335+'F1 Non-SEZ'!M335</f>
        <v>0</v>
      </c>
      <c r="N336" s="512">
        <f>+'F1 SEZ'!N335+'F1 Non-SEZ'!N335</f>
        <v>0</v>
      </c>
      <c r="O336" s="544">
        <f t="shared" si="50"/>
        <v>0</v>
      </c>
    </row>
    <row r="337" spans="2:15" x14ac:dyDescent="0.4">
      <c r="B337" s="566" t="s">
        <v>1142</v>
      </c>
      <c r="C337" s="512">
        <f>+'F1 SEZ'!C336+'F1 Non-SEZ'!C336</f>
        <v>1.4188094394766175E-3</v>
      </c>
      <c r="D337" s="512">
        <f>+'F1 SEZ'!D336+'F1 Non-SEZ'!D336</f>
        <v>1.5500884172060863E-3</v>
      </c>
      <c r="E337" s="512">
        <f>+'F1 SEZ'!E336+'F1 Non-SEZ'!E336</f>
        <v>1.3841858641727108E-3</v>
      </c>
      <c r="F337" s="512">
        <f>+'F1 SEZ'!F336+'F1 Non-SEZ'!F336</f>
        <v>1.3659795810089307E-3</v>
      </c>
      <c r="G337" s="512">
        <f>+'F1 SEZ'!G336+'F1 Non-SEZ'!G336</f>
        <v>1.1686538079515231E-3</v>
      </c>
      <c r="H337" s="512">
        <f>+'F1 SEZ'!H336+'F1 Non-SEZ'!H336</f>
        <v>1.1065411510201137E-3</v>
      </c>
      <c r="I337" s="512">
        <f>+'F1 SEZ'!I336+'F1 Non-SEZ'!I336</f>
        <v>1.536233682628259E-3</v>
      </c>
      <c r="J337" s="512">
        <f>+'F1 SEZ'!J336+'F1 Non-SEZ'!J336</f>
        <v>1.7870081673842689E-3</v>
      </c>
      <c r="K337" s="512">
        <f>+'F1 SEZ'!K336+'F1 Non-SEZ'!K336</f>
        <v>2.0842919983750804E-3</v>
      </c>
      <c r="L337" s="512">
        <f>+'F1 SEZ'!L336+'F1 Non-SEZ'!L336</f>
        <v>2.1287041899365482E-3</v>
      </c>
      <c r="M337" s="512">
        <f>+'F1 SEZ'!M336+'F1 Non-SEZ'!M336</f>
        <v>2.1733178245395084E-3</v>
      </c>
      <c r="N337" s="512">
        <f>+'F1 SEZ'!N336+'F1 Non-SEZ'!N336</f>
        <v>2.6844969081040279E-3</v>
      </c>
      <c r="O337" s="544">
        <f t="shared" si="50"/>
        <v>2.0388311031803674E-2</v>
      </c>
    </row>
    <row r="338" spans="2:15" x14ac:dyDescent="0.4">
      <c r="B338" s="175" t="s">
        <v>162</v>
      </c>
      <c r="C338" s="567">
        <f>SUM(C325:C337)</f>
        <v>0.98238665896503186</v>
      </c>
      <c r="D338" s="567">
        <f t="shared" ref="D338:O338" si="51">SUM(D325:D337)</f>
        <v>1.1720179118191865</v>
      </c>
      <c r="E338" s="567">
        <f t="shared" si="51"/>
        <v>0.97060043620161507</v>
      </c>
      <c r="F338" s="567">
        <f t="shared" si="51"/>
        <v>0.86650072207721829</v>
      </c>
      <c r="G338" s="567">
        <f t="shared" si="51"/>
        <v>0.87503475777045348</v>
      </c>
      <c r="H338" s="567">
        <f t="shared" si="51"/>
        <v>0.87689643819995844</v>
      </c>
      <c r="I338" s="567">
        <f t="shared" si="51"/>
        <v>0.96219506230709939</v>
      </c>
      <c r="J338" s="567">
        <f t="shared" si="51"/>
        <v>0.90603304230566184</v>
      </c>
      <c r="K338" s="567">
        <f t="shared" si="51"/>
        <v>0.80083001350540162</v>
      </c>
      <c r="L338" s="567">
        <f t="shared" si="51"/>
        <v>0.82835839335923545</v>
      </c>
      <c r="M338" s="567">
        <f t="shared" si="51"/>
        <v>0.80890691738875098</v>
      </c>
      <c r="N338" s="567">
        <f t="shared" si="51"/>
        <v>1.0290928115829625</v>
      </c>
      <c r="O338" s="567">
        <f t="shared" si="51"/>
        <v>11.078853165482577</v>
      </c>
    </row>
    <row r="339" spans="2:15" x14ac:dyDescent="0.4">
      <c r="B339" s="175"/>
      <c r="C339" s="26"/>
      <c r="D339" s="26"/>
      <c r="E339" s="26"/>
      <c r="F339" s="26"/>
      <c r="G339" s="26"/>
      <c r="H339" s="26"/>
      <c r="I339" s="26"/>
      <c r="J339" s="26"/>
      <c r="K339" s="26"/>
      <c r="L339" s="26"/>
      <c r="M339" s="26"/>
      <c r="N339" s="26"/>
      <c r="O339" s="26"/>
    </row>
    <row r="340" spans="2:15" x14ac:dyDescent="0.4">
      <c r="B340" s="119" t="s">
        <v>164</v>
      </c>
      <c r="C340" s="568">
        <f>+C338+C322</f>
        <v>16.035651139313025</v>
      </c>
      <c r="D340" s="568">
        <f t="shared" ref="D340:O340" si="52">+D338+D322</f>
        <v>16.7358733670583</v>
      </c>
      <c r="E340" s="568">
        <f t="shared" si="52"/>
        <v>16.011614528359189</v>
      </c>
      <c r="F340" s="568">
        <f t="shared" si="52"/>
        <v>17.606130951552437</v>
      </c>
      <c r="G340" s="568">
        <f t="shared" si="52"/>
        <v>17.606407806912028</v>
      </c>
      <c r="H340" s="568">
        <f t="shared" si="52"/>
        <v>17.071641002532722</v>
      </c>
      <c r="I340" s="568">
        <f t="shared" si="52"/>
        <v>18.882669347915076</v>
      </c>
      <c r="J340" s="568">
        <f t="shared" si="52"/>
        <v>18.238764789630633</v>
      </c>
      <c r="K340" s="568">
        <f t="shared" si="52"/>
        <v>18.72688743951197</v>
      </c>
      <c r="L340" s="568">
        <f t="shared" si="52"/>
        <v>19.954366382038444</v>
      </c>
      <c r="M340" s="568">
        <f t="shared" si="52"/>
        <v>18.094096795168184</v>
      </c>
      <c r="N340" s="568">
        <f t="shared" si="52"/>
        <v>20.177295450007986</v>
      </c>
      <c r="O340" s="568">
        <f t="shared" si="52"/>
        <v>215.14139899999998</v>
      </c>
    </row>
    <row r="341" spans="2:15" x14ac:dyDescent="0.4">
      <c r="B341" s="118"/>
      <c r="E341" s="198"/>
      <c r="F341" s="199"/>
      <c r="G341" s="198"/>
      <c r="H341" s="198"/>
      <c r="I341" s="198"/>
      <c r="J341" s="198"/>
      <c r="K341" s="198"/>
      <c r="L341" s="198"/>
      <c r="M341" s="198"/>
      <c r="N341" s="198"/>
      <c r="O341" s="199"/>
    </row>
    <row r="342" spans="2:15" x14ac:dyDescent="0.4">
      <c r="B342" s="32" t="s">
        <v>192</v>
      </c>
      <c r="C342" s="8"/>
      <c r="D342" s="8"/>
      <c r="E342" s="8"/>
      <c r="F342" s="8"/>
      <c r="G342" s="8"/>
      <c r="H342" s="8"/>
      <c r="I342" s="8"/>
      <c r="J342" s="8"/>
      <c r="K342" s="8"/>
      <c r="L342" s="8"/>
      <c r="M342" s="8"/>
      <c r="N342" s="8"/>
      <c r="O342" s="4"/>
    </row>
    <row r="343" spans="2:15" x14ac:dyDescent="0.4">
      <c r="B343" s="32"/>
      <c r="C343" s="38"/>
      <c r="D343" s="38"/>
      <c r="O343" s="38" t="s">
        <v>171</v>
      </c>
    </row>
    <row r="344" spans="2:15" s="51" customFormat="1" ht="27" x14ac:dyDescent="0.35">
      <c r="B344" s="169" t="s">
        <v>160</v>
      </c>
      <c r="C344" s="106" t="s">
        <v>172</v>
      </c>
      <c r="D344" s="106" t="s">
        <v>173</v>
      </c>
      <c r="E344" s="64" t="s">
        <v>174</v>
      </c>
      <c r="F344" s="64" t="s">
        <v>175</v>
      </c>
      <c r="G344" s="64" t="s">
        <v>176</v>
      </c>
      <c r="H344" s="64" t="s">
        <v>177</v>
      </c>
      <c r="I344" s="64" t="s">
        <v>178</v>
      </c>
      <c r="J344" s="64" t="s">
        <v>179</v>
      </c>
      <c r="K344" s="64" t="s">
        <v>180</v>
      </c>
      <c r="L344" s="64" t="s">
        <v>181</v>
      </c>
      <c r="M344" s="64" t="s">
        <v>182</v>
      </c>
      <c r="N344" s="64" t="s">
        <v>183</v>
      </c>
      <c r="O344" s="158" t="s">
        <v>188</v>
      </c>
    </row>
    <row r="345" spans="2:15" x14ac:dyDescent="0.4">
      <c r="B345" s="517" t="s">
        <v>161</v>
      </c>
      <c r="C345" s="78"/>
      <c r="D345" s="78"/>
      <c r="E345" s="78"/>
      <c r="F345" s="3"/>
      <c r="G345" s="3"/>
      <c r="H345" s="2"/>
      <c r="I345" s="43"/>
      <c r="J345" s="44"/>
      <c r="K345" s="124"/>
      <c r="L345" s="124"/>
      <c r="M345" s="2"/>
      <c r="N345" s="2"/>
      <c r="O345" s="2"/>
    </row>
    <row r="346" spans="2:15" x14ac:dyDescent="0.4">
      <c r="B346" s="429" t="s">
        <v>1129</v>
      </c>
      <c r="C346" s="512">
        <f>+'F1 SEZ'!C345+'F1 Non-SEZ'!C345</f>
        <v>19.1952</v>
      </c>
      <c r="D346" s="512">
        <f>+'F1 SEZ'!D345+'F1 Non-SEZ'!D345</f>
        <v>19.836718999999999</v>
      </c>
      <c r="E346" s="512">
        <f>+'F1 SEZ'!E345+'F1 Non-SEZ'!E345</f>
        <v>19.194000000000003</v>
      </c>
      <c r="F346" s="512">
        <f>+'F1 SEZ'!F345+'F1 Non-SEZ'!F345</f>
        <v>20.418719999999997</v>
      </c>
      <c r="G346" s="512">
        <f>+'F1 SEZ'!G345+'F1 Non-SEZ'!G345</f>
        <v>20.417519999999996</v>
      </c>
      <c r="H346" s="512">
        <f>+'F1 SEZ'!H345+'F1 Non-SEZ'!H345</f>
        <v>19.760400000000001</v>
      </c>
      <c r="I346" s="512">
        <f>+'F1 SEZ'!I345+'F1 Non-SEZ'!I345</f>
        <v>21.013919999999999</v>
      </c>
      <c r="J346" s="512">
        <f>+'F1 SEZ'!J345+'F1 Non-SEZ'!J345</f>
        <v>20.336400000000001</v>
      </c>
      <c r="K346" s="512">
        <f>+'F1 SEZ'!K345+'F1 Non-SEZ'!K345</f>
        <v>21.012720000000002</v>
      </c>
      <c r="L346" s="512">
        <f>+'F1 SEZ'!L345+'F1 Non-SEZ'!L345</f>
        <v>21.610320000000002</v>
      </c>
      <c r="M346" s="512">
        <f>+'F1 SEZ'!M345+'F1 Non-SEZ'!M345</f>
        <v>19.527360000000005</v>
      </c>
      <c r="N346" s="512">
        <f>+'F1 SEZ'!N345+'F1 Non-SEZ'!N345</f>
        <v>21.623520000000003</v>
      </c>
      <c r="O346" s="544">
        <f>SUM(C346:N346)</f>
        <v>243.94679900000003</v>
      </c>
    </row>
    <row r="347" spans="2:15" x14ac:dyDescent="0.4">
      <c r="B347" s="429" t="s">
        <v>1130</v>
      </c>
      <c r="C347" s="512">
        <f>+'F1 SEZ'!C346+'F1 Non-SEZ'!C346</f>
        <v>7.9019307130657648E-2</v>
      </c>
      <c r="D347" s="512">
        <f>+'F1 SEZ'!D346+'F1 Non-SEZ'!D346</f>
        <v>9.1168606985481043E-2</v>
      </c>
      <c r="E347" s="512">
        <f>+'F1 SEZ'!E346+'F1 Non-SEZ'!E346</f>
        <v>6.4285456210099359E-2</v>
      </c>
      <c r="F347" s="512">
        <f>+'F1 SEZ'!F346+'F1 Non-SEZ'!F346</f>
        <v>8.9266972633622377E-2</v>
      </c>
      <c r="G347" s="512">
        <f>+'F1 SEZ'!G346+'F1 Non-SEZ'!G346</f>
        <v>7.9857398855432679E-2</v>
      </c>
      <c r="H347" s="512">
        <f>+'F1 SEZ'!H346+'F1 Non-SEZ'!H346</f>
        <v>7.9392752443683726E-2</v>
      </c>
      <c r="I347" s="512">
        <f>+'F1 SEZ'!I346+'F1 Non-SEZ'!I346</f>
        <v>7.6525714143970094E-2</v>
      </c>
      <c r="J347" s="512">
        <f>+'F1 SEZ'!J346+'F1 Non-SEZ'!J346</f>
        <v>6.0708996433297552E-2</v>
      </c>
      <c r="K347" s="512">
        <f>+'F1 SEZ'!K346+'F1 Non-SEZ'!K346</f>
        <v>8.5569901342093843E-2</v>
      </c>
      <c r="L347" s="512">
        <f>+'F1 SEZ'!L346+'F1 Non-SEZ'!L346</f>
        <v>9.5103984905612823E-2</v>
      </c>
      <c r="M347" s="512">
        <f>+'F1 SEZ'!M346+'F1 Non-SEZ'!M346</f>
        <v>8.8199837039244638E-2</v>
      </c>
      <c r="N347" s="512">
        <f>+'F1 SEZ'!N346+'F1 Non-SEZ'!N346</f>
        <v>0.10709685123335858</v>
      </c>
      <c r="O347" s="544">
        <f>SUM(C347:N347)</f>
        <v>0.99619577935655423</v>
      </c>
    </row>
    <row r="348" spans="2:15" x14ac:dyDescent="0.4">
      <c r="B348" s="429" t="s">
        <v>1131</v>
      </c>
      <c r="C348" s="512">
        <f>+'F1 SEZ'!C347+'F1 Non-SEZ'!C347</f>
        <v>0</v>
      </c>
      <c r="D348" s="512">
        <f>+'F1 SEZ'!D347+'F1 Non-SEZ'!D347</f>
        <v>0</v>
      </c>
      <c r="E348" s="512">
        <f>+'F1 SEZ'!E347+'F1 Non-SEZ'!E347</f>
        <v>0</v>
      </c>
      <c r="F348" s="512">
        <f>+'F1 SEZ'!F347+'F1 Non-SEZ'!F347</f>
        <v>0</v>
      </c>
      <c r="G348" s="512">
        <f>+'F1 SEZ'!G347+'F1 Non-SEZ'!G347</f>
        <v>0</v>
      </c>
      <c r="H348" s="512">
        <f>+'F1 SEZ'!H347+'F1 Non-SEZ'!H347</f>
        <v>0</v>
      </c>
      <c r="I348" s="512">
        <f>+'F1 SEZ'!I347+'F1 Non-SEZ'!I347</f>
        <v>0</v>
      </c>
      <c r="J348" s="512">
        <f>+'F1 SEZ'!J347+'F1 Non-SEZ'!J347</f>
        <v>0</v>
      </c>
      <c r="K348" s="512">
        <f>+'F1 SEZ'!K347+'F1 Non-SEZ'!K347</f>
        <v>0</v>
      </c>
      <c r="L348" s="512">
        <f>+'F1 SEZ'!L347+'F1 Non-SEZ'!L347</f>
        <v>0</v>
      </c>
      <c r="M348" s="512">
        <f>+'F1 SEZ'!M347+'F1 Non-SEZ'!M347</f>
        <v>0</v>
      </c>
      <c r="N348" s="512">
        <f>+'F1 SEZ'!N347+'F1 Non-SEZ'!N347</f>
        <v>0</v>
      </c>
      <c r="O348" s="544">
        <f>SUM(C348:N348)</f>
        <v>0</v>
      </c>
    </row>
    <row r="349" spans="2:15" x14ac:dyDescent="0.4">
      <c r="B349" s="429" t="s">
        <v>1132</v>
      </c>
      <c r="C349" s="512">
        <f>+'F1 SEZ'!C348+'F1 Non-SEZ'!C348</f>
        <v>0</v>
      </c>
      <c r="D349" s="512">
        <f>+'F1 SEZ'!D348+'F1 Non-SEZ'!D348</f>
        <v>0</v>
      </c>
      <c r="E349" s="512">
        <f>+'F1 SEZ'!E348+'F1 Non-SEZ'!E348</f>
        <v>0</v>
      </c>
      <c r="F349" s="512">
        <f>+'F1 SEZ'!F348+'F1 Non-SEZ'!F348</f>
        <v>0</v>
      </c>
      <c r="G349" s="512">
        <f>+'F1 SEZ'!G348+'F1 Non-SEZ'!G348</f>
        <v>0</v>
      </c>
      <c r="H349" s="512">
        <f>+'F1 SEZ'!H348+'F1 Non-SEZ'!H348</f>
        <v>0</v>
      </c>
      <c r="I349" s="512">
        <f>+'F1 SEZ'!I348+'F1 Non-SEZ'!I348</f>
        <v>0</v>
      </c>
      <c r="J349" s="512">
        <f>+'F1 SEZ'!J348+'F1 Non-SEZ'!J348</f>
        <v>0</v>
      </c>
      <c r="K349" s="512">
        <f>+'F1 SEZ'!K348+'F1 Non-SEZ'!K348</f>
        <v>0</v>
      </c>
      <c r="L349" s="512">
        <f>+'F1 SEZ'!L348+'F1 Non-SEZ'!L348</f>
        <v>0</v>
      </c>
      <c r="M349" s="512">
        <f>+'F1 SEZ'!M348+'F1 Non-SEZ'!M348</f>
        <v>0</v>
      </c>
      <c r="N349" s="512">
        <f>+'F1 SEZ'!N348+'F1 Non-SEZ'!N348</f>
        <v>0</v>
      </c>
      <c r="O349" s="544">
        <f>SUM(C349:N349)</f>
        <v>0</v>
      </c>
    </row>
    <row r="350" spans="2:15" x14ac:dyDescent="0.4">
      <c r="B350" s="518" t="s">
        <v>162</v>
      </c>
      <c r="C350" s="545">
        <f>SUM(C346:C349)</f>
        <v>19.274219307130657</v>
      </c>
      <c r="D350" s="545">
        <f t="shared" ref="D350:O350" si="53">SUM(D346:D349)</f>
        <v>19.927887606985479</v>
      </c>
      <c r="E350" s="545">
        <f t="shared" si="53"/>
        <v>19.258285456210103</v>
      </c>
      <c r="F350" s="545">
        <f t="shared" si="53"/>
        <v>20.507986972633621</v>
      </c>
      <c r="G350" s="545">
        <f t="shared" si="53"/>
        <v>20.497377398855427</v>
      </c>
      <c r="H350" s="545">
        <f t="shared" si="53"/>
        <v>19.839792752443685</v>
      </c>
      <c r="I350" s="545">
        <f t="shared" si="53"/>
        <v>21.090445714143968</v>
      </c>
      <c r="J350" s="545">
        <f t="shared" si="53"/>
        <v>20.3971089964333</v>
      </c>
      <c r="K350" s="545">
        <f t="shared" si="53"/>
        <v>21.098289901342095</v>
      </c>
      <c r="L350" s="545">
        <f t="shared" si="53"/>
        <v>21.705423984905615</v>
      </c>
      <c r="M350" s="545">
        <f t="shared" si="53"/>
        <v>19.61555983703925</v>
      </c>
      <c r="N350" s="545">
        <f t="shared" si="53"/>
        <v>21.730616851233361</v>
      </c>
      <c r="O350" s="545">
        <f t="shared" si="53"/>
        <v>244.94299477935658</v>
      </c>
    </row>
    <row r="351" spans="2:15" x14ac:dyDescent="0.4">
      <c r="B351" s="517" t="s">
        <v>163</v>
      </c>
      <c r="C351" s="545"/>
      <c r="D351" s="545"/>
      <c r="E351" s="545"/>
      <c r="F351" s="545"/>
      <c r="G351" s="545"/>
      <c r="H351" s="545"/>
      <c r="I351" s="545"/>
      <c r="J351" s="545"/>
      <c r="K351" s="545"/>
      <c r="L351" s="545"/>
      <c r="M351" s="545"/>
      <c r="N351" s="545"/>
      <c r="O351" s="545"/>
    </row>
    <row r="352" spans="2:15" x14ac:dyDescent="0.4">
      <c r="B352" s="519" t="s">
        <v>1133</v>
      </c>
      <c r="C352" s="546"/>
      <c r="D352" s="546"/>
      <c r="E352" s="547"/>
      <c r="F352" s="546"/>
      <c r="G352" s="547"/>
      <c r="H352" s="547"/>
      <c r="I352" s="543"/>
      <c r="J352" s="545"/>
      <c r="K352" s="547"/>
      <c r="L352" s="545"/>
      <c r="M352" s="545"/>
      <c r="N352" s="548"/>
      <c r="O352" s="544">
        <f t="shared" ref="O352:O365" si="54">SUM(C352:N352)</f>
        <v>0</v>
      </c>
    </row>
    <row r="353" spans="2:15" x14ac:dyDescent="0.4">
      <c r="B353" s="520" t="s">
        <v>1106</v>
      </c>
      <c r="C353" s="512">
        <f>+'F1 SEZ'!C352+'F1 Non-SEZ'!C352</f>
        <v>0.20203307466169454</v>
      </c>
      <c r="D353" s="512">
        <f>+'F1 SEZ'!D352+'F1 Non-SEZ'!D352</f>
        <v>0.21606805981709915</v>
      </c>
      <c r="E353" s="512">
        <f>+'F1 SEZ'!E352+'F1 Non-SEZ'!E352</f>
        <v>0.21718555526132166</v>
      </c>
      <c r="F353" s="512">
        <f>+'F1 SEZ'!F352+'F1 Non-SEZ'!F352</f>
        <v>0.214357092216058</v>
      </c>
      <c r="G353" s="512">
        <f>+'F1 SEZ'!G352+'F1 Non-SEZ'!G352</f>
        <v>0.21567241171255341</v>
      </c>
      <c r="H353" s="512">
        <f>+'F1 SEZ'!H352+'F1 Non-SEZ'!H352</f>
        <v>0.22100524307914432</v>
      </c>
      <c r="I353" s="512">
        <f>+'F1 SEZ'!I352+'F1 Non-SEZ'!I352</f>
        <v>0.22656325714353531</v>
      </c>
      <c r="J353" s="512">
        <f>+'F1 SEZ'!J352+'F1 Non-SEZ'!J352</f>
        <v>0.2269694278040531</v>
      </c>
      <c r="K353" s="512">
        <f>+'F1 SEZ'!K352+'F1 Non-SEZ'!K352</f>
        <v>0.22222375506069769</v>
      </c>
      <c r="L353" s="512">
        <f>+'F1 SEZ'!L352+'F1 Non-SEZ'!L352</f>
        <v>0.23034295924866452</v>
      </c>
      <c r="M353" s="512">
        <f>+'F1 SEZ'!M352+'F1 Non-SEZ'!M352</f>
        <v>0.23112162839058981</v>
      </c>
      <c r="N353" s="512">
        <f>+'F1 SEZ'!N352+'F1 Non-SEZ'!N352</f>
        <v>0.24605944884838885</v>
      </c>
      <c r="O353" s="544">
        <f t="shared" si="54"/>
        <v>2.6696019132437998</v>
      </c>
    </row>
    <row r="354" spans="2:15" x14ac:dyDescent="0.4">
      <c r="B354" s="520" t="s">
        <v>1107</v>
      </c>
      <c r="C354" s="512">
        <f>+'F1 SEZ'!C353+'F1 Non-SEZ'!C353</f>
        <v>0.23444149337003384</v>
      </c>
      <c r="D354" s="512">
        <f>+'F1 SEZ'!D353+'F1 Non-SEZ'!D353</f>
        <v>0.26563757846267566</v>
      </c>
      <c r="E354" s="512">
        <f>+'F1 SEZ'!E353+'F1 Non-SEZ'!E353</f>
        <v>0.2456436011247527</v>
      </c>
      <c r="F354" s="512">
        <f>+'F1 SEZ'!F353+'F1 Non-SEZ'!F353</f>
        <v>0.19824353690784308</v>
      </c>
      <c r="G354" s="512">
        <f>+'F1 SEZ'!G353+'F1 Non-SEZ'!G353</f>
        <v>0.19967539977674942</v>
      </c>
      <c r="H354" s="512">
        <f>+'F1 SEZ'!H353+'F1 Non-SEZ'!H353</f>
        <v>0.19771285996855839</v>
      </c>
      <c r="I354" s="512">
        <f>+'F1 SEZ'!I353+'F1 Non-SEZ'!I353</f>
        <v>0.22730726557172273</v>
      </c>
      <c r="J354" s="512">
        <f>+'F1 SEZ'!J353+'F1 Non-SEZ'!J353</f>
        <v>0.20902689231410818</v>
      </c>
      <c r="K354" s="512">
        <f>+'F1 SEZ'!K353+'F1 Non-SEZ'!K353</f>
        <v>0.1667830782127212</v>
      </c>
      <c r="L354" s="512">
        <f>+'F1 SEZ'!L353+'F1 Non-SEZ'!L353</f>
        <v>0.18110749610475885</v>
      </c>
      <c r="M354" s="512">
        <f>+'F1 SEZ'!M353+'F1 Non-SEZ'!M353</f>
        <v>0.18971604092711905</v>
      </c>
      <c r="N354" s="512">
        <f>+'F1 SEZ'!N353+'F1 Non-SEZ'!N353</f>
        <v>0.26991579946047278</v>
      </c>
      <c r="O354" s="544">
        <f t="shared" si="54"/>
        <v>2.5852110422015162</v>
      </c>
    </row>
    <row r="355" spans="2:15" x14ac:dyDescent="0.4">
      <c r="B355" s="520" t="s">
        <v>1108</v>
      </c>
      <c r="C355" s="512">
        <f>+'F1 SEZ'!C354+'F1 Non-SEZ'!C354</f>
        <v>0.10636350087006206</v>
      </c>
      <c r="D355" s="512">
        <f>+'F1 SEZ'!D354+'F1 Non-SEZ'!D354</f>
        <v>0.14954460653921839</v>
      </c>
      <c r="E355" s="512">
        <f>+'F1 SEZ'!E354+'F1 Non-SEZ'!E354</f>
        <v>0.10532322401067475</v>
      </c>
      <c r="F355" s="512">
        <f>+'F1 SEZ'!F354+'F1 Non-SEZ'!F354</f>
        <v>5.4958088736102473E-2</v>
      </c>
      <c r="G355" s="512">
        <f>+'F1 SEZ'!G354+'F1 Non-SEZ'!G354</f>
        <v>5.7643576561344355E-2</v>
      </c>
      <c r="H355" s="512">
        <f>+'F1 SEZ'!H354+'F1 Non-SEZ'!H354</f>
        <v>5.6139983117524037E-2</v>
      </c>
      <c r="I355" s="512">
        <f>+'F1 SEZ'!I354+'F1 Non-SEZ'!I354</f>
        <v>7.8146646695857122E-2</v>
      </c>
      <c r="J355" s="512">
        <f>+'F1 SEZ'!J354+'F1 Non-SEZ'!J354</f>
        <v>6.6088176949312016E-2</v>
      </c>
      <c r="K355" s="512">
        <f>+'F1 SEZ'!K354+'F1 Non-SEZ'!K354</f>
        <v>3.521555714584769E-2</v>
      </c>
      <c r="L355" s="512">
        <f>+'F1 SEZ'!L354+'F1 Non-SEZ'!L354</f>
        <v>4.1992217829856508E-2</v>
      </c>
      <c r="M355" s="512">
        <f>+'F1 SEZ'!M354+'F1 Non-SEZ'!M354</f>
        <v>4.6973308203628723E-2</v>
      </c>
      <c r="N355" s="512">
        <f>+'F1 SEZ'!N354+'F1 Non-SEZ'!N354</f>
        <v>0.10709956231174621</v>
      </c>
      <c r="O355" s="544">
        <f t="shared" si="54"/>
        <v>0.90548844897117431</v>
      </c>
    </row>
    <row r="356" spans="2:15" x14ac:dyDescent="0.4">
      <c r="B356" s="520" t="s">
        <v>1109</v>
      </c>
      <c r="C356" s="512">
        <f>+'F1 SEZ'!C355+'F1 Non-SEZ'!C355</f>
        <v>0.49830491791869241</v>
      </c>
      <c r="D356" s="512">
        <f>+'F1 SEZ'!D355+'F1 Non-SEZ'!D355</f>
        <v>0.64640377379154945</v>
      </c>
      <c r="E356" s="512">
        <f>+'F1 SEZ'!E355+'F1 Non-SEZ'!E355</f>
        <v>0.44692123260747491</v>
      </c>
      <c r="F356" s="512">
        <f>+'F1 SEZ'!F355+'F1 Non-SEZ'!F355</f>
        <v>0.41557462391886274</v>
      </c>
      <c r="G356" s="512">
        <f>+'F1 SEZ'!G355+'F1 Non-SEZ'!G355</f>
        <v>0.40198984872731225</v>
      </c>
      <c r="H356" s="512">
        <f>+'F1 SEZ'!H355+'F1 Non-SEZ'!H355</f>
        <v>0.41601206808367996</v>
      </c>
      <c r="I356" s="512">
        <f>+'F1 SEZ'!I355+'F1 Non-SEZ'!I355</f>
        <v>0.448919072116305</v>
      </c>
      <c r="J356" s="512">
        <f>+'F1 SEZ'!J355+'F1 Non-SEZ'!J355</f>
        <v>0.43557969243184719</v>
      </c>
      <c r="K356" s="512">
        <f>+'F1 SEZ'!K355+'F1 Non-SEZ'!K355</f>
        <v>0.37802911133369371</v>
      </c>
      <c r="L356" s="512">
        <f>+'F1 SEZ'!L355+'F1 Non-SEZ'!L355</f>
        <v>0.39403850082901803</v>
      </c>
      <c r="M356" s="512">
        <f>+'F1 SEZ'!M355+'F1 Non-SEZ'!M355</f>
        <v>0.36899215505076166</v>
      </c>
      <c r="N356" s="512">
        <f>+'F1 SEZ'!N355+'F1 Non-SEZ'!N355</f>
        <v>0.47142077317970971</v>
      </c>
      <c r="O356" s="544">
        <f t="shared" si="54"/>
        <v>5.3221857699889075</v>
      </c>
    </row>
    <row r="357" spans="2:15" x14ac:dyDescent="0.4">
      <c r="B357" s="520" t="s">
        <v>1110</v>
      </c>
      <c r="C357" s="512">
        <f>+'F1 SEZ'!C356+'F1 Non-SEZ'!C356</f>
        <v>0</v>
      </c>
      <c r="D357" s="512">
        <f>+'F1 SEZ'!D356+'F1 Non-SEZ'!D356</f>
        <v>0</v>
      </c>
      <c r="E357" s="512">
        <f>+'F1 SEZ'!E356+'F1 Non-SEZ'!E356</f>
        <v>0</v>
      </c>
      <c r="F357" s="512">
        <f>+'F1 SEZ'!F356+'F1 Non-SEZ'!F356</f>
        <v>0</v>
      </c>
      <c r="G357" s="512">
        <f>+'F1 SEZ'!G356+'F1 Non-SEZ'!G356</f>
        <v>0</v>
      </c>
      <c r="H357" s="512">
        <f>+'F1 SEZ'!H356+'F1 Non-SEZ'!H356</f>
        <v>0</v>
      </c>
      <c r="I357" s="512">
        <f>+'F1 SEZ'!I356+'F1 Non-SEZ'!I356</f>
        <v>0</v>
      </c>
      <c r="J357" s="512">
        <f>+'F1 SEZ'!J356+'F1 Non-SEZ'!J356</f>
        <v>0</v>
      </c>
      <c r="K357" s="512">
        <f>+'F1 SEZ'!K356+'F1 Non-SEZ'!K356</f>
        <v>0</v>
      </c>
      <c r="L357" s="512">
        <f>+'F1 SEZ'!L356+'F1 Non-SEZ'!L356</f>
        <v>0</v>
      </c>
      <c r="M357" s="512">
        <f>+'F1 SEZ'!M356+'F1 Non-SEZ'!M356</f>
        <v>0</v>
      </c>
      <c r="N357" s="512">
        <f>+'F1 SEZ'!N356+'F1 Non-SEZ'!N356</f>
        <v>0</v>
      </c>
      <c r="O357" s="544">
        <f t="shared" si="54"/>
        <v>0</v>
      </c>
    </row>
    <row r="358" spans="2:15" x14ac:dyDescent="0.4">
      <c r="B358" s="519" t="s">
        <v>1145</v>
      </c>
      <c r="C358" s="512">
        <f>+'F1 SEZ'!C357+'F1 Non-SEZ'!C357</f>
        <v>0</v>
      </c>
      <c r="D358" s="512">
        <f>+'F1 SEZ'!D357+'F1 Non-SEZ'!D357</f>
        <v>0</v>
      </c>
      <c r="E358" s="512">
        <f>+'F1 SEZ'!E357+'F1 Non-SEZ'!E357</f>
        <v>0</v>
      </c>
      <c r="F358" s="512">
        <f>+'F1 SEZ'!F357+'F1 Non-SEZ'!F357</f>
        <v>0</v>
      </c>
      <c r="G358" s="512">
        <f>+'F1 SEZ'!G357+'F1 Non-SEZ'!G357</f>
        <v>0</v>
      </c>
      <c r="H358" s="512">
        <f>+'F1 SEZ'!H357+'F1 Non-SEZ'!H357</f>
        <v>0</v>
      </c>
      <c r="I358" s="512">
        <f>+'F1 SEZ'!I357+'F1 Non-SEZ'!I357</f>
        <v>0</v>
      </c>
      <c r="J358" s="512">
        <f>+'F1 SEZ'!J357+'F1 Non-SEZ'!J357</f>
        <v>0</v>
      </c>
      <c r="K358" s="512">
        <f>+'F1 SEZ'!K357+'F1 Non-SEZ'!K357</f>
        <v>0</v>
      </c>
      <c r="L358" s="512">
        <f>+'F1 SEZ'!L357+'F1 Non-SEZ'!L357</f>
        <v>0</v>
      </c>
      <c r="M358" s="512">
        <f>+'F1 SEZ'!M357+'F1 Non-SEZ'!M357</f>
        <v>0</v>
      </c>
      <c r="N358" s="512">
        <f>+'F1 SEZ'!N357+'F1 Non-SEZ'!N357</f>
        <v>0</v>
      </c>
      <c r="O358" s="544">
        <f t="shared" si="54"/>
        <v>0</v>
      </c>
    </row>
    <row r="359" spans="2:15" x14ac:dyDescent="0.4">
      <c r="B359" s="520" t="s">
        <v>1140</v>
      </c>
      <c r="C359" s="512">
        <f>+'F1 SEZ'!C358+'F1 Non-SEZ'!C358</f>
        <v>3.7299069326934546E-2</v>
      </c>
      <c r="D359" s="512">
        <f>+'F1 SEZ'!D358+'F1 Non-SEZ'!D358</f>
        <v>4.8077990560332851E-2</v>
      </c>
      <c r="E359" s="512">
        <f>+'F1 SEZ'!E358+'F1 Non-SEZ'!E358</f>
        <v>4.0126469973306163E-2</v>
      </c>
      <c r="F359" s="512">
        <f>+'F1 SEZ'!F358+'F1 Non-SEZ'!F358</f>
        <v>3.8062902486169704E-2</v>
      </c>
      <c r="G359" s="512">
        <f>+'F1 SEZ'!G358+'F1 Non-SEZ'!G358</f>
        <v>3.9700184952776295E-2</v>
      </c>
      <c r="H359" s="512">
        <f>+'F1 SEZ'!H358+'F1 Non-SEZ'!H358</f>
        <v>3.6550895617433132E-2</v>
      </c>
      <c r="I359" s="512">
        <f>+'F1 SEZ'!I358+'F1 Non-SEZ'!I358</f>
        <v>3.7448704068834833E-2</v>
      </c>
      <c r="J359" s="512">
        <f>+'F1 SEZ'!J358+'F1 Non-SEZ'!J358</f>
        <v>3.7768852818947055E-2</v>
      </c>
      <c r="K359" s="512">
        <f>+'F1 SEZ'!K358+'F1 Non-SEZ'!K358</f>
        <v>3.129628026233016E-2</v>
      </c>
      <c r="L359" s="512">
        <f>+'F1 SEZ'!L358+'F1 Non-SEZ'!L358</f>
        <v>3.3004900222168274E-2</v>
      </c>
      <c r="M359" s="512">
        <f>+'F1 SEZ'!M358+'F1 Non-SEZ'!M358</f>
        <v>3.2237587185214495E-2</v>
      </c>
      <c r="N359" s="512">
        <f>+'F1 SEZ'!N358+'F1 Non-SEZ'!N358</f>
        <v>3.6918022716746608E-2</v>
      </c>
      <c r="O359" s="544">
        <f t="shared" si="54"/>
        <v>0.44849186019119414</v>
      </c>
    </row>
    <row r="360" spans="2:15" x14ac:dyDescent="0.4">
      <c r="B360" s="520" t="s">
        <v>1144</v>
      </c>
      <c r="C360" s="512">
        <f>+'F1 SEZ'!C359+'F1 Non-SEZ'!C359</f>
        <v>5.7217524078334629E-2</v>
      </c>
      <c r="D360" s="512">
        <f>+'F1 SEZ'!D359+'F1 Non-SEZ'!D359</f>
        <v>6.8054529828351557E-2</v>
      </c>
      <c r="E360" s="512">
        <f>+'F1 SEZ'!E359+'F1 Non-SEZ'!E359</f>
        <v>6.9231042609087426E-2</v>
      </c>
      <c r="F360" s="512">
        <f>+'F1 SEZ'!F359+'F1 Non-SEZ'!F359</f>
        <v>6.0813369698025886E-2</v>
      </c>
      <c r="G360" s="512">
        <f>+'F1 SEZ'!G359+'F1 Non-SEZ'!G359</f>
        <v>6.6240316288226714E-2</v>
      </c>
      <c r="H360" s="512">
        <f>+'F1 SEZ'!H359+'F1 Non-SEZ'!H359</f>
        <v>6.2609796670620596E-2</v>
      </c>
      <c r="I360" s="512">
        <f>+'F1 SEZ'!I359+'F1 Non-SEZ'!I359</f>
        <v>7.3481247547279041E-2</v>
      </c>
      <c r="J360" s="512">
        <f>+'F1 SEZ'!J359+'F1 Non-SEZ'!J359</f>
        <v>6.0359125612187557E-2</v>
      </c>
      <c r="K360" s="512">
        <f>+'F1 SEZ'!K359+'F1 Non-SEZ'!K359</f>
        <v>5.8274942057179896E-2</v>
      </c>
      <c r="L360" s="512">
        <f>+'F1 SEZ'!L359+'F1 Non-SEZ'!L359</f>
        <v>6.563648847729589E-2</v>
      </c>
      <c r="M360" s="512">
        <f>+'F1 SEZ'!M359+'F1 Non-SEZ'!M359</f>
        <v>6.2938537558914071E-2</v>
      </c>
      <c r="N360" s="512">
        <f>+'F1 SEZ'!N359+'F1 Non-SEZ'!N359</f>
        <v>8.3030394642067754E-2</v>
      </c>
      <c r="O360" s="544">
        <f t="shared" si="54"/>
        <v>0.78788731506757104</v>
      </c>
    </row>
    <row r="361" spans="2:15" x14ac:dyDescent="0.4">
      <c r="B361" s="520" t="s">
        <v>1143</v>
      </c>
      <c r="C361" s="512">
        <f>+'F1 SEZ'!C360+'F1 Non-SEZ'!C360</f>
        <v>2.1580837853331775E-2</v>
      </c>
      <c r="D361" s="512">
        <f>+'F1 SEZ'!D360+'F1 Non-SEZ'!D360</f>
        <v>1.6990614113322519E-2</v>
      </c>
      <c r="E361" s="512">
        <f>+'F1 SEZ'!E360+'F1 Non-SEZ'!E360</f>
        <v>2.7083724492694059E-2</v>
      </c>
      <c r="F361" s="512">
        <f>+'F1 SEZ'!F360+'F1 Non-SEZ'!F360</f>
        <v>2.2459220949787091E-2</v>
      </c>
      <c r="G361" s="512">
        <f>+'F1 SEZ'!G360+'F1 Non-SEZ'!G360</f>
        <v>2.5078476632336522E-2</v>
      </c>
      <c r="H361" s="512">
        <f>+'F1 SEZ'!H360+'F1 Non-SEZ'!H360</f>
        <v>2.0080084699732194E-2</v>
      </c>
      <c r="I361" s="512">
        <f>+'F1 SEZ'!I360+'F1 Non-SEZ'!I360</f>
        <v>2.3034955465850826E-2</v>
      </c>
      <c r="J361" s="512">
        <f>+'F1 SEZ'!J360+'F1 Non-SEZ'!J360</f>
        <v>1.5343789868407485E-2</v>
      </c>
      <c r="K361" s="512">
        <f>+'F1 SEZ'!K360+'F1 Non-SEZ'!K360</f>
        <v>1.1654811360797044E-2</v>
      </c>
      <c r="L361" s="512">
        <f>+'F1 SEZ'!L360+'F1 Non-SEZ'!L360</f>
        <v>1.5653219363680321E-2</v>
      </c>
      <c r="M361" s="512">
        <f>+'F1 SEZ'!M360+'F1 Non-SEZ'!M360</f>
        <v>1.5914994840538679E-2</v>
      </c>
      <c r="N361" s="512">
        <f>+'F1 SEZ'!N360+'F1 Non-SEZ'!N360</f>
        <v>1.9755110024099184E-2</v>
      </c>
      <c r="O361" s="544">
        <f t="shared" si="54"/>
        <v>0.23462983966457771</v>
      </c>
    </row>
    <row r="362" spans="2:15" x14ac:dyDescent="0.4">
      <c r="B362" s="519" t="s">
        <v>1111</v>
      </c>
      <c r="C362" s="512">
        <f>+'F1 SEZ'!C361+'F1 Non-SEZ'!C361</f>
        <v>0.10735324514461919</v>
      </c>
      <c r="D362" s="512">
        <f>+'F1 SEZ'!D361+'F1 Non-SEZ'!D361</f>
        <v>0.11003750835857574</v>
      </c>
      <c r="E362" s="512">
        <f>+'F1 SEZ'!E361+'F1 Non-SEZ'!E361</f>
        <v>9.8496404080205407E-2</v>
      </c>
      <c r="F362" s="512">
        <f>+'F1 SEZ'!F361+'F1 Non-SEZ'!F361</f>
        <v>0.10807216061451701</v>
      </c>
      <c r="G362" s="512">
        <f>+'F1 SEZ'!G361+'F1 Non-SEZ'!G361</f>
        <v>0.11706090999625941</v>
      </c>
      <c r="H362" s="512">
        <f>+'F1 SEZ'!H361+'F1 Non-SEZ'!H361</f>
        <v>0.11634637361229799</v>
      </c>
      <c r="I362" s="512">
        <f>+'F1 SEZ'!I361+'F1 Non-SEZ'!I361</f>
        <v>0.11856102644559716</v>
      </c>
      <c r="J362" s="512">
        <f>+'F1 SEZ'!J361+'F1 Non-SEZ'!J361</f>
        <v>0.11443625359566047</v>
      </c>
      <c r="K362" s="512">
        <f>+'F1 SEZ'!K361+'F1 Non-SEZ'!K361</f>
        <v>0.12606761828894314</v>
      </c>
      <c r="L362" s="512">
        <f>+'F1 SEZ'!L361+'F1 Non-SEZ'!L361</f>
        <v>0.10239642267375783</v>
      </c>
      <c r="M362" s="512">
        <f>+'F1 SEZ'!M361+'F1 Non-SEZ'!M361</f>
        <v>9.4100617055428729E-2</v>
      </c>
      <c r="N362" s="512">
        <f>+'F1 SEZ'!N361+'F1 Non-SEZ'!N361</f>
        <v>9.3694992574065328E-2</v>
      </c>
      <c r="O362" s="544">
        <f t="shared" si="54"/>
        <v>1.3066235324399276</v>
      </c>
    </row>
    <row r="363" spans="2:15" x14ac:dyDescent="0.4">
      <c r="B363" s="519" t="s">
        <v>1135</v>
      </c>
      <c r="C363" s="512">
        <f>+'F1 SEZ'!C362+'F1 Non-SEZ'!C362</f>
        <v>4.3363469477037099E-2</v>
      </c>
      <c r="D363" s="512">
        <f>+'F1 SEZ'!D362+'F1 Non-SEZ'!D362</f>
        <v>3.980910306484816E-2</v>
      </c>
      <c r="E363" s="512">
        <f>+'F1 SEZ'!E362+'F1 Non-SEZ'!E362</f>
        <v>4.2277079623739264E-2</v>
      </c>
      <c r="F363" s="512">
        <f>+'F1 SEZ'!F362+'F1 Non-SEZ'!F362</f>
        <v>4.0971994467579709E-2</v>
      </c>
      <c r="G363" s="512">
        <f>+'F1 SEZ'!G362+'F1 Non-SEZ'!G362</f>
        <v>4.2093680635777182E-2</v>
      </c>
      <c r="H363" s="512">
        <f>+'F1 SEZ'!H362+'F1 Non-SEZ'!H362</f>
        <v>4.1262557882926834E-2</v>
      </c>
      <c r="I363" s="512">
        <f>+'F1 SEZ'!I362+'F1 Non-SEZ'!I362</f>
        <v>4.7416263110979205E-2</v>
      </c>
      <c r="J363" s="512">
        <f>+'F1 SEZ'!J362+'F1 Non-SEZ'!J362</f>
        <v>4.0089167456513371E-2</v>
      </c>
      <c r="K363" s="512">
        <f>+'F1 SEZ'!K362+'F1 Non-SEZ'!K362</f>
        <v>3.5449141620491259E-2</v>
      </c>
      <c r="L363" s="512">
        <f>+'F1 SEZ'!L362+'F1 Non-SEZ'!L362</f>
        <v>3.7467380809864927E-2</v>
      </c>
      <c r="M363" s="512">
        <f>+'F1 SEZ'!M362+'F1 Non-SEZ'!M362</f>
        <v>3.3649930206753068E-2</v>
      </c>
      <c r="N363" s="512">
        <f>+'F1 SEZ'!N362+'F1 Non-SEZ'!N362</f>
        <v>4.0650315809181395E-2</v>
      </c>
      <c r="O363" s="544">
        <f t="shared" si="54"/>
        <v>0.4845000841656914</v>
      </c>
    </row>
    <row r="364" spans="2:15" x14ac:dyDescent="0.4">
      <c r="B364" s="519" t="s">
        <v>1136</v>
      </c>
      <c r="C364" s="512">
        <f>+'F1 SEZ'!C363+'F1 Non-SEZ'!C363</f>
        <v>0</v>
      </c>
      <c r="D364" s="512">
        <f>+'F1 SEZ'!D363+'F1 Non-SEZ'!D363</f>
        <v>0</v>
      </c>
      <c r="E364" s="512">
        <f>+'F1 SEZ'!E363+'F1 Non-SEZ'!E363</f>
        <v>0</v>
      </c>
      <c r="F364" s="512">
        <f>+'F1 SEZ'!F363+'F1 Non-SEZ'!F363</f>
        <v>0</v>
      </c>
      <c r="G364" s="512">
        <f>+'F1 SEZ'!G363+'F1 Non-SEZ'!G363</f>
        <v>0</v>
      </c>
      <c r="H364" s="512">
        <f>+'F1 SEZ'!H363+'F1 Non-SEZ'!H363</f>
        <v>0</v>
      </c>
      <c r="I364" s="512">
        <f>+'F1 SEZ'!I363+'F1 Non-SEZ'!I363</f>
        <v>0</v>
      </c>
      <c r="J364" s="512">
        <f>+'F1 SEZ'!J363+'F1 Non-SEZ'!J363</f>
        <v>0</v>
      </c>
      <c r="K364" s="512">
        <f>+'F1 SEZ'!K363+'F1 Non-SEZ'!K363</f>
        <v>0</v>
      </c>
      <c r="L364" s="512">
        <f>+'F1 SEZ'!L363+'F1 Non-SEZ'!L363</f>
        <v>0</v>
      </c>
      <c r="M364" s="512">
        <f>+'F1 SEZ'!M363+'F1 Non-SEZ'!M363</f>
        <v>0</v>
      </c>
      <c r="N364" s="512">
        <f>+'F1 SEZ'!N363+'F1 Non-SEZ'!N363</f>
        <v>0</v>
      </c>
      <c r="O364" s="544">
        <f t="shared" si="54"/>
        <v>0</v>
      </c>
    </row>
    <row r="365" spans="2:15" x14ac:dyDescent="0.4">
      <c r="B365" s="566" t="s">
        <v>1142</v>
      </c>
      <c r="C365" s="512">
        <f>+'F1 SEZ'!C364+'F1 Non-SEZ'!C364</f>
        <v>1.8917459193021565E-3</v>
      </c>
      <c r="D365" s="512">
        <f>+'F1 SEZ'!D364+'F1 Non-SEZ'!D364</f>
        <v>2.0667845562747818E-3</v>
      </c>
      <c r="E365" s="512">
        <f>+'F1 SEZ'!E364+'F1 Non-SEZ'!E364</f>
        <v>1.8455811522302809E-3</v>
      </c>
      <c r="F365" s="512">
        <f>+'F1 SEZ'!F364+'F1 Non-SEZ'!F364</f>
        <v>1.8213061080119073E-3</v>
      </c>
      <c r="G365" s="512">
        <f>+'F1 SEZ'!G364+'F1 Non-SEZ'!G364</f>
        <v>1.5582050772686973E-3</v>
      </c>
      <c r="H365" s="512">
        <f>+'F1 SEZ'!H364+'F1 Non-SEZ'!H364</f>
        <v>1.4753882013601514E-3</v>
      </c>
      <c r="I365" s="512">
        <f>+'F1 SEZ'!I364+'F1 Non-SEZ'!I364</f>
        <v>2.0483115768376785E-3</v>
      </c>
      <c r="J365" s="512">
        <f>+'F1 SEZ'!J364+'F1 Non-SEZ'!J364</f>
        <v>2.382677556512358E-3</v>
      </c>
      <c r="K365" s="512">
        <f>+'F1 SEZ'!K364+'F1 Non-SEZ'!K364</f>
        <v>2.7790559978334399E-3</v>
      </c>
      <c r="L365" s="512">
        <f>+'F1 SEZ'!L364+'F1 Non-SEZ'!L364</f>
        <v>2.8382722532487308E-3</v>
      </c>
      <c r="M365" s="512">
        <f>+'F1 SEZ'!M364+'F1 Non-SEZ'!M364</f>
        <v>2.8977570993860106E-3</v>
      </c>
      <c r="N365" s="512">
        <f>+'F1 SEZ'!N364+'F1 Non-SEZ'!N364</f>
        <v>3.5793292108053701E-3</v>
      </c>
      <c r="O365" s="544">
        <f t="shared" si="54"/>
        <v>2.7184414709071562E-2</v>
      </c>
    </row>
    <row r="366" spans="2:15" x14ac:dyDescent="0.4">
      <c r="B366" s="175" t="s">
        <v>162</v>
      </c>
      <c r="C366" s="567">
        <f>SUM(C353:C365)</f>
        <v>1.3098488786200424</v>
      </c>
      <c r="D366" s="567">
        <f t="shared" ref="D366:O366" si="55">SUM(D353:D365)</f>
        <v>1.562690549092248</v>
      </c>
      <c r="E366" s="567">
        <f t="shared" si="55"/>
        <v>1.2941339149354865</v>
      </c>
      <c r="F366" s="567">
        <f t="shared" si="55"/>
        <v>1.1553342961029576</v>
      </c>
      <c r="G366" s="567">
        <f t="shared" si="55"/>
        <v>1.1667130103606043</v>
      </c>
      <c r="H366" s="567">
        <f t="shared" si="55"/>
        <v>1.1691952509332777</v>
      </c>
      <c r="I366" s="567">
        <f t="shared" si="55"/>
        <v>1.282926749742799</v>
      </c>
      <c r="J366" s="567">
        <f t="shared" si="55"/>
        <v>1.2080440564075487</v>
      </c>
      <c r="K366" s="567">
        <f t="shared" si="55"/>
        <v>1.067773351340535</v>
      </c>
      <c r="L366" s="567">
        <f t="shared" si="55"/>
        <v>1.104477857812314</v>
      </c>
      <c r="M366" s="567">
        <f t="shared" si="55"/>
        <v>1.0785425565183344</v>
      </c>
      <c r="N366" s="567">
        <f t="shared" si="55"/>
        <v>1.3721237487772833</v>
      </c>
      <c r="O366" s="567">
        <f t="shared" si="55"/>
        <v>14.77180422064343</v>
      </c>
    </row>
    <row r="367" spans="2:15" x14ac:dyDescent="0.4">
      <c r="B367" s="175"/>
      <c r="C367" s="26"/>
      <c r="D367" s="26"/>
      <c r="E367" s="26"/>
      <c r="F367" s="26"/>
      <c r="G367" s="26"/>
      <c r="H367" s="26"/>
      <c r="I367" s="26"/>
      <c r="J367" s="26"/>
      <c r="K367" s="26"/>
      <c r="L367" s="26"/>
      <c r="M367" s="26"/>
      <c r="N367" s="26"/>
      <c r="O367" s="26"/>
    </row>
    <row r="368" spans="2:15" x14ac:dyDescent="0.4">
      <c r="B368" s="119" t="s">
        <v>164</v>
      </c>
      <c r="C368" s="568">
        <f>+C366+C350</f>
        <v>20.584068185750699</v>
      </c>
      <c r="D368" s="568">
        <f t="shared" ref="D368:O368" si="56">+D366+D350</f>
        <v>21.490578156077728</v>
      </c>
      <c r="E368" s="568">
        <f t="shared" si="56"/>
        <v>20.552419371145589</v>
      </c>
      <c r="F368" s="568">
        <f t="shared" si="56"/>
        <v>21.663321268736578</v>
      </c>
      <c r="G368" s="568">
        <f t="shared" si="56"/>
        <v>21.66409040921603</v>
      </c>
      <c r="H368" s="568">
        <f t="shared" si="56"/>
        <v>21.008988003376963</v>
      </c>
      <c r="I368" s="568">
        <f t="shared" si="56"/>
        <v>22.373372463886767</v>
      </c>
      <c r="J368" s="568">
        <f t="shared" si="56"/>
        <v>21.605153052840848</v>
      </c>
      <c r="K368" s="568">
        <f t="shared" si="56"/>
        <v>22.16606325268263</v>
      </c>
      <c r="L368" s="568">
        <f t="shared" si="56"/>
        <v>22.809901842717927</v>
      </c>
      <c r="M368" s="568">
        <f t="shared" si="56"/>
        <v>20.694102393557586</v>
      </c>
      <c r="N368" s="568">
        <f t="shared" si="56"/>
        <v>23.102740600010645</v>
      </c>
      <c r="O368" s="568">
        <f t="shared" si="56"/>
        <v>259.71479900000003</v>
      </c>
    </row>
    <row r="369" spans="2:15" x14ac:dyDescent="0.4">
      <c r="B369" s="118"/>
      <c r="E369" s="198"/>
      <c r="F369" s="199"/>
      <c r="G369" s="198"/>
      <c r="H369" s="198"/>
      <c r="I369" s="198"/>
      <c r="J369" s="198"/>
      <c r="K369" s="198"/>
      <c r="L369" s="198"/>
      <c r="M369" s="198"/>
      <c r="N369" s="198"/>
      <c r="O369" s="199"/>
    </row>
    <row r="370" spans="2:15" x14ac:dyDescent="0.4">
      <c r="B370" s="32" t="s">
        <v>193</v>
      </c>
      <c r="C370" s="8"/>
      <c r="D370" s="8"/>
      <c r="E370" s="8"/>
      <c r="F370" s="8"/>
      <c r="G370" s="8"/>
      <c r="H370" s="8"/>
      <c r="I370" s="8"/>
      <c r="J370" s="8"/>
      <c r="K370" s="8"/>
      <c r="L370" s="8"/>
      <c r="M370" s="8"/>
      <c r="N370" s="8"/>
      <c r="O370" s="4"/>
    </row>
    <row r="371" spans="2:15" x14ac:dyDescent="0.4">
      <c r="B371" s="32"/>
      <c r="C371" s="38"/>
      <c r="D371" s="38"/>
      <c r="O371" s="38" t="s">
        <v>171</v>
      </c>
    </row>
    <row r="372" spans="2:15" s="51" customFormat="1" ht="27" x14ac:dyDescent="0.35">
      <c r="B372" s="169" t="s">
        <v>160</v>
      </c>
      <c r="C372" s="106" t="s">
        <v>172</v>
      </c>
      <c r="D372" s="106" t="s">
        <v>173</v>
      </c>
      <c r="E372" s="64" t="s">
        <v>174</v>
      </c>
      <c r="F372" s="64" t="s">
        <v>175</v>
      </c>
      <c r="G372" s="64" t="s">
        <v>176</v>
      </c>
      <c r="H372" s="64" t="s">
        <v>177</v>
      </c>
      <c r="I372" s="64" t="s">
        <v>178</v>
      </c>
      <c r="J372" s="64" t="s">
        <v>179</v>
      </c>
      <c r="K372" s="64" t="s">
        <v>180</v>
      </c>
      <c r="L372" s="64" t="s">
        <v>181</v>
      </c>
      <c r="M372" s="64" t="s">
        <v>182</v>
      </c>
      <c r="N372" s="64" t="s">
        <v>183</v>
      </c>
      <c r="O372" s="158" t="s">
        <v>188</v>
      </c>
    </row>
    <row r="373" spans="2:15" x14ac:dyDescent="0.4">
      <c r="B373" s="517" t="s">
        <v>161</v>
      </c>
      <c r="C373" s="78"/>
      <c r="D373" s="78"/>
      <c r="E373" s="78"/>
      <c r="F373" s="3"/>
      <c r="G373" s="3"/>
      <c r="H373" s="2"/>
      <c r="I373" s="43"/>
      <c r="J373" s="44"/>
      <c r="K373" s="124"/>
      <c r="L373" s="124"/>
      <c r="M373" s="2"/>
      <c r="N373" s="2"/>
      <c r="O373" s="2"/>
    </row>
    <row r="374" spans="2:15" x14ac:dyDescent="0.4">
      <c r="B374" s="429" t="s">
        <v>1129</v>
      </c>
      <c r="C374" s="512">
        <f>+'F1 SEZ'!C373+'F1 Non-SEZ'!C373</f>
        <v>20.923200000000001</v>
      </c>
      <c r="D374" s="512">
        <f>+'F1 SEZ'!D373+'F1 Non-SEZ'!D373</f>
        <v>21.622319000000001</v>
      </c>
      <c r="E374" s="512">
        <f>+'F1 SEZ'!E373+'F1 Non-SEZ'!E373</f>
        <v>20.922000000000004</v>
      </c>
      <c r="F374" s="512">
        <f>+'F1 SEZ'!F373+'F1 Non-SEZ'!F373</f>
        <v>22.204319999999999</v>
      </c>
      <c r="G374" s="512">
        <f>+'F1 SEZ'!G373+'F1 Non-SEZ'!G373</f>
        <v>22.203119999999998</v>
      </c>
      <c r="H374" s="512">
        <f>+'F1 SEZ'!H373+'F1 Non-SEZ'!H373</f>
        <v>21.488400000000002</v>
      </c>
      <c r="I374" s="512">
        <f>+'F1 SEZ'!I373+'F1 Non-SEZ'!I373</f>
        <v>22.799519999999998</v>
      </c>
      <c r="J374" s="512">
        <f>+'F1 SEZ'!J373+'F1 Non-SEZ'!J373</f>
        <v>22.064400000000003</v>
      </c>
      <c r="K374" s="512">
        <f>+'F1 SEZ'!K373+'F1 Non-SEZ'!K373</f>
        <v>22.798319999999997</v>
      </c>
      <c r="L374" s="512">
        <f>+'F1 SEZ'!L373+'F1 Non-SEZ'!L373</f>
        <v>23.39592</v>
      </c>
      <c r="M374" s="512">
        <f>+'F1 SEZ'!M373+'F1 Non-SEZ'!M373</f>
        <v>21.140160000000005</v>
      </c>
      <c r="N374" s="512">
        <f>+'F1 SEZ'!N373+'F1 Non-SEZ'!N373</f>
        <v>23.409120000000001</v>
      </c>
      <c r="O374" s="544">
        <f>SUM(C374:N374)</f>
        <v>264.970799</v>
      </c>
    </row>
    <row r="375" spans="2:15" x14ac:dyDescent="0.4">
      <c r="B375" s="429" t="s">
        <v>1130</v>
      </c>
      <c r="C375" s="512">
        <f>+'F1 SEZ'!C374+'F1 Non-SEZ'!C374</f>
        <v>7.9019307130657634E-2</v>
      </c>
      <c r="D375" s="512">
        <f>+'F1 SEZ'!D374+'F1 Non-SEZ'!D374</f>
        <v>9.1168606985481029E-2</v>
      </c>
      <c r="E375" s="512">
        <f>+'F1 SEZ'!E374+'F1 Non-SEZ'!E374</f>
        <v>6.4285456210099345E-2</v>
      </c>
      <c r="F375" s="512">
        <f>+'F1 SEZ'!F374+'F1 Non-SEZ'!F374</f>
        <v>8.9266972633622363E-2</v>
      </c>
      <c r="G375" s="512">
        <f>+'F1 SEZ'!G374+'F1 Non-SEZ'!G374</f>
        <v>7.9857398855432665E-2</v>
      </c>
      <c r="H375" s="512">
        <f>+'F1 SEZ'!H374+'F1 Non-SEZ'!H374</f>
        <v>7.9392752443683726E-2</v>
      </c>
      <c r="I375" s="512">
        <f>+'F1 SEZ'!I374+'F1 Non-SEZ'!I374</f>
        <v>7.6525714143970081E-2</v>
      </c>
      <c r="J375" s="512">
        <f>+'F1 SEZ'!J374+'F1 Non-SEZ'!J374</f>
        <v>6.0708996433297545E-2</v>
      </c>
      <c r="K375" s="512">
        <f>+'F1 SEZ'!K374+'F1 Non-SEZ'!K374</f>
        <v>8.5569901342093829E-2</v>
      </c>
      <c r="L375" s="512">
        <f>+'F1 SEZ'!L374+'F1 Non-SEZ'!L374</f>
        <v>9.5103984905612823E-2</v>
      </c>
      <c r="M375" s="512">
        <f>+'F1 SEZ'!M374+'F1 Non-SEZ'!M374</f>
        <v>8.8199837039244638E-2</v>
      </c>
      <c r="N375" s="512">
        <f>+'F1 SEZ'!N374+'F1 Non-SEZ'!N374</f>
        <v>0.10709685123335856</v>
      </c>
      <c r="O375" s="544">
        <f>SUM(C375:N375)</f>
        <v>0.99619577935655412</v>
      </c>
    </row>
    <row r="376" spans="2:15" x14ac:dyDescent="0.4">
      <c r="B376" s="429" t="s">
        <v>1131</v>
      </c>
      <c r="C376" s="512">
        <f>+'F1 SEZ'!C375+'F1 Non-SEZ'!C375</f>
        <v>0</v>
      </c>
      <c r="D376" s="512">
        <f>+'F1 SEZ'!D375+'F1 Non-SEZ'!D375</f>
        <v>0</v>
      </c>
      <c r="E376" s="512">
        <f>+'F1 SEZ'!E375+'F1 Non-SEZ'!E375</f>
        <v>0</v>
      </c>
      <c r="F376" s="512">
        <f>+'F1 SEZ'!F375+'F1 Non-SEZ'!F375</f>
        <v>0</v>
      </c>
      <c r="G376" s="512">
        <f>+'F1 SEZ'!G375+'F1 Non-SEZ'!G375</f>
        <v>0</v>
      </c>
      <c r="H376" s="512">
        <f>+'F1 SEZ'!H375+'F1 Non-SEZ'!H375</f>
        <v>0</v>
      </c>
      <c r="I376" s="512">
        <f>+'F1 SEZ'!I375+'F1 Non-SEZ'!I375</f>
        <v>0</v>
      </c>
      <c r="J376" s="512">
        <f>+'F1 SEZ'!J375+'F1 Non-SEZ'!J375</f>
        <v>0</v>
      </c>
      <c r="K376" s="512">
        <f>+'F1 SEZ'!K375+'F1 Non-SEZ'!K375</f>
        <v>0</v>
      </c>
      <c r="L376" s="512">
        <f>+'F1 SEZ'!L375+'F1 Non-SEZ'!L375</f>
        <v>0</v>
      </c>
      <c r="M376" s="512">
        <f>+'F1 SEZ'!M375+'F1 Non-SEZ'!M375</f>
        <v>0</v>
      </c>
      <c r="N376" s="512">
        <f>+'F1 SEZ'!N375+'F1 Non-SEZ'!N375</f>
        <v>0</v>
      </c>
      <c r="O376" s="544">
        <f>SUM(C376:N376)</f>
        <v>0</v>
      </c>
    </row>
    <row r="377" spans="2:15" x14ac:dyDescent="0.4">
      <c r="B377" s="429" t="s">
        <v>1132</v>
      </c>
      <c r="C377" s="512">
        <f>+'F1 SEZ'!C376+'F1 Non-SEZ'!C376</f>
        <v>0</v>
      </c>
      <c r="D377" s="512">
        <f>+'F1 SEZ'!D376+'F1 Non-SEZ'!D376</f>
        <v>0</v>
      </c>
      <c r="E377" s="512">
        <f>+'F1 SEZ'!E376+'F1 Non-SEZ'!E376</f>
        <v>0</v>
      </c>
      <c r="F377" s="512">
        <f>+'F1 SEZ'!F376+'F1 Non-SEZ'!F376</f>
        <v>0</v>
      </c>
      <c r="G377" s="512">
        <f>+'F1 SEZ'!G376+'F1 Non-SEZ'!G376</f>
        <v>0</v>
      </c>
      <c r="H377" s="512">
        <f>+'F1 SEZ'!H376+'F1 Non-SEZ'!H376</f>
        <v>0</v>
      </c>
      <c r="I377" s="512">
        <f>+'F1 SEZ'!I376+'F1 Non-SEZ'!I376</f>
        <v>0</v>
      </c>
      <c r="J377" s="512">
        <f>+'F1 SEZ'!J376+'F1 Non-SEZ'!J376</f>
        <v>0</v>
      </c>
      <c r="K377" s="512">
        <f>+'F1 SEZ'!K376+'F1 Non-SEZ'!K376</f>
        <v>0</v>
      </c>
      <c r="L377" s="512">
        <f>+'F1 SEZ'!L376+'F1 Non-SEZ'!L376</f>
        <v>0</v>
      </c>
      <c r="M377" s="512">
        <f>+'F1 SEZ'!M376+'F1 Non-SEZ'!M376</f>
        <v>0</v>
      </c>
      <c r="N377" s="512">
        <f>+'F1 SEZ'!N376+'F1 Non-SEZ'!N376</f>
        <v>0</v>
      </c>
      <c r="O377" s="544">
        <f>SUM(C377:N377)</f>
        <v>0</v>
      </c>
    </row>
    <row r="378" spans="2:15" x14ac:dyDescent="0.4">
      <c r="B378" s="518" t="s">
        <v>162</v>
      </c>
      <c r="C378" s="545">
        <f>SUM(C374:C377)</f>
        <v>21.002219307130659</v>
      </c>
      <c r="D378" s="545">
        <f t="shared" ref="D378:O378" si="57">SUM(D374:D377)</f>
        <v>21.713487606985481</v>
      </c>
      <c r="E378" s="545">
        <f t="shared" si="57"/>
        <v>20.986285456210105</v>
      </c>
      <c r="F378" s="545">
        <f t="shared" si="57"/>
        <v>22.293586972633623</v>
      </c>
      <c r="G378" s="545">
        <f t="shared" si="57"/>
        <v>22.282977398855429</v>
      </c>
      <c r="H378" s="545">
        <f t="shared" si="57"/>
        <v>21.567792752443687</v>
      </c>
      <c r="I378" s="545">
        <f t="shared" si="57"/>
        <v>22.876045714143967</v>
      </c>
      <c r="J378" s="545">
        <f t="shared" si="57"/>
        <v>22.125108996433301</v>
      </c>
      <c r="K378" s="545">
        <f t="shared" si="57"/>
        <v>22.883889901342091</v>
      </c>
      <c r="L378" s="545">
        <f t="shared" si="57"/>
        <v>23.491023984905613</v>
      </c>
      <c r="M378" s="545">
        <f t="shared" si="57"/>
        <v>21.22835983703925</v>
      </c>
      <c r="N378" s="545">
        <f t="shared" si="57"/>
        <v>23.516216851233359</v>
      </c>
      <c r="O378" s="545">
        <f t="shared" si="57"/>
        <v>265.96699477935653</v>
      </c>
    </row>
    <row r="379" spans="2:15" x14ac:dyDescent="0.4">
      <c r="B379" s="517" t="s">
        <v>163</v>
      </c>
      <c r="C379" s="545"/>
      <c r="D379" s="545"/>
      <c r="E379" s="545"/>
      <c r="F379" s="545"/>
      <c r="G379" s="545"/>
      <c r="H379" s="545"/>
      <c r="I379" s="545"/>
      <c r="J379" s="545"/>
      <c r="K379" s="545"/>
      <c r="L379" s="545"/>
      <c r="M379" s="545"/>
      <c r="N379" s="545"/>
      <c r="O379" s="545"/>
    </row>
    <row r="380" spans="2:15" x14ac:dyDescent="0.4">
      <c r="B380" s="519" t="s">
        <v>1133</v>
      </c>
      <c r="C380" s="546"/>
      <c r="D380" s="546"/>
      <c r="E380" s="547"/>
      <c r="F380" s="546"/>
      <c r="G380" s="547"/>
      <c r="H380" s="547"/>
      <c r="I380" s="543"/>
      <c r="J380" s="545"/>
      <c r="K380" s="547"/>
      <c r="L380" s="545"/>
      <c r="M380" s="545"/>
      <c r="N380" s="548"/>
      <c r="O380" s="544">
        <f t="shared" ref="O380:O393" si="58">SUM(C380:N380)</f>
        <v>0</v>
      </c>
    </row>
    <row r="381" spans="2:15" x14ac:dyDescent="0.4">
      <c r="B381" s="520" t="s">
        <v>1106</v>
      </c>
      <c r="C381" s="512">
        <f>+'F1 SEZ'!C380+'F1 Non-SEZ'!C380</f>
        <v>0.20203307466169457</v>
      </c>
      <c r="D381" s="512">
        <f>+'F1 SEZ'!D380+'F1 Non-SEZ'!D380</f>
        <v>0.21606805981709917</v>
      </c>
      <c r="E381" s="512">
        <f>+'F1 SEZ'!E380+'F1 Non-SEZ'!E380</f>
        <v>0.21718555526132169</v>
      </c>
      <c r="F381" s="512">
        <f>+'F1 SEZ'!F380+'F1 Non-SEZ'!F380</f>
        <v>0.21435709221605806</v>
      </c>
      <c r="G381" s="512">
        <f>+'F1 SEZ'!G380+'F1 Non-SEZ'!G380</f>
        <v>0.21567241171255344</v>
      </c>
      <c r="H381" s="512">
        <f>+'F1 SEZ'!H380+'F1 Non-SEZ'!H380</f>
        <v>0.22100524307914435</v>
      </c>
      <c r="I381" s="512">
        <f>+'F1 SEZ'!I380+'F1 Non-SEZ'!I380</f>
        <v>0.22656325714353534</v>
      </c>
      <c r="J381" s="512">
        <f>+'F1 SEZ'!J380+'F1 Non-SEZ'!J380</f>
        <v>0.22696942780405316</v>
      </c>
      <c r="K381" s="512">
        <f>+'F1 SEZ'!K380+'F1 Non-SEZ'!K380</f>
        <v>0.22222375506069775</v>
      </c>
      <c r="L381" s="512">
        <f>+'F1 SEZ'!L380+'F1 Non-SEZ'!L380</f>
        <v>0.23034295924866457</v>
      </c>
      <c r="M381" s="512">
        <f>+'F1 SEZ'!M380+'F1 Non-SEZ'!M380</f>
        <v>0.23112162839058983</v>
      </c>
      <c r="N381" s="512">
        <f>+'F1 SEZ'!N380+'F1 Non-SEZ'!N380</f>
        <v>0.2460594488483889</v>
      </c>
      <c r="O381" s="544">
        <f t="shared" si="58"/>
        <v>2.6696019132438007</v>
      </c>
    </row>
    <row r="382" spans="2:15" x14ac:dyDescent="0.4">
      <c r="B382" s="520" t="s">
        <v>1107</v>
      </c>
      <c r="C382" s="512">
        <f>+'F1 SEZ'!C381+'F1 Non-SEZ'!C381</f>
        <v>0.23444149337003384</v>
      </c>
      <c r="D382" s="512">
        <f>+'F1 SEZ'!D381+'F1 Non-SEZ'!D381</f>
        <v>0.26563757846267566</v>
      </c>
      <c r="E382" s="512">
        <f>+'F1 SEZ'!E381+'F1 Non-SEZ'!E381</f>
        <v>0.24564360112475273</v>
      </c>
      <c r="F382" s="512">
        <f>+'F1 SEZ'!F381+'F1 Non-SEZ'!F381</f>
        <v>0.1982435369078431</v>
      </c>
      <c r="G382" s="512">
        <f>+'F1 SEZ'!G381+'F1 Non-SEZ'!G381</f>
        <v>0.19967539977674942</v>
      </c>
      <c r="H382" s="512">
        <f>+'F1 SEZ'!H381+'F1 Non-SEZ'!H381</f>
        <v>0.19771285996855836</v>
      </c>
      <c r="I382" s="512">
        <f>+'F1 SEZ'!I381+'F1 Non-SEZ'!I381</f>
        <v>0.22730726557172271</v>
      </c>
      <c r="J382" s="512">
        <f>+'F1 SEZ'!J381+'F1 Non-SEZ'!J381</f>
        <v>0.20902689231410815</v>
      </c>
      <c r="K382" s="512">
        <f>+'F1 SEZ'!K381+'F1 Non-SEZ'!K381</f>
        <v>0.1667830782127212</v>
      </c>
      <c r="L382" s="512">
        <f>+'F1 SEZ'!L381+'F1 Non-SEZ'!L381</f>
        <v>0.18110749610475885</v>
      </c>
      <c r="M382" s="512">
        <f>+'F1 SEZ'!M381+'F1 Non-SEZ'!M381</f>
        <v>0.18971604092711905</v>
      </c>
      <c r="N382" s="512">
        <f>+'F1 SEZ'!N381+'F1 Non-SEZ'!N381</f>
        <v>0.26991579946047278</v>
      </c>
      <c r="O382" s="544">
        <f t="shared" si="58"/>
        <v>2.5852110422015158</v>
      </c>
    </row>
    <row r="383" spans="2:15" x14ac:dyDescent="0.4">
      <c r="B383" s="520" t="s">
        <v>1108</v>
      </c>
      <c r="C383" s="512">
        <f>+'F1 SEZ'!C382+'F1 Non-SEZ'!C382</f>
        <v>0.10636350087006209</v>
      </c>
      <c r="D383" s="512">
        <f>+'F1 SEZ'!D382+'F1 Non-SEZ'!D382</f>
        <v>0.14954460653921842</v>
      </c>
      <c r="E383" s="512">
        <f>+'F1 SEZ'!E382+'F1 Non-SEZ'!E382</f>
        <v>0.10532322401067476</v>
      </c>
      <c r="F383" s="512">
        <f>+'F1 SEZ'!F382+'F1 Non-SEZ'!F382</f>
        <v>5.4958088736102487E-2</v>
      </c>
      <c r="G383" s="512">
        <f>+'F1 SEZ'!G382+'F1 Non-SEZ'!G382</f>
        <v>5.7643576561344369E-2</v>
      </c>
      <c r="H383" s="512">
        <f>+'F1 SEZ'!H382+'F1 Non-SEZ'!H382</f>
        <v>5.613998311752405E-2</v>
      </c>
      <c r="I383" s="512">
        <f>+'F1 SEZ'!I382+'F1 Non-SEZ'!I382</f>
        <v>7.8146646695857136E-2</v>
      </c>
      <c r="J383" s="512">
        <f>+'F1 SEZ'!J382+'F1 Non-SEZ'!J382</f>
        <v>6.608817694931203E-2</v>
      </c>
      <c r="K383" s="512">
        <f>+'F1 SEZ'!K382+'F1 Non-SEZ'!K382</f>
        <v>3.5215557145847697E-2</v>
      </c>
      <c r="L383" s="512">
        <f>+'F1 SEZ'!L382+'F1 Non-SEZ'!L382</f>
        <v>4.1992217829856522E-2</v>
      </c>
      <c r="M383" s="512">
        <f>+'F1 SEZ'!M382+'F1 Non-SEZ'!M382</f>
        <v>4.697330820362873E-2</v>
      </c>
      <c r="N383" s="512">
        <f>+'F1 SEZ'!N382+'F1 Non-SEZ'!N382</f>
        <v>0.10709956231174624</v>
      </c>
      <c r="O383" s="544">
        <f t="shared" si="58"/>
        <v>0.90548844897117453</v>
      </c>
    </row>
    <row r="384" spans="2:15" x14ac:dyDescent="0.4">
      <c r="B384" s="520" t="s">
        <v>1109</v>
      </c>
      <c r="C384" s="512">
        <f>+'F1 SEZ'!C383+'F1 Non-SEZ'!C383</f>
        <v>0.49830491791869241</v>
      </c>
      <c r="D384" s="512">
        <f>+'F1 SEZ'!D383+'F1 Non-SEZ'!D383</f>
        <v>0.64640377379154945</v>
      </c>
      <c r="E384" s="512">
        <f>+'F1 SEZ'!E383+'F1 Non-SEZ'!E383</f>
        <v>0.44692123260747485</v>
      </c>
      <c r="F384" s="512">
        <f>+'F1 SEZ'!F383+'F1 Non-SEZ'!F383</f>
        <v>0.41557462391886268</v>
      </c>
      <c r="G384" s="512">
        <f>+'F1 SEZ'!G383+'F1 Non-SEZ'!G383</f>
        <v>0.40198984872731225</v>
      </c>
      <c r="H384" s="512">
        <f>+'F1 SEZ'!H383+'F1 Non-SEZ'!H383</f>
        <v>0.41601206808367996</v>
      </c>
      <c r="I384" s="512">
        <f>+'F1 SEZ'!I383+'F1 Non-SEZ'!I383</f>
        <v>0.448919072116305</v>
      </c>
      <c r="J384" s="512">
        <f>+'F1 SEZ'!J383+'F1 Non-SEZ'!J383</f>
        <v>0.43557969243184719</v>
      </c>
      <c r="K384" s="512">
        <f>+'F1 SEZ'!K383+'F1 Non-SEZ'!K383</f>
        <v>0.37802911133369371</v>
      </c>
      <c r="L384" s="512">
        <f>+'F1 SEZ'!L383+'F1 Non-SEZ'!L383</f>
        <v>0.39403850082901803</v>
      </c>
      <c r="M384" s="512">
        <f>+'F1 SEZ'!M383+'F1 Non-SEZ'!M383</f>
        <v>0.36899215505076166</v>
      </c>
      <c r="N384" s="512">
        <f>+'F1 SEZ'!N383+'F1 Non-SEZ'!N383</f>
        <v>0.47142077317970971</v>
      </c>
      <c r="O384" s="544">
        <f t="shared" si="58"/>
        <v>5.3221857699889075</v>
      </c>
    </row>
    <row r="385" spans="2:15" x14ac:dyDescent="0.4">
      <c r="B385" s="520" t="s">
        <v>1110</v>
      </c>
      <c r="C385" s="512">
        <f>+'F1 SEZ'!C384+'F1 Non-SEZ'!C384</f>
        <v>0</v>
      </c>
      <c r="D385" s="512">
        <f>+'F1 SEZ'!D384+'F1 Non-SEZ'!D384</f>
        <v>0</v>
      </c>
      <c r="E385" s="512">
        <f>+'F1 SEZ'!E384+'F1 Non-SEZ'!E384</f>
        <v>0</v>
      </c>
      <c r="F385" s="512">
        <f>+'F1 SEZ'!F384+'F1 Non-SEZ'!F384</f>
        <v>0</v>
      </c>
      <c r="G385" s="512">
        <f>+'F1 SEZ'!G384+'F1 Non-SEZ'!G384</f>
        <v>0</v>
      </c>
      <c r="H385" s="512">
        <f>+'F1 SEZ'!H384+'F1 Non-SEZ'!H384</f>
        <v>0</v>
      </c>
      <c r="I385" s="512">
        <f>+'F1 SEZ'!I384+'F1 Non-SEZ'!I384</f>
        <v>0</v>
      </c>
      <c r="J385" s="512">
        <f>+'F1 SEZ'!J384+'F1 Non-SEZ'!J384</f>
        <v>0</v>
      </c>
      <c r="K385" s="512">
        <f>+'F1 SEZ'!K384+'F1 Non-SEZ'!K384</f>
        <v>0</v>
      </c>
      <c r="L385" s="512">
        <f>+'F1 SEZ'!L384+'F1 Non-SEZ'!L384</f>
        <v>0</v>
      </c>
      <c r="M385" s="512">
        <f>+'F1 SEZ'!M384+'F1 Non-SEZ'!M384</f>
        <v>0</v>
      </c>
      <c r="N385" s="512">
        <f>+'F1 SEZ'!N384+'F1 Non-SEZ'!N384</f>
        <v>0</v>
      </c>
      <c r="O385" s="544">
        <f t="shared" si="58"/>
        <v>0</v>
      </c>
    </row>
    <row r="386" spans="2:15" x14ac:dyDescent="0.4">
      <c r="B386" s="519" t="s">
        <v>1145</v>
      </c>
      <c r="C386" s="512">
        <f>+'F1 SEZ'!C385+'F1 Non-SEZ'!C385</f>
        <v>0</v>
      </c>
      <c r="D386" s="512">
        <f>+'F1 SEZ'!D385+'F1 Non-SEZ'!D385</f>
        <v>0</v>
      </c>
      <c r="E386" s="512">
        <f>+'F1 SEZ'!E385+'F1 Non-SEZ'!E385</f>
        <v>0</v>
      </c>
      <c r="F386" s="512">
        <f>+'F1 SEZ'!F385+'F1 Non-SEZ'!F385</f>
        <v>0</v>
      </c>
      <c r="G386" s="512">
        <f>+'F1 SEZ'!G385+'F1 Non-SEZ'!G385</f>
        <v>0</v>
      </c>
      <c r="H386" s="512">
        <f>+'F1 SEZ'!H385+'F1 Non-SEZ'!H385</f>
        <v>0</v>
      </c>
      <c r="I386" s="512">
        <f>+'F1 SEZ'!I385+'F1 Non-SEZ'!I385</f>
        <v>0</v>
      </c>
      <c r="J386" s="512">
        <f>+'F1 SEZ'!J385+'F1 Non-SEZ'!J385</f>
        <v>0</v>
      </c>
      <c r="K386" s="512">
        <f>+'F1 SEZ'!K385+'F1 Non-SEZ'!K385</f>
        <v>0</v>
      </c>
      <c r="L386" s="512">
        <f>+'F1 SEZ'!L385+'F1 Non-SEZ'!L385</f>
        <v>0</v>
      </c>
      <c r="M386" s="512">
        <f>+'F1 SEZ'!M385+'F1 Non-SEZ'!M385</f>
        <v>0</v>
      </c>
      <c r="N386" s="512">
        <f>+'F1 SEZ'!N385+'F1 Non-SEZ'!N385</f>
        <v>0</v>
      </c>
      <c r="O386" s="544">
        <f t="shared" si="58"/>
        <v>0</v>
      </c>
    </row>
    <row r="387" spans="2:15" x14ac:dyDescent="0.4">
      <c r="B387" s="520" t="s">
        <v>1140</v>
      </c>
      <c r="C387" s="512">
        <f>+'F1 SEZ'!C386+'F1 Non-SEZ'!C386</f>
        <v>3.7299069326934546E-2</v>
      </c>
      <c r="D387" s="512">
        <f>+'F1 SEZ'!D386+'F1 Non-SEZ'!D386</f>
        <v>4.8077990560332851E-2</v>
      </c>
      <c r="E387" s="512">
        <f>+'F1 SEZ'!E386+'F1 Non-SEZ'!E386</f>
        <v>4.0126469973306163E-2</v>
      </c>
      <c r="F387" s="512">
        <f>+'F1 SEZ'!F386+'F1 Non-SEZ'!F386</f>
        <v>3.8062902486169704E-2</v>
      </c>
      <c r="G387" s="512">
        <f>+'F1 SEZ'!G386+'F1 Non-SEZ'!G386</f>
        <v>3.9700184952776295E-2</v>
      </c>
      <c r="H387" s="512">
        <f>+'F1 SEZ'!H386+'F1 Non-SEZ'!H386</f>
        <v>3.6550895617433132E-2</v>
      </c>
      <c r="I387" s="512">
        <f>+'F1 SEZ'!I386+'F1 Non-SEZ'!I386</f>
        <v>3.7448704068834833E-2</v>
      </c>
      <c r="J387" s="512">
        <f>+'F1 SEZ'!J386+'F1 Non-SEZ'!J386</f>
        <v>3.7768852818947055E-2</v>
      </c>
      <c r="K387" s="512">
        <f>+'F1 SEZ'!K386+'F1 Non-SEZ'!K386</f>
        <v>3.129628026233016E-2</v>
      </c>
      <c r="L387" s="512">
        <f>+'F1 SEZ'!L386+'F1 Non-SEZ'!L386</f>
        <v>3.3004900222168274E-2</v>
      </c>
      <c r="M387" s="512">
        <f>+'F1 SEZ'!M386+'F1 Non-SEZ'!M386</f>
        <v>3.2237587185214495E-2</v>
      </c>
      <c r="N387" s="512">
        <f>+'F1 SEZ'!N386+'F1 Non-SEZ'!N386</f>
        <v>3.6918022716746608E-2</v>
      </c>
      <c r="O387" s="544">
        <f t="shared" si="58"/>
        <v>0.44849186019119414</v>
      </c>
    </row>
    <row r="388" spans="2:15" x14ac:dyDescent="0.4">
      <c r="B388" s="520" t="s">
        <v>1144</v>
      </c>
      <c r="C388" s="512">
        <f>+'F1 SEZ'!C387+'F1 Non-SEZ'!C387</f>
        <v>5.7217524078334629E-2</v>
      </c>
      <c r="D388" s="512">
        <f>+'F1 SEZ'!D387+'F1 Non-SEZ'!D387</f>
        <v>6.8054529828351557E-2</v>
      </c>
      <c r="E388" s="512">
        <f>+'F1 SEZ'!E387+'F1 Non-SEZ'!E387</f>
        <v>6.9231042609087426E-2</v>
      </c>
      <c r="F388" s="512">
        <f>+'F1 SEZ'!F387+'F1 Non-SEZ'!F387</f>
        <v>6.0813369698025886E-2</v>
      </c>
      <c r="G388" s="512">
        <f>+'F1 SEZ'!G387+'F1 Non-SEZ'!G387</f>
        <v>6.6240316288226714E-2</v>
      </c>
      <c r="H388" s="512">
        <f>+'F1 SEZ'!H387+'F1 Non-SEZ'!H387</f>
        <v>6.2609796670620596E-2</v>
      </c>
      <c r="I388" s="512">
        <f>+'F1 SEZ'!I387+'F1 Non-SEZ'!I387</f>
        <v>7.3481247547279041E-2</v>
      </c>
      <c r="J388" s="512">
        <f>+'F1 SEZ'!J387+'F1 Non-SEZ'!J387</f>
        <v>6.0359125612187557E-2</v>
      </c>
      <c r="K388" s="512">
        <f>+'F1 SEZ'!K387+'F1 Non-SEZ'!K387</f>
        <v>5.8274942057179896E-2</v>
      </c>
      <c r="L388" s="512">
        <f>+'F1 SEZ'!L387+'F1 Non-SEZ'!L387</f>
        <v>6.563648847729589E-2</v>
      </c>
      <c r="M388" s="512">
        <f>+'F1 SEZ'!M387+'F1 Non-SEZ'!M387</f>
        <v>6.2938537558914071E-2</v>
      </c>
      <c r="N388" s="512">
        <f>+'F1 SEZ'!N387+'F1 Non-SEZ'!N387</f>
        <v>8.3030394642067754E-2</v>
      </c>
      <c r="O388" s="544">
        <f t="shared" si="58"/>
        <v>0.78788731506757104</v>
      </c>
    </row>
    <row r="389" spans="2:15" x14ac:dyDescent="0.4">
      <c r="B389" s="520" t="s">
        <v>1143</v>
      </c>
      <c r="C389" s="512">
        <f>+'F1 SEZ'!C388+'F1 Non-SEZ'!C388</f>
        <v>2.1580837853331775E-2</v>
      </c>
      <c r="D389" s="512">
        <f>+'F1 SEZ'!D388+'F1 Non-SEZ'!D388</f>
        <v>1.6990614113322519E-2</v>
      </c>
      <c r="E389" s="512">
        <f>+'F1 SEZ'!E388+'F1 Non-SEZ'!E388</f>
        <v>2.7083724492694059E-2</v>
      </c>
      <c r="F389" s="512">
        <f>+'F1 SEZ'!F388+'F1 Non-SEZ'!F388</f>
        <v>2.2459220949787088E-2</v>
      </c>
      <c r="G389" s="512">
        <f>+'F1 SEZ'!G388+'F1 Non-SEZ'!G388</f>
        <v>2.5078476632336519E-2</v>
      </c>
      <c r="H389" s="512">
        <f>+'F1 SEZ'!H388+'F1 Non-SEZ'!H388</f>
        <v>2.008008469973219E-2</v>
      </c>
      <c r="I389" s="512">
        <f>+'F1 SEZ'!I388+'F1 Non-SEZ'!I388</f>
        <v>2.3034955465850823E-2</v>
      </c>
      <c r="J389" s="512">
        <f>+'F1 SEZ'!J388+'F1 Non-SEZ'!J388</f>
        <v>1.5343789868407483E-2</v>
      </c>
      <c r="K389" s="512">
        <f>+'F1 SEZ'!K388+'F1 Non-SEZ'!K388</f>
        <v>1.1654811360797044E-2</v>
      </c>
      <c r="L389" s="512">
        <f>+'F1 SEZ'!L388+'F1 Non-SEZ'!L388</f>
        <v>1.5653219363680318E-2</v>
      </c>
      <c r="M389" s="512">
        <f>+'F1 SEZ'!M388+'F1 Non-SEZ'!M388</f>
        <v>1.5914994840538679E-2</v>
      </c>
      <c r="N389" s="512">
        <f>+'F1 SEZ'!N388+'F1 Non-SEZ'!N388</f>
        <v>1.975511002409918E-2</v>
      </c>
      <c r="O389" s="544">
        <f t="shared" si="58"/>
        <v>0.23462983966457771</v>
      </c>
    </row>
    <row r="390" spans="2:15" x14ac:dyDescent="0.4">
      <c r="B390" s="519" t="s">
        <v>1111</v>
      </c>
      <c r="C390" s="512">
        <f>+'F1 SEZ'!C389+'F1 Non-SEZ'!C389</f>
        <v>0.10735324514461918</v>
      </c>
      <c r="D390" s="512">
        <f>+'F1 SEZ'!D389+'F1 Non-SEZ'!D389</f>
        <v>0.11003750835857572</v>
      </c>
      <c r="E390" s="512">
        <f>+'F1 SEZ'!E389+'F1 Non-SEZ'!E389</f>
        <v>9.8496404080205394E-2</v>
      </c>
      <c r="F390" s="512">
        <f>+'F1 SEZ'!F389+'F1 Non-SEZ'!F389</f>
        <v>0.10807216061451699</v>
      </c>
      <c r="G390" s="512">
        <f>+'F1 SEZ'!G389+'F1 Non-SEZ'!G389</f>
        <v>0.1170609099962594</v>
      </c>
      <c r="H390" s="512">
        <f>+'F1 SEZ'!H389+'F1 Non-SEZ'!H389</f>
        <v>0.11634637361229798</v>
      </c>
      <c r="I390" s="512">
        <f>+'F1 SEZ'!I389+'F1 Non-SEZ'!I389</f>
        <v>0.11856102644559714</v>
      </c>
      <c r="J390" s="512">
        <f>+'F1 SEZ'!J389+'F1 Non-SEZ'!J389</f>
        <v>0.11443625359566044</v>
      </c>
      <c r="K390" s="512">
        <f>+'F1 SEZ'!K389+'F1 Non-SEZ'!K389</f>
        <v>0.12606761828894311</v>
      </c>
      <c r="L390" s="512">
        <f>+'F1 SEZ'!L389+'F1 Non-SEZ'!L389</f>
        <v>0.1023964226737578</v>
      </c>
      <c r="M390" s="512">
        <f>+'F1 SEZ'!M389+'F1 Non-SEZ'!M389</f>
        <v>9.4100617055428715E-2</v>
      </c>
      <c r="N390" s="512">
        <f>+'F1 SEZ'!N389+'F1 Non-SEZ'!N389</f>
        <v>9.36949925740653E-2</v>
      </c>
      <c r="O390" s="544">
        <f t="shared" si="58"/>
        <v>1.3066235324399273</v>
      </c>
    </row>
    <row r="391" spans="2:15" x14ac:dyDescent="0.4">
      <c r="B391" s="519" t="s">
        <v>1135</v>
      </c>
      <c r="C391" s="512">
        <f>+'F1 SEZ'!C390+'F1 Non-SEZ'!C390</f>
        <v>4.3363469477037113E-2</v>
      </c>
      <c r="D391" s="512">
        <f>+'F1 SEZ'!D390+'F1 Non-SEZ'!D390</f>
        <v>3.980910306484816E-2</v>
      </c>
      <c r="E391" s="512">
        <f>+'F1 SEZ'!E390+'F1 Non-SEZ'!E390</f>
        <v>4.2277079623739264E-2</v>
      </c>
      <c r="F391" s="512">
        <f>+'F1 SEZ'!F390+'F1 Non-SEZ'!F390</f>
        <v>4.0971994467579723E-2</v>
      </c>
      <c r="G391" s="512">
        <f>+'F1 SEZ'!G390+'F1 Non-SEZ'!G390</f>
        <v>4.2093680635777189E-2</v>
      </c>
      <c r="H391" s="512">
        <f>+'F1 SEZ'!H390+'F1 Non-SEZ'!H390</f>
        <v>4.1262557882926834E-2</v>
      </c>
      <c r="I391" s="512">
        <f>+'F1 SEZ'!I390+'F1 Non-SEZ'!I390</f>
        <v>4.7416263110979205E-2</v>
      </c>
      <c r="J391" s="512">
        <f>+'F1 SEZ'!J390+'F1 Non-SEZ'!J390</f>
        <v>4.0089167456513378E-2</v>
      </c>
      <c r="K391" s="512">
        <f>+'F1 SEZ'!K390+'F1 Non-SEZ'!K390</f>
        <v>3.5449141620491259E-2</v>
      </c>
      <c r="L391" s="512">
        <f>+'F1 SEZ'!L390+'F1 Non-SEZ'!L390</f>
        <v>3.7467380809864927E-2</v>
      </c>
      <c r="M391" s="512">
        <f>+'F1 SEZ'!M390+'F1 Non-SEZ'!M390</f>
        <v>3.3649930206753081E-2</v>
      </c>
      <c r="N391" s="512">
        <f>+'F1 SEZ'!N390+'F1 Non-SEZ'!N390</f>
        <v>4.0650315809181402E-2</v>
      </c>
      <c r="O391" s="544">
        <f t="shared" si="58"/>
        <v>0.4845000841656914</v>
      </c>
    </row>
    <row r="392" spans="2:15" x14ac:dyDescent="0.4">
      <c r="B392" s="519" t="s">
        <v>1136</v>
      </c>
      <c r="C392" s="512">
        <f>+'F1 SEZ'!C391+'F1 Non-SEZ'!C391</f>
        <v>0</v>
      </c>
      <c r="D392" s="512">
        <f>+'F1 SEZ'!D391+'F1 Non-SEZ'!D391</f>
        <v>0</v>
      </c>
      <c r="E392" s="512">
        <f>+'F1 SEZ'!E391+'F1 Non-SEZ'!E391</f>
        <v>0</v>
      </c>
      <c r="F392" s="512">
        <f>+'F1 SEZ'!F391+'F1 Non-SEZ'!F391</f>
        <v>0</v>
      </c>
      <c r="G392" s="512">
        <f>+'F1 SEZ'!G391+'F1 Non-SEZ'!G391</f>
        <v>0</v>
      </c>
      <c r="H392" s="512">
        <f>+'F1 SEZ'!H391+'F1 Non-SEZ'!H391</f>
        <v>0</v>
      </c>
      <c r="I392" s="512">
        <f>+'F1 SEZ'!I391+'F1 Non-SEZ'!I391</f>
        <v>0</v>
      </c>
      <c r="J392" s="512">
        <f>+'F1 SEZ'!J391+'F1 Non-SEZ'!J391</f>
        <v>0</v>
      </c>
      <c r="K392" s="512">
        <f>+'F1 SEZ'!K391+'F1 Non-SEZ'!K391</f>
        <v>0</v>
      </c>
      <c r="L392" s="512">
        <f>+'F1 SEZ'!L391+'F1 Non-SEZ'!L391</f>
        <v>0</v>
      </c>
      <c r="M392" s="512">
        <f>+'F1 SEZ'!M391+'F1 Non-SEZ'!M391</f>
        <v>0</v>
      </c>
      <c r="N392" s="512">
        <f>+'F1 SEZ'!N391+'F1 Non-SEZ'!N391</f>
        <v>0</v>
      </c>
      <c r="O392" s="544">
        <f t="shared" si="58"/>
        <v>0</v>
      </c>
    </row>
    <row r="393" spans="2:15" x14ac:dyDescent="0.4">
      <c r="B393" s="566" t="s">
        <v>1142</v>
      </c>
      <c r="C393" s="512">
        <f>+'F1 SEZ'!C392+'F1 Non-SEZ'!C392</f>
        <v>1.8917459193021568E-3</v>
      </c>
      <c r="D393" s="512">
        <f>+'F1 SEZ'!D392+'F1 Non-SEZ'!D392</f>
        <v>2.0667845562747818E-3</v>
      </c>
      <c r="E393" s="512">
        <f>+'F1 SEZ'!E392+'F1 Non-SEZ'!E392</f>
        <v>1.8455811522302809E-3</v>
      </c>
      <c r="F393" s="512">
        <f>+'F1 SEZ'!F392+'F1 Non-SEZ'!F392</f>
        <v>1.8213061080119073E-3</v>
      </c>
      <c r="G393" s="512">
        <f>+'F1 SEZ'!G392+'F1 Non-SEZ'!G392</f>
        <v>1.5582050772686973E-3</v>
      </c>
      <c r="H393" s="512">
        <f>+'F1 SEZ'!H392+'F1 Non-SEZ'!H392</f>
        <v>1.4753882013601514E-3</v>
      </c>
      <c r="I393" s="512">
        <f>+'F1 SEZ'!I392+'F1 Non-SEZ'!I392</f>
        <v>2.0483115768376785E-3</v>
      </c>
      <c r="J393" s="512">
        <f>+'F1 SEZ'!J392+'F1 Non-SEZ'!J392</f>
        <v>2.382677556512358E-3</v>
      </c>
      <c r="K393" s="512">
        <f>+'F1 SEZ'!K392+'F1 Non-SEZ'!K392</f>
        <v>2.7790559978334395E-3</v>
      </c>
      <c r="L393" s="512">
        <f>+'F1 SEZ'!L392+'F1 Non-SEZ'!L392</f>
        <v>2.8382722532487303E-3</v>
      </c>
      <c r="M393" s="512">
        <f>+'F1 SEZ'!M392+'F1 Non-SEZ'!M392</f>
        <v>2.8977570993860106E-3</v>
      </c>
      <c r="N393" s="512">
        <f>+'F1 SEZ'!N392+'F1 Non-SEZ'!N392</f>
        <v>3.5793292108053701E-3</v>
      </c>
      <c r="O393" s="544">
        <f t="shared" si="58"/>
        <v>2.7184414709071562E-2</v>
      </c>
    </row>
    <row r="394" spans="2:15" x14ac:dyDescent="0.4">
      <c r="B394" s="175" t="s">
        <v>162</v>
      </c>
      <c r="C394" s="567">
        <f>SUM(C381:C393)</f>
        <v>1.3098488786200422</v>
      </c>
      <c r="D394" s="567">
        <f t="shared" ref="D394:O394" si="59">SUM(D381:D393)</f>
        <v>1.562690549092248</v>
      </c>
      <c r="E394" s="567">
        <f t="shared" si="59"/>
        <v>1.2941339149354865</v>
      </c>
      <c r="F394" s="567">
        <f t="shared" si="59"/>
        <v>1.1553342961029576</v>
      </c>
      <c r="G394" s="567">
        <f t="shared" si="59"/>
        <v>1.1667130103606043</v>
      </c>
      <c r="H394" s="567">
        <f t="shared" si="59"/>
        <v>1.1691952509332777</v>
      </c>
      <c r="I394" s="567">
        <f t="shared" si="59"/>
        <v>1.282926749742799</v>
      </c>
      <c r="J394" s="567">
        <f t="shared" si="59"/>
        <v>1.2080440564075487</v>
      </c>
      <c r="K394" s="567">
        <f t="shared" si="59"/>
        <v>1.067773351340535</v>
      </c>
      <c r="L394" s="567">
        <f t="shared" si="59"/>
        <v>1.1044778578123138</v>
      </c>
      <c r="M394" s="567">
        <f t="shared" si="59"/>
        <v>1.0785425565183344</v>
      </c>
      <c r="N394" s="567">
        <f t="shared" si="59"/>
        <v>1.3721237487772833</v>
      </c>
      <c r="O394" s="567">
        <f t="shared" si="59"/>
        <v>14.771804220643432</v>
      </c>
    </row>
    <row r="395" spans="2:15" x14ac:dyDescent="0.4">
      <c r="B395" s="175"/>
      <c r="C395" s="26"/>
      <c r="D395" s="26"/>
      <c r="E395" s="26"/>
      <c r="F395" s="26"/>
      <c r="G395" s="26"/>
      <c r="H395" s="26"/>
      <c r="I395" s="26"/>
      <c r="J395" s="26"/>
      <c r="K395" s="26"/>
      <c r="L395" s="26"/>
      <c r="M395" s="26"/>
      <c r="N395" s="26"/>
      <c r="O395" s="26"/>
    </row>
    <row r="396" spans="2:15" x14ac:dyDescent="0.4">
      <c r="B396" s="119" t="s">
        <v>164</v>
      </c>
      <c r="C396" s="568">
        <f>+C394+C378</f>
        <v>22.3120681857507</v>
      </c>
      <c r="D396" s="568">
        <f t="shared" ref="D396:O396" si="60">+D394+D378</f>
        <v>23.27617815607773</v>
      </c>
      <c r="E396" s="568">
        <f t="shared" si="60"/>
        <v>22.280419371145591</v>
      </c>
      <c r="F396" s="568">
        <f t="shared" si="60"/>
        <v>23.44892126873658</v>
      </c>
      <c r="G396" s="568">
        <f t="shared" si="60"/>
        <v>23.449690409216032</v>
      </c>
      <c r="H396" s="568">
        <f t="shared" si="60"/>
        <v>22.736988003376965</v>
      </c>
      <c r="I396" s="568">
        <f t="shared" si="60"/>
        <v>24.158972463886766</v>
      </c>
      <c r="J396" s="568">
        <f t="shared" si="60"/>
        <v>23.333153052840849</v>
      </c>
      <c r="K396" s="568">
        <f t="shared" si="60"/>
        <v>23.951663252682625</v>
      </c>
      <c r="L396" s="568">
        <f t="shared" si="60"/>
        <v>24.595501842717926</v>
      </c>
      <c r="M396" s="568">
        <f t="shared" si="60"/>
        <v>22.306902393557586</v>
      </c>
      <c r="N396" s="568">
        <f t="shared" si="60"/>
        <v>24.888340600010643</v>
      </c>
      <c r="O396" s="568">
        <f t="shared" si="60"/>
        <v>280.73879899999997</v>
      </c>
    </row>
    <row r="397" spans="2:15" x14ac:dyDescent="0.4">
      <c r="B397" s="118"/>
      <c r="E397" s="198"/>
      <c r="F397" s="199"/>
      <c r="G397" s="198"/>
      <c r="H397" s="198"/>
      <c r="I397" s="198"/>
      <c r="J397" s="198"/>
      <c r="K397" s="198"/>
      <c r="L397" s="198"/>
      <c r="M397" s="198"/>
      <c r="N397" s="198"/>
      <c r="O397" s="199"/>
    </row>
    <row r="398" spans="2:15" x14ac:dyDescent="0.4">
      <c r="B398" s="6" t="s">
        <v>194</v>
      </c>
    </row>
    <row r="400" spans="2:15" x14ac:dyDescent="0.4">
      <c r="B400" s="106" t="s">
        <v>160</v>
      </c>
      <c r="C400" s="64" t="s">
        <v>196</v>
      </c>
      <c r="D400" s="64" t="s">
        <v>197</v>
      </c>
      <c r="E400" s="64" t="s">
        <v>198</v>
      </c>
      <c r="F400" s="64" t="s">
        <v>199</v>
      </c>
      <c r="G400" s="64" t="s">
        <v>112</v>
      </c>
      <c r="H400" s="64" t="s">
        <v>113</v>
      </c>
      <c r="I400" s="64" t="s">
        <v>114</v>
      </c>
    </row>
    <row r="401" spans="2:9" x14ac:dyDescent="0.4">
      <c r="B401" s="517" t="s">
        <v>161</v>
      </c>
      <c r="C401" s="65"/>
      <c r="D401" s="65"/>
      <c r="E401" s="65"/>
      <c r="F401" s="65"/>
      <c r="G401" s="65"/>
      <c r="H401" s="65"/>
      <c r="I401" s="65"/>
    </row>
    <row r="402" spans="2:9" x14ac:dyDescent="0.4">
      <c r="B402" s="429" t="s">
        <v>1129</v>
      </c>
      <c r="C402" s="620">
        <f>+C12</f>
        <v>0</v>
      </c>
      <c r="D402" s="620">
        <f t="shared" ref="D402:I402" si="61">+D12</f>
        <v>0</v>
      </c>
      <c r="E402" s="620">
        <f t="shared" si="61"/>
        <v>1.44E-2</v>
      </c>
      <c r="F402" s="620">
        <f t="shared" si="61"/>
        <v>13.381979999999999</v>
      </c>
      <c r="G402" s="620">
        <f t="shared" si="61"/>
        <v>21.446820000000002</v>
      </c>
      <c r="H402" s="620">
        <f t="shared" si="61"/>
        <v>33.8577600156</v>
      </c>
      <c r="I402" s="620">
        <f t="shared" si="61"/>
        <v>73.164360000000002</v>
      </c>
    </row>
    <row r="403" spans="2:9" x14ac:dyDescent="0.4">
      <c r="B403" s="429" t="s">
        <v>1130</v>
      </c>
      <c r="C403" s="620">
        <f t="shared" ref="C403:I405" si="62">+C13</f>
        <v>1.0070348</v>
      </c>
      <c r="D403" s="620">
        <f t="shared" si="62"/>
        <v>1.86831243</v>
      </c>
      <c r="E403" s="620">
        <f t="shared" si="62"/>
        <v>6.8380711400000012</v>
      </c>
      <c r="F403" s="620">
        <f t="shared" si="62"/>
        <v>1.3603304818999999</v>
      </c>
      <c r="G403" s="620">
        <f t="shared" si="62"/>
        <v>0.31088268000000002</v>
      </c>
      <c r="H403" s="620">
        <f t="shared" si="62"/>
        <v>0.34753758999999995</v>
      </c>
      <c r="I403" s="620">
        <f t="shared" si="62"/>
        <v>0.4924518</v>
      </c>
    </row>
    <row r="404" spans="2:9" x14ac:dyDescent="0.4">
      <c r="B404" s="429" t="s">
        <v>1131</v>
      </c>
      <c r="C404" s="620">
        <f t="shared" si="62"/>
        <v>0</v>
      </c>
      <c r="D404" s="620">
        <f t="shared" si="62"/>
        <v>0.56330367000000003</v>
      </c>
      <c r="E404" s="620">
        <f t="shared" si="62"/>
        <v>0</v>
      </c>
      <c r="F404" s="620">
        <f t="shared" si="62"/>
        <v>0</v>
      </c>
      <c r="G404" s="620">
        <f t="shared" si="62"/>
        <v>0</v>
      </c>
      <c r="H404" s="620">
        <f t="shared" si="62"/>
        <v>0</v>
      </c>
      <c r="I404" s="620">
        <f t="shared" si="62"/>
        <v>0</v>
      </c>
    </row>
    <row r="405" spans="2:9" x14ac:dyDescent="0.4">
      <c r="B405" s="429" t="s">
        <v>1132</v>
      </c>
      <c r="C405" s="620">
        <f t="shared" si="62"/>
        <v>0</v>
      </c>
      <c r="D405" s="620">
        <f t="shared" si="62"/>
        <v>0</v>
      </c>
      <c r="E405" s="620">
        <f t="shared" si="62"/>
        <v>0</v>
      </c>
      <c r="F405" s="620">
        <f t="shared" si="62"/>
        <v>0</v>
      </c>
      <c r="G405" s="620">
        <f t="shared" si="62"/>
        <v>0</v>
      </c>
      <c r="H405" s="620">
        <f t="shared" si="62"/>
        <v>0</v>
      </c>
      <c r="I405" s="620">
        <f t="shared" si="62"/>
        <v>0</v>
      </c>
    </row>
    <row r="406" spans="2:9" x14ac:dyDescent="0.4">
      <c r="B406" s="518" t="s">
        <v>162</v>
      </c>
      <c r="C406" s="619">
        <f>SUM(C402:C405)</f>
        <v>1.0070348</v>
      </c>
      <c r="D406" s="619">
        <f t="shared" ref="D406:I406" si="63">SUM(D402:D405)</f>
        <v>2.4316161000000003</v>
      </c>
      <c r="E406" s="619">
        <f t="shared" si="63"/>
        <v>6.8524711400000013</v>
      </c>
      <c r="F406" s="619">
        <f t="shared" si="63"/>
        <v>14.742310481899999</v>
      </c>
      <c r="G406" s="619">
        <f t="shared" si="63"/>
        <v>21.757702680000001</v>
      </c>
      <c r="H406" s="619">
        <f t="shared" si="63"/>
        <v>34.205297605600002</v>
      </c>
      <c r="I406" s="619">
        <f t="shared" si="63"/>
        <v>73.6568118</v>
      </c>
    </row>
    <row r="407" spans="2:9" x14ac:dyDescent="0.4">
      <c r="B407" s="517" t="s">
        <v>163</v>
      </c>
      <c r="C407" s="620">
        <f t="shared" ref="C407:I421" si="64">+C17</f>
        <v>0</v>
      </c>
      <c r="D407" s="620">
        <f t="shared" si="64"/>
        <v>0</v>
      </c>
      <c r="E407" s="620">
        <f t="shared" si="64"/>
        <v>0</v>
      </c>
      <c r="F407" s="620">
        <f t="shared" si="64"/>
        <v>0</v>
      </c>
      <c r="G407" s="620">
        <f t="shared" si="64"/>
        <v>0</v>
      </c>
      <c r="H407" s="620">
        <f t="shared" si="64"/>
        <v>0</v>
      </c>
      <c r="I407" s="620">
        <f t="shared" si="64"/>
        <v>0</v>
      </c>
    </row>
    <row r="408" spans="2:9" x14ac:dyDescent="0.4">
      <c r="B408" s="519" t="s">
        <v>1133</v>
      </c>
      <c r="C408" s="620">
        <f t="shared" si="64"/>
        <v>0</v>
      </c>
      <c r="D408" s="620">
        <f t="shared" si="64"/>
        <v>0</v>
      </c>
      <c r="E408" s="620">
        <f t="shared" si="64"/>
        <v>0</v>
      </c>
      <c r="F408" s="620">
        <f t="shared" si="64"/>
        <v>0</v>
      </c>
      <c r="G408" s="620">
        <f t="shared" si="64"/>
        <v>0</v>
      </c>
      <c r="H408" s="620">
        <f t="shared" si="64"/>
        <v>0</v>
      </c>
      <c r="I408" s="620">
        <f t="shared" si="64"/>
        <v>0</v>
      </c>
    </row>
    <row r="409" spans="2:9" x14ac:dyDescent="0.4">
      <c r="B409" s="520" t="s">
        <v>1106</v>
      </c>
      <c r="C409" s="620">
        <f t="shared" si="64"/>
        <v>0</v>
      </c>
      <c r="D409" s="620">
        <f t="shared" si="64"/>
        <v>4.5234989999999996E-2</v>
      </c>
      <c r="E409" s="620">
        <f t="shared" si="64"/>
        <v>0.17605925</v>
      </c>
      <c r="F409" s="620">
        <f t="shared" si="64"/>
        <v>0.34350700000000006</v>
      </c>
      <c r="G409" s="620">
        <f t="shared" si="64"/>
        <v>0.60887500000000006</v>
      </c>
      <c r="H409" s="620">
        <f t="shared" si="64"/>
        <v>0.93132999999999988</v>
      </c>
      <c r="I409" s="620">
        <f t="shared" si="64"/>
        <v>1.2685139999999999</v>
      </c>
    </row>
    <row r="410" spans="2:9" x14ac:dyDescent="0.4">
      <c r="B410" s="520" t="s">
        <v>1107</v>
      </c>
      <c r="C410" s="620">
        <f t="shared" si="64"/>
        <v>3.6902539999999984E-2</v>
      </c>
      <c r="D410" s="620">
        <f t="shared" si="64"/>
        <v>8.3919010000000002E-2</v>
      </c>
      <c r="E410" s="620">
        <f t="shared" si="64"/>
        <v>0.13921244499999999</v>
      </c>
      <c r="F410" s="620">
        <f t="shared" si="64"/>
        <v>0.29010199999999997</v>
      </c>
      <c r="G410" s="620">
        <f t="shared" si="64"/>
        <v>0.58151600000000014</v>
      </c>
      <c r="H410" s="620">
        <f t="shared" si="64"/>
        <v>0.90188899999999994</v>
      </c>
      <c r="I410" s="620">
        <f t="shared" si="64"/>
        <v>1.3396719999999998</v>
      </c>
    </row>
    <row r="411" spans="2:9" x14ac:dyDescent="0.4">
      <c r="B411" s="520" t="s">
        <v>1108</v>
      </c>
      <c r="C411" s="620">
        <f t="shared" si="64"/>
        <v>2.9829460000000016E-2</v>
      </c>
      <c r="D411" s="620">
        <f t="shared" si="64"/>
        <v>3.5031049999999994E-2</v>
      </c>
      <c r="E411" s="620">
        <f t="shared" si="64"/>
        <v>4.2151488999999993E-2</v>
      </c>
      <c r="F411" s="620">
        <f t="shared" si="64"/>
        <v>9.0147000000000005E-2</v>
      </c>
      <c r="G411" s="620">
        <f t="shared" si="64"/>
        <v>0.19316800000000001</v>
      </c>
      <c r="H411" s="620">
        <f t="shared" si="64"/>
        <v>0.31589299999999998</v>
      </c>
      <c r="I411" s="620">
        <f t="shared" si="64"/>
        <v>0.51790599999999987</v>
      </c>
    </row>
    <row r="412" spans="2:9" x14ac:dyDescent="0.4">
      <c r="B412" s="520" t="s">
        <v>1109</v>
      </c>
      <c r="C412" s="620">
        <f t="shared" si="64"/>
        <v>6.0957200000000007E-3</v>
      </c>
      <c r="D412" s="620">
        <f t="shared" si="64"/>
        <v>3.430271E-2</v>
      </c>
      <c r="E412" s="620">
        <f t="shared" si="64"/>
        <v>0.49055880999999996</v>
      </c>
      <c r="F412" s="620">
        <f t="shared" si="64"/>
        <v>0.84930899999999998</v>
      </c>
      <c r="G412" s="620">
        <f t="shared" si="64"/>
        <v>1.5647049999999998</v>
      </c>
      <c r="H412" s="620">
        <f t="shared" si="64"/>
        <v>1.8567230000000001</v>
      </c>
      <c r="I412" s="620">
        <f t="shared" si="64"/>
        <v>1.9953139999999996</v>
      </c>
    </row>
    <row r="413" spans="2:9" x14ac:dyDescent="0.4">
      <c r="B413" s="520" t="s">
        <v>1110</v>
      </c>
      <c r="C413" s="620">
        <f t="shared" si="64"/>
        <v>7.2720199999999997E-3</v>
      </c>
      <c r="D413" s="620">
        <f t="shared" si="64"/>
        <v>0.30698021999999997</v>
      </c>
      <c r="E413" s="620">
        <f t="shared" si="64"/>
        <v>0</v>
      </c>
      <c r="F413" s="620">
        <f t="shared" si="64"/>
        <v>0</v>
      </c>
      <c r="G413" s="620">
        <f t="shared" si="64"/>
        <v>0</v>
      </c>
      <c r="H413" s="620">
        <f t="shared" si="64"/>
        <v>0</v>
      </c>
      <c r="I413" s="620">
        <f t="shared" si="64"/>
        <v>0</v>
      </c>
    </row>
    <row r="414" spans="2:9" x14ac:dyDescent="0.4">
      <c r="B414" s="519" t="s">
        <v>1145</v>
      </c>
      <c r="C414" s="620">
        <f t="shared" si="64"/>
        <v>0</v>
      </c>
      <c r="D414" s="620">
        <f t="shared" si="64"/>
        <v>0</v>
      </c>
      <c r="E414" s="620">
        <f t="shared" si="64"/>
        <v>0</v>
      </c>
      <c r="F414" s="620">
        <f t="shared" si="64"/>
        <v>0</v>
      </c>
      <c r="G414" s="620">
        <f t="shared" si="64"/>
        <v>0</v>
      </c>
      <c r="H414" s="620">
        <f t="shared" si="64"/>
        <v>0</v>
      </c>
      <c r="I414" s="620">
        <f t="shared" si="64"/>
        <v>0</v>
      </c>
    </row>
    <row r="415" spans="2:9" x14ac:dyDescent="0.4">
      <c r="B415" s="520" t="s">
        <v>1140</v>
      </c>
      <c r="C415" s="620">
        <f t="shared" si="64"/>
        <v>3.8889259999999995E-2</v>
      </c>
      <c r="D415" s="620">
        <f t="shared" si="64"/>
        <v>1.8100000000000001E-4</v>
      </c>
      <c r="E415" s="620">
        <f t="shared" si="64"/>
        <v>8.8260000000000005E-3</v>
      </c>
      <c r="F415" s="620">
        <f t="shared" si="64"/>
        <v>4.0835999999999997E-2</v>
      </c>
      <c r="G415" s="620">
        <f t="shared" si="64"/>
        <v>7.4553000000000008E-2</v>
      </c>
      <c r="H415" s="620">
        <f t="shared" si="64"/>
        <v>0.15646300000000002</v>
      </c>
      <c r="I415" s="620">
        <f t="shared" si="64"/>
        <v>0.25776300000000002</v>
      </c>
    </row>
    <row r="416" spans="2:9" x14ac:dyDescent="0.4">
      <c r="B416" s="520" t="s">
        <v>1144</v>
      </c>
      <c r="C416" s="620">
        <f t="shared" si="64"/>
        <v>0</v>
      </c>
      <c r="D416" s="620">
        <f t="shared" si="64"/>
        <v>0</v>
      </c>
      <c r="E416" s="620">
        <f t="shared" si="64"/>
        <v>0</v>
      </c>
      <c r="F416" s="620">
        <f t="shared" si="64"/>
        <v>0.12834783</v>
      </c>
      <c r="G416" s="620">
        <f t="shared" si="64"/>
        <v>0.30945506229999997</v>
      </c>
      <c r="H416" s="620">
        <f t="shared" si="64"/>
        <v>0.27486611</v>
      </c>
      <c r="I416" s="620">
        <f t="shared" si="64"/>
        <v>0.48194874999999998</v>
      </c>
    </row>
    <row r="417" spans="2:9" x14ac:dyDescent="0.4">
      <c r="B417" s="520" t="s">
        <v>1143</v>
      </c>
      <c r="C417" s="620">
        <f t="shared" si="64"/>
        <v>0</v>
      </c>
      <c r="D417" s="620">
        <f t="shared" si="64"/>
        <v>0</v>
      </c>
      <c r="E417" s="620">
        <f t="shared" si="64"/>
        <v>0</v>
      </c>
      <c r="F417" s="620">
        <f t="shared" si="64"/>
        <v>0</v>
      </c>
      <c r="G417" s="620">
        <f t="shared" si="64"/>
        <v>6.9497249999999997E-2</v>
      </c>
      <c r="H417" s="620">
        <f t="shared" si="64"/>
        <v>8.1854079999999996E-2</v>
      </c>
      <c r="I417" s="620">
        <f t="shared" si="64"/>
        <v>8.7541799999999989E-2</v>
      </c>
    </row>
    <row r="418" spans="2:9" x14ac:dyDescent="0.4">
      <c r="B418" s="519" t="s">
        <v>1111</v>
      </c>
      <c r="C418" s="620">
        <f t="shared" si="64"/>
        <v>0</v>
      </c>
      <c r="D418" s="620">
        <f t="shared" si="64"/>
        <v>0</v>
      </c>
      <c r="E418" s="620">
        <f t="shared" si="64"/>
        <v>7.2580000000000006E-2</v>
      </c>
      <c r="F418" s="620">
        <f t="shared" si="64"/>
        <v>0.26699392</v>
      </c>
      <c r="G418" s="620">
        <f t="shared" si="64"/>
        <v>0.34130574200000002</v>
      </c>
      <c r="H418" s="620">
        <f t="shared" si="64"/>
        <v>0.45583488999999999</v>
      </c>
      <c r="I418" s="620">
        <f t="shared" si="64"/>
        <v>0.56095090999999997</v>
      </c>
    </row>
    <row r="419" spans="2:9" x14ac:dyDescent="0.4">
      <c r="B419" s="519" t="s">
        <v>1135</v>
      </c>
      <c r="C419" s="620">
        <f t="shared" si="64"/>
        <v>0</v>
      </c>
      <c r="D419" s="620">
        <f t="shared" si="64"/>
        <v>0.12328399999999998</v>
      </c>
      <c r="E419" s="620">
        <f t="shared" si="64"/>
        <v>0.120709</v>
      </c>
      <c r="F419" s="620">
        <f t="shared" si="64"/>
        <v>0.13652400000000001</v>
      </c>
      <c r="G419" s="620">
        <f t="shared" si="64"/>
        <v>0.13664599999999999</v>
      </c>
      <c r="H419" s="620">
        <f t="shared" si="64"/>
        <v>0.16902500000000001</v>
      </c>
      <c r="I419" s="620">
        <f t="shared" si="64"/>
        <v>0.16315700000000005</v>
      </c>
    </row>
    <row r="420" spans="2:9" x14ac:dyDescent="0.4">
      <c r="B420" s="519" t="s">
        <v>1136</v>
      </c>
      <c r="C420" s="620">
        <f t="shared" si="64"/>
        <v>5.5825E-2</v>
      </c>
      <c r="D420" s="620">
        <f t="shared" si="64"/>
        <v>1.318683E-2</v>
      </c>
      <c r="E420" s="620">
        <f t="shared" si="64"/>
        <v>6.4155000000000011E-3</v>
      </c>
      <c r="F420" s="620">
        <f t="shared" si="64"/>
        <v>3.8269799999999998E-3</v>
      </c>
      <c r="G420" s="620">
        <f t="shared" si="64"/>
        <v>0</v>
      </c>
      <c r="H420" s="620">
        <f t="shared" si="64"/>
        <v>0</v>
      </c>
      <c r="I420" s="620">
        <f t="shared" si="64"/>
        <v>0</v>
      </c>
    </row>
    <row r="421" spans="2:9" x14ac:dyDescent="0.4">
      <c r="B421" s="566" t="s">
        <v>1142</v>
      </c>
      <c r="C421" s="620">
        <f t="shared" si="64"/>
        <v>0</v>
      </c>
      <c r="D421" s="620">
        <f t="shared" si="64"/>
        <v>0</v>
      </c>
      <c r="E421" s="620">
        <f t="shared" si="64"/>
        <v>0</v>
      </c>
      <c r="F421" s="620">
        <f t="shared" si="64"/>
        <v>1.8542E-4</v>
      </c>
      <c r="G421" s="620">
        <f t="shared" si="64"/>
        <v>1.778895E-3</v>
      </c>
      <c r="H421" s="620">
        <f t="shared" si="64"/>
        <v>9.4836839999999992E-3</v>
      </c>
      <c r="I421" s="620">
        <f t="shared" si="64"/>
        <v>3.2286402999999991E-2</v>
      </c>
    </row>
    <row r="422" spans="2:9" x14ac:dyDescent="0.4">
      <c r="B422" s="175" t="s">
        <v>162</v>
      </c>
      <c r="C422" s="619">
        <f>SUM(C409:C421)</f>
        <v>0.174814</v>
      </c>
      <c r="D422" s="619">
        <f t="shared" ref="D422:I422" si="65">SUM(D409:D421)</f>
        <v>0.64211980999999985</v>
      </c>
      <c r="E422" s="619">
        <f t="shared" si="65"/>
        <v>1.0565124939999999</v>
      </c>
      <c r="F422" s="619">
        <f t="shared" si="65"/>
        <v>2.1497791500000005</v>
      </c>
      <c r="G422" s="619">
        <f t="shared" si="65"/>
        <v>3.8814999492999998</v>
      </c>
      <c r="H422" s="619">
        <f t="shared" si="65"/>
        <v>5.1533617640000005</v>
      </c>
      <c r="I422" s="619">
        <f t="shared" si="65"/>
        <v>6.7050538629999989</v>
      </c>
    </row>
    <row r="423" spans="2:9" x14ac:dyDescent="0.4">
      <c r="B423" s="175"/>
      <c r="C423" s="620"/>
      <c r="D423" s="620"/>
      <c r="E423" s="620"/>
      <c r="F423" s="620"/>
      <c r="G423" s="620"/>
      <c r="H423" s="620"/>
      <c r="I423" s="620"/>
    </row>
    <row r="424" spans="2:9" x14ac:dyDescent="0.4">
      <c r="B424" s="119" t="s">
        <v>164</v>
      </c>
      <c r="C424" s="619">
        <f>+C422+C406</f>
        <v>1.1818488</v>
      </c>
      <c r="D424" s="619">
        <f t="shared" ref="D424:I424" si="66">+D422+D406</f>
        <v>3.0737359099999999</v>
      </c>
      <c r="E424" s="619">
        <f t="shared" si="66"/>
        <v>7.908983634000001</v>
      </c>
      <c r="F424" s="619">
        <f t="shared" si="66"/>
        <v>16.892089631899999</v>
      </c>
      <c r="G424" s="619">
        <f t="shared" si="66"/>
        <v>25.639202629300001</v>
      </c>
      <c r="H424" s="619">
        <f t="shared" si="66"/>
        <v>39.358659369600005</v>
      </c>
      <c r="I424" s="619">
        <f t="shared" si="66"/>
        <v>80.361865663000003</v>
      </c>
    </row>
    <row r="425" spans="2:9" x14ac:dyDescent="0.4">
      <c r="B425" s="118" t="s">
        <v>165</v>
      </c>
    </row>
    <row r="426" spans="2:9" x14ac:dyDescent="0.4">
      <c r="B426" s="27" t="s">
        <v>166</v>
      </c>
    </row>
    <row r="427" spans="2:9" x14ac:dyDescent="0.4">
      <c r="B427" s="1" t="s">
        <v>184</v>
      </c>
      <c r="C427" s="30"/>
      <c r="D427" s="30"/>
      <c r="E427" s="30"/>
      <c r="F427" s="30"/>
    </row>
    <row r="428" spans="2:9" x14ac:dyDescent="0.4">
      <c r="B428" s="27" t="s">
        <v>168</v>
      </c>
    </row>
  </sheetData>
  <mergeCells count="11">
    <mergeCell ref="B2:O2"/>
    <mergeCell ref="B3:O3"/>
    <mergeCell ref="B4:O4"/>
    <mergeCell ref="B9:B10"/>
    <mergeCell ref="J9:N9"/>
    <mergeCell ref="C10:H10"/>
    <mergeCell ref="C46:H63"/>
    <mergeCell ref="B227:B228"/>
    <mergeCell ref="C227:H227"/>
    <mergeCell ref="I227:N227"/>
    <mergeCell ref="O227:O228"/>
  </mergeCells>
  <pageMargins left="1.0236220472440944" right="0.23622047244094491" top="0.98425196850393704" bottom="0.98425196850393704" header="0.23622047244094491" footer="0.23622047244094491"/>
  <pageSetup paperSize="9" scale="28" orientation="portrait" r:id="rId1"/>
  <headerFooter alignWithMargins="0">
    <oddHeader>&amp;F</oddHeader>
  </headerFooter>
  <rowBreaks count="4" manualBreakCount="4">
    <brk id="38" min="1" max="14" man="1"/>
    <brk id="129" min="1" max="14" man="1"/>
    <brk id="223" min="1" max="14" man="1"/>
    <brk id="341" min="1"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Q21"/>
  <sheetViews>
    <sheetView showGridLines="0" view="pageBreakPreview" zoomScale="80" zoomScaleNormal="75" zoomScaleSheetLayoutView="80" zoomScalePageLayoutView="110" workbookViewId="0">
      <selection activeCell="C90" sqref="B90:P113"/>
    </sheetView>
  </sheetViews>
  <sheetFormatPr defaultColWidth="9.33203125" defaultRowHeight="13.9" x14ac:dyDescent="0.4"/>
  <cols>
    <col min="1" max="1" width="9.33203125" style="1"/>
    <col min="2" max="2" width="30.46484375" style="1" customWidth="1"/>
    <col min="3" max="4" width="16.33203125" style="1" customWidth="1"/>
    <col min="5" max="5" width="13.6640625" style="1" customWidth="1"/>
    <col min="6" max="6" width="14.6640625" style="1" customWidth="1"/>
    <col min="7" max="7" width="14.33203125" style="1" customWidth="1"/>
    <col min="8" max="8" width="15.46484375" style="1" customWidth="1"/>
    <col min="9" max="9" width="14.6640625" style="1" customWidth="1"/>
    <col min="10" max="13" width="14.53125" style="1" customWidth="1"/>
    <col min="14" max="14" width="12.6640625" style="1" customWidth="1"/>
    <col min="15" max="15" width="16.6640625" style="1" customWidth="1"/>
    <col min="16" max="16" width="6.33203125" style="1" bestFit="1" customWidth="1"/>
    <col min="17" max="17" width="11.53125" style="1" customWidth="1"/>
    <col min="18" max="256" width="9.33203125" style="1"/>
    <col min="257" max="257" width="15.6640625" style="1" customWidth="1"/>
    <col min="258" max="258" width="30.46484375" style="1" customWidth="1"/>
    <col min="259" max="270" width="10.6640625" style="1" customWidth="1"/>
    <col min="271" max="271" width="12.53125" style="1" customWidth="1"/>
    <col min="272" max="272" width="6.33203125" style="1" bestFit="1" customWidth="1"/>
    <col min="273" max="273" width="11.53125" style="1" customWidth="1"/>
    <col min="274" max="512" width="9.33203125" style="1"/>
    <col min="513" max="513" width="15.6640625" style="1" customWidth="1"/>
    <col min="514" max="514" width="30.46484375" style="1" customWidth="1"/>
    <col min="515" max="526" width="10.6640625" style="1" customWidth="1"/>
    <col min="527" max="527" width="12.53125" style="1" customWidth="1"/>
    <col min="528" max="528" width="6.33203125" style="1" bestFit="1" customWidth="1"/>
    <col min="529" max="529" width="11.53125" style="1" customWidth="1"/>
    <col min="530" max="768" width="9.33203125" style="1"/>
    <col min="769" max="769" width="15.6640625" style="1" customWidth="1"/>
    <col min="770" max="770" width="30.46484375" style="1" customWidth="1"/>
    <col min="771" max="782" width="10.6640625" style="1" customWidth="1"/>
    <col min="783" max="783" width="12.53125" style="1" customWidth="1"/>
    <col min="784" max="784" width="6.33203125" style="1" bestFit="1" customWidth="1"/>
    <col min="785" max="785" width="11.53125" style="1" customWidth="1"/>
    <col min="786" max="1024" width="9.33203125" style="1"/>
    <col min="1025" max="1025" width="15.6640625" style="1" customWidth="1"/>
    <col min="1026" max="1026" width="30.46484375" style="1" customWidth="1"/>
    <col min="1027" max="1038" width="10.6640625" style="1" customWidth="1"/>
    <col min="1039" max="1039" width="12.53125" style="1" customWidth="1"/>
    <col min="1040" max="1040" width="6.33203125" style="1" bestFit="1" customWidth="1"/>
    <col min="1041" max="1041" width="11.53125" style="1" customWidth="1"/>
    <col min="1042" max="1280" width="9.33203125" style="1"/>
    <col min="1281" max="1281" width="15.6640625" style="1" customWidth="1"/>
    <col min="1282" max="1282" width="30.46484375" style="1" customWidth="1"/>
    <col min="1283" max="1294" width="10.6640625" style="1" customWidth="1"/>
    <col min="1295" max="1295" width="12.53125" style="1" customWidth="1"/>
    <col min="1296" max="1296" width="6.33203125" style="1" bestFit="1" customWidth="1"/>
    <col min="1297" max="1297" width="11.53125" style="1" customWidth="1"/>
    <col min="1298" max="1536" width="9.33203125" style="1"/>
    <col min="1537" max="1537" width="15.6640625" style="1" customWidth="1"/>
    <col min="1538" max="1538" width="30.46484375" style="1" customWidth="1"/>
    <col min="1539" max="1550" width="10.6640625" style="1" customWidth="1"/>
    <col min="1551" max="1551" width="12.53125" style="1" customWidth="1"/>
    <col min="1552" max="1552" width="6.33203125" style="1" bestFit="1" customWidth="1"/>
    <col min="1553" max="1553" width="11.53125" style="1" customWidth="1"/>
    <col min="1554" max="1792" width="9.33203125" style="1"/>
    <col min="1793" max="1793" width="15.6640625" style="1" customWidth="1"/>
    <col min="1794" max="1794" width="30.46484375" style="1" customWidth="1"/>
    <col min="1795" max="1806" width="10.6640625" style="1" customWidth="1"/>
    <col min="1807" max="1807" width="12.53125" style="1" customWidth="1"/>
    <col min="1808" max="1808" width="6.33203125" style="1" bestFit="1" customWidth="1"/>
    <col min="1809" max="1809" width="11.53125" style="1" customWidth="1"/>
    <col min="1810" max="2048" width="9.33203125" style="1"/>
    <col min="2049" max="2049" width="15.6640625" style="1" customWidth="1"/>
    <col min="2050" max="2050" width="30.46484375" style="1" customWidth="1"/>
    <col min="2051" max="2062" width="10.6640625" style="1" customWidth="1"/>
    <col min="2063" max="2063" width="12.53125" style="1" customWidth="1"/>
    <col min="2064" max="2064" width="6.33203125" style="1" bestFit="1" customWidth="1"/>
    <col min="2065" max="2065" width="11.53125" style="1" customWidth="1"/>
    <col min="2066" max="2304" width="9.33203125" style="1"/>
    <col min="2305" max="2305" width="15.6640625" style="1" customWidth="1"/>
    <col min="2306" max="2306" width="30.46484375" style="1" customWidth="1"/>
    <col min="2307" max="2318" width="10.6640625" style="1" customWidth="1"/>
    <col min="2319" max="2319" width="12.53125" style="1" customWidth="1"/>
    <col min="2320" max="2320" width="6.33203125" style="1" bestFit="1" customWidth="1"/>
    <col min="2321" max="2321" width="11.53125" style="1" customWidth="1"/>
    <col min="2322" max="2560" width="9.33203125" style="1"/>
    <col min="2561" max="2561" width="15.6640625" style="1" customWidth="1"/>
    <col min="2562" max="2562" width="30.46484375" style="1" customWidth="1"/>
    <col min="2563" max="2574" width="10.6640625" style="1" customWidth="1"/>
    <col min="2575" max="2575" width="12.53125" style="1" customWidth="1"/>
    <col min="2576" max="2576" width="6.33203125" style="1" bestFit="1" customWidth="1"/>
    <col min="2577" max="2577" width="11.53125" style="1" customWidth="1"/>
    <col min="2578" max="2816" width="9.33203125" style="1"/>
    <col min="2817" max="2817" width="15.6640625" style="1" customWidth="1"/>
    <col min="2818" max="2818" width="30.46484375" style="1" customWidth="1"/>
    <col min="2819" max="2830" width="10.6640625" style="1" customWidth="1"/>
    <col min="2831" max="2831" width="12.53125" style="1" customWidth="1"/>
    <col min="2832" max="2832" width="6.33203125" style="1" bestFit="1" customWidth="1"/>
    <col min="2833" max="2833" width="11.53125" style="1" customWidth="1"/>
    <col min="2834" max="3072" width="9.33203125" style="1"/>
    <col min="3073" max="3073" width="15.6640625" style="1" customWidth="1"/>
    <col min="3074" max="3074" width="30.46484375" style="1" customWidth="1"/>
    <col min="3075" max="3086" width="10.6640625" style="1" customWidth="1"/>
    <col min="3087" max="3087" width="12.53125" style="1" customWidth="1"/>
    <col min="3088" max="3088" width="6.33203125" style="1" bestFit="1" customWidth="1"/>
    <col min="3089" max="3089" width="11.53125" style="1" customWidth="1"/>
    <col min="3090" max="3328" width="9.33203125" style="1"/>
    <col min="3329" max="3329" width="15.6640625" style="1" customWidth="1"/>
    <col min="3330" max="3330" width="30.46484375" style="1" customWidth="1"/>
    <col min="3331" max="3342" width="10.6640625" style="1" customWidth="1"/>
    <col min="3343" max="3343" width="12.53125" style="1" customWidth="1"/>
    <col min="3344" max="3344" width="6.33203125" style="1" bestFit="1" customWidth="1"/>
    <col min="3345" max="3345" width="11.53125" style="1" customWidth="1"/>
    <col min="3346" max="3584" width="9.33203125" style="1"/>
    <col min="3585" max="3585" width="15.6640625" style="1" customWidth="1"/>
    <col min="3586" max="3586" width="30.46484375" style="1" customWidth="1"/>
    <col min="3587" max="3598" width="10.6640625" style="1" customWidth="1"/>
    <col min="3599" max="3599" width="12.53125" style="1" customWidth="1"/>
    <col min="3600" max="3600" width="6.33203125" style="1" bestFit="1" customWidth="1"/>
    <col min="3601" max="3601" width="11.53125" style="1" customWidth="1"/>
    <col min="3602" max="3840" width="9.33203125" style="1"/>
    <col min="3841" max="3841" width="15.6640625" style="1" customWidth="1"/>
    <col min="3842" max="3842" width="30.46484375" style="1" customWidth="1"/>
    <col min="3843" max="3854" width="10.6640625" style="1" customWidth="1"/>
    <col min="3855" max="3855" width="12.53125" style="1" customWidth="1"/>
    <col min="3856" max="3856" width="6.33203125" style="1" bestFit="1" customWidth="1"/>
    <col min="3857" max="3857" width="11.53125" style="1" customWidth="1"/>
    <col min="3858" max="4096" width="9.33203125" style="1"/>
    <col min="4097" max="4097" width="15.6640625" style="1" customWidth="1"/>
    <col min="4098" max="4098" width="30.46484375" style="1" customWidth="1"/>
    <col min="4099" max="4110" width="10.6640625" style="1" customWidth="1"/>
    <col min="4111" max="4111" width="12.53125" style="1" customWidth="1"/>
    <col min="4112" max="4112" width="6.33203125" style="1" bestFit="1" customWidth="1"/>
    <col min="4113" max="4113" width="11.53125" style="1" customWidth="1"/>
    <col min="4114" max="4352" width="9.33203125" style="1"/>
    <col min="4353" max="4353" width="15.6640625" style="1" customWidth="1"/>
    <col min="4354" max="4354" width="30.46484375" style="1" customWidth="1"/>
    <col min="4355" max="4366" width="10.6640625" style="1" customWidth="1"/>
    <col min="4367" max="4367" width="12.53125" style="1" customWidth="1"/>
    <col min="4368" max="4368" width="6.33203125" style="1" bestFit="1" customWidth="1"/>
    <col min="4369" max="4369" width="11.53125" style="1" customWidth="1"/>
    <col min="4370" max="4608" width="9.33203125" style="1"/>
    <col min="4609" max="4609" width="15.6640625" style="1" customWidth="1"/>
    <col min="4610" max="4610" width="30.46484375" style="1" customWidth="1"/>
    <col min="4611" max="4622" width="10.6640625" style="1" customWidth="1"/>
    <col min="4623" max="4623" width="12.53125" style="1" customWidth="1"/>
    <col min="4624" max="4624" width="6.33203125" style="1" bestFit="1" customWidth="1"/>
    <col min="4625" max="4625" width="11.53125" style="1" customWidth="1"/>
    <col min="4626" max="4864" width="9.33203125" style="1"/>
    <col min="4865" max="4865" width="15.6640625" style="1" customWidth="1"/>
    <col min="4866" max="4866" width="30.46484375" style="1" customWidth="1"/>
    <col min="4867" max="4878" width="10.6640625" style="1" customWidth="1"/>
    <col min="4879" max="4879" width="12.53125" style="1" customWidth="1"/>
    <col min="4880" max="4880" width="6.33203125" style="1" bestFit="1" customWidth="1"/>
    <col min="4881" max="4881" width="11.53125" style="1" customWidth="1"/>
    <col min="4882" max="5120" width="9.33203125" style="1"/>
    <col min="5121" max="5121" width="15.6640625" style="1" customWidth="1"/>
    <col min="5122" max="5122" width="30.46484375" style="1" customWidth="1"/>
    <col min="5123" max="5134" width="10.6640625" style="1" customWidth="1"/>
    <col min="5135" max="5135" width="12.53125" style="1" customWidth="1"/>
    <col min="5136" max="5136" width="6.33203125" style="1" bestFit="1" customWidth="1"/>
    <col min="5137" max="5137" width="11.53125" style="1" customWidth="1"/>
    <col min="5138" max="5376" width="9.33203125" style="1"/>
    <col min="5377" max="5377" width="15.6640625" style="1" customWidth="1"/>
    <col min="5378" max="5378" width="30.46484375" style="1" customWidth="1"/>
    <col min="5379" max="5390" width="10.6640625" style="1" customWidth="1"/>
    <col min="5391" max="5391" width="12.53125" style="1" customWidth="1"/>
    <col min="5392" max="5392" width="6.33203125" style="1" bestFit="1" customWidth="1"/>
    <col min="5393" max="5393" width="11.53125" style="1" customWidth="1"/>
    <col min="5394" max="5632" width="9.33203125" style="1"/>
    <col min="5633" max="5633" width="15.6640625" style="1" customWidth="1"/>
    <col min="5634" max="5634" width="30.46484375" style="1" customWidth="1"/>
    <col min="5635" max="5646" width="10.6640625" style="1" customWidth="1"/>
    <col min="5647" max="5647" width="12.53125" style="1" customWidth="1"/>
    <col min="5648" max="5648" width="6.33203125" style="1" bestFit="1" customWidth="1"/>
    <col min="5649" max="5649" width="11.53125" style="1" customWidth="1"/>
    <col min="5650" max="5888" width="9.33203125" style="1"/>
    <col min="5889" max="5889" width="15.6640625" style="1" customWidth="1"/>
    <col min="5890" max="5890" width="30.46484375" style="1" customWidth="1"/>
    <col min="5891" max="5902" width="10.6640625" style="1" customWidth="1"/>
    <col min="5903" max="5903" width="12.53125" style="1" customWidth="1"/>
    <col min="5904" max="5904" width="6.33203125" style="1" bestFit="1" customWidth="1"/>
    <col min="5905" max="5905" width="11.53125" style="1" customWidth="1"/>
    <col min="5906" max="6144" width="9.33203125" style="1"/>
    <col min="6145" max="6145" width="15.6640625" style="1" customWidth="1"/>
    <col min="6146" max="6146" width="30.46484375" style="1" customWidth="1"/>
    <col min="6147" max="6158" width="10.6640625" style="1" customWidth="1"/>
    <col min="6159" max="6159" width="12.53125" style="1" customWidth="1"/>
    <col min="6160" max="6160" width="6.33203125" style="1" bestFit="1" customWidth="1"/>
    <col min="6161" max="6161" width="11.53125" style="1" customWidth="1"/>
    <col min="6162" max="6400" width="9.33203125" style="1"/>
    <col min="6401" max="6401" width="15.6640625" style="1" customWidth="1"/>
    <col min="6402" max="6402" width="30.46484375" style="1" customWidth="1"/>
    <col min="6403" max="6414" width="10.6640625" style="1" customWidth="1"/>
    <col min="6415" max="6415" width="12.53125" style="1" customWidth="1"/>
    <col min="6416" max="6416" width="6.33203125" style="1" bestFit="1" customWidth="1"/>
    <col min="6417" max="6417" width="11.53125" style="1" customWidth="1"/>
    <col min="6418" max="6656" width="9.33203125" style="1"/>
    <col min="6657" max="6657" width="15.6640625" style="1" customWidth="1"/>
    <col min="6658" max="6658" width="30.46484375" style="1" customWidth="1"/>
    <col min="6659" max="6670" width="10.6640625" style="1" customWidth="1"/>
    <col min="6671" max="6671" width="12.53125" style="1" customWidth="1"/>
    <col min="6672" max="6672" width="6.33203125" style="1" bestFit="1" customWidth="1"/>
    <col min="6673" max="6673" width="11.53125" style="1" customWidth="1"/>
    <col min="6674" max="6912" width="9.33203125" style="1"/>
    <col min="6913" max="6913" width="15.6640625" style="1" customWidth="1"/>
    <col min="6914" max="6914" width="30.46484375" style="1" customWidth="1"/>
    <col min="6915" max="6926" width="10.6640625" style="1" customWidth="1"/>
    <col min="6927" max="6927" width="12.53125" style="1" customWidth="1"/>
    <col min="6928" max="6928" width="6.33203125" style="1" bestFit="1" customWidth="1"/>
    <col min="6929" max="6929" width="11.53125" style="1" customWidth="1"/>
    <col min="6930" max="7168" width="9.33203125" style="1"/>
    <col min="7169" max="7169" width="15.6640625" style="1" customWidth="1"/>
    <col min="7170" max="7170" width="30.46484375" style="1" customWidth="1"/>
    <col min="7171" max="7182" width="10.6640625" style="1" customWidth="1"/>
    <col min="7183" max="7183" width="12.53125" style="1" customWidth="1"/>
    <col min="7184" max="7184" width="6.33203125" style="1" bestFit="1" customWidth="1"/>
    <col min="7185" max="7185" width="11.53125" style="1" customWidth="1"/>
    <col min="7186" max="7424" width="9.33203125" style="1"/>
    <col min="7425" max="7425" width="15.6640625" style="1" customWidth="1"/>
    <col min="7426" max="7426" width="30.46484375" style="1" customWidth="1"/>
    <col min="7427" max="7438" width="10.6640625" style="1" customWidth="1"/>
    <col min="7439" max="7439" width="12.53125" style="1" customWidth="1"/>
    <col min="7440" max="7440" width="6.33203125" style="1" bestFit="1" customWidth="1"/>
    <col min="7441" max="7441" width="11.53125" style="1" customWidth="1"/>
    <col min="7442" max="7680" width="9.33203125" style="1"/>
    <col min="7681" max="7681" width="15.6640625" style="1" customWidth="1"/>
    <col min="7682" max="7682" width="30.46484375" style="1" customWidth="1"/>
    <col min="7683" max="7694" width="10.6640625" style="1" customWidth="1"/>
    <col min="7695" max="7695" width="12.53125" style="1" customWidth="1"/>
    <col min="7696" max="7696" width="6.33203125" style="1" bestFit="1" customWidth="1"/>
    <col min="7697" max="7697" width="11.53125" style="1" customWidth="1"/>
    <col min="7698" max="7936" width="9.33203125" style="1"/>
    <col min="7937" max="7937" width="15.6640625" style="1" customWidth="1"/>
    <col min="7938" max="7938" width="30.46484375" style="1" customWidth="1"/>
    <col min="7939" max="7950" width="10.6640625" style="1" customWidth="1"/>
    <col min="7951" max="7951" width="12.53125" style="1" customWidth="1"/>
    <col min="7952" max="7952" width="6.33203125" style="1" bestFit="1" customWidth="1"/>
    <col min="7953" max="7953" width="11.53125" style="1" customWidth="1"/>
    <col min="7954" max="8192" width="9.33203125" style="1"/>
    <col min="8193" max="8193" width="15.6640625" style="1" customWidth="1"/>
    <col min="8194" max="8194" width="30.46484375" style="1" customWidth="1"/>
    <col min="8195" max="8206" width="10.6640625" style="1" customWidth="1"/>
    <col min="8207" max="8207" width="12.53125" style="1" customWidth="1"/>
    <col min="8208" max="8208" width="6.33203125" style="1" bestFit="1" customWidth="1"/>
    <col min="8209" max="8209" width="11.53125" style="1" customWidth="1"/>
    <col min="8210" max="8448" width="9.33203125" style="1"/>
    <col min="8449" max="8449" width="15.6640625" style="1" customWidth="1"/>
    <col min="8450" max="8450" width="30.46484375" style="1" customWidth="1"/>
    <col min="8451" max="8462" width="10.6640625" style="1" customWidth="1"/>
    <col min="8463" max="8463" width="12.53125" style="1" customWidth="1"/>
    <col min="8464" max="8464" width="6.33203125" style="1" bestFit="1" customWidth="1"/>
    <col min="8465" max="8465" width="11.53125" style="1" customWidth="1"/>
    <col min="8466" max="8704" width="9.33203125" style="1"/>
    <col min="8705" max="8705" width="15.6640625" style="1" customWidth="1"/>
    <col min="8706" max="8706" width="30.46484375" style="1" customWidth="1"/>
    <col min="8707" max="8718" width="10.6640625" style="1" customWidth="1"/>
    <col min="8719" max="8719" width="12.53125" style="1" customWidth="1"/>
    <col min="8720" max="8720" width="6.33203125" style="1" bestFit="1" customWidth="1"/>
    <col min="8721" max="8721" width="11.53125" style="1" customWidth="1"/>
    <col min="8722" max="8960" width="9.33203125" style="1"/>
    <col min="8961" max="8961" width="15.6640625" style="1" customWidth="1"/>
    <col min="8962" max="8962" width="30.46484375" style="1" customWidth="1"/>
    <col min="8963" max="8974" width="10.6640625" style="1" customWidth="1"/>
    <col min="8975" max="8975" width="12.53125" style="1" customWidth="1"/>
    <col min="8976" max="8976" width="6.33203125" style="1" bestFit="1" customWidth="1"/>
    <col min="8977" max="8977" width="11.53125" style="1" customWidth="1"/>
    <col min="8978" max="9216" width="9.33203125" style="1"/>
    <col min="9217" max="9217" width="15.6640625" style="1" customWidth="1"/>
    <col min="9218" max="9218" width="30.46484375" style="1" customWidth="1"/>
    <col min="9219" max="9230" width="10.6640625" style="1" customWidth="1"/>
    <col min="9231" max="9231" width="12.53125" style="1" customWidth="1"/>
    <col min="9232" max="9232" width="6.33203125" style="1" bestFit="1" customWidth="1"/>
    <col min="9233" max="9233" width="11.53125" style="1" customWidth="1"/>
    <col min="9234" max="9472" width="9.33203125" style="1"/>
    <col min="9473" max="9473" width="15.6640625" style="1" customWidth="1"/>
    <col min="9474" max="9474" width="30.46484375" style="1" customWidth="1"/>
    <col min="9475" max="9486" width="10.6640625" style="1" customWidth="1"/>
    <col min="9487" max="9487" width="12.53125" style="1" customWidth="1"/>
    <col min="9488" max="9488" width="6.33203125" style="1" bestFit="1" customWidth="1"/>
    <col min="9489" max="9489" width="11.53125" style="1" customWidth="1"/>
    <col min="9490" max="9728" width="9.33203125" style="1"/>
    <col min="9729" max="9729" width="15.6640625" style="1" customWidth="1"/>
    <col min="9730" max="9730" width="30.46484375" style="1" customWidth="1"/>
    <col min="9731" max="9742" width="10.6640625" style="1" customWidth="1"/>
    <col min="9743" max="9743" width="12.53125" style="1" customWidth="1"/>
    <col min="9744" max="9744" width="6.33203125" style="1" bestFit="1" customWidth="1"/>
    <col min="9745" max="9745" width="11.53125" style="1" customWidth="1"/>
    <col min="9746" max="9984" width="9.33203125" style="1"/>
    <col min="9985" max="9985" width="15.6640625" style="1" customWidth="1"/>
    <col min="9986" max="9986" width="30.46484375" style="1" customWidth="1"/>
    <col min="9987" max="9998" width="10.6640625" style="1" customWidth="1"/>
    <col min="9999" max="9999" width="12.53125" style="1" customWidth="1"/>
    <col min="10000" max="10000" width="6.33203125" style="1" bestFit="1" customWidth="1"/>
    <col min="10001" max="10001" width="11.53125" style="1" customWidth="1"/>
    <col min="10002" max="10240" width="9.33203125" style="1"/>
    <col min="10241" max="10241" width="15.6640625" style="1" customWidth="1"/>
    <col min="10242" max="10242" width="30.46484375" style="1" customWidth="1"/>
    <col min="10243" max="10254" width="10.6640625" style="1" customWidth="1"/>
    <col min="10255" max="10255" width="12.53125" style="1" customWidth="1"/>
    <col min="10256" max="10256" width="6.33203125" style="1" bestFit="1" customWidth="1"/>
    <col min="10257" max="10257" width="11.53125" style="1" customWidth="1"/>
    <col min="10258" max="10496" width="9.33203125" style="1"/>
    <col min="10497" max="10497" width="15.6640625" style="1" customWidth="1"/>
    <col min="10498" max="10498" width="30.46484375" style="1" customWidth="1"/>
    <col min="10499" max="10510" width="10.6640625" style="1" customWidth="1"/>
    <col min="10511" max="10511" width="12.53125" style="1" customWidth="1"/>
    <col min="10512" max="10512" width="6.33203125" style="1" bestFit="1" customWidth="1"/>
    <col min="10513" max="10513" width="11.53125" style="1" customWidth="1"/>
    <col min="10514" max="10752" width="9.33203125" style="1"/>
    <col min="10753" max="10753" width="15.6640625" style="1" customWidth="1"/>
    <col min="10754" max="10754" width="30.46484375" style="1" customWidth="1"/>
    <col min="10755" max="10766" width="10.6640625" style="1" customWidth="1"/>
    <col min="10767" max="10767" width="12.53125" style="1" customWidth="1"/>
    <col min="10768" max="10768" width="6.33203125" style="1" bestFit="1" customWidth="1"/>
    <col min="10769" max="10769" width="11.53125" style="1" customWidth="1"/>
    <col min="10770" max="11008" width="9.33203125" style="1"/>
    <col min="11009" max="11009" width="15.6640625" style="1" customWidth="1"/>
    <col min="11010" max="11010" width="30.46484375" style="1" customWidth="1"/>
    <col min="11011" max="11022" width="10.6640625" style="1" customWidth="1"/>
    <col min="11023" max="11023" width="12.53125" style="1" customWidth="1"/>
    <col min="11024" max="11024" width="6.33203125" style="1" bestFit="1" customWidth="1"/>
    <col min="11025" max="11025" width="11.53125" style="1" customWidth="1"/>
    <col min="11026" max="11264" width="9.33203125" style="1"/>
    <col min="11265" max="11265" width="15.6640625" style="1" customWidth="1"/>
    <col min="11266" max="11266" width="30.46484375" style="1" customWidth="1"/>
    <col min="11267" max="11278" width="10.6640625" style="1" customWidth="1"/>
    <col min="11279" max="11279" width="12.53125" style="1" customWidth="1"/>
    <col min="11280" max="11280" width="6.33203125" style="1" bestFit="1" customWidth="1"/>
    <col min="11281" max="11281" width="11.53125" style="1" customWidth="1"/>
    <col min="11282" max="11520" width="9.33203125" style="1"/>
    <col min="11521" max="11521" width="15.6640625" style="1" customWidth="1"/>
    <col min="11522" max="11522" width="30.46484375" style="1" customWidth="1"/>
    <col min="11523" max="11534" width="10.6640625" style="1" customWidth="1"/>
    <col min="11535" max="11535" width="12.53125" style="1" customWidth="1"/>
    <col min="11536" max="11536" width="6.33203125" style="1" bestFit="1" customWidth="1"/>
    <col min="11537" max="11537" width="11.53125" style="1" customWidth="1"/>
    <col min="11538" max="11776" width="9.33203125" style="1"/>
    <col min="11777" max="11777" width="15.6640625" style="1" customWidth="1"/>
    <col min="11778" max="11778" width="30.46484375" style="1" customWidth="1"/>
    <col min="11779" max="11790" width="10.6640625" style="1" customWidth="1"/>
    <col min="11791" max="11791" width="12.53125" style="1" customWidth="1"/>
    <col min="11792" max="11792" width="6.33203125" style="1" bestFit="1" customWidth="1"/>
    <col min="11793" max="11793" width="11.53125" style="1" customWidth="1"/>
    <col min="11794" max="12032" width="9.33203125" style="1"/>
    <col min="12033" max="12033" width="15.6640625" style="1" customWidth="1"/>
    <col min="12034" max="12034" width="30.46484375" style="1" customWidth="1"/>
    <col min="12035" max="12046" width="10.6640625" style="1" customWidth="1"/>
    <col min="12047" max="12047" width="12.53125" style="1" customWidth="1"/>
    <col min="12048" max="12048" width="6.33203125" style="1" bestFit="1" customWidth="1"/>
    <col min="12049" max="12049" width="11.53125" style="1" customWidth="1"/>
    <col min="12050" max="12288" width="9.33203125" style="1"/>
    <col min="12289" max="12289" width="15.6640625" style="1" customWidth="1"/>
    <col min="12290" max="12290" width="30.46484375" style="1" customWidth="1"/>
    <col min="12291" max="12302" width="10.6640625" style="1" customWidth="1"/>
    <col min="12303" max="12303" width="12.53125" style="1" customWidth="1"/>
    <col min="12304" max="12304" width="6.33203125" style="1" bestFit="1" customWidth="1"/>
    <col min="12305" max="12305" width="11.53125" style="1" customWidth="1"/>
    <col min="12306" max="12544" width="9.33203125" style="1"/>
    <col min="12545" max="12545" width="15.6640625" style="1" customWidth="1"/>
    <col min="12546" max="12546" width="30.46484375" style="1" customWidth="1"/>
    <col min="12547" max="12558" width="10.6640625" style="1" customWidth="1"/>
    <col min="12559" max="12559" width="12.53125" style="1" customWidth="1"/>
    <col min="12560" max="12560" width="6.33203125" style="1" bestFit="1" customWidth="1"/>
    <col min="12561" max="12561" width="11.53125" style="1" customWidth="1"/>
    <col min="12562" max="12800" width="9.33203125" style="1"/>
    <col min="12801" max="12801" width="15.6640625" style="1" customWidth="1"/>
    <col min="12802" max="12802" width="30.46484375" style="1" customWidth="1"/>
    <col min="12803" max="12814" width="10.6640625" style="1" customWidth="1"/>
    <col min="12815" max="12815" width="12.53125" style="1" customWidth="1"/>
    <col min="12816" max="12816" width="6.33203125" style="1" bestFit="1" customWidth="1"/>
    <col min="12817" max="12817" width="11.53125" style="1" customWidth="1"/>
    <col min="12818" max="13056" width="9.33203125" style="1"/>
    <col min="13057" max="13057" width="15.6640625" style="1" customWidth="1"/>
    <col min="13058" max="13058" width="30.46484375" style="1" customWidth="1"/>
    <col min="13059" max="13070" width="10.6640625" style="1" customWidth="1"/>
    <col min="13071" max="13071" width="12.53125" style="1" customWidth="1"/>
    <col min="13072" max="13072" width="6.33203125" style="1" bestFit="1" customWidth="1"/>
    <col min="13073" max="13073" width="11.53125" style="1" customWidth="1"/>
    <col min="13074" max="13312" width="9.33203125" style="1"/>
    <col min="13313" max="13313" width="15.6640625" style="1" customWidth="1"/>
    <col min="13314" max="13314" width="30.46484375" style="1" customWidth="1"/>
    <col min="13315" max="13326" width="10.6640625" style="1" customWidth="1"/>
    <col min="13327" max="13327" width="12.53125" style="1" customWidth="1"/>
    <col min="13328" max="13328" width="6.33203125" style="1" bestFit="1" customWidth="1"/>
    <col min="13329" max="13329" width="11.53125" style="1" customWidth="1"/>
    <col min="13330" max="13568" width="9.33203125" style="1"/>
    <col min="13569" max="13569" width="15.6640625" style="1" customWidth="1"/>
    <col min="13570" max="13570" width="30.46484375" style="1" customWidth="1"/>
    <col min="13571" max="13582" width="10.6640625" style="1" customWidth="1"/>
    <col min="13583" max="13583" width="12.53125" style="1" customWidth="1"/>
    <col min="13584" max="13584" width="6.33203125" style="1" bestFit="1" customWidth="1"/>
    <col min="13585" max="13585" width="11.53125" style="1" customWidth="1"/>
    <col min="13586" max="13824" width="9.33203125" style="1"/>
    <col min="13825" max="13825" width="15.6640625" style="1" customWidth="1"/>
    <col min="13826" max="13826" width="30.46484375" style="1" customWidth="1"/>
    <col min="13827" max="13838" width="10.6640625" style="1" customWidth="1"/>
    <col min="13839" max="13839" width="12.53125" style="1" customWidth="1"/>
    <col min="13840" max="13840" width="6.33203125" style="1" bestFit="1" customWidth="1"/>
    <col min="13841" max="13841" width="11.53125" style="1" customWidth="1"/>
    <col min="13842" max="14080" width="9.33203125" style="1"/>
    <col min="14081" max="14081" width="15.6640625" style="1" customWidth="1"/>
    <col min="14082" max="14082" width="30.46484375" style="1" customWidth="1"/>
    <col min="14083" max="14094" width="10.6640625" style="1" customWidth="1"/>
    <col min="14095" max="14095" width="12.53125" style="1" customWidth="1"/>
    <col min="14096" max="14096" width="6.33203125" style="1" bestFit="1" customWidth="1"/>
    <col min="14097" max="14097" width="11.53125" style="1" customWidth="1"/>
    <col min="14098" max="14336" width="9.33203125" style="1"/>
    <col min="14337" max="14337" width="15.6640625" style="1" customWidth="1"/>
    <col min="14338" max="14338" width="30.46484375" style="1" customWidth="1"/>
    <col min="14339" max="14350" width="10.6640625" style="1" customWidth="1"/>
    <col min="14351" max="14351" width="12.53125" style="1" customWidth="1"/>
    <col min="14352" max="14352" width="6.33203125" style="1" bestFit="1" customWidth="1"/>
    <col min="14353" max="14353" width="11.53125" style="1" customWidth="1"/>
    <col min="14354" max="14592" width="9.33203125" style="1"/>
    <col min="14593" max="14593" width="15.6640625" style="1" customWidth="1"/>
    <col min="14594" max="14594" width="30.46484375" style="1" customWidth="1"/>
    <col min="14595" max="14606" width="10.6640625" style="1" customWidth="1"/>
    <col min="14607" max="14607" width="12.53125" style="1" customWidth="1"/>
    <col min="14608" max="14608" width="6.33203125" style="1" bestFit="1" customWidth="1"/>
    <col min="14609" max="14609" width="11.53125" style="1" customWidth="1"/>
    <col min="14610" max="14848" width="9.33203125" style="1"/>
    <col min="14849" max="14849" width="15.6640625" style="1" customWidth="1"/>
    <col min="14850" max="14850" width="30.46484375" style="1" customWidth="1"/>
    <col min="14851" max="14862" width="10.6640625" style="1" customWidth="1"/>
    <col min="14863" max="14863" width="12.53125" style="1" customWidth="1"/>
    <col min="14864" max="14864" width="6.33203125" style="1" bestFit="1" customWidth="1"/>
    <col min="14865" max="14865" width="11.53125" style="1" customWidth="1"/>
    <col min="14866" max="15104" width="9.33203125" style="1"/>
    <col min="15105" max="15105" width="15.6640625" style="1" customWidth="1"/>
    <col min="15106" max="15106" width="30.46484375" style="1" customWidth="1"/>
    <col min="15107" max="15118" width="10.6640625" style="1" customWidth="1"/>
    <col min="15119" max="15119" width="12.53125" style="1" customWidth="1"/>
    <col min="15120" max="15120" width="6.33203125" style="1" bestFit="1" customWidth="1"/>
    <col min="15121" max="15121" width="11.53125" style="1" customWidth="1"/>
    <col min="15122" max="15360" width="9.33203125" style="1"/>
    <col min="15361" max="15361" width="15.6640625" style="1" customWidth="1"/>
    <col min="15362" max="15362" width="30.46484375" style="1" customWidth="1"/>
    <col min="15363" max="15374" width="10.6640625" style="1" customWidth="1"/>
    <col min="15375" max="15375" width="12.53125" style="1" customWidth="1"/>
    <col min="15376" max="15376" width="6.33203125" style="1" bestFit="1" customWidth="1"/>
    <col min="15377" max="15377" width="11.53125" style="1" customWidth="1"/>
    <col min="15378" max="15616" width="9.33203125" style="1"/>
    <col min="15617" max="15617" width="15.6640625" style="1" customWidth="1"/>
    <col min="15618" max="15618" width="30.46484375" style="1" customWidth="1"/>
    <col min="15619" max="15630" width="10.6640625" style="1" customWidth="1"/>
    <col min="15631" max="15631" width="12.53125" style="1" customWidth="1"/>
    <col min="15632" max="15632" width="6.33203125" style="1" bestFit="1" customWidth="1"/>
    <col min="15633" max="15633" width="11.53125" style="1" customWidth="1"/>
    <col min="15634" max="15872" width="9.33203125" style="1"/>
    <col min="15873" max="15873" width="15.6640625" style="1" customWidth="1"/>
    <col min="15874" max="15874" width="30.46484375" style="1" customWidth="1"/>
    <col min="15875" max="15886" width="10.6640625" style="1" customWidth="1"/>
    <col min="15887" max="15887" width="12.53125" style="1" customWidth="1"/>
    <col min="15888" max="15888" width="6.33203125" style="1" bestFit="1" customWidth="1"/>
    <col min="15889" max="15889" width="11.53125" style="1" customWidth="1"/>
    <col min="15890" max="16128" width="9.33203125" style="1"/>
    <col min="16129" max="16129" width="15.6640625" style="1" customWidth="1"/>
    <col min="16130" max="16130" width="30.46484375" style="1" customWidth="1"/>
    <col min="16131" max="16142" width="10.6640625" style="1" customWidth="1"/>
    <col min="16143" max="16143" width="12.53125" style="1" customWidth="1"/>
    <col min="16144" max="16144" width="6.33203125" style="1" bestFit="1" customWidth="1"/>
    <col min="16145" max="16145" width="11.53125" style="1" customWidth="1"/>
    <col min="16146" max="16384" width="9.33203125" style="1"/>
  </cols>
  <sheetData>
    <row r="2" spans="2:17" x14ac:dyDescent="0.4">
      <c r="B2" s="1875" t="str">
        <f>+Index!$B$2</f>
        <v>Nidar Utilities Panvel LLP</v>
      </c>
      <c r="C2" s="1875"/>
      <c r="D2" s="1875"/>
      <c r="E2" s="1875"/>
      <c r="F2" s="1875"/>
      <c r="G2" s="1875"/>
      <c r="H2" s="1875"/>
      <c r="I2" s="1875"/>
      <c r="J2" s="1875"/>
      <c r="K2" s="1875"/>
      <c r="L2" s="1875"/>
      <c r="M2" s="1875"/>
      <c r="N2" s="1875"/>
      <c r="O2" s="67"/>
    </row>
    <row r="3" spans="2:17" x14ac:dyDescent="0.4">
      <c r="B3" s="1875" t="s">
        <v>107</v>
      </c>
      <c r="C3" s="1875"/>
      <c r="D3" s="1875"/>
      <c r="E3" s="1875"/>
      <c r="F3" s="1875"/>
      <c r="G3" s="1875"/>
      <c r="H3" s="1875"/>
      <c r="I3" s="1875"/>
      <c r="J3" s="1875"/>
      <c r="K3" s="1875"/>
      <c r="L3" s="1875"/>
      <c r="M3" s="1875"/>
      <c r="N3" s="1875"/>
      <c r="O3" s="67"/>
    </row>
    <row r="4" spans="2:17" x14ac:dyDescent="0.4">
      <c r="B4" s="1875" t="s">
        <v>201</v>
      </c>
      <c r="C4" s="1875"/>
      <c r="D4" s="1875"/>
      <c r="E4" s="1875"/>
      <c r="F4" s="1875"/>
      <c r="G4" s="1875"/>
      <c r="H4" s="1875"/>
      <c r="I4" s="1875"/>
      <c r="J4" s="1875"/>
      <c r="K4" s="1875"/>
      <c r="L4" s="1875"/>
      <c r="M4" s="1875"/>
      <c r="N4" s="1875"/>
      <c r="O4" s="67"/>
      <c r="P4" s="4"/>
      <c r="Q4" s="4"/>
    </row>
    <row r="5" spans="2:17" x14ac:dyDescent="0.4">
      <c r="B5" s="12"/>
      <c r="C5" s="12"/>
      <c r="D5" s="12"/>
      <c r="E5" s="8"/>
      <c r="F5" s="8"/>
      <c r="G5" s="8"/>
      <c r="H5" s="8"/>
      <c r="I5" s="8"/>
      <c r="J5" s="8"/>
      <c r="K5" s="8"/>
      <c r="L5" s="8"/>
      <c r="M5" s="8"/>
      <c r="N5" s="8"/>
      <c r="O5" s="8"/>
      <c r="P5" s="4"/>
      <c r="Q5" s="4"/>
    </row>
    <row r="6" spans="2:17" x14ac:dyDescent="0.4">
      <c r="B6" s="12"/>
      <c r="C6" s="12"/>
      <c r="D6" s="12"/>
      <c r="E6" s="8"/>
      <c r="F6" s="8"/>
      <c r="G6" s="8"/>
      <c r="H6" s="8"/>
      <c r="I6" s="8"/>
      <c r="J6" s="8"/>
      <c r="K6" s="8"/>
      <c r="L6" s="8"/>
      <c r="M6" s="8"/>
      <c r="N6" s="8"/>
      <c r="O6" s="8"/>
      <c r="P6" s="4"/>
      <c r="Q6" s="4"/>
    </row>
    <row r="7" spans="2:17" x14ac:dyDescent="0.4">
      <c r="B7" s="32"/>
      <c r="C7" s="32"/>
      <c r="D7" s="32"/>
      <c r="E7" s="8"/>
      <c r="F7" s="8"/>
      <c r="G7" s="8"/>
      <c r="H7" s="8"/>
      <c r="I7" s="8"/>
      <c r="J7" s="8"/>
      <c r="K7" s="8"/>
      <c r="L7" s="8"/>
      <c r="M7" s="8"/>
      <c r="N7" s="8"/>
      <c r="O7" s="4"/>
    </row>
    <row r="8" spans="2:17" x14ac:dyDescent="0.4">
      <c r="B8" s="32"/>
      <c r="C8" s="32"/>
      <c r="D8" s="32"/>
      <c r="E8" s="8"/>
      <c r="F8" s="8"/>
      <c r="G8" s="8"/>
      <c r="H8" s="8"/>
      <c r="I8" s="8"/>
      <c r="J8" s="8"/>
      <c r="K8" s="8"/>
      <c r="L8" s="8"/>
      <c r="M8" s="8"/>
      <c r="N8" s="8"/>
      <c r="O8" s="4"/>
    </row>
    <row r="9" spans="2:17" ht="14" customHeight="1" x14ac:dyDescent="0.4">
      <c r="B9" s="1947" t="s">
        <v>202</v>
      </c>
      <c r="C9" s="98" t="s">
        <v>196</v>
      </c>
      <c r="D9" s="98" t="s">
        <v>197</v>
      </c>
      <c r="E9" s="98" t="s">
        <v>198</v>
      </c>
      <c r="F9" s="98" t="s">
        <v>199</v>
      </c>
      <c r="G9" s="362" t="s">
        <v>112</v>
      </c>
      <c r="H9" s="362" t="s">
        <v>113</v>
      </c>
      <c r="I9" s="362" t="s">
        <v>114</v>
      </c>
      <c r="J9" s="1934" t="s">
        <v>1019</v>
      </c>
      <c r="K9" s="1935"/>
      <c r="L9" s="1935"/>
      <c r="M9" s="1935"/>
      <c r="N9" s="1936"/>
      <c r="O9" s="38"/>
    </row>
    <row r="10" spans="2:17" ht="27" x14ac:dyDescent="0.4">
      <c r="B10" s="1947"/>
      <c r="C10" s="1934" t="s">
        <v>117</v>
      </c>
      <c r="D10" s="1935"/>
      <c r="E10" s="1935"/>
      <c r="F10" s="1935"/>
      <c r="G10" s="1935"/>
      <c r="H10" s="1936"/>
      <c r="I10" s="217" t="s">
        <v>121</v>
      </c>
      <c r="J10" s="217" t="s">
        <v>123</v>
      </c>
      <c r="K10" s="217" t="s">
        <v>124</v>
      </c>
      <c r="L10" s="217" t="s">
        <v>125</v>
      </c>
      <c r="M10" s="217" t="s">
        <v>126</v>
      </c>
      <c r="N10" s="217" t="s">
        <v>127</v>
      </c>
    </row>
    <row r="11" spans="2:17" x14ac:dyDescent="0.4">
      <c r="B11" s="46" t="s">
        <v>203</v>
      </c>
      <c r="C11" s="46"/>
      <c r="D11" s="3"/>
      <c r="E11" s="3"/>
      <c r="F11" s="3"/>
      <c r="G11" s="3"/>
      <c r="H11" s="3"/>
      <c r="I11" s="214"/>
      <c r="J11" s="124"/>
      <c r="K11" s="2"/>
      <c r="L11" s="2"/>
      <c r="M11" s="2"/>
      <c r="N11" s="2"/>
    </row>
    <row r="12" spans="2:17" x14ac:dyDescent="0.4">
      <c r="B12" s="46" t="s">
        <v>204</v>
      </c>
      <c r="C12" s="46"/>
      <c r="D12" s="3"/>
      <c r="E12" s="3"/>
      <c r="F12" s="3"/>
      <c r="G12" s="3"/>
      <c r="H12" s="3"/>
      <c r="I12" s="214"/>
      <c r="J12" s="124"/>
      <c r="K12" s="2"/>
      <c r="L12" s="2"/>
      <c r="M12" s="2"/>
      <c r="N12" s="2"/>
    </row>
    <row r="13" spans="2:17" x14ac:dyDescent="0.4">
      <c r="B13" s="46" t="s">
        <v>205</v>
      </c>
      <c r="C13" s="46"/>
      <c r="D13" s="3"/>
      <c r="E13" s="3"/>
      <c r="F13" s="3"/>
      <c r="G13" s="3"/>
      <c r="H13" s="3"/>
      <c r="I13" s="214"/>
      <c r="J13" s="124"/>
      <c r="K13" s="2"/>
      <c r="L13" s="2"/>
      <c r="M13" s="2"/>
      <c r="N13" s="2"/>
    </row>
    <row r="14" spans="2:17" x14ac:dyDescent="0.4">
      <c r="B14" s="46" t="s">
        <v>206</v>
      </c>
      <c r="C14" s="46"/>
      <c r="D14" s="3"/>
      <c r="E14" s="3"/>
      <c r="F14" s="3"/>
      <c r="G14" s="3"/>
      <c r="H14" s="3"/>
      <c r="I14" s="214"/>
      <c r="J14" s="124"/>
      <c r="K14" s="2"/>
      <c r="L14" s="2"/>
      <c r="M14" s="2"/>
      <c r="N14" s="2"/>
    </row>
    <row r="15" spans="2:17" x14ac:dyDescent="0.4">
      <c r="B15" s="47" t="s">
        <v>207</v>
      </c>
      <c r="C15" s="531">
        <f>+'F1'!C16</f>
        <v>1.0070348</v>
      </c>
      <c r="D15" s="531">
        <f>+'F1'!D16</f>
        <v>2.4316161000000003</v>
      </c>
      <c r="E15" s="531">
        <f>+'F1'!E16</f>
        <v>6.8524711400000013</v>
      </c>
      <c r="F15" s="531">
        <f>+'F1'!F16</f>
        <v>14.742310481899999</v>
      </c>
      <c r="G15" s="531">
        <f>+'F1'!G16</f>
        <v>21.757702680000001</v>
      </c>
      <c r="H15" s="531">
        <f>+'F1'!H16</f>
        <v>34.205297605600002</v>
      </c>
      <c r="I15" s="531">
        <f>+'F1'!I16</f>
        <v>73.6568118</v>
      </c>
      <c r="J15" s="531">
        <f>+'F1'!J16</f>
        <v>131.20035736209786</v>
      </c>
      <c r="K15" s="531">
        <f>+'F1'!K16</f>
        <v>163.48874583451743</v>
      </c>
      <c r="L15" s="531">
        <f>+'F1'!L16</f>
        <v>204.06254583451741</v>
      </c>
      <c r="M15" s="531">
        <f>+'F1'!M16</f>
        <v>244.94299477935658</v>
      </c>
      <c r="N15" s="531">
        <f>+'F1'!N16</f>
        <v>265.96699477935653</v>
      </c>
    </row>
    <row r="16" spans="2:17" x14ac:dyDescent="0.4">
      <c r="B16" s="175" t="s">
        <v>208</v>
      </c>
      <c r="C16" s="532">
        <f>SUM(C11:C15)</f>
        <v>1.0070348</v>
      </c>
      <c r="D16" s="532">
        <f t="shared" ref="D16:N16" si="0">SUM(D11:D15)</f>
        <v>2.4316161000000003</v>
      </c>
      <c r="E16" s="532">
        <f t="shared" si="0"/>
        <v>6.8524711400000013</v>
      </c>
      <c r="F16" s="532">
        <f t="shared" si="0"/>
        <v>14.742310481899999</v>
      </c>
      <c r="G16" s="532">
        <f t="shared" si="0"/>
        <v>21.757702680000001</v>
      </c>
      <c r="H16" s="532">
        <f t="shared" si="0"/>
        <v>34.205297605600002</v>
      </c>
      <c r="I16" s="532">
        <f t="shared" si="0"/>
        <v>73.6568118</v>
      </c>
      <c r="J16" s="532">
        <f t="shared" si="0"/>
        <v>131.20035736209786</v>
      </c>
      <c r="K16" s="532">
        <f t="shared" si="0"/>
        <v>163.48874583451743</v>
      </c>
      <c r="L16" s="532">
        <f t="shared" si="0"/>
        <v>204.06254583451741</v>
      </c>
      <c r="M16" s="532">
        <f t="shared" si="0"/>
        <v>244.94299477935658</v>
      </c>
      <c r="N16" s="532">
        <f t="shared" si="0"/>
        <v>265.96699477935653</v>
      </c>
    </row>
    <row r="17" spans="2:14" x14ac:dyDescent="0.4">
      <c r="B17" s="78" t="s">
        <v>209</v>
      </c>
      <c r="C17" s="527">
        <f>+'F1'!C32</f>
        <v>0.174814</v>
      </c>
      <c r="D17" s="527">
        <f>+'F1'!D32</f>
        <v>0.64211980999999985</v>
      </c>
      <c r="E17" s="527">
        <f>+'F1'!E32</f>
        <v>1.0565124939999999</v>
      </c>
      <c r="F17" s="527">
        <f>+'F1'!F32</f>
        <v>2.1497791500000005</v>
      </c>
      <c r="G17" s="527">
        <f>+'F1'!G32</f>
        <v>3.8814999492999998</v>
      </c>
      <c r="H17" s="527">
        <f>+'F1'!H32</f>
        <v>5.1533617640000005</v>
      </c>
      <c r="I17" s="527">
        <f>+'F1'!I32</f>
        <v>6.7050538629999989</v>
      </c>
      <c r="J17" s="527">
        <f>+'F1'!J32</f>
        <v>9.2323776379021467</v>
      </c>
      <c r="K17" s="527">
        <f>+'F1'!K32</f>
        <v>11.078853165482577</v>
      </c>
      <c r="L17" s="527">
        <f>+'F1'!L32</f>
        <v>11.078853165482577</v>
      </c>
      <c r="M17" s="527">
        <f>+'F1'!M32</f>
        <v>14.77180422064343</v>
      </c>
      <c r="N17" s="527">
        <f>+'F1'!N32</f>
        <v>14.771804220643432</v>
      </c>
    </row>
    <row r="18" spans="2:14" x14ac:dyDescent="0.4">
      <c r="B18" s="43" t="s">
        <v>164</v>
      </c>
      <c r="C18" s="627">
        <f>+C16+C17</f>
        <v>1.1818488</v>
      </c>
      <c r="D18" s="627">
        <f t="shared" ref="D18:N18" si="1">+D16+D17</f>
        <v>3.0737359099999999</v>
      </c>
      <c r="E18" s="627">
        <f t="shared" si="1"/>
        <v>7.908983634000001</v>
      </c>
      <c r="F18" s="627">
        <f t="shared" si="1"/>
        <v>16.892089631899999</v>
      </c>
      <c r="G18" s="627">
        <f t="shared" si="1"/>
        <v>25.639202629300001</v>
      </c>
      <c r="H18" s="627">
        <f t="shared" si="1"/>
        <v>39.358659369600005</v>
      </c>
      <c r="I18" s="627">
        <f t="shared" si="1"/>
        <v>80.361865663000003</v>
      </c>
      <c r="J18" s="627">
        <f t="shared" si="1"/>
        <v>140.43273500000001</v>
      </c>
      <c r="K18" s="627">
        <f t="shared" si="1"/>
        <v>174.567599</v>
      </c>
      <c r="L18" s="627">
        <f t="shared" si="1"/>
        <v>215.14139899999998</v>
      </c>
      <c r="M18" s="627">
        <f t="shared" si="1"/>
        <v>259.71479900000003</v>
      </c>
      <c r="N18" s="627">
        <f t="shared" si="1"/>
        <v>280.73879899999997</v>
      </c>
    </row>
    <row r="19" spans="2:14" x14ac:dyDescent="0.4">
      <c r="B19" s="118" t="s">
        <v>165</v>
      </c>
      <c r="C19" s="118"/>
      <c r="D19" s="118"/>
    </row>
    <row r="20" spans="2:14" x14ac:dyDescent="0.4">
      <c r="B20" s="10" t="s">
        <v>210</v>
      </c>
      <c r="C20" s="10"/>
      <c r="D20" s="10"/>
    </row>
    <row r="21" spans="2:14" x14ac:dyDescent="0.4">
      <c r="B21" s="118"/>
      <c r="C21" s="118"/>
      <c r="D21" s="118"/>
    </row>
  </sheetData>
  <mergeCells count="6">
    <mergeCell ref="B2:N2"/>
    <mergeCell ref="B3:N3"/>
    <mergeCell ref="B4:N4"/>
    <mergeCell ref="B9:B10"/>
    <mergeCell ref="J9:N9"/>
    <mergeCell ref="C10:H10"/>
  </mergeCells>
  <pageMargins left="1.0236220472440944" right="0.23622047244094491" top="0.98425196850393704" bottom="0.98425196850393704" header="0.23622047244094491" footer="0.23622047244094491"/>
  <pageSetup paperSize="9" scale="62" orientation="landscape" r:id="rId1"/>
  <headerFooter alignWithMargins="0">
    <oddHeader>&amp;F</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N134"/>
  <sheetViews>
    <sheetView showGridLines="0" view="pageBreakPreview" zoomScale="80" zoomScaleNormal="75" workbookViewId="0">
      <selection activeCell="E38" sqref="E38"/>
    </sheetView>
  </sheetViews>
  <sheetFormatPr defaultColWidth="9.33203125" defaultRowHeight="13.9" x14ac:dyDescent="0.35"/>
  <cols>
    <col min="1" max="1" width="6.6640625" style="10" customWidth="1"/>
    <col min="2" max="2" width="8.33203125" style="10" customWidth="1"/>
    <col min="3" max="3" width="23.6640625" style="10" customWidth="1"/>
    <col min="4" max="4" width="17.6640625" style="10" bestFit="1" customWidth="1"/>
    <col min="5" max="5" width="13" style="751" bestFit="1" customWidth="1"/>
    <col min="6" max="6" width="21.19921875" style="10" bestFit="1" customWidth="1"/>
    <col min="7" max="7" width="11" style="10" bestFit="1" customWidth="1"/>
    <col min="8" max="8" width="12.796875" style="10" bestFit="1" customWidth="1"/>
    <col min="9" max="9" width="12.86328125" style="10" bestFit="1" customWidth="1"/>
    <col min="10" max="10" width="18.53125" style="662" bestFit="1" customWidth="1"/>
    <col min="11" max="11" width="15.1328125" style="10" bestFit="1" customWidth="1"/>
    <col min="12" max="12" width="22.46484375" style="662" bestFit="1" customWidth="1"/>
    <col min="13" max="13" width="17.46484375" style="10" bestFit="1" customWidth="1"/>
    <col min="14" max="14" width="22.6640625" style="10" bestFit="1" customWidth="1"/>
    <col min="15" max="257" width="9.33203125" style="10"/>
    <col min="258" max="258" width="6.6640625" style="10" customWidth="1"/>
    <col min="259" max="259" width="7" style="10" customWidth="1"/>
    <col min="260" max="260" width="17.6640625" style="10" bestFit="1" customWidth="1"/>
    <col min="261" max="261" width="12.6640625" style="10" customWidth="1"/>
    <col min="262" max="262" width="24" style="10" customWidth="1"/>
    <col min="263" max="263" width="13.46484375" style="10" bestFit="1" customWidth="1"/>
    <col min="264" max="264" width="13.6640625" style="10" customWidth="1"/>
    <col min="265" max="265" width="13.33203125" style="10" customWidth="1"/>
    <col min="266" max="266" width="22.46484375" style="10" customWidth="1"/>
    <col min="267" max="267" width="18.46484375" style="10" customWidth="1"/>
    <col min="268" max="268" width="22" style="10" customWidth="1"/>
    <col min="269" max="269" width="21.33203125" style="10" customWidth="1"/>
    <col min="270" max="270" width="23" style="10" customWidth="1"/>
    <col min="271" max="513" width="9.33203125" style="10"/>
    <col min="514" max="514" width="6.6640625" style="10" customWidth="1"/>
    <col min="515" max="515" width="7" style="10" customWidth="1"/>
    <col min="516" max="516" width="17.6640625" style="10" bestFit="1" customWidth="1"/>
    <col min="517" max="517" width="12.6640625" style="10" customWidth="1"/>
    <col min="518" max="518" width="24" style="10" customWidth="1"/>
    <col min="519" max="519" width="13.46484375" style="10" bestFit="1" customWidth="1"/>
    <col min="520" max="520" width="13.6640625" style="10" customWidth="1"/>
    <col min="521" max="521" width="13.33203125" style="10" customWidth="1"/>
    <col min="522" max="522" width="22.46484375" style="10" customWidth="1"/>
    <col min="523" max="523" width="18.46484375" style="10" customWidth="1"/>
    <col min="524" max="524" width="22" style="10" customWidth="1"/>
    <col min="525" max="525" width="21.33203125" style="10" customWidth="1"/>
    <col min="526" max="526" width="23" style="10" customWidth="1"/>
    <col min="527" max="769" width="9.33203125" style="10"/>
    <col min="770" max="770" width="6.6640625" style="10" customWidth="1"/>
    <col min="771" max="771" width="7" style="10" customWidth="1"/>
    <col min="772" max="772" width="17.6640625" style="10" bestFit="1" customWidth="1"/>
    <col min="773" max="773" width="12.6640625" style="10" customWidth="1"/>
    <col min="774" max="774" width="24" style="10" customWidth="1"/>
    <col min="775" max="775" width="13.46484375" style="10" bestFit="1" customWidth="1"/>
    <col min="776" max="776" width="13.6640625" style="10" customWidth="1"/>
    <col min="777" max="777" width="13.33203125" style="10" customWidth="1"/>
    <col min="778" max="778" width="22.46484375" style="10" customWidth="1"/>
    <col min="779" max="779" width="18.46484375" style="10" customWidth="1"/>
    <col min="780" max="780" width="22" style="10" customWidth="1"/>
    <col min="781" max="781" width="21.33203125" style="10" customWidth="1"/>
    <col min="782" max="782" width="23" style="10" customWidth="1"/>
    <col min="783" max="1025" width="9.33203125" style="10"/>
    <col min="1026" max="1026" width="6.6640625" style="10" customWidth="1"/>
    <col min="1027" max="1027" width="7" style="10" customWidth="1"/>
    <col min="1028" max="1028" width="17.6640625" style="10" bestFit="1" customWidth="1"/>
    <col min="1029" max="1029" width="12.6640625" style="10" customWidth="1"/>
    <col min="1030" max="1030" width="24" style="10" customWidth="1"/>
    <col min="1031" max="1031" width="13.46484375" style="10" bestFit="1" customWidth="1"/>
    <col min="1032" max="1032" width="13.6640625" style="10" customWidth="1"/>
    <col min="1033" max="1033" width="13.33203125" style="10" customWidth="1"/>
    <col min="1034" max="1034" width="22.46484375" style="10" customWidth="1"/>
    <col min="1035" max="1035" width="18.46484375" style="10" customWidth="1"/>
    <col min="1036" max="1036" width="22" style="10" customWidth="1"/>
    <col min="1037" max="1037" width="21.33203125" style="10" customWidth="1"/>
    <col min="1038" max="1038" width="23" style="10" customWidth="1"/>
    <col min="1039" max="1281" width="9.33203125" style="10"/>
    <col min="1282" max="1282" width="6.6640625" style="10" customWidth="1"/>
    <col min="1283" max="1283" width="7" style="10" customWidth="1"/>
    <col min="1284" max="1284" width="17.6640625" style="10" bestFit="1" customWidth="1"/>
    <col min="1285" max="1285" width="12.6640625" style="10" customWidth="1"/>
    <col min="1286" max="1286" width="24" style="10" customWidth="1"/>
    <col min="1287" max="1287" width="13.46484375" style="10" bestFit="1" customWidth="1"/>
    <col min="1288" max="1288" width="13.6640625" style="10" customWidth="1"/>
    <col min="1289" max="1289" width="13.33203125" style="10" customWidth="1"/>
    <col min="1290" max="1290" width="22.46484375" style="10" customWidth="1"/>
    <col min="1291" max="1291" width="18.46484375" style="10" customWidth="1"/>
    <col min="1292" max="1292" width="22" style="10" customWidth="1"/>
    <col min="1293" max="1293" width="21.33203125" style="10" customWidth="1"/>
    <col min="1294" max="1294" width="23" style="10" customWidth="1"/>
    <col min="1295" max="1537" width="9.33203125" style="10"/>
    <col min="1538" max="1538" width="6.6640625" style="10" customWidth="1"/>
    <col min="1539" max="1539" width="7" style="10" customWidth="1"/>
    <col min="1540" max="1540" width="17.6640625" style="10" bestFit="1" customWidth="1"/>
    <col min="1541" max="1541" width="12.6640625" style="10" customWidth="1"/>
    <col min="1542" max="1542" width="24" style="10" customWidth="1"/>
    <col min="1543" max="1543" width="13.46484375" style="10" bestFit="1" customWidth="1"/>
    <col min="1544" max="1544" width="13.6640625" style="10" customWidth="1"/>
    <col min="1545" max="1545" width="13.33203125" style="10" customWidth="1"/>
    <col min="1546" max="1546" width="22.46484375" style="10" customWidth="1"/>
    <col min="1547" max="1547" width="18.46484375" style="10" customWidth="1"/>
    <col min="1548" max="1548" width="22" style="10" customWidth="1"/>
    <col min="1549" max="1549" width="21.33203125" style="10" customWidth="1"/>
    <col min="1550" max="1550" width="23" style="10" customWidth="1"/>
    <col min="1551" max="1793" width="9.33203125" style="10"/>
    <col min="1794" max="1794" width="6.6640625" style="10" customWidth="1"/>
    <col min="1795" max="1795" width="7" style="10" customWidth="1"/>
    <col min="1796" max="1796" width="17.6640625" style="10" bestFit="1" customWidth="1"/>
    <col min="1797" max="1797" width="12.6640625" style="10" customWidth="1"/>
    <col min="1798" max="1798" width="24" style="10" customWidth="1"/>
    <col min="1799" max="1799" width="13.46484375" style="10" bestFit="1" customWidth="1"/>
    <col min="1800" max="1800" width="13.6640625" style="10" customWidth="1"/>
    <col min="1801" max="1801" width="13.33203125" style="10" customWidth="1"/>
    <col min="1802" max="1802" width="22.46484375" style="10" customWidth="1"/>
    <col min="1803" max="1803" width="18.46484375" style="10" customWidth="1"/>
    <col min="1804" max="1804" width="22" style="10" customWidth="1"/>
    <col min="1805" max="1805" width="21.33203125" style="10" customWidth="1"/>
    <col min="1806" max="1806" width="23" style="10" customWidth="1"/>
    <col min="1807" max="2049" width="9.33203125" style="10"/>
    <col min="2050" max="2050" width="6.6640625" style="10" customWidth="1"/>
    <col min="2051" max="2051" width="7" style="10" customWidth="1"/>
    <col min="2052" max="2052" width="17.6640625" style="10" bestFit="1" customWidth="1"/>
    <col min="2053" max="2053" width="12.6640625" style="10" customWidth="1"/>
    <col min="2054" max="2054" width="24" style="10" customWidth="1"/>
    <col min="2055" max="2055" width="13.46484375" style="10" bestFit="1" customWidth="1"/>
    <col min="2056" max="2056" width="13.6640625" style="10" customWidth="1"/>
    <col min="2057" max="2057" width="13.33203125" style="10" customWidth="1"/>
    <col min="2058" max="2058" width="22.46484375" style="10" customWidth="1"/>
    <col min="2059" max="2059" width="18.46484375" style="10" customWidth="1"/>
    <col min="2060" max="2060" width="22" style="10" customWidth="1"/>
    <col min="2061" max="2061" width="21.33203125" style="10" customWidth="1"/>
    <col min="2062" max="2062" width="23" style="10" customWidth="1"/>
    <col min="2063" max="2305" width="9.33203125" style="10"/>
    <col min="2306" max="2306" width="6.6640625" style="10" customWidth="1"/>
    <col min="2307" max="2307" width="7" style="10" customWidth="1"/>
    <col min="2308" max="2308" width="17.6640625" style="10" bestFit="1" customWidth="1"/>
    <col min="2309" max="2309" width="12.6640625" style="10" customWidth="1"/>
    <col min="2310" max="2310" width="24" style="10" customWidth="1"/>
    <col min="2311" max="2311" width="13.46484375" style="10" bestFit="1" customWidth="1"/>
    <col min="2312" max="2312" width="13.6640625" style="10" customWidth="1"/>
    <col min="2313" max="2313" width="13.33203125" style="10" customWidth="1"/>
    <col min="2314" max="2314" width="22.46484375" style="10" customWidth="1"/>
    <col min="2315" max="2315" width="18.46484375" style="10" customWidth="1"/>
    <col min="2316" max="2316" width="22" style="10" customWidth="1"/>
    <col min="2317" max="2317" width="21.33203125" style="10" customWidth="1"/>
    <col min="2318" max="2318" width="23" style="10" customWidth="1"/>
    <col min="2319" max="2561" width="9.33203125" style="10"/>
    <col min="2562" max="2562" width="6.6640625" style="10" customWidth="1"/>
    <col min="2563" max="2563" width="7" style="10" customWidth="1"/>
    <col min="2564" max="2564" width="17.6640625" style="10" bestFit="1" customWidth="1"/>
    <col min="2565" max="2565" width="12.6640625" style="10" customWidth="1"/>
    <col min="2566" max="2566" width="24" style="10" customWidth="1"/>
    <col min="2567" max="2567" width="13.46484375" style="10" bestFit="1" customWidth="1"/>
    <col min="2568" max="2568" width="13.6640625" style="10" customWidth="1"/>
    <col min="2569" max="2569" width="13.33203125" style="10" customWidth="1"/>
    <col min="2570" max="2570" width="22.46484375" style="10" customWidth="1"/>
    <col min="2571" max="2571" width="18.46484375" style="10" customWidth="1"/>
    <col min="2572" max="2572" width="22" style="10" customWidth="1"/>
    <col min="2573" max="2573" width="21.33203125" style="10" customWidth="1"/>
    <col min="2574" max="2574" width="23" style="10" customWidth="1"/>
    <col min="2575" max="2817" width="9.33203125" style="10"/>
    <col min="2818" max="2818" width="6.6640625" style="10" customWidth="1"/>
    <col min="2819" max="2819" width="7" style="10" customWidth="1"/>
    <col min="2820" max="2820" width="17.6640625" style="10" bestFit="1" customWidth="1"/>
    <col min="2821" max="2821" width="12.6640625" style="10" customWidth="1"/>
    <col min="2822" max="2822" width="24" style="10" customWidth="1"/>
    <col min="2823" max="2823" width="13.46484375" style="10" bestFit="1" customWidth="1"/>
    <col min="2824" max="2824" width="13.6640625" style="10" customWidth="1"/>
    <col min="2825" max="2825" width="13.33203125" style="10" customWidth="1"/>
    <col min="2826" max="2826" width="22.46484375" style="10" customWidth="1"/>
    <col min="2827" max="2827" width="18.46484375" style="10" customWidth="1"/>
    <col min="2828" max="2828" width="22" style="10" customWidth="1"/>
    <col min="2829" max="2829" width="21.33203125" style="10" customWidth="1"/>
    <col min="2830" max="2830" width="23" style="10" customWidth="1"/>
    <col min="2831" max="3073" width="9.33203125" style="10"/>
    <col min="3074" max="3074" width="6.6640625" style="10" customWidth="1"/>
    <col min="3075" max="3075" width="7" style="10" customWidth="1"/>
    <col min="3076" max="3076" width="17.6640625" style="10" bestFit="1" customWidth="1"/>
    <col min="3077" max="3077" width="12.6640625" style="10" customWidth="1"/>
    <col min="3078" max="3078" width="24" style="10" customWidth="1"/>
    <col min="3079" max="3079" width="13.46484375" style="10" bestFit="1" customWidth="1"/>
    <col min="3080" max="3080" width="13.6640625" style="10" customWidth="1"/>
    <col min="3081" max="3081" width="13.33203125" style="10" customWidth="1"/>
    <col min="3082" max="3082" width="22.46484375" style="10" customWidth="1"/>
    <col min="3083" max="3083" width="18.46484375" style="10" customWidth="1"/>
    <col min="3084" max="3084" width="22" style="10" customWidth="1"/>
    <col min="3085" max="3085" width="21.33203125" style="10" customWidth="1"/>
    <col min="3086" max="3086" width="23" style="10" customWidth="1"/>
    <col min="3087" max="3329" width="9.33203125" style="10"/>
    <col min="3330" max="3330" width="6.6640625" style="10" customWidth="1"/>
    <col min="3331" max="3331" width="7" style="10" customWidth="1"/>
    <col min="3332" max="3332" width="17.6640625" style="10" bestFit="1" customWidth="1"/>
    <col min="3333" max="3333" width="12.6640625" style="10" customWidth="1"/>
    <col min="3334" max="3334" width="24" style="10" customWidth="1"/>
    <col min="3335" max="3335" width="13.46484375" style="10" bestFit="1" customWidth="1"/>
    <col min="3336" max="3336" width="13.6640625" style="10" customWidth="1"/>
    <col min="3337" max="3337" width="13.33203125" style="10" customWidth="1"/>
    <col min="3338" max="3338" width="22.46484375" style="10" customWidth="1"/>
    <col min="3339" max="3339" width="18.46484375" style="10" customWidth="1"/>
    <col min="3340" max="3340" width="22" style="10" customWidth="1"/>
    <col min="3341" max="3341" width="21.33203125" style="10" customWidth="1"/>
    <col min="3342" max="3342" width="23" style="10" customWidth="1"/>
    <col min="3343" max="3585" width="9.33203125" style="10"/>
    <col min="3586" max="3586" width="6.6640625" style="10" customWidth="1"/>
    <col min="3587" max="3587" width="7" style="10" customWidth="1"/>
    <col min="3588" max="3588" width="17.6640625" style="10" bestFit="1" customWidth="1"/>
    <col min="3589" max="3589" width="12.6640625" style="10" customWidth="1"/>
    <col min="3590" max="3590" width="24" style="10" customWidth="1"/>
    <col min="3591" max="3591" width="13.46484375" style="10" bestFit="1" customWidth="1"/>
    <col min="3592" max="3592" width="13.6640625" style="10" customWidth="1"/>
    <col min="3593" max="3593" width="13.33203125" style="10" customWidth="1"/>
    <col min="3594" max="3594" width="22.46484375" style="10" customWidth="1"/>
    <col min="3595" max="3595" width="18.46484375" style="10" customWidth="1"/>
    <col min="3596" max="3596" width="22" style="10" customWidth="1"/>
    <col min="3597" max="3597" width="21.33203125" style="10" customWidth="1"/>
    <col min="3598" max="3598" width="23" style="10" customWidth="1"/>
    <col min="3599" max="3841" width="9.33203125" style="10"/>
    <col min="3842" max="3842" width="6.6640625" style="10" customWidth="1"/>
    <col min="3843" max="3843" width="7" style="10" customWidth="1"/>
    <col min="3844" max="3844" width="17.6640625" style="10" bestFit="1" customWidth="1"/>
    <col min="3845" max="3845" width="12.6640625" style="10" customWidth="1"/>
    <col min="3846" max="3846" width="24" style="10" customWidth="1"/>
    <col min="3847" max="3847" width="13.46484375" style="10" bestFit="1" customWidth="1"/>
    <col min="3848" max="3848" width="13.6640625" style="10" customWidth="1"/>
    <col min="3849" max="3849" width="13.33203125" style="10" customWidth="1"/>
    <col min="3850" max="3850" width="22.46484375" style="10" customWidth="1"/>
    <col min="3851" max="3851" width="18.46484375" style="10" customWidth="1"/>
    <col min="3852" max="3852" width="22" style="10" customWidth="1"/>
    <col min="3853" max="3853" width="21.33203125" style="10" customWidth="1"/>
    <col min="3854" max="3854" width="23" style="10" customWidth="1"/>
    <col min="3855" max="4097" width="9.33203125" style="10"/>
    <col min="4098" max="4098" width="6.6640625" style="10" customWidth="1"/>
    <col min="4099" max="4099" width="7" style="10" customWidth="1"/>
    <col min="4100" max="4100" width="17.6640625" style="10" bestFit="1" customWidth="1"/>
    <col min="4101" max="4101" width="12.6640625" style="10" customWidth="1"/>
    <col min="4102" max="4102" width="24" style="10" customWidth="1"/>
    <col min="4103" max="4103" width="13.46484375" style="10" bestFit="1" customWidth="1"/>
    <col min="4104" max="4104" width="13.6640625" style="10" customWidth="1"/>
    <col min="4105" max="4105" width="13.33203125" style="10" customWidth="1"/>
    <col min="4106" max="4106" width="22.46484375" style="10" customWidth="1"/>
    <col min="4107" max="4107" width="18.46484375" style="10" customWidth="1"/>
    <col min="4108" max="4108" width="22" style="10" customWidth="1"/>
    <col min="4109" max="4109" width="21.33203125" style="10" customWidth="1"/>
    <col min="4110" max="4110" width="23" style="10" customWidth="1"/>
    <col min="4111" max="4353" width="9.33203125" style="10"/>
    <col min="4354" max="4354" width="6.6640625" style="10" customWidth="1"/>
    <col min="4355" max="4355" width="7" style="10" customWidth="1"/>
    <col min="4356" max="4356" width="17.6640625" style="10" bestFit="1" customWidth="1"/>
    <col min="4357" max="4357" width="12.6640625" style="10" customWidth="1"/>
    <col min="4358" max="4358" width="24" style="10" customWidth="1"/>
    <col min="4359" max="4359" width="13.46484375" style="10" bestFit="1" customWidth="1"/>
    <col min="4360" max="4360" width="13.6640625" style="10" customWidth="1"/>
    <col min="4361" max="4361" width="13.33203125" style="10" customWidth="1"/>
    <col min="4362" max="4362" width="22.46484375" style="10" customWidth="1"/>
    <col min="4363" max="4363" width="18.46484375" style="10" customWidth="1"/>
    <col min="4364" max="4364" width="22" style="10" customWidth="1"/>
    <col min="4365" max="4365" width="21.33203125" style="10" customWidth="1"/>
    <col min="4366" max="4366" width="23" style="10" customWidth="1"/>
    <col min="4367" max="4609" width="9.33203125" style="10"/>
    <col min="4610" max="4610" width="6.6640625" style="10" customWidth="1"/>
    <col min="4611" max="4611" width="7" style="10" customWidth="1"/>
    <col min="4612" max="4612" width="17.6640625" style="10" bestFit="1" customWidth="1"/>
    <col min="4613" max="4613" width="12.6640625" style="10" customWidth="1"/>
    <col min="4614" max="4614" width="24" style="10" customWidth="1"/>
    <col min="4615" max="4615" width="13.46484375" style="10" bestFit="1" customWidth="1"/>
    <col min="4616" max="4616" width="13.6640625" style="10" customWidth="1"/>
    <col min="4617" max="4617" width="13.33203125" style="10" customWidth="1"/>
    <col min="4618" max="4618" width="22.46484375" style="10" customWidth="1"/>
    <col min="4619" max="4619" width="18.46484375" style="10" customWidth="1"/>
    <col min="4620" max="4620" width="22" style="10" customWidth="1"/>
    <col min="4621" max="4621" width="21.33203125" style="10" customWidth="1"/>
    <col min="4622" max="4622" width="23" style="10" customWidth="1"/>
    <col min="4623" max="4865" width="9.33203125" style="10"/>
    <col min="4866" max="4866" width="6.6640625" style="10" customWidth="1"/>
    <col min="4867" max="4867" width="7" style="10" customWidth="1"/>
    <col min="4868" max="4868" width="17.6640625" style="10" bestFit="1" customWidth="1"/>
    <col min="4869" max="4869" width="12.6640625" style="10" customWidth="1"/>
    <col min="4870" max="4870" width="24" style="10" customWidth="1"/>
    <col min="4871" max="4871" width="13.46484375" style="10" bestFit="1" customWidth="1"/>
    <col min="4872" max="4872" width="13.6640625" style="10" customWidth="1"/>
    <col min="4873" max="4873" width="13.33203125" style="10" customWidth="1"/>
    <col min="4874" max="4874" width="22.46484375" style="10" customWidth="1"/>
    <col min="4875" max="4875" width="18.46484375" style="10" customWidth="1"/>
    <col min="4876" max="4876" width="22" style="10" customWidth="1"/>
    <col min="4877" max="4877" width="21.33203125" style="10" customWidth="1"/>
    <col min="4878" max="4878" width="23" style="10" customWidth="1"/>
    <col min="4879" max="5121" width="9.33203125" style="10"/>
    <col min="5122" max="5122" width="6.6640625" style="10" customWidth="1"/>
    <col min="5123" max="5123" width="7" style="10" customWidth="1"/>
    <col min="5124" max="5124" width="17.6640625" style="10" bestFit="1" customWidth="1"/>
    <col min="5125" max="5125" width="12.6640625" style="10" customWidth="1"/>
    <col min="5126" max="5126" width="24" style="10" customWidth="1"/>
    <col min="5127" max="5127" width="13.46484375" style="10" bestFit="1" customWidth="1"/>
    <col min="5128" max="5128" width="13.6640625" style="10" customWidth="1"/>
    <col min="5129" max="5129" width="13.33203125" style="10" customWidth="1"/>
    <col min="5130" max="5130" width="22.46484375" style="10" customWidth="1"/>
    <col min="5131" max="5131" width="18.46484375" style="10" customWidth="1"/>
    <col min="5132" max="5132" width="22" style="10" customWidth="1"/>
    <col min="5133" max="5133" width="21.33203125" style="10" customWidth="1"/>
    <col min="5134" max="5134" width="23" style="10" customWidth="1"/>
    <col min="5135" max="5377" width="9.33203125" style="10"/>
    <col min="5378" max="5378" width="6.6640625" style="10" customWidth="1"/>
    <col min="5379" max="5379" width="7" style="10" customWidth="1"/>
    <col min="5380" max="5380" width="17.6640625" style="10" bestFit="1" customWidth="1"/>
    <col min="5381" max="5381" width="12.6640625" style="10" customWidth="1"/>
    <col min="5382" max="5382" width="24" style="10" customWidth="1"/>
    <col min="5383" max="5383" width="13.46484375" style="10" bestFit="1" customWidth="1"/>
    <col min="5384" max="5384" width="13.6640625" style="10" customWidth="1"/>
    <col min="5385" max="5385" width="13.33203125" style="10" customWidth="1"/>
    <col min="5386" max="5386" width="22.46484375" style="10" customWidth="1"/>
    <col min="5387" max="5387" width="18.46484375" style="10" customWidth="1"/>
    <col min="5388" max="5388" width="22" style="10" customWidth="1"/>
    <col min="5389" max="5389" width="21.33203125" style="10" customWidth="1"/>
    <col min="5390" max="5390" width="23" style="10" customWidth="1"/>
    <col min="5391" max="5633" width="9.33203125" style="10"/>
    <col min="5634" max="5634" width="6.6640625" style="10" customWidth="1"/>
    <col min="5635" max="5635" width="7" style="10" customWidth="1"/>
    <col min="5636" max="5636" width="17.6640625" style="10" bestFit="1" customWidth="1"/>
    <col min="5637" max="5637" width="12.6640625" style="10" customWidth="1"/>
    <col min="5638" max="5638" width="24" style="10" customWidth="1"/>
    <col min="5639" max="5639" width="13.46484375" style="10" bestFit="1" customWidth="1"/>
    <col min="5640" max="5640" width="13.6640625" style="10" customWidth="1"/>
    <col min="5641" max="5641" width="13.33203125" style="10" customWidth="1"/>
    <col min="5642" max="5642" width="22.46484375" style="10" customWidth="1"/>
    <col min="5643" max="5643" width="18.46484375" style="10" customWidth="1"/>
    <col min="5644" max="5644" width="22" style="10" customWidth="1"/>
    <col min="5645" max="5645" width="21.33203125" style="10" customWidth="1"/>
    <col min="5646" max="5646" width="23" style="10" customWidth="1"/>
    <col min="5647" max="5889" width="9.33203125" style="10"/>
    <col min="5890" max="5890" width="6.6640625" style="10" customWidth="1"/>
    <col min="5891" max="5891" width="7" style="10" customWidth="1"/>
    <col min="5892" max="5892" width="17.6640625" style="10" bestFit="1" customWidth="1"/>
    <col min="5893" max="5893" width="12.6640625" style="10" customWidth="1"/>
    <col min="5894" max="5894" width="24" style="10" customWidth="1"/>
    <col min="5895" max="5895" width="13.46484375" style="10" bestFit="1" customWidth="1"/>
    <col min="5896" max="5896" width="13.6640625" style="10" customWidth="1"/>
    <col min="5897" max="5897" width="13.33203125" style="10" customWidth="1"/>
    <col min="5898" max="5898" width="22.46484375" style="10" customWidth="1"/>
    <col min="5899" max="5899" width="18.46484375" style="10" customWidth="1"/>
    <col min="5900" max="5900" width="22" style="10" customWidth="1"/>
    <col min="5901" max="5901" width="21.33203125" style="10" customWidth="1"/>
    <col min="5902" max="5902" width="23" style="10" customWidth="1"/>
    <col min="5903" max="6145" width="9.33203125" style="10"/>
    <col min="6146" max="6146" width="6.6640625" style="10" customWidth="1"/>
    <col min="6147" max="6147" width="7" style="10" customWidth="1"/>
    <col min="6148" max="6148" width="17.6640625" style="10" bestFit="1" customWidth="1"/>
    <col min="6149" max="6149" width="12.6640625" style="10" customWidth="1"/>
    <col min="6150" max="6150" width="24" style="10" customWidth="1"/>
    <col min="6151" max="6151" width="13.46484375" style="10" bestFit="1" customWidth="1"/>
    <col min="6152" max="6152" width="13.6640625" style="10" customWidth="1"/>
    <col min="6153" max="6153" width="13.33203125" style="10" customWidth="1"/>
    <col min="6154" max="6154" width="22.46484375" style="10" customWidth="1"/>
    <col min="6155" max="6155" width="18.46484375" style="10" customWidth="1"/>
    <col min="6156" max="6156" width="22" style="10" customWidth="1"/>
    <col min="6157" max="6157" width="21.33203125" style="10" customWidth="1"/>
    <col min="6158" max="6158" width="23" style="10" customWidth="1"/>
    <col min="6159" max="6401" width="9.33203125" style="10"/>
    <col min="6402" max="6402" width="6.6640625" style="10" customWidth="1"/>
    <col min="6403" max="6403" width="7" style="10" customWidth="1"/>
    <col min="6404" max="6404" width="17.6640625" style="10" bestFit="1" customWidth="1"/>
    <col min="6405" max="6405" width="12.6640625" style="10" customWidth="1"/>
    <col min="6406" max="6406" width="24" style="10" customWidth="1"/>
    <col min="6407" max="6407" width="13.46484375" style="10" bestFit="1" customWidth="1"/>
    <col min="6408" max="6408" width="13.6640625" style="10" customWidth="1"/>
    <col min="6409" max="6409" width="13.33203125" style="10" customWidth="1"/>
    <col min="6410" max="6410" width="22.46484375" style="10" customWidth="1"/>
    <col min="6411" max="6411" width="18.46484375" style="10" customWidth="1"/>
    <col min="6412" max="6412" width="22" style="10" customWidth="1"/>
    <col min="6413" max="6413" width="21.33203125" style="10" customWidth="1"/>
    <col min="6414" max="6414" width="23" style="10" customWidth="1"/>
    <col min="6415" max="6657" width="9.33203125" style="10"/>
    <col min="6658" max="6658" width="6.6640625" style="10" customWidth="1"/>
    <col min="6659" max="6659" width="7" style="10" customWidth="1"/>
    <col min="6660" max="6660" width="17.6640625" style="10" bestFit="1" customWidth="1"/>
    <col min="6661" max="6661" width="12.6640625" style="10" customWidth="1"/>
    <col min="6662" max="6662" width="24" style="10" customWidth="1"/>
    <col min="6663" max="6663" width="13.46484375" style="10" bestFit="1" customWidth="1"/>
    <col min="6664" max="6664" width="13.6640625" style="10" customWidth="1"/>
    <col min="6665" max="6665" width="13.33203125" style="10" customWidth="1"/>
    <col min="6666" max="6666" width="22.46484375" style="10" customWidth="1"/>
    <col min="6667" max="6667" width="18.46484375" style="10" customWidth="1"/>
    <col min="6668" max="6668" width="22" style="10" customWidth="1"/>
    <col min="6669" max="6669" width="21.33203125" style="10" customWidth="1"/>
    <col min="6670" max="6670" width="23" style="10" customWidth="1"/>
    <col min="6671" max="6913" width="9.33203125" style="10"/>
    <col min="6914" max="6914" width="6.6640625" style="10" customWidth="1"/>
    <col min="6915" max="6915" width="7" style="10" customWidth="1"/>
    <col min="6916" max="6916" width="17.6640625" style="10" bestFit="1" customWidth="1"/>
    <col min="6917" max="6917" width="12.6640625" style="10" customWidth="1"/>
    <col min="6918" max="6918" width="24" style="10" customWidth="1"/>
    <col min="6919" max="6919" width="13.46484375" style="10" bestFit="1" customWidth="1"/>
    <col min="6920" max="6920" width="13.6640625" style="10" customWidth="1"/>
    <col min="6921" max="6921" width="13.33203125" style="10" customWidth="1"/>
    <col min="6922" max="6922" width="22.46484375" style="10" customWidth="1"/>
    <col min="6923" max="6923" width="18.46484375" style="10" customWidth="1"/>
    <col min="6924" max="6924" width="22" style="10" customWidth="1"/>
    <col min="6925" max="6925" width="21.33203125" style="10" customWidth="1"/>
    <col min="6926" max="6926" width="23" style="10" customWidth="1"/>
    <col min="6927" max="7169" width="9.33203125" style="10"/>
    <col min="7170" max="7170" width="6.6640625" style="10" customWidth="1"/>
    <col min="7171" max="7171" width="7" style="10" customWidth="1"/>
    <col min="7172" max="7172" width="17.6640625" style="10" bestFit="1" customWidth="1"/>
    <col min="7173" max="7173" width="12.6640625" style="10" customWidth="1"/>
    <col min="7174" max="7174" width="24" style="10" customWidth="1"/>
    <col min="7175" max="7175" width="13.46484375" style="10" bestFit="1" customWidth="1"/>
    <col min="7176" max="7176" width="13.6640625" style="10" customWidth="1"/>
    <col min="7177" max="7177" width="13.33203125" style="10" customWidth="1"/>
    <col min="7178" max="7178" width="22.46484375" style="10" customWidth="1"/>
    <col min="7179" max="7179" width="18.46484375" style="10" customWidth="1"/>
    <col min="7180" max="7180" width="22" style="10" customWidth="1"/>
    <col min="7181" max="7181" width="21.33203125" style="10" customWidth="1"/>
    <col min="7182" max="7182" width="23" style="10" customWidth="1"/>
    <col min="7183" max="7425" width="9.33203125" style="10"/>
    <col min="7426" max="7426" width="6.6640625" style="10" customWidth="1"/>
    <col min="7427" max="7427" width="7" style="10" customWidth="1"/>
    <col min="7428" max="7428" width="17.6640625" style="10" bestFit="1" customWidth="1"/>
    <col min="7429" max="7429" width="12.6640625" style="10" customWidth="1"/>
    <col min="7430" max="7430" width="24" style="10" customWidth="1"/>
    <col min="7431" max="7431" width="13.46484375" style="10" bestFit="1" customWidth="1"/>
    <col min="7432" max="7432" width="13.6640625" style="10" customWidth="1"/>
    <col min="7433" max="7433" width="13.33203125" style="10" customWidth="1"/>
    <col min="7434" max="7434" width="22.46484375" style="10" customWidth="1"/>
    <col min="7435" max="7435" width="18.46484375" style="10" customWidth="1"/>
    <col min="7436" max="7436" width="22" style="10" customWidth="1"/>
    <col min="7437" max="7437" width="21.33203125" style="10" customWidth="1"/>
    <col min="7438" max="7438" width="23" style="10" customWidth="1"/>
    <col min="7439" max="7681" width="9.33203125" style="10"/>
    <col min="7682" max="7682" width="6.6640625" style="10" customWidth="1"/>
    <col min="7683" max="7683" width="7" style="10" customWidth="1"/>
    <col min="7684" max="7684" width="17.6640625" style="10" bestFit="1" customWidth="1"/>
    <col min="7685" max="7685" width="12.6640625" style="10" customWidth="1"/>
    <col min="7686" max="7686" width="24" style="10" customWidth="1"/>
    <col min="7687" max="7687" width="13.46484375" style="10" bestFit="1" customWidth="1"/>
    <col min="7688" max="7688" width="13.6640625" style="10" customWidth="1"/>
    <col min="7689" max="7689" width="13.33203125" style="10" customWidth="1"/>
    <col min="7690" max="7690" width="22.46484375" style="10" customWidth="1"/>
    <col min="7691" max="7691" width="18.46484375" style="10" customWidth="1"/>
    <col min="7692" max="7692" width="22" style="10" customWidth="1"/>
    <col min="7693" max="7693" width="21.33203125" style="10" customWidth="1"/>
    <col min="7694" max="7694" width="23" style="10" customWidth="1"/>
    <col min="7695" max="7937" width="9.33203125" style="10"/>
    <col min="7938" max="7938" width="6.6640625" style="10" customWidth="1"/>
    <col min="7939" max="7939" width="7" style="10" customWidth="1"/>
    <col min="7940" max="7940" width="17.6640625" style="10" bestFit="1" customWidth="1"/>
    <col min="7941" max="7941" width="12.6640625" style="10" customWidth="1"/>
    <col min="7942" max="7942" width="24" style="10" customWidth="1"/>
    <col min="7943" max="7943" width="13.46484375" style="10" bestFit="1" customWidth="1"/>
    <col min="7944" max="7944" width="13.6640625" style="10" customWidth="1"/>
    <col min="7945" max="7945" width="13.33203125" style="10" customWidth="1"/>
    <col min="7946" max="7946" width="22.46484375" style="10" customWidth="1"/>
    <col min="7947" max="7947" width="18.46484375" style="10" customWidth="1"/>
    <col min="7948" max="7948" width="22" style="10" customWidth="1"/>
    <col min="7949" max="7949" width="21.33203125" style="10" customWidth="1"/>
    <col min="7950" max="7950" width="23" style="10" customWidth="1"/>
    <col min="7951" max="8193" width="9.33203125" style="10"/>
    <col min="8194" max="8194" width="6.6640625" style="10" customWidth="1"/>
    <col min="8195" max="8195" width="7" style="10" customWidth="1"/>
    <col min="8196" max="8196" width="17.6640625" style="10" bestFit="1" customWidth="1"/>
    <col min="8197" max="8197" width="12.6640625" style="10" customWidth="1"/>
    <col min="8198" max="8198" width="24" style="10" customWidth="1"/>
    <col min="8199" max="8199" width="13.46484375" style="10" bestFit="1" customWidth="1"/>
    <col min="8200" max="8200" width="13.6640625" style="10" customWidth="1"/>
    <col min="8201" max="8201" width="13.33203125" style="10" customWidth="1"/>
    <col min="8202" max="8202" width="22.46484375" style="10" customWidth="1"/>
    <col min="8203" max="8203" width="18.46484375" style="10" customWidth="1"/>
    <col min="8204" max="8204" width="22" style="10" customWidth="1"/>
    <col min="8205" max="8205" width="21.33203125" style="10" customWidth="1"/>
    <col min="8206" max="8206" width="23" style="10" customWidth="1"/>
    <col min="8207" max="8449" width="9.33203125" style="10"/>
    <col min="8450" max="8450" width="6.6640625" style="10" customWidth="1"/>
    <col min="8451" max="8451" width="7" style="10" customWidth="1"/>
    <col min="8452" max="8452" width="17.6640625" style="10" bestFit="1" customWidth="1"/>
    <col min="8453" max="8453" width="12.6640625" style="10" customWidth="1"/>
    <col min="8454" max="8454" width="24" style="10" customWidth="1"/>
    <col min="8455" max="8455" width="13.46484375" style="10" bestFit="1" customWidth="1"/>
    <col min="8456" max="8456" width="13.6640625" style="10" customWidth="1"/>
    <col min="8457" max="8457" width="13.33203125" style="10" customWidth="1"/>
    <col min="8458" max="8458" width="22.46484375" style="10" customWidth="1"/>
    <col min="8459" max="8459" width="18.46484375" style="10" customWidth="1"/>
    <col min="8460" max="8460" width="22" style="10" customWidth="1"/>
    <col min="8461" max="8461" width="21.33203125" style="10" customWidth="1"/>
    <col min="8462" max="8462" width="23" style="10" customWidth="1"/>
    <col min="8463" max="8705" width="9.33203125" style="10"/>
    <col min="8706" max="8706" width="6.6640625" style="10" customWidth="1"/>
    <col min="8707" max="8707" width="7" style="10" customWidth="1"/>
    <col min="8708" max="8708" width="17.6640625" style="10" bestFit="1" customWidth="1"/>
    <col min="8709" max="8709" width="12.6640625" style="10" customWidth="1"/>
    <col min="8710" max="8710" width="24" style="10" customWidth="1"/>
    <col min="8711" max="8711" width="13.46484375" style="10" bestFit="1" customWidth="1"/>
    <col min="8712" max="8712" width="13.6640625" style="10" customWidth="1"/>
    <col min="8713" max="8713" width="13.33203125" style="10" customWidth="1"/>
    <col min="8714" max="8714" width="22.46484375" style="10" customWidth="1"/>
    <col min="8715" max="8715" width="18.46484375" style="10" customWidth="1"/>
    <col min="8716" max="8716" width="22" style="10" customWidth="1"/>
    <col min="8717" max="8717" width="21.33203125" style="10" customWidth="1"/>
    <col min="8718" max="8718" width="23" style="10" customWidth="1"/>
    <col min="8719" max="8961" width="9.33203125" style="10"/>
    <col min="8962" max="8962" width="6.6640625" style="10" customWidth="1"/>
    <col min="8963" max="8963" width="7" style="10" customWidth="1"/>
    <col min="8964" max="8964" width="17.6640625" style="10" bestFit="1" customWidth="1"/>
    <col min="8965" max="8965" width="12.6640625" style="10" customWidth="1"/>
    <col min="8966" max="8966" width="24" style="10" customWidth="1"/>
    <col min="8967" max="8967" width="13.46484375" style="10" bestFit="1" customWidth="1"/>
    <col min="8968" max="8968" width="13.6640625" style="10" customWidth="1"/>
    <col min="8969" max="8969" width="13.33203125" style="10" customWidth="1"/>
    <col min="8970" max="8970" width="22.46484375" style="10" customWidth="1"/>
    <col min="8971" max="8971" width="18.46484375" style="10" customWidth="1"/>
    <col min="8972" max="8972" width="22" style="10" customWidth="1"/>
    <col min="8973" max="8973" width="21.33203125" style="10" customWidth="1"/>
    <col min="8974" max="8974" width="23" style="10" customWidth="1"/>
    <col min="8975" max="9217" width="9.33203125" style="10"/>
    <col min="9218" max="9218" width="6.6640625" style="10" customWidth="1"/>
    <col min="9219" max="9219" width="7" style="10" customWidth="1"/>
    <col min="9220" max="9220" width="17.6640625" style="10" bestFit="1" customWidth="1"/>
    <col min="9221" max="9221" width="12.6640625" style="10" customWidth="1"/>
    <col min="9222" max="9222" width="24" style="10" customWidth="1"/>
    <col min="9223" max="9223" width="13.46484375" style="10" bestFit="1" customWidth="1"/>
    <col min="9224" max="9224" width="13.6640625" style="10" customWidth="1"/>
    <col min="9225" max="9225" width="13.33203125" style="10" customWidth="1"/>
    <col min="9226" max="9226" width="22.46484375" style="10" customWidth="1"/>
    <col min="9227" max="9227" width="18.46484375" style="10" customWidth="1"/>
    <col min="9228" max="9228" width="22" style="10" customWidth="1"/>
    <col min="9229" max="9229" width="21.33203125" style="10" customWidth="1"/>
    <col min="9230" max="9230" width="23" style="10" customWidth="1"/>
    <col min="9231" max="9473" width="9.33203125" style="10"/>
    <col min="9474" max="9474" width="6.6640625" style="10" customWidth="1"/>
    <col min="9475" max="9475" width="7" style="10" customWidth="1"/>
    <col min="9476" max="9476" width="17.6640625" style="10" bestFit="1" customWidth="1"/>
    <col min="9477" max="9477" width="12.6640625" style="10" customWidth="1"/>
    <col min="9478" max="9478" width="24" style="10" customWidth="1"/>
    <col min="9479" max="9479" width="13.46484375" style="10" bestFit="1" customWidth="1"/>
    <col min="9480" max="9480" width="13.6640625" style="10" customWidth="1"/>
    <col min="9481" max="9481" width="13.33203125" style="10" customWidth="1"/>
    <col min="9482" max="9482" width="22.46484375" style="10" customWidth="1"/>
    <col min="9483" max="9483" width="18.46484375" style="10" customWidth="1"/>
    <col min="9484" max="9484" width="22" style="10" customWidth="1"/>
    <col min="9485" max="9485" width="21.33203125" style="10" customWidth="1"/>
    <col min="9486" max="9486" width="23" style="10" customWidth="1"/>
    <col min="9487" max="9729" width="9.33203125" style="10"/>
    <col min="9730" max="9730" width="6.6640625" style="10" customWidth="1"/>
    <col min="9731" max="9731" width="7" style="10" customWidth="1"/>
    <col min="9732" max="9732" width="17.6640625" style="10" bestFit="1" customWidth="1"/>
    <col min="9733" max="9733" width="12.6640625" style="10" customWidth="1"/>
    <col min="9734" max="9734" width="24" style="10" customWidth="1"/>
    <col min="9735" max="9735" width="13.46484375" style="10" bestFit="1" customWidth="1"/>
    <col min="9736" max="9736" width="13.6640625" style="10" customWidth="1"/>
    <col min="9737" max="9737" width="13.33203125" style="10" customWidth="1"/>
    <col min="9738" max="9738" width="22.46484375" style="10" customWidth="1"/>
    <col min="9739" max="9739" width="18.46484375" style="10" customWidth="1"/>
    <col min="9740" max="9740" width="22" style="10" customWidth="1"/>
    <col min="9741" max="9741" width="21.33203125" style="10" customWidth="1"/>
    <col min="9742" max="9742" width="23" style="10" customWidth="1"/>
    <col min="9743" max="9985" width="9.33203125" style="10"/>
    <col min="9986" max="9986" width="6.6640625" style="10" customWidth="1"/>
    <col min="9987" max="9987" width="7" style="10" customWidth="1"/>
    <col min="9988" max="9988" width="17.6640625" style="10" bestFit="1" customWidth="1"/>
    <col min="9989" max="9989" width="12.6640625" style="10" customWidth="1"/>
    <col min="9990" max="9990" width="24" style="10" customWidth="1"/>
    <col min="9991" max="9991" width="13.46484375" style="10" bestFit="1" customWidth="1"/>
    <col min="9992" max="9992" width="13.6640625" style="10" customWidth="1"/>
    <col min="9993" max="9993" width="13.33203125" style="10" customWidth="1"/>
    <col min="9994" max="9994" width="22.46484375" style="10" customWidth="1"/>
    <col min="9995" max="9995" width="18.46484375" style="10" customWidth="1"/>
    <col min="9996" max="9996" width="22" style="10" customWidth="1"/>
    <col min="9997" max="9997" width="21.33203125" style="10" customWidth="1"/>
    <col min="9998" max="9998" width="23" style="10" customWidth="1"/>
    <col min="9999" max="10241" width="9.33203125" style="10"/>
    <col min="10242" max="10242" width="6.6640625" style="10" customWidth="1"/>
    <col min="10243" max="10243" width="7" style="10" customWidth="1"/>
    <col min="10244" max="10244" width="17.6640625" style="10" bestFit="1" customWidth="1"/>
    <col min="10245" max="10245" width="12.6640625" style="10" customWidth="1"/>
    <col min="10246" max="10246" width="24" style="10" customWidth="1"/>
    <col min="10247" max="10247" width="13.46484375" style="10" bestFit="1" customWidth="1"/>
    <col min="10248" max="10248" width="13.6640625" style="10" customWidth="1"/>
    <col min="10249" max="10249" width="13.33203125" style="10" customWidth="1"/>
    <col min="10250" max="10250" width="22.46484375" style="10" customWidth="1"/>
    <col min="10251" max="10251" width="18.46484375" style="10" customWidth="1"/>
    <col min="10252" max="10252" width="22" style="10" customWidth="1"/>
    <col min="10253" max="10253" width="21.33203125" style="10" customWidth="1"/>
    <col min="10254" max="10254" width="23" style="10" customWidth="1"/>
    <col min="10255" max="10497" width="9.33203125" style="10"/>
    <col min="10498" max="10498" width="6.6640625" style="10" customWidth="1"/>
    <col min="10499" max="10499" width="7" style="10" customWidth="1"/>
    <col min="10500" max="10500" width="17.6640625" style="10" bestFit="1" customWidth="1"/>
    <col min="10501" max="10501" width="12.6640625" style="10" customWidth="1"/>
    <col min="10502" max="10502" width="24" style="10" customWidth="1"/>
    <col min="10503" max="10503" width="13.46484375" style="10" bestFit="1" customWidth="1"/>
    <col min="10504" max="10504" width="13.6640625" style="10" customWidth="1"/>
    <col min="10505" max="10505" width="13.33203125" style="10" customWidth="1"/>
    <col min="10506" max="10506" width="22.46484375" style="10" customWidth="1"/>
    <col min="10507" max="10507" width="18.46484375" style="10" customWidth="1"/>
    <col min="10508" max="10508" width="22" style="10" customWidth="1"/>
    <col min="10509" max="10509" width="21.33203125" style="10" customWidth="1"/>
    <col min="10510" max="10510" width="23" style="10" customWidth="1"/>
    <col min="10511" max="10753" width="9.33203125" style="10"/>
    <col min="10754" max="10754" width="6.6640625" style="10" customWidth="1"/>
    <col min="10755" max="10755" width="7" style="10" customWidth="1"/>
    <col min="10756" max="10756" width="17.6640625" style="10" bestFit="1" customWidth="1"/>
    <col min="10757" max="10757" width="12.6640625" style="10" customWidth="1"/>
    <col min="10758" max="10758" width="24" style="10" customWidth="1"/>
    <col min="10759" max="10759" width="13.46484375" style="10" bestFit="1" customWidth="1"/>
    <col min="10760" max="10760" width="13.6640625" style="10" customWidth="1"/>
    <col min="10761" max="10761" width="13.33203125" style="10" customWidth="1"/>
    <col min="10762" max="10762" width="22.46484375" style="10" customWidth="1"/>
    <col min="10763" max="10763" width="18.46484375" style="10" customWidth="1"/>
    <col min="10764" max="10764" width="22" style="10" customWidth="1"/>
    <col min="10765" max="10765" width="21.33203125" style="10" customWidth="1"/>
    <col min="10766" max="10766" width="23" style="10" customWidth="1"/>
    <col min="10767" max="11009" width="9.33203125" style="10"/>
    <col min="11010" max="11010" width="6.6640625" style="10" customWidth="1"/>
    <col min="11011" max="11011" width="7" style="10" customWidth="1"/>
    <col min="11012" max="11012" width="17.6640625" style="10" bestFit="1" customWidth="1"/>
    <col min="11013" max="11013" width="12.6640625" style="10" customWidth="1"/>
    <col min="11014" max="11014" width="24" style="10" customWidth="1"/>
    <col min="11015" max="11015" width="13.46484375" style="10" bestFit="1" customWidth="1"/>
    <col min="11016" max="11016" width="13.6640625" style="10" customWidth="1"/>
    <col min="11017" max="11017" width="13.33203125" style="10" customWidth="1"/>
    <col min="11018" max="11018" width="22.46484375" style="10" customWidth="1"/>
    <col min="11019" max="11019" width="18.46484375" style="10" customWidth="1"/>
    <col min="11020" max="11020" width="22" style="10" customWidth="1"/>
    <col min="11021" max="11021" width="21.33203125" style="10" customWidth="1"/>
    <col min="11022" max="11022" width="23" style="10" customWidth="1"/>
    <col min="11023" max="11265" width="9.33203125" style="10"/>
    <col min="11266" max="11266" width="6.6640625" style="10" customWidth="1"/>
    <col min="11267" max="11267" width="7" style="10" customWidth="1"/>
    <col min="11268" max="11268" width="17.6640625" style="10" bestFit="1" customWidth="1"/>
    <col min="11269" max="11269" width="12.6640625" style="10" customWidth="1"/>
    <col min="11270" max="11270" width="24" style="10" customWidth="1"/>
    <col min="11271" max="11271" width="13.46484375" style="10" bestFit="1" customWidth="1"/>
    <col min="11272" max="11272" width="13.6640625" style="10" customWidth="1"/>
    <col min="11273" max="11273" width="13.33203125" style="10" customWidth="1"/>
    <col min="11274" max="11274" width="22.46484375" style="10" customWidth="1"/>
    <col min="11275" max="11275" width="18.46484375" style="10" customWidth="1"/>
    <col min="11276" max="11276" width="22" style="10" customWidth="1"/>
    <col min="11277" max="11277" width="21.33203125" style="10" customWidth="1"/>
    <col min="11278" max="11278" width="23" style="10" customWidth="1"/>
    <col min="11279" max="11521" width="9.33203125" style="10"/>
    <col min="11522" max="11522" width="6.6640625" style="10" customWidth="1"/>
    <col min="11523" max="11523" width="7" style="10" customWidth="1"/>
    <col min="11524" max="11524" width="17.6640625" style="10" bestFit="1" customWidth="1"/>
    <col min="11525" max="11525" width="12.6640625" style="10" customWidth="1"/>
    <col min="11526" max="11526" width="24" style="10" customWidth="1"/>
    <col min="11527" max="11527" width="13.46484375" style="10" bestFit="1" customWidth="1"/>
    <col min="11528" max="11528" width="13.6640625" style="10" customWidth="1"/>
    <col min="11529" max="11529" width="13.33203125" style="10" customWidth="1"/>
    <col min="11530" max="11530" width="22.46484375" style="10" customWidth="1"/>
    <col min="11531" max="11531" width="18.46484375" style="10" customWidth="1"/>
    <col min="11532" max="11532" width="22" style="10" customWidth="1"/>
    <col min="11533" max="11533" width="21.33203125" style="10" customWidth="1"/>
    <col min="11534" max="11534" width="23" style="10" customWidth="1"/>
    <col min="11535" max="11777" width="9.33203125" style="10"/>
    <col min="11778" max="11778" width="6.6640625" style="10" customWidth="1"/>
    <col min="11779" max="11779" width="7" style="10" customWidth="1"/>
    <col min="11780" max="11780" width="17.6640625" style="10" bestFit="1" customWidth="1"/>
    <col min="11781" max="11781" width="12.6640625" style="10" customWidth="1"/>
    <col min="11782" max="11782" width="24" style="10" customWidth="1"/>
    <col min="11783" max="11783" width="13.46484375" style="10" bestFit="1" customWidth="1"/>
    <col min="11784" max="11784" width="13.6640625" style="10" customWidth="1"/>
    <col min="11785" max="11785" width="13.33203125" style="10" customWidth="1"/>
    <col min="11786" max="11786" width="22.46484375" style="10" customWidth="1"/>
    <col min="11787" max="11787" width="18.46484375" style="10" customWidth="1"/>
    <col min="11788" max="11788" width="22" style="10" customWidth="1"/>
    <col min="11789" max="11789" width="21.33203125" style="10" customWidth="1"/>
    <col min="11790" max="11790" width="23" style="10" customWidth="1"/>
    <col min="11791" max="12033" width="9.33203125" style="10"/>
    <col min="12034" max="12034" width="6.6640625" style="10" customWidth="1"/>
    <col min="12035" max="12035" width="7" style="10" customWidth="1"/>
    <col min="12036" max="12036" width="17.6640625" style="10" bestFit="1" customWidth="1"/>
    <col min="12037" max="12037" width="12.6640625" style="10" customWidth="1"/>
    <col min="12038" max="12038" width="24" style="10" customWidth="1"/>
    <col min="12039" max="12039" width="13.46484375" style="10" bestFit="1" customWidth="1"/>
    <col min="12040" max="12040" width="13.6640625" style="10" customWidth="1"/>
    <col min="12041" max="12041" width="13.33203125" style="10" customWidth="1"/>
    <col min="12042" max="12042" width="22.46484375" style="10" customWidth="1"/>
    <col min="12043" max="12043" width="18.46484375" style="10" customWidth="1"/>
    <col min="12044" max="12044" width="22" style="10" customWidth="1"/>
    <col min="12045" max="12045" width="21.33203125" style="10" customWidth="1"/>
    <col min="12046" max="12046" width="23" style="10" customWidth="1"/>
    <col min="12047" max="12289" width="9.33203125" style="10"/>
    <col min="12290" max="12290" width="6.6640625" style="10" customWidth="1"/>
    <col min="12291" max="12291" width="7" style="10" customWidth="1"/>
    <col min="12292" max="12292" width="17.6640625" style="10" bestFit="1" customWidth="1"/>
    <col min="12293" max="12293" width="12.6640625" style="10" customWidth="1"/>
    <col min="12294" max="12294" width="24" style="10" customWidth="1"/>
    <col min="12295" max="12295" width="13.46484375" style="10" bestFit="1" customWidth="1"/>
    <col min="12296" max="12296" width="13.6640625" style="10" customWidth="1"/>
    <col min="12297" max="12297" width="13.33203125" style="10" customWidth="1"/>
    <col min="12298" max="12298" width="22.46484375" style="10" customWidth="1"/>
    <col min="12299" max="12299" width="18.46484375" style="10" customWidth="1"/>
    <col min="12300" max="12300" width="22" style="10" customWidth="1"/>
    <col min="12301" max="12301" width="21.33203125" style="10" customWidth="1"/>
    <col min="12302" max="12302" width="23" style="10" customWidth="1"/>
    <col min="12303" max="12545" width="9.33203125" style="10"/>
    <col min="12546" max="12546" width="6.6640625" style="10" customWidth="1"/>
    <col min="12547" max="12547" width="7" style="10" customWidth="1"/>
    <col min="12548" max="12548" width="17.6640625" style="10" bestFit="1" customWidth="1"/>
    <col min="12549" max="12549" width="12.6640625" style="10" customWidth="1"/>
    <col min="12550" max="12550" width="24" style="10" customWidth="1"/>
    <col min="12551" max="12551" width="13.46484375" style="10" bestFit="1" customWidth="1"/>
    <col min="12552" max="12552" width="13.6640625" style="10" customWidth="1"/>
    <col min="12553" max="12553" width="13.33203125" style="10" customWidth="1"/>
    <col min="12554" max="12554" width="22.46484375" style="10" customWidth="1"/>
    <col min="12555" max="12555" width="18.46484375" style="10" customWidth="1"/>
    <col min="12556" max="12556" width="22" style="10" customWidth="1"/>
    <col min="12557" max="12557" width="21.33203125" style="10" customWidth="1"/>
    <col min="12558" max="12558" width="23" style="10" customWidth="1"/>
    <col min="12559" max="12801" width="9.33203125" style="10"/>
    <col min="12802" max="12802" width="6.6640625" style="10" customWidth="1"/>
    <col min="12803" max="12803" width="7" style="10" customWidth="1"/>
    <col min="12804" max="12804" width="17.6640625" style="10" bestFit="1" customWidth="1"/>
    <col min="12805" max="12805" width="12.6640625" style="10" customWidth="1"/>
    <col min="12806" max="12806" width="24" style="10" customWidth="1"/>
    <col min="12807" max="12807" width="13.46484375" style="10" bestFit="1" customWidth="1"/>
    <col min="12808" max="12808" width="13.6640625" style="10" customWidth="1"/>
    <col min="12809" max="12809" width="13.33203125" style="10" customWidth="1"/>
    <col min="12810" max="12810" width="22.46484375" style="10" customWidth="1"/>
    <col min="12811" max="12811" width="18.46484375" style="10" customWidth="1"/>
    <col min="12812" max="12812" width="22" style="10" customWidth="1"/>
    <col min="12813" max="12813" width="21.33203125" style="10" customWidth="1"/>
    <col min="12814" max="12814" width="23" style="10" customWidth="1"/>
    <col min="12815" max="13057" width="9.33203125" style="10"/>
    <col min="13058" max="13058" width="6.6640625" style="10" customWidth="1"/>
    <col min="13059" max="13059" width="7" style="10" customWidth="1"/>
    <col min="13060" max="13060" width="17.6640625" style="10" bestFit="1" customWidth="1"/>
    <col min="13061" max="13061" width="12.6640625" style="10" customWidth="1"/>
    <col min="13062" max="13062" width="24" style="10" customWidth="1"/>
    <col min="13063" max="13063" width="13.46484375" style="10" bestFit="1" customWidth="1"/>
    <col min="13064" max="13064" width="13.6640625" style="10" customWidth="1"/>
    <col min="13065" max="13065" width="13.33203125" style="10" customWidth="1"/>
    <col min="13066" max="13066" width="22.46484375" style="10" customWidth="1"/>
    <col min="13067" max="13067" width="18.46484375" style="10" customWidth="1"/>
    <col min="13068" max="13068" width="22" style="10" customWidth="1"/>
    <col min="13069" max="13069" width="21.33203125" style="10" customWidth="1"/>
    <col min="13070" max="13070" width="23" style="10" customWidth="1"/>
    <col min="13071" max="13313" width="9.33203125" style="10"/>
    <col min="13314" max="13314" width="6.6640625" style="10" customWidth="1"/>
    <col min="13315" max="13315" width="7" style="10" customWidth="1"/>
    <col min="13316" max="13316" width="17.6640625" style="10" bestFit="1" customWidth="1"/>
    <col min="13317" max="13317" width="12.6640625" style="10" customWidth="1"/>
    <col min="13318" max="13318" width="24" style="10" customWidth="1"/>
    <col min="13319" max="13319" width="13.46484375" style="10" bestFit="1" customWidth="1"/>
    <col min="13320" max="13320" width="13.6640625" style="10" customWidth="1"/>
    <col min="13321" max="13321" width="13.33203125" style="10" customWidth="1"/>
    <col min="13322" max="13322" width="22.46484375" style="10" customWidth="1"/>
    <col min="13323" max="13323" width="18.46484375" style="10" customWidth="1"/>
    <col min="13324" max="13324" width="22" style="10" customWidth="1"/>
    <col min="13325" max="13325" width="21.33203125" style="10" customWidth="1"/>
    <col min="13326" max="13326" width="23" style="10" customWidth="1"/>
    <col min="13327" max="13569" width="9.33203125" style="10"/>
    <col min="13570" max="13570" width="6.6640625" style="10" customWidth="1"/>
    <col min="13571" max="13571" width="7" style="10" customWidth="1"/>
    <col min="13572" max="13572" width="17.6640625" style="10" bestFit="1" customWidth="1"/>
    <col min="13573" max="13573" width="12.6640625" style="10" customWidth="1"/>
    <col min="13574" max="13574" width="24" style="10" customWidth="1"/>
    <col min="13575" max="13575" width="13.46484375" style="10" bestFit="1" customWidth="1"/>
    <col min="13576" max="13576" width="13.6640625" style="10" customWidth="1"/>
    <col min="13577" max="13577" width="13.33203125" style="10" customWidth="1"/>
    <col min="13578" max="13578" width="22.46484375" style="10" customWidth="1"/>
    <col min="13579" max="13579" width="18.46484375" style="10" customWidth="1"/>
    <col min="13580" max="13580" width="22" style="10" customWidth="1"/>
    <col min="13581" max="13581" width="21.33203125" style="10" customWidth="1"/>
    <col min="13582" max="13582" width="23" style="10" customWidth="1"/>
    <col min="13583" max="13825" width="9.33203125" style="10"/>
    <col min="13826" max="13826" width="6.6640625" style="10" customWidth="1"/>
    <col min="13827" max="13827" width="7" style="10" customWidth="1"/>
    <col min="13828" max="13828" width="17.6640625" style="10" bestFit="1" customWidth="1"/>
    <col min="13829" max="13829" width="12.6640625" style="10" customWidth="1"/>
    <col min="13830" max="13830" width="24" style="10" customWidth="1"/>
    <col min="13831" max="13831" width="13.46484375" style="10" bestFit="1" customWidth="1"/>
    <col min="13832" max="13832" width="13.6640625" style="10" customWidth="1"/>
    <col min="13833" max="13833" width="13.33203125" style="10" customWidth="1"/>
    <col min="13834" max="13834" width="22.46484375" style="10" customWidth="1"/>
    <col min="13835" max="13835" width="18.46484375" style="10" customWidth="1"/>
    <col min="13836" max="13836" width="22" style="10" customWidth="1"/>
    <col min="13837" max="13837" width="21.33203125" style="10" customWidth="1"/>
    <col min="13838" max="13838" width="23" style="10" customWidth="1"/>
    <col min="13839" max="14081" width="9.33203125" style="10"/>
    <col min="14082" max="14082" width="6.6640625" style="10" customWidth="1"/>
    <col min="14083" max="14083" width="7" style="10" customWidth="1"/>
    <col min="14084" max="14084" width="17.6640625" style="10" bestFit="1" customWidth="1"/>
    <col min="14085" max="14085" width="12.6640625" style="10" customWidth="1"/>
    <col min="14086" max="14086" width="24" style="10" customWidth="1"/>
    <col min="14087" max="14087" width="13.46484375" style="10" bestFit="1" customWidth="1"/>
    <col min="14088" max="14088" width="13.6640625" style="10" customWidth="1"/>
    <col min="14089" max="14089" width="13.33203125" style="10" customWidth="1"/>
    <col min="14090" max="14090" width="22.46484375" style="10" customWidth="1"/>
    <col min="14091" max="14091" width="18.46484375" style="10" customWidth="1"/>
    <col min="14092" max="14092" width="22" style="10" customWidth="1"/>
    <col min="14093" max="14093" width="21.33203125" style="10" customWidth="1"/>
    <col min="14094" max="14094" width="23" style="10" customWidth="1"/>
    <col min="14095" max="14337" width="9.33203125" style="10"/>
    <col min="14338" max="14338" width="6.6640625" style="10" customWidth="1"/>
    <col min="14339" max="14339" width="7" style="10" customWidth="1"/>
    <col min="14340" max="14340" width="17.6640625" style="10" bestFit="1" customWidth="1"/>
    <col min="14341" max="14341" width="12.6640625" style="10" customWidth="1"/>
    <col min="14342" max="14342" width="24" style="10" customWidth="1"/>
    <col min="14343" max="14343" width="13.46484375" style="10" bestFit="1" customWidth="1"/>
    <col min="14344" max="14344" width="13.6640625" style="10" customWidth="1"/>
    <col min="14345" max="14345" width="13.33203125" style="10" customWidth="1"/>
    <col min="14346" max="14346" width="22.46484375" style="10" customWidth="1"/>
    <col min="14347" max="14347" width="18.46484375" style="10" customWidth="1"/>
    <col min="14348" max="14348" width="22" style="10" customWidth="1"/>
    <col min="14349" max="14349" width="21.33203125" style="10" customWidth="1"/>
    <col min="14350" max="14350" width="23" style="10" customWidth="1"/>
    <col min="14351" max="14593" width="9.33203125" style="10"/>
    <col min="14594" max="14594" width="6.6640625" style="10" customWidth="1"/>
    <col min="14595" max="14595" width="7" style="10" customWidth="1"/>
    <col min="14596" max="14596" width="17.6640625" style="10" bestFit="1" customWidth="1"/>
    <col min="14597" max="14597" width="12.6640625" style="10" customWidth="1"/>
    <col min="14598" max="14598" width="24" style="10" customWidth="1"/>
    <col min="14599" max="14599" width="13.46484375" style="10" bestFit="1" customWidth="1"/>
    <col min="14600" max="14600" width="13.6640625" style="10" customWidth="1"/>
    <col min="14601" max="14601" width="13.33203125" style="10" customWidth="1"/>
    <col min="14602" max="14602" width="22.46484375" style="10" customWidth="1"/>
    <col min="14603" max="14603" width="18.46484375" style="10" customWidth="1"/>
    <col min="14604" max="14604" width="22" style="10" customWidth="1"/>
    <col min="14605" max="14605" width="21.33203125" style="10" customWidth="1"/>
    <col min="14606" max="14606" width="23" style="10" customWidth="1"/>
    <col min="14607" max="14849" width="9.33203125" style="10"/>
    <col min="14850" max="14850" width="6.6640625" style="10" customWidth="1"/>
    <col min="14851" max="14851" width="7" style="10" customWidth="1"/>
    <col min="14852" max="14852" width="17.6640625" style="10" bestFit="1" customWidth="1"/>
    <col min="14853" max="14853" width="12.6640625" style="10" customWidth="1"/>
    <col min="14854" max="14854" width="24" style="10" customWidth="1"/>
    <col min="14855" max="14855" width="13.46484375" style="10" bestFit="1" customWidth="1"/>
    <col min="14856" max="14856" width="13.6640625" style="10" customWidth="1"/>
    <col min="14857" max="14857" width="13.33203125" style="10" customWidth="1"/>
    <col min="14858" max="14858" width="22.46484375" style="10" customWidth="1"/>
    <col min="14859" max="14859" width="18.46484375" style="10" customWidth="1"/>
    <col min="14860" max="14860" width="22" style="10" customWidth="1"/>
    <col min="14861" max="14861" width="21.33203125" style="10" customWidth="1"/>
    <col min="14862" max="14862" width="23" style="10" customWidth="1"/>
    <col min="14863" max="15105" width="9.33203125" style="10"/>
    <col min="15106" max="15106" width="6.6640625" style="10" customWidth="1"/>
    <col min="15107" max="15107" width="7" style="10" customWidth="1"/>
    <col min="15108" max="15108" width="17.6640625" style="10" bestFit="1" customWidth="1"/>
    <col min="15109" max="15109" width="12.6640625" style="10" customWidth="1"/>
    <col min="15110" max="15110" width="24" style="10" customWidth="1"/>
    <col min="15111" max="15111" width="13.46484375" style="10" bestFit="1" customWidth="1"/>
    <col min="15112" max="15112" width="13.6640625" style="10" customWidth="1"/>
    <col min="15113" max="15113" width="13.33203125" style="10" customWidth="1"/>
    <col min="15114" max="15114" width="22.46484375" style="10" customWidth="1"/>
    <col min="15115" max="15115" width="18.46484375" style="10" customWidth="1"/>
    <col min="15116" max="15116" width="22" style="10" customWidth="1"/>
    <col min="15117" max="15117" width="21.33203125" style="10" customWidth="1"/>
    <col min="15118" max="15118" width="23" style="10" customWidth="1"/>
    <col min="15119" max="15361" width="9.33203125" style="10"/>
    <col min="15362" max="15362" width="6.6640625" style="10" customWidth="1"/>
    <col min="15363" max="15363" width="7" style="10" customWidth="1"/>
    <col min="15364" max="15364" width="17.6640625" style="10" bestFit="1" customWidth="1"/>
    <col min="15365" max="15365" width="12.6640625" style="10" customWidth="1"/>
    <col min="15366" max="15366" width="24" style="10" customWidth="1"/>
    <col min="15367" max="15367" width="13.46484375" style="10" bestFit="1" customWidth="1"/>
    <col min="15368" max="15368" width="13.6640625" style="10" customWidth="1"/>
    <col min="15369" max="15369" width="13.33203125" style="10" customWidth="1"/>
    <col min="15370" max="15370" width="22.46484375" style="10" customWidth="1"/>
    <col min="15371" max="15371" width="18.46484375" style="10" customWidth="1"/>
    <col min="15372" max="15372" width="22" style="10" customWidth="1"/>
    <col min="15373" max="15373" width="21.33203125" style="10" customWidth="1"/>
    <col min="15374" max="15374" width="23" style="10" customWidth="1"/>
    <col min="15375" max="15617" width="9.33203125" style="10"/>
    <col min="15618" max="15618" width="6.6640625" style="10" customWidth="1"/>
    <col min="15619" max="15619" width="7" style="10" customWidth="1"/>
    <col min="15620" max="15620" width="17.6640625" style="10" bestFit="1" customWidth="1"/>
    <col min="15621" max="15621" width="12.6640625" style="10" customWidth="1"/>
    <col min="15622" max="15622" width="24" style="10" customWidth="1"/>
    <col min="15623" max="15623" width="13.46484375" style="10" bestFit="1" customWidth="1"/>
    <col min="15624" max="15624" width="13.6640625" style="10" customWidth="1"/>
    <col min="15625" max="15625" width="13.33203125" style="10" customWidth="1"/>
    <col min="15626" max="15626" width="22.46484375" style="10" customWidth="1"/>
    <col min="15627" max="15627" width="18.46484375" style="10" customWidth="1"/>
    <col min="15628" max="15628" width="22" style="10" customWidth="1"/>
    <col min="15629" max="15629" width="21.33203125" style="10" customWidth="1"/>
    <col min="15630" max="15630" width="23" style="10" customWidth="1"/>
    <col min="15631" max="15873" width="9.33203125" style="10"/>
    <col min="15874" max="15874" width="6.6640625" style="10" customWidth="1"/>
    <col min="15875" max="15875" width="7" style="10" customWidth="1"/>
    <col min="15876" max="15876" width="17.6640625" style="10" bestFit="1" customWidth="1"/>
    <col min="15877" max="15877" width="12.6640625" style="10" customWidth="1"/>
    <col min="15878" max="15878" width="24" style="10" customWidth="1"/>
    <col min="15879" max="15879" width="13.46484375" style="10" bestFit="1" customWidth="1"/>
    <col min="15880" max="15880" width="13.6640625" style="10" customWidth="1"/>
    <col min="15881" max="15881" width="13.33203125" style="10" customWidth="1"/>
    <col min="15882" max="15882" width="22.46484375" style="10" customWidth="1"/>
    <col min="15883" max="15883" width="18.46484375" style="10" customWidth="1"/>
    <col min="15884" max="15884" width="22" style="10" customWidth="1"/>
    <col min="15885" max="15885" width="21.33203125" style="10" customWidth="1"/>
    <col min="15886" max="15886" width="23" style="10" customWidth="1"/>
    <col min="15887" max="16129" width="9.33203125" style="10"/>
    <col min="16130" max="16130" width="6.6640625" style="10" customWidth="1"/>
    <col min="16131" max="16131" width="7" style="10" customWidth="1"/>
    <col min="16132" max="16132" width="17.6640625" style="10" bestFit="1" customWidth="1"/>
    <col min="16133" max="16133" width="12.6640625" style="10" customWidth="1"/>
    <col min="16134" max="16134" width="24" style="10" customWidth="1"/>
    <col min="16135" max="16135" width="13.46484375" style="10" bestFit="1" customWidth="1"/>
    <col min="16136" max="16136" width="13.6640625" style="10" customWidth="1"/>
    <col min="16137" max="16137" width="13.33203125" style="10" customWidth="1"/>
    <col min="16138" max="16138" width="22.46484375" style="10" customWidth="1"/>
    <col min="16139" max="16139" width="18.46484375" style="10" customWidth="1"/>
    <col min="16140" max="16140" width="22" style="10" customWidth="1"/>
    <col min="16141" max="16141" width="21.33203125" style="10" customWidth="1"/>
    <col min="16142" max="16142" width="23" style="10" customWidth="1"/>
    <col min="16143" max="16384" width="9.33203125" style="10"/>
  </cols>
  <sheetData>
    <row r="3" spans="2:14" x14ac:dyDescent="0.35">
      <c r="B3" s="1875" t="str">
        <f>+Index!B2</f>
        <v>Nidar Utilities Panvel LLP</v>
      </c>
      <c r="C3" s="1875"/>
      <c r="D3" s="1899"/>
      <c r="E3" s="1899"/>
      <c r="F3" s="1899"/>
      <c r="G3" s="1899"/>
      <c r="H3" s="1899"/>
      <c r="I3" s="1899"/>
      <c r="J3" s="1899"/>
      <c r="K3" s="1899"/>
      <c r="L3" s="1899"/>
      <c r="M3" s="1899"/>
      <c r="N3" s="1899"/>
    </row>
    <row r="4" spans="2:14" x14ac:dyDescent="0.35">
      <c r="B4" s="1875" t="s">
        <v>211</v>
      </c>
      <c r="C4" s="1875"/>
      <c r="D4" s="1899"/>
      <c r="E4" s="1899"/>
      <c r="F4" s="1899"/>
      <c r="G4" s="1899"/>
      <c r="H4" s="1899"/>
      <c r="I4" s="1899"/>
      <c r="J4" s="1899"/>
      <c r="K4" s="1899"/>
      <c r="L4" s="1899"/>
      <c r="M4" s="1899"/>
      <c r="N4" s="1899"/>
    </row>
    <row r="5" spans="2:14" x14ac:dyDescent="0.35">
      <c r="B5" s="1875" t="s">
        <v>212</v>
      </c>
      <c r="C5" s="1875"/>
      <c r="D5" s="1899"/>
      <c r="E5" s="1899"/>
      <c r="F5" s="1899"/>
      <c r="G5" s="1899"/>
      <c r="H5" s="1899"/>
      <c r="I5" s="1899"/>
      <c r="J5" s="1899"/>
      <c r="K5" s="1899"/>
      <c r="L5" s="1899"/>
      <c r="M5" s="1899"/>
      <c r="N5" s="1899"/>
    </row>
    <row r="6" spans="2:14" x14ac:dyDescent="0.35">
      <c r="B6" s="53"/>
      <c r="C6" s="53"/>
      <c r="D6" s="190"/>
      <c r="E6" s="746"/>
      <c r="F6" s="190"/>
      <c r="G6" s="190"/>
      <c r="H6" s="190"/>
      <c r="I6" s="190"/>
      <c r="J6" s="663"/>
      <c r="K6" s="190"/>
      <c r="L6" s="663"/>
      <c r="M6" s="190"/>
      <c r="N6" s="190"/>
    </row>
    <row r="7" spans="2:14" x14ac:dyDescent="0.35">
      <c r="B7" s="32" t="s">
        <v>1027</v>
      </c>
      <c r="C7" s="32"/>
      <c r="D7" s="99"/>
      <c r="E7" s="747"/>
      <c r="F7" s="11"/>
      <c r="G7" s="11"/>
      <c r="H7" s="11"/>
      <c r="I7" s="11"/>
      <c r="J7" s="664"/>
    </row>
    <row r="8" spans="2:14" x14ac:dyDescent="0.35">
      <c r="D8" s="12"/>
      <c r="E8" s="748"/>
      <c r="F8" s="41"/>
      <c r="G8" s="41"/>
      <c r="H8" s="41"/>
      <c r="K8" s="27"/>
      <c r="L8" s="671"/>
      <c r="N8" s="129" t="s">
        <v>171</v>
      </c>
    </row>
    <row r="9" spans="2:14" ht="27" x14ac:dyDescent="0.35">
      <c r="B9" s="98" t="s">
        <v>214</v>
      </c>
      <c r="C9" s="98" t="s">
        <v>111</v>
      </c>
      <c r="D9" s="98" t="s">
        <v>215</v>
      </c>
      <c r="E9" s="749" t="s">
        <v>216</v>
      </c>
      <c r="F9" s="98" t="s">
        <v>217</v>
      </c>
      <c r="G9" s="98" t="s">
        <v>218</v>
      </c>
      <c r="H9" s="98" t="s">
        <v>219</v>
      </c>
      <c r="I9" s="98" t="s">
        <v>220</v>
      </c>
      <c r="J9" s="665" t="s">
        <v>221</v>
      </c>
      <c r="K9" s="98" t="s">
        <v>222</v>
      </c>
      <c r="L9" s="665" t="s">
        <v>223</v>
      </c>
      <c r="M9" s="98" t="s">
        <v>224</v>
      </c>
      <c r="N9" s="98" t="s">
        <v>225</v>
      </c>
    </row>
    <row r="10" spans="2:14" x14ac:dyDescent="0.35">
      <c r="B10" s="124" t="s">
        <v>226</v>
      </c>
      <c r="C10" s="124" t="s">
        <v>227</v>
      </c>
      <c r="D10" s="124"/>
      <c r="E10" s="530"/>
      <c r="F10" s="124"/>
      <c r="G10" s="124"/>
      <c r="H10" s="124"/>
      <c r="I10" s="124"/>
      <c r="J10" s="666"/>
      <c r="K10" s="124"/>
      <c r="L10" s="666"/>
      <c r="M10" s="124"/>
      <c r="N10" s="124"/>
    </row>
    <row r="11" spans="2:14" x14ac:dyDescent="0.35">
      <c r="B11" s="75"/>
      <c r="C11" s="75"/>
      <c r="D11" s="75"/>
      <c r="E11" s="628"/>
      <c r="F11" s="75"/>
      <c r="G11" s="75"/>
      <c r="H11" s="75"/>
      <c r="I11" s="75"/>
      <c r="J11" s="667"/>
      <c r="K11" s="75"/>
      <c r="L11" s="667"/>
      <c r="M11" s="75"/>
      <c r="N11" s="75"/>
    </row>
    <row r="12" spans="2:14" x14ac:dyDescent="0.35">
      <c r="B12" s="126"/>
      <c r="C12" s="75" t="s">
        <v>1025</v>
      </c>
      <c r="D12" s="75" t="s">
        <v>1186</v>
      </c>
      <c r="E12" s="628"/>
      <c r="F12" s="75"/>
      <c r="G12" s="75"/>
      <c r="H12" s="75"/>
      <c r="I12" s="630">
        <f>+E12-H12</f>
        <v>0</v>
      </c>
      <c r="J12" s="667"/>
      <c r="K12" s="75"/>
      <c r="L12" s="667"/>
      <c r="M12" s="75"/>
      <c r="N12" s="75"/>
    </row>
    <row r="13" spans="2:14" x14ac:dyDescent="0.35">
      <c r="B13" s="126"/>
      <c r="C13" s="176" t="s">
        <v>1026</v>
      </c>
      <c r="D13" s="75" t="s">
        <v>1186</v>
      </c>
      <c r="E13" s="628"/>
      <c r="F13" s="75"/>
      <c r="G13" s="75"/>
      <c r="H13" s="75"/>
      <c r="I13" s="630">
        <f>+E13-H13</f>
        <v>0</v>
      </c>
      <c r="J13" s="667"/>
      <c r="K13" s="75"/>
      <c r="L13" s="667"/>
      <c r="M13" s="75"/>
      <c r="N13" s="75"/>
    </row>
    <row r="14" spans="2:14" x14ac:dyDescent="0.35">
      <c r="B14" s="75"/>
      <c r="C14" s="128" t="s">
        <v>827</v>
      </c>
      <c r="D14" s="128" t="s">
        <v>1186</v>
      </c>
      <c r="E14" s="630">
        <f>+Assum!E37</f>
        <v>1.2759</v>
      </c>
      <c r="F14" s="628">
        <f>+'F1'!C32</f>
        <v>0.174814</v>
      </c>
      <c r="G14" s="628">
        <f>+'F1'!C16</f>
        <v>1.0070348</v>
      </c>
      <c r="H14" s="629">
        <f>+F14+G14</f>
        <v>1.1818488</v>
      </c>
      <c r="I14" s="630">
        <f>+E14-H14</f>
        <v>9.4051200000000001E-2</v>
      </c>
      <c r="J14" s="668">
        <f>+I14/E14</f>
        <v>7.3713613919586168E-2</v>
      </c>
      <c r="K14" s="629">
        <f>+I14</f>
        <v>9.4051200000000001E-2</v>
      </c>
      <c r="L14" s="668">
        <f>+K14/E14</f>
        <v>7.3713613919586168E-2</v>
      </c>
      <c r="M14" s="630">
        <v>0</v>
      </c>
      <c r="N14" s="128"/>
    </row>
    <row r="15" spans="2:14" x14ac:dyDescent="0.35">
      <c r="B15" s="127"/>
      <c r="C15" s="75"/>
      <c r="D15" s="128"/>
      <c r="E15" s="630"/>
      <c r="F15" s="128"/>
      <c r="G15" s="128"/>
      <c r="H15" s="128"/>
      <c r="I15" s="75"/>
      <c r="J15" s="667"/>
      <c r="K15" s="75"/>
      <c r="L15" s="667"/>
      <c r="M15" s="75"/>
      <c r="N15" s="75"/>
    </row>
    <row r="16" spans="2:14" x14ac:dyDescent="0.35">
      <c r="B16" s="127" t="s">
        <v>228</v>
      </c>
      <c r="C16" s="128" t="s">
        <v>229</v>
      </c>
      <c r="D16" s="128"/>
      <c r="E16" s="630"/>
      <c r="F16" s="128"/>
      <c r="G16" s="128"/>
      <c r="H16" s="128"/>
      <c r="I16" s="75"/>
      <c r="J16" s="667"/>
      <c r="K16" s="75"/>
      <c r="L16" s="667"/>
      <c r="M16" s="75"/>
      <c r="N16" s="75"/>
    </row>
    <row r="17" spans="2:14" x14ac:dyDescent="0.35">
      <c r="B17" s="130"/>
      <c r="C17" s="131"/>
      <c r="D17" s="131"/>
      <c r="E17" s="750"/>
      <c r="F17" s="131"/>
      <c r="G17" s="131"/>
      <c r="H17" s="131"/>
      <c r="I17" s="103"/>
      <c r="J17" s="669"/>
      <c r="K17" s="103"/>
      <c r="L17" s="669"/>
      <c r="M17" s="103"/>
      <c r="N17" s="103"/>
    </row>
    <row r="18" spans="2:14" x14ac:dyDescent="0.35">
      <c r="B18" s="53"/>
      <c r="C18" s="53"/>
      <c r="D18" s="190"/>
      <c r="E18" s="746"/>
      <c r="F18" s="190"/>
      <c r="G18" s="190"/>
      <c r="H18" s="190"/>
      <c r="I18" s="190"/>
      <c r="J18" s="663"/>
      <c r="K18" s="190"/>
      <c r="L18" s="663"/>
      <c r="M18" s="190"/>
      <c r="N18" s="190"/>
    </row>
    <row r="19" spans="2:14" x14ac:dyDescent="0.35">
      <c r="B19" s="32" t="s">
        <v>1028</v>
      </c>
      <c r="C19" s="32"/>
      <c r="D19" s="99"/>
      <c r="E19" s="747"/>
      <c r="F19" s="11"/>
      <c r="G19" s="11"/>
      <c r="H19" s="11"/>
      <c r="I19" s="11"/>
      <c r="J19" s="664"/>
    </row>
    <row r="20" spans="2:14" x14ac:dyDescent="0.35">
      <c r="D20" s="12"/>
      <c r="E20" s="748"/>
      <c r="F20" s="41"/>
      <c r="G20" s="41"/>
      <c r="H20" s="41"/>
      <c r="K20" s="27"/>
      <c r="L20" s="671"/>
      <c r="N20" s="129" t="s">
        <v>171</v>
      </c>
    </row>
    <row r="21" spans="2:14" ht="27" x14ac:dyDescent="0.35">
      <c r="B21" s="98" t="s">
        <v>214</v>
      </c>
      <c r="C21" s="98" t="s">
        <v>111</v>
      </c>
      <c r="D21" s="98" t="s">
        <v>215</v>
      </c>
      <c r="E21" s="749" t="s">
        <v>216</v>
      </c>
      <c r="F21" s="98" t="s">
        <v>217</v>
      </c>
      <c r="G21" s="98" t="s">
        <v>218</v>
      </c>
      <c r="H21" s="98" t="s">
        <v>219</v>
      </c>
      <c r="I21" s="98" t="s">
        <v>220</v>
      </c>
      <c r="J21" s="665" t="s">
        <v>221</v>
      </c>
      <c r="K21" s="98" t="s">
        <v>222</v>
      </c>
      <c r="L21" s="665" t="s">
        <v>223</v>
      </c>
      <c r="M21" s="98" t="s">
        <v>224</v>
      </c>
      <c r="N21" s="98" t="s">
        <v>225</v>
      </c>
    </row>
    <row r="22" spans="2:14" x14ac:dyDescent="0.35">
      <c r="B22" s="124" t="s">
        <v>226</v>
      </c>
      <c r="C22" s="124" t="s">
        <v>227</v>
      </c>
      <c r="D22" s="124"/>
      <c r="E22" s="530"/>
      <c r="F22" s="124"/>
      <c r="G22" s="124"/>
      <c r="H22" s="124"/>
      <c r="I22" s="124"/>
      <c r="J22" s="666"/>
      <c r="K22" s="124"/>
      <c r="L22" s="666"/>
      <c r="M22" s="124"/>
      <c r="N22" s="124"/>
    </row>
    <row r="23" spans="2:14" x14ac:dyDescent="0.35">
      <c r="B23" s="75"/>
      <c r="C23" s="75"/>
      <c r="D23" s="75"/>
      <c r="E23" s="628"/>
      <c r="F23" s="75"/>
      <c r="G23" s="75"/>
      <c r="H23" s="75"/>
      <c r="I23" s="75"/>
      <c r="J23" s="667"/>
      <c r="K23" s="75"/>
      <c r="L23" s="667"/>
      <c r="M23" s="75"/>
      <c r="N23" s="75"/>
    </row>
    <row r="24" spans="2:14" x14ac:dyDescent="0.35">
      <c r="B24" s="126"/>
      <c r="C24" s="75" t="s">
        <v>1025</v>
      </c>
      <c r="D24" s="75" t="s">
        <v>1186</v>
      </c>
      <c r="E24" s="630">
        <f>+Assum!F35</f>
        <v>0</v>
      </c>
      <c r="F24" s="628">
        <f>+'F1 SEZ'!D32</f>
        <v>0.101504</v>
      </c>
      <c r="G24" s="628">
        <f>+'F1 SEZ'!D16</f>
        <v>0.56330385000000005</v>
      </c>
      <c r="H24" s="629">
        <f>+F24+G24</f>
        <v>0.66480785000000009</v>
      </c>
      <c r="I24" s="630">
        <f>+E24-H24</f>
        <v>-0.66480785000000009</v>
      </c>
      <c r="J24" s="668"/>
      <c r="K24" s="629"/>
      <c r="L24" s="668"/>
      <c r="M24" s="628"/>
      <c r="N24" s="628"/>
    </row>
    <row r="25" spans="2:14" x14ac:dyDescent="0.35">
      <c r="B25" s="126"/>
      <c r="C25" s="176" t="s">
        <v>1026</v>
      </c>
      <c r="D25" s="75" t="s">
        <v>1186</v>
      </c>
      <c r="E25" s="630">
        <f>+Assum!F36</f>
        <v>0</v>
      </c>
      <c r="F25" s="628">
        <f>+'F1 Non-SEZ'!D16</f>
        <v>1.86831225</v>
      </c>
      <c r="G25" s="628">
        <f>+'F1 Non-SEZ'!D32</f>
        <v>0.54061580999999992</v>
      </c>
      <c r="H25" s="629">
        <f>+F25+G25</f>
        <v>2.40892806</v>
      </c>
      <c r="I25" s="630">
        <f>+E25-H25</f>
        <v>-2.40892806</v>
      </c>
      <c r="J25" s="668"/>
      <c r="K25" s="629"/>
      <c r="L25" s="668"/>
      <c r="M25" s="628"/>
      <c r="N25" s="628"/>
    </row>
    <row r="26" spans="2:14" x14ac:dyDescent="0.35">
      <c r="B26" s="75"/>
      <c r="C26" s="128" t="s">
        <v>827</v>
      </c>
      <c r="D26" s="128" t="s">
        <v>1186</v>
      </c>
      <c r="E26" s="630">
        <f>+Assum!F37</f>
        <v>3.2793270899999998</v>
      </c>
      <c r="F26" s="630">
        <f>+F24+F25</f>
        <v>1.96981625</v>
      </c>
      <c r="G26" s="630">
        <f>+G24+G25</f>
        <v>1.1039196599999999</v>
      </c>
      <c r="H26" s="631">
        <f>+F26+G26</f>
        <v>3.0737359099999999</v>
      </c>
      <c r="I26" s="630">
        <f>+E26-H26</f>
        <v>0.20559117999999987</v>
      </c>
      <c r="J26" s="668">
        <f>+I26/E26</f>
        <v>6.2693099638316319E-2</v>
      </c>
      <c r="K26" s="631">
        <f>+I26</f>
        <v>0.20559117999999987</v>
      </c>
      <c r="L26" s="668">
        <f>+K26/E26</f>
        <v>6.2693099638316319E-2</v>
      </c>
      <c r="M26" s="628"/>
      <c r="N26" s="628"/>
    </row>
    <row r="27" spans="2:14" x14ac:dyDescent="0.35">
      <c r="B27" s="127"/>
      <c r="C27" s="75"/>
      <c r="D27" s="128"/>
      <c r="E27" s="630"/>
      <c r="F27" s="630"/>
      <c r="G27" s="630"/>
      <c r="H27" s="630"/>
      <c r="I27" s="628"/>
      <c r="J27" s="667"/>
      <c r="K27" s="628"/>
      <c r="L27" s="667"/>
      <c r="M27" s="628"/>
      <c r="N27" s="628"/>
    </row>
    <row r="28" spans="2:14" x14ac:dyDescent="0.35">
      <c r="B28" s="127" t="s">
        <v>228</v>
      </c>
      <c r="C28" s="128" t="s">
        <v>229</v>
      </c>
      <c r="D28" s="128"/>
      <c r="E28" s="630"/>
      <c r="F28" s="630"/>
      <c r="G28" s="630"/>
      <c r="H28" s="630"/>
      <c r="I28" s="628"/>
      <c r="J28" s="667"/>
      <c r="K28" s="628"/>
      <c r="L28" s="667"/>
      <c r="M28" s="628"/>
      <c r="N28" s="628"/>
    </row>
    <row r="29" spans="2:14" x14ac:dyDescent="0.35">
      <c r="B29" s="130"/>
      <c r="C29" s="131"/>
      <c r="D29" s="131"/>
      <c r="E29" s="750"/>
      <c r="F29" s="131"/>
      <c r="G29" s="131"/>
      <c r="H29" s="131"/>
      <c r="I29" s="103"/>
      <c r="J29" s="669"/>
      <c r="K29" s="103"/>
      <c r="L29" s="669"/>
      <c r="M29" s="103"/>
      <c r="N29" s="103"/>
    </row>
    <row r="30" spans="2:14" x14ac:dyDescent="0.35">
      <c r="B30" s="53"/>
      <c r="C30" s="53"/>
      <c r="D30" s="190"/>
      <c r="E30" s="746"/>
      <c r="F30" s="190"/>
      <c r="G30" s="190"/>
      <c r="H30" s="190"/>
      <c r="I30" s="190"/>
      <c r="J30" s="663"/>
      <c r="K30" s="190"/>
      <c r="L30" s="663"/>
      <c r="M30" s="190"/>
      <c r="N30" s="190"/>
    </row>
    <row r="31" spans="2:14" x14ac:dyDescent="0.35">
      <c r="B31" s="32" t="s">
        <v>1029</v>
      </c>
      <c r="C31" s="32"/>
      <c r="D31" s="99"/>
      <c r="E31" s="747"/>
      <c r="F31" s="11"/>
      <c r="G31" s="11"/>
      <c r="H31" s="11"/>
      <c r="I31" s="11"/>
      <c r="J31" s="664"/>
    </row>
    <row r="32" spans="2:14" x14ac:dyDescent="0.35">
      <c r="D32" s="12"/>
      <c r="E32" s="748"/>
      <c r="F32" s="41"/>
      <c r="G32" s="41"/>
      <c r="H32" s="41"/>
      <c r="K32" s="27"/>
      <c r="L32" s="671"/>
      <c r="N32" s="129" t="s">
        <v>171</v>
      </c>
    </row>
    <row r="33" spans="2:14" ht="27" x14ac:dyDescent="0.35">
      <c r="B33" s="98" t="s">
        <v>214</v>
      </c>
      <c r="C33" s="98" t="s">
        <v>111</v>
      </c>
      <c r="D33" s="98" t="s">
        <v>215</v>
      </c>
      <c r="E33" s="749" t="s">
        <v>216</v>
      </c>
      <c r="F33" s="98" t="s">
        <v>217</v>
      </c>
      <c r="G33" s="98" t="s">
        <v>218</v>
      </c>
      <c r="H33" s="98" t="s">
        <v>219</v>
      </c>
      <c r="I33" s="98" t="s">
        <v>220</v>
      </c>
      <c r="J33" s="665" t="s">
        <v>221</v>
      </c>
      <c r="K33" s="98" t="s">
        <v>222</v>
      </c>
      <c r="L33" s="665" t="s">
        <v>223</v>
      </c>
      <c r="M33" s="98" t="s">
        <v>224</v>
      </c>
      <c r="N33" s="98" t="s">
        <v>225</v>
      </c>
    </row>
    <row r="34" spans="2:14" x14ac:dyDescent="0.35">
      <c r="B34" s="124" t="s">
        <v>226</v>
      </c>
      <c r="C34" s="124" t="s">
        <v>227</v>
      </c>
      <c r="D34" s="124"/>
      <c r="E34" s="530"/>
      <c r="F34" s="124"/>
      <c r="G34" s="124"/>
      <c r="H34" s="124"/>
      <c r="I34" s="124"/>
      <c r="J34" s="666"/>
      <c r="K34" s="124"/>
      <c r="L34" s="666"/>
      <c r="M34" s="124"/>
      <c r="N34" s="124"/>
    </row>
    <row r="35" spans="2:14" x14ac:dyDescent="0.35">
      <c r="B35" s="75"/>
      <c r="C35" s="75"/>
      <c r="D35" s="75"/>
      <c r="E35" s="628"/>
      <c r="F35" s="75"/>
      <c r="G35" s="75"/>
      <c r="H35" s="75"/>
      <c r="I35" s="75"/>
      <c r="J35" s="667"/>
      <c r="K35" s="75"/>
      <c r="L35" s="667"/>
      <c r="M35" s="75"/>
      <c r="N35" s="75"/>
    </row>
    <row r="36" spans="2:14" x14ac:dyDescent="0.35">
      <c r="B36" s="126"/>
      <c r="C36" s="75" t="s">
        <v>1025</v>
      </c>
      <c r="D36" s="75" t="s">
        <v>1186</v>
      </c>
      <c r="E36" s="628">
        <f>+Assum!G35</f>
        <v>0</v>
      </c>
      <c r="F36" s="628">
        <f>+'F1 SEZ'!E32</f>
        <v>0.110925</v>
      </c>
      <c r="G36" s="628">
        <f>+'F1 SEZ'!E16</f>
        <v>5.3769855269999995</v>
      </c>
      <c r="H36" s="629">
        <f>+F36+G36</f>
        <v>5.4879105269999995</v>
      </c>
      <c r="I36" s="630">
        <f>+E36-H36</f>
        <v>-5.4879105269999995</v>
      </c>
      <c r="J36" s="668"/>
      <c r="K36" s="629"/>
      <c r="L36" s="668"/>
      <c r="M36" s="75"/>
      <c r="N36" s="75"/>
    </row>
    <row r="37" spans="2:14" x14ac:dyDescent="0.35">
      <c r="B37" s="126"/>
      <c r="C37" s="176" t="s">
        <v>1026</v>
      </c>
      <c r="D37" s="75" t="s">
        <v>1186</v>
      </c>
      <c r="E37" s="628">
        <f>+Assum!G36</f>
        <v>0</v>
      </c>
      <c r="F37" s="628">
        <f>+'F1 Non-SEZ'!E32</f>
        <v>0.94558749399999997</v>
      </c>
      <c r="G37" s="628">
        <f>+'F1 Non-SEZ'!E16</f>
        <v>1.475485613</v>
      </c>
      <c r="H37" s="629">
        <f>+F37+G37</f>
        <v>2.4210731069999998</v>
      </c>
      <c r="I37" s="630">
        <f>+E37-H37</f>
        <v>-2.4210731069999998</v>
      </c>
      <c r="J37" s="668"/>
      <c r="K37" s="629"/>
      <c r="L37" s="668"/>
      <c r="M37" s="75"/>
      <c r="N37" s="75"/>
    </row>
    <row r="38" spans="2:14" x14ac:dyDescent="0.35">
      <c r="B38" s="75"/>
      <c r="C38" s="128" t="s">
        <v>827</v>
      </c>
      <c r="D38" s="128" t="s">
        <v>1186</v>
      </c>
      <c r="E38" s="628">
        <f>+'F1.4'!F42+'F1.4'!F46/(1-'F1.4'!F43)</f>
        <v>8.1601547220525781</v>
      </c>
      <c r="F38" s="630">
        <f>+F36+F37</f>
        <v>1.0565124939999999</v>
      </c>
      <c r="G38" s="630">
        <f>+G36+G37</f>
        <v>6.8524711399999996</v>
      </c>
      <c r="H38" s="631">
        <f>+F38+G38</f>
        <v>7.9089836339999993</v>
      </c>
      <c r="I38" s="630">
        <f>+E38-H38</f>
        <v>0.25117108805257882</v>
      </c>
      <c r="J38" s="668">
        <f>+I38/E38</f>
        <v>3.0780186970450003E-2</v>
      </c>
      <c r="K38" s="631">
        <f>+I38</f>
        <v>0.25117108805257882</v>
      </c>
      <c r="L38" s="668">
        <f>+K38/E38</f>
        <v>3.0780186970450003E-2</v>
      </c>
      <c r="M38" s="75"/>
      <c r="N38" s="75"/>
    </row>
    <row r="39" spans="2:14" x14ac:dyDescent="0.35">
      <c r="B39" s="127"/>
      <c r="C39" s="75"/>
      <c r="D39" s="128"/>
      <c r="E39" s="630"/>
      <c r="F39" s="128"/>
      <c r="G39" s="128"/>
      <c r="H39" s="128"/>
      <c r="I39" s="75"/>
      <c r="J39" s="667"/>
      <c r="K39" s="75"/>
      <c r="L39" s="667"/>
      <c r="M39" s="75"/>
      <c r="N39" s="75"/>
    </row>
    <row r="40" spans="2:14" x14ac:dyDescent="0.35">
      <c r="B40" s="127" t="s">
        <v>228</v>
      </c>
      <c r="C40" s="128" t="s">
        <v>229</v>
      </c>
      <c r="D40" s="128"/>
      <c r="E40" s="630"/>
      <c r="F40" s="128"/>
      <c r="G40" s="128"/>
      <c r="H40" s="128"/>
      <c r="I40" s="75"/>
      <c r="J40" s="667"/>
      <c r="K40" s="75"/>
      <c r="L40" s="667"/>
      <c r="M40" s="75"/>
      <c r="N40" s="75"/>
    </row>
    <row r="41" spans="2:14" x14ac:dyDescent="0.35">
      <c r="B41" s="130"/>
      <c r="C41" s="131"/>
      <c r="D41" s="131"/>
      <c r="E41" s="750"/>
      <c r="F41" s="131"/>
      <c r="G41" s="131"/>
      <c r="H41" s="131"/>
      <c r="I41" s="103"/>
      <c r="J41" s="669"/>
      <c r="K41" s="103"/>
      <c r="L41" s="669"/>
      <c r="M41" s="103"/>
      <c r="N41" s="103"/>
    </row>
    <row r="42" spans="2:14" x14ac:dyDescent="0.35">
      <c r="B42" s="53"/>
      <c r="C42" s="53"/>
      <c r="D42" s="190"/>
      <c r="E42" s="746"/>
      <c r="F42" s="190"/>
      <c r="G42" s="190"/>
      <c r="H42" s="190"/>
      <c r="I42" s="190"/>
      <c r="J42" s="663"/>
      <c r="K42" s="190"/>
      <c r="L42" s="663"/>
      <c r="M42" s="190"/>
      <c r="N42" s="190"/>
    </row>
    <row r="43" spans="2:14" x14ac:dyDescent="0.35">
      <c r="B43" s="32" t="s">
        <v>1030</v>
      </c>
      <c r="C43" s="32"/>
      <c r="D43" s="99"/>
      <c r="E43" s="747"/>
      <c r="F43" s="11"/>
      <c r="G43" s="11"/>
      <c r="H43" s="11"/>
      <c r="I43" s="11"/>
      <c r="J43" s="664"/>
    </row>
    <row r="44" spans="2:14" x14ac:dyDescent="0.35">
      <c r="D44" s="12"/>
      <c r="E44" s="748"/>
      <c r="F44" s="41"/>
      <c r="G44" s="41"/>
      <c r="H44" s="41"/>
      <c r="K44" s="27"/>
      <c r="L44" s="671"/>
      <c r="N44" s="129" t="s">
        <v>171</v>
      </c>
    </row>
    <row r="45" spans="2:14" ht="27" x14ac:dyDescent="0.35">
      <c r="B45" s="98" t="s">
        <v>214</v>
      </c>
      <c r="C45" s="98" t="s">
        <v>111</v>
      </c>
      <c r="D45" s="98" t="s">
        <v>215</v>
      </c>
      <c r="E45" s="749" t="s">
        <v>216</v>
      </c>
      <c r="F45" s="98" t="s">
        <v>217</v>
      </c>
      <c r="G45" s="98" t="s">
        <v>218</v>
      </c>
      <c r="H45" s="98" t="s">
        <v>219</v>
      </c>
      <c r="I45" s="98" t="s">
        <v>220</v>
      </c>
      <c r="J45" s="665" t="s">
        <v>221</v>
      </c>
      <c r="K45" s="98" t="s">
        <v>222</v>
      </c>
      <c r="L45" s="665" t="s">
        <v>223</v>
      </c>
      <c r="M45" s="98" t="s">
        <v>224</v>
      </c>
      <c r="N45" s="98" t="s">
        <v>225</v>
      </c>
    </row>
    <row r="46" spans="2:14" x14ac:dyDescent="0.35">
      <c r="B46" s="124" t="s">
        <v>226</v>
      </c>
      <c r="C46" s="124" t="s">
        <v>227</v>
      </c>
      <c r="D46" s="124"/>
      <c r="E46" s="530"/>
      <c r="F46" s="124"/>
      <c r="G46" s="124"/>
      <c r="H46" s="124"/>
      <c r="I46" s="124"/>
      <c r="J46" s="666"/>
      <c r="K46" s="124"/>
      <c r="L46" s="666"/>
      <c r="M46" s="124"/>
      <c r="N46" s="124"/>
    </row>
    <row r="47" spans="2:14" x14ac:dyDescent="0.35">
      <c r="B47" s="75"/>
      <c r="C47" s="75"/>
      <c r="D47" s="75"/>
      <c r="E47" s="628"/>
      <c r="F47" s="75"/>
      <c r="G47" s="75"/>
      <c r="H47" s="75"/>
      <c r="I47" s="75"/>
      <c r="J47" s="667"/>
      <c r="K47" s="75"/>
      <c r="L47" s="667"/>
      <c r="M47" s="75"/>
      <c r="N47" s="75"/>
    </row>
    <row r="48" spans="2:14" x14ac:dyDescent="0.35">
      <c r="B48" s="126"/>
      <c r="C48" s="75" t="s">
        <v>1025</v>
      </c>
      <c r="D48" s="75" t="s">
        <v>1186</v>
      </c>
      <c r="E48" s="628">
        <f>+Assum!H35</f>
        <v>0</v>
      </c>
      <c r="F48" s="628">
        <f>+'F1 SEZ'!F32</f>
        <v>0.12411700000000002</v>
      </c>
      <c r="G48" s="628">
        <f>+'F1 SEZ'!F16</f>
        <v>13.181038730000001</v>
      </c>
      <c r="H48" s="629">
        <f>+F48+G48</f>
        <v>13.305155730000001</v>
      </c>
      <c r="I48" s="630">
        <f>+E48-H48</f>
        <v>-13.305155730000001</v>
      </c>
      <c r="J48" s="668"/>
      <c r="K48" s="629"/>
      <c r="L48" s="668"/>
      <c r="M48" s="75"/>
      <c r="N48" s="75"/>
    </row>
    <row r="49" spans="2:14" x14ac:dyDescent="0.35">
      <c r="B49" s="126"/>
      <c r="C49" s="176" t="s">
        <v>1026</v>
      </c>
      <c r="D49" s="75" t="s">
        <v>1186</v>
      </c>
      <c r="E49" s="628">
        <f>+Assum!H36</f>
        <v>0</v>
      </c>
      <c r="F49" s="628">
        <f>+'F1 Non-SEZ'!F32</f>
        <v>2.0256621500000005</v>
      </c>
      <c r="G49" s="628">
        <f>+'F1 Non-SEZ'!F16</f>
        <v>1.5612717518999997</v>
      </c>
      <c r="H49" s="629">
        <f>+F49+G49</f>
        <v>3.5869339019000002</v>
      </c>
      <c r="I49" s="630">
        <f>+E49-H49</f>
        <v>-3.5869339019000002</v>
      </c>
      <c r="J49" s="668"/>
      <c r="K49" s="629"/>
      <c r="L49" s="668"/>
      <c r="M49" s="75"/>
      <c r="N49" s="75"/>
    </row>
    <row r="50" spans="2:14" x14ac:dyDescent="0.35">
      <c r="B50" s="75"/>
      <c r="C50" s="128" t="s">
        <v>827</v>
      </c>
      <c r="D50" s="128" t="s">
        <v>1186</v>
      </c>
      <c r="E50" s="628">
        <f>+'F1.4'!G42+'F1.4'!G46/(1-'F1.4'!G43)</f>
        <v>17.38229630263756</v>
      </c>
      <c r="F50" s="630">
        <f>+F48+F49</f>
        <v>2.1497791500000005</v>
      </c>
      <c r="G50" s="630">
        <f>+G48+G49</f>
        <v>14.742310481900001</v>
      </c>
      <c r="H50" s="631">
        <f>+F50+G50</f>
        <v>16.892089631899999</v>
      </c>
      <c r="I50" s="630">
        <f>+E50-H50</f>
        <v>0.4902066707375603</v>
      </c>
      <c r="J50" s="668">
        <f>+I50/E50</f>
        <v>2.8201490884905533E-2</v>
      </c>
      <c r="K50" s="631">
        <f>+I50</f>
        <v>0.4902066707375603</v>
      </c>
      <c r="L50" s="668">
        <f>+K50/E50</f>
        <v>2.8201490884905533E-2</v>
      </c>
      <c r="M50" s="75"/>
      <c r="N50" s="75"/>
    </row>
    <row r="51" spans="2:14" x14ac:dyDescent="0.35">
      <c r="B51" s="127"/>
      <c r="C51" s="75"/>
      <c r="D51" s="128"/>
      <c r="E51" s="630"/>
      <c r="F51" s="128"/>
      <c r="G51" s="128"/>
      <c r="H51" s="128"/>
      <c r="I51" s="75"/>
      <c r="J51" s="667"/>
      <c r="K51" s="75"/>
      <c r="L51" s="667"/>
      <c r="M51" s="75"/>
      <c r="N51" s="75"/>
    </row>
    <row r="52" spans="2:14" x14ac:dyDescent="0.35">
      <c r="B52" s="127" t="s">
        <v>228</v>
      </c>
      <c r="C52" s="128" t="s">
        <v>229</v>
      </c>
      <c r="D52" s="128"/>
      <c r="E52" s="630"/>
      <c r="F52" s="128"/>
      <c r="G52" s="128"/>
      <c r="H52" s="128"/>
      <c r="I52" s="75"/>
      <c r="J52" s="667"/>
      <c r="K52" s="75"/>
      <c r="L52" s="667"/>
      <c r="M52" s="75"/>
      <c r="N52" s="75"/>
    </row>
    <row r="53" spans="2:14" x14ac:dyDescent="0.35">
      <c r="B53" s="130"/>
      <c r="C53" s="131"/>
      <c r="D53" s="131"/>
      <c r="E53" s="750"/>
      <c r="F53" s="131"/>
      <c r="G53" s="131"/>
      <c r="H53" s="131"/>
      <c r="I53" s="103"/>
      <c r="J53" s="669"/>
      <c r="K53" s="103"/>
      <c r="L53" s="669"/>
      <c r="M53" s="103"/>
      <c r="N53" s="103"/>
    </row>
    <row r="54" spans="2:14" x14ac:dyDescent="0.35">
      <c r="B54" s="53"/>
      <c r="C54" s="53"/>
      <c r="D54" s="190"/>
      <c r="E54" s="746"/>
      <c r="F54" s="190"/>
      <c r="G54" s="190"/>
      <c r="H54" s="190"/>
      <c r="I54" s="190"/>
      <c r="J54" s="663"/>
      <c r="K54" s="190"/>
      <c r="L54" s="663"/>
      <c r="M54" s="190"/>
      <c r="N54" s="190"/>
    </row>
    <row r="55" spans="2:14" x14ac:dyDescent="0.35">
      <c r="B55" s="32" t="s">
        <v>213</v>
      </c>
      <c r="C55" s="32"/>
      <c r="D55" s="99"/>
      <c r="E55" s="747"/>
      <c r="F55" s="11"/>
      <c r="G55" s="11"/>
      <c r="H55" s="11"/>
      <c r="I55" s="11"/>
      <c r="J55" s="664"/>
    </row>
    <row r="56" spans="2:14" x14ac:dyDescent="0.35">
      <c r="D56" s="12"/>
      <c r="E56" s="748"/>
      <c r="F56" s="41"/>
      <c r="G56" s="41"/>
      <c r="H56" s="41"/>
      <c r="K56" s="27"/>
      <c r="L56" s="671"/>
      <c r="N56" s="129" t="s">
        <v>171</v>
      </c>
    </row>
    <row r="57" spans="2:14" ht="27" x14ac:dyDescent="0.35">
      <c r="B57" s="98" t="s">
        <v>214</v>
      </c>
      <c r="C57" s="98" t="s">
        <v>111</v>
      </c>
      <c r="D57" s="98" t="s">
        <v>215</v>
      </c>
      <c r="E57" s="749" t="s">
        <v>216</v>
      </c>
      <c r="F57" s="98" t="s">
        <v>217</v>
      </c>
      <c r="G57" s="98" t="s">
        <v>218</v>
      </c>
      <c r="H57" s="98" t="s">
        <v>219</v>
      </c>
      <c r="I57" s="98" t="s">
        <v>220</v>
      </c>
      <c r="J57" s="665" t="s">
        <v>221</v>
      </c>
      <c r="K57" s="98" t="s">
        <v>222</v>
      </c>
      <c r="L57" s="665" t="s">
        <v>223</v>
      </c>
      <c r="M57" s="98" t="s">
        <v>224</v>
      </c>
      <c r="N57" s="98" t="s">
        <v>225</v>
      </c>
    </row>
    <row r="58" spans="2:14" x14ac:dyDescent="0.35">
      <c r="B58" s="124" t="s">
        <v>226</v>
      </c>
      <c r="C58" s="124" t="s">
        <v>227</v>
      </c>
      <c r="D58" s="124"/>
      <c r="E58" s="530"/>
      <c r="F58" s="124"/>
      <c r="G58" s="124"/>
      <c r="H58" s="124"/>
      <c r="I58" s="124"/>
      <c r="J58" s="666"/>
      <c r="K58" s="124"/>
      <c r="L58" s="666"/>
      <c r="M58" s="124"/>
      <c r="N58" s="124"/>
    </row>
    <row r="59" spans="2:14" x14ac:dyDescent="0.35">
      <c r="B59" s="75"/>
      <c r="C59" s="75"/>
      <c r="D59" s="75"/>
      <c r="E59" s="628"/>
      <c r="F59" s="75"/>
      <c r="G59" s="75"/>
      <c r="H59" s="75"/>
      <c r="I59" s="75"/>
      <c r="J59" s="667"/>
      <c r="K59" s="75"/>
      <c r="L59" s="667"/>
      <c r="M59" s="75"/>
      <c r="N59" s="75"/>
    </row>
    <row r="60" spans="2:14" x14ac:dyDescent="0.35">
      <c r="B60" s="126"/>
      <c r="C60" s="75" t="s">
        <v>1025</v>
      </c>
      <c r="D60" s="75" t="s">
        <v>1186</v>
      </c>
      <c r="E60" s="628">
        <f>+Assum!I35</f>
        <v>0</v>
      </c>
      <c r="F60" s="628">
        <f>+'F1 SEZ'!G32</f>
        <v>0.12558499999999997</v>
      </c>
      <c r="G60" s="628">
        <f>+'F1 SEZ'!G16</f>
        <v>21.239233280000001</v>
      </c>
      <c r="H60" s="629">
        <f>+F60+G60</f>
        <v>21.364818280000001</v>
      </c>
      <c r="I60" s="630">
        <f>+E60-H60</f>
        <v>-21.364818280000001</v>
      </c>
      <c r="J60" s="668"/>
      <c r="K60" s="629"/>
      <c r="L60" s="668"/>
      <c r="M60" s="75"/>
      <c r="N60" s="75"/>
    </row>
    <row r="61" spans="2:14" x14ac:dyDescent="0.35">
      <c r="B61" s="126"/>
      <c r="C61" s="176" t="s">
        <v>1026</v>
      </c>
      <c r="D61" s="75" t="s">
        <v>1186</v>
      </c>
      <c r="E61" s="628">
        <f>+Assum!I36</f>
        <v>0</v>
      </c>
      <c r="F61" s="628">
        <f>+'F1 Non-SEZ'!G32</f>
        <v>3.7559149493000001</v>
      </c>
      <c r="G61" s="628">
        <f>+'F1 Non-SEZ'!G16</f>
        <v>0.51846940000000008</v>
      </c>
      <c r="H61" s="629">
        <f>+F61+G61</f>
        <v>4.2743843493</v>
      </c>
      <c r="I61" s="630">
        <f>+E61-H61</f>
        <v>-4.2743843493</v>
      </c>
      <c r="J61" s="668"/>
      <c r="K61" s="629"/>
      <c r="L61" s="668"/>
      <c r="M61" s="75"/>
      <c r="N61" s="75"/>
    </row>
    <row r="62" spans="2:14" x14ac:dyDescent="0.35">
      <c r="B62" s="75"/>
      <c r="C62" s="128" t="s">
        <v>827</v>
      </c>
      <c r="D62" s="128" t="s">
        <v>1186</v>
      </c>
      <c r="E62" s="630">
        <f>+'F1.4'!H42+'F1.4'!H46/(1-'F1.4'!H43)</f>
        <v>25.933189856017965</v>
      </c>
      <c r="F62" s="630">
        <f>+F60+F61</f>
        <v>3.8814999493000002</v>
      </c>
      <c r="G62" s="630">
        <f>+G60+G61</f>
        <v>21.757702680000001</v>
      </c>
      <c r="H62" s="631">
        <f>+F62+G62</f>
        <v>25.639202629300001</v>
      </c>
      <c r="I62" s="630">
        <f>+E62-H62</f>
        <v>0.29398722671796307</v>
      </c>
      <c r="J62" s="668">
        <f>+I62/E62</f>
        <v>1.133633110119469E-2</v>
      </c>
      <c r="K62" s="631">
        <f>+I62</f>
        <v>0.29398722671796307</v>
      </c>
      <c r="L62" s="668">
        <f>+K62/E62</f>
        <v>1.133633110119469E-2</v>
      </c>
      <c r="M62" s="75"/>
      <c r="N62" s="75"/>
    </row>
    <row r="63" spans="2:14" x14ac:dyDescent="0.35">
      <c r="B63" s="127"/>
      <c r="C63" s="75"/>
      <c r="D63" s="128"/>
      <c r="E63" s="630"/>
      <c r="F63" s="128"/>
      <c r="G63" s="128"/>
      <c r="H63" s="128"/>
      <c r="I63" s="75"/>
      <c r="J63" s="667"/>
      <c r="K63" s="75"/>
      <c r="L63" s="667"/>
      <c r="M63" s="75"/>
      <c r="N63" s="75"/>
    </row>
    <row r="64" spans="2:14" x14ac:dyDescent="0.35">
      <c r="B64" s="127" t="s">
        <v>228</v>
      </c>
      <c r="C64" s="128" t="s">
        <v>229</v>
      </c>
      <c r="D64" s="128"/>
      <c r="E64" s="630"/>
      <c r="F64" s="128"/>
      <c r="G64" s="128"/>
      <c r="H64" s="128"/>
      <c r="I64" s="75"/>
      <c r="J64" s="667"/>
      <c r="K64" s="75"/>
      <c r="L64" s="667"/>
      <c r="M64" s="75"/>
      <c r="N64" s="75"/>
    </row>
    <row r="65" spans="2:14" x14ac:dyDescent="0.35">
      <c r="B65" s="130"/>
      <c r="C65" s="131"/>
      <c r="D65" s="131"/>
      <c r="E65" s="750"/>
      <c r="F65" s="131"/>
      <c r="G65" s="131"/>
      <c r="H65" s="131"/>
      <c r="I65" s="103"/>
      <c r="J65" s="669"/>
      <c r="K65" s="103"/>
      <c r="L65" s="669"/>
      <c r="M65" s="103"/>
      <c r="N65" s="103"/>
    </row>
    <row r="66" spans="2:14" x14ac:dyDescent="0.35">
      <c r="B66" s="53"/>
      <c r="C66" s="53"/>
      <c r="D66" s="190"/>
      <c r="E66" s="746"/>
      <c r="F66" s="190"/>
      <c r="G66" s="190"/>
      <c r="H66" s="190"/>
      <c r="I66" s="190"/>
      <c r="J66" s="663"/>
      <c r="K66" s="190"/>
      <c r="L66" s="663"/>
      <c r="M66" s="190"/>
      <c r="N66" s="190"/>
    </row>
    <row r="67" spans="2:14" x14ac:dyDescent="0.35">
      <c r="B67" s="32" t="s">
        <v>230</v>
      </c>
      <c r="C67" s="32"/>
      <c r="D67" s="99"/>
      <c r="E67" s="747"/>
      <c r="F67" s="11"/>
      <c r="G67" s="11"/>
      <c r="H67" s="11"/>
      <c r="I67" s="11"/>
      <c r="J67" s="664"/>
    </row>
    <row r="68" spans="2:14" x14ac:dyDescent="0.35">
      <c r="D68" s="12"/>
      <c r="E68" s="748"/>
      <c r="F68" s="41"/>
      <c r="G68" s="41"/>
      <c r="H68" s="41"/>
      <c r="K68" s="27"/>
      <c r="L68" s="671"/>
      <c r="N68" s="129" t="s">
        <v>171</v>
      </c>
    </row>
    <row r="69" spans="2:14" ht="27" x14ac:dyDescent="0.35">
      <c r="B69" s="98" t="s">
        <v>214</v>
      </c>
      <c r="C69" s="98" t="s">
        <v>111</v>
      </c>
      <c r="D69" s="98" t="s">
        <v>215</v>
      </c>
      <c r="E69" s="749" t="s">
        <v>216</v>
      </c>
      <c r="F69" s="98" t="s">
        <v>217</v>
      </c>
      <c r="G69" s="98" t="s">
        <v>218</v>
      </c>
      <c r="H69" s="98" t="s">
        <v>219</v>
      </c>
      <c r="I69" s="98" t="s">
        <v>220</v>
      </c>
      <c r="J69" s="665" t="s">
        <v>221</v>
      </c>
      <c r="K69" s="98" t="s">
        <v>222</v>
      </c>
      <c r="L69" s="665" t="s">
        <v>223</v>
      </c>
      <c r="M69" s="98" t="s">
        <v>224</v>
      </c>
      <c r="N69" s="98" t="s">
        <v>225</v>
      </c>
    </row>
    <row r="70" spans="2:14" x14ac:dyDescent="0.35">
      <c r="B70" s="124" t="s">
        <v>226</v>
      </c>
      <c r="C70" s="124" t="s">
        <v>227</v>
      </c>
      <c r="D70" s="124"/>
      <c r="E70" s="530"/>
      <c r="F70" s="124"/>
      <c r="G70" s="124"/>
      <c r="H70" s="124"/>
      <c r="I70" s="124"/>
      <c r="J70" s="666"/>
      <c r="K70" s="124"/>
      <c r="L70" s="666"/>
      <c r="M70" s="124"/>
      <c r="N70" s="124"/>
    </row>
    <row r="71" spans="2:14" x14ac:dyDescent="0.35">
      <c r="B71" s="75"/>
      <c r="C71" s="75"/>
      <c r="D71" s="75"/>
      <c r="E71" s="628"/>
      <c r="F71" s="75"/>
      <c r="G71" s="75"/>
      <c r="H71" s="75"/>
      <c r="I71" s="75"/>
      <c r="J71" s="667"/>
      <c r="K71" s="75"/>
      <c r="L71" s="667"/>
      <c r="M71" s="75"/>
      <c r="N71" s="75"/>
    </row>
    <row r="72" spans="2:14" x14ac:dyDescent="0.35">
      <c r="B72" s="126"/>
      <c r="C72" s="75" t="s">
        <v>1025</v>
      </c>
      <c r="D72" s="75" t="s">
        <v>1186</v>
      </c>
      <c r="E72" s="628">
        <f>+Assum!J35</f>
        <v>0</v>
      </c>
      <c r="F72" s="628">
        <f>+'F1 SEZ'!H32</f>
        <v>0.15712800000000002</v>
      </c>
      <c r="G72" s="628">
        <f>+'F1 SEZ'!H16</f>
        <v>33.591237579999998</v>
      </c>
      <c r="H72" s="629">
        <f>+F72+G72</f>
        <v>33.748365579999998</v>
      </c>
      <c r="I72" s="630">
        <f>+E72-H72</f>
        <v>-33.748365579999998</v>
      </c>
      <c r="J72" s="668"/>
      <c r="K72" s="629"/>
      <c r="L72" s="668"/>
      <c r="M72" s="75"/>
      <c r="N72" s="75"/>
    </row>
    <row r="73" spans="2:14" x14ac:dyDescent="0.35">
      <c r="B73" s="126"/>
      <c r="C73" s="176" t="s">
        <v>1026</v>
      </c>
      <c r="D73" s="75" t="s">
        <v>1186</v>
      </c>
      <c r="E73" s="628">
        <f>+Assum!J36</f>
        <v>0</v>
      </c>
      <c r="F73" s="628">
        <f>+'F1 Non-SEZ'!H32</f>
        <v>4.9962337640000003</v>
      </c>
      <c r="G73" s="628">
        <f>+'F1 Non-SEZ'!H16</f>
        <v>0.61406002560000039</v>
      </c>
      <c r="H73" s="629">
        <f>+F73+G73</f>
        <v>5.6102937896000009</v>
      </c>
      <c r="I73" s="630">
        <f>+E73-H73</f>
        <v>-5.6102937896000009</v>
      </c>
      <c r="J73" s="668"/>
      <c r="K73" s="629"/>
      <c r="L73" s="668"/>
      <c r="M73" s="75"/>
      <c r="N73" s="75"/>
    </row>
    <row r="74" spans="2:14" x14ac:dyDescent="0.35">
      <c r="B74" s="75"/>
      <c r="C74" s="128" t="s">
        <v>827</v>
      </c>
      <c r="D74" s="128" t="s">
        <v>1186</v>
      </c>
      <c r="E74" s="628">
        <f>+'F1.4'!I42+'F1.4'!I46/(1-'F1.4'!I43)</f>
        <v>39.725430531545456</v>
      </c>
      <c r="F74" s="630">
        <f>+F72+F73</f>
        <v>5.1533617640000005</v>
      </c>
      <c r="G74" s="630">
        <f>+G72+G73</f>
        <v>34.205297605599995</v>
      </c>
      <c r="H74" s="631">
        <f>+F74+G74</f>
        <v>39.358659369599998</v>
      </c>
      <c r="I74" s="630">
        <f>+E74-H74</f>
        <v>0.36677116194545789</v>
      </c>
      <c r="J74" s="668">
        <f>+I74/E74</f>
        <v>9.2326541723496136E-3</v>
      </c>
      <c r="K74" s="631">
        <f>+I74</f>
        <v>0.36677116194545789</v>
      </c>
      <c r="L74" s="668">
        <f>+K74/E74</f>
        <v>9.2326541723496136E-3</v>
      </c>
      <c r="M74" s="75"/>
      <c r="N74" s="75"/>
    </row>
    <row r="75" spans="2:14" x14ac:dyDescent="0.35">
      <c r="B75" s="127"/>
      <c r="C75" s="75"/>
      <c r="D75" s="128"/>
      <c r="E75" s="630"/>
      <c r="F75" s="128"/>
      <c r="G75" s="128"/>
      <c r="H75" s="128"/>
      <c r="I75" s="75"/>
      <c r="J75" s="667"/>
      <c r="K75" s="75"/>
      <c r="L75" s="667"/>
      <c r="M75" s="75"/>
      <c r="N75" s="75"/>
    </row>
    <row r="76" spans="2:14" x14ac:dyDescent="0.35">
      <c r="B76" s="127" t="s">
        <v>228</v>
      </c>
      <c r="C76" s="128" t="s">
        <v>229</v>
      </c>
      <c r="D76" s="128"/>
      <c r="E76" s="630"/>
      <c r="F76" s="128"/>
      <c r="G76" s="128"/>
      <c r="H76" s="128"/>
      <c r="I76" s="75"/>
      <c r="J76" s="667"/>
      <c r="K76" s="75"/>
      <c r="L76" s="667"/>
      <c r="M76" s="75"/>
      <c r="N76" s="75"/>
    </row>
    <row r="77" spans="2:14" x14ac:dyDescent="0.35">
      <c r="B77" s="130"/>
      <c r="C77" s="131"/>
      <c r="D77" s="131"/>
      <c r="E77" s="750"/>
      <c r="F77" s="131"/>
      <c r="G77" s="131"/>
      <c r="H77" s="131"/>
      <c r="I77" s="103"/>
      <c r="J77" s="669"/>
      <c r="K77" s="103"/>
      <c r="L77" s="669"/>
      <c r="M77" s="103"/>
      <c r="N77" s="103"/>
    </row>
    <row r="79" spans="2:14" x14ac:dyDescent="0.35">
      <c r="B79" s="32" t="s">
        <v>231</v>
      </c>
      <c r="C79" s="32"/>
      <c r="D79" s="99"/>
      <c r="E79" s="747"/>
      <c r="F79" s="11"/>
      <c r="G79" s="11"/>
      <c r="H79" s="11"/>
      <c r="I79" s="11"/>
      <c r="J79" s="664"/>
    </row>
    <row r="80" spans="2:14" x14ac:dyDescent="0.35">
      <c r="D80" s="12"/>
      <c r="E80" s="748"/>
      <c r="F80" s="41"/>
      <c r="G80" s="41"/>
      <c r="H80" s="41"/>
      <c r="K80" s="27"/>
      <c r="L80" s="671"/>
      <c r="N80" s="129" t="s">
        <v>171</v>
      </c>
    </row>
    <row r="81" spans="2:14" ht="47.75" customHeight="1" x14ac:dyDescent="0.35">
      <c r="B81" s="98" t="s">
        <v>214</v>
      </c>
      <c r="C81" s="98" t="s">
        <v>111</v>
      </c>
      <c r="D81" s="98" t="s">
        <v>215</v>
      </c>
      <c r="E81" s="749" t="s">
        <v>216</v>
      </c>
      <c r="F81" s="98" t="s">
        <v>217</v>
      </c>
      <c r="G81" s="98" t="s">
        <v>218</v>
      </c>
      <c r="H81" s="98" t="s">
        <v>219</v>
      </c>
      <c r="I81" s="98" t="s">
        <v>220</v>
      </c>
      <c r="J81" s="665" t="s">
        <v>221</v>
      </c>
      <c r="K81" s="98" t="s">
        <v>222</v>
      </c>
      <c r="L81" s="665" t="s">
        <v>223</v>
      </c>
      <c r="M81" s="98" t="s">
        <v>224</v>
      </c>
      <c r="N81" s="98" t="s">
        <v>225</v>
      </c>
    </row>
    <row r="82" spans="2:14" x14ac:dyDescent="0.35">
      <c r="B82" s="124" t="s">
        <v>226</v>
      </c>
      <c r="C82" s="124" t="s">
        <v>227</v>
      </c>
      <c r="D82" s="124"/>
      <c r="E82" s="530"/>
      <c r="F82" s="124"/>
      <c r="G82" s="124"/>
      <c r="H82" s="124"/>
      <c r="I82" s="124"/>
      <c r="J82" s="666"/>
      <c r="K82" s="124"/>
      <c r="L82" s="666"/>
      <c r="M82" s="124"/>
      <c r="N82" s="124"/>
    </row>
    <row r="83" spans="2:14" x14ac:dyDescent="0.35">
      <c r="B83" s="75"/>
      <c r="C83" s="75" t="s">
        <v>1025</v>
      </c>
      <c r="D83" s="75" t="s">
        <v>1186</v>
      </c>
      <c r="E83" s="628">
        <f>+Assum!K35</f>
        <v>0</v>
      </c>
      <c r="F83" s="628">
        <f>+'F1 SEZ'!I32</f>
        <v>0.15240800000000002</v>
      </c>
      <c r="G83" s="628">
        <f>+'F1 SEZ'!I16</f>
        <v>73.00449673</v>
      </c>
      <c r="H83" s="629">
        <f>+F83+G83</f>
        <v>73.156904729999994</v>
      </c>
      <c r="I83" s="630">
        <f>+E83-H83</f>
        <v>-73.156904729999994</v>
      </c>
      <c r="J83" s="668"/>
      <c r="K83" s="629"/>
      <c r="L83" s="668"/>
      <c r="M83" s="75"/>
      <c r="N83" s="75"/>
    </row>
    <row r="84" spans="2:14" x14ac:dyDescent="0.35">
      <c r="B84" s="126"/>
      <c r="C84" s="176" t="s">
        <v>1026</v>
      </c>
      <c r="D84" s="75" t="s">
        <v>1186</v>
      </c>
      <c r="E84" s="628">
        <f>+Assum!K36</f>
        <v>0</v>
      </c>
      <c r="F84" s="628">
        <f>+'F1 Non-SEZ'!I32</f>
        <v>6.5526458629999986</v>
      </c>
      <c r="G84" s="628">
        <f>+'F1 Non-SEZ'!I16</f>
        <v>0.65231507000000222</v>
      </c>
      <c r="H84" s="629">
        <f>+F84+G84</f>
        <v>7.2049609330000006</v>
      </c>
      <c r="I84" s="630">
        <f>+E84-H84</f>
        <v>-7.2049609330000006</v>
      </c>
      <c r="J84" s="668"/>
      <c r="K84" s="629"/>
      <c r="L84" s="668"/>
      <c r="M84" s="75"/>
      <c r="N84" s="75"/>
    </row>
    <row r="85" spans="2:14" x14ac:dyDescent="0.35">
      <c r="B85" s="126"/>
      <c r="C85" s="128" t="s">
        <v>827</v>
      </c>
      <c r="D85" s="128" t="s">
        <v>1186</v>
      </c>
      <c r="E85" s="628">
        <f>+'F1.4'!J42+'F1.4'!J46/(1-'F1.4'!J43)</f>
        <v>80.713181899377688</v>
      </c>
      <c r="F85" s="630">
        <f>+F83+F84</f>
        <v>6.7050538629999989</v>
      </c>
      <c r="G85" s="630">
        <f>+G83+G84</f>
        <v>73.6568118</v>
      </c>
      <c r="H85" s="631">
        <f>+F85+G85</f>
        <v>80.361865663000003</v>
      </c>
      <c r="I85" s="630">
        <f>+E85-H85</f>
        <v>0.35131623637768428</v>
      </c>
      <c r="J85" s="668">
        <f>+I85/E85</f>
        <v>4.3526500642194731E-3</v>
      </c>
      <c r="K85" s="631">
        <f>+I85</f>
        <v>0.35131623637768428</v>
      </c>
      <c r="L85" s="668">
        <f>+K85/E85</f>
        <v>4.3526500642194731E-3</v>
      </c>
      <c r="M85" s="75"/>
      <c r="N85" s="75"/>
    </row>
    <row r="86" spans="2:14" x14ac:dyDescent="0.35">
      <c r="B86" s="127"/>
      <c r="C86" s="75"/>
      <c r="D86" s="128"/>
      <c r="E86" s="630"/>
      <c r="F86" s="128"/>
      <c r="G86" s="128"/>
      <c r="H86" s="128"/>
      <c r="I86" s="75"/>
      <c r="J86" s="667"/>
      <c r="K86" s="75"/>
      <c r="L86" s="667"/>
      <c r="M86" s="75"/>
      <c r="N86" s="75"/>
    </row>
    <row r="87" spans="2:14" x14ac:dyDescent="0.35">
      <c r="B87" s="127" t="s">
        <v>228</v>
      </c>
      <c r="C87" s="128" t="s">
        <v>229</v>
      </c>
      <c r="D87" s="128"/>
      <c r="E87" s="630"/>
      <c r="F87" s="128"/>
      <c r="G87" s="128"/>
      <c r="H87" s="128"/>
      <c r="I87" s="75"/>
      <c r="J87" s="667"/>
      <c r="K87" s="75"/>
      <c r="L87" s="667"/>
      <c r="M87" s="75"/>
      <c r="N87" s="75"/>
    </row>
    <row r="90" spans="2:14" x14ac:dyDescent="0.35">
      <c r="B90" s="32" t="s">
        <v>189</v>
      </c>
      <c r="C90" s="32"/>
      <c r="D90" s="99"/>
      <c r="E90" s="747"/>
      <c r="F90" s="11"/>
      <c r="G90" s="11"/>
      <c r="H90" s="11"/>
      <c r="I90" s="11"/>
      <c r="J90" s="664"/>
    </row>
    <row r="91" spans="2:14" x14ac:dyDescent="0.35">
      <c r="B91" s="118"/>
      <c r="C91" s="118"/>
      <c r="D91" s="12"/>
      <c r="E91" s="748"/>
      <c r="F91" s="41"/>
      <c r="G91" s="41"/>
      <c r="H91" s="41"/>
      <c r="J91" s="670"/>
      <c r="K91" s="27"/>
      <c r="L91" s="671"/>
      <c r="N91" s="129" t="s">
        <v>171</v>
      </c>
    </row>
    <row r="92" spans="2:14" ht="47.75" customHeight="1" x14ac:dyDescent="0.35">
      <c r="B92" s="98" t="s">
        <v>214</v>
      </c>
      <c r="C92" s="98" t="s">
        <v>111</v>
      </c>
      <c r="D92" s="98" t="s">
        <v>215</v>
      </c>
      <c r="E92" s="749" t="s">
        <v>216</v>
      </c>
      <c r="F92" s="98" t="s">
        <v>217</v>
      </c>
      <c r="G92" s="98" t="s">
        <v>218</v>
      </c>
      <c r="H92" s="98" t="s">
        <v>219</v>
      </c>
      <c r="I92" s="98" t="s">
        <v>220</v>
      </c>
      <c r="J92" s="665" t="s">
        <v>221</v>
      </c>
      <c r="K92" s="98" t="s">
        <v>222</v>
      </c>
      <c r="L92" s="665" t="s">
        <v>223</v>
      </c>
      <c r="M92" s="98" t="s">
        <v>224</v>
      </c>
      <c r="N92" s="98" t="s">
        <v>225</v>
      </c>
    </row>
    <row r="93" spans="2:14" x14ac:dyDescent="0.35">
      <c r="B93" s="75"/>
      <c r="C93" s="75"/>
      <c r="D93" s="75"/>
      <c r="E93" s="628"/>
      <c r="F93" s="75"/>
      <c r="G93" s="75"/>
      <c r="H93" s="75"/>
      <c r="I93" s="75"/>
      <c r="J93" s="667"/>
      <c r="K93" s="75"/>
      <c r="L93" s="667"/>
      <c r="M93" s="75"/>
      <c r="N93" s="75"/>
    </row>
    <row r="94" spans="2:14" x14ac:dyDescent="0.35">
      <c r="B94" s="126"/>
      <c r="C94" s="75" t="s">
        <v>1025</v>
      </c>
      <c r="D94" s="75" t="s">
        <v>1186</v>
      </c>
      <c r="E94" s="628"/>
      <c r="F94" s="628">
        <f>+'F1 SEZ'!J32</f>
        <v>0.28149877689981789</v>
      </c>
      <c r="G94" s="628">
        <f>+'F1 SEZ'!J16</f>
        <v>130.42281430540481</v>
      </c>
      <c r="H94" s="629">
        <f>+F94+G94</f>
        <v>130.70431308230462</v>
      </c>
      <c r="I94" s="630">
        <f>+E94-H94</f>
        <v>-130.70431308230462</v>
      </c>
      <c r="J94" s="668"/>
      <c r="K94" s="629"/>
      <c r="L94" s="668"/>
      <c r="M94" s="75"/>
      <c r="N94" s="75"/>
    </row>
    <row r="95" spans="2:14" x14ac:dyDescent="0.35">
      <c r="B95" s="126"/>
      <c r="C95" s="176" t="s">
        <v>1026</v>
      </c>
      <c r="D95" s="75" t="s">
        <v>1186</v>
      </c>
      <c r="E95" s="628"/>
      <c r="F95" s="628">
        <f>+'F1 Non-SEZ'!J32</f>
        <v>8.9508788610023284</v>
      </c>
      <c r="G95" s="628">
        <f>+'F1 Non-SEZ'!J16</f>
        <v>0.77754305669302648</v>
      </c>
      <c r="H95" s="629">
        <f>+F95+G95</f>
        <v>9.7284219176953552</v>
      </c>
      <c r="I95" s="630">
        <f>+E95-H95</f>
        <v>-9.7284219176953552</v>
      </c>
      <c r="J95" s="668"/>
      <c r="K95" s="629"/>
      <c r="L95" s="668"/>
      <c r="M95" s="75"/>
      <c r="N95" s="75"/>
    </row>
    <row r="96" spans="2:14" x14ac:dyDescent="0.35">
      <c r="B96" s="75"/>
      <c r="C96" s="128" t="s">
        <v>827</v>
      </c>
      <c r="D96" s="128" t="s">
        <v>1186</v>
      </c>
      <c r="E96" s="628">
        <f>+'F1.4'!K42+'F1.4'!K46/(1-'F1.4'!K43)</f>
        <v>141.0466617613736</v>
      </c>
      <c r="F96" s="630">
        <f>+F94+F95</f>
        <v>9.2323776379021467</v>
      </c>
      <c r="G96" s="630">
        <f>+G94+G95</f>
        <v>131.20035736209783</v>
      </c>
      <c r="H96" s="631">
        <f>+F96+G96</f>
        <v>140.43273499999998</v>
      </c>
      <c r="I96" s="630">
        <f>+E96-H96</f>
        <v>0.61392676137361946</v>
      </c>
      <c r="J96" s="668">
        <f>+I96/E96</f>
        <v>4.3526500642197168E-3</v>
      </c>
      <c r="K96" s="631">
        <f>+I96</f>
        <v>0.61392676137361946</v>
      </c>
      <c r="L96" s="668">
        <f>+K96/E96</f>
        <v>4.3526500642197168E-3</v>
      </c>
      <c r="M96" s="75"/>
      <c r="N96" s="75"/>
    </row>
    <row r="97" spans="2:14" x14ac:dyDescent="0.35">
      <c r="B97" s="130"/>
      <c r="C97" s="103"/>
      <c r="D97" s="131"/>
      <c r="E97" s="750"/>
      <c r="F97" s="131"/>
      <c r="G97" s="131"/>
      <c r="H97" s="131"/>
      <c r="I97" s="103"/>
      <c r="J97" s="669"/>
      <c r="K97" s="103"/>
      <c r="L97" s="669"/>
      <c r="M97" s="103"/>
      <c r="N97" s="103"/>
    </row>
    <row r="98" spans="2:14" x14ac:dyDescent="0.35">
      <c r="B98" s="10" t="s">
        <v>148</v>
      </c>
      <c r="C98" s="103"/>
      <c r="D98" s="131"/>
      <c r="E98" s="750"/>
      <c r="F98" s="131"/>
      <c r="G98" s="131"/>
      <c r="H98" s="131"/>
      <c r="I98" s="103"/>
      <c r="J98" s="669"/>
      <c r="K98" s="103"/>
      <c r="L98" s="669"/>
      <c r="M98" s="103"/>
      <c r="N98" s="103"/>
    </row>
    <row r="99" spans="2:14" x14ac:dyDescent="0.35">
      <c r="B99" s="130"/>
      <c r="C99" s="130"/>
      <c r="D99" s="131"/>
      <c r="E99" s="750"/>
      <c r="F99" s="131"/>
      <c r="G99" s="131"/>
      <c r="H99" s="131"/>
      <c r="I99" s="103"/>
      <c r="J99" s="669"/>
      <c r="K99" s="103"/>
      <c r="L99" s="669"/>
      <c r="M99" s="103"/>
      <c r="N99" s="103"/>
    </row>
    <row r="101" spans="2:14" x14ac:dyDescent="0.35">
      <c r="B101" s="32" t="s">
        <v>190</v>
      </c>
      <c r="C101" s="32"/>
      <c r="D101" s="99"/>
      <c r="E101" s="747"/>
      <c r="F101" s="11"/>
      <c r="G101" s="11"/>
      <c r="H101" s="11"/>
      <c r="I101" s="11"/>
      <c r="J101" s="664"/>
    </row>
    <row r="102" spans="2:14" x14ac:dyDescent="0.35">
      <c r="B102" s="118"/>
      <c r="C102" s="118"/>
      <c r="D102" s="12"/>
      <c r="E102" s="748"/>
      <c r="F102" s="41"/>
      <c r="G102" s="41"/>
      <c r="H102" s="41"/>
      <c r="J102" s="670"/>
      <c r="K102" s="27"/>
      <c r="L102" s="671"/>
      <c r="N102" s="129" t="s">
        <v>171</v>
      </c>
    </row>
    <row r="103" spans="2:14" ht="47.75" customHeight="1" x14ac:dyDescent="0.35">
      <c r="B103" s="98" t="s">
        <v>214</v>
      </c>
      <c r="C103" s="98" t="s">
        <v>111</v>
      </c>
      <c r="D103" s="98" t="s">
        <v>215</v>
      </c>
      <c r="E103" s="749" t="s">
        <v>216</v>
      </c>
      <c r="F103" s="98" t="s">
        <v>217</v>
      </c>
      <c r="G103" s="98" t="s">
        <v>218</v>
      </c>
      <c r="H103" s="98" t="s">
        <v>219</v>
      </c>
      <c r="I103" s="98" t="s">
        <v>220</v>
      </c>
      <c r="J103" s="665" t="s">
        <v>221</v>
      </c>
      <c r="K103" s="98" t="s">
        <v>222</v>
      </c>
      <c r="L103" s="665" t="s">
        <v>223</v>
      </c>
      <c r="M103" s="98" t="s">
        <v>224</v>
      </c>
      <c r="N103" s="98" t="s">
        <v>225</v>
      </c>
    </row>
    <row r="104" spans="2:14" x14ac:dyDescent="0.35">
      <c r="B104" s="75"/>
      <c r="C104" s="75"/>
      <c r="D104" s="75"/>
      <c r="E104" s="628"/>
      <c r="F104" s="75"/>
      <c r="G104" s="75"/>
      <c r="H104" s="75"/>
      <c r="I104" s="75"/>
      <c r="J104" s="667"/>
      <c r="K104" s="75"/>
      <c r="L104" s="667"/>
      <c r="M104" s="75"/>
      <c r="N104" s="75"/>
    </row>
    <row r="105" spans="2:14" x14ac:dyDescent="0.35">
      <c r="B105" s="126"/>
      <c r="C105" s="75" t="s">
        <v>1025</v>
      </c>
      <c r="D105" s="75" t="s">
        <v>1186</v>
      </c>
      <c r="E105" s="628"/>
      <c r="F105" s="628">
        <f>+'F1 SEZ'!K32</f>
        <v>0.33779853227978168</v>
      </c>
      <c r="G105" s="628">
        <f>+'F1 SEZ'!K16</f>
        <v>162.59265396648576</v>
      </c>
      <c r="H105" s="629">
        <f>+F105+G105</f>
        <v>162.93045249876553</v>
      </c>
      <c r="I105" s="630">
        <f>+E105-H105</f>
        <v>-162.93045249876553</v>
      </c>
      <c r="J105" s="668"/>
      <c r="K105" s="629"/>
      <c r="L105" s="668"/>
      <c r="M105" s="75"/>
      <c r="N105" s="75"/>
    </row>
    <row r="106" spans="2:14" x14ac:dyDescent="0.35">
      <c r="B106" s="126"/>
      <c r="C106" s="176" t="s">
        <v>1026</v>
      </c>
      <c r="D106" s="75" t="s">
        <v>1186</v>
      </c>
      <c r="E106" s="628"/>
      <c r="F106" s="628">
        <f>+'F1 Non-SEZ'!K32</f>
        <v>10.741054633202797</v>
      </c>
      <c r="G106" s="628">
        <f>+'F1 Non-SEZ'!K16</f>
        <v>0.89609186803163177</v>
      </c>
      <c r="H106" s="629">
        <f>+F106+G106</f>
        <v>11.63714650123443</v>
      </c>
      <c r="I106" s="630">
        <f>+E106-H106</f>
        <v>-11.63714650123443</v>
      </c>
      <c r="J106" s="668"/>
      <c r="K106" s="629"/>
      <c r="L106" s="668"/>
      <c r="M106" s="75"/>
      <c r="N106" s="75"/>
    </row>
    <row r="107" spans="2:14" x14ac:dyDescent="0.35">
      <c r="B107" s="75"/>
      <c r="C107" s="128" t="s">
        <v>827</v>
      </c>
      <c r="D107" s="128" t="s">
        <v>1186</v>
      </c>
      <c r="E107" s="628">
        <f>+'F1.4'!L42+'F1.4'!L46/(1-'F1.4'!L46)</f>
        <v>175.34781011281243</v>
      </c>
      <c r="F107" s="630">
        <f>+F105+F106</f>
        <v>11.078853165482579</v>
      </c>
      <c r="G107" s="630">
        <f>+G105+G106</f>
        <v>163.48874583451737</v>
      </c>
      <c r="H107" s="631">
        <f>+F107+G107</f>
        <v>174.56759899999994</v>
      </c>
      <c r="I107" s="630">
        <f>+E107-H107</f>
        <v>0.78021111281248068</v>
      </c>
      <c r="J107" s="668">
        <f>+I107/E107</f>
        <v>4.4495058838232493E-3</v>
      </c>
      <c r="K107" s="631">
        <f>+I107</f>
        <v>0.78021111281248068</v>
      </c>
      <c r="L107" s="668">
        <f>+K107/E107</f>
        <v>4.4495058838232493E-3</v>
      </c>
      <c r="M107" s="75"/>
      <c r="N107" s="75"/>
    </row>
    <row r="108" spans="2:14" x14ac:dyDescent="0.35">
      <c r="B108" s="130"/>
      <c r="C108" s="130"/>
      <c r="D108" s="131"/>
      <c r="E108" s="750"/>
      <c r="F108" s="131"/>
      <c r="G108" s="131"/>
      <c r="H108" s="131"/>
      <c r="I108" s="103"/>
      <c r="J108" s="669"/>
      <c r="K108" s="103"/>
      <c r="L108" s="669"/>
      <c r="M108" s="103"/>
      <c r="N108" s="103"/>
    </row>
    <row r="109" spans="2:14" x14ac:dyDescent="0.35">
      <c r="B109" s="130"/>
      <c r="C109" s="130"/>
      <c r="D109" s="131"/>
      <c r="E109" s="750"/>
      <c r="F109" s="131"/>
      <c r="G109" s="131"/>
      <c r="H109" s="131"/>
      <c r="I109" s="103"/>
      <c r="J109" s="669"/>
      <c r="K109" s="103"/>
      <c r="L109" s="669"/>
      <c r="M109" s="103"/>
      <c r="N109" s="103"/>
    </row>
    <row r="110" spans="2:14" x14ac:dyDescent="0.35">
      <c r="B110" s="32" t="s">
        <v>191</v>
      </c>
      <c r="C110" s="32"/>
      <c r="D110" s="99"/>
      <c r="E110" s="747"/>
      <c r="F110" s="11"/>
      <c r="G110" s="11"/>
      <c r="H110" s="11"/>
      <c r="I110" s="11"/>
      <c r="J110" s="664"/>
    </row>
    <row r="111" spans="2:14" x14ac:dyDescent="0.35">
      <c r="B111" s="118"/>
      <c r="C111" s="118"/>
      <c r="D111" s="12"/>
      <c r="E111" s="748"/>
      <c r="F111" s="41"/>
      <c r="G111" s="41"/>
      <c r="H111" s="41"/>
      <c r="J111" s="670"/>
      <c r="K111" s="27"/>
      <c r="L111" s="671"/>
      <c r="N111" s="129" t="s">
        <v>171</v>
      </c>
    </row>
    <row r="112" spans="2:14" ht="47.75" customHeight="1" x14ac:dyDescent="0.35">
      <c r="B112" s="98" t="s">
        <v>214</v>
      </c>
      <c r="C112" s="98" t="s">
        <v>111</v>
      </c>
      <c r="D112" s="98" t="s">
        <v>215</v>
      </c>
      <c r="E112" s="749" t="s">
        <v>216</v>
      </c>
      <c r="F112" s="98" t="s">
        <v>217</v>
      </c>
      <c r="G112" s="98" t="s">
        <v>218</v>
      </c>
      <c r="H112" s="98" t="s">
        <v>219</v>
      </c>
      <c r="I112" s="98" t="s">
        <v>220</v>
      </c>
      <c r="J112" s="665" t="s">
        <v>221</v>
      </c>
      <c r="K112" s="98" t="s">
        <v>222</v>
      </c>
      <c r="L112" s="665" t="s">
        <v>223</v>
      </c>
      <c r="M112" s="98" t="s">
        <v>224</v>
      </c>
      <c r="N112" s="98" t="s">
        <v>225</v>
      </c>
    </row>
    <row r="113" spans="2:14" x14ac:dyDescent="0.35">
      <c r="B113" s="75"/>
      <c r="C113" s="75"/>
      <c r="D113" s="75"/>
      <c r="E113" s="628"/>
      <c r="F113" s="75"/>
      <c r="G113" s="75"/>
      <c r="H113" s="75"/>
      <c r="I113" s="75"/>
      <c r="J113" s="667"/>
      <c r="K113" s="75"/>
      <c r="L113" s="667"/>
      <c r="M113" s="75"/>
      <c r="N113" s="75"/>
    </row>
    <row r="114" spans="2:14" x14ac:dyDescent="0.35">
      <c r="B114" s="126"/>
      <c r="C114" s="75" t="s">
        <v>1025</v>
      </c>
      <c r="D114" s="75" t="s">
        <v>1186</v>
      </c>
      <c r="E114" s="628"/>
      <c r="F114" s="628">
        <f>+'F1 SEZ'!L32</f>
        <v>0.33779853227978168</v>
      </c>
      <c r="G114" s="628">
        <f>+'F1 SEZ'!L16</f>
        <v>203.16645396648576</v>
      </c>
      <c r="H114" s="629">
        <f>+F114+G114</f>
        <v>203.50425249876554</v>
      </c>
      <c r="I114" s="630">
        <f>+E114-H114</f>
        <v>-203.50425249876554</v>
      </c>
      <c r="J114" s="668"/>
      <c r="K114" s="629"/>
      <c r="L114" s="668"/>
      <c r="M114" s="75"/>
      <c r="N114" s="75"/>
    </row>
    <row r="115" spans="2:14" x14ac:dyDescent="0.35">
      <c r="B115" s="126"/>
      <c r="C115" s="176" t="s">
        <v>1026</v>
      </c>
      <c r="D115" s="75" t="s">
        <v>1186</v>
      </c>
      <c r="E115" s="628"/>
      <c r="F115" s="628">
        <f>+'F1 Non-SEZ'!L32</f>
        <v>10.741054633202797</v>
      </c>
      <c r="G115" s="628">
        <f>+'F1 Non-SEZ'!L16</f>
        <v>0.89609186803163143</v>
      </c>
      <c r="H115" s="629">
        <f>+F115+G115</f>
        <v>11.637146501234428</v>
      </c>
      <c r="I115" s="630">
        <f>+E115-H115</f>
        <v>-11.637146501234428</v>
      </c>
      <c r="J115" s="668"/>
      <c r="K115" s="629"/>
      <c r="L115" s="668"/>
      <c r="M115" s="75"/>
      <c r="N115" s="75"/>
    </row>
    <row r="116" spans="2:14" x14ac:dyDescent="0.35">
      <c r="B116" s="75"/>
      <c r="C116" s="128" t="s">
        <v>827</v>
      </c>
      <c r="D116" s="128" t="s">
        <v>1186</v>
      </c>
      <c r="E116" s="628">
        <f>+'F1.4'!M42+'F1.4'!M46/(1-'F1.4'!M43)</f>
        <v>216.08192801786359</v>
      </c>
      <c r="F116" s="630">
        <f>+F114+F115</f>
        <v>11.078853165482579</v>
      </c>
      <c r="G116" s="630">
        <f>+G114+G115</f>
        <v>204.06254583451738</v>
      </c>
      <c r="H116" s="631">
        <f>+F116+G116</f>
        <v>215.14139899999995</v>
      </c>
      <c r="I116" s="630">
        <f>+E116-H116</f>
        <v>0.94052901786363918</v>
      </c>
      <c r="J116" s="668">
        <f>+I116/E116</f>
        <v>4.3526500642195546E-3</v>
      </c>
      <c r="K116" s="631">
        <f>+I116</f>
        <v>0.94052901786363918</v>
      </c>
      <c r="L116" s="668">
        <f>+K116/E116</f>
        <v>4.3526500642195546E-3</v>
      </c>
      <c r="M116" s="75"/>
      <c r="N116" s="75"/>
    </row>
    <row r="117" spans="2:14" x14ac:dyDescent="0.35">
      <c r="B117" s="130"/>
      <c r="C117" s="130"/>
      <c r="D117" s="131"/>
      <c r="E117" s="750"/>
      <c r="F117" s="131"/>
      <c r="G117" s="131"/>
      <c r="H117" s="131"/>
      <c r="I117" s="103"/>
      <c r="J117" s="669"/>
      <c r="K117" s="103"/>
      <c r="L117" s="669"/>
      <c r="M117" s="103"/>
      <c r="N117" s="103"/>
    </row>
    <row r="118" spans="2:14" x14ac:dyDescent="0.35">
      <c r="B118" s="130"/>
      <c r="C118" s="130"/>
      <c r="D118" s="131"/>
      <c r="E118" s="750"/>
      <c r="F118" s="131"/>
      <c r="G118" s="131"/>
      <c r="H118" s="131"/>
      <c r="I118" s="103"/>
      <c r="J118" s="669"/>
      <c r="K118" s="103"/>
      <c r="L118" s="669"/>
      <c r="M118" s="103"/>
      <c r="N118" s="103"/>
    </row>
    <row r="119" spans="2:14" x14ac:dyDescent="0.35">
      <c r="B119" s="32" t="s">
        <v>192</v>
      </c>
      <c r="C119" s="32"/>
      <c r="D119" s="99"/>
      <c r="E119" s="747"/>
      <c r="F119" s="11"/>
      <c r="G119" s="11"/>
      <c r="H119" s="11"/>
      <c r="I119" s="11"/>
      <c r="J119" s="664"/>
    </row>
    <row r="120" spans="2:14" x14ac:dyDescent="0.35">
      <c r="B120" s="118"/>
      <c r="C120" s="118"/>
      <c r="D120" s="12"/>
      <c r="E120" s="748"/>
      <c r="F120" s="41"/>
      <c r="G120" s="41"/>
      <c r="H120" s="41"/>
      <c r="J120" s="670"/>
      <c r="K120" s="27"/>
      <c r="L120" s="671"/>
      <c r="N120" s="129" t="s">
        <v>171</v>
      </c>
    </row>
    <row r="121" spans="2:14" ht="47.75" customHeight="1" x14ac:dyDescent="0.35">
      <c r="B121" s="98" t="s">
        <v>214</v>
      </c>
      <c r="C121" s="98" t="s">
        <v>111</v>
      </c>
      <c r="D121" s="98" t="s">
        <v>215</v>
      </c>
      <c r="E121" s="749" t="s">
        <v>216</v>
      </c>
      <c r="F121" s="98" t="s">
        <v>217</v>
      </c>
      <c r="G121" s="98" t="s">
        <v>218</v>
      </c>
      <c r="H121" s="98" t="s">
        <v>219</v>
      </c>
      <c r="I121" s="98" t="s">
        <v>220</v>
      </c>
      <c r="J121" s="665" t="s">
        <v>221</v>
      </c>
      <c r="K121" s="98" t="s">
        <v>222</v>
      </c>
      <c r="L121" s="665" t="s">
        <v>223</v>
      </c>
      <c r="M121" s="98" t="s">
        <v>224</v>
      </c>
      <c r="N121" s="98" t="s">
        <v>225</v>
      </c>
    </row>
    <row r="122" spans="2:14" x14ac:dyDescent="0.35">
      <c r="B122" s="75"/>
      <c r="C122" s="75"/>
      <c r="D122" s="75"/>
      <c r="E122" s="628"/>
      <c r="F122" s="75"/>
      <c r="G122" s="75"/>
      <c r="H122" s="75"/>
      <c r="I122" s="75"/>
      <c r="J122" s="667"/>
      <c r="K122" s="75"/>
      <c r="L122" s="667"/>
      <c r="M122" s="75"/>
      <c r="N122" s="75"/>
    </row>
    <row r="123" spans="2:14" x14ac:dyDescent="0.35">
      <c r="B123" s="126"/>
      <c r="C123" s="75" t="s">
        <v>1025</v>
      </c>
      <c r="D123" s="75" t="s">
        <v>1186</v>
      </c>
      <c r="E123" s="628"/>
      <c r="F123" s="628">
        <f>+'F1 SEZ'!M32</f>
        <v>0.45039804303970876</v>
      </c>
      <c r="G123" s="628">
        <f>+'F1 SEZ'!M16</f>
        <v>243.80980528864771</v>
      </c>
      <c r="H123" s="629">
        <f>+F123+G123</f>
        <v>244.26020333168742</v>
      </c>
      <c r="I123" s="630">
        <f>+E123-H123</f>
        <v>-244.26020333168742</v>
      </c>
      <c r="J123" s="668"/>
      <c r="K123" s="629"/>
      <c r="L123" s="668"/>
      <c r="M123" s="75"/>
      <c r="N123" s="75"/>
    </row>
    <row r="124" spans="2:14" x14ac:dyDescent="0.35">
      <c r="B124" s="126"/>
      <c r="C124" s="176" t="s">
        <v>1026</v>
      </c>
      <c r="D124" s="75" t="s">
        <v>1186</v>
      </c>
      <c r="E124" s="628"/>
      <c r="F124" s="628">
        <f>+'F1 Non-SEZ'!M32</f>
        <v>14.321406177603722</v>
      </c>
      <c r="G124" s="628">
        <f>+'F1 Non-SEZ'!M16</f>
        <v>1.1331894907088413</v>
      </c>
      <c r="H124" s="629">
        <f>+F124+G124</f>
        <v>15.454595668312564</v>
      </c>
      <c r="I124" s="630">
        <f>+E124-H124</f>
        <v>-15.454595668312564</v>
      </c>
      <c r="J124" s="668"/>
      <c r="K124" s="629"/>
      <c r="L124" s="668"/>
      <c r="M124" s="75"/>
      <c r="N124" s="75"/>
    </row>
    <row r="125" spans="2:14" x14ac:dyDescent="0.35">
      <c r="B125" s="75"/>
      <c r="C125" s="128" t="s">
        <v>827</v>
      </c>
      <c r="D125" s="128" t="s">
        <v>1186</v>
      </c>
      <c r="E125" s="628">
        <f>+'F1.4'!N42+'F1.4'!N46/(1-'F1.4'!N43)</f>
        <v>260.85018859011842</v>
      </c>
      <c r="F125" s="630">
        <f>+F123+F124</f>
        <v>14.77180422064343</v>
      </c>
      <c r="G125" s="630">
        <f>+G123+G124</f>
        <v>244.94299477935655</v>
      </c>
      <c r="H125" s="631">
        <f>+F125+G125</f>
        <v>259.71479899999997</v>
      </c>
      <c r="I125" s="630">
        <f>+E125-H125</f>
        <v>1.1353895901184501</v>
      </c>
      <c r="J125" s="668">
        <f>+I125/E125</f>
        <v>4.3526500642195095E-3</v>
      </c>
      <c r="K125" s="631">
        <f>+I125</f>
        <v>1.1353895901184501</v>
      </c>
      <c r="L125" s="668">
        <f>+K125/E125</f>
        <v>4.3526500642195095E-3</v>
      </c>
      <c r="M125" s="75"/>
      <c r="N125" s="75"/>
    </row>
    <row r="126" spans="2:14" x14ac:dyDescent="0.35">
      <c r="B126" s="130"/>
      <c r="C126" s="130"/>
      <c r="D126" s="131"/>
      <c r="E126" s="750"/>
      <c r="F126" s="131"/>
      <c r="G126" s="131"/>
      <c r="H126" s="131"/>
      <c r="I126" s="103"/>
      <c r="J126" s="669"/>
      <c r="K126" s="103"/>
      <c r="L126" s="669"/>
      <c r="M126" s="103"/>
      <c r="N126" s="103"/>
    </row>
    <row r="127" spans="2:14" x14ac:dyDescent="0.35">
      <c r="B127" s="130"/>
      <c r="C127" s="130"/>
      <c r="D127" s="131"/>
      <c r="E127" s="750"/>
      <c r="F127" s="131"/>
      <c r="G127" s="131"/>
      <c r="H127" s="131"/>
      <c r="I127" s="103"/>
      <c r="J127" s="669"/>
      <c r="K127" s="103"/>
      <c r="L127" s="669"/>
      <c r="M127" s="103"/>
      <c r="N127" s="103"/>
    </row>
    <row r="128" spans="2:14" x14ac:dyDescent="0.35">
      <c r="B128" s="32" t="s">
        <v>193</v>
      </c>
      <c r="C128" s="32"/>
      <c r="D128" s="99"/>
      <c r="E128" s="747"/>
      <c r="F128" s="11"/>
      <c r="G128" s="11"/>
      <c r="H128" s="11"/>
      <c r="I128" s="11"/>
      <c r="J128" s="664"/>
    </row>
    <row r="129" spans="2:14" x14ac:dyDescent="0.35">
      <c r="B129" s="118"/>
      <c r="C129" s="118"/>
      <c r="D129" s="12"/>
      <c r="E129" s="748"/>
      <c r="F129" s="41"/>
      <c r="G129" s="41"/>
      <c r="H129" s="41"/>
      <c r="J129" s="670"/>
      <c r="K129" s="27"/>
      <c r="L129" s="671"/>
      <c r="N129" s="129" t="s">
        <v>171</v>
      </c>
    </row>
    <row r="130" spans="2:14" ht="47.75" customHeight="1" x14ac:dyDescent="0.35">
      <c r="B130" s="98" t="s">
        <v>214</v>
      </c>
      <c r="C130" s="98" t="s">
        <v>111</v>
      </c>
      <c r="D130" s="98" t="s">
        <v>215</v>
      </c>
      <c r="E130" s="749" t="s">
        <v>216</v>
      </c>
      <c r="F130" s="98" t="s">
        <v>217</v>
      </c>
      <c r="G130" s="98" t="s">
        <v>218</v>
      </c>
      <c r="H130" s="98" t="s">
        <v>219</v>
      </c>
      <c r="I130" s="98" t="s">
        <v>220</v>
      </c>
      <c r="J130" s="665" t="s">
        <v>221</v>
      </c>
      <c r="K130" s="98" t="s">
        <v>222</v>
      </c>
      <c r="L130" s="665" t="s">
        <v>223</v>
      </c>
      <c r="M130" s="98" t="s">
        <v>224</v>
      </c>
      <c r="N130" s="98" t="s">
        <v>225</v>
      </c>
    </row>
    <row r="131" spans="2:14" x14ac:dyDescent="0.35">
      <c r="B131" s="75"/>
      <c r="C131" s="75"/>
      <c r="D131" s="75"/>
      <c r="E131" s="628"/>
      <c r="F131" s="75"/>
      <c r="G131" s="75"/>
      <c r="H131" s="75"/>
      <c r="I131" s="75"/>
      <c r="J131" s="667"/>
      <c r="K131" s="75"/>
      <c r="L131" s="667"/>
      <c r="M131" s="75"/>
      <c r="N131" s="75"/>
    </row>
    <row r="132" spans="2:14" x14ac:dyDescent="0.35">
      <c r="B132" s="126"/>
      <c r="C132" s="75" t="s">
        <v>1025</v>
      </c>
      <c r="D132" s="75" t="s">
        <v>1186</v>
      </c>
      <c r="E132" s="628"/>
      <c r="F132" s="628">
        <f>+'F1 SEZ'!N32</f>
        <v>0.45039804303970876</v>
      </c>
      <c r="G132" s="628">
        <f>+'F1 SEZ'!N16</f>
        <v>264.8338052886478</v>
      </c>
      <c r="H132" s="629">
        <f>+F132+G132</f>
        <v>265.28420333168748</v>
      </c>
      <c r="I132" s="630">
        <f>+E132-H132</f>
        <v>-265.28420333168748</v>
      </c>
      <c r="J132" s="668"/>
      <c r="K132" s="629"/>
      <c r="L132" s="668"/>
      <c r="M132" s="75"/>
      <c r="N132" s="75"/>
    </row>
    <row r="133" spans="2:14" x14ac:dyDescent="0.35">
      <c r="B133" s="126"/>
      <c r="C133" s="176" t="s">
        <v>1026</v>
      </c>
      <c r="D133" s="75" t="s">
        <v>1186</v>
      </c>
      <c r="E133" s="628"/>
      <c r="F133" s="628">
        <f>+'F1 Non-SEZ'!N32</f>
        <v>14.321406177603723</v>
      </c>
      <c r="G133" s="628">
        <f>+'F1 Non-SEZ'!N16</f>
        <v>1.1331894907088413</v>
      </c>
      <c r="H133" s="629">
        <f>+F133+G133</f>
        <v>15.454595668312564</v>
      </c>
      <c r="I133" s="630">
        <f>+E133-H133</f>
        <v>-15.454595668312564</v>
      </c>
      <c r="J133" s="668"/>
      <c r="K133" s="629"/>
      <c r="L133" s="668"/>
      <c r="M133" s="75"/>
      <c r="N133" s="75"/>
    </row>
    <row r="134" spans="2:14" x14ac:dyDescent="0.35">
      <c r="B134" s="75"/>
      <c r="C134" s="128" t="s">
        <v>827</v>
      </c>
      <c r="D134" s="128" t="s">
        <v>1186</v>
      </c>
      <c r="E134" s="628">
        <f>+'F1.4'!O42+'F1.4'!O46/(1-'F1.4'!O43)</f>
        <v>281.96609875786612</v>
      </c>
      <c r="F134" s="630">
        <f>+F132+F133</f>
        <v>14.771804220643432</v>
      </c>
      <c r="G134" s="630">
        <f>+G132+G133</f>
        <v>265.96699477935664</v>
      </c>
      <c r="H134" s="631">
        <f>+F134+G134</f>
        <v>280.73879900000009</v>
      </c>
      <c r="I134" s="630">
        <f>+E134-H134</f>
        <v>1.2272997578660352</v>
      </c>
      <c r="J134" s="668">
        <f>+I134/E134</f>
        <v>4.3526500642191001E-3</v>
      </c>
      <c r="K134" s="631">
        <f>+I134</f>
        <v>1.2272997578660352</v>
      </c>
      <c r="L134" s="668">
        <f>+K134/E134</f>
        <v>4.3526500642191001E-3</v>
      </c>
      <c r="M134" s="75"/>
      <c r="N134" s="75"/>
    </row>
  </sheetData>
  <mergeCells count="3">
    <mergeCell ref="B3:N3"/>
    <mergeCell ref="B4:N4"/>
    <mergeCell ref="B5:N5"/>
  </mergeCells>
  <pageMargins left="0.35433070866141736" right="0.19685039370078741" top="0.47244094488188981" bottom="0.31496062992125984" header="0.23622047244094491" footer="0.23622047244094491"/>
  <pageSetup paperSize="9" scale="49" fitToHeight="2" orientation="landscape" r:id="rId1"/>
  <headerFooter alignWithMargins="0">
    <oddHeader>&amp;F</oddHeader>
  </headerFooter>
  <rowBreaks count="2" manualBreakCount="2">
    <brk id="77" max="16383" man="1"/>
    <brk id="9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P89"/>
  <sheetViews>
    <sheetView showGridLines="0" zoomScale="80" zoomScaleNormal="75" workbookViewId="0">
      <pane xSplit="3" ySplit="8" topLeftCell="D26" activePane="bottomRight" state="frozen"/>
      <selection activeCell="C90" sqref="B90:P113"/>
      <selection pane="topRight" activeCell="C90" sqref="B90:P113"/>
      <selection pane="bottomLeft" activeCell="C90" sqref="B90:P113"/>
      <selection pane="bottomRight" activeCell="K34" sqref="K34"/>
    </sheetView>
  </sheetViews>
  <sheetFormatPr defaultColWidth="9.33203125" defaultRowHeight="13.9" x14ac:dyDescent="0.35"/>
  <cols>
    <col min="1" max="1" width="6.6640625" style="57" customWidth="1"/>
    <col min="2" max="2" width="62.86328125" style="10" bestFit="1" customWidth="1"/>
    <col min="3" max="3" width="8.33203125" style="10" customWidth="1"/>
    <col min="4" max="9" width="11.19921875" style="57" bestFit="1" customWidth="1"/>
    <col min="10" max="10" width="13.33203125" style="57" bestFit="1" customWidth="1"/>
    <col min="11" max="15" width="11.19921875" style="57" bestFit="1" customWidth="1"/>
    <col min="16" max="253" width="9.33203125" style="10"/>
    <col min="254" max="254" width="6.6640625" style="10" customWidth="1"/>
    <col min="255" max="255" width="7" style="10" customWidth="1"/>
    <col min="256" max="256" width="17.6640625" style="10" bestFit="1" customWidth="1"/>
    <col min="257" max="257" width="12.6640625" style="10" customWidth="1"/>
    <col min="258" max="258" width="24" style="10" customWidth="1"/>
    <col min="259" max="259" width="13.46484375" style="10" bestFit="1" customWidth="1"/>
    <col min="260" max="260" width="13.6640625" style="10" customWidth="1"/>
    <col min="261" max="261" width="13.33203125" style="10" customWidth="1"/>
    <col min="262" max="262" width="22.46484375" style="10" customWidth="1"/>
    <col min="263" max="263" width="18.46484375" style="10" customWidth="1"/>
    <col min="264" max="264" width="22" style="10" customWidth="1"/>
    <col min="265" max="265" width="21.33203125" style="10" customWidth="1"/>
    <col min="266" max="266" width="23" style="10" customWidth="1"/>
    <col min="267" max="509" width="9.33203125" style="10"/>
    <col min="510" max="510" width="6.6640625" style="10" customWidth="1"/>
    <col min="511" max="511" width="7" style="10" customWidth="1"/>
    <col min="512" max="512" width="17.6640625" style="10" bestFit="1" customWidth="1"/>
    <col min="513" max="513" width="12.6640625" style="10" customWidth="1"/>
    <col min="514" max="514" width="24" style="10" customWidth="1"/>
    <col min="515" max="515" width="13.46484375" style="10" bestFit="1" customWidth="1"/>
    <col min="516" max="516" width="13.6640625" style="10" customWidth="1"/>
    <col min="517" max="517" width="13.33203125" style="10" customWidth="1"/>
    <col min="518" max="518" width="22.46484375" style="10" customWidth="1"/>
    <col min="519" max="519" width="18.46484375" style="10" customWidth="1"/>
    <col min="520" max="520" width="22" style="10" customWidth="1"/>
    <col min="521" max="521" width="21.33203125" style="10" customWidth="1"/>
    <col min="522" max="522" width="23" style="10" customWidth="1"/>
    <col min="523" max="765" width="9.33203125" style="10"/>
    <col min="766" max="766" width="6.6640625" style="10" customWidth="1"/>
    <col min="767" max="767" width="7" style="10" customWidth="1"/>
    <col min="768" max="768" width="17.6640625" style="10" bestFit="1" customWidth="1"/>
    <col min="769" max="769" width="12.6640625" style="10" customWidth="1"/>
    <col min="770" max="770" width="24" style="10" customWidth="1"/>
    <col min="771" max="771" width="13.46484375" style="10" bestFit="1" customWidth="1"/>
    <col min="772" max="772" width="13.6640625" style="10" customWidth="1"/>
    <col min="773" max="773" width="13.33203125" style="10" customWidth="1"/>
    <col min="774" max="774" width="22.46484375" style="10" customWidth="1"/>
    <col min="775" max="775" width="18.46484375" style="10" customWidth="1"/>
    <col min="776" max="776" width="22" style="10" customWidth="1"/>
    <col min="777" max="777" width="21.33203125" style="10" customWidth="1"/>
    <col min="778" max="778" width="23" style="10" customWidth="1"/>
    <col min="779" max="1021" width="9.33203125" style="10"/>
    <col min="1022" max="1022" width="6.6640625" style="10" customWidth="1"/>
    <col min="1023" max="1023" width="7" style="10" customWidth="1"/>
    <col min="1024" max="1024" width="17.6640625" style="10" bestFit="1" customWidth="1"/>
    <col min="1025" max="1025" width="12.6640625" style="10" customWidth="1"/>
    <col min="1026" max="1026" width="24" style="10" customWidth="1"/>
    <col min="1027" max="1027" width="13.46484375" style="10" bestFit="1" customWidth="1"/>
    <col min="1028" max="1028" width="13.6640625" style="10" customWidth="1"/>
    <col min="1029" max="1029" width="13.33203125" style="10" customWidth="1"/>
    <col min="1030" max="1030" width="22.46484375" style="10" customWidth="1"/>
    <col min="1031" max="1031" width="18.46484375" style="10" customWidth="1"/>
    <col min="1032" max="1032" width="22" style="10" customWidth="1"/>
    <col min="1033" max="1033" width="21.33203125" style="10" customWidth="1"/>
    <col min="1034" max="1034" width="23" style="10" customWidth="1"/>
    <col min="1035" max="1277" width="9.33203125" style="10"/>
    <col min="1278" max="1278" width="6.6640625" style="10" customWidth="1"/>
    <col min="1279" max="1279" width="7" style="10" customWidth="1"/>
    <col min="1280" max="1280" width="17.6640625" style="10" bestFit="1" customWidth="1"/>
    <col min="1281" max="1281" width="12.6640625" style="10" customWidth="1"/>
    <col min="1282" max="1282" width="24" style="10" customWidth="1"/>
    <col min="1283" max="1283" width="13.46484375" style="10" bestFit="1" customWidth="1"/>
    <col min="1284" max="1284" width="13.6640625" style="10" customWidth="1"/>
    <col min="1285" max="1285" width="13.33203125" style="10" customWidth="1"/>
    <col min="1286" max="1286" width="22.46484375" style="10" customWidth="1"/>
    <col min="1287" max="1287" width="18.46484375" style="10" customWidth="1"/>
    <col min="1288" max="1288" width="22" style="10" customWidth="1"/>
    <col min="1289" max="1289" width="21.33203125" style="10" customWidth="1"/>
    <col min="1290" max="1290" width="23" style="10" customWidth="1"/>
    <col min="1291" max="1533" width="9.33203125" style="10"/>
    <col min="1534" max="1534" width="6.6640625" style="10" customWidth="1"/>
    <col min="1535" max="1535" width="7" style="10" customWidth="1"/>
    <col min="1536" max="1536" width="17.6640625" style="10" bestFit="1" customWidth="1"/>
    <col min="1537" max="1537" width="12.6640625" style="10" customWidth="1"/>
    <col min="1538" max="1538" width="24" style="10" customWidth="1"/>
    <col min="1539" max="1539" width="13.46484375" style="10" bestFit="1" customWidth="1"/>
    <col min="1540" max="1540" width="13.6640625" style="10" customWidth="1"/>
    <col min="1541" max="1541" width="13.33203125" style="10" customWidth="1"/>
    <col min="1542" max="1542" width="22.46484375" style="10" customWidth="1"/>
    <col min="1543" max="1543" width="18.46484375" style="10" customWidth="1"/>
    <col min="1544" max="1544" width="22" style="10" customWidth="1"/>
    <col min="1545" max="1545" width="21.33203125" style="10" customWidth="1"/>
    <col min="1546" max="1546" width="23" style="10" customWidth="1"/>
    <col min="1547" max="1789" width="9.33203125" style="10"/>
    <col min="1790" max="1790" width="6.6640625" style="10" customWidth="1"/>
    <col min="1791" max="1791" width="7" style="10" customWidth="1"/>
    <col min="1792" max="1792" width="17.6640625" style="10" bestFit="1" customWidth="1"/>
    <col min="1793" max="1793" width="12.6640625" style="10" customWidth="1"/>
    <col min="1794" max="1794" width="24" style="10" customWidth="1"/>
    <col min="1795" max="1795" width="13.46484375" style="10" bestFit="1" customWidth="1"/>
    <col min="1796" max="1796" width="13.6640625" style="10" customWidth="1"/>
    <col min="1797" max="1797" width="13.33203125" style="10" customWidth="1"/>
    <col min="1798" max="1798" width="22.46484375" style="10" customWidth="1"/>
    <col min="1799" max="1799" width="18.46484375" style="10" customWidth="1"/>
    <col min="1800" max="1800" width="22" style="10" customWidth="1"/>
    <col min="1801" max="1801" width="21.33203125" style="10" customWidth="1"/>
    <col min="1802" max="1802" width="23" style="10" customWidth="1"/>
    <col min="1803" max="2045" width="9.33203125" style="10"/>
    <col min="2046" max="2046" width="6.6640625" style="10" customWidth="1"/>
    <col min="2047" max="2047" width="7" style="10" customWidth="1"/>
    <col min="2048" max="2048" width="17.6640625" style="10" bestFit="1" customWidth="1"/>
    <col min="2049" max="2049" width="12.6640625" style="10" customWidth="1"/>
    <col min="2050" max="2050" width="24" style="10" customWidth="1"/>
    <col min="2051" max="2051" width="13.46484375" style="10" bestFit="1" customWidth="1"/>
    <col min="2052" max="2052" width="13.6640625" style="10" customWidth="1"/>
    <col min="2053" max="2053" width="13.33203125" style="10" customWidth="1"/>
    <col min="2054" max="2054" width="22.46484375" style="10" customWidth="1"/>
    <col min="2055" max="2055" width="18.46484375" style="10" customWidth="1"/>
    <col min="2056" max="2056" width="22" style="10" customWidth="1"/>
    <col min="2057" max="2057" width="21.33203125" style="10" customWidth="1"/>
    <col min="2058" max="2058" width="23" style="10" customWidth="1"/>
    <col min="2059" max="2301" width="9.33203125" style="10"/>
    <col min="2302" max="2302" width="6.6640625" style="10" customWidth="1"/>
    <col min="2303" max="2303" width="7" style="10" customWidth="1"/>
    <col min="2304" max="2304" width="17.6640625" style="10" bestFit="1" customWidth="1"/>
    <col min="2305" max="2305" width="12.6640625" style="10" customWidth="1"/>
    <col min="2306" max="2306" width="24" style="10" customWidth="1"/>
    <col min="2307" max="2307" width="13.46484375" style="10" bestFit="1" customWidth="1"/>
    <col min="2308" max="2308" width="13.6640625" style="10" customWidth="1"/>
    <col min="2309" max="2309" width="13.33203125" style="10" customWidth="1"/>
    <col min="2310" max="2310" width="22.46484375" style="10" customWidth="1"/>
    <col min="2311" max="2311" width="18.46484375" style="10" customWidth="1"/>
    <col min="2312" max="2312" width="22" style="10" customWidth="1"/>
    <col min="2313" max="2313" width="21.33203125" style="10" customWidth="1"/>
    <col min="2314" max="2314" width="23" style="10" customWidth="1"/>
    <col min="2315" max="2557" width="9.33203125" style="10"/>
    <col min="2558" max="2558" width="6.6640625" style="10" customWidth="1"/>
    <col min="2559" max="2559" width="7" style="10" customWidth="1"/>
    <col min="2560" max="2560" width="17.6640625" style="10" bestFit="1" customWidth="1"/>
    <col min="2561" max="2561" width="12.6640625" style="10" customWidth="1"/>
    <col min="2562" max="2562" width="24" style="10" customWidth="1"/>
    <col min="2563" max="2563" width="13.46484375" style="10" bestFit="1" customWidth="1"/>
    <col min="2564" max="2564" width="13.6640625" style="10" customWidth="1"/>
    <col min="2565" max="2565" width="13.33203125" style="10" customWidth="1"/>
    <col min="2566" max="2566" width="22.46484375" style="10" customWidth="1"/>
    <col min="2567" max="2567" width="18.46484375" style="10" customWidth="1"/>
    <col min="2568" max="2568" width="22" style="10" customWidth="1"/>
    <col min="2569" max="2569" width="21.33203125" style="10" customWidth="1"/>
    <col min="2570" max="2570" width="23" style="10" customWidth="1"/>
    <col min="2571" max="2813" width="9.33203125" style="10"/>
    <col min="2814" max="2814" width="6.6640625" style="10" customWidth="1"/>
    <col min="2815" max="2815" width="7" style="10" customWidth="1"/>
    <col min="2816" max="2816" width="17.6640625" style="10" bestFit="1" customWidth="1"/>
    <col min="2817" max="2817" width="12.6640625" style="10" customWidth="1"/>
    <col min="2818" max="2818" width="24" style="10" customWidth="1"/>
    <col min="2819" max="2819" width="13.46484375" style="10" bestFit="1" customWidth="1"/>
    <col min="2820" max="2820" width="13.6640625" style="10" customWidth="1"/>
    <col min="2821" max="2821" width="13.33203125" style="10" customWidth="1"/>
    <col min="2822" max="2822" width="22.46484375" style="10" customWidth="1"/>
    <col min="2823" max="2823" width="18.46484375" style="10" customWidth="1"/>
    <col min="2824" max="2824" width="22" style="10" customWidth="1"/>
    <col min="2825" max="2825" width="21.33203125" style="10" customWidth="1"/>
    <col min="2826" max="2826" width="23" style="10" customWidth="1"/>
    <col min="2827" max="3069" width="9.33203125" style="10"/>
    <col min="3070" max="3070" width="6.6640625" style="10" customWidth="1"/>
    <col min="3071" max="3071" width="7" style="10" customWidth="1"/>
    <col min="3072" max="3072" width="17.6640625" style="10" bestFit="1" customWidth="1"/>
    <col min="3073" max="3073" width="12.6640625" style="10" customWidth="1"/>
    <col min="3074" max="3074" width="24" style="10" customWidth="1"/>
    <col min="3075" max="3075" width="13.46484375" style="10" bestFit="1" customWidth="1"/>
    <col min="3076" max="3076" width="13.6640625" style="10" customWidth="1"/>
    <col min="3077" max="3077" width="13.33203125" style="10" customWidth="1"/>
    <col min="3078" max="3078" width="22.46484375" style="10" customWidth="1"/>
    <col min="3079" max="3079" width="18.46484375" style="10" customWidth="1"/>
    <col min="3080" max="3080" width="22" style="10" customWidth="1"/>
    <col min="3081" max="3081" width="21.33203125" style="10" customWidth="1"/>
    <col min="3082" max="3082" width="23" style="10" customWidth="1"/>
    <col min="3083" max="3325" width="9.33203125" style="10"/>
    <col min="3326" max="3326" width="6.6640625" style="10" customWidth="1"/>
    <col min="3327" max="3327" width="7" style="10" customWidth="1"/>
    <col min="3328" max="3328" width="17.6640625" style="10" bestFit="1" customWidth="1"/>
    <col min="3329" max="3329" width="12.6640625" style="10" customWidth="1"/>
    <col min="3330" max="3330" width="24" style="10" customWidth="1"/>
    <col min="3331" max="3331" width="13.46484375" style="10" bestFit="1" customWidth="1"/>
    <col min="3332" max="3332" width="13.6640625" style="10" customWidth="1"/>
    <col min="3333" max="3333" width="13.33203125" style="10" customWidth="1"/>
    <col min="3334" max="3334" width="22.46484375" style="10" customWidth="1"/>
    <col min="3335" max="3335" width="18.46484375" style="10" customWidth="1"/>
    <col min="3336" max="3336" width="22" style="10" customWidth="1"/>
    <col min="3337" max="3337" width="21.33203125" style="10" customWidth="1"/>
    <col min="3338" max="3338" width="23" style="10" customWidth="1"/>
    <col min="3339" max="3581" width="9.33203125" style="10"/>
    <col min="3582" max="3582" width="6.6640625" style="10" customWidth="1"/>
    <col min="3583" max="3583" width="7" style="10" customWidth="1"/>
    <col min="3584" max="3584" width="17.6640625" style="10" bestFit="1" customWidth="1"/>
    <col min="3585" max="3585" width="12.6640625" style="10" customWidth="1"/>
    <col min="3586" max="3586" width="24" style="10" customWidth="1"/>
    <col min="3587" max="3587" width="13.46484375" style="10" bestFit="1" customWidth="1"/>
    <col min="3588" max="3588" width="13.6640625" style="10" customWidth="1"/>
    <col min="3589" max="3589" width="13.33203125" style="10" customWidth="1"/>
    <col min="3590" max="3590" width="22.46484375" style="10" customWidth="1"/>
    <col min="3591" max="3591" width="18.46484375" style="10" customWidth="1"/>
    <col min="3592" max="3592" width="22" style="10" customWidth="1"/>
    <col min="3593" max="3593" width="21.33203125" style="10" customWidth="1"/>
    <col min="3594" max="3594" width="23" style="10" customWidth="1"/>
    <col min="3595" max="3837" width="9.33203125" style="10"/>
    <col min="3838" max="3838" width="6.6640625" style="10" customWidth="1"/>
    <col min="3839" max="3839" width="7" style="10" customWidth="1"/>
    <col min="3840" max="3840" width="17.6640625" style="10" bestFit="1" customWidth="1"/>
    <col min="3841" max="3841" width="12.6640625" style="10" customWidth="1"/>
    <col min="3842" max="3842" width="24" style="10" customWidth="1"/>
    <col min="3843" max="3843" width="13.46484375" style="10" bestFit="1" customWidth="1"/>
    <col min="3844" max="3844" width="13.6640625" style="10" customWidth="1"/>
    <col min="3845" max="3845" width="13.33203125" style="10" customWidth="1"/>
    <col min="3846" max="3846" width="22.46484375" style="10" customWidth="1"/>
    <col min="3847" max="3847" width="18.46484375" style="10" customWidth="1"/>
    <col min="3848" max="3848" width="22" style="10" customWidth="1"/>
    <col min="3849" max="3849" width="21.33203125" style="10" customWidth="1"/>
    <col min="3850" max="3850" width="23" style="10" customWidth="1"/>
    <col min="3851" max="4093" width="9.33203125" style="10"/>
    <col min="4094" max="4094" width="6.6640625" style="10" customWidth="1"/>
    <col min="4095" max="4095" width="7" style="10" customWidth="1"/>
    <col min="4096" max="4096" width="17.6640625" style="10" bestFit="1" customWidth="1"/>
    <col min="4097" max="4097" width="12.6640625" style="10" customWidth="1"/>
    <col min="4098" max="4098" width="24" style="10" customWidth="1"/>
    <col min="4099" max="4099" width="13.46484375" style="10" bestFit="1" customWidth="1"/>
    <col min="4100" max="4100" width="13.6640625" style="10" customWidth="1"/>
    <col min="4101" max="4101" width="13.33203125" style="10" customWidth="1"/>
    <col min="4102" max="4102" width="22.46484375" style="10" customWidth="1"/>
    <col min="4103" max="4103" width="18.46484375" style="10" customWidth="1"/>
    <col min="4104" max="4104" width="22" style="10" customWidth="1"/>
    <col min="4105" max="4105" width="21.33203125" style="10" customWidth="1"/>
    <col min="4106" max="4106" width="23" style="10" customWidth="1"/>
    <col min="4107" max="4349" width="9.33203125" style="10"/>
    <col min="4350" max="4350" width="6.6640625" style="10" customWidth="1"/>
    <col min="4351" max="4351" width="7" style="10" customWidth="1"/>
    <col min="4352" max="4352" width="17.6640625" style="10" bestFit="1" customWidth="1"/>
    <col min="4353" max="4353" width="12.6640625" style="10" customWidth="1"/>
    <col min="4354" max="4354" width="24" style="10" customWidth="1"/>
    <col min="4355" max="4355" width="13.46484375" style="10" bestFit="1" customWidth="1"/>
    <col min="4356" max="4356" width="13.6640625" style="10" customWidth="1"/>
    <col min="4357" max="4357" width="13.33203125" style="10" customWidth="1"/>
    <col min="4358" max="4358" width="22.46484375" style="10" customWidth="1"/>
    <col min="4359" max="4359" width="18.46484375" style="10" customWidth="1"/>
    <col min="4360" max="4360" width="22" style="10" customWidth="1"/>
    <col min="4361" max="4361" width="21.33203125" style="10" customWidth="1"/>
    <col min="4362" max="4362" width="23" style="10" customWidth="1"/>
    <col min="4363" max="4605" width="9.33203125" style="10"/>
    <col min="4606" max="4606" width="6.6640625" style="10" customWidth="1"/>
    <col min="4607" max="4607" width="7" style="10" customWidth="1"/>
    <col min="4608" max="4608" width="17.6640625" style="10" bestFit="1" customWidth="1"/>
    <col min="4609" max="4609" width="12.6640625" style="10" customWidth="1"/>
    <col min="4610" max="4610" width="24" style="10" customWidth="1"/>
    <col min="4611" max="4611" width="13.46484375" style="10" bestFit="1" customWidth="1"/>
    <col min="4612" max="4612" width="13.6640625" style="10" customWidth="1"/>
    <col min="4613" max="4613" width="13.33203125" style="10" customWidth="1"/>
    <col min="4614" max="4614" width="22.46484375" style="10" customWidth="1"/>
    <col min="4615" max="4615" width="18.46484375" style="10" customWidth="1"/>
    <col min="4616" max="4616" width="22" style="10" customWidth="1"/>
    <col min="4617" max="4617" width="21.33203125" style="10" customWidth="1"/>
    <col min="4618" max="4618" width="23" style="10" customWidth="1"/>
    <col min="4619" max="4861" width="9.33203125" style="10"/>
    <col min="4862" max="4862" width="6.6640625" style="10" customWidth="1"/>
    <col min="4863" max="4863" width="7" style="10" customWidth="1"/>
    <col min="4864" max="4864" width="17.6640625" style="10" bestFit="1" customWidth="1"/>
    <col min="4865" max="4865" width="12.6640625" style="10" customWidth="1"/>
    <col min="4866" max="4866" width="24" style="10" customWidth="1"/>
    <col min="4867" max="4867" width="13.46484375" style="10" bestFit="1" customWidth="1"/>
    <col min="4868" max="4868" width="13.6640625" style="10" customWidth="1"/>
    <col min="4869" max="4869" width="13.33203125" style="10" customWidth="1"/>
    <col min="4870" max="4870" width="22.46484375" style="10" customWidth="1"/>
    <col min="4871" max="4871" width="18.46484375" style="10" customWidth="1"/>
    <col min="4872" max="4872" width="22" style="10" customWidth="1"/>
    <col min="4873" max="4873" width="21.33203125" style="10" customWidth="1"/>
    <col min="4874" max="4874" width="23" style="10" customWidth="1"/>
    <col min="4875" max="5117" width="9.33203125" style="10"/>
    <col min="5118" max="5118" width="6.6640625" style="10" customWidth="1"/>
    <col min="5119" max="5119" width="7" style="10" customWidth="1"/>
    <col min="5120" max="5120" width="17.6640625" style="10" bestFit="1" customWidth="1"/>
    <col min="5121" max="5121" width="12.6640625" style="10" customWidth="1"/>
    <col min="5122" max="5122" width="24" style="10" customWidth="1"/>
    <col min="5123" max="5123" width="13.46484375" style="10" bestFit="1" customWidth="1"/>
    <col min="5124" max="5124" width="13.6640625" style="10" customWidth="1"/>
    <col min="5125" max="5125" width="13.33203125" style="10" customWidth="1"/>
    <col min="5126" max="5126" width="22.46484375" style="10" customWidth="1"/>
    <col min="5127" max="5127" width="18.46484375" style="10" customWidth="1"/>
    <col min="5128" max="5128" width="22" style="10" customWidth="1"/>
    <col min="5129" max="5129" width="21.33203125" style="10" customWidth="1"/>
    <col min="5130" max="5130" width="23" style="10" customWidth="1"/>
    <col min="5131" max="5373" width="9.33203125" style="10"/>
    <col min="5374" max="5374" width="6.6640625" style="10" customWidth="1"/>
    <col min="5375" max="5375" width="7" style="10" customWidth="1"/>
    <col min="5376" max="5376" width="17.6640625" style="10" bestFit="1" customWidth="1"/>
    <col min="5377" max="5377" width="12.6640625" style="10" customWidth="1"/>
    <col min="5378" max="5378" width="24" style="10" customWidth="1"/>
    <col min="5379" max="5379" width="13.46484375" style="10" bestFit="1" customWidth="1"/>
    <col min="5380" max="5380" width="13.6640625" style="10" customWidth="1"/>
    <col min="5381" max="5381" width="13.33203125" style="10" customWidth="1"/>
    <col min="5382" max="5382" width="22.46484375" style="10" customWidth="1"/>
    <col min="5383" max="5383" width="18.46484375" style="10" customWidth="1"/>
    <col min="5384" max="5384" width="22" style="10" customWidth="1"/>
    <col min="5385" max="5385" width="21.33203125" style="10" customWidth="1"/>
    <col min="5386" max="5386" width="23" style="10" customWidth="1"/>
    <col min="5387" max="5629" width="9.33203125" style="10"/>
    <col min="5630" max="5630" width="6.6640625" style="10" customWidth="1"/>
    <col min="5631" max="5631" width="7" style="10" customWidth="1"/>
    <col min="5632" max="5632" width="17.6640625" style="10" bestFit="1" customWidth="1"/>
    <col min="5633" max="5633" width="12.6640625" style="10" customWidth="1"/>
    <col min="5634" max="5634" width="24" style="10" customWidth="1"/>
    <col min="5635" max="5635" width="13.46484375" style="10" bestFit="1" customWidth="1"/>
    <col min="5636" max="5636" width="13.6640625" style="10" customWidth="1"/>
    <col min="5637" max="5637" width="13.33203125" style="10" customWidth="1"/>
    <col min="5638" max="5638" width="22.46484375" style="10" customWidth="1"/>
    <col min="5639" max="5639" width="18.46484375" style="10" customWidth="1"/>
    <col min="5640" max="5640" width="22" style="10" customWidth="1"/>
    <col min="5641" max="5641" width="21.33203125" style="10" customWidth="1"/>
    <col min="5642" max="5642" width="23" style="10" customWidth="1"/>
    <col min="5643" max="5885" width="9.33203125" style="10"/>
    <col min="5886" max="5886" width="6.6640625" style="10" customWidth="1"/>
    <col min="5887" max="5887" width="7" style="10" customWidth="1"/>
    <col min="5888" max="5888" width="17.6640625" style="10" bestFit="1" customWidth="1"/>
    <col min="5889" max="5889" width="12.6640625" style="10" customWidth="1"/>
    <col min="5890" max="5890" width="24" style="10" customWidth="1"/>
    <col min="5891" max="5891" width="13.46484375" style="10" bestFit="1" customWidth="1"/>
    <col min="5892" max="5892" width="13.6640625" style="10" customWidth="1"/>
    <col min="5893" max="5893" width="13.33203125" style="10" customWidth="1"/>
    <col min="5894" max="5894" width="22.46484375" style="10" customWidth="1"/>
    <col min="5895" max="5895" width="18.46484375" style="10" customWidth="1"/>
    <col min="5896" max="5896" width="22" style="10" customWidth="1"/>
    <col min="5897" max="5897" width="21.33203125" style="10" customWidth="1"/>
    <col min="5898" max="5898" width="23" style="10" customWidth="1"/>
    <col min="5899" max="6141" width="9.33203125" style="10"/>
    <col min="6142" max="6142" width="6.6640625" style="10" customWidth="1"/>
    <col min="6143" max="6143" width="7" style="10" customWidth="1"/>
    <col min="6144" max="6144" width="17.6640625" style="10" bestFit="1" customWidth="1"/>
    <col min="6145" max="6145" width="12.6640625" style="10" customWidth="1"/>
    <col min="6146" max="6146" width="24" style="10" customWidth="1"/>
    <col min="6147" max="6147" width="13.46484375" style="10" bestFit="1" customWidth="1"/>
    <col min="6148" max="6148" width="13.6640625" style="10" customWidth="1"/>
    <col min="6149" max="6149" width="13.33203125" style="10" customWidth="1"/>
    <col min="6150" max="6150" width="22.46484375" style="10" customWidth="1"/>
    <col min="6151" max="6151" width="18.46484375" style="10" customWidth="1"/>
    <col min="6152" max="6152" width="22" style="10" customWidth="1"/>
    <col min="6153" max="6153" width="21.33203125" style="10" customWidth="1"/>
    <col min="6154" max="6154" width="23" style="10" customWidth="1"/>
    <col min="6155" max="6397" width="9.33203125" style="10"/>
    <col min="6398" max="6398" width="6.6640625" style="10" customWidth="1"/>
    <col min="6399" max="6399" width="7" style="10" customWidth="1"/>
    <col min="6400" max="6400" width="17.6640625" style="10" bestFit="1" customWidth="1"/>
    <col min="6401" max="6401" width="12.6640625" style="10" customWidth="1"/>
    <col min="6402" max="6402" width="24" style="10" customWidth="1"/>
    <col min="6403" max="6403" width="13.46484375" style="10" bestFit="1" customWidth="1"/>
    <col min="6404" max="6404" width="13.6640625" style="10" customWidth="1"/>
    <col min="6405" max="6405" width="13.33203125" style="10" customWidth="1"/>
    <col min="6406" max="6406" width="22.46484375" style="10" customWidth="1"/>
    <col min="6407" max="6407" width="18.46484375" style="10" customWidth="1"/>
    <col min="6408" max="6408" width="22" style="10" customWidth="1"/>
    <col min="6409" max="6409" width="21.33203125" style="10" customWidth="1"/>
    <col min="6410" max="6410" width="23" style="10" customWidth="1"/>
    <col min="6411" max="6653" width="9.33203125" style="10"/>
    <col min="6654" max="6654" width="6.6640625" style="10" customWidth="1"/>
    <col min="6655" max="6655" width="7" style="10" customWidth="1"/>
    <col min="6656" max="6656" width="17.6640625" style="10" bestFit="1" customWidth="1"/>
    <col min="6657" max="6657" width="12.6640625" style="10" customWidth="1"/>
    <col min="6658" max="6658" width="24" style="10" customWidth="1"/>
    <col min="6659" max="6659" width="13.46484375" style="10" bestFit="1" customWidth="1"/>
    <col min="6660" max="6660" width="13.6640625" style="10" customWidth="1"/>
    <col min="6661" max="6661" width="13.33203125" style="10" customWidth="1"/>
    <col min="6662" max="6662" width="22.46484375" style="10" customWidth="1"/>
    <col min="6663" max="6663" width="18.46484375" style="10" customWidth="1"/>
    <col min="6664" max="6664" width="22" style="10" customWidth="1"/>
    <col min="6665" max="6665" width="21.33203125" style="10" customWidth="1"/>
    <col min="6666" max="6666" width="23" style="10" customWidth="1"/>
    <col min="6667" max="6909" width="9.33203125" style="10"/>
    <col min="6910" max="6910" width="6.6640625" style="10" customWidth="1"/>
    <col min="6911" max="6911" width="7" style="10" customWidth="1"/>
    <col min="6912" max="6912" width="17.6640625" style="10" bestFit="1" customWidth="1"/>
    <col min="6913" max="6913" width="12.6640625" style="10" customWidth="1"/>
    <col min="6914" max="6914" width="24" style="10" customWidth="1"/>
    <col min="6915" max="6915" width="13.46484375" style="10" bestFit="1" customWidth="1"/>
    <col min="6916" max="6916" width="13.6640625" style="10" customWidth="1"/>
    <col min="6917" max="6917" width="13.33203125" style="10" customWidth="1"/>
    <col min="6918" max="6918" width="22.46484375" style="10" customWidth="1"/>
    <col min="6919" max="6919" width="18.46484375" style="10" customWidth="1"/>
    <col min="6920" max="6920" width="22" style="10" customWidth="1"/>
    <col min="6921" max="6921" width="21.33203125" style="10" customWidth="1"/>
    <col min="6922" max="6922" width="23" style="10" customWidth="1"/>
    <col min="6923" max="7165" width="9.33203125" style="10"/>
    <col min="7166" max="7166" width="6.6640625" style="10" customWidth="1"/>
    <col min="7167" max="7167" width="7" style="10" customWidth="1"/>
    <col min="7168" max="7168" width="17.6640625" style="10" bestFit="1" customWidth="1"/>
    <col min="7169" max="7169" width="12.6640625" style="10" customWidth="1"/>
    <col min="7170" max="7170" width="24" style="10" customWidth="1"/>
    <col min="7171" max="7171" width="13.46484375" style="10" bestFit="1" customWidth="1"/>
    <col min="7172" max="7172" width="13.6640625" style="10" customWidth="1"/>
    <col min="7173" max="7173" width="13.33203125" style="10" customWidth="1"/>
    <col min="7174" max="7174" width="22.46484375" style="10" customWidth="1"/>
    <col min="7175" max="7175" width="18.46484375" style="10" customWidth="1"/>
    <col min="7176" max="7176" width="22" style="10" customWidth="1"/>
    <col min="7177" max="7177" width="21.33203125" style="10" customWidth="1"/>
    <col min="7178" max="7178" width="23" style="10" customWidth="1"/>
    <col min="7179" max="7421" width="9.33203125" style="10"/>
    <col min="7422" max="7422" width="6.6640625" style="10" customWidth="1"/>
    <col min="7423" max="7423" width="7" style="10" customWidth="1"/>
    <col min="7424" max="7424" width="17.6640625" style="10" bestFit="1" customWidth="1"/>
    <col min="7425" max="7425" width="12.6640625" style="10" customWidth="1"/>
    <col min="7426" max="7426" width="24" style="10" customWidth="1"/>
    <col min="7427" max="7427" width="13.46484375" style="10" bestFit="1" customWidth="1"/>
    <col min="7428" max="7428" width="13.6640625" style="10" customWidth="1"/>
    <col min="7429" max="7429" width="13.33203125" style="10" customWidth="1"/>
    <col min="7430" max="7430" width="22.46484375" style="10" customWidth="1"/>
    <col min="7431" max="7431" width="18.46484375" style="10" customWidth="1"/>
    <col min="7432" max="7432" width="22" style="10" customWidth="1"/>
    <col min="7433" max="7433" width="21.33203125" style="10" customWidth="1"/>
    <col min="7434" max="7434" width="23" style="10" customWidth="1"/>
    <col min="7435" max="7677" width="9.33203125" style="10"/>
    <col min="7678" max="7678" width="6.6640625" style="10" customWidth="1"/>
    <col min="7679" max="7679" width="7" style="10" customWidth="1"/>
    <col min="7680" max="7680" width="17.6640625" style="10" bestFit="1" customWidth="1"/>
    <col min="7681" max="7681" width="12.6640625" style="10" customWidth="1"/>
    <col min="7682" max="7682" width="24" style="10" customWidth="1"/>
    <col min="7683" max="7683" width="13.46484375" style="10" bestFit="1" customWidth="1"/>
    <col min="7684" max="7684" width="13.6640625" style="10" customWidth="1"/>
    <col min="7685" max="7685" width="13.33203125" style="10" customWidth="1"/>
    <col min="7686" max="7686" width="22.46484375" style="10" customWidth="1"/>
    <col min="7687" max="7687" width="18.46484375" style="10" customWidth="1"/>
    <col min="7688" max="7688" width="22" style="10" customWidth="1"/>
    <col min="7689" max="7689" width="21.33203125" style="10" customWidth="1"/>
    <col min="7690" max="7690" width="23" style="10" customWidth="1"/>
    <col min="7691" max="7933" width="9.33203125" style="10"/>
    <col min="7934" max="7934" width="6.6640625" style="10" customWidth="1"/>
    <col min="7935" max="7935" width="7" style="10" customWidth="1"/>
    <col min="7936" max="7936" width="17.6640625" style="10" bestFit="1" customWidth="1"/>
    <col min="7937" max="7937" width="12.6640625" style="10" customWidth="1"/>
    <col min="7938" max="7938" width="24" style="10" customWidth="1"/>
    <col min="7939" max="7939" width="13.46484375" style="10" bestFit="1" customWidth="1"/>
    <col min="7940" max="7940" width="13.6640625" style="10" customWidth="1"/>
    <col min="7941" max="7941" width="13.33203125" style="10" customWidth="1"/>
    <col min="7942" max="7942" width="22.46484375" style="10" customWidth="1"/>
    <col min="7943" max="7943" width="18.46484375" style="10" customWidth="1"/>
    <col min="7944" max="7944" width="22" style="10" customWidth="1"/>
    <col min="7945" max="7945" width="21.33203125" style="10" customWidth="1"/>
    <col min="7946" max="7946" width="23" style="10" customWidth="1"/>
    <col min="7947" max="8189" width="9.33203125" style="10"/>
    <col min="8190" max="8190" width="6.6640625" style="10" customWidth="1"/>
    <col min="8191" max="8191" width="7" style="10" customWidth="1"/>
    <col min="8192" max="8192" width="17.6640625" style="10" bestFit="1" customWidth="1"/>
    <col min="8193" max="8193" width="12.6640625" style="10" customWidth="1"/>
    <col min="8194" max="8194" width="24" style="10" customWidth="1"/>
    <col min="8195" max="8195" width="13.46484375" style="10" bestFit="1" customWidth="1"/>
    <col min="8196" max="8196" width="13.6640625" style="10" customWidth="1"/>
    <col min="8197" max="8197" width="13.33203125" style="10" customWidth="1"/>
    <col min="8198" max="8198" width="22.46484375" style="10" customWidth="1"/>
    <col min="8199" max="8199" width="18.46484375" style="10" customWidth="1"/>
    <col min="8200" max="8200" width="22" style="10" customWidth="1"/>
    <col min="8201" max="8201" width="21.33203125" style="10" customWidth="1"/>
    <col min="8202" max="8202" width="23" style="10" customWidth="1"/>
    <col min="8203" max="8445" width="9.33203125" style="10"/>
    <col min="8446" max="8446" width="6.6640625" style="10" customWidth="1"/>
    <col min="8447" max="8447" width="7" style="10" customWidth="1"/>
    <col min="8448" max="8448" width="17.6640625" style="10" bestFit="1" customWidth="1"/>
    <col min="8449" max="8449" width="12.6640625" style="10" customWidth="1"/>
    <col min="8450" max="8450" width="24" style="10" customWidth="1"/>
    <col min="8451" max="8451" width="13.46484375" style="10" bestFit="1" customWidth="1"/>
    <col min="8452" max="8452" width="13.6640625" style="10" customWidth="1"/>
    <col min="8453" max="8453" width="13.33203125" style="10" customWidth="1"/>
    <col min="8454" max="8454" width="22.46484375" style="10" customWidth="1"/>
    <col min="8455" max="8455" width="18.46484375" style="10" customWidth="1"/>
    <col min="8456" max="8456" width="22" style="10" customWidth="1"/>
    <col min="8457" max="8457" width="21.33203125" style="10" customWidth="1"/>
    <col min="8458" max="8458" width="23" style="10" customWidth="1"/>
    <col min="8459" max="8701" width="9.33203125" style="10"/>
    <col min="8702" max="8702" width="6.6640625" style="10" customWidth="1"/>
    <col min="8703" max="8703" width="7" style="10" customWidth="1"/>
    <col min="8704" max="8704" width="17.6640625" style="10" bestFit="1" customWidth="1"/>
    <col min="8705" max="8705" width="12.6640625" style="10" customWidth="1"/>
    <col min="8706" max="8706" width="24" style="10" customWidth="1"/>
    <col min="8707" max="8707" width="13.46484375" style="10" bestFit="1" customWidth="1"/>
    <col min="8708" max="8708" width="13.6640625" style="10" customWidth="1"/>
    <col min="8709" max="8709" width="13.33203125" style="10" customWidth="1"/>
    <col min="8710" max="8710" width="22.46484375" style="10" customWidth="1"/>
    <col min="8711" max="8711" width="18.46484375" style="10" customWidth="1"/>
    <col min="8712" max="8712" width="22" style="10" customWidth="1"/>
    <col min="8713" max="8713" width="21.33203125" style="10" customWidth="1"/>
    <col min="8714" max="8714" width="23" style="10" customWidth="1"/>
    <col min="8715" max="8957" width="9.33203125" style="10"/>
    <col min="8958" max="8958" width="6.6640625" style="10" customWidth="1"/>
    <col min="8959" max="8959" width="7" style="10" customWidth="1"/>
    <col min="8960" max="8960" width="17.6640625" style="10" bestFit="1" customWidth="1"/>
    <col min="8961" max="8961" width="12.6640625" style="10" customWidth="1"/>
    <col min="8962" max="8962" width="24" style="10" customWidth="1"/>
    <col min="8963" max="8963" width="13.46484375" style="10" bestFit="1" customWidth="1"/>
    <col min="8964" max="8964" width="13.6640625" style="10" customWidth="1"/>
    <col min="8965" max="8965" width="13.33203125" style="10" customWidth="1"/>
    <col min="8966" max="8966" width="22.46484375" style="10" customWidth="1"/>
    <col min="8967" max="8967" width="18.46484375" style="10" customWidth="1"/>
    <col min="8968" max="8968" width="22" style="10" customWidth="1"/>
    <col min="8969" max="8969" width="21.33203125" style="10" customWidth="1"/>
    <col min="8970" max="8970" width="23" style="10" customWidth="1"/>
    <col min="8971" max="9213" width="9.33203125" style="10"/>
    <col min="9214" max="9214" width="6.6640625" style="10" customWidth="1"/>
    <col min="9215" max="9215" width="7" style="10" customWidth="1"/>
    <col min="9216" max="9216" width="17.6640625" style="10" bestFit="1" customWidth="1"/>
    <col min="9217" max="9217" width="12.6640625" style="10" customWidth="1"/>
    <col min="9218" max="9218" width="24" style="10" customWidth="1"/>
    <col min="9219" max="9219" width="13.46484375" style="10" bestFit="1" customWidth="1"/>
    <col min="9220" max="9220" width="13.6640625" style="10" customWidth="1"/>
    <col min="9221" max="9221" width="13.33203125" style="10" customWidth="1"/>
    <col min="9222" max="9222" width="22.46484375" style="10" customWidth="1"/>
    <col min="9223" max="9223" width="18.46484375" style="10" customWidth="1"/>
    <col min="9224" max="9224" width="22" style="10" customWidth="1"/>
    <col min="9225" max="9225" width="21.33203125" style="10" customWidth="1"/>
    <col min="9226" max="9226" width="23" style="10" customWidth="1"/>
    <col min="9227" max="9469" width="9.33203125" style="10"/>
    <col min="9470" max="9470" width="6.6640625" style="10" customWidth="1"/>
    <col min="9471" max="9471" width="7" style="10" customWidth="1"/>
    <col min="9472" max="9472" width="17.6640625" style="10" bestFit="1" customWidth="1"/>
    <col min="9473" max="9473" width="12.6640625" style="10" customWidth="1"/>
    <col min="9474" max="9474" width="24" style="10" customWidth="1"/>
    <col min="9475" max="9475" width="13.46484375" style="10" bestFit="1" customWidth="1"/>
    <col min="9476" max="9476" width="13.6640625" style="10" customWidth="1"/>
    <col min="9477" max="9477" width="13.33203125" style="10" customWidth="1"/>
    <col min="9478" max="9478" width="22.46484375" style="10" customWidth="1"/>
    <col min="9479" max="9479" width="18.46484375" style="10" customWidth="1"/>
    <col min="9480" max="9480" width="22" style="10" customWidth="1"/>
    <col min="9481" max="9481" width="21.33203125" style="10" customWidth="1"/>
    <col min="9482" max="9482" width="23" style="10" customWidth="1"/>
    <col min="9483" max="9725" width="9.33203125" style="10"/>
    <col min="9726" max="9726" width="6.6640625" style="10" customWidth="1"/>
    <col min="9727" max="9727" width="7" style="10" customWidth="1"/>
    <col min="9728" max="9728" width="17.6640625" style="10" bestFit="1" customWidth="1"/>
    <col min="9729" max="9729" width="12.6640625" style="10" customWidth="1"/>
    <col min="9730" max="9730" width="24" style="10" customWidth="1"/>
    <col min="9731" max="9731" width="13.46484375" style="10" bestFit="1" customWidth="1"/>
    <col min="9732" max="9732" width="13.6640625" style="10" customWidth="1"/>
    <col min="9733" max="9733" width="13.33203125" style="10" customWidth="1"/>
    <col min="9734" max="9734" width="22.46484375" style="10" customWidth="1"/>
    <col min="9735" max="9735" width="18.46484375" style="10" customWidth="1"/>
    <col min="9736" max="9736" width="22" style="10" customWidth="1"/>
    <col min="9737" max="9737" width="21.33203125" style="10" customWidth="1"/>
    <col min="9738" max="9738" width="23" style="10" customWidth="1"/>
    <col min="9739" max="9981" width="9.33203125" style="10"/>
    <col min="9982" max="9982" width="6.6640625" style="10" customWidth="1"/>
    <col min="9983" max="9983" width="7" style="10" customWidth="1"/>
    <col min="9984" max="9984" width="17.6640625" style="10" bestFit="1" customWidth="1"/>
    <col min="9985" max="9985" width="12.6640625" style="10" customWidth="1"/>
    <col min="9986" max="9986" width="24" style="10" customWidth="1"/>
    <col min="9987" max="9987" width="13.46484375" style="10" bestFit="1" customWidth="1"/>
    <col min="9988" max="9988" width="13.6640625" style="10" customWidth="1"/>
    <col min="9989" max="9989" width="13.33203125" style="10" customWidth="1"/>
    <col min="9990" max="9990" width="22.46484375" style="10" customWidth="1"/>
    <col min="9991" max="9991" width="18.46484375" style="10" customWidth="1"/>
    <col min="9992" max="9992" width="22" style="10" customWidth="1"/>
    <col min="9993" max="9993" width="21.33203125" style="10" customWidth="1"/>
    <col min="9994" max="9994" width="23" style="10" customWidth="1"/>
    <col min="9995" max="10237" width="9.33203125" style="10"/>
    <col min="10238" max="10238" width="6.6640625" style="10" customWidth="1"/>
    <col min="10239" max="10239" width="7" style="10" customWidth="1"/>
    <col min="10240" max="10240" width="17.6640625" style="10" bestFit="1" customWidth="1"/>
    <col min="10241" max="10241" width="12.6640625" style="10" customWidth="1"/>
    <col min="10242" max="10242" width="24" style="10" customWidth="1"/>
    <col min="10243" max="10243" width="13.46484375" style="10" bestFit="1" customWidth="1"/>
    <col min="10244" max="10244" width="13.6640625" style="10" customWidth="1"/>
    <col min="10245" max="10245" width="13.33203125" style="10" customWidth="1"/>
    <col min="10246" max="10246" width="22.46484375" style="10" customWidth="1"/>
    <col min="10247" max="10247" width="18.46484375" style="10" customWidth="1"/>
    <col min="10248" max="10248" width="22" style="10" customWidth="1"/>
    <col min="10249" max="10249" width="21.33203125" style="10" customWidth="1"/>
    <col min="10250" max="10250" width="23" style="10" customWidth="1"/>
    <col min="10251" max="10493" width="9.33203125" style="10"/>
    <col min="10494" max="10494" width="6.6640625" style="10" customWidth="1"/>
    <col min="10495" max="10495" width="7" style="10" customWidth="1"/>
    <col min="10496" max="10496" width="17.6640625" style="10" bestFit="1" customWidth="1"/>
    <col min="10497" max="10497" width="12.6640625" style="10" customWidth="1"/>
    <col min="10498" max="10498" width="24" style="10" customWidth="1"/>
    <col min="10499" max="10499" width="13.46484375" style="10" bestFit="1" customWidth="1"/>
    <col min="10500" max="10500" width="13.6640625" style="10" customWidth="1"/>
    <col min="10501" max="10501" width="13.33203125" style="10" customWidth="1"/>
    <col min="10502" max="10502" width="22.46484375" style="10" customWidth="1"/>
    <col min="10503" max="10503" width="18.46484375" style="10" customWidth="1"/>
    <col min="10504" max="10504" width="22" style="10" customWidth="1"/>
    <col min="10505" max="10505" width="21.33203125" style="10" customWidth="1"/>
    <col min="10506" max="10506" width="23" style="10" customWidth="1"/>
    <col min="10507" max="10749" width="9.33203125" style="10"/>
    <col min="10750" max="10750" width="6.6640625" style="10" customWidth="1"/>
    <col min="10751" max="10751" width="7" style="10" customWidth="1"/>
    <col min="10752" max="10752" width="17.6640625" style="10" bestFit="1" customWidth="1"/>
    <col min="10753" max="10753" width="12.6640625" style="10" customWidth="1"/>
    <col min="10754" max="10754" width="24" style="10" customWidth="1"/>
    <col min="10755" max="10755" width="13.46484375" style="10" bestFit="1" customWidth="1"/>
    <col min="10756" max="10756" width="13.6640625" style="10" customWidth="1"/>
    <col min="10757" max="10757" width="13.33203125" style="10" customWidth="1"/>
    <col min="10758" max="10758" width="22.46484375" style="10" customWidth="1"/>
    <col min="10759" max="10759" width="18.46484375" style="10" customWidth="1"/>
    <col min="10760" max="10760" width="22" style="10" customWidth="1"/>
    <col min="10761" max="10761" width="21.33203125" style="10" customWidth="1"/>
    <col min="10762" max="10762" width="23" style="10" customWidth="1"/>
    <col min="10763" max="11005" width="9.33203125" style="10"/>
    <col min="11006" max="11006" width="6.6640625" style="10" customWidth="1"/>
    <col min="11007" max="11007" width="7" style="10" customWidth="1"/>
    <col min="11008" max="11008" width="17.6640625" style="10" bestFit="1" customWidth="1"/>
    <col min="11009" max="11009" width="12.6640625" style="10" customWidth="1"/>
    <col min="11010" max="11010" width="24" style="10" customWidth="1"/>
    <col min="11011" max="11011" width="13.46484375" style="10" bestFit="1" customWidth="1"/>
    <col min="11012" max="11012" width="13.6640625" style="10" customWidth="1"/>
    <col min="11013" max="11013" width="13.33203125" style="10" customWidth="1"/>
    <col min="11014" max="11014" width="22.46484375" style="10" customWidth="1"/>
    <col min="11015" max="11015" width="18.46484375" style="10" customWidth="1"/>
    <col min="11016" max="11016" width="22" style="10" customWidth="1"/>
    <col min="11017" max="11017" width="21.33203125" style="10" customWidth="1"/>
    <col min="11018" max="11018" width="23" style="10" customWidth="1"/>
    <col min="11019" max="11261" width="9.33203125" style="10"/>
    <col min="11262" max="11262" width="6.6640625" style="10" customWidth="1"/>
    <col min="11263" max="11263" width="7" style="10" customWidth="1"/>
    <col min="11264" max="11264" width="17.6640625" style="10" bestFit="1" customWidth="1"/>
    <col min="11265" max="11265" width="12.6640625" style="10" customWidth="1"/>
    <col min="11266" max="11266" width="24" style="10" customWidth="1"/>
    <col min="11267" max="11267" width="13.46484375" style="10" bestFit="1" customWidth="1"/>
    <col min="11268" max="11268" width="13.6640625" style="10" customWidth="1"/>
    <col min="11269" max="11269" width="13.33203125" style="10" customWidth="1"/>
    <col min="11270" max="11270" width="22.46484375" style="10" customWidth="1"/>
    <col min="11271" max="11271" width="18.46484375" style="10" customWidth="1"/>
    <col min="11272" max="11272" width="22" style="10" customWidth="1"/>
    <col min="11273" max="11273" width="21.33203125" style="10" customWidth="1"/>
    <col min="11274" max="11274" width="23" style="10" customWidth="1"/>
    <col min="11275" max="11517" width="9.33203125" style="10"/>
    <col min="11518" max="11518" width="6.6640625" style="10" customWidth="1"/>
    <col min="11519" max="11519" width="7" style="10" customWidth="1"/>
    <col min="11520" max="11520" width="17.6640625" style="10" bestFit="1" customWidth="1"/>
    <col min="11521" max="11521" width="12.6640625" style="10" customWidth="1"/>
    <col min="11522" max="11522" width="24" style="10" customWidth="1"/>
    <col min="11523" max="11523" width="13.46484375" style="10" bestFit="1" customWidth="1"/>
    <col min="11524" max="11524" width="13.6640625" style="10" customWidth="1"/>
    <col min="11525" max="11525" width="13.33203125" style="10" customWidth="1"/>
    <col min="11526" max="11526" width="22.46484375" style="10" customWidth="1"/>
    <col min="11527" max="11527" width="18.46484375" style="10" customWidth="1"/>
    <col min="11528" max="11528" width="22" style="10" customWidth="1"/>
    <col min="11529" max="11529" width="21.33203125" style="10" customWidth="1"/>
    <col min="11530" max="11530" width="23" style="10" customWidth="1"/>
    <col min="11531" max="11773" width="9.33203125" style="10"/>
    <col min="11774" max="11774" width="6.6640625" style="10" customWidth="1"/>
    <col min="11775" max="11775" width="7" style="10" customWidth="1"/>
    <col min="11776" max="11776" width="17.6640625" style="10" bestFit="1" customWidth="1"/>
    <col min="11777" max="11777" width="12.6640625" style="10" customWidth="1"/>
    <col min="11778" max="11778" width="24" style="10" customWidth="1"/>
    <col min="11779" max="11779" width="13.46484375" style="10" bestFit="1" customWidth="1"/>
    <col min="11780" max="11780" width="13.6640625" style="10" customWidth="1"/>
    <col min="11781" max="11781" width="13.33203125" style="10" customWidth="1"/>
    <col min="11782" max="11782" width="22.46484375" style="10" customWidth="1"/>
    <col min="11783" max="11783" width="18.46484375" style="10" customWidth="1"/>
    <col min="11784" max="11784" width="22" style="10" customWidth="1"/>
    <col min="11785" max="11785" width="21.33203125" style="10" customWidth="1"/>
    <col min="11786" max="11786" width="23" style="10" customWidth="1"/>
    <col min="11787" max="12029" width="9.33203125" style="10"/>
    <col min="12030" max="12030" width="6.6640625" style="10" customWidth="1"/>
    <col min="12031" max="12031" width="7" style="10" customWidth="1"/>
    <col min="12032" max="12032" width="17.6640625" style="10" bestFit="1" customWidth="1"/>
    <col min="12033" max="12033" width="12.6640625" style="10" customWidth="1"/>
    <col min="12034" max="12034" width="24" style="10" customWidth="1"/>
    <col min="12035" max="12035" width="13.46484375" style="10" bestFit="1" customWidth="1"/>
    <col min="12036" max="12036" width="13.6640625" style="10" customWidth="1"/>
    <col min="12037" max="12037" width="13.33203125" style="10" customWidth="1"/>
    <col min="12038" max="12038" width="22.46484375" style="10" customWidth="1"/>
    <col min="12039" max="12039" width="18.46484375" style="10" customWidth="1"/>
    <col min="12040" max="12040" width="22" style="10" customWidth="1"/>
    <col min="12041" max="12041" width="21.33203125" style="10" customWidth="1"/>
    <col min="12042" max="12042" width="23" style="10" customWidth="1"/>
    <col min="12043" max="12285" width="9.33203125" style="10"/>
    <col min="12286" max="12286" width="6.6640625" style="10" customWidth="1"/>
    <col min="12287" max="12287" width="7" style="10" customWidth="1"/>
    <col min="12288" max="12288" width="17.6640625" style="10" bestFit="1" customWidth="1"/>
    <col min="12289" max="12289" width="12.6640625" style="10" customWidth="1"/>
    <col min="12290" max="12290" width="24" style="10" customWidth="1"/>
    <col min="12291" max="12291" width="13.46484375" style="10" bestFit="1" customWidth="1"/>
    <col min="12292" max="12292" width="13.6640625" style="10" customWidth="1"/>
    <col min="12293" max="12293" width="13.33203125" style="10" customWidth="1"/>
    <col min="12294" max="12294" width="22.46484375" style="10" customWidth="1"/>
    <col min="12295" max="12295" width="18.46484375" style="10" customWidth="1"/>
    <col min="12296" max="12296" width="22" style="10" customWidth="1"/>
    <col min="12297" max="12297" width="21.33203125" style="10" customWidth="1"/>
    <col min="12298" max="12298" width="23" style="10" customWidth="1"/>
    <col min="12299" max="12541" width="9.33203125" style="10"/>
    <col min="12542" max="12542" width="6.6640625" style="10" customWidth="1"/>
    <col min="12543" max="12543" width="7" style="10" customWidth="1"/>
    <col min="12544" max="12544" width="17.6640625" style="10" bestFit="1" customWidth="1"/>
    <col min="12545" max="12545" width="12.6640625" style="10" customWidth="1"/>
    <col min="12546" max="12546" width="24" style="10" customWidth="1"/>
    <col min="12547" max="12547" width="13.46484375" style="10" bestFit="1" customWidth="1"/>
    <col min="12548" max="12548" width="13.6640625" style="10" customWidth="1"/>
    <col min="12549" max="12549" width="13.33203125" style="10" customWidth="1"/>
    <col min="12550" max="12550" width="22.46484375" style="10" customWidth="1"/>
    <col min="12551" max="12551" width="18.46484375" style="10" customWidth="1"/>
    <col min="12552" max="12552" width="22" style="10" customWidth="1"/>
    <col min="12553" max="12553" width="21.33203125" style="10" customWidth="1"/>
    <col min="12554" max="12554" width="23" style="10" customWidth="1"/>
    <col min="12555" max="12797" width="9.33203125" style="10"/>
    <col min="12798" max="12798" width="6.6640625" style="10" customWidth="1"/>
    <col min="12799" max="12799" width="7" style="10" customWidth="1"/>
    <col min="12800" max="12800" width="17.6640625" style="10" bestFit="1" customWidth="1"/>
    <col min="12801" max="12801" width="12.6640625" style="10" customWidth="1"/>
    <col min="12802" max="12802" width="24" style="10" customWidth="1"/>
    <col min="12803" max="12803" width="13.46484375" style="10" bestFit="1" customWidth="1"/>
    <col min="12804" max="12804" width="13.6640625" style="10" customWidth="1"/>
    <col min="12805" max="12805" width="13.33203125" style="10" customWidth="1"/>
    <col min="12806" max="12806" width="22.46484375" style="10" customWidth="1"/>
    <col min="12807" max="12807" width="18.46484375" style="10" customWidth="1"/>
    <col min="12808" max="12808" width="22" style="10" customWidth="1"/>
    <col min="12809" max="12809" width="21.33203125" style="10" customWidth="1"/>
    <col min="12810" max="12810" width="23" style="10" customWidth="1"/>
    <col min="12811" max="13053" width="9.33203125" style="10"/>
    <col min="13054" max="13054" width="6.6640625" style="10" customWidth="1"/>
    <col min="13055" max="13055" width="7" style="10" customWidth="1"/>
    <col min="13056" max="13056" width="17.6640625" style="10" bestFit="1" customWidth="1"/>
    <col min="13057" max="13057" width="12.6640625" style="10" customWidth="1"/>
    <col min="13058" max="13058" width="24" style="10" customWidth="1"/>
    <col min="13059" max="13059" width="13.46484375" style="10" bestFit="1" customWidth="1"/>
    <col min="13060" max="13060" width="13.6640625" style="10" customWidth="1"/>
    <col min="13061" max="13061" width="13.33203125" style="10" customWidth="1"/>
    <col min="13062" max="13062" width="22.46484375" style="10" customWidth="1"/>
    <col min="13063" max="13063" width="18.46484375" style="10" customWidth="1"/>
    <col min="13064" max="13064" width="22" style="10" customWidth="1"/>
    <col min="13065" max="13065" width="21.33203125" style="10" customWidth="1"/>
    <col min="13066" max="13066" width="23" style="10" customWidth="1"/>
    <col min="13067" max="13309" width="9.33203125" style="10"/>
    <col min="13310" max="13310" width="6.6640625" style="10" customWidth="1"/>
    <col min="13311" max="13311" width="7" style="10" customWidth="1"/>
    <col min="13312" max="13312" width="17.6640625" style="10" bestFit="1" customWidth="1"/>
    <col min="13313" max="13313" width="12.6640625" style="10" customWidth="1"/>
    <col min="13314" max="13314" width="24" style="10" customWidth="1"/>
    <col min="13315" max="13315" width="13.46484375" style="10" bestFit="1" customWidth="1"/>
    <col min="13316" max="13316" width="13.6640625" style="10" customWidth="1"/>
    <col min="13317" max="13317" width="13.33203125" style="10" customWidth="1"/>
    <col min="13318" max="13318" width="22.46484375" style="10" customWidth="1"/>
    <col min="13319" max="13319" width="18.46484375" style="10" customWidth="1"/>
    <col min="13320" max="13320" width="22" style="10" customWidth="1"/>
    <col min="13321" max="13321" width="21.33203125" style="10" customWidth="1"/>
    <col min="13322" max="13322" width="23" style="10" customWidth="1"/>
    <col min="13323" max="13565" width="9.33203125" style="10"/>
    <col min="13566" max="13566" width="6.6640625" style="10" customWidth="1"/>
    <col min="13567" max="13567" width="7" style="10" customWidth="1"/>
    <col min="13568" max="13568" width="17.6640625" style="10" bestFit="1" customWidth="1"/>
    <col min="13569" max="13569" width="12.6640625" style="10" customWidth="1"/>
    <col min="13570" max="13570" width="24" style="10" customWidth="1"/>
    <col min="13571" max="13571" width="13.46484375" style="10" bestFit="1" customWidth="1"/>
    <col min="13572" max="13572" width="13.6640625" style="10" customWidth="1"/>
    <col min="13573" max="13573" width="13.33203125" style="10" customWidth="1"/>
    <col min="13574" max="13574" width="22.46484375" style="10" customWidth="1"/>
    <col min="13575" max="13575" width="18.46484375" style="10" customWidth="1"/>
    <col min="13576" max="13576" width="22" style="10" customWidth="1"/>
    <col min="13577" max="13577" width="21.33203125" style="10" customWidth="1"/>
    <col min="13578" max="13578" width="23" style="10" customWidth="1"/>
    <col min="13579" max="13821" width="9.33203125" style="10"/>
    <col min="13822" max="13822" width="6.6640625" style="10" customWidth="1"/>
    <col min="13823" max="13823" width="7" style="10" customWidth="1"/>
    <col min="13824" max="13824" width="17.6640625" style="10" bestFit="1" customWidth="1"/>
    <col min="13825" max="13825" width="12.6640625" style="10" customWidth="1"/>
    <col min="13826" max="13826" width="24" style="10" customWidth="1"/>
    <col min="13827" max="13827" width="13.46484375" style="10" bestFit="1" customWidth="1"/>
    <col min="13828" max="13828" width="13.6640625" style="10" customWidth="1"/>
    <col min="13829" max="13829" width="13.33203125" style="10" customWidth="1"/>
    <col min="13830" max="13830" width="22.46484375" style="10" customWidth="1"/>
    <col min="13831" max="13831" width="18.46484375" style="10" customWidth="1"/>
    <col min="13832" max="13832" width="22" style="10" customWidth="1"/>
    <col min="13833" max="13833" width="21.33203125" style="10" customWidth="1"/>
    <col min="13834" max="13834" width="23" style="10" customWidth="1"/>
    <col min="13835" max="14077" width="9.33203125" style="10"/>
    <col min="14078" max="14078" width="6.6640625" style="10" customWidth="1"/>
    <col min="14079" max="14079" width="7" style="10" customWidth="1"/>
    <col min="14080" max="14080" width="17.6640625" style="10" bestFit="1" customWidth="1"/>
    <col min="14081" max="14081" width="12.6640625" style="10" customWidth="1"/>
    <col min="14082" max="14082" width="24" style="10" customWidth="1"/>
    <col min="14083" max="14083" width="13.46484375" style="10" bestFit="1" customWidth="1"/>
    <col min="14084" max="14084" width="13.6640625" style="10" customWidth="1"/>
    <col min="14085" max="14085" width="13.33203125" style="10" customWidth="1"/>
    <col min="14086" max="14086" width="22.46484375" style="10" customWidth="1"/>
    <col min="14087" max="14087" width="18.46484375" style="10" customWidth="1"/>
    <col min="14088" max="14088" width="22" style="10" customWidth="1"/>
    <col min="14089" max="14089" width="21.33203125" style="10" customWidth="1"/>
    <col min="14090" max="14090" width="23" style="10" customWidth="1"/>
    <col min="14091" max="14333" width="9.33203125" style="10"/>
    <col min="14334" max="14334" width="6.6640625" style="10" customWidth="1"/>
    <col min="14335" max="14335" width="7" style="10" customWidth="1"/>
    <col min="14336" max="14336" width="17.6640625" style="10" bestFit="1" customWidth="1"/>
    <col min="14337" max="14337" width="12.6640625" style="10" customWidth="1"/>
    <col min="14338" max="14338" width="24" style="10" customWidth="1"/>
    <col min="14339" max="14339" width="13.46484375" style="10" bestFit="1" customWidth="1"/>
    <col min="14340" max="14340" width="13.6640625" style="10" customWidth="1"/>
    <col min="14341" max="14341" width="13.33203125" style="10" customWidth="1"/>
    <col min="14342" max="14342" width="22.46484375" style="10" customWidth="1"/>
    <col min="14343" max="14343" width="18.46484375" style="10" customWidth="1"/>
    <col min="14344" max="14344" width="22" style="10" customWidth="1"/>
    <col min="14345" max="14345" width="21.33203125" style="10" customWidth="1"/>
    <col min="14346" max="14346" width="23" style="10" customWidth="1"/>
    <col min="14347" max="14589" width="9.33203125" style="10"/>
    <col min="14590" max="14590" width="6.6640625" style="10" customWidth="1"/>
    <col min="14591" max="14591" width="7" style="10" customWidth="1"/>
    <col min="14592" max="14592" width="17.6640625" style="10" bestFit="1" customWidth="1"/>
    <col min="14593" max="14593" width="12.6640625" style="10" customWidth="1"/>
    <col min="14594" max="14594" width="24" style="10" customWidth="1"/>
    <col min="14595" max="14595" width="13.46484375" style="10" bestFit="1" customWidth="1"/>
    <col min="14596" max="14596" width="13.6640625" style="10" customWidth="1"/>
    <col min="14597" max="14597" width="13.33203125" style="10" customWidth="1"/>
    <col min="14598" max="14598" width="22.46484375" style="10" customWidth="1"/>
    <col min="14599" max="14599" width="18.46484375" style="10" customWidth="1"/>
    <col min="14600" max="14600" width="22" style="10" customWidth="1"/>
    <col min="14601" max="14601" width="21.33203125" style="10" customWidth="1"/>
    <col min="14602" max="14602" width="23" style="10" customWidth="1"/>
    <col min="14603" max="14845" width="9.33203125" style="10"/>
    <col min="14846" max="14846" width="6.6640625" style="10" customWidth="1"/>
    <col min="14847" max="14847" width="7" style="10" customWidth="1"/>
    <col min="14848" max="14848" width="17.6640625" style="10" bestFit="1" customWidth="1"/>
    <col min="14849" max="14849" width="12.6640625" style="10" customWidth="1"/>
    <col min="14850" max="14850" width="24" style="10" customWidth="1"/>
    <col min="14851" max="14851" width="13.46484375" style="10" bestFit="1" customWidth="1"/>
    <col min="14852" max="14852" width="13.6640625" style="10" customWidth="1"/>
    <col min="14853" max="14853" width="13.33203125" style="10" customWidth="1"/>
    <col min="14854" max="14854" width="22.46484375" style="10" customWidth="1"/>
    <col min="14855" max="14855" width="18.46484375" style="10" customWidth="1"/>
    <col min="14856" max="14856" width="22" style="10" customWidth="1"/>
    <col min="14857" max="14857" width="21.33203125" style="10" customWidth="1"/>
    <col min="14858" max="14858" width="23" style="10" customWidth="1"/>
    <col min="14859" max="15101" width="9.33203125" style="10"/>
    <col min="15102" max="15102" width="6.6640625" style="10" customWidth="1"/>
    <col min="15103" max="15103" width="7" style="10" customWidth="1"/>
    <col min="15104" max="15104" width="17.6640625" style="10" bestFit="1" customWidth="1"/>
    <col min="15105" max="15105" width="12.6640625" style="10" customWidth="1"/>
    <col min="15106" max="15106" width="24" style="10" customWidth="1"/>
    <col min="15107" max="15107" width="13.46484375" style="10" bestFit="1" customWidth="1"/>
    <col min="15108" max="15108" width="13.6640625" style="10" customWidth="1"/>
    <col min="15109" max="15109" width="13.33203125" style="10" customWidth="1"/>
    <col min="15110" max="15110" width="22.46484375" style="10" customWidth="1"/>
    <col min="15111" max="15111" width="18.46484375" style="10" customWidth="1"/>
    <col min="15112" max="15112" width="22" style="10" customWidth="1"/>
    <col min="15113" max="15113" width="21.33203125" style="10" customWidth="1"/>
    <col min="15114" max="15114" width="23" style="10" customWidth="1"/>
    <col min="15115" max="15357" width="9.33203125" style="10"/>
    <col min="15358" max="15358" width="6.6640625" style="10" customWidth="1"/>
    <col min="15359" max="15359" width="7" style="10" customWidth="1"/>
    <col min="15360" max="15360" width="17.6640625" style="10" bestFit="1" customWidth="1"/>
    <col min="15361" max="15361" width="12.6640625" style="10" customWidth="1"/>
    <col min="15362" max="15362" width="24" style="10" customWidth="1"/>
    <col min="15363" max="15363" width="13.46484375" style="10" bestFit="1" customWidth="1"/>
    <col min="15364" max="15364" width="13.6640625" style="10" customWidth="1"/>
    <col min="15365" max="15365" width="13.33203125" style="10" customWidth="1"/>
    <col min="15366" max="15366" width="22.46484375" style="10" customWidth="1"/>
    <col min="15367" max="15367" width="18.46484375" style="10" customWidth="1"/>
    <col min="15368" max="15368" width="22" style="10" customWidth="1"/>
    <col min="15369" max="15369" width="21.33203125" style="10" customWidth="1"/>
    <col min="15370" max="15370" width="23" style="10" customWidth="1"/>
    <col min="15371" max="15613" width="9.33203125" style="10"/>
    <col min="15614" max="15614" width="6.6640625" style="10" customWidth="1"/>
    <col min="15615" max="15615" width="7" style="10" customWidth="1"/>
    <col min="15616" max="15616" width="17.6640625" style="10" bestFit="1" customWidth="1"/>
    <col min="15617" max="15617" width="12.6640625" style="10" customWidth="1"/>
    <col min="15618" max="15618" width="24" style="10" customWidth="1"/>
    <col min="15619" max="15619" width="13.46484375" style="10" bestFit="1" customWidth="1"/>
    <col min="15620" max="15620" width="13.6640625" style="10" customWidth="1"/>
    <col min="15621" max="15621" width="13.33203125" style="10" customWidth="1"/>
    <col min="15622" max="15622" width="22.46484375" style="10" customWidth="1"/>
    <col min="15623" max="15623" width="18.46484375" style="10" customWidth="1"/>
    <col min="15624" max="15624" width="22" style="10" customWidth="1"/>
    <col min="15625" max="15625" width="21.33203125" style="10" customWidth="1"/>
    <col min="15626" max="15626" width="23" style="10" customWidth="1"/>
    <col min="15627" max="15869" width="9.33203125" style="10"/>
    <col min="15870" max="15870" width="6.6640625" style="10" customWidth="1"/>
    <col min="15871" max="15871" width="7" style="10" customWidth="1"/>
    <col min="15872" max="15872" width="17.6640625" style="10" bestFit="1" customWidth="1"/>
    <col min="15873" max="15873" width="12.6640625" style="10" customWidth="1"/>
    <col min="15874" max="15874" width="24" style="10" customWidth="1"/>
    <col min="15875" max="15875" width="13.46484375" style="10" bestFit="1" customWidth="1"/>
    <col min="15876" max="15876" width="13.6640625" style="10" customWidth="1"/>
    <col min="15877" max="15877" width="13.33203125" style="10" customWidth="1"/>
    <col min="15878" max="15878" width="22.46484375" style="10" customWidth="1"/>
    <col min="15879" max="15879" width="18.46484375" style="10" customWidth="1"/>
    <col min="15880" max="15880" width="22" style="10" customWidth="1"/>
    <col min="15881" max="15881" width="21.33203125" style="10" customWidth="1"/>
    <col min="15882" max="15882" width="23" style="10" customWidth="1"/>
    <col min="15883" max="16125" width="9.33203125" style="10"/>
    <col min="16126" max="16126" width="6.6640625" style="10" customWidth="1"/>
    <col min="16127" max="16127" width="7" style="10" customWidth="1"/>
    <col min="16128" max="16128" width="17.6640625" style="10" bestFit="1" customWidth="1"/>
    <col min="16129" max="16129" width="12.6640625" style="10" customWidth="1"/>
    <col min="16130" max="16130" width="24" style="10" customWidth="1"/>
    <col min="16131" max="16131" width="13.46484375" style="10" bestFit="1" customWidth="1"/>
    <col min="16132" max="16132" width="13.6640625" style="10" customWidth="1"/>
    <col min="16133" max="16133" width="13.33203125" style="10" customWidth="1"/>
    <col min="16134" max="16134" width="22.46484375" style="10" customWidth="1"/>
    <col min="16135" max="16135" width="18.46484375" style="10" customWidth="1"/>
    <col min="16136" max="16136" width="22" style="10" customWidth="1"/>
    <col min="16137" max="16137" width="21.33203125" style="10" customWidth="1"/>
    <col min="16138" max="16138" width="23" style="10" customWidth="1"/>
    <col min="16139" max="16384" width="9.33203125" style="10"/>
  </cols>
  <sheetData>
    <row r="3" spans="1:16" x14ac:dyDescent="0.35">
      <c r="A3" s="1875" t="str">
        <f>+Index!B2</f>
        <v>Nidar Utilities Panvel LLP</v>
      </c>
      <c r="B3" s="1875"/>
      <c r="C3" s="1875"/>
      <c r="D3" s="1875"/>
      <c r="E3" s="1875"/>
      <c r="F3" s="1875"/>
      <c r="G3" s="1875"/>
      <c r="H3" s="1875"/>
      <c r="I3" s="1875"/>
      <c r="J3" s="1875"/>
      <c r="K3" s="1875"/>
      <c r="L3" s="1875"/>
      <c r="M3" s="1875"/>
      <c r="N3" s="1875"/>
      <c r="O3" s="1875"/>
    </row>
    <row r="4" spans="1:16" x14ac:dyDescent="0.35">
      <c r="A4" s="1875" t="s">
        <v>211</v>
      </c>
      <c r="B4" s="1875"/>
      <c r="C4" s="1875"/>
      <c r="D4" s="1875"/>
      <c r="E4" s="1875"/>
      <c r="F4" s="1875"/>
      <c r="G4" s="1875"/>
      <c r="H4" s="1875"/>
      <c r="I4" s="1875"/>
      <c r="J4" s="1875"/>
      <c r="K4" s="1875"/>
      <c r="L4" s="1875"/>
      <c r="M4" s="1875"/>
      <c r="N4" s="1875"/>
      <c r="O4" s="1875"/>
    </row>
    <row r="5" spans="1:16" x14ac:dyDescent="0.35">
      <c r="A5" s="1875" t="s">
        <v>232</v>
      </c>
      <c r="B5" s="1875"/>
      <c r="C5" s="1875"/>
      <c r="D5" s="1875"/>
      <c r="E5" s="1875"/>
      <c r="F5" s="1875"/>
      <c r="G5" s="1875"/>
      <c r="H5" s="1875"/>
      <c r="I5" s="1875"/>
      <c r="J5" s="1875"/>
      <c r="K5" s="1875"/>
      <c r="L5" s="1875"/>
      <c r="M5" s="1875"/>
      <c r="N5" s="1875"/>
      <c r="O5" s="1875"/>
    </row>
    <row r="6" spans="1:16" x14ac:dyDescent="0.35">
      <c r="D6" s="681">
        <f>+D32-D34</f>
        <v>0</v>
      </c>
      <c r="E6" s="681">
        <f t="shared" ref="E6:O6" si="0">+E32-E34</f>
        <v>0</v>
      </c>
      <c r="F6" s="681">
        <f t="shared" si="0"/>
        <v>0</v>
      </c>
      <c r="G6" s="681">
        <f t="shared" si="0"/>
        <v>0</v>
      </c>
      <c r="H6" s="681">
        <f t="shared" si="0"/>
        <v>0</v>
      </c>
      <c r="I6" s="681">
        <f t="shared" si="0"/>
        <v>0</v>
      </c>
      <c r="J6" s="681">
        <f t="shared" si="0"/>
        <v>0</v>
      </c>
      <c r="K6" s="681">
        <f t="shared" si="0"/>
        <v>0</v>
      </c>
      <c r="L6" s="681">
        <f t="shared" si="0"/>
        <v>0</v>
      </c>
      <c r="M6" s="681">
        <f t="shared" si="0"/>
        <v>0</v>
      </c>
      <c r="N6" s="681">
        <f t="shared" si="0"/>
        <v>0</v>
      </c>
      <c r="O6" s="681">
        <f t="shared" si="0"/>
        <v>0</v>
      </c>
    </row>
    <row r="7" spans="1:16" s="213" customFormat="1" x14ac:dyDescent="0.4">
      <c r="A7" s="1947" t="s">
        <v>1</v>
      </c>
      <c r="B7" s="1947" t="s">
        <v>111</v>
      </c>
      <c r="C7" s="1947" t="s">
        <v>233</v>
      </c>
      <c r="D7" s="98" t="s">
        <v>196</v>
      </c>
      <c r="E7" s="98" t="s">
        <v>197</v>
      </c>
      <c r="F7" s="98" t="s">
        <v>198</v>
      </c>
      <c r="G7" s="98" t="s">
        <v>199</v>
      </c>
      <c r="H7" s="358" t="s">
        <v>112</v>
      </c>
      <c r="I7" s="358" t="s">
        <v>113</v>
      </c>
      <c r="J7" s="358" t="s">
        <v>114</v>
      </c>
      <c r="K7" s="1934" t="s">
        <v>1019</v>
      </c>
      <c r="L7" s="1935"/>
      <c r="M7" s="1935"/>
      <c r="N7" s="1935"/>
      <c r="O7" s="1936"/>
      <c r="P7" s="212"/>
    </row>
    <row r="8" spans="1:16" s="213" customFormat="1" ht="27" x14ac:dyDescent="0.4">
      <c r="A8" s="1947"/>
      <c r="B8" s="1947"/>
      <c r="C8" s="1947"/>
      <c r="D8" s="1934" t="s">
        <v>117</v>
      </c>
      <c r="E8" s="1935"/>
      <c r="F8" s="1935"/>
      <c r="G8" s="1935"/>
      <c r="H8" s="1935"/>
      <c r="I8" s="1936"/>
      <c r="J8" s="217" t="s">
        <v>121</v>
      </c>
      <c r="K8" s="217" t="s">
        <v>123</v>
      </c>
      <c r="L8" s="217" t="s">
        <v>124</v>
      </c>
      <c r="M8" s="217" t="s">
        <v>125</v>
      </c>
      <c r="N8" s="217" t="s">
        <v>126</v>
      </c>
      <c r="O8" s="217" t="s">
        <v>127</v>
      </c>
    </row>
    <row r="9" spans="1:16" x14ac:dyDescent="0.4">
      <c r="A9" s="59">
        <v>1</v>
      </c>
      <c r="B9" s="207" t="s">
        <v>234</v>
      </c>
      <c r="C9" s="208"/>
      <c r="D9" s="364"/>
      <c r="E9" s="364"/>
      <c r="F9" s="364"/>
      <c r="G9" s="364"/>
      <c r="H9" s="364"/>
      <c r="I9" s="364"/>
      <c r="J9" s="364"/>
      <c r="K9" s="364"/>
      <c r="L9" s="364"/>
      <c r="M9" s="364"/>
      <c r="N9" s="364"/>
      <c r="O9" s="364"/>
    </row>
    <row r="10" spans="1:16" x14ac:dyDescent="0.4">
      <c r="A10" s="58">
        <v>1.1000000000000001</v>
      </c>
      <c r="B10" s="208" t="s">
        <v>235</v>
      </c>
      <c r="C10" s="208" t="s">
        <v>236</v>
      </c>
      <c r="D10" s="364"/>
      <c r="E10" s="364"/>
      <c r="F10" s="364"/>
      <c r="G10" s="364"/>
      <c r="H10" s="364"/>
      <c r="I10" s="364"/>
      <c r="J10" s="364"/>
      <c r="K10" s="364"/>
      <c r="L10" s="364"/>
      <c r="M10" s="364"/>
      <c r="N10" s="364"/>
      <c r="O10" s="364"/>
    </row>
    <row r="11" spans="1:16" x14ac:dyDescent="0.4">
      <c r="A11" s="58">
        <v>1.2</v>
      </c>
      <c r="B11" s="208" t="s">
        <v>237</v>
      </c>
      <c r="C11" s="208" t="s">
        <v>236</v>
      </c>
      <c r="D11" s="364"/>
      <c r="E11" s="364"/>
      <c r="F11" s="364"/>
      <c r="G11" s="364"/>
      <c r="H11" s="364"/>
      <c r="I11" s="364"/>
      <c r="J11" s="364"/>
      <c r="K11" s="364"/>
      <c r="L11" s="364"/>
      <c r="M11" s="364"/>
      <c r="N11" s="364"/>
      <c r="O11" s="364"/>
    </row>
    <row r="12" spans="1:16" x14ac:dyDescent="0.4">
      <c r="A12" s="58" t="s">
        <v>238</v>
      </c>
      <c r="B12" s="208" t="s">
        <v>239</v>
      </c>
      <c r="C12" s="208" t="s">
        <v>238</v>
      </c>
      <c r="D12" s="364"/>
      <c r="E12" s="364"/>
      <c r="F12" s="364"/>
      <c r="G12" s="364"/>
      <c r="H12" s="364"/>
      <c r="I12" s="364"/>
      <c r="J12" s="364"/>
      <c r="K12" s="364"/>
      <c r="L12" s="364"/>
      <c r="M12" s="364"/>
      <c r="N12" s="364"/>
      <c r="O12" s="364"/>
    </row>
    <row r="13" spans="1:16" x14ac:dyDescent="0.4">
      <c r="A13" s="58" t="s">
        <v>238</v>
      </c>
      <c r="B13" s="208" t="s">
        <v>239</v>
      </c>
      <c r="C13" s="208" t="s">
        <v>238</v>
      </c>
      <c r="D13" s="364"/>
      <c r="E13" s="364"/>
      <c r="F13" s="364"/>
      <c r="G13" s="364"/>
      <c r="H13" s="364"/>
      <c r="I13" s="364"/>
      <c r="J13" s="364"/>
      <c r="K13" s="364"/>
      <c r="L13" s="364"/>
      <c r="M13" s="364"/>
      <c r="N13" s="364"/>
      <c r="O13" s="364"/>
    </row>
    <row r="14" spans="1:16" s="16" customFormat="1" ht="13.5" x14ac:dyDescent="0.35">
      <c r="A14" s="59" t="s">
        <v>240</v>
      </c>
      <c r="B14" s="210" t="s">
        <v>241</v>
      </c>
      <c r="C14" s="207" t="s">
        <v>236</v>
      </c>
      <c r="D14" s="623">
        <f>SUM(D10:D13)</f>
        <v>0</v>
      </c>
      <c r="E14" s="623">
        <f t="shared" ref="E14:O14" si="1">SUM(E10:E13)</f>
        <v>0</v>
      </c>
      <c r="F14" s="623">
        <f t="shared" si="1"/>
        <v>0</v>
      </c>
      <c r="G14" s="623">
        <f t="shared" si="1"/>
        <v>0</v>
      </c>
      <c r="H14" s="623">
        <f t="shared" si="1"/>
        <v>0</v>
      </c>
      <c r="I14" s="623">
        <f t="shared" si="1"/>
        <v>0</v>
      </c>
      <c r="J14" s="623">
        <f t="shared" si="1"/>
        <v>0</v>
      </c>
      <c r="K14" s="623">
        <f t="shared" si="1"/>
        <v>0</v>
      </c>
      <c r="L14" s="623">
        <f t="shared" si="1"/>
        <v>0</v>
      </c>
      <c r="M14" s="623">
        <f t="shared" si="1"/>
        <v>0</v>
      </c>
      <c r="N14" s="623">
        <f t="shared" si="1"/>
        <v>0</v>
      </c>
      <c r="O14" s="623">
        <f t="shared" si="1"/>
        <v>0</v>
      </c>
    </row>
    <row r="15" spans="1:16" x14ac:dyDescent="0.4">
      <c r="A15" s="58">
        <v>2</v>
      </c>
      <c r="B15" s="209" t="s">
        <v>242</v>
      </c>
      <c r="C15" s="208" t="s">
        <v>243</v>
      </c>
      <c r="D15" s="364"/>
      <c r="E15" s="364"/>
      <c r="F15" s="364"/>
      <c r="G15" s="364"/>
      <c r="H15" s="366"/>
      <c r="I15" s="364"/>
      <c r="J15" s="364"/>
      <c r="K15" s="364"/>
      <c r="L15" s="364"/>
      <c r="M15" s="364"/>
      <c r="N15" s="364"/>
      <c r="O15" s="364"/>
    </row>
    <row r="16" spans="1:16" x14ac:dyDescent="0.4">
      <c r="A16" s="58">
        <v>2.1</v>
      </c>
      <c r="B16" s="209" t="s">
        <v>242</v>
      </c>
      <c r="C16" s="208" t="s">
        <v>236</v>
      </c>
      <c r="D16" s="364"/>
      <c r="E16" s="364"/>
      <c r="F16" s="364"/>
      <c r="G16" s="364"/>
      <c r="H16" s="366"/>
      <c r="I16" s="364"/>
      <c r="J16" s="364"/>
      <c r="K16" s="364"/>
      <c r="L16" s="364"/>
      <c r="M16" s="364"/>
      <c r="N16" s="364"/>
      <c r="O16" s="364"/>
    </row>
    <row r="17" spans="1:15" x14ac:dyDescent="0.35">
      <c r="A17" s="59">
        <v>3</v>
      </c>
      <c r="B17" s="210" t="s">
        <v>244</v>
      </c>
      <c r="C17" s="207" t="s">
        <v>236</v>
      </c>
      <c r="D17" s="678">
        <f>+D14-D16</f>
        <v>0</v>
      </c>
      <c r="E17" s="678">
        <f t="shared" ref="E17:O17" si="2">+E14-E16</f>
        <v>0</v>
      </c>
      <c r="F17" s="678">
        <f t="shared" si="2"/>
        <v>0</v>
      </c>
      <c r="G17" s="678">
        <f t="shared" si="2"/>
        <v>0</v>
      </c>
      <c r="H17" s="678">
        <f t="shared" si="2"/>
        <v>0</v>
      </c>
      <c r="I17" s="678">
        <f t="shared" si="2"/>
        <v>0</v>
      </c>
      <c r="J17" s="678">
        <f t="shared" si="2"/>
        <v>0</v>
      </c>
      <c r="K17" s="678">
        <f t="shared" si="2"/>
        <v>0</v>
      </c>
      <c r="L17" s="678">
        <f t="shared" si="2"/>
        <v>0</v>
      </c>
      <c r="M17" s="678">
        <f t="shared" si="2"/>
        <v>0</v>
      </c>
      <c r="N17" s="678">
        <f t="shared" si="2"/>
        <v>0</v>
      </c>
      <c r="O17" s="678">
        <f t="shared" si="2"/>
        <v>0</v>
      </c>
    </row>
    <row r="18" spans="1:15" x14ac:dyDescent="0.4">
      <c r="A18" s="59"/>
      <c r="B18" s="209"/>
      <c r="C18" s="208"/>
      <c r="D18" s="364"/>
      <c r="E18" s="364"/>
      <c r="F18" s="364"/>
      <c r="G18" s="364"/>
      <c r="H18" s="367"/>
      <c r="I18" s="364"/>
      <c r="J18" s="364"/>
      <c r="K18" s="364"/>
      <c r="L18" s="364"/>
      <c r="M18" s="364"/>
      <c r="N18" s="364"/>
      <c r="O18" s="364"/>
    </row>
    <row r="19" spans="1:15" x14ac:dyDescent="0.4">
      <c r="A19" s="58">
        <v>4</v>
      </c>
      <c r="B19" s="210" t="s">
        <v>245</v>
      </c>
      <c r="C19" s="208"/>
      <c r="D19" s="364"/>
      <c r="E19" s="364"/>
      <c r="F19" s="364"/>
      <c r="G19" s="364"/>
      <c r="H19" s="364"/>
      <c r="I19" s="364"/>
      <c r="J19" s="364"/>
      <c r="K19" s="364"/>
      <c r="L19" s="364"/>
      <c r="M19" s="364"/>
      <c r="N19" s="364"/>
      <c r="O19" s="364"/>
    </row>
    <row r="20" spans="1:15" x14ac:dyDescent="0.4">
      <c r="A20" s="58">
        <v>4.0999999999999996</v>
      </c>
      <c r="B20" s="209" t="s">
        <v>1201</v>
      </c>
      <c r="C20" s="208" t="s">
        <v>236</v>
      </c>
      <c r="D20" s="679">
        <f>+'F2'!J13</f>
        <v>1.2801549999999997</v>
      </c>
      <c r="E20" s="679">
        <f>+'F2.1'!Q52</f>
        <v>3.3149670000000002</v>
      </c>
      <c r="F20" s="679">
        <f>+'F2.1'!Q78</f>
        <v>8.1364169999999998</v>
      </c>
      <c r="G20" s="679">
        <f>+'F2.1'!Q104</f>
        <v>7.7732270000000003</v>
      </c>
      <c r="H20" s="679"/>
      <c r="I20" s="679"/>
      <c r="J20" s="679"/>
      <c r="K20" s="679"/>
      <c r="L20" s="679"/>
      <c r="M20" s="679"/>
      <c r="N20" s="679"/>
      <c r="O20" s="679"/>
    </row>
    <row r="21" spans="1:15" x14ac:dyDescent="0.4">
      <c r="A21" s="58">
        <v>4.2</v>
      </c>
      <c r="B21" s="209" t="s">
        <v>1205</v>
      </c>
      <c r="C21" s="208" t="s">
        <v>236</v>
      </c>
      <c r="D21" s="679"/>
      <c r="E21" s="679"/>
      <c r="F21" s="679"/>
      <c r="G21" s="679"/>
      <c r="H21" s="679"/>
      <c r="I21" s="679"/>
      <c r="J21" s="679"/>
      <c r="K21" s="679"/>
      <c r="L21" s="679"/>
      <c r="M21" s="679"/>
      <c r="N21" s="679"/>
      <c r="O21" s="679"/>
    </row>
    <row r="22" spans="1:15" x14ac:dyDescent="0.4">
      <c r="A22" s="58">
        <v>4.3</v>
      </c>
      <c r="B22" s="209" t="s">
        <v>1209</v>
      </c>
      <c r="C22" s="208" t="s">
        <v>236</v>
      </c>
      <c r="D22" s="679"/>
      <c r="E22" s="679"/>
      <c r="F22" s="679"/>
      <c r="G22" s="679">
        <f>+'F2.1'!Q107</f>
        <v>9.1573502500000004</v>
      </c>
      <c r="H22" s="679">
        <f>+'F2'!J76</f>
        <v>22.286323500000002</v>
      </c>
      <c r="I22" s="679">
        <f>+'F2'!J92</f>
        <v>23.556849999999997</v>
      </c>
      <c r="J22" s="679">
        <f>+'F2'!J108</f>
        <v>6.9278449999999996</v>
      </c>
      <c r="K22" s="679">
        <f>+'F2.1'!Q215</f>
        <v>8.7311999999999994</v>
      </c>
      <c r="L22" s="679">
        <f>+'F2'!J142</f>
        <v>0</v>
      </c>
      <c r="M22" s="679"/>
      <c r="N22" s="679"/>
      <c r="O22" s="679"/>
    </row>
    <row r="23" spans="1:15" x14ac:dyDescent="0.4">
      <c r="A23" s="58">
        <v>4.4000000000000004</v>
      </c>
      <c r="B23" s="209" t="s">
        <v>1231</v>
      </c>
      <c r="C23" s="208" t="s">
        <v>236</v>
      </c>
      <c r="D23" s="679"/>
      <c r="E23" s="679"/>
      <c r="F23" s="679"/>
      <c r="G23" s="679"/>
      <c r="H23" s="679">
        <f>+'F2'!J77</f>
        <v>2.9338129199999998</v>
      </c>
      <c r="I23" s="679">
        <f>+'F2'!J93</f>
        <v>16.811338710000001</v>
      </c>
      <c r="J23" s="679">
        <f>+'F2'!J109</f>
        <v>17.865324000000001</v>
      </c>
      <c r="K23" s="679">
        <f>+'F2.1'!Q212</f>
        <v>17.865324000000001</v>
      </c>
      <c r="L23" s="679">
        <f>+'F2'!J143</f>
        <v>17.865324000000001</v>
      </c>
      <c r="M23" s="679">
        <f>+'F2'!J160</f>
        <v>17.865324000000001</v>
      </c>
      <c r="N23" s="679">
        <f>+'F2'!J173</f>
        <v>14.819889</v>
      </c>
      <c r="O23" s="679"/>
    </row>
    <row r="24" spans="1:15" x14ac:dyDescent="0.4">
      <c r="A24" s="58">
        <v>4.5</v>
      </c>
      <c r="B24" s="209" t="s">
        <v>1233</v>
      </c>
      <c r="C24" s="208" t="s">
        <v>236</v>
      </c>
      <c r="D24" s="679"/>
      <c r="E24" s="679"/>
      <c r="F24" s="679"/>
      <c r="G24" s="679"/>
      <c r="H24" s="679"/>
      <c r="I24" s="679"/>
      <c r="J24" s="679">
        <f>+'F2'!J110</f>
        <v>35.8294</v>
      </c>
      <c r="K24" s="679">
        <f>+'F2.1'!Q216</f>
        <v>15.288</v>
      </c>
      <c r="L24" s="679">
        <f>+'F2'!J144</f>
        <v>0</v>
      </c>
      <c r="M24" s="679"/>
      <c r="N24" s="679"/>
      <c r="O24" s="679"/>
    </row>
    <row r="25" spans="1:15" x14ac:dyDescent="0.4">
      <c r="A25" s="58">
        <v>4.5999999999999996</v>
      </c>
      <c r="B25" s="209" t="s">
        <v>1598</v>
      </c>
      <c r="C25" s="208" t="s">
        <v>236</v>
      </c>
      <c r="D25" s="679"/>
      <c r="E25" s="679"/>
      <c r="F25" s="679"/>
      <c r="G25" s="679"/>
      <c r="H25" s="679"/>
      <c r="I25" s="679"/>
      <c r="J25" s="679"/>
      <c r="K25" s="679">
        <f>+'F2.1'!Q217</f>
        <v>24.019200000000005</v>
      </c>
      <c r="L25" s="679">
        <f>+'F2'!J145</f>
        <v>17.150400000000001</v>
      </c>
      <c r="M25" s="679"/>
      <c r="N25" s="679"/>
      <c r="O25" s="679"/>
    </row>
    <row r="26" spans="1:15" x14ac:dyDescent="0.4">
      <c r="A26" s="58">
        <v>4.7</v>
      </c>
      <c r="B26" s="209" t="s">
        <v>1599</v>
      </c>
      <c r="C26" s="208" t="s">
        <v>236</v>
      </c>
      <c r="D26" s="679"/>
      <c r="E26" s="679"/>
      <c r="F26" s="679"/>
      <c r="G26" s="679"/>
      <c r="H26" s="679"/>
      <c r="I26" s="679"/>
      <c r="J26" s="679"/>
      <c r="K26" s="679">
        <f>+'F2.1'!Q218</f>
        <v>32.054400000000001</v>
      </c>
      <c r="L26" s="679">
        <f>+'F2'!J146</f>
        <v>21.848399999999998</v>
      </c>
      <c r="M26" s="679"/>
      <c r="N26" s="679"/>
      <c r="O26" s="679"/>
    </row>
    <row r="27" spans="1:15" x14ac:dyDescent="0.4">
      <c r="A27" s="58">
        <v>4.8</v>
      </c>
      <c r="B27" s="209" t="s">
        <v>1602</v>
      </c>
      <c r="C27" s="208" t="s">
        <v>236</v>
      </c>
      <c r="D27" s="679"/>
      <c r="E27" s="679"/>
      <c r="F27" s="679"/>
      <c r="G27" s="679">
        <f>+'F2.1'!Q108</f>
        <v>0.2809045</v>
      </c>
      <c r="H27" s="679">
        <f>+'F2'!J78</f>
        <v>0.35514899999999971</v>
      </c>
      <c r="I27" s="679">
        <f>+'F2'!J94</f>
        <v>0.14531099999999991</v>
      </c>
      <c r="J27" s="679">
        <f>+'F2'!J111</f>
        <v>22.334238000000003</v>
      </c>
      <c r="K27" s="679">
        <f>+'F2.1'!Q219</f>
        <v>47.742828090566483</v>
      </c>
      <c r="L27" s="679">
        <f>+'F2'!J147</f>
        <v>124.24612151515666</v>
      </c>
      <c r="M27" s="679">
        <f>+'F2'!J162</f>
        <v>205.32321167433432</v>
      </c>
      <c r="N27" s="679">
        <f>+'F2'!J175</f>
        <v>254.58028427003589</v>
      </c>
      <c r="O27" s="679">
        <f>+'F2'!J187</f>
        <v>291.15846886207487</v>
      </c>
    </row>
    <row r="28" spans="1:15" x14ac:dyDescent="0.4">
      <c r="A28" s="58">
        <v>4.9000000000000004</v>
      </c>
      <c r="B28" s="209" t="s">
        <v>1192</v>
      </c>
      <c r="C28" s="208" t="s">
        <v>236</v>
      </c>
      <c r="D28" s="679">
        <f>+'F2'!J17</f>
        <v>3.7672726906811144E-2</v>
      </c>
      <c r="E28" s="679">
        <f>+'F2.1'!Q57</f>
        <v>7.1069798504224263E-2</v>
      </c>
      <c r="F28" s="679">
        <f>+'F2.1'!Q83</f>
        <v>0.12392279547420459</v>
      </c>
      <c r="G28" s="679">
        <f>+'F2.1'!Q109</f>
        <v>0.45959098331695381</v>
      </c>
      <c r="H28" s="679">
        <f>+'F2'!J79</f>
        <v>1.0005956003997398</v>
      </c>
      <c r="I28" s="679">
        <f>+'F2'!J95</f>
        <v>0.27130258378730554</v>
      </c>
      <c r="J28" s="679">
        <f>+'F2'!J112</f>
        <v>0.33779175328431421</v>
      </c>
      <c r="K28" s="679"/>
      <c r="L28" s="679"/>
      <c r="M28" s="679"/>
      <c r="N28" s="679"/>
      <c r="O28" s="679"/>
    </row>
    <row r="29" spans="1:15" s="16" customFormat="1" ht="13.5" x14ac:dyDescent="0.35">
      <c r="A29" s="59" t="s">
        <v>246</v>
      </c>
      <c r="B29" s="210" t="s">
        <v>247</v>
      </c>
      <c r="C29" s="207" t="s">
        <v>236</v>
      </c>
      <c r="D29" s="680">
        <f>SUM(D20:D28)</f>
        <v>1.3178277269068108</v>
      </c>
      <c r="E29" s="680">
        <f t="shared" ref="E29:O29" si="3">SUM(E20:E28)</f>
        <v>3.3860367985042243</v>
      </c>
      <c r="F29" s="680">
        <f t="shared" si="3"/>
        <v>8.2603397954742039</v>
      </c>
      <c r="G29" s="680">
        <f t="shared" si="3"/>
        <v>17.671072733316951</v>
      </c>
      <c r="H29" s="680">
        <f t="shared" si="3"/>
        <v>26.575881020399745</v>
      </c>
      <c r="I29" s="680">
        <f t="shared" si="3"/>
        <v>40.784802293787301</v>
      </c>
      <c r="J29" s="680">
        <f t="shared" si="3"/>
        <v>83.294598753284305</v>
      </c>
      <c r="K29" s="680">
        <f t="shared" si="3"/>
        <v>145.70095209056649</v>
      </c>
      <c r="L29" s="680">
        <f t="shared" si="3"/>
        <v>181.11024551515666</v>
      </c>
      <c r="M29" s="680">
        <f t="shared" si="3"/>
        <v>223.18853567433433</v>
      </c>
      <c r="N29" s="680">
        <f t="shared" si="3"/>
        <v>269.40017327003591</v>
      </c>
      <c r="O29" s="680">
        <f t="shared" si="3"/>
        <v>291.15846886207487</v>
      </c>
    </row>
    <row r="30" spans="1:15" x14ac:dyDescent="0.4">
      <c r="A30" s="58">
        <v>5</v>
      </c>
      <c r="B30" s="208" t="s">
        <v>248</v>
      </c>
      <c r="C30" s="208" t="s">
        <v>236</v>
      </c>
      <c r="D30" s="680">
        <f>+D14+D29</f>
        <v>1.3178277269068108</v>
      </c>
      <c r="E30" s="680">
        <f t="shared" ref="E30:O30" si="4">+E14+E29</f>
        <v>3.3860367985042243</v>
      </c>
      <c r="F30" s="680">
        <f t="shared" si="4"/>
        <v>8.2603397954742039</v>
      </c>
      <c r="G30" s="680">
        <f t="shared" si="4"/>
        <v>17.671072733316951</v>
      </c>
      <c r="H30" s="680">
        <f t="shared" si="4"/>
        <v>26.575881020399745</v>
      </c>
      <c r="I30" s="680">
        <f t="shared" si="4"/>
        <v>40.784802293787301</v>
      </c>
      <c r="J30" s="680">
        <f t="shared" si="4"/>
        <v>83.294598753284305</v>
      </c>
      <c r="K30" s="680">
        <f t="shared" si="4"/>
        <v>145.70095209056649</v>
      </c>
      <c r="L30" s="680">
        <f t="shared" si="4"/>
        <v>181.11024551515666</v>
      </c>
      <c r="M30" s="680">
        <f t="shared" si="4"/>
        <v>223.18853567433433</v>
      </c>
      <c r="N30" s="680">
        <f t="shared" si="4"/>
        <v>269.40017327003591</v>
      </c>
      <c r="O30" s="680">
        <f t="shared" si="4"/>
        <v>291.15846886207487</v>
      </c>
    </row>
    <row r="31" spans="1:15" s="16" customFormat="1" ht="13.5" x14ac:dyDescent="0.35">
      <c r="A31" s="59">
        <v>6</v>
      </c>
      <c r="B31" s="207" t="s">
        <v>249</v>
      </c>
      <c r="C31" s="207" t="s">
        <v>236</v>
      </c>
      <c r="D31" s="365"/>
      <c r="E31" s="365"/>
      <c r="F31" s="365"/>
      <c r="G31" s="365"/>
      <c r="H31" s="365"/>
      <c r="I31" s="365"/>
      <c r="J31" s="365"/>
      <c r="K31" s="365"/>
      <c r="L31" s="365"/>
      <c r="M31" s="365"/>
      <c r="N31" s="365"/>
      <c r="O31" s="365"/>
    </row>
    <row r="32" spans="1:15" x14ac:dyDescent="0.35">
      <c r="A32" s="59">
        <v>7</v>
      </c>
      <c r="B32" s="207" t="s">
        <v>250</v>
      </c>
      <c r="C32" s="207" t="s">
        <v>236</v>
      </c>
      <c r="D32" s="680">
        <f>+D17+D29-D31</f>
        <v>1.3178277269068108</v>
      </c>
      <c r="E32" s="680">
        <f t="shared" ref="E32:O32" si="5">+E17+E29-E31</f>
        <v>3.3860367985042243</v>
      </c>
      <c r="F32" s="680">
        <f t="shared" si="5"/>
        <v>8.2603397954742039</v>
      </c>
      <c r="G32" s="680">
        <f t="shared" si="5"/>
        <v>17.671072733316951</v>
      </c>
      <c r="H32" s="680">
        <f t="shared" si="5"/>
        <v>26.575881020399745</v>
      </c>
      <c r="I32" s="680">
        <f t="shared" si="5"/>
        <v>40.784802293787301</v>
      </c>
      <c r="J32" s="680">
        <f t="shared" si="5"/>
        <v>83.294598753284305</v>
      </c>
      <c r="K32" s="680">
        <f t="shared" si="5"/>
        <v>145.70095209056649</v>
      </c>
      <c r="L32" s="680">
        <f t="shared" si="5"/>
        <v>181.11024551515666</v>
      </c>
      <c r="M32" s="680">
        <f t="shared" si="5"/>
        <v>223.18853567433433</v>
      </c>
      <c r="N32" s="680">
        <f t="shared" si="5"/>
        <v>269.40017327003591</v>
      </c>
      <c r="O32" s="680">
        <f t="shared" si="5"/>
        <v>291.15846886207487</v>
      </c>
    </row>
    <row r="33" spans="1:15" x14ac:dyDescent="0.35">
      <c r="A33" s="59"/>
      <c r="B33" s="207"/>
      <c r="C33" s="207"/>
      <c r="D33" s="365"/>
      <c r="E33" s="365"/>
      <c r="F33" s="365"/>
      <c r="G33" s="365"/>
      <c r="H33" s="367"/>
      <c r="I33" s="364"/>
      <c r="J33" s="365"/>
      <c r="K33" s="364"/>
      <c r="L33" s="364"/>
      <c r="M33" s="364"/>
      <c r="N33" s="364"/>
      <c r="O33" s="364"/>
    </row>
    <row r="34" spans="1:15" x14ac:dyDescent="0.35">
      <c r="A34" s="59"/>
      <c r="B34" s="207" t="s">
        <v>251</v>
      </c>
      <c r="C34" s="207" t="s">
        <v>236</v>
      </c>
      <c r="D34" s="680">
        <f>+D36+D42</f>
        <v>1.3178277269068113</v>
      </c>
      <c r="E34" s="680">
        <f t="shared" ref="E34:O34" si="6">+E36+E42</f>
        <v>3.3860367985042248</v>
      </c>
      <c r="F34" s="680">
        <f t="shared" si="6"/>
        <v>8.2603397954742039</v>
      </c>
      <c r="G34" s="680">
        <f t="shared" si="6"/>
        <v>17.671072733316954</v>
      </c>
      <c r="H34" s="680">
        <f t="shared" si="6"/>
        <v>26.575881020399741</v>
      </c>
      <c r="I34" s="680">
        <f t="shared" si="6"/>
        <v>40.784802293787315</v>
      </c>
      <c r="J34" s="680">
        <f t="shared" si="6"/>
        <v>83.294598753284305</v>
      </c>
      <c r="K34" s="680">
        <f t="shared" si="6"/>
        <v>145.70095209056649</v>
      </c>
      <c r="L34" s="680">
        <f t="shared" si="6"/>
        <v>181.11024551515666</v>
      </c>
      <c r="M34" s="680">
        <f t="shared" si="6"/>
        <v>223.18853567433439</v>
      </c>
      <c r="N34" s="680">
        <f t="shared" si="6"/>
        <v>269.40017327003591</v>
      </c>
      <c r="O34" s="680">
        <f t="shared" si="6"/>
        <v>291.15846886207487</v>
      </c>
    </row>
    <row r="35" spans="1:15" x14ac:dyDescent="0.4">
      <c r="A35" s="58">
        <v>8</v>
      </c>
      <c r="B35" s="208" t="s">
        <v>252</v>
      </c>
      <c r="C35" s="208" t="s">
        <v>243</v>
      </c>
      <c r="D35" s="633">
        <f>+D36/D34</f>
        <v>3.1815787489327965E-2</v>
      </c>
      <c r="E35" s="633">
        <f t="shared" ref="E35:O35" si="7">+E36/E34</f>
        <v>3.1514633435573945E-2</v>
      </c>
      <c r="F35" s="633">
        <f t="shared" si="7"/>
        <v>2.9550817704611269E-2</v>
      </c>
      <c r="G35" s="633">
        <f t="shared" si="7"/>
        <v>3.1991591107601018E-2</v>
      </c>
      <c r="H35" s="633">
        <f t="shared" si="7"/>
        <v>3.254688037381688E-2</v>
      </c>
      <c r="I35" s="633">
        <f t="shared" si="7"/>
        <v>3.2484877191353539E-2</v>
      </c>
      <c r="J35" s="633">
        <f t="shared" si="7"/>
        <v>3.2488514186852974E-2</v>
      </c>
      <c r="K35" s="633">
        <f t="shared" si="7"/>
        <v>3.2799999999999864E-2</v>
      </c>
      <c r="L35" s="633">
        <f t="shared" si="7"/>
        <v>3.25999999999999E-2</v>
      </c>
      <c r="M35" s="633">
        <f t="shared" si="7"/>
        <v>3.2400000000000165E-2</v>
      </c>
      <c r="N35" s="633">
        <f t="shared" si="7"/>
        <v>3.2200000000000006E-2</v>
      </c>
      <c r="O35" s="633">
        <f t="shared" si="7"/>
        <v>3.2000000000000084E-2</v>
      </c>
    </row>
    <row r="36" spans="1:15" x14ac:dyDescent="0.4">
      <c r="A36" s="58">
        <v>8.1</v>
      </c>
      <c r="B36" s="208" t="s">
        <v>252</v>
      </c>
      <c r="C36" s="208" t="s">
        <v>236</v>
      </c>
      <c r="D36" s="624">
        <f>+'F2.1'!Q19-'F2.1'!Q17</f>
        <v>4.1927726906811236E-2</v>
      </c>
      <c r="E36" s="624">
        <f>+'F2.1'!Q44-'F2.1'!Q42</f>
        <v>0.10670970850422501</v>
      </c>
      <c r="F36" s="624">
        <f>+'F2.1'!Q70-'F2.1'!Q68</f>
        <v>0.24409979547420413</v>
      </c>
      <c r="G36" s="624">
        <f>+'F2.1'!Q96-'F2.1'!Q94</f>
        <v>0.56532573331695346</v>
      </c>
      <c r="H36" s="624">
        <f>+'F2.1'!Q122-'F2.1'!Q120</f>
        <v>0.86496202039974079</v>
      </c>
      <c r="I36" s="624">
        <f>+'F2.1'!Q149-'F2.1'!Q147</f>
        <v>1.3248892937873151</v>
      </c>
      <c r="J36" s="624">
        <f>+'F2.1'!Q175-'F2.1'!Q173</f>
        <v>2.7061177532843033</v>
      </c>
      <c r="K36" s="624">
        <f>+'F2.1'!Q204-'F2.1'!Q202</f>
        <v>4.7789912285705611</v>
      </c>
      <c r="L36" s="624">
        <f>+'F2.1'!Q233-'F2.1'!Q231</f>
        <v>5.904194003794089</v>
      </c>
      <c r="M36" s="624">
        <f>+'F2.1'!Q262-'F2.1'!Q260</f>
        <v>7.2313085558484715</v>
      </c>
      <c r="N36" s="624">
        <f>+'F2.1'!Q289-'F2.1'!Q287</f>
        <v>8.6746855792951578</v>
      </c>
      <c r="O36" s="624">
        <f>+'F2.1'!Q316-'F2.1'!Q314</f>
        <v>9.3170710035864204</v>
      </c>
    </row>
    <row r="37" spans="1:15" x14ac:dyDescent="0.4">
      <c r="A37" s="58">
        <v>9</v>
      </c>
      <c r="B37" s="208" t="s">
        <v>253</v>
      </c>
      <c r="C37" s="208" t="s">
        <v>236</v>
      </c>
      <c r="D37" s="624"/>
      <c r="E37" s="624"/>
      <c r="F37" s="624"/>
      <c r="G37" s="624"/>
      <c r="H37" s="624"/>
      <c r="I37" s="624"/>
      <c r="J37" s="624"/>
      <c r="K37" s="624"/>
      <c r="L37" s="624"/>
      <c r="M37" s="624"/>
      <c r="N37" s="624"/>
      <c r="O37" s="624"/>
    </row>
    <row r="38" spans="1:15" x14ac:dyDescent="0.4">
      <c r="A38" s="58">
        <f>A37+1</f>
        <v>10</v>
      </c>
      <c r="B38" s="208" t="s">
        <v>254</v>
      </c>
      <c r="C38" s="208" t="s">
        <v>236</v>
      </c>
      <c r="D38" s="624"/>
      <c r="E38" s="624"/>
      <c r="F38" s="624"/>
      <c r="G38" s="624"/>
      <c r="H38" s="624"/>
      <c r="I38" s="624"/>
      <c r="J38" s="624"/>
      <c r="K38" s="624"/>
      <c r="L38" s="624"/>
      <c r="M38" s="624"/>
      <c r="N38" s="624"/>
      <c r="O38" s="624"/>
    </row>
    <row r="39" spans="1:15" x14ac:dyDescent="0.4">
      <c r="A39" s="58">
        <f>A38+1</f>
        <v>11</v>
      </c>
      <c r="B39" s="208" t="s">
        <v>255</v>
      </c>
      <c r="C39" s="208" t="s">
        <v>236</v>
      </c>
      <c r="D39" s="624"/>
      <c r="E39" s="624"/>
      <c r="F39" s="624"/>
      <c r="G39" s="624"/>
      <c r="H39" s="624"/>
      <c r="I39" s="624"/>
      <c r="J39" s="624"/>
      <c r="K39" s="624"/>
      <c r="L39" s="624"/>
      <c r="M39" s="624"/>
      <c r="N39" s="624"/>
      <c r="O39" s="624"/>
    </row>
    <row r="40" spans="1:15" x14ac:dyDescent="0.4">
      <c r="A40" s="58">
        <f>A39+1</f>
        <v>12</v>
      </c>
      <c r="B40" s="208" t="s">
        <v>1188</v>
      </c>
      <c r="C40" s="208" t="s">
        <v>236</v>
      </c>
      <c r="D40" s="624"/>
      <c r="E40" s="624"/>
      <c r="F40" s="624"/>
      <c r="G40" s="624"/>
      <c r="H40" s="624"/>
      <c r="I40" s="624"/>
      <c r="J40" s="624"/>
      <c r="K40" s="624"/>
      <c r="L40" s="624"/>
      <c r="M40" s="624"/>
      <c r="N40" s="624"/>
      <c r="O40" s="624"/>
    </row>
    <row r="41" spans="1:15" x14ac:dyDescent="0.4">
      <c r="A41" s="58">
        <v>13</v>
      </c>
      <c r="B41" s="208" t="s">
        <v>256</v>
      </c>
      <c r="C41" s="208" t="s">
        <v>236</v>
      </c>
      <c r="D41" s="624"/>
      <c r="E41" s="624"/>
      <c r="F41" s="624"/>
      <c r="G41" s="624"/>
      <c r="H41" s="624"/>
      <c r="I41" s="624"/>
      <c r="J41" s="624"/>
      <c r="K41" s="624"/>
      <c r="L41" s="624"/>
      <c r="M41" s="624"/>
      <c r="N41" s="624"/>
      <c r="O41" s="624"/>
    </row>
    <row r="42" spans="1:15" x14ac:dyDescent="0.35">
      <c r="A42" s="58">
        <v>14</v>
      </c>
      <c r="B42" s="207" t="s">
        <v>1187</v>
      </c>
      <c r="C42" s="207" t="s">
        <v>236</v>
      </c>
      <c r="D42" s="626">
        <f>+Assum!E37</f>
        <v>1.2759</v>
      </c>
      <c r="E42" s="626">
        <f>+Assum!F37</f>
        <v>3.2793270899999998</v>
      </c>
      <c r="F42" s="626">
        <f>+Assum!G37</f>
        <v>8.0162399999999998</v>
      </c>
      <c r="G42" s="626">
        <f>+Assum!H37</f>
        <v>17.105747000000001</v>
      </c>
      <c r="H42" s="626">
        <f>+Assum!I37</f>
        <v>25.710919000000001</v>
      </c>
      <c r="I42" s="626">
        <f>+Assum!J37</f>
        <v>39.459913</v>
      </c>
      <c r="J42" s="626">
        <f>+Assum!K37</f>
        <v>80.588481000000002</v>
      </c>
      <c r="K42" s="626">
        <f>+'F2.1'!Q202</f>
        <v>140.92196086199593</v>
      </c>
      <c r="L42" s="626">
        <f>+'F2.1'!Q231</f>
        <v>175.20605151136257</v>
      </c>
      <c r="M42" s="626">
        <f>+'F2.1'!Q260</f>
        <v>215.95722711848592</v>
      </c>
      <c r="N42" s="626">
        <f>+'F2.1'!Q287</f>
        <v>260.72548769074075</v>
      </c>
      <c r="O42" s="626">
        <f>+'F2.1'!Q314</f>
        <v>281.84139785848845</v>
      </c>
    </row>
    <row r="43" spans="1:15" x14ac:dyDescent="0.4">
      <c r="A43" s="58">
        <v>15</v>
      </c>
      <c r="B43" s="208" t="s">
        <v>257</v>
      </c>
      <c r="C43" s="208" t="s">
        <v>243</v>
      </c>
      <c r="D43" s="633">
        <f>+D44/D42</f>
        <v>7.3713613919586168E-2</v>
      </c>
      <c r="E43" s="633">
        <f t="shared" ref="E43:O43" si="8">+E44/E42</f>
        <v>6.2693099638316319E-2</v>
      </c>
      <c r="F43" s="633">
        <f t="shared" si="8"/>
        <v>3.0780186970449788E-2</v>
      </c>
      <c r="G43" s="633">
        <f t="shared" si="8"/>
        <v>2.8201490884905586E-2</v>
      </c>
      <c r="H43" s="633">
        <f t="shared" si="8"/>
        <v>1.1336331101194809E-2</v>
      </c>
      <c r="I43" s="633">
        <f t="shared" si="8"/>
        <v>9.2326541723495009E-3</v>
      </c>
      <c r="J43" s="633">
        <f t="shared" si="8"/>
        <v>4.3526500642195069E-3</v>
      </c>
      <c r="K43" s="633">
        <f t="shared" si="8"/>
        <v>4.3526500642196353E-3</v>
      </c>
      <c r="L43" s="633">
        <f t="shared" si="8"/>
        <v>4.3526500642194974E-3</v>
      </c>
      <c r="M43" s="633">
        <f t="shared" si="8"/>
        <v>4.3526500642195017E-3</v>
      </c>
      <c r="N43" s="633">
        <f t="shared" si="8"/>
        <v>4.352650064219356E-3</v>
      </c>
      <c r="O43" s="633">
        <f t="shared" si="8"/>
        <v>4.3526500642195633E-3</v>
      </c>
    </row>
    <row r="44" spans="1:15" x14ac:dyDescent="0.4">
      <c r="A44" s="58">
        <v>15.1</v>
      </c>
      <c r="B44" s="208" t="s">
        <v>257</v>
      </c>
      <c r="C44" s="208" t="s">
        <v>236</v>
      </c>
      <c r="D44" s="1511">
        <f>+D42-D45</f>
        <v>9.4051200000000001E-2</v>
      </c>
      <c r="E44" s="1511">
        <f t="shared" ref="E44:O44" si="9">+E42-E45</f>
        <v>0.20559117999999987</v>
      </c>
      <c r="F44" s="1511">
        <f t="shared" si="9"/>
        <v>0.24674136599999841</v>
      </c>
      <c r="G44" s="1511">
        <f t="shared" si="9"/>
        <v>0.48240756810000107</v>
      </c>
      <c r="H44" s="1511">
        <f t="shared" si="9"/>
        <v>0.29146749070000055</v>
      </c>
      <c r="I44" s="1511">
        <f t="shared" si="9"/>
        <v>0.36431973039999832</v>
      </c>
      <c r="J44" s="1511">
        <f t="shared" si="9"/>
        <v>0.35077345700000251</v>
      </c>
      <c r="K44" s="1511">
        <f t="shared" si="9"/>
        <v>0.61338398199592348</v>
      </c>
      <c r="L44" s="1511">
        <f t="shared" si="9"/>
        <v>0.7626106313625769</v>
      </c>
      <c r="M44" s="1511">
        <f t="shared" si="9"/>
        <v>0.9399862384859432</v>
      </c>
      <c r="N44" s="1511">
        <f t="shared" si="9"/>
        <v>1.1348468107407257</v>
      </c>
      <c r="O44" s="1511">
        <f t="shared" si="9"/>
        <v>1.2267569784884813</v>
      </c>
    </row>
    <row r="45" spans="1:15" x14ac:dyDescent="0.35">
      <c r="A45" s="58">
        <v>16</v>
      </c>
      <c r="B45" s="207" t="s">
        <v>1721</v>
      </c>
      <c r="C45" s="207" t="s">
        <v>236</v>
      </c>
      <c r="D45" s="632">
        <f>+D47+D52-D46</f>
        <v>1.1818488</v>
      </c>
      <c r="E45" s="632">
        <f t="shared" ref="E45:O45" si="10">+E47+E52-E46</f>
        <v>3.0737359099999999</v>
      </c>
      <c r="F45" s="632">
        <f t="shared" si="10"/>
        <v>7.7694986340000014</v>
      </c>
      <c r="G45" s="632">
        <f t="shared" si="10"/>
        <v>16.6233394319</v>
      </c>
      <c r="H45" s="632">
        <f t="shared" si="10"/>
        <v>25.4194515093</v>
      </c>
      <c r="I45" s="632">
        <f t="shared" si="10"/>
        <v>39.095593269600002</v>
      </c>
      <c r="J45" s="632">
        <f t="shared" si="10"/>
        <v>80.237707542999999</v>
      </c>
      <c r="K45" s="632">
        <f t="shared" si="10"/>
        <v>140.30857688</v>
      </c>
      <c r="L45" s="632">
        <f t="shared" si="10"/>
        <v>174.44344088</v>
      </c>
      <c r="M45" s="632">
        <f t="shared" si="10"/>
        <v>215.01724087999997</v>
      </c>
      <c r="N45" s="632">
        <f t="shared" si="10"/>
        <v>259.59064088000002</v>
      </c>
      <c r="O45" s="632">
        <f t="shared" si="10"/>
        <v>280.61464087999997</v>
      </c>
    </row>
    <row r="46" spans="1:15" x14ac:dyDescent="0.4">
      <c r="A46" s="58">
        <v>17</v>
      </c>
      <c r="B46" s="208" t="s">
        <v>1722</v>
      </c>
      <c r="C46" s="208" t="s">
        <v>236</v>
      </c>
      <c r="D46" s="1511"/>
      <c r="E46" s="1511"/>
      <c r="F46" s="1511">
        <f>+'F2.1'!Q66</f>
        <v>0.139485</v>
      </c>
      <c r="G46" s="1511">
        <f>+'F2.1'!Q92</f>
        <v>0.26875019999999999</v>
      </c>
      <c r="H46" s="1511">
        <f>+'F2.1'!Q118</f>
        <v>0.21975111999999999</v>
      </c>
      <c r="I46" s="1511">
        <f>+'F2.1'!Q145</f>
        <v>0.26306609999999997</v>
      </c>
      <c r="J46" s="1511">
        <f>+'F2.1'!Q171</f>
        <v>0.12415811999999998</v>
      </c>
      <c r="K46" s="1511">
        <f>+'F2.1'!Q200</f>
        <v>0.12415811999999998</v>
      </c>
      <c r="L46" s="1511">
        <v>0.12415811999999998</v>
      </c>
      <c r="M46" s="1511">
        <v>0.12415811999999998</v>
      </c>
      <c r="N46" s="1511">
        <v>0.12415811999999998</v>
      </c>
      <c r="O46" s="1511">
        <v>0.12415811999999998</v>
      </c>
    </row>
    <row r="47" spans="1:15" x14ac:dyDescent="0.4">
      <c r="A47" s="58">
        <v>18</v>
      </c>
      <c r="B47" s="207" t="s">
        <v>258</v>
      </c>
      <c r="C47" s="208" t="s">
        <v>236</v>
      </c>
      <c r="D47" s="632">
        <f>SUM(D48:D50)</f>
        <v>1.0070348</v>
      </c>
      <c r="E47" s="632">
        <f t="shared" ref="E47:O47" si="11">SUM(E48:E50)</f>
        <v>2.4316161000000003</v>
      </c>
      <c r="F47" s="632">
        <f t="shared" si="11"/>
        <v>6.8524711400000013</v>
      </c>
      <c r="G47" s="632">
        <f t="shared" si="11"/>
        <v>14.742310481899999</v>
      </c>
      <c r="H47" s="632">
        <f t="shared" si="11"/>
        <v>21.757702680000001</v>
      </c>
      <c r="I47" s="632">
        <f t="shared" si="11"/>
        <v>34.205297605600002</v>
      </c>
      <c r="J47" s="632">
        <f t="shared" si="11"/>
        <v>73.6568118</v>
      </c>
      <c r="K47" s="632">
        <f t="shared" si="11"/>
        <v>131.20035736209786</v>
      </c>
      <c r="L47" s="632">
        <f t="shared" si="11"/>
        <v>163.48874583451743</v>
      </c>
      <c r="M47" s="632">
        <f t="shared" si="11"/>
        <v>204.06254583451741</v>
      </c>
      <c r="N47" s="632">
        <f t="shared" si="11"/>
        <v>244.94299477935658</v>
      </c>
      <c r="O47" s="632">
        <f t="shared" si="11"/>
        <v>265.96699477935653</v>
      </c>
    </row>
    <row r="48" spans="1:15" x14ac:dyDescent="0.4">
      <c r="A48" s="58">
        <f>A47+0.1</f>
        <v>18.100000000000001</v>
      </c>
      <c r="B48" s="211" t="s">
        <v>259</v>
      </c>
      <c r="C48" s="208" t="s">
        <v>236</v>
      </c>
      <c r="D48" s="624">
        <f>+'F1'!C16</f>
        <v>1.0070348</v>
      </c>
      <c r="E48" s="624">
        <f>+'F1'!D16</f>
        <v>2.4316161000000003</v>
      </c>
      <c r="F48" s="624">
        <f>+'F1'!E16</f>
        <v>6.8524711400000013</v>
      </c>
      <c r="G48" s="624">
        <f>+'F1'!F16</f>
        <v>14.742310481899999</v>
      </c>
      <c r="H48" s="624">
        <f>+'F1'!G16</f>
        <v>21.757702680000001</v>
      </c>
      <c r="I48" s="624">
        <f>+'F1'!H16</f>
        <v>34.205297605600002</v>
      </c>
      <c r="J48" s="624">
        <f>+'F1'!I16</f>
        <v>73.6568118</v>
      </c>
      <c r="K48" s="624">
        <f>+'F1'!J16</f>
        <v>131.20035736209786</v>
      </c>
      <c r="L48" s="624">
        <f>+'F1'!K16</f>
        <v>163.48874583451743</v>
      </c>
      <c r="M48" s="624">
        <f>+'F1'!L16</f>
        <v>204.06254583451741</v>
      </c>
      <c r="N48" s="624">
        <f>+'F1'!M16</f>
        <v>244.94299477935658</v>
      </c>
      <c r="O48" s="624">
        <f>+'F1'!N16</f>
        <v>265.96699477935653</v>
      </c>
    </row>
    <row r="49" spans="1:15" x14ac:dyDescent="0.4">
      <c r="A49" s="58">
        <f>A48+0.1</f>
        <v>18.200000000000003</v>
      </c>
      <c r="B49" s="211" t="s">
        <v>260</v>
      </c>
      <c r="C49" s="208" t="s">
        <v>236</v>
      </c>
      <c r="D49" s="364"/>
      <c r="E49" s="364"/>
      <c r="F49" s="364"/>
      <c r="G49" s="364"/>
      <c r="H49" s="364"/>
      <c r="I49" s="364"/>
      <c r="J49" s="364"/>
      <c r="K49" s="364"/>
      <c r="L49" s="364"/>
      <c r="M49" s="364"/>
      <c r="N49" s="364"/>
      <c r="O49" s="364"/>
    </row>
    <row r="50" spans="1:15" x14ac:dyDescent="0.4">
      <c r="A50" s="58">
        <f>A49+0.1</f>
        <v>18.300000000000004</v>
      </c>
      <c r="B50" s="211" t="s">
        <v>261</v>
      </c>
      <c r="C50" s="208" t="s">
        <v>236</v>
      </c>
      <c r="D50" s="364"/>
      <c r="E50" s="364"/>
      <c r="F50" s="364"/>
      <c r="G50" s="364"/>
      <c r="H50" s="364"/>
      <c r="I50" s="364"/>
      <c r="J50" s="364"/>
      <c r="K50" s="364"/>
      <c r="L50" s="364"/>
      <c r="M50" s="364"/>
      <c r="N50" s="364"/>
      <c r="O50" s="364"/>
    </row>
    <row r="51" spans="1:15" x14ac:dyDescent="0.4">
      <c r="A51" s="58">
        <f>A50+0.1</f>
        <v>18.400000000000006</v>
      </c>
      <c r="B51" s="211" t="s">
        <v>262</v>
      </c>
      <c r="C51" s="208" t="s">
        <v>236</v>
      </c>
      <c r="D51" s="364"/>
      <c r="E51" s="364"/>
      <c r="F51" s="364"/>
      <c r="G51" s="364"/>
      <c r="H51" s="364"/>
      <c r="I51" s="364"/>
      <c r="J51" s="364"/>
      <c r="K51" s="364"/>
      <c r="L51" s="364"/>
      <c r="M51" s="364"/>
      <c r="N51" s="364"/>
      <c r="O51" s="364"/>
    </row>
    <row r="52" spans="1:15" x14ac:dyDescent="0.4">
      <c r="A52" s="58">
        <v>19</v>
      </c>
      <c r="B52" s="207" t="s">
        <v>263</v>
      </c>
      <c r="C52" s="208" t="s">
        <v>236</v>
      </c>
      <c r="D52" s="626">
        <f t="shared" ref="D52:O52" si="12">SUM(D53:D55)</f>
        <v>0.174814</v>
      </c>
      <c r="E52" s="626">
        <f t="shared" si="12"/>
        <v>0.64211980999999985</v>
      </c>
      <c r="F52" s="626">
        <f t="shared" si="12"/>
        <v>1.0565124939999999</v>
      </c>
      <c r="G52" s="626">
        <f t="shared" si="12"/>
        <v>2.1497791500000005</v>
      </c>
      <c r="H52" s="626">
        <f t="shared" si="12"/>
        <v>3.8814999492999998</v>
      </c>
      <c r="I52" s="626">
        <f t="shared" si="12"/>
        <v>5.1533617640000005</v>
      </c>
      <c r="J52" s="626">
        <f t="shared" si="12"/>
        <v>6.7050538629999989</v>
      </c>
      <c r="K52" s="626">
        <f t="shared" si="12"/>
        <v>9.2323776379021467</v>
      </c>
      <c r="L52" s="626">
        <f t="shared" si="12"/>
        <v>11.078853165482577</v>
      </c>
      <c r="M52" s="626">
        <f t="shared" si="12"/>
        <v>11.078853165482577</v>
      </c>
      <c r="N52" s="626">
        <f t="shared" si="12"/>
        <v>14.77180422064343</v>
      </c>
      <c r="O52" s="626">
        <f t="shared" si="12"/>
        <v>14.771804220643432</v>
      </c>
    </row>
    <row r="53" spans="1:15" x14ac:dyDescent="0.4">
      <c r="A53" s="58">
        <f>A52+0.1</f>
        <v>19.100000000000001</v>
      </c>
      <c r="B53" s="211" t="s">
        <v>259</v>
      </c>
      <c r="C53" s="208" t="s">
        <v>236</v>
      </c>
      <c r="D53" s="624">
        <f>+'F1'!C32</f>
        <v>0.174814</v>
      </c>
      <c r="E53" s="624">
        <f>+'F1'!D32</f>
        <v>0.64211980999999985</v>
      </c>
      <c r="F53" s="624">
        <f>+'F1'!E32</f>
        <v>1.0565124939999999</v>
      </c>
      <c r="G53" s="624">
        <f>+'F1'!F32</f>
        <v>2.1497791500000005</v>
      </c>
      <c r="H53" s="624">
        <f>+'F1'!G32</f>
        <v>3.8814999492999998</v>
      </c>
      <c r="I53" s="624">
        <f>+'F1'!H32</f>
        <v>5.1533617640000005</v>
      </c>
      <c r="J53" s="624">
        <f>+'F1'!I32</f>
        <v>6.7050538629999989</v>
      </c>
      <c r="K53" s="624">
        <f>+'F1'!J32</f>
        <v>9.2323776379021467</v>
      </c>
      <c r="L53" s="624">
        <f>+'F1'!K32</f>
        <v>11.078853165482577</v>
      </c>
      <c r="M53" s="624">
        <f>+'F1'!L32</f>
        <v>11.078853165482577</v>
      </c>
      <c r="N53" s="624">
        <f>+'F1'!M32</f>
        <v>14.77180422064343</v>
      </c>
      <c r="O53" s="624">
        <f>+'F1'!N32</f>
        <v>14.771804220643432</v>
      </c>
    </row>
    <row r="54" spans="1:15" x14ac:dyDescent="0.4">
      <c r="A54" s="58">
        <f>A53+0.1</f>
        <v>19.200000000000003</v>
      </c>
      <c r="B54" s="211" t="s">
        <v>260</v>
      </c>
      <c r="C54" s="208" t="s">
        <v>236</v>
      </c>
      <c r="D54" s="364"/>
      <c r="E54" s="364"/>
      <c r="F54" s="364"/>
      <c r="G54" s="364"/>
      <c r="H54" s="364"/>
      <c r="I54" s="364"/>
      <c r="J54" s="364"/>
      <c r="K54" s="364"/>
      <c r="L54" s="364"/>
      <c r="M54" s="364"/>
      <c r="N54" s="364"/>
      <c r="O54" s="364"/>
    </row>
    <row r="55" spans="1:15" x14ac:dyDescent="0.4">
      <c r="A55" s="58">
        <f>A54+0.1</f>
        <v>19.300000000000004</v>
      </c>
      <c r="B55" s="211" t="s">
        <v>261</v>
      </c>
      <c r="C55" s="208" t="s">
        <v>236</v>
      </c>
      <c r="D55" s="364"/>
      <c r="E55" s="364"/>
      <c r="F55" s="364"/>
      <c r="G55" s="364"/>
      <c r="H55" s="364"/>
      <c r="I55" s="364"/>
      <c r="J55" s="364"/>
      <c r="K55" s="364"/>
      <c r="L55" s="364"/>
      <c r="M55" s="364"/>
      <c r="N55" s="364"/>
      <c r="O55" s="364"/>
    </row>
    <row r="56" spans="1:15" x14ac:dyDescent="0.35">
      <c r="A56" s="10"/>
    </row>
    <row r="57" spans="1:15" x14ac:dyDescent="0.35">
      <c r="A57" s="118" t="s">
        <v>165</v>
      </c>
    </row>
    <row r="58" spans="1:15" x14ac:dyDescent="0.35">
      <c r="A58" s="10" t="s">
        <v>210</v>
      </c>
    </row>
    <row r="60" spans="1:15" x14ac:dyDescent="0.35">
      <c r="B60" s="16" t="s">
        <v>1646</v>
      </c>
      <c r="D60" s="1208">
        <f>+D42</f>
        <v>1.2759</v>
      </c>
      <c r="E60" s="1208">
        <f t="shared" ref="E60:J60" si="13">+E42</f>
        <v>3.2793270899999998</v>
      </c>
      <c r="F60" s="1208">
        <f t="shared" si="13"/>
        <v>8.0162399999999998</v>
      </c>
      <c r="G60" s="1208">
        <f t="shared" si="13"/>
        <v>17.105747000000001</v>
      </c>
      <c r="H60" s="1208">
        <f t="shared" si="13"/>
        <v>25.710919000000001</v>
      </c>
      <c r="I60" s="1208">
        <f t="shared" si="13"/>
        <v>39.459913</v>
      </c>
      <c r="J60" s="1208">
        <f t="shared" si="13"/>
        <v>80.588481000000002</v>
      </c>
      <c r="K60" s="1208">
        <f>+K42</f>
        <v>140.92196086199593</v>
      </c>
      <c r="L60" s="1208">
        <f>+L42</f>
        <v>175.20605151136257</v>
      </c>
      <c r="M60" s="1208">
        <f>+M42</f>
        <v>215.95722711848592</v>
      </c>
      <c r="N60" s="1208">
        <f>+N42</f>
        <v>260.72548769074075</v>
      </c>
      <c r="O60" s="1208">
        <f>+O42</f>
        <v>281.84139785848845</v>
      </c>
    </row>
    <row r="61" spans="1:15" x14ac:dyDescent="0.35">
      <c r="B61" s="1421" t="s">
        <v>1147</v>
      </c>
      <c r="D61" s="1208"/>
      <c r="E61" s="1208">
        <f>+E65/E64*E60</f>
        <v>0.70927446468543776</v>
      </c>
      <c r="F61" s="1208">
        <f t="shared" ref="F61:O61" si="14">+F65/F64*F60</f>
        <v>5.5623339127721945</v>
      </c>
      <c r="G61" s="1208">
        <f t="shared" si="14"/>
        <v>13.473444237661246</v>
      </c>
      <c r="H61" s="1208">
        <f t="shared" si="14"/>
        <v>21.424578610688119</v>
      </c>
      <c r="I61" s="1208">
        <f t="shared" si="14"/>
        <v>33.835186233695346</v>
      </c>
      <c r="J61" s="1208">
        <f t="shared" si="14"/>
        <v>73.363202536583884</v>
      </c>
      <c r="K61" s="1208">
        <f t="shared" si="14"/>
        <v>131.15964801709939</v>
      </c>
      <c r="L61" s="1208">
        <f t="shared" si="14"/>
        <v>163.52634404548536</v>
      </c>
      <c r="M61" s="1208">
        <f t="shared" si="14"/>
        <v>204.27595191222875</v>
      </c>
      <c r="N61" s="1208">
        <f t="shared" si="14"/>
        <v>245.21074995458267</v>
      </c>
      <c r="O61" s="1208">
        <f t="shared" si="14"/>
        <v>266.32610441842877</v>
      </c>
    </row>
    <row r="62" spans="1:15" x14ac:dyDescent="0.35">
      <c r="B62" s="1421" t="s">
        <v>1148</v>
      </c>
      <c r="D62" s="1208"/>
      <c r="E62" s="1208">
        <f>+E66/E64*E60</f>
        <v>2.5700526253145624</v>
      </c>
      <c r="F62" s="1208">
        <f t="shared" ref="F62:O62" si="15">+F66/F64*F60</f>
        <v>2.4539060872278036</v>
      </c>
      <c r="G62" s="1208">
        <f t="shared" si="15"/>
        <v>3.6323027623387558</v>
      </c>
      <c r="H62" s="1208">
        <f t="shared" si="15"/>
        <v>4.2863403893118823</v>
      </c>
      <c r="I62" s="1208">
        <f t="shared" si="15"/>
        <v>5.6247267663046472</v>
      </c>
      <c r="J62" s="1208">
        <f t="shared" si="15"/>
        <v>7.2252784634161138</v>
      </c>
      <c r="K62" s="1208">
        <f t="shared" si="15"/>
        <v>9.7623128448965133</v>
      </c>
      <c r="L62" s="1208">
        <f t="shared" si="15"/>
        <v>11.67970746587717</v>
      </c>
      <c r="M62" s="1208">
        <f t="shared" si="15"/>
        <v>11.681275206257153</v>
      </c>
      <c r="N62" s="1208">
        <f t="shared" si="15"/>
        <v>15.514737736158047</v>
      </c>
      <c r="O62" s="1208">
        <f t="shared" si="15"/>
        <v>15.515293440059756</v>
      </c>
    </row>
    <row r="63" spans="1:15" x14ac:dyDescent="0.35">
      <c r="D63" s="1208"/>
      <c r="E63" s="1208"/>
      <c r="F63" s="1208"/>
      <c r="G63" s="1208"/>
      <c r="H63" s="1208"/>
      <c r="I63" s="1208"/>
      <c r="J63" s="1208"/>
      <c r="K63" s="1208"/>
      <c r="L63" s="1208"/>
      <c r="M63" s="1208"/>
      <c r="N63" s="1208"/>
      <c r="O63" s="1208"/>
    </row>
    <row r="64" spans="1:15" x14ac:dyDescent="0.35">
      <c r="B64" s="16" t="s">
        <v>1463</v>
      </c>
      <c r="D64" s="1209">
        <f>+D47+D52</f>
        <v>1.1818488</v>
      </c>
      <c r="E64" s="1209">
        <f t="shared" ref="E64:J64" si="16">+E47+E52</f>
        <v>3.0737359099999999</v>
      </c>
      <c r="F64" s="1209">
        <f t="shared" si="16"/>
        <v>7.908983634000001</v>
      </c>
      <c r="G64" s="1209">
        <f t="shared" si="16"/>
        <v>16.892089631899999</v>
      </c>
      <c r="H64" s="1209">
        <f t="shared" si="16"/>
        <v>25.639202629300001</v>
      </c>
      <c r="I64" s="1209">
        <f t="shared" si="16"/>
        <v>39.358659369600005</v>
      </c>
      <c r="J64" s="1209">
        <f t="shared" si="16"/>
        <v>80.361865663000003</v>
      </c>
      <c r="K64" s="1209">
        <f>+K47+K52</f>
        <v>140.43273500000001</v>
      </c>
      <c r="L64" s="1209">
        <f>+L47+L52</f>
        <v>174.567599</v>
      </c>
      <c r="M64" s="1209">
        <f>+M47+M52</f>
        <v>215.14139899999998</v>
      </c>
      <c r="N64" s="1209">
        <f>+N47+N52</f>
        <v>259.71479900000003</v>
      </c>
      <c r="O64" s="1209">
        <f>+O47+O52</f>
        <v>280.73879899999997</v>
      </c>
    </row>
    <row r="65" spans="2:15" x14ac:dyDescent="0.35">
      <c r="B65" s="1421" t="s">
        <v>1147</v>
      </c>
      <c r="D65" s="681">
        <f>+'F1 SEZ'!C34</f>
        <v>0</v>
      </c>
      <c r="E65" s="681">
        <f>+'F1 SEZ'!D34</f>
        <v>0.66480785000000009</v>
      </c>
      <c r="F65" s="681">
        <f>+'F1 SEZ'!E34</f>
        <v>5.4879105269999995</v>
      </c>
      <c r="G65" s="681">
        <f>+'F1 SEZ'!F34</f>
        <v>13.305155730000001</v>
      </c>
      <c r="H65" s="681">
        <f>+'F1 SEZ'!G34</f>
        <v>21.364818280000001</v>
      </c>
      <c r="I65" s="681">
        <f>+'F1 SEZ'!H34</f>
        <v>33.748365579999998</v>
      </c>
      <c r="J65" s="681">
        <f>+'F1 SEZ'!I34</f>
        <v>73.156904729999994</v>
      </c>
      <c r="K65" s="681">
        <f>+'F1 SEZ'!J34</f>
        <v>130.70431308230462</v>
      </c>
      <c r="L65" s="681">
        <f>+'F1 SEZ'!K34</f>
        <v>162.93045249876553</v>
      </c>
      <c r="M65" s="681">
        <f>+'F1 SEZ'!L34</f>
        <v>203.50425249876554</v>
      </c>
      <c r="N65" s="681">
        <f>+'F1 SEZ'!M34</f>
        <v>244.26020333168742</v>
      </c>
      <c r="O65" s="681">
        <f>+'F1 SEZ'!N34</f>
        <v>265.28420333168748</v>
      </c>
    </row>
    <row r="66" spans="2:15" x14ac:dyDescent="0.35">
      <c r="B66" s="1421" t="s">
        <v>1148</v>
      </c>
      <c r="D66" s="681">
        <f>+'F1 Non-SEZ'!C34</f>
        <v>0</v>
      </c>
      <c r="E66" s="681">
        <f>+'F1 Non-SEZ'!D34</f>
        <v>2.40892806</v>
      </c>
      <c r="F66" s="681">
        <f>+'F1 Non-SEZ'!E34</f>
        <v>2.4210731069999998</v>
      </c>
      <c r="G66" s="681">
        <f>+'F1 Non-SEZ'!F34</f>
        <v>3.5869339019000002</v>
      </c>
      <c r="H66" s="681">
        <f>+'F1 Non-SEZ'!G34</f>
        <v>4.2743843493</v>
      </c>
      <c r="I66" s="681">
        <f>+'F1 Non-SEZ'!H34</f>
        <v>5.6102937896000009</v>
      </c>
      <c r="J66" s="681">
        <f>+'F1 Non-SEZ'!I34</f>
        <v>7.2049609330000006</v>
      </c>
      <c r="K66" s="681">
        <f>+'F1 Non-SEZ'!J34</f>
        <v>9.7284219176953552</v>
      </c>
      <c r="L66" s="681">
        <f>+'F1 Non-SEZ'!K34</f>
        <v>11.63714650123443</v>
      </c>
      <c r="M66" s="681">
        <f>+'F1 Non-SEZ'!L34</f>
        <v>11.637146501234428</v>
      </c>
      <c r="N66" s="681">
        <f>+'F1 Non-SEZ'!M34</f>
        <v>15.454595668312564</v>
      </c>
      <c r="O66" s="681">
        <f>+'F1 Non-SEZ'!N34</f>
        <v>15.454595668312564</v>
      </c>
    </row>
    <row r="67" spans="2:15" x14ac:dyDescent="0.35">
      <c r="D67" s="681"/>
      <c r="E67" s="681"/>
      <c r="F67" s="681"/>
      <c r="G67" s="681"/>
      <c r="H67" s="681"/>
      <c r="I67" s="681"/>
      <c r="J67" s="681"/>
      <c r="K67" s="681"/>
      <c r="L67" s="681"/>
      <c r="M67" s="681"/>
      <c r="N67" s="681"/>
      <c r="O67" s="681"/>
    </row>
    <row r="68" spans="2:15" x14ac:dyDescent="0.35">
      <c r="B68" s="16" t="s">
        <v>1464</v>
      </c>
      <c r="D68" s="1210">
        <f t="shared" ref="D68:O68" si="17">(D60-D64)/D60</f>
        <v>7.3713613919586168E-2</v>
      </c>
      <c r="E68" s="1210">
        <f t="shared" si="17"/>
        <v>6.2693099638316319E-2</v>
      </c>
      <c r="F68" s="1210">
        <f t="shared" si="17"/>
        <v>1.337988458429373E-2</v>
      </c>
      <c r="G68" s="1210">
        <f t="shared" si="17"/>
        <v>1.2490385137813717E-2</v>
      </c>
      <c r="H68" s="1210">
        <f t="shared" si="17"/>
        <v>2.7893351731223233E-3</v>
      </c>
      <c r="I68" s="1210">
        <f t="shared" si="17"/>
        <v>2.5659871677870942E-3</v>
      </c>
      <c r="J68" s="1210">
        <f t="shared" si="17"/>
        <v>2.8120065571157538E-3</v>
      </c>
      <c r="K68" s="1210">
        <f t="shared" si="17"/>
        <v>3.471608392357068E-3</v>
      </c>
      <c r="L68" s="1210">
        <f t="shared" si="17"/>
        <v>3.6440094725904339E-3</v>
      </c>
      <c r="M68" s="1210">
        <f t="shared" si="17"/>
        <v>3.777730105963674E-3</v>
      </c>
      <c r="N68" s="1210">
        <f t="shared" si="17"/>
        <v>3.8764475989380401E-3</v>
      </c>
      <c r="O68" s="1210">
        <f t="shared" si="17"/>
        <v>3.9121252834620418E-3</v>
      </c>
    </row>
    <row r="69" spans="2:15" x14ac:dyDescent="0.35">
      <c r="B69" s="1421" t="s">
        <v>1147</v>
      </c>
      <c r="E69" s="1210">
        <f>(E61-E65)/E61</f>
        <v>6.2693099638316388E-2</v>
      </c>
      <c r="F69" s="1210">
        <f t="shared" ref="F69:N69" si="18">(F61-F65)/F61</f>
        <v>1.3379884584293743E-2</v>
      </c>
      <c r="G69" s="1210">
        <f t="shared" si="18"/>
        <v>1.2490385137813653E-2</v>
      </c>
      <c r="H69" s="1210">
        <f t="shared" si="18"/>
        <v>2.789335173122371E-3</v>
      </c>
      <c r="I69" s="1210">
        <f t="shared" si="18"/>
        <v>2.5659871677870699E-3</v>
      </c>
      <c r="J69" s="1210">
        <f t="shared" si="18"/>
        <v>2.8120065571158293E-3</v>
      </c>
      <c r="K69" s="1210">
        <f t="shared" si="18"/>
        <v>3.4716083923570814E-3</v>
      </c>
      <c r="L69" s="1210">
        <f t="shared" si="18"/>
        <v>3.6440094725904079E-3</v>
      </c>
      <c r="M69" s="1210">
        <f t="shared" si="18"/>
        <v>3.7777301059636541E-3</v>
      </c>
      <c r="N69" s="1210">
        <f t="shared" si="18"/>
        <v>3.8764475989380713E-3</v>
      </c>
      <c r="O69" s="1210">
        <f>(O61-O65)/O61</f>
        <v>3.9121252834620557E-3</v>
      </c>
    </row>
    <row r="70" spans="2:15" x14ac:dyDescent="0.35">
      <c r="B70" s="1421" t="s">
        <v>1148</v>
      </c>
      <c r="E70" s="1210">
        <f>(E62-E66)/E62</f>
        <v>6.2693099638316332E-2</v>
      </c>
      <c r="F70" s="1210">
        <f t="shared" ref="F70:N70" si="19">(F62-F66)/F62</f>
        <v>1.3379884584293711E-2</v>
      </c>
      <c r="G70" s="1210">
        <f t="shared" si="19"/>
        <v>1.2490385137813703E-2</v>
      </c>
      <c r="H70" s="1210">
        <f t="shared" si="19"/>
        <v>2.7893351731222917E-3</v>
      </c>
      <c r="I70" s="1210">
        <f t="shared" si="19"/>
        <v>2.565987167787085E-3</v>
      </c>
      <c r="J70" s="1210">
        <f t="shared" si="19"/>
        <v>2.8120065571157291E-3</v>
      </c>
      <c r="K70" s="1210">
        <f t="shared" si="19"/>
        <v>3.4716083923570793E-3</v>
      </c>
      <c r="L70" s="1210">
        <f t="shared" si="19"/>
        <v>3.6440094725903576E-3</v>
      </c>
      <c r="M70" s="1210">
        <f t="shared" si="19"/>
        <v>3.7777301059637239E-3</v>
      </c>
      <c r="N70" s="1210">
        <f t="shared" si="19"/>
        <v>3.8764475989380184E-3</v>
      </c>
      <c r="O70" s="1210">
        <f>(O62-O66)/O62</f>
        <v>3.9121252834621182E-3</v>
      </c>
    </row>
    <row r="72" spans="2:15" x14ac:dyDescent="0.35">
      <c r="B72" s="16" t="s">
        <v>1647</v>
      </c>
    </row>
    <row r="73" spans="2:15" x14ac:dyDescent="0.35">
      <c r="B73" s="1421" t="s">
        <v>1147</v>
      </c>
      <c r="E73" s="1209">
        <f>+E61/E60</f>
        <v>0.21628658722342875</v>
      </c>
      <c r="F73" s="1209">
        <f t="shared" ref="F73:O73" si="20">+F61/F60</f>
        <v>0.69388315628925712</v>
      </c>
      <c r="G73" s="1209">
        <f t="shared" si="20"/>
        <v>0.78765599875066816</v>
      </c>
      <c r="H73" s="1209">
        <f t="shared" si="20"/>
        <v>0.83328715751810034</v>
      </c>
      <c r="I73" s="1209">
        <f t="shared" si="20"/>
        <v>0.85745719291614619</v>
      </c>
      <c r="J73" s="1209">
        <f t="shared" si="20"/>
        <v>0.91034353329707107</v>
      </c>
      <c r="K73" s="1209">
        <f t="shared" si="20"/>
        <v>0.93072539733919313</v>
      </c>
      <c r="L73" s="1209">
        <f t="shared" si="20"/>
        <v>0.93333730561743888</v>
      </c>
      <c r="M73" s="1209">
        <f t="shared" si="20"/>
        <v>0.94590931101440667</v>
      </c>
      <c r="N73" s="1209">
        <f t="shared" si="20"/>
        <v>0.94049397366719711</v>
      </c>
      <c r="O73" s="1209">
        <f t="shared" si="20"/>
        <v>0.94495026792391279</v>
      </c>
    </row>
    <row r="74" spans="2:15" x14ac:dyDescent="0.35">
      <c r="B74" s="1421" t="s">
        <v>1148</v>
      </c>
      <c r="E74" s="1209">
        <f>+E62/E60</f>
        <v>0.78371341277657136</v>
      </c>
      <c r="F74" s="1209">
        <f t="shared" ref="F74:O74" si="21">+F62/F60</f>
        <v>0.30611684371074266</v>
      </c>
      <c r="G74" s="1209">
        <f t="shared" si="21"/>
        <v>0.21234400124933192</v>
      </c>
      <c r="H74" s="1209">
        <f t="shared" si="21"/>
        <v>0.16671284248189971</v>
      </c>
      <c r="I74" s="1209">
        <f t="shared" si="21"/>
        <v>0.14254280708385361</v>
      </c>
      <c r="J74" s="1209">
        <f t="shared" si="21"/>
        <v>8.9656466702928844E-2</v>
      </c>
      <c r="K74" s="1209">
        <f t="shared" si="21"/>
        <v>6.927460266080665E-2</v>
      </c>
      <c r="L74" s="1209">
        <f t="shared" si="21"/>
        <v>6.6662694382560811E-2</v>
      </c>
      <c r="M74" s="1209">
        <f t="shared" si="21"/>
        <v>5.4090688985593278E-2</v>
      </c>
      <c r="N74" s="1209">
        <f t="shared" si="21"/>
        <v>5.9506026332802706E-2</v>
      </c>
      <c r="O74" s="1209">
        <f t="shared" si="21"/>
        <v>5.5049732076087446E-2</v>
      </c>
    </row>
    <row r="76" spans="2:15" x14ac:dyDescent="0.35">
      <c r="B76" s="16" t="s">
        <v>1648</v>
      </c>
    </row>
    <row r="77" spans="2:15" x14ac:dyDescent="0.35">
      <c r="B77" s="1421" t="s">
        <v>1147</v>
      </c>
      <c r="E77" s="1209">
        <f>+E65/E$64</f>
        <v>0.21628658722342875</v>
      </c>
      <c r="F77" s="1209">
        <f t="shared" ref="F77:O77" si="22">+F65/F$64</f>
        <v>0.69388315628925712</v>
      </c>
      <c r="G77" s="1209">
        <f t="shared" si="22"/>
        <v>0.78765599875066816</v>
      </c>
      <c r="H77" s="1209">
        <f t="shared" si="22"/>
        <v>0.83328715751810034</v>
      </c>
      <c r="I77" s="1209">
        <f t="shared" si="22"/>
        <v>0.85745719291614619</v>
      </c>
      <c r="J77" s="1209">
        <f t="shared" si="22"/>
        <v>0.91034353329707107</v>
      </c>
      <c r="K77" s="1209">
        <f t="shared" si="22"/>
        <v>0.93072539733919313</v>
      </c>
      <c r="L77" s="1209">
        <f t="shared" si="22"/>
        <v>0.93333730561743899</v>
      </c>
      <c r="M77" s="1209">
        <f t="shared" si="22"/>
        <v>0.94590931101440667</v>
      </c>
      <c r="N77" s="1209">
        <f t="shared" si="22"/>
        <v>0.94049397366719711</v>
      </c>
      <c r="O77" s="1209">
        <f t="shared" si="22"/>
        <v>0.94495026792391279</v>
      </c>
    </row>
    <row r="78" spans="2:15" x14ac:dyDescent="0.35">
      <c r="B78" s="1421" t="s">
        <v>1148</v>
      </c>
      <c r="E78" s="1209">
        <f>+E66/E$64</f>
        <v>0.78371341277657136</v>
      </c>
      <c r="F78" s="1209">
        <f t="shared" ref="F78:O78" si="23">+F66/F$64</f>
        <v>0.30611684371074266</v>
      </c>
      <c r="G78" s="1209">
        <f t="shared" si="23"/>
        <v>0.21234400124933192</v>
      </c>
      <c r="H78" s="1209">
        <f t="shared" si="23"/>
        <v>0.16671284248189971</v>
      </c>
      <c r="I78" s="1209">
        <f t="shared" si="23"/>
        <v>0.14254280708385361</v>
      </c>
      <c r="J78" s="1209">
        <f t="shared" si="23"/>
        <v>8.9656466702928844E-2</v>
      </c>
      <c r="K78" s="1209">
        <f t="shared" si="23"/>
        <v>6.927460266080665E-2</v>
      </c>
      <c r="L78" s="1209">
        <f t="shared" si="23"/>
        <v>6.6662694382560811E-2</v>
      </c>
      <c r="M78" s="1209">
        <f t="shared" si="23"/>
        <v>5.4090688985593278E-2</v>
      </c>
      <c r="N78" s="1209">
        <f t="shared" si="23"/>
        <v>5.9506026332802706E-2</v>
      </c>
      <c r="O78" s="1209">
        <f t="shared" si="23"/>
        <v>5.5049732076087446E-2</v>
      </c>
    </row>
    <row r="80" spans="2:15" x14ac:dyDescent="0.35">
      <c r="B80" s="16" t="s">
        <v>1306</v>
      </c>
      <c r="E80" s="1209">
        <f>+E81+E82</f>
        <v>4.2905450108599998</v>
      </c>
      <c r="F80" s="1209">
        <f t="shared" ref="F80:O80" si="24">+F81+F82</f>
        <v>11.399013146457001</v>
      </c>
      <c r="G80" s="1209">
        <f t="shared" si="24"/>
        <v>14.592554524119999</v>
      </c>
      <c r="H80" s="1209">
        <f t="shared" si="24"/>
        <v>21.784573244680196</v>
      </c>
      <c r="I80" s="1209">
        <f t="shared" si="24"/>
        <v>40.870476533349994</v>
      </c>
      <c r="J80" s="1209">
        <f t="shared" si="24"/>
        <v>73.97208683905798</v>
      </c>
      <c r="K80" s="1209">
        <f t="shared" si="24"/>
        <v>129.97373204691488</v>
      </c>
      <c r="L80" s="1209">
        <f t="shared" ca="1" si="24"/>
        <v>155.78304560400159</v>
      </c>
      <c r="M80" s="1209">
        <f t="shared" ca="1" si="24"/>
        <v>184.31218594124022</v>
      </c>
      <c r="N80" s="1209">
        <f t="shared" ca="1" si="24"/>
        <v>215.97980987938382</v>
      </c>
      <c r="O80" s="1209">
        <f t="shared" ca="1" si="24"/>
        <v>228.47062039886129</v>
      </c>
    </row>
    <row r="81" spans="2:15" x14ac:dyDescent="0.35">
      <c r="B81" s="1421" t="s">
        <v>1147</v>
      </c>
      <c r="E81" s="681">
        <f>+'F13 SEZ'!O69</f>
        <v>0.86682755559999991</v>
      </c>
      <c r="F81" s="681">
        <f>+'F13 SEZ'!$O105</f>
        <v>7.875989123060001</v>
      </c>
      <c r="G81" s="681">
        <f>+'F13 SEZ'!$O135</f>
        <v>9.9205871464999991</v>
      </c>
      <c r="H81" s="681">
        <f>+'F13 SEZ'!$O165</f>
        <v>16.363716725999996</v>
      </c>
      <c r="I81" s="681">
        <f>+'F13 SEZ'!$O195</f>
        <v>32.312656260999994</v>
      </c>
      <c r="J81" s="681">
        <f>+'F13 SEZ'!$O226</f>
        <v>64.247095527999988</v>
      </c>
      <c r="K81" s="681">
        <f>+'F13.1'!V35</f>
        <v>116.88772349251271</v>
      </c>
      <c r="L81" s="681">
        <f ca="1">+'F14.2'!W65</f>
        <v>139.51069553245341</v>
      </c>
      <c r="M81" s="681">
        <f ca="1">+'F14.3'!W65</f>
        <v>168.0181731904753</v>
      </c>
      <c r="N81" s="681">
        <f ca="1">+'F14.4'!W65</f>
        <v>196.25638933354304</v>
      </c>
      <c r="O81" s="681">
        <f ca="1">+'F14.5'!W65</f>
        <v>208.77224127459689</v>
      </c>
    </row>
    <row r="82" spans="2:15" x14ac:dyDescent="0.35">
      <c r="B82" s="1421" t="s">
        <v>1148</v>
      </c>
      <c r="E82" s="681">
        <f>+'F13 Non SEZ'!O69</f>
        <v>3.4237174552600003</v>
      </c>
      <c r="F82" s="681">
        <f>+'F13 Non SEZ'!$O105</f>
        <v>3.5230240233970003</v>
      </c>
      <c r="G82" s="681">
        <f>+'F13 Non SEZ'!$O135</f>
        <v>4.6719673776199997</v>
      </c>
      <c r="H82" s="681">
        <f>+'F13 Non SEZ'!$O165</f>
        <v>5.420856518680198</v>
      </c>
      <c r="I82" s="681">
        <f>+'F13 Non SEZ'!$O195</f>
        <v>8.5578202723499999</v>
      </c>
      <c r="J82" s="681">
        <f>+'F13 Non SEZ'!$O226</f>
        <v>9.7249913110579964</v>
      </c>
      <c r="K82" s="681">
        <f>+'F13.1'!V70</f>
        <v>13.086008554402159</v>
      </c>
      <c r="L82" s="681">
        <f>+'F14.2'!W124</f>
        <v>16.272350071548175</v>
      </c>
      <c r="M82" s="681">
        <f>+'F14.3'!W124</f>
        <v>16.294012750764935</v>
      </c>
      <c r="N82" s="681">
        <f>+'F14.4'!W124</f>
        <v>19.723420545840767</v>
      </c>
      <c r="O82" s="681">
        <f>+'F14.5'!W124</f>
        <v>19.698379124264378</v>
      </c>
    </row>
    <row r="84" spans="2:15" x14ac:dyDescent="0.35">
      <c r="B84" s="16" t="s">
        <v>1666</v>
      </c>
    </row>
    <row r="85" spans="2:15" x14ac:dyDescent="0.35">
      <c r="B85" s="1421" t="s">
        <v>1147</v>
      </c>
      <c r="E85" s="1209">
        <f>+E81/E80</f>
        <v>0.20203203868178332</v>
      </c>
      <c r="F85" s="1209">
        <f t="shared" ref="F85:O85" si="25">+F81/F80</f>
        <v>0.69093605050433571</v>
      </c>
      <c r="G85" s="1209">
        <f t="shared" si="25"/>
        <v>0.67983896377445663</v>
      </c>
      <c r="H85" s="1209">
        <f t="shared" si="25"/>
        <v>0.75116076602492199</v>
      </c>
      <c r="I85" s="1209">
        <f t="shared" si="25"/>
        <v>0.79061119423535753</v>
      </c>
      <c r="J85" s="1209">
        <f t="shared" si="25"/>
        <v>0.868531607980497</v>
      </c>
      <c r="K85" s="1209">
        <f t="shared" si="25"/>
        <v>0.89931805182235836</v>
      </c>
      <c r="L85" s="1209">
        <f t="shared" ca="1" si="25"/>
        <v>0.89554479431020839</v>
      </c>
      <c r="M85" s="1209">
        <f t="shared" ca="1" si="25"/>
        <v>0.91159557536819869</v>
      </c>
      <c r="N85" s="1209">
        <f t="shared" ca="1" si="25"/>
        <v>0.90867933184654837</v>
      </c>
      <c r="O85" s="1209">
        <f t="shared" ca="1" si="25"/>
        <v>0.91378156591917514</v>
      </c>
    </row>
    <row r="86" spans="2:15" x14ac:dyDescent="0.35">
      <c r="B86" s="1421" t="s">
        <v>1148</v>
      </c>
      <c r="E86" s="1209">
        <f>+E82/E80</f>
        <v>0.79796796131821679</v>
      </c>
      <c r="F86" s="1209">
        <f t="shared" ref="F86:O86" si="26">+F82/F80</f>
        <v>0.30906394949566435</v>
      </c>
      <c r="G86" s="1209">
        <f t="shared" si="26"/>
        <v>0.32016103622554337</v>
      </c>
      <c r="H86" s="1209">
        <f t="shared" si="26"/>
        <v>0.24883923397507793</v>
      </c>
      <c r="I86" s="1209">
        <f t="shared" si="26"/>
        <v>0.20938880576464247</v>
      </c>
      <c r="J86" s="1209">
        <f t="shared" si="26"/>
        <v>0.13146839201950306</v>
      </c>
      <c r="K86" s="1209">
        <f t="shared" si="26"/>
        <v>0.1006819481776416</v>
      </c>
      <c r="L86" s="1209">
        <f t="shared" ca="1" si="26"/>
        <v>0.10445520568979162</v>
      </c>
      <c r="M86" s="1209">
        <f t="shared" ca="1" si="26"/>
        <v>8.8404424631801398E-2</v>
      </c>
      <c r="N86" s="1209">
        <f t="shared" ca="1" si="26"/>
        <v>9.1320668153451551E-2</v>
      </c>
      <c r="O86" s="1209">
        <f t="shared" ca="1" si="26"/>
        <v>8.6218434080824843E-2</v>
      </c>
    </row>
    <row r="89" spans="2:15" x14ac:dyDescent="0.35">
      <c r="E89" s="1209">
        <f>+'ARR-Summary'!F126-E80</f>
        <v>0</v>
      </c>
      <c r="F89" s="1209">
        <f>+'ARR-Summary'!G126-F80</f>
        <v>0</v>
      </c>
      <c r="G89" s="1209">
        <f>+'ARR-Summary'!H126-G80</f>
        <v>0</v>
      </c>
      <c r="H89" s="1209">
        <f>+'ARR-Summary'!I126-H80</f>
        <v>0</v>
      </c>
      <c r="I89" s="1209">
        <f>+'ARR-Summary'!J126-I80</f>
        <v>0</v>
      </c>
      <c r="J89" s="1209">
        <f>+'ARR-Summary'!K126-J80</f>
        <v>0</v>
      </c>
    </row>
  </sheetData>
  <mergeCells count="8">
    <mergeCell ref="A3:O3"/>
    <mergeCell ref="A4:O4"/>
    <mergeCell ref="A5:O5"/>
    <mergeCell ref="A7:A8"/>
    <mergeCell ref="B7:B8"/>
    <mergeCell ref="C7:C8"/>
    <mergeCell ref="K7:O7"/>
    <mergeCell ref="D8:I8"/>
  </mergeCells>
  <pageMargins left="0.35433070866141736" right="0.19685039370078741" top="0.47244094488188981" bottom="0.31496062992125984" header="0.23622047244094491" footer="0.23622047244094491"/>
  <pageSetup paperSize="9" scale="44" fitToHeight="2" orientation="landscape" r:id="rId1"/>
  <headerFooter alignWithMargins="0">
    <oddHeader>&amp;F</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3:O37"/>
  <sheetViews>
    <sheetView showGridLines="0" view="pageBreakPreview" zoomScale="60" zoomScaleNormal="75" workbookViewId="0">
      <selection activeCell="J12" sqref="J12"/>
    </sheetView>
  </sheetViews>
  <sheetFormatPr defaultColWidth="9.33203125" defaultRowHeight="13.9" x14ac:dyDescent="0.35"/>
  <cols>
    <col min="1" max="1" width="6.6640625" style="10" customWidth="1"/>
    <col min="2" max="2" width="8.33203125" style="10" customWidth="1"/>
    <col min="3" max="3" width="32.33203125" style="10" customWidth="1"/>
    <col min="4" max="4" width="13.46484375" style="10" bestFit="1" customWidth="1"/>
    <col min="5" max="7" width="13.796875" style="10" bestFit="1" customWidth="1"/>
    <col min="8" max="9" width="14.19921875" style="10" bestFit="1" customWidth="1"/>
    <col min="10" max="10" width="16.796875" style="10" bestFit="1" customWidth="1"/>
    <col min="11" max="15" width="14.19921875" style="10" bestFit="1" customWidth="1"/>
    <col min="16" max="250" width="9.33203125" style="10"/>
    <col min="251" max="251" width="6.6640625" style="10" customWidth="1"/>
    <col min="252" max="252" width="7" style="10" customWidth="1"/>
    <col min="253" max="253" width="17.6640625" style="10" bestFit="1" customWidth="1"/>
    <col min="254" max="254" width="12.6640625" style="10" customWidth="1"/>
    <col min="255" max="255" width="24" style="10" customWidth="1"/>
    <col min="256" max="256" width="13.46484375" style="10" bestFit="1" customWidth="1"/>
    <col min="257" max="257" width="13.6640625" style="10" customWidth="1"/>
    <col min="258" max="258" width="13.33203125" style="10" customWidth="1"/>
    <col min="259" max="259" width="22.46484375" style="10" customWidth="1"/>
    <col min="260" max="260" width="18.46484375" style="10" customWidth="1"/>
    <col min="261" max="261" width="22" style="10" customWidth="1"/>
    <col min="262" max="262" width="21.33203125" style="10" customWidth="1"/>
    <col min="263" max="263" width="23" style="10" customWidth="1"/>
    <col min="264" max="506" width="9.33203125" style="10"/>
    <col min="507" max="507" width="6.6640625" style="10" customWidth="1"/>
    <col min="508" max="508" width="7" style="10" customWidth="1"/>
    <col min="509" max="509" width="17.6640625" style="10" bestFit="1" customWidth="1"/>
    <col min="510" max="510" width="12.6640625" style="10" customWidth="1"/>
    <col min="511" max="511" width="24" style="10" customWidth="1"/>
    <col min="512" max="512" width="13.46484375" style="10" bestFit="1" customWidth="1"/>
    <col min="513" max="513" width="13.6640625" style="10" customWidth="1"/>
    <col min="514" max="514" width="13.33203125" style="10" customWidth="1"/>
    <col min="515" max="515" width="22.46484375" style="10" customWidth="1"/>
    <col min="516" max="516" width="18.46484375" style="10" customWidth="1"/>
    <col min="517" max="517" width="22" style="10" customWidth="1"/>
    <col min="518" max="518" width="21.33203125" style="10" customWidth="1"/>
    <col min="519" max="519" width="23" style="10" customWidth="1"/>
    <col min="520" max="762" width="9.33203125" style="10"/>
    <col min="763" max="763" width="6.6640625" style="10" customWidth="1"/>
    <col min="764" max="764" width="7" style="10" customWidth="1"/>
    <col min="765" max="765" width="17.6640625" style="10" bestFit="1" customWidth="1"/>
    <col min="766" max="766" width="12.6640625" style="10" customWidth="1"/>
    <col min="767" max="767" width="24" style="10" customWidth="1"/>
    <col min="768" max="768" width="13.46484375" style="10" bestFit="1" customWidth="1"/>
    <col min="769" max="769" width="13.6640625" style="10" customWidth="1"/>
    <col min="770" max="770" width="13.33203125" style="10" customWidth="1"/>
    <col min="771" max="771" width="22.46484375" style="10" customWidth="1"/>
    <col min="772" max="772" width="18.46484375" style="10" customWidth="1"/>
    <col min="773" max="773" width="22" style="10" customWidth="1"/>
    <col min="774" max="774" width="21.33203125" style="10" customWidth="1"/>
    <col min="775" max="775" width="23" style="10" customWidth="1"/>
    <col min="776" max="1018" width="9.33203125" style="10"/>
    <col min="1019" max="1019" width="6.6640625" style="10" customWidth="1"/>
    <col min="1020" max="1020" width="7" style="10" customWidth="1"/>
    <col min="1021" max="1021" width="17.6640625" style="10" bestFit="1" customWidth="1"/>
    <col min="1022" max="1022" width="12.6640625" style="10" customWidth="1"/>
    <col min="1023" max="1023" width="24" style="10" customWidth="1"/>
    <col min="1024" max="1024" width="13.46484375" style="10" bestFit="1" customWidth="1"/>
    <col min="1025" max="1025" width="13.6640625" style="10" customWidth="1"/>
    <col min="1026" max="1026" width="13.33203125" style="10" customWidth="1"/>
    <col min="1027" max="1027" width="22.46484375" style="10" customWidth="1"/>
    <col min="1028" max="1028" width="18.46484375" style="10" customWidth="1"/>
    <col min="1029" max="1029" width="22" style="10" customWidth="1"/>
    <col min="1030" max="1030" width="21.33203125" style="10" customWidth="1"/>
    <col min="1031" max="1031" width="23" style="10" customWidth="1"/>
    <col min="1032" max="1274" width="9.33203125" style="10"/>
    <col min="1275" max="1275" width="6.6640625" style="10" customWidth="1"/>
    <col min="1276" max="1276" width="7" style="10" customWidth="1"/>
    <col min="1277" max="1277" width="17.6640625" style="10" bestFit="1" customWidth="1"/>
    <col min="1278" max="1278" width="12.6640625" style="10" customWidth="1"/>
    <col min="1279" max="1279" width="24" style="10" customWidth="1"/>
    <col min="1280" max="1280" width="13.46484375" style="10" bestFit="1" customWidth="1"/>
    <col min="1281" max="1281" width="13.6640625" style="10" customWidth="1"/>
    <col min="1282" max="1282" width="13.33203125" style="10" customWidth="1"/>
    <col min="1283" max="1283" width="22.46484375" style="10" customWidth="1"/>
    <col min="1284" max="1284" width="18.46484375" style="10" customWidth="1"/>
    <col min="1285" max="1285" width="22" style="10" customWidth="1"/>
    <col min="1286" max="1286" width="21.33203125" style="10" customWidth="1"/>
    <col min="1287" max="1287" width="23" style="10" customWidth="1"/>
    <col min="1288" max="1530" width="9.33203125" style="10"/>
    <col min="1531" max="1531" width="6.6640625" style="10" customWidth="1"/>
    <col min="1532" max="1532" width="7" style="10" customWidth="1"/>
    <col min="1533" max="1533" width="17.6640625" style="10" bestFit="1" customWidth="1"/>
    <col min="1534" max="1534" width="12.6640625" style="10" customWidth="1"/>
    <col min="1535" max="1535" width="24" style="10" customWidth="1"/>
    <col min="1536" max="1536" width="13.46484375" style="10" bestFit="1" customWidth="1"/>
    <col min="1537" max="1537" width="13.6640625" style="10" customWidth="1"/>
    <col min="1538" max="1538" width="13.33203125" style="10" customWidth="1"/>
    <col min="1539" max="1539" width="22.46484375" style="10" customWidth="1"/>
    <col min="1540" max="1540" width="18.46484375" style="10" customWidth="1"/>
    <col min="1541" max="1541" width="22" style="10" customWidth="1"/>
    <col min="1542" max="1542" width="21.33203125" style="10" customWidth="1"/>
    <col min="1543" max="1543" width="23" style="10" customWidth="1"/>
    <col min="1544" max="1786" width="9.33203125" style="10"/>
    <col min="1787" max="1787" width="6.6640625" style="10" customWidth="1"/>
    <col min="1788" max="1788" width="7" style="10" customWidth="1"/>
    <col min="1789" max="1789" width="17.6640625" style="10" bestFit="1" customWidth="1"/>
    <col min="1790" max="1790" width="12.6640625" style="10" customWidth="1"/>
    <col min="1791" max="1791" width="24" style="10" customWidth="1"/>
    <col min="1792" max="1792" width="13.46484375" style="10" bestFit="1" customWidth="1"/>
    <col min="1793" max="1793" width="13.6640625" style="10" customWidth="1"/>
    <col min="1794" max="1794" width="13.33203125" style="10" customWidth="1"/>
    <col min="1795" max="1795" width="22.46484375" style="10" customWidth="1"/>
    <col min="1796" max="1796" width="18.46484375" style="10" customWidth="1"/>
    <col min="1797" max="1797" width="22" style="10" customWidth="1"/>
    <col min="1798" max="1798" width="21.33203125" style="10" customWidth="1"/>
    <col min="1799" max="1799" width="23" style="10" customWidth="1"/>
    <col min="1800" max="2042" width="9.33203125" style="10"/>
    <col min="2043" max="2043" width="6.6640625" style="10" customWidth="1"/>
    <col min="2044" max="2044" width="7" style="10" customWidth="1"/>
    <col min="2045" max="2045" width="17.6640625" style="10" bestFit="1" customWidth="1"/>
    <col min="2046" max="2046" width="12.6640625" style="10" customWidth="1"/>
    <col min="2047" max="2047" width="24" style="10" customWidth="1"/>
    <col min="2048" max="2048" width="13.46484375" style="10" bestFit="1" customWidth="1"/>
    <col min="2049" max="2049" width="13.6640625" style="10" customWidth="1"/>
    <col min="2050" max="2050" width="13.33203125" style="10" customWidth="1"/>
    <col min="2051" max="2051" width="22.46484375" style="10" customWidth="1"/>
    <col min="2052" max="2052" width="18.46484375" style="10" customWidth="1"/>
    <col min="2053" max="2053" width="22" style="10" customWidth="1"/>
    <col min="2054" max="2054" width="21.33203125" style="10" customWidth="1"/>
    <col min="2055" max="2055" width="23" style="10" customWidth="1"/>
    <col min="2056" max="2298" width="9.33203125" style="10"/>
    <col min="2299" max="2299" width="6.6640625" style="10" customWidth="1"/>
    <col min="2300" max="2300" width="7" style="10" customWidth="1"/>
    <col min="2301" max="2301" width="17.6640625" style="10" bestFit="1" customWidth="1"/>
    <col min="2302" max="2302" width="12.6640625" style="10" customWidth="1"/>
    <col min="2303" max="2303" width="24" style="10" customWidth="1"/>
    <col min="2304" max="2304" width="13.46484375" style="10" bestFit="1" customWidth="1"/>
    <col min="2305" max="2305" width="13.6640625" style="10" customWidth="1"/>
    <col min="2306" max="2306" width="13.33203125" style="10" customWidth="1"/>
    <col min="2307" max="2307" width="22.46484375" style="10" customWidth="1"/>
    <col min="2308" max="2308" width="18.46484375" style="10" customWidth="1"/>
    <col min="2309" max="2309" width="22" style="10" customWidth="1"/>
    <col min="2310" max="2310" width="21.33203125" style="10" customWidth="1"/>
    <col min="2311" max="2311" width="23" style="10" customWidth="1"/>
    <col min="2312" max="2554" width="9.33203125" style="10"/>
    <col min="2555" max="2555" width="6.6640625" style="10" customWidth="1"/>
    <col min="2556" max="2556" width="7" style="10" customWidth="1"/>
    <col min="2557" max="2557" width="17.6640625" style="10" bestFit="1" customWidth="1"/>
    <col min="2558" max="2558" width="12.6640625" style="10" customWidth="1"/>
    <col min="2559" max="2559" width="24" style="10" customWidth="1"/>
    <col min="2560" max="2560" width="13.46484375" style="10" bestFit="1" customWidth="1"/>
    <col min="2561" max="2561" width="13.6640625" style="10" customWidth="1"/>
    <col min="2562" max="2562" width="13.33203125" style="10" customWidth="1"/>
    <col min="2563" max="2563" width="22.46484375" style="10" customWidth="1"/>
    <col min="2564" max="2564" width="18.46484375" style="10" customWidth="1"/>
    <col min="2565" max="2565" width="22" style="10" customWidth="1"/>
    <col min="2566" max="2566" width="21.33203125" style="10" customWidth="1"/>
    <col min="2567" max="2567" width="23" style="10" customWidth="1"/>
    <col min="2568" max="2810" width="9.33203125" style="10"/>
    <col min="2811" max="2811" width="6.6640625" style="10" customWidth="1"/>
    <col min="2812" max="2812" width="7" style="10" customWidth="1"/>
    <col min="2813" max="2813" width="17.6640625" style="10" bestFit="1" customWidth="1"/>
    <col min="2814" max="2814" width="12.6640625" style="10" customWidth="1"/>
    <col min="2815" max="2815" width="24" style="10" customWidth="1"/>
    <col min="2816" max="2816" width="13.46484375" style="10" bestFit="1" customWidth="1"/>
    <col min="2817" max="2817" width="13.6640625" style="10" customWidth="1"/>
    <col min="2818" max="2818" width="13.33203125" style="10" customWidth="1"/>
    <col min="2819" max="2819" width="22.46484375" style="10" customWidth="1"/>
    <col min="2820" max="2820" width="18.46484375" style="10" customWidth="1"/>
    <col min="2821" max="2821" width="22" style="10" customWidth="1"/>
    <col min="2822" max="2822" width="21.33203125" style="10" customWidth="1"/>
    <col min="2823" max="2823" width="23" style="10" customWidth="1"/>
    <col min="2824" max="3066" width="9.33203125" style="10"/>
    <col min="3067" max="3067" width="6.6640625" style="10" customWidth="1"/>
    <col min="3068" max="3068" width="7" style="10" customWidth="1"/>
    <col min="3069" max="3069" width="17.6640625" style="10" bestFit="1" customWidth="1"/>
    <col min="3070" max="3070" width="12.6640625" style="10" customWidth="1"/>
    <col min="3071" max="3071" width="24" style="10" customWidth="1"/>
    <col min="3072" max="3072" width="13.46484375" style="10" bestFit="1" customWidth="1"/>
    <col min="3073" max="3073" width="13.6640625" style="10" customWidth="1"/>
    <col min="3074" max="3074" width="13.33203125" style="10" customWidth="1"/>
    <col min="3075" max="3075" width="22.46484375" style="10" customWidth="1"/>
    <col min="3076" max="3076" width="18.46484375" style="10" customWidth="1"/>
    <col min="3077" max="3077" width="22" style="10" customWidth="1"/>
    <col min="3078" max="3078" width="21.33203125" style="10" customWidth="1"/>
    <col min="3079" max="3079" width="23" style="10" customWidth="1"/>
    <col min="3080" max="3322" width="9.33203125" style="10"/>
    <col min="3323" max="3323" width="6.6640625" style="10" customWidth="1"/>
    <col min="3324" max="3324" width="7" style="10" customWidth="1"/>
    <col min="3325" max="3325" width="17.6640625" style="10" bestFit="1" customWidth="1"/>
    <col min="3326" max="3326" width="12.6640625" style="10" customWidth="1"/>
    <col min="3327" max="3327" width="24" style="10" customWidth="1"/>
    <col min="3328" max="3328" width="13.46484375" style="10" bestFit="1" customWidth="1"/>
    <col min="3329" max="3329" width="13.6640625" style="10" customWidth="1"/>
    <col min="3330" max="3330" width="13.33203125" style="10" customWidth="1"/>
    <col min="3331" max="3331" width="22.46484375" style="10" customWidth="1"/>
    <col min="3332" max="3332" width="18.46484375" style="10" customWidth="1"/>
    <col min="3333" max="3333" width="22" style="10" customWidth="1"/>
    <col min="3334" max="3334" width="21.33203125" style="10" customWidth="1"/>
    <col min="3335" max="3335" width="23" style="10" customWidth="1"/>
    <col min="3336" max="3578" width="9.33203125" style="10"/>
    <col min="3579" max="3579" width="6.6640625" style="10" customWidth="1"/>
    <col min="3580" max="3580" width="7" style="10" customWidth="1"/>
    <col min="3581" max="3581" width="17.6640625" style="10" bestFit="1" customWidth="1"/>
    <col min="3582" max="3582" width="12.6640625" style="10" customWidth="1"/>
    <col min="3583" max="3583" width="24" style="10" customWidth="1"/>
    <col min="3584" max="3584" width="13.46484375" style="10" bestFit="1" customWidth="1"/>
    <col min="3585" max="3585" width="13.6640625" style="10" customWidth="1"/>
    <col min="3586" max="3586" width="13.33203125" style="10" customWidth="1"/>
    <col min="3587" max="3587" width="22.46484375" style="10" customWidth="1"/>
    <col min="3588" max="3588" width="18.46484375" style="10" customWidth="1"/>
    <col min="3589" max="3589" width="22" style="10" customWidth="1"/>
    <col min="3590" max="3590" width="21.33203125" style="10" customWidth="1"/>
    <col min="3591" max="3591" width="23" style="10" customWidth="1"/>
    <col min="3592" max="3834" width="9.33203125" style="10"/>
    <col min="3835" max="3835" width="6.6640625" style="10" customWidth="1"/>
    <col min="3836" max="3836" width="7" style="10" customWidth="1"/>
    <col min="3837" max="3837" width="17.6640625" style="10" bestFit="1" customWidth="1"/>
    <col min="3838" max="3838" width="12.6640625" style="10" customWidth="1"/>
    <col min="3839" max="3839" width="24" style="10" customWidth="1"/>
    <col min="3840" max="3840" width="13.46484375" style="10" bestFit="1" customWidth="1"/>
    <col min="3841" max="3841" width="13.6640625" style="10" customWidth="1"/>
    <col min="3842" max="3842" width="13.33203125" style="10" customWidth="1"/>
    <col min="3843" max="3843" width="22.46484375" style="10" customWidth="1"/>
    <col min="3844" max="3844" width="18.46484375" style="10" customWidth="1"/>
    <col min="3845" max="3845" width="22" style="10" customWidth="1"/>
    <col min="3846" max="3846" width="21.33203125" style="10" customWidth="1"/>
    <col min="3847" max="3847" width="23" style="10" customWidth="1"/>
    <col min="3848" max="4090" width="9.33203125" style="10"/>
    <col min="4091" max="4091" width="6.6640625" style="10" customWidth="1"/>
    <col min="4092" max="4092" width="7" style="10" customWidth="1"/>
    <col min="4093" max="4093" width="17.6640625" style="10" bestFit="1" customWidth="1"/>
    <col min="4094" max="4094" width="12.6640625" style="10" customWidth="1"/>
    <col min="4095" max="4095" width="24" style="10" customWidth="1"/>
    <col min="4096" max="4096" width="13.46484375" style="10" bestFit="1" customWidth="1"/>
    <col min="4097" max="4097" width="13.6640625" style="10" customWidth="1"/>
    <col min="4098" max="4098" width="13.33203125" style="10" customWidth="1"/>
    <col min="4099" max="4099" width="22.46484375" style="10" customWidth="1"/>
    <col min="4100" max="4100" width="18.46484375" style="10" customWidth="1"/>
    <col min="4101" max="4101" width="22" style="10" customWidth="1"/>
    <col min="4102" max="4102" width="21.33203125" style="10" customWidth="1"/>
    <col min="4103" max="4103" width="23" style="10" customWidth="1"/>
    <col min="4104" max="4346" width="9.33203125" style="10"/>
    <col min="4347" max="4347" width="6.6640625" style="10" customWidth="1"/>
    <col min="4348" max="4348" width="7" style="10" customWidth="1"/>
    <col min="4349" max="4349" width="17.6640625" style="10" bestFit="1" customWidth="1"/>
    <col min="4350" max="4350" width="12.6640625" style="10" customWidth="1"/>
    <col min="4351" max="4351" width="24" style="10" customWidth="1"/>
    <col min="4352" max="4352" width="13.46484375" style="10" bestFit="1" customWidth="1"/>
    <col min="4353" max="4353" width="13.6640625" style="10" customWidth="1"/>
    <col min="4354" max="4354" width="13.33203125" style="10" customWidth="1"/>
    <col min="4355" max="4355" width="22.46484375" style="10" customWidth="1"/>
    <col min="4356" max="4356" width="18.46484375" style="10" customWidth="1"/>
    <col min="4357" max="4357" width="22" style="10" customWidth="1"/>
    <col min="4358" max="4358" width="21.33203125" style="10" customWidth="1"/>
    <col min="4359" max="4359" width="23" style="10" customWidth="1"/>
    <col min="4360" max="4602" width="9.33203125" style="10"/>
    <col min="4603" max="4603" width="6.6640625" style="10" customWidth="1"/>
    <col min="4604" max="4604" width="7" style="10" customWidth="1"/>
    <col min="4605" max="4605" width="17.6640625" style="10" bestFit="1" customWidth="1"/>
    <col min="4606" max="4606" width="12.6640625" style="10" customWidth="1"/>
    <col min="4607" max="4607" width="24" style="10" customWidth="1"/>
    <col min="4608" max="4608" width="13.46484375" style="10" bestFit="1" customWidth="1"/>
    <col min="4609" max="4609" width="13.6640625" style="10" customWidth="1"/>
    <col min="4610" max="4610" width="13.33203125" style="10" customWidth="1"/>
    <col min="4611" max="4611" width="22.46484375" style="10" customWidth="1"/>
    <col min="4612" max="4612" width="18.46484375" style="10" customWidth="1"/>
    <col min="4613" max="4613" width="22" style="10" customWidth="1"/>
    <col min="4614" max="4614" width="21.33203125" style="10" customWidth="1"/>
    <col min="4615" max="4615" width="23" style="10" customWidth="1"/>
    <col min="4616" max="4858" width="9.33203125" style="10"/>
    <col min="4859" max="4859" width="6.6640625" style="10" customWidth="1"/>
    <col min="4860" max="4860" width="7" style="10" customWidth="1"/>
    <col min="4861" max="4861" width="17.6640625" style="10" bestFit="1" customWidth="1"/>
    <col min="4862" max="4862" width="12.6640625" style="10" customWidth="1"/>
    <col min="4863" max="4863" width="24" style="10" customWidth="1"/>
    <col min="4864" max="4864" width="13.46484375" style="10" bestFit="1" customWidth="1"/>
    <col min="4865" max="4865" width="13.6640625" style="10" customWidth="1"/>
    <col min="4866" max="4866" width="13.33203125" style="10" customWidth="1"/>
    <col min="4867" max="4867" width="22.46484375" style="10" customWidth="1"/>
    <col min="4868" max="4868" width="18.46484375" style="10" customWidth="1"/>
    <col min="4869" max="4869" width="22" style="10" customWidth="1"/>
    <col min="4870" max="4870" width="21.33203125" style="10" customWidth="1"/>
    <col min="4871" max="4871" width="23" style="10" customWidth="1"/>
    <col min="4872" max="5114" width="9.33203125" style="10"/>
    <col min="5115" max="5115" width="6.6640625" style="10" customWidth="1"/>
    <col min="5116" max="5116" width="7" style="10" customWidth="1"/>
    <col min="5117" max="5117" width="17.6640625" style="10" bestFit="1" customWidth="1"/>
    <col min="5118" max="5118" width="12.6640625" style="10" customWidth="1"/>
    <col min="5119" max="5119" width="24" style="10" customWidth="1"/>
    <col min="5120" max="5120" width="13.46484375" style="10" bestFit="1" customWidth="1"/>
    <col min="5121" max="5121" width="13.6640625" style="10" customWidth="1"/>
    <col min="5122" max="5122" width="13.33203125" style="10" customWidth="1"/>
    <col min="5123" max="5123" width="22.46484375" style="10" customWidth="1"/>
    <col min="5124" max="5124" width="18.46484375" style="10" customWidth="1"/>
    <col min="5125" max="5125" width="22" style="10" customWidth="1"/>
    <col min="5126" max="5126" width="21.33203125" style="10" customWidth="1"/>
    <col min="5127" max="5127" width="23" style="10" customWidth="1"/>
    <col min="5128" max="5370" width="9.33203125" style="10"/>
    <col min="5371" max="5371" width="6.6640625" style="10" customWidth="1"/>
    <col min="5372" max="5372" width="7" style="10" customWidth="1"/>
    <col min="5373" max="5373" width="17.6640625" style="10" bestFit="1" customWidth="1"/>
    <col min="5374" max="5374" width="12.6640625" style="10" customWidth="1"/>
    <col min="5375" max="5375" width="24" style="10" customWidth="1"/>
    <col min="5376" max="5376" width="13.46484375" style="10" bestFit="1" customWidth="1"/>
    <col min="5377" max="5377" width="13.6640625" style="10" customWidth="1"/>
    <col min="5378" max="5378" width="13.33203125" style="10" customWidth="1"/>
    <col min="5379" max="5379" width="22.46484375" style="10" customWidth="1"/>
    <col min="5380" max="5380" width="18.46484375" style="10" customWidth="1"/>
    <col min="5381" max="5381" width="22" style="10" customWidth="1"/>
    <col min="5382" max="5382" width="21.33203125" style="10" customWidth="1"/>
    <col min="5383" max="5383" width="23" style="10" customWidth="1"/>
    <col min="5384" max="5626" width="9.33203125" style="10"/>
    <col min="5627" max="5627" width="6.6640625" style="10" customWidth="1"/>
    <col min="5628" max="5628" width="7" style="10" customWidth="1"/>
    <col min="5629" max="5629" width="17.6640625" style="10" bestFit="1" customWidth="1"/>
    <col min="5630" max="5630" width="12.6640625" style="10" customWidth="1"/>
    <col min="5631" max="5631" width="24" style="10" customWidth="1"/>
    <col min="5632" max="5632" width="13.46484375" style="10" bestFit="1" customWidth="1"/>
    <col min="5633" max="5633" width="13.6640625" style="10" customWidth="1"/>
    <col min="5634" max="5634" width="13.33203125" style="10" customWidth="1"/>
    <col min="5635" max="5635" width="22.46484375" style="10" customWidth="1"/>
    <col min="5636" max="5636" width="18.46484375" style="10" customWidth="1"/>
    <col min="5637" max="5637" width="22" style="10" customWidth="1"/>
    <col min="5638" max="5638" width="21.33203125" style="10" customWidth="1"/>
    <col min="5639" max="5639" width="23" style="10" customWidth="1"/>
    <col min="5640" max="5882" width="9.33203125" style="10"/>
    <col min="5883" max="5883" width="6.6640625" style="10" customWidth="1"/>
    <col min="5884" max="5884" width="7" style="10" customWidth="1"/>
    <col min="5885" max="5885" width="17.6640625" style="10" bestFit="1" customWidth="1"/>
    <col min="5886" max="5886" width="12.6640625" style="10" customWidth="1"/>
    <col min="5887" max="5887" width="24" style="10" customWidth="1"/>
    <col min="5888" max="5888" width="13.46484375" style="10" bestFit="1" customWidth="1"/>
    <col min="5889" max="5889" width="13.6640625" style="10" customWidth="1"/>
    <col min="5890" max="5890" width="13.33203125" style="10" customWidth="1"/>
    <col min="5891" max="5891" width="22.46484375" style="10" customWidth="1"/>
    <col min="5892" max="5892" width="18.46484375" style="10" customWidth="1"/>
    <col min="5893" max="5893" width="22" style="10" customWidth="1"/>
    <col min="5894" max="5894" width="21.33203125" style="10" customWidth="1"/>
    <col min="5895" max="5895" width="23" style="10" customWidth="1"/>
    <col min="5896" max="6138" width="9.33203125" style="10"/>
    <col min="6139" max="6139" width="6.6640625" style="10" customWidth="1"/>
    <col min="6140" max="6140" width="7" style="10" customWidth="1"/>
    <col min="6141" max="6141" width="17.6640625" style="10" bestFit="1" customWidth="1"/>
    <col min="6142" max="6142" width="12.6640625" style="10" customWidth="1"/>
    <col min="6143" max="6143" width="24" style="10" customWidth="1"/>
    <col min="6144" max="6144" width="13.46484375" style="10" bestFit="1" customWidth="1"/>
    <col min="6145" max="6145" width="13.6640625" style="10" customWidth="1"/>
    <col min="6146" max="6146" width="13.33203125" style="10" customWidth="1"/>
    <col min="6147" max="6147" width="22.46484375" style="10" customWidth="1"/>
    <col min="6148" max="6148" width="18.46484375" style="10" customWidth="1"/>
    <col min="6149" max="6149" width="22" style="10" customWidth="1"/>
    <col min="6150" max="6150" width="21.33203125" style="10" customWidth="1"/>
    <col min="6151" max="6151" width="23" style="10" customWidth="1"/>
    <col min="6152" max="6394" width="9.33203125" style="10"/>
    <col min="6395" max="6395" width="6.6640625" style="10" customWidth="1"/>
    <col min="6396" max="6396" width="7" style="10" customWidth="1"/>
    <col min="6397" max="6397" width="17.6640625" style="10" bestFit="1" customWidth="1"/>
    <col min="6398" max="6398" width="12.6640625" style="10" customWidth="1"/>
    <col min="6399" max="6399" width="24" style="10" customWidth="1"/>
    <col min="6400" max="6400" width="13.46484375" style="10" bestFit="1" customWidth="1"/>
    <col min="6401" max="6401" width="13.6640625" style="10" customWidth="1"/>
    <col min="6402" max="6402" width="13.33203125" style="10" customWidth="1"/>
    <col min="6403" max="6403" width="22.46484375" style="10" customWidth="1"/>
    <col min="6404" max="6404" width="18.46484375" style="10" customWidth="1"/>
    <col min="6405" max="6405" width="22" style="10" customWidth="1"/>
    <col min="6406" max="6406" width="21.33203125" style="10" customWidth="1"/>
    <col min="6407" max="6407" width="23" style="10" customWidth="1"/>
    <col min="6408" max="6650" width="9.33203125" style="10"/>
    <col min="6651" max="6651" width="6.6640625" style="10" customWidth="1"/>
    <col min="6652" max="6652" width="7" style="10" customWidth="1"/>
    <col min="6653" max="6653" width="17.6640625" style="10" bestFit="1" customWidth="1"/>
    <col min="6654" max="6654" width="12.6640625" style="10" customWidth="1"/>
    <col min="6655" max="6655" width="24" style="10" customWidth="1"/>
    <col min="6656" max="6656" width="13.46484375" style="10" bestFit="1" customWidth="1"/>
    <col min="6657" max="6657" width="13.6640625" style="10" customWidth="1"/>
    <col min="6658" max="6658" width="13.33203125" style="10" customWidth="1"/>
    <col min="6659" max="6659" width="22.46484375" style="10" customWidth="1"/>
    <col min="6660" max="6660" width="18.46484375" style="10" customWidth="1"/>
    <col min="6661" max="6661" width="22" style="10" customWidth="1"/>
    <col min="6662" max="6662" width="21.33203125" style="10" customWidth="1"/>
    <col min="6663" max="6663" width="23" style="10" customWidth="1"/>
    <col min="6664" max="6906" width="9.33203125" style="10"/>
    <col min="6907" max="6907" width="6.6640625" style="10" customWidth="1"/>
    <col min="6908" max="6908" width="7" style="10" customWidth="1"/>
    <col min="6909" max="6909" width="17.6640625" style="10" bestFit="1" customWidth="1"/>
    <col min="6910" max="6910" width="12.6640625" style="10" customWidth="1"/>
    <col min="6911" max="6911" width="24" style="10" customWidth="1"/>
    <col min="6912" max="6912" width="13.46484375" style="10" bestFit="1" customWidth="1"/>
    <col min="6913" max="6913" width="13.6640625" style="10" customWidth="1"/>
    <col min="6914" max="6914" width="13.33203125" style="10" customWidth="1"/>
    <col min="6915" max="6915" width="22.46484375" style="10" customWidth="1"/>
    <col min="6916" max="6916" width="18.46484375" style="10" customWidth="1"/>
    <col min="6917" max="6917" width="22" style="10" customWidth="1"/>
    <col min="6918" max="6918" width="21.33203125" style="10" customWidth="1"/>
    <col min="6919" max="6919" width="23" style="10" customWidth="1"/>
    <col min="6920" max="7162" width="9.33203125" style="10"/>
    <col min="7163" max="7163" width="6.6640625" style="10" customWidth="1"/>
    <col min="7164" max="7164" width="7" style="10" customWidth="1"/>
    <col min="7165" max="7165" width="17.6640625" style="10" bestFit="1" customWidth="1"/>
    <col min="7166" max="7166" width="12.6640625" style="10" customWidth="1"/>
    <col min="7167" max="7167" width="24" style="10" customWidth="1"/>
    <col min="7168" max="7168" width="13.46484375" style="10" bestFit="1" customWidth="1"/>
    <col min="7169" max="7169" width="13.6640625" style="10" customWidth="1"/>
    <col min="7170" max="7170" width="13.33203125" style="10" customWidth="1"/>
    <col min="7171" max="7171" width="22.46484375" style="10" customWidth="1"/>
    <col min="7172" max="7172" width="18.46484375" style="10" customWidth="1"/>
    <col min="7173" max="7173" width="22" style="10" customWidth="1"/>
    <col min="7174" max="7174" width="21.33203125" style="10" customWidth="1"/>
    <col min="7175" max="7175" width="23" style="10" customWidth="1"/>
    <col min="7176" max="7418" width="9.33203125" style="10"/>
    <col min="7419" max="7419" width="6.6640625" style="10" customWidth="1"/>
    <col min="7420" max="7420" width="7" style="10" customWidth="1"/>
    <col min="7421" max="7421" width="17.6640625" style="10" bestFit="1" customWidth="1"/>
    <col min="7422" max="7422" width="12.6640625" style="10" customWidth="1"/>
    <col min="7423" max="7423" width="24" style="10" customWidth="1"/>
    <col min="7424" max="7424" width="13.46484375" style="10" bestFit="1" customWidth="1"/>
    <col min="7425" max="7425" width="13.6640625" style="10" customWidth="1"/>
    <col min="7426" max="7426" width="13.33203125" style="10" customWidth="1"/>
    <col min="7427" max="7427" width="22.46484375" style="10" customWidth="1"/>
    <col min="7428" max="7428" width="18.46484375" style="10" customWidth="1"/>
    <col min="7429" max="7429" width="22" style="10" customWidth="1"/>
    <col min="7430" max="7430" width="21.33203125" style="10" customWidth="1"/>
    <col min="7431" max="7431" width="23" style="10" customWidth="1"/>
    <col min="7432" max="7674" width="9.33203125" style="10"/>
    <col min="7675" max="7675" width="6.6640625" style="10" customWidth="1"/>
    <col min="7676" max="7676" width="7" style="10" customWidth="1"/>
    <col min="7677" max="7677" width="17.6640625" style="10" bestFit="1" customWidth="1"/>
    <col min="7678" max="7678" width="12.6640625" style="10" customWidth="1"/>
    <col min="7679" max="7679" width="24" style="10" customWidth="1"/>
    <col min="7680" max="7680" width="13.46484375" style="10" bestFit="1" customWidth="1"/>
    <col min="7681" max="7681" width="13.6640625" style="10" customWidth="1"/>
    <col min="7682" max="7682" width="13.33203125" style="10" customWidth="1"/>
    <col min="7683" max="7683" width="22.46484375" style="10" customWidth="1"/>
    <col min="7684" max="7684" width="18.46484375" style="10" customWidth="1"/>
    <col min="7685" max="7685" width="22" style="10" customWidth="1"/>
    <col min="7686" max="7686" width="21.33203125" style="10" customWidth="1"/>
    <col min="7687" max="7687" width="23" style="10" customWidth="1"/>
    <col min="7688" max="7930" width="9.33203125" style="10"/>
    <col min="7931" max="7931" width="6.6640625" style="10" customWidth="1"/>
    <col min="7932" max="7932" width="7" style="10" customWidth="1"/>
    <col min="7933" max="7933" width="17.6640625" style="10" bestFit="1" customWidth="1"/>
    <col min="7934" max="7934" width="12.6640625" style="10" customWidth="1"/>
    <col min="7935" max="7935" width="24" style="10" customWidth="1"/>
    <col min="7936" max="7936" width="13.46484375" style="10" bestFit="1" customWidth="1"/>
    <col min="7937" max="7937" width="13.6640625" style="10" customWidth="1"/>
    <col min="7938" max="7938" width="13.33203125" style="10" customWidth="1"/>
    <col min="7939" max="7939" width="22.46484375" style="10" customWidth="1"/>
    <col min="7940" max="7940" width="18.46484375" style="10" customWidth="1"/>
    <col min="7941" max="7941" width="22" style="10" customWidth="1"/>
    <col min="7942" max="7942" width="21.33203125" style="10" customWidth="1"/>
    <col min="7943" max="7943" width="23" style="10" customWidth="1"/>
    <col min="7944" max="8186" width="9.33203125" style="10"/>
    <col min="8187" max="8187" width="6.6640625" style="10" customWidth="1"/>
    <col min="8188" max="8188" width="7" style="10" customWidth="1"/>
    <col min="8189" max="8189" width="17.6640625" style="10" bestFit="1" customWidth="1"/>
    <col min="8190" max="8190" width="12.6640625" style="10" customWidth="1"/>
    <col min="8191" max="8191" width="24" style="10" customWidth="1"/>
    <col min="8192" max="8192" width="13.46484375" style="10" bestFit="1" customWidth="1"/>
    <col min="8193" max="8193" width="13.6640625" style="10" customWidth="1"/>
    <col min="8194" max="8194" width="13.33203125" style="10" customWidth="1"/>
    <col min="8195" max="8195" width="22.46484375" style="10" customWidth="1"/>
    <col min="8196" max="8196" width="18.46484375" style="10" customWidth="1"/>
    <col min="8197" max="8197" width="22" style="10" customWidth="1"/>
    <col min="8198" max="8198" width="21.33203125" style="10" customWidth="1"/>
    <col min="8199" max="8199" width="23" style="10" customWidth="1"/>
    <col min="8200" max="8442" width="9.33203125" style="10"/>
    <col min="8443" max="8443" width="6.6640625" style="10" customWidth="1"/>
    <col min="8444" max="8444" width="7" style="10" customWidth="1"/>
    <col min="8445" max="8445" width="17.6640625" style="10" bestFit="1" customWidth="1"/>
    <col min="8446" max="8446" width="12.6640625" style="10" customWidth="1"/>
    <col min="8447" max="8447" width="24" style="10" customWidth="1"/>
    <col min="8448" max="8448" width="13.46484375" style="10" bestFit="1" customWidth="1"/>
    <col min="8449" max="8449" width="13.6640625" style="10" customWidth="1"/>
    <col min="8450" max="8450" width="13.33203125" style="10" customWidth="1"/>
    <col min="8451" max="8451" width="22.46484375" style="10" customWidth="1"/>
    <col min="8452" max="8452" width="18.46484375" style="10" customWidth="1"/>
    <col min="8453" max="8453" width="22" style="10" customWidth="1"/>
    <col min="8454" max="8454" width="21.33203125" style="10" customWidth="1"/>
    <col min="8455" max="8455" width="23" style="10" customWidth="1"/>
    <col min="8456" max="8698" width="9.33203125" style="10"/>
    <col min="8699" max="8699" width="6.6640625" style="10" customWidth="1"/>
    <col min="8700" max="8700" width="7" style="10" customWidth="1"/>
    <col min="8701" max="8701" width="17.6640625" style="10" bestFit="1" customWidth="1"/>
    <col min="8702" max="8702" width="12.6640625" style="10" customWidth="1"/>
    <col min="8703" max="8703" width="24" style="10" customWidth="1"/>
    <col min="8704" max="8704" width="13.46484375" style="10" bestFit="1" customWidth="1"/>
    <col min="8705" max="8705" width="13.6640625" style="10" customWidth="1"/>
    <col min="8706" max="8706" width="13.33203125" style="10" customWidth="1"/>
    <col min="8707" max="8707" width="22.46484375" style="10" customWidth="1"/>
    <col min="8708" max="8708" width="18.46484375" style="10" customWidth="1"/>
    <col min="8709" max="8709" width="22" style="10" customWidth="1"/>
    <col min="8710" max="8710" width="21.33203125" style="10" customWidth="1"/>
    <col min="8711" max="8711" width="23" style="10" customWidth="1"/>
    <col min="8712" max="8954" width="9.33203125" style="10"/>
    <col min="8955" max="8955" width="6.6640625" style="10" customWidth="1"/>
    <col min="8956" max="8956" width="7" style="10" customWidth="1"/>
    <col min="8957" max="8957" width="17.6640625" style="10" bestFit="1" customWidth="1"/>
    <col min="8958" max="8958" width="12.6640625" style="10" customWidth="1"/>
    <col min="8959" max="8959" width="24" style="10" customWidth="1"/>
    <col min="8960" max="8960" width="13.46484375" style="10" bestFit="1" customWidth="1"/>
    <col min="8961" max="8961" width="13.6640625" style="10" customWidth="1"/>
    <col min="8962" max="8962" width="13.33203125" style="10" customWidth="1"/>
    <col min="8963" max="8963" width="22.46484375" style="10" customWidth="1"/>
    <col min="8964" max="8964" width="18.46484375" style="10" customWidth="1"/>
    <col min="8965" max="8965" width="22" style="10" customWidth="1"/>
    <col min="8966" max="8966" width="21.33203125" style="10" customWidth="1"/>
    <col min="8967" max="8967" width="23" style="10" customWidth="1"/>
    <col min="8968" max="9210" width="9.33203125" style="10"/>
    <col min="9211" max="9211" width="6.6640625" style="10" customWidth="1"/>
    <col min="9212" max="9212" width="7" style="10" customWidth="1"/>
    <col min="9213" max="9213" width="17.6640625" style="10" bestFit="1" customWidth="1"/>
    <col min="9214" max="9214" width="12.6640625" style="10" customWidth="1"/>
    <col min="9215" max="9215" width="24" style="10" customWidth="1"/>
    <col min="9216" max="9216" width="13.46484375" style="10" bestFit="1" customWidth="1"/>
    <col min="9217" max="9217" width="13.6640625" style="10" customWidth="1"/>
    <col min="9218" max="9218" width="13.33203125" style="10" customWidth="1"/>
    <col min="9219" max="9219" width="22.46484375" style="10" customWidth="1"/>
    <col min="9220" max="9220" width="18.46484375" style="10" customWidth="1"/>
    <col min="9221" max="9221" width="22" style="10" customWidth="1"/>
    <col min="9222" max="9222" width="21.33203125" style="10" customWidth="1"/>
    <col min="9223" max="9223" width="23" style="10" customWidth="1"/>
    <col min="9224" max="9466" width="9.33203125" style="10"/>
    <col min="9467" max="9467" width="6.6640625" style="10" customWidth="1"/>
    <col min="9468" max="9468" width="7" style="10" customWidth="1"/>
    <col min="9469" max="9469" width="17.6640625" style="10" bestFit="1" customWidth="1"/>
    <col min="9470" max="9470" width="12.6640625" style="10" customWidth="1"/>
    <col min="9471" max="9471" width="24" style="10" customWidth="1"/>
    <col min="9472" max="9472" width="13.46484375" style="10" bestFit="1" customWidth="1"/>
    <col min="9473" max="9473" width="13.6640625" style="10" customWidth="1"/>
    <col min="9474" max="9474" width="13.33203125" style="10" customWidth="1"/>
    <col min="9475" max="9475" width="22.46484375" style="10" customWidth="1"/>
    <col min="9476" max="9476" width="18.46484375" style="10" customWidth="1"/>
    <col min="9477" max="9477" width="22" style="10" customWidth="1"/>
    <col min="9478" max="9478" width="21.33203125" style="10" customWidth="1"/>
    <col min="9479" max="9479" width="23" style="10" customWidth="1"/>
    <col min="9480" max="9722" width="9.33203125" style="10"/>
    <col min="9723" max="9723" width="6.6640625" style="10" customWidth="1"/>
    <col min="9724" max="9724" width="7" style="10" customWidth="1"/>
    <col min="9725" max="9725" width="17.6640625" style="10" bestFit="1" customWidth="1"/>
    <col min="9726" max="9726" width="12.6640625" style="10" customWidth="1"/>
    <col min="9727" max="9727" width="24" style="10" customWidth="1"/>
    <col min="9728" max="9728" width="13.46484375" style="10" bestFit="1" customWidth="1"/>
    <col min="9729" max="9729" width="13.6640625" style="10" customWidth="1"/>
    <col min="9730" max="9730" width="13.33203125" style="10" customWidth="1"/>
    <col min="9731" max="9731" width="22.46484375" style="10" customWidth="1"/>
    <col min="9732" max="9732" width="18.46484375" style="10" customWidth="1"/>
    <col min="9733" max="9733" width="22" style="10" customWidth="1"/>
    <col min="9734" max="9734" width="21.33203125" style="10" customWidth="1"/>
    <col min="9735" max="9735" width="23" style="10" customWidth="1"/>
    <col min="9736" max="9978" width="9.33203125" style="10"/>
    <col min="9979" max="9979" width="6.6640625" style="10" customWidth="1"/>
    <col min="9980" max="9980" width="7" style="10" customWidth="1"/>
    <col min="9981" max="9981" width="17.6640625" style="10" bestFit="1" customWidth="1"/>
    <col min="9982" max="9982" width="12.6640625" style="10" customWidth="1"/>
    <col min="9983" max="9983" width="24" style="10" customWidth="1"/>
    <col min="9984" max="9984" width="13.46484375" style="10" bestFit="1" customWidth="1"/>
    <col min="9985" max="9985" width="13.6640625" style="10" customWidth="1"/>
    <col min="9986" max="9986" width="13.33203125" style="10" customWidth="1"/>
    <col min="9987" max="9987" width="22.46484375" style="10" customWidth="1"/>
    <col min="9988" max="9988" width="18.46484375" style="10" customWidth="1"/>
    <col min="9989" max="9989" width="22" style="10" customWidth="1"/>
    <col min="9990" max="9990" width="21.33203125" style="10" customWidth="1"/>
    <col min="9991" max="9991" width="23" style="10" customWidth="1"/>
    <col min="9992" max="10234" width="9.33203125" style="10"/>
    <col min="10235" max="10235" width="6.6640625" style="10" customWidth="1"/>
    <col min="10236" max="10236" width="7" style="10" customWidth="1"/>
    <col min="10237" max="10237" width="17.6640625" style="10" bestFit="1" customWidth="1"/>
    <col min="10238" max="10238" width="12.6640625" style="10" customWidth="1"/>
    <col min="10239" max="10239" width="24" style="10" customWidth="1"/>
    <col min="10240" max="10240" width="13.46484375" style="10" bestFit="1" customWidth="1"/>
    <col min="10241" max="10241" width="13.6640625" style="10" customWidth="1"/>
    <col min="10242" max="10242" width="13.33203125" style="10" customWidth="1"/>
    <col min="10243" max="10243" width="22.46484375" style="10" customWidth="1"/>
    <col min="10244" max="10244" width="18.46484375" style="10" customWidth="1"/>
    <col min="10245" max="10245" width="22" style="10" customWidth="1"/>
    <col min="10246" max="10246" width="21.33203125" style="10" customWidth="1"/>
    <col min="10247" max="10247" width="23" style="10" customWidth="1"/>
    <col min="10248" max="10490" width="9.33203125" style="10"/>
    <col min="10491" max="10491" width="6.6640625" style="10" customWidth="1"/>
    <col min="10492" max="10492" width="7" style="10" customWidth="1"/>
    <col min="10493" max="10493" width="17.6640625" style="10" bestFit="1" customWidth="1"/>
    <col min="10494" max="10494" width="12.6640625" style="10" customWidth="1"/>
    <col min="10495" max="10495" width="24" style="10" customWidth="1"/>
    <col min="10496" max="10496" width="13.46484375" style="10" bestFit="1" customWidth="1"/>
    <col min="10497" max="10497" width="13.6640625" style="10" customWidth="1"/>
    <col min="10498" max="10498" width="13.33203125" style="10" customWidth="1"/>
    <col min="10499" max="10499" width="22.46484375" style="10" customWidth="1"/>
    <col min="10500" max="10500" width="18.46484375" style="10" customWidth="1"/>
    <col min="10501" max="10501" width="22" style="10" customWidth="1"/>
    <col min="10502" max="10502" width="21.33203125" style="10" customWidth="1"/>
    <col min="10503" max="10503" width="23" style="10" customWidth="1"/>
    <col min="10504" max="10746" width="9.33203125" style="10"/>
    <col min="10747" max="10747" width="6.6640625" style="10" customWidth="1"/>
    <col min="10748" max="10748" width="7" style="10" customWidth="1"/>
    <col min="10749" max="10749" width="17.6640625" style="10" bestFit="1" customWidth="1"/>
    <col min="10750" max="10750" width="12.6640625" style="10" customWidth="1"/>
    <col min="10751" max="10751" width="24" style="10" customWidth="1"/>
    <col min="10752" max="10752" width="13.46484375" style="10" bestFit="1" customWidth="1"/>
    <col min="10753" max="10753" width="13.6640625" style="10" customWidth="1"/>
    <col min="10754" max="10754" width="13.33203125" style="10" customWidth="1"/>
    <col min="10755" max="10755" width="22.46484375" style="10" customWidth="1"/>
    <col min="10756" max="10756" width="18.46484375" style="10" customWidth="1"/>
    <col min="10757" max="10757" width="22" style="10" customWidth="1"/>
    <col min="10758" max="10758" width="21.33203125" style="10" customWidth="1"/>
    <col min="10759" max="10759" width="23" style="10" customWidth="1"/>
    <col min="10760" max="11002" width="9.33203125" style="10"/>
    <col min="11003" max="11003" width="6.6640625" style="10" customWidth="1"/>
    <col min="11004" max="11004" width="7" style="10" customWidth="1"/>
    <col min="11005" max="11005" width="17.6640625" style="10" bestFit="1" customWidth="1"/>
    <col min="11006" max="11006" width="12.6640625" style="10" customWidth="1"/>
    <col min="11007" max="11007" width="24" style="10" customWidth="1"/>
    <col min="11008" max="11008" width="13.46484375" style="10" bestFit="1" customWidth="1"/>
    <col min="11009" max="11009" width="13.6640625" style="10" customWidth="1"/>
    <col min="11010" max="11010" width="13.33203125" style="10" customWidth="1"/>
    <col min="11011" max="11011" width="22.46484375" style="10" customWidth="1"/>
    <col min="11012" max="11012" width="18.46484375" style="10" customWidth="1"/>
    <col min="11013" max="11013" width="22" style="10" customWidth="1"/>
    <col min="11014" max="11014" width="21.33203125" style="10" customWidth="1"/>
    <col min="11015" max="11015" width="23" style="10" customWidth="1"/>
    <col min="11016" max="11258" width="9.33203125" style="10"/>
    <col min="11259" max="11259" width="6.6640625" style="10" customWidth="1"/>
    <col min="11260" max="11260" width="7" style="10" customWidth="1"/>
    <col min="11261" max="11261" width="17.6640625" style="10" bestFit="1" customWidth="1"/>
    <col min="11262" max="11262" width="12.6640625" style="10" customWidth="1"/>
    <col min="11263" max="11263" width="24" style="10" customWidth="1"/>
    <col min="11264" max="11264" width="13.46484375" style="10" bestFit="1" customWidth="1"/>
    <col min="11265" max="11265" width="13.6640625" style="10" customWidth="1"/>
    <col min="11266" max="11266" width="13.33203125" style="10" customWidth="1"/>
    <col min="11267" max="11267" width="22.46484375" style="10" customWidth="1"/>
    <col min="11268" max="11268" width="18.46484375" style="10" customWidth="1"/>
    <col min="11269" max="11269" width="22" style="10" customWidth="1"/>
    <col min="11270" max="11270" width="21.33203125" style="10" customWidth="1"/>
    <col min="11271" max="11271" width="23" style="10" customWidth="1"/>
    <col min="11272" max="11514" width="9.33203125" style="10"/>
    <col min="11515" max="11515" width="6.6640625" style="10" customWidth="1"/>
    <col min="11516" max="11516" width="7" style="10" customWidth="1"/>
    <col min="11517" max="11517" width="17.6640625" style="10" bestFit="1" customWidth="1"/>
    <col min="11518" max="11518" width="12.6640625" style="10" customWidth="1"/>
    <col min="11519" max="11519" width="24" style="10" customWidth="1"/>
    <col min="11520" max="11520" width="13.46484375" style="10" bestFit="1" customWidth="1"/>
    <col min="11521" max="11521" width="13.6640625" style="10" customWidth="1"/>
    <col min="11522" max="11522" width="13.33203125" style="10" customWidth="1"/>
    <col min="11523" max="11523" width="22.46484375" style="10" customWidth="1"/>
    <col min="11524" max="11524" width="18.46484375" style="10" customWidth="1"/>
    <col min="11525" max="11525" width="22" style="10" customWidth="1"/>
    <col min="11526" max="11526" width="21.33203125" style="10" customWidth="1"/>
    <col min="11527" max="11527" width="23" style="10" customWidth="1"/>
    <col min="11528" max="11770" width="9.33203125" style="10"/>
    <col min="11771" max="11771" width="6.6640625" style="10" customWidth="1"/>
    <col min="11772" max="11772" width="7" style="10" customWidth="1"/>
    <col min="11773" max="11773" width="17.6640625" style="10" bestFit="1" customWidth="1"/>
    <col min="11774" max="11774" width="12.6640625" style="10" customWidth="1"/>
    <col min="11775" max="11775" width="24" style="10" customWidth="1"/>
    <col min="11776" max="11776" width="13.46484375" style="10" bestFit="1" customWidth="1"/>
    <col min="11777" max="11777" width="13.6640625" style="10" customWidth="1"/>
    <col min="11778" max="11778" width="13.33203125" style="10" customWidth="1"/>
    <col min="11779" max="11779" width="22.46484375" style="10" customWidth="1"/>
    <col min="11780" max="11780" width="18.46484375" style="10" customWidth="1"/>
    <col min="11781" max="11781" width="22" style="10" customWidth="1"/>
    <col min="11782" max="11782" width="21.33203125" style="10" customWidth="1"/>
    <col min="11783" max="11783" width="23" style="10" customWidth="1"/>
    <col min="11784" max="12026" width="9.33203125" style="10"/>
    <col min="12027" max="12027" width="6.6640625" style="10" customWidth="1"/>
    <col min="12028" max="12028" width="7" style="10" customWidth="1"/>
    <col min="12029" max="12029" width="17.6640625" style="10" bestFit="1" customWidth="1"/>
    <col min="12030" max="12030" width="12.6640625" style="10" customWidth="1"/>
    <col min="12031" max="12031" width="24" style="10" customWidth="1"/>
    <col min="12032" max="12032" width="13.46484375" style="10" bestFit="1" customWidth="1"/>
    <col min="12033" max="12033" width="13.6640625" style="10" customWidth="1"/>
    <col min="12034" max="12034" width="13.33203125" style="10" customWidth="1"/>
    <col min="12035" max="12035" width="22.46484375" style="10" customWidth="1"/>
    <col min="12036" max="12036" width="18.46484375" style="10" customWidth="1"/>
    <col min="12037" max="12037" width="22" style="10" customWidth="1"/>
    <col min="12038" max="12038" width="21.33203125" style="10" customWidth="1"/>
    <col min="12039" max="12039" width="23" style="10" customWidth="1"/>
    <col min="12040" max="12282" width="9.33203125" style="10"/>
    <col min="12283" max="12283" width="6.6640625" style="10" customWidth="1"/>
    <col min="12284" max="12284" width="7" style="10" customWidth="1"/>
    <col min="12285" max="12285" width="17.6640625" style="10" bestFit="1" customWidth="1"/>
    <col min="12286" max="12286" width="12.6640625" style="10" customWidth="1"/>
    <col min="12287" max="12287" width="24" style="10" customWidth="1"/>
    <col min="12288" max="12288" width="13.46484375" style="10" bestFit="1" customWidth="1"/>
    <col min="12289" max="12289" width="13.6640625" style="10" customWidth="1"/>
    <col min="12290" max="12290" width="13.33203125" style="10" customWidth="1"/>
    <col min="12291" max="12291" width="22.46484375" style="10" customWidth="1"/>
    <col min="12292" max="12292" width="18.46484375" style="10" customWidth="1"/>
    <col min="12293" max="12293" width="22" style="10" customWidth="1"/>
    <col min="12294" max="12294" width="21.33203125" style="10" customWidth="1"/>
    <col min="12295" max="12295" width="23" style="10" customWidth="1"/>
    <col min="12296" max="12538" width="9.33203125" style="10"/>
    <col min="12539" max="12539" width="6.6640625" style="10" customWidth="1"/>
    <col min="12540" max="12540" width="7" style="10" customWidth="1"/>
    <col min="12541" max="12541" width="17.6640625" style="10" bestFit="1" customWidth="1"/>
    <col min="12542" max="12542" width="12.6640625" style="10" customWidth="1"/>
    <col min="12543" max="12543" width="24" style="10" customWidth="1"/>
    <col min="12544" max="12544" width="13.46484375" style="10" bestFit="1" customWidth="1"/>
    <col min="12545" max="12545" width="13.6640625" style="10" customWidth="1"/>
    <col min="12546" max="12546" width="13.33203125" style="10" customWidth="1"/>
    <col min="12547" max="12547" width="22.46484375" style="10" customWidth="1"/>
    <col min="12548" max="12548" width="18.46484375" style="10" customWidth="1"/>
    <col min="12549" max="12549" width="22" style="10" customWidth="1"/>
    <col min="12550" max="12550" width="21.33203125" style="10" customWidth="1"/>
    <col min="12551" max="12551" width="23" style="10" customWidth="1"/>
    <col min="12552" max="12794" width="9.33203125" style="10"/>
    <col min="12795" max="12795" width="6.6640625" style="10" customWidth="1"/>
    <col min="12796" max="12796" width="7" style="10" customWidth="1"/>
    <col min="12797" max="12797" width="17.6640625" style="10" bestFit="1" customWidth="1"/>
    <col min="12798" max="12798" width="12.6640625" style="10" customWidth="1"/>
    <col min="12799" max="12799" width="24" style="10" customWidth="1"/>
    <col min="12800" max="12800" width="13.46484375" style="10" bestFit="1" customWidth="1"/>
    <col min="12801" max="12801" width="13.6640625" style="10" customWidth="1"/>
    <col min="12802" max="12802" width="13.33203125" style="10" customWidth="1"/>
    <col min="12803" max="12803" width="22.46484375" style="10" customWidth="1"/>
    <col min="12804" max="12804" width="18.46484375" style="10" customWidth="1"/>
    <col min="12805" max="12805" width="22" style="10" customWidth="1"/>
    <col min="12806" max="12806" width="21.33203125" style="10" customWidth="1"/>
    <col min="12807" max="12807" width="23" style="10" customWidth="1"/>
    <col min="12808" max="13050" width="9.33203125" style="10"/>
    <col min="13051" max="13051" width="6.6640625" style="10" customWidth="1"/>
    <col min="13052" max="13052" width="7" style="10" customWidth="1"/>
    <col min="13053" max="13053" width="17.6640625" style="10" bestFit="1" customWidth="1"/>
    <col min="13054" max="13054" width="12.6640625" style="10" customWidth="1"/>
    <col min="13055" max="13055" width="24" style="10" customWidth="1"/>
    <col min="13056" max="13056" width="13.46484375" style="10" bestFit="1" customWidth="1"/>
    <col min="13057" max="13057" width="13.6640625" style="10" customWidth="1"/>
    <col min="13058" max="13058" width="13.33203125" style="10" customWidth="1"/>
    <col min="13059" max="13059" width="22.46484375" style="10" customWidth="1"/>
    <col min="13060" max="13060" width="18.46484375" style="10" customWidth="1"/>
    <col min="13061" max="13061" width="22" style="10" customWidth="1"/>
    <col min="13062" max="13062" width="21.33203125" style="10" customWidth="1"/>
    <col min="13063" max="13063" width="23" style="10" customWidth="1"/>
    <col min="13064" max="13306" width="9.33203125" style="10"/>
    <col min="13307" max="13307" width="6.6640625" style="10" customWidth="1"/>
    <col min="13308" max="13308" width="7" style="10" customWidth="1"/>
    <col min="13309" max="13309" width="17.6640625" style="10" bestFit="1" customWidth="1"/>
    <col min="13310" max="13310" width="12.6640625" style="10" customWidth="1"/>
    <col min="13311" max="13311" width="24" style="10" customWidth="1"/>
    <col min="13312" max="13312" width="13.46484375" style="10" bestFit="1" customWidth="1"/>
    <col min="13313" max="13313" width="13.6640625" style="10" customWidth="1"/>
    <col min="13314" max="13314" width="13.33203125" style="10" customWidth="1"/>
    <col min="13315" max="13315" width="22.46484375" style="10" customWidth="1"/>
    <col min="13316" max="13316" width="18.46484375" style="10" customWidth="1"/>
    <col min="13317" max="13317" width="22" style="10" customWidth="1"/>
    <col min="13318" max="13318" width="21.33203125" style="10" customWidth="1"/>
    <col min="13319" max="13319" width="23" style="10" customWidth="1"/>
    <col min="13320" max="13562" width="9.33203125" style="10"/>
    <col min="13563" max="13563" width="6.6640625" style="10" customWidth="1"/>
    <col min="13564" max="13564" width="7" style="10" customWidth="1"/>
    <col min="13565" max="13565" width="17.6640625" style="10" bestFit="1" customWidth="1"/>
    <col min="13566" max="13566" width="12.6640625" style="10" customWidth="1"/>
    <col min="13567" max="13567" width="24" style="10" customWidth="1"/>
    <col min="13568" max="13568" width="13.46484375" style="10" bestFit="1" customWidth="1"/>
    <col min="13569" max="13569" width="13.6640625" style="10" customWidth="1"/>
    <col min="13570" max="13570" width="13.33203125" style="10" customWidth="1"/>
    <col min="13571" max="13571" width="22.46484375" style="10" customWidth="1"/>
    <col min="13572" max="13572" width="18.46484375" style="10" customWidth="1"/>
    <col min="13573" max="13573" width="22" style="10" customWidth="1"/>
    <col min="13574" max="13574" width="21.33203125" style="10" customWidth="1"/>
    <col min="13575" max="13575" width="23" style="10" customWidth="1"/>
    <col min="13576" max="13818" width="9.33203125" style="10"/>
    <col min="13819" max="13819" width="6.6640625" style="10" customWidth="1"/>
    <col min="13820" max="13820" width="7" style="10" customWidth="1"/>
    <col min="13821" max="13821" width="17.6640625" style="10" bestFit="1" customWidth="1"/>
    <col min="13822" max="13822" width="12.6640625" style="10" customWidth="1"/>
    <col min="13823" max="13823" width="24" style="10" customWidth="1"/>
    <col min="13824" max="13824" width="13.46484375" style="10" bestFit="1" customWidth="1"/>
    <col min="13825" max="13825" width="13.6640625" style="10" customWidth="1"/>
    <col min="13826" max="13826" width="13.33203125" style="10" customWidth="1"/>
    <col min="13827" max="13827" width="22.46484375" style="10" customWidth="1"/>
    <col min="13828" max="13828" width="18.46484375" style="10" customWidth="1"/>
    <col min="13829" max="13829" width="22" style="10" customWidth="1"/>
    <col min="13830" max="13830" width="21.33203125" style="10" customWidth="1"/>
    <col min="13831" max="13831" width="23" style="10" customWidth="1"/>
    <col min="13832" max="14074" width="9.33203125" style="10"/>
    <col min="14075" max="14075" width="6.6640625" style="10" customWidth="1"/>
    <col min="14076" max="14076" width="7" style="10" customWidth="1"/>
    <col min="14077" max="14077" width="17.6640625" style="10" bestFit="1" customWidth="1"/>
    <col min="14078" max="14078" width="12.6640625" style="10" customWidth="1"/>
    <col min="14079" max="14079" width="24" style="10" customWidth="1"/>
    <col min="14080" max="14080" width="13.46484375" style="10" bestFit="1" customWidth="1"/>
    <col min="14081" max="14081" width="13.6640625" style="10" customWidth="1"/>
    <col min="14082" max="14082" width="13.33203125" style="10" customWidth="1"/>
    <col min="14083" max="14083" width="22.46484375" style="10" customWidth="1"/>
    <col min="14084" max="14084" width="18.46484375" style="10" customWidth="1"/>
    <col min="14085" max="14085" width="22" style="10" customWidth="1"/>
    <col min="14086" max="14086" width="21.33203125" style="10" customWidth="1"/>
    <col min="14087" max="14087" width="23" style="10" customWidth="1"/>
    <col min="14088" max="14330" width="9.33203125" style="10"/>
    <col min="14331" max="14331" width="6.6640625" style="10" customWidth="1"/>
    <col min="14332" max="14332" width="7" style="10" customWidth="1"/>
    <col min="14333" max="14333" width="17.6640625" style="10" bestFit="1" customWidth="1"/>
    <col min="14334" max="14334" width="12.6640625" style="10" customWidth="1"/>
    <col min="14335" max="14335" width="24" style="10" customWidth="1"/>
    <col min="14336" max="14336" width="13.46484375" style="10" bestFit="1" customWidth="1"/>
    <col min="14337" max="14337" width="13.6640625" style="10" customWidth="1"/>
    <col min="14338" max="14338" width="13.33203125" style="10" customWidth="1"/>
    <col min="14339" max="14339" width="22.46484375" style="10" customWidth="1"/>
    <col min="14340" max="14340" width="18.46484375" style="10" customWidth="1"/>
    <col min="14341" max="14341" width="22" style="10" customWidth="1"/>
    <col min="14342" max="14342" width="21.33203125" style="10" customWidth="1"/>
    <col min="14343" max="14343" width="23" style="10" customWidth="1"/>
    <col min="14344" max="14586" width="9.33203125" style="10"/>
    <col min="14587" max="14587" width="6.6640625" style="10" customWidth="1"/>
    <col min="14588" max="14588" width="7" style="10" customWidth="1"/>
    <col min="14589" max="14589" width="17.6640625" style="10" bestFit="1" customWidth="1"/>
    <col min="14590" max="14590" width="12.6640625" style="10" customWidth="1"/>
    <col min="14591" max="14591" width="24" style="10" customWidth="1"/>
    <col min="14592" max="14592" width="13.46484375" style="10" bestFit="1" customWidth="1"/>
    <col min="14593" max="14593" width="13.6640625" style="10" customWidth="1"/>
    <col min="14594" max="14594" width="13.33203125" style="10" customWidth="1"/>
    <col min="14595" max="14595" width="22.46484375" style="10" customWidth="1"/>
    <col min="14596" max="14596" width="18.46484375" style="10" customWidth="1"/>
    <col min="14597" max="14597" width="22" style="10" customWidth="1"/>
    <col min="14598" max="14598" width="21.33203125" style="10" customWidth="1"/>
    <col min="14599" max="14599" width="23" style="10" customWidth="1"/>
    <col min="14600" max="14842" width="9.33203125" style="10"/>
    <col min="14843" max="14843" width="6.6640625" style="10" customWidth="1"/>
    <col min="14844" max="14844" width="7" style="10" customWidth="1"/>
    <col min="14845" max="14845" width="17.6640625" style="10" bestFit="1" customWidth="1"/>
    <col min="14846" max="14846" width="12.6640625" style="10" customWidth="1"/>
    <col min="14847" max="14847" width="24" style="10" customWidth="1"/>
    <col min="14848" max="14848" width="13.46484375" style="10" bestFit="1" customWidth="1"/>
    <col min="14849" max="14849" width="13.6640625" style="10" customWidth="1"/>
    <col min="14850" max="14850" width="13.33203125" style="10" customWidth="1"/>
    <col min="14851" max="14851" width="22.46484375" style="10" customWidth="1"/>
    <col min="14852" max="14852" width="18.46484375" style="10" customWidth="1"/>
    <col min="14853" max="14853" width="22" style="10" customWidth="1"/>
    <col min="14854" max="14854" width="21.33203125" style="10" customWidth="1"/>
    <col min="14855" max="14855" width="23" style="10" customWidth="1"/>
    <col min="14856" max="15098" width="9.33203125" style="10"/>
    <col min="15099" max="15099" width="6.6640625" style="10" customWidth="1"/>
    <col min="15100" max="15100" width="7" style="10" customWidth="1"/>
    <col min="15101" max="15101" width="17.6640625" style="10" bestFit="1" customWidth="1"/>
    <col min="15102" max="15102" width="12.6640625" style="10" customWidth="1"/>
    <col min="15103" max="15103" width="24" style="10" customWidth="1"/>
    <col min="15104" max="15104" width="13.46484375" style="10" bestFit="1" customWidth="1"/>
    <col min="15105" max="15105" width="13.6640625" style="10" customWidth="1"/>
    <col min="15106" max="15106" width="13.33203125" style="10" customWidth="1"/>
    <col min="15107" max="15107" width="22.46484375" style="10" customWidth="1"/>
    <col min="15108" max="15108" width="18.46484375" style="10" customWidth="1"/>
    <col min="15109" max="15109" width="22" style="10" customWidth="1"/>
    <col min="15110" max="15110" width="21.33203125" style="10" customWidth="1"/>
    <col min="15111" max="15111" width="23" style="10" customWidth="1"/>
    <col min="15112" max="15354" width="9.33203125" style="10"/>
    <col min="15355" max="15355" width="6.6640625" style="10" customWidth="1"/>
    <col min="15356" max="15356" width="7" style="10" customWidth="1"/>
    <col min="15357" max="15357" width="17.6640625" style="10" bestFit="1" customWidth="1"/>
    <col min="15358" max="15358" width="12.6640625" style="10" customWidth="1"/>
    <col min="15359" max="15359" width="24" style="10" customWidth="1"/>
    <col min="15360" max="15360" width="13.46484375" style="10" bestFit="1" customWidth="1"/>
    <col min="15361" max="15361" width="13.6640625" style="10" customWidth="1"/>
    <col min="15362" max="15362" width="13.33203125" style="10" customWidth="1"/>
    <col min="15363" max="15363" width="22.46484375" style="10" customWidth="1"/>
    <col min="15364" max="15364" width="18.46484375" style="10" customWidth="1"/>
    <col min="15365" max="15365" width="22" style="10" customWidth="1"/>
    <col min="15366" max="15366" width="21.33203125" style="10" customWidth="1"/>
    <col min="15367" max="15367" width="23" style="10" customWidth="1"/>
    <col min="15368" max="15610" width="9.33203125" style="10"/>
    <col min="15611" max="15611" width="6.6640625" style="10" customWidth="1"/>
    <col min="15612" max="15612" width="7" style="10" customWidth="1"/>
    <col min="15613" max="15613" width="17.6640625" style="10" bestFit="1" customWidth="1"/>
    <col min="15614" max="15614" width="12.6640625" style="10" customWidth="1"/>
    <col min="15615" max="15615" width="24" style="10" customWidth="1"/>
    <col min="15616" max="15616" width="13.46484375" style="10" bestFit="1" customWidth="1"/>
    <col min="15617" max="15617" width="13.6640625" style="10" customWidth="1"/>
    <col min="15618" max="15618" width="13.33203125" style="10" customWidth="1"/>
    <col min="15619" max="15619" width="22.46484375" style="10" customWidth="1"/>
    <col min="15620" max="15620" width="18.46484375" style="10" customWidth="1"/>
    <col min="15621" max="15621" width="22" style="10" customWidth="1"/>
    <col min="15622" max="15622" width="21.33203125" style="10" customWidth="1"/>
    <col min="15623" max="15623" width="23" style="10" customWidth="1"/>
    <col min="15624" max="15866" width="9.33203125" style="10"/>
    <col min="15867" max="15867" width="6.6640625" style="10" customWidth="1"/>
    <col min="15868" max="15868" width="7" style="10" customWidth="1"/>
    <col min="15869" max="15869" width="17.6640625" style="10" bestFit="1" customWidth="1"/>
    <col min="15870" max="15870" width="12.6640625" style="10" customWidth="1"/>
    <col min="15871" max="15871" width="24" style="10" customWidth="1"/>
    <col min="15872" max="15872" width="13.46484375" style="10" bestFit="1" customWidth="1"/>
    <col min="15873" max="15873" width="13.6640625" style="10" customWidth="1"/>
    <col min="15874" max="15874" width="13.33203125" style="10" customWidth="1"/>
    <col min="15875" max="15875" width="22.46484375" style="10" customWidth="1"/>
    <col min="15876" max="15876" width="18.46484375" style="10" customWidth="1"/>
    <col min="15877" max="15877" width="22" style="10" customWidth="1"/>
    <col min="15878" max="15878" width="21.33203125" style="10" customWidth="1"/>
    <col min="15879" max="15879" width="23" style="10" customWidth="1"/>
    <col min="15880" max="16122" width="9.33203125" style="10"/>
    <col min="16123" max="16123" width="6.6640625" style="10" customWidth="1"/>
    <col min="16124" max="16124" width="7" style="10" customWidth="1"/>
    <col min="16125" max="16125" width="17.6640625" style="10" bestFit="1" customWidth="1"/>
    <col min="16126" max="16126" width="12.6640625" style="10" customWidth="1"/>
    <col min="16127" max="16127" width="24" style="10" customWidth="1"/>
    <col min="16128" max="16128" width="13.46484375" style="10" bestFit="1" customWidth="1"/>
    <col min="16129" max="16129" width="13.6640625" style="10" customWidth="1"/>
    <col min="16130" max="16130" width="13.33203125" style="10" customWidth="1"/>
    <col min="16131" max="16131" width="22.46484375" style="10" customWidth="1"/>
    <col min="16132" max="16132" width="18.46484375" style="10" customWidth="1"/>
    <col min="16133" max="16133" width="22" style="10" customWidth="1"/>
    <col min="16134" max="16134" width="21.33203125" style="10" customWidth="1"/>
    <col min="16135" max="16135" width="23" style="10" customWidth="1"/>
    <col min="16136" max="16384" width="9.33203125" style="10"/>
  </cols>
  <sheetData>
    <row r="3" spans="2:15" x14ac:dyDescent="0.35">
      <c r="B3" s="1875" t="str">
        <f>+Index!B2</f>
        <v>Nidar Utilities Panvel LLP</v>
      </c>
      <c r="C3" s="1875"/>
      <c r="D3" s="1875"/>
      <c r="E3" s="1875"/>
      <c r="F3" s="1875"/>
      <c r="G3" s="1875"/>
      <c r="H3" s="1875"/>
      <c r="I3" s="1875"/>
      <c r="J3" s="1875"/>
      <c r="K3" s="1875"/>
      <c r="L3" s="1875"/>
      <c r="M3" s="1875"/>
      <c r="N3" s="1875"/>
      <c r="O3" s="1875"/>
    </row>
    <row r="4" spans="2:15" x14ac:dyDescent="0.35">
      <c r="B4" s="1875" t="s">
        <v>211</v>
      </c>
      <c r="C4" s="1875"/>
      <c r="D4" s="1875"/>
      <c r="E4" s="1875"/>
      <c r="F4" s="1875"/>
      <c r="G4" s="1875"/>
      <c r="H4" s="1875"/>
      <c r="I4" s="1875"/>
      <c r="J4" s="1875"/>
      <c r="K4" s="1875"/>
      <c r="L4" s="1875"/>
      <c r="M4" s="1875"/>
      <c r="N4" s="1875"/>
      <c r="O4" s="1875"/>
    </row>
    <row r="5" spans="2:15" x14ac:dyDescent="0.35">
      <c r="B5" s="1875" t="s">
        <v>264</v>
      </c>
      <c r="C5" s="1875"/>
      <c r="D5" s="1875"/>
      <c r="E5" s="1875"/>
      <c r="F5" s="1875"/>
      <c r="G5" s="1875"/>
      <c r="H5" s="1875"/>
      <c r="I5" s="1875"/>
      <c r="J5" s="1875"/>
      <c r="K5" s="1875"/>
      <c r="L5" s="1875"/>
      <c r="M5" s="1875"/>
      <c r="N5" s="1875"/>
      <c r="O5" s="1875"/>
    </row>
    <row r="6" spans="2:15" x14ac:dyDescent="0.35">
      <c r="B6" s="16"/>
      <c r="C6" s="99"/>
      <c r="D6" s="99"/>
      <c r="E6" s="11"/>
      <c r="F6" s="12"/>
      <c r="G6" s="11"/>
      <c r="H6" s="11"/>
      <c r="I6" s="11"/>
      <c r="J6" s="11"/>
    </row>
    <row r="7" spans="2:15" x14ac:dyDescent="0.35">
      <c r="B7" s="1940" t="s">
        <v>1</v>
      </c>
      <c r="C7" s="1940" t="s">
        <v>111</v>
      </c>
      <c r="D7" s="98" t="s">
        <v>196</v>
      </c>
      <c r="E7" s="98" t="s">
        <v>197</v>
      </c>
      <c r="F7" s="98" t="s">
        <v>198</v>
      </c>
      <c r="G7" s="98" t="s">
        <v>199</v>
      </c>
      <c r="H7" s="358" t="s">
        <v>112</v>
      </c>
      <c r="I7" s="358" t="s">
        <v>113</v>
      </c>
      <c r="J7" s="358" t="s">
        <v>114</v>
      </c>
      <c r="K7" s="1934" t="s">
        <v>1019</v>
      </c>
      <c r="L7" s="1935"/>
      <c r="M7" s="1935"/>
      <c r="N7" s="1935"/>
      <c r="O7" s="1936"/>
    </row>
    <row r="8" spans="2:15" ht="27" x14ac:dyDescent="0.35">
      <c r="B8" s="1940"/>
      <c r="C8" s="1940"/>
      <c r="D8" s="1934" t="s">
        <v>117</v>
      </c>
      <c r="E8" s="1935"/>
      <c r="F8" s="1935"/>
      <c r="G8" s="1935"/>
      <c r="H8" s="1935"/>
      <c r="I8" s="1936"/>
      <c r="J8" s="217" t="s">
        <v>121</v>
      </c>
      <c r="K8" s="217" t="s">
        <v>123</v>
      </c>
      <c r="L8" s="217" t="s">
        <v>124</v>
      </c>
      <c r="M8" s="217" t="s">
        <v>125</v>
      </c>
      <c r="N8" s="217" t="s">
        <v>126</v>
      </c>
      <c r="O8" s="217" t="s">
        <v>127</v>
      </c>
    </row>
    <row r="9" spans="2:15" x14ac:dyDescent="0.35">
      <c r="B9" s="59" t="s">
        <v>226</v>
      </c>
      <c r="C9" s="105" t="s">
        <v>265</v>
      </c>
      <c r="D9" s="105"/>
      <c r="E9" s="177"/>
      <c r="F9" s="26"/>
      <c r="G9" s="26"/>
      <c r="H9" s="26"/>
      <c r="I9" s="26"/>
      <c r="J9" s="26"/>
      <c r="K9" s="26"/>
      <c r="L9" s="19"/>
      <c r="M9" s="19"/>
      <c r="N9" s="19"/>
      <c r="O9" s="19"/>
    </row>
    <row r="10" spans="2:15" x14ac:dyDescent="0.35">
      <c r="B10" s="58">
        <v>1</v>
      </c>
      <c r="C10" s="61" t="s">
        <v>266</v>
      </c>
      <c r="D10" s="634">
        <v>0.22</v>
      </c>
      <c r="E10" s="634">
        <v>0.26999999999999996</v>
      </c>
      <c r="F10" s="636">
        <v>0.85250000000000004</v>
      </c>
      <c r="G10" s="1755">
        <v>1.89</v>
      </c>
      <c r="H10" s="19">
        <v>4.25</v>
      </c>
      <c r="I10" s="19">
        <v>4.375</v>
      </c>
      <c r="J10" s="1755">
        <v>9.1675000000000004</v>
      </c>
      <c r="K10" s="19"/>
      <c r="L10" s="19"/>
      <c r="M10" s="19"/>
      <c r="N10" s="19"/>
      <c r="O10" s="19"/>
    </row>
    <row r="11" spans="2:15" x14ac:dyDescent="0.35">
      <c r="B11" s="58">
        <v>2</v>
      </c>
      <c r="C11" s="152" t="s">
        <v>267</v>
      </c>
      <c r="D11" s="634">
        <v>0.25166666666666665</v>
      </c>
      <c r="E11" s="634">
        <v>0.32</v>
      </c>
      <c r="F11" s="636">
        <v>0.6991666666666666</v>
      </c>
      <c r="G11" s="1755">
        <v>0.82</v>
      </c>
      <c r="H11" s="19"/>
      <c r="I11" s="19">
        <v>0.67500000000000004</v>
      </c>
      <c r="J11" s="1755">
        <v>1.5899999999999999</v>
      </c>
      <c r="K11" s="19"/>
      <c r="L11" s="19"/>
      <c r="M11" s="19"/>
      <c r="N11" s="19"/>
      <c r="O11" s="19"/>
    </row>
    <row r="12" spans="2:15" x14ac:dyDescent="0.35">
      <c r="B12" s="58">
        <v>3</v>
      </c>
      <c r="C12" s="63" t="s">
        <v>164</v>
      </c>
      <c r="D12" s="635">
        <f t="shared" ref="D12:J12" si="0">SUM(D10:D11)</f>
        <v>0.47166666666666668</v>
      </c>
      <c r="E12" s="635">
        <f t="shared" si="0"/>
        <v>0.59</v>
      </c>
      <c r="F12" s="1756">
        <f t="shared" si="0"/>
        <v>1.5516666666666667</v>
      </c>
      <c r="G12" s="1756">
        <f t="shared" si="0"/>
        <v>2.71</v>
      </c>
      <c r="H12" s="1756">
        <f t="shared" si="0"/>
        <v>4.25</v>
      </c>
      <c r="I12" s="1756">
        <f t="shared" si="0"/>
        <v>5.05</v>
      </c>
      <c r="J12" s="1756">
        <f t="shared" si="0"/>
        <v>10.7575</v>
      </c>
      <c r="K12" s="1756">
        <f>AVERAGE('Sales Proj'!C11:N11)</f>
        <v>17.775000000000002</v>
      </c>
      <c r="L12" s="1756">
        <f>AVERAGE('Sales Proj'!C24:N24)</f>
        <v>22.400000000000002</v>
      </c>
      <c r="M12" s="1756">
        <f>AVERAGE('Sales Proj'!C37:N37)</f>
        <v>28.050000000000008</v>
      </c>
      <c r="N12" s="1756">
        <f>AVERAGE('Sales Proj'!C50:N50)</f>
        <v>34.199999999999996</v>
      </c>
      <c r="O12" s="1756">
        <f>AVERAGE('Sales Proj'!C63:N63)</f>
        <v>37.199999999999996</v>
      </c>
    </row>
    <row r="13" spans="2:15" x14ac:dyDescent="0.35">
      <c r="B13" s="58"/>
      <c r="C13" s="63"/>
      <c r="D13" s="63"/>
      <c r="E13" s="177"/>
      <c r="F13" s="19"/>
      <c r="G13" s="19"/>
      <c r="H13" s="19"/>
      <c r="I13" s="19"/>
      <c r="J13" s="19"/>
      <c r="K13" s="19"/>
      <c r="L13" s="19"/>
      <c r="M13" s="19"/>
      <c r="N13" s="19"/>
      <c r="O13" s="19"/>
    </row>
    <row r="14" spans="2:15" x14ac:dyDescent="0.35">
      <c r="B14" s="59" t="s">
        <v>228</v>
      </c>
      <c r="C14" s="63" t="s">
        <v>268</v>
      </c>
      <c r="D14" s="63"/>
      <c r="E14" s="177"/>
      <c r="F14" s="19"/>
      <c r="G14" s="19"/>
      <c r="H14" s="19"/>
      <c r="I14" s="19"/>
      <c r="J14" s="19"/>
      <c r="K14" s="19"/>
      <c r="L14" s="19"/>
      <c r="M14" s="19"/>
      <c r="N14" s="19"/>
      <c r="O14" s="19"/>
    </row>
    <row r="15" spans="2:15" x14ac:dyDescent="0.35">
      <c r="B15" s="58"/>
      <c r="C15" s="63"/>
      <c r="D15" s="63"/>
      <c r="E15" s="177"/>
      <c r="F15" s="19"/>
      <c r="G15" s="19"/>
      <c r="H15" s="19"/>
      <c r="I15" s="19"/>
      <c r="J15" s="19"/>
      <c r="K15" s="19"/>
      <c r="L15" s="19"/>
      <c r="M15" s="19"/>
      <c r="N15" s="19"/>
      <c r="O15" s="19"/>
    </row>
    <row r="16" spans="2:15" x14ac:dyDescent="0.35">
      <c r="B16" s="59">
        <v>1</v>
      </c>
      <c r="C16" s="63" t="s">
        <v>269</v>
      </c>
      <c r="D16" s="63"/>
      <c r="E16" s="177"/>
      <c r="F16" s="19"/>
      <c r="G16" s="19"/>
      <c r="H16" s="19"/>
      <c r="I16" s="19"/>
      <c r="J16" s="19"/>
      <c r="K16" s="19"/>
      <c r="L16" s="19"/>
      <c r="M16" s="19"/>
      <c r="N16" s="19"/>
      <c r="O16" s="19"/>
    </row>
    <row r="17" spans="2:15" x14ac:dyDescent="0.35">
      <c r="B17" s="58">
        <v>1.1000000000000001</v>
      </c>
      <c r="C17" s="61" t="s">
        <v>235</v>
      </c>
      <c r="D17" s="61"/>
      <c r="E17" s="177"/>
      <c r="F17" s="19"/>
      <c r="G17" s="19"/>
      <c r="H17" s="19"/>
      <c r="I17" s="19"/>
      <c r="J17" s="19"/>
      <c r="K17" s="19"/>
      <c r="L17" s="19"/>
      <c r="M17" s="19"/>
      <c r="N17" s="19"/>
      <c r="O17" s="19"/>
    </row>
    <row r="18" spans="2:15" x14ac:dyDescent="0.35">
      <c r="B18" s="58">
        <v>1.2</v>
      </c>
      <c r="C18" s="61" t="s">
        <v>237</v>
      </c>
      <c r="D18" s="61"/>
      <c r="E18" s="177"/>
      <c r="F18" s="19"/>
      <c r="G18" s="19"/>
      <c r="H18" s="19"/>
      <c r="I18" s="19"/>
      <c r="J18" s="19"/>
      <c r="K18" s="19"/>
      <c r="L18" s="19"/>
      <c r="M18" s="19"/>
      <c r="N18" s="19"/>
      <c r="O18" s="19"/>
    </row>
    <row r="19" spans="2:15" x14ac:dyDescent="0.35">
      <c r="B19" s="58">
        <v>1.3</v>
      </c>
      <c r="C19" s="61" t="s">
        <v>270</v>
      </c>
      <c r="D19" s="61"/>
      <c r="E19" s="177"/>
      <c r="F19" s="19"/>
      <c r="G19" s="19"/>
      <c r="H19" s="19"/>
      <c r="I19" s="19"/>
      <c r="J19" s="19"/>
      <c r="K19" s="19"/>
      <c r="L19" s="19"/>
      <c r="M19" s="19"/>
      <c r="N19" s="19"/>
      <c r="O19" s="19"/>
    </row>
    <row r="20" spans="2:15" x14ac:dyDescent="0.35">
      <c r="B20" s="58">
        <v>1.4</v>
      </c>
      <c r="C20" s="63" t="s">
        <v>164</v>
      </c>
      <c r="D20" s="526">
        <f>SUM(D17:D19)</f>
        <v>0</v>
      </c>
      <c r="E20" s="526">
        <f t="shared" ref="E20:O20" si="1">SUM(E17:E19)</f>
        <v>0</v>
      </c>
      <c r="F20" s="1757">
        <f t="shared" si="1"/>
        <v>0</v>
      </c>
      <c r="G20" s="1757">
        <f t="shared" si="1"/>
        <v>0</v>
      </c>
      <c r="H20" s="1757">
        <f t="shared" si="1"/>
        <v>0</v>
      </c>
      <c r="I20" s="1757">
        <f t="shared" si="1"/>
        <v>0</v>
      </c>
      <c r="J20" s="1757">
        <f t="shared" si="1"/>
        <v>0</v>
      </c>
      <c r="K20" s="1757">
        <f t="shared" si="1"/>
        <v>0</v>
      </c>
      <c r="L20" s="1757">
        <f t="shared" si="1"/>
        <v>0</v>
      </c>
      <c r="M20" s="1757">
        <f t="shared" si="1"/>
        <v>0</v>
      </c>
      <c r="N20" s="1757">
        <f t="shared" si="1"/>
        <v>0</v>
      </c>
      <c r="O20" s="1757">
        <f t="shared" si="1"/>
        <v>0</v>
      </c>
    </row>
    <row r="21" spans="2:15" x14ac:dyDescent="0.35">
      <c r="B21" s="58"/>
      <c r="C21" s="63"/>
      <c r="D21" s="63"/>
      <c r="E21" s="177"/>
      <c r="F21" s="19"/>
      <c r="G21" s="19"/>
      <c r="H21" s="19"/>
      <c r="I21" s="19"/>
      <c r="J21" s="19"/>
      <c r="K21" s="19"/>
      <c r="L21" s="19"/>
      <c r="M21" s="19"/>
      <c r="N21" s="19"/>
      <c r="O21" s="19"/>
    </row>
    <row r="22" spans="2:15" x14ac:dyDescent="0.35">
      <c r="B22" s="59">
        <v>2</v>
      </c>
      <c r="C22" s="63" t="s">
        <v>271</v>
      </c>
      <c r="D22" s="63"/>
      <c r="E22" s="177"/>
      <c r="F22" s="19"/>
      <c r="G22" s="19"/>
      <c r="H22" s="19"/>
      <c r="I22" s="19"/>
      <c r="J22" s="19"/>
      <c r="K22" s="19"/>
      <c r="L22" s="19"/>
      <c r="M22" s="19"/>
      <c r="N22" s="19"/>
      <c r="O22" s="19"/>
    </row>
    <row r="23" spans="2:15" x14ac:dyDescent="0.35">
      <c r="B23" s="58">
        <v>2.1</v>
      </c>
      <c r="C23" s="494" t="s">
        <v>1189</v>
      </c>
      <c r="D23" s="636">
        <v>0.61666666666666659</v>
      </c>
      <c r="E23" s="636">
        <v>0.6791666666666667</v>
      </c>
      <c r="F23" s="636"/>
      <c r="G23" s="19"/>
      <c r="H23" s="19"/>
      <c r="I23" s="19"/>
      <c r="J23" s="19"/>
      <c r="K23" s="19"/>
      <c r="L23" s="19"/>
      <c r="M23" s="19"/>
      <c r="N23" s="19"/>
      <c r="O23" s="19"/>
    </row>
    <row r="24" spans="2:15" ht="25.5" x14ac:dyDescent="0.35">
      <c r="B24" s="58">
        <v>2.2000000000000002</v>
      </c>
      <c r="C24" s="494" t="s">
        <v>1190</v>
      </c>
      <c r="D24" s="61"/>
      <c r="E24" s="177"/>
      <c r="F24" s="19"/>
      <c r="G24" s="19"/>
      <c r="H24" s="19"/>
      <c r="I24" s="19"/>
      <c r="J24" s="19"/>
      <c r="K24" s="19"/>
      <c r="L24" s="19"/>
      <c r="M24" s="19"/>
      <c r="N24" s="19"/>
      <c r="O24" s="19"/>
    </row>
    <row r="25" spans="2:15" ht="25.5" x14ac:dyDescent="0.35">
      <c r="B25" s="58">
        <v>2.3000000000000003</v>
      </c>
      <c r="C25" s="494" t="s">
        <v>1191</v>
      </c>
      <c r="D25" s="61"/>
      <c r="E25" s="177"/>
      <c r="F25" s="19"/>
      <c r="G25" s="19"/>
      <c r="H25" s="19"/>
      <c r="I25" s="19"/>
      <c r="J25" s="19"/>
      <c r="K25" s="19"/>
      <c r="L25" s="19"/>
      <c r="M25" s="19"/>
      <c r="N25" s="19"/>
      <c r="O25" s="19"/>
    </row>
    <row r="26" spans="2:15" x14ac:dyDescent="0.35">
      <c r="B26" s="58">
        <v>2.4000000000000004</v>
      </c>
      <c r="C26" s="63" t="s">
        <v>164</v>
      </c>
      <c r="D26" s="637">
        <f>SUM(D23:D25)</f>
        <v>0.61666666666666659</v>
      </c>
      <c r="E26" s="637">
        <f t="shared" ref="E26:O26" si="2">SUM(E23:E25)</f>
        <v>0.6791666666666667</v>
      </c>
      <c r="F26" s="637">
        <f t="shared" si="2"/>
        <v>0</v>
      </c>
      <c r="G26" s="637">
        <f t="shared" si="2"/>
        <v>0</v>
      </c>
      <c r="H26" s="637">
        <f t="shared" si="2"/>
        <v>0</v>
      </c>
      <c r="I26" s="637">
        <f t="shared" si="2"/>
        <v>0</v>
      </c>
      <c r="J26" s="637">
        <f t="shared" si="2"/>
        <v>0</v>
      </c>
      <c r="K26" s="637">
        <f t="shared" si="2"/>
        <v>0</v>
      </c>
      <c r="L26" s="637">
        <f t="shared" si="2"/>
        <v>0</v>
      </c>
      <c r="M26" s="637">
        <f t="shared" si="2"/>
        <v>0</v>
      </c>
      <c r="N26" s="637">
        <f t="shared" si="2"/>
        <v>0</v>
      </c>
      <c r="O26" s="637">
        <f t="shared" si="2"/>
        <v>0</v>
      </c>
    </row>
    <row r="27" spans="2:15" x14ac:dyDescent="0.35">
      <c r="B27" s="58"/>
      <c r="C27" s="61"/>
      <c r="D27" s="61"/>
      <c r="E27" s="177"/>
      <c r="F27" s="19"/>
      <c r="G27" s="19"/>
      <c r="H27" s="19"/>
      <c r="I27" s="19"/>
      <c r="J27" s="19"/>
      <c r="K27" s="19"/>
      <c r="L27" s="19"/>
      <c r="M27" s="19"/>
      <c r="N27" s="19"/>
      <c r="O27" s="19"/>
    </row>
    <row r="28" spans="2:15" x14ac:dyDescent="0.35">
      <c r="B28" s="59">
        <v>3</v>
      </c>
      <c r="C28" s="63" t="s">
        <v>272</v>
      </c>
      <c r="D28" s="63"/>
      <c r="E28" s="177"/>
      <c r="F28" s="19"/>
      <c r="G28" s="19"/>
      <c r="H28" s="19"/>
      <c r="I28" s="19"/>
      <c r="J28" s="19"/>
      <c r="K28" s="19"/>
      <c r="L28" s="19"/>
      <c r="M28" s="19"/>
      <c r="N28" s="19"/>
      <c r="O28" s="19"/>
    </row>
    <row r="29" spans="2:15" x14ac:dyDescent="0.35">
      <c r="B29" s="58">
        <v>3.1</v>
      </c>
      <c r="C29" s="61" t="s">
        <v>235</v>
      </c>
      <c r="D29" s="61"/>
      <c r="E29" s="177"/>
      <c r="F29" s="19"/>
      <c r="G29" s="19"/>
      <c r="H29" s="19"/>
      <c r="I29" s="19"/>
      <c r="J29" s="19"/>
      <c r="K29" s="19"/>
      <c r="L29" s="19"/>
      <c r="M29" s="19"/>
      <c r="N29" s="19"/>
      <c r="O29" s="19"/>
    </row>
    <row r="30" spans="2:15" x14ac:dyDescent="0.35">
      <c r="B30" s="58">
        <v>3.2</v>
      </c>
      <c r="C30" s="61" t="s">
        <v>237</v>
      </c>
      <c r="D30" s="61"/>
      <c r="E30" s="177"/>
      <c r="F30" s="19"/>
      <c r="G30" s="19"/>
      <c r="H30" s="19"/>
      <c r="I30" s="19"/>
      <c r="J30" s="19"/>
      <c r="K30" s="19"/>
      <c r="L30" s="19"/>
      <c r="M30" s="19"/>
      <c r="N30" s="19"/>
      <c r="O30" s="19"/>
    </row>
    <row r="31" spans="2:15" x14ac:dyDescent="0.35">
      <c r="B31" s="58">
        <v>3.3000000000000003</v>
      </c>
      <c r="C31" s="61" t="s">
        <v>270</v>
      </c>
      <c r="D31" s="61"/>
      <c r="E31" s="177"/>
      <c r="F31" s="19"/>
      <c r="G31" s="19"/>
      <c r="H31" s="19"/>
      <c r="I31" s="19"/>
      <c r="J31" s="19"/>
      <c r="K31" s="19"/>
      <c r="L31" s="19"/>
      <c r="M31" s="19"/>
      <c r="N31" s="19"/>
      <c r="O31" s="19"/>
    </row>
    <row r="32" spans="2:15" x14ac:dyDescent="0.35">
      <c r="B32" s="58">
        <v>3.4000000000000004</v>
      </c>
      <c r="C32" s="63" t="s">
        <v>164</v>
      </c>
      <c r="D32" s="526">
        <f t="shared" ref="D32:O32" si="3">SUM(D29:D31)</f>
        <v>0</v>
      </c>
      <c r="E32" s="526">
        <f t="shared" si="3"/>
        <v>0</v>
      </c>
      <c r="F32" s="1757">
        <f t="shared" si="3"/>
        <v>0</v>
      </c>
      <c r="G32" s="1757">
        <f t="shared" si="3"/>
        <v>0</v>
      </c>
      <c r="H32" s="1757">
        <f t="shared" si="3"/>
        <v>0</v>
      </c>
      <c r="I32" s="1757">
        <f t="shared" si="3"/>
        <v>0</v>
      </c>
      <c r="J32" s="1757">
        <f t="shared" si="3"/>
        <v>0</v>
      </c>
      <c r="K32" s="1757">
        <f t="shared" si="3"/>
        <v>0</v>
      </c>
      <c r="L32" s="1757">
        <f t="shared" si="3"/>
        <v>0</v>
      </c>
      <c r="M32" s="1757">
        <f t="shared" si="3"/>
        <v>0</v>
      </c>
      <c r="N32" s="1757">
        <f t="shared" si="3"/>
        <v>0</v>
      </c>
      <c r="O32" s="1757">
        <f t="shared" si="3"/>
        <v>0</v>
      </c>
    </row>
    <row r="33" spans="2:15" x14ac:dyDescent="0.35">
      <c r="B33" s="58"/>
      <c r="C33" s="61"/>
      <c r="D33" s="61"/>
      <c r="E33" s="177"/>
      <c r="F33" s="19"/>
      <c r="G33" s="19"/>
      <c r="H33" s="19"/>
      <c r="I33" s="19"/>
      <c r="J33" s="19"/>
      <c r="K33" s="19"/>
      <c r="L33" s="19"/>
      <c r="M33" s="19"/>
      <c r="N33" s="19"/>
      <c r="O33" s="19"/>
    </row>
    <row r="34" spans="2:15" x14ac:dyDescent="0.35">
      <c r="B34" s="59">
        <v>4</v>
      </c>
      <c r="C34" s="16" t="s">
        <v>273</v>
      </c>
      <c r="D34" s="638">
        <f>+D32+D20+D26</f>
        <v>0.61666666666666659</v>
      </c>
      <c r="E34" s="638">
        <f t="shared" ref="E34:O34" si="4">+E32+E20+E26</f>
        <v>0.6791666666666667</v>
      </c>
      <c r="F34" s="638">
        <f t="shared" si="4"/>
        <v>0</v>
      </c>
      <c r="G34" s="638">
        <f t="shared" si="4"/>
        <v>0</v>
      </c>
      <c r="H34" s="638">
        <f t="shared" si="4"/>
        <v>0</v>
      </c>
      <c r="I34" s="638">
        <f t="shared" si="4"/>
        <v>0</v>
      </c>
      <c r="J34" s="638">
        <f t="shared" si="4"/>
        <v>0</v>
      </c>
      <c r="K34" s="638">
        <f t="shared" si="4"/>
        <v>0</v>
      </c>
      <c r="L34" s="638">
        <f t="shared" si="4"/>
        <v>0</v>
      </c>
      <c r="M34" s="638">
        <f t="shared" si="4"/>
        <v>0</v>
      </c>
      <c r="N34" s="638">
        <f t="shared" si="4"/>
        <v>0</v>
      </c>
      <c r="O34" s="638">
        <f t="shared" si="4"/>
        <v>0</v>
      </c>
    </row>
    <row r="35" spans="2:15" x14ac:dyDescent="0.35">
      <c r="B35" s="58"/>
      <c r="C35" s="61"/>
      <c r="D35" s="61"/>
      <c r="E35" s="177"/>
      <c r="F35" s="19"/>
      <c r="G35" s="19"/>
      <c r="H35" s="19"/>
      <c r="I35" s="19"/>
      <c r="J35" s="19"/>
      <c r="K35" s="19"/>
      <c r="L35" s="19"/>
      <c r="M35" s="19"/>
      <c r="N35" s="19"/>
      <c r="O35" s="19"/>
    </row>
    <row r="36" spans="2:15" x14ac:dyDescent="0.35">
      <c r="B36" s="59" t="s">
        <v>274</v>
      </c>
      <c r="C36" s="63" t="s">
        <v>275</v>
      </c>
      <c r="D36" s="639">
        <f>+D12-D34</f>
        <v>-0.14499999999999991</v>
      </c>
      <c r="E36" s="639">
        <f t="shared" ref="E36:O36" si="5">+E12-E34</f>
        <v>-8.9166666666666727E-2</v>
      </c>
      <c r="F36" s="639">
        <f t="shared" si="5"/>
        <v>1.5516666666666667</v>
      </c>
      <c r="G36" s="639">
        <f t="shared" si="5"/>
        <v>2.71</v>
      </c>
      <c r="H36" s="639">
        <f t="shared" si="5"/>
        <v>4.25</v>
      </c>
      <c r="I36" s="639">
        <f t="shared" si="5"/>
        <v>5.05</v>
      </c>
      <c r="J36" s="639">
        <f t="shared" si="5"/>
        <v>10.7575</v>
      </c>
      <c r="K36" s="639">
        <f t="shared" si="5"/>
        <v>17.775000000000002</v>
      </c>
      <c r="L36" s="639">
        <f t="shared" si="5"/>
        <v>22.400000000000002</v>
      </c>
      <c r="M36" s="639">
        <f t="shared" si="5"/>
        <v>28.050000000000008</v>
      </c>
      <c r="N36" s="639">
        <f t="shared" si="5"/>
        <v>34.199999999999996</v>
      </c>
      <c r="O36" s="639">
        <f t="shared" si="5"/>
        <v>37.199999999999996</v>
      </c>
    </row>
    <row r="37" spans="2:15" x14ac:dyDescent="0.35">
      <c r="E37" s="177"/>
      <c r="F37" s="19"/>
      <c r="G37" s="19"/>
      <c r="H37" s="19"/>
      <c r="I37" s="19"/>
      <c r="J37" s="19"/>
      <c r="K37" s="19"/>
      <c r="L37" s="19"/>
      <c r="M37" s="19"/>
      <c r="N37" s="19"/>
      <c r="O37" s="19"/>
    </row>
  </sheetData>
  <mergeCells count="7">
    <mergeCell ref="B7:B8"/>
    <mergeCell ref="C7:C8"/>
    <mergeCell ref="K7:O7"/>
    <mergeCell ref="D8:I8"/>
    <mergeCell ref="B3:O3"/>
    <mergeCell ref="B4:O4"/>
    <mergeCell ref="B5:O5"/>
  </mergeCells>
  <pageMargins left="0.35433070866141736" right="0.19685039370078741" top="0.47244094488188981" bottom="0.31496062992125984" header="0.23622047244094491" footer="0.23622047244094491"/>
  <pageSetup paperSize="9" scale="66" fitToHeight="2" orientation="landscape" r:id="rId1"/>
  <headerFooter alignWithMargins="0">
    <oddHeader>&amp;F</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V267"/>
  <sheetViews>
    <sheetView showGridLines="0" view="pageBreakPreview" topLeftCell="E173" zoomScale="80" zoomScaleNormal="80" zoomScaleSheetLayoutView="80" workbookViewId="0">
      <selection activeCell="D267" sqref="D267"/>
    </sheetView>
  </sheetViews>
  <sheetFormatPr defaultColWidth="8.6640625" defaultRowHeight="13.9" x14ac:dyDescent="0.4"/>
  <cols>
    <col min="1" max="1" width="6.6640625" style="107" customWidth="1"/>
    <col min="2" max="2" width="35.19921875" style="107" customWidth="1"/>
    <col min="3" max="5" width="12.6640625" style="107" customWidth="1"/>
    <col min="6" max="6" width="17.46484375" style="107" customWidth="1"/>
    <col min="7" max="9" width="12.6640625" style="107" customWidth="1"/>
    <col min="10" max="10" width="12.6640625" style="561" customWidth="1"/>
    <col min="11" max="11" width="12.6640625" style="107" customWidth="1"/>
    <col min="12" max="18" width="17.46484375" style="107" customWidth="1"/>
    <col min="19" max="16384" width="8.6640625" style="107"/>
  </cols>
  <sheetData>
    <row r="2" spans="1:18" x14ac:dyDescent="0.4">
      <c r="A2" s="1937" t="str">
        <f>+Index!B2</f>
        <v>Nidar Utilities Panvel LLP</v>
      </c>
      <c r="B2" s="1937"/>
      <c r="C2" s="1937"/>
      <c r="D2" s="1937"/>
      <c r="E2" s="1937"/>
      <c r="F2" s="1937"/>
      <c r="G2" s="1937"/>
      <c r="H2" s="1937"/>
      <c r="I2" s="1937"/>
      <c r="J2" s="1937"/>
      <c r="K2" s="1937"/>
      <c r="L2" s="1937"/>
      <c r="M2" s="1937"/>
      <c r="N2" s="1937"/>
      <c r="O2" s="1937"/>
      <c r="P2" s="1937"/>
      <c r="Q2" s="1937"/>
      <c r="R2" s="1937"/>
    </row>
    <row r="3" spans="1:18" x14ac:dyDescent="0.4">
      <c r="A3" s="1875" t="s">
        <v>276</v>
      </c>
      <c r="B3" s="1875"/>
      <c r="C3" s="1875"/>
      <c r="D3" s="1875"/>
      <c r="E3" s="1875"/>
      <c r="F3" s="1875"/>
      <c r="G3" s="1875"/>
      <c r="H3" s="1875"/>
      <c r="I3" s="1875"/>
      <c r="J3" s="1875"/>
      <c r="K3" s="1875"/>
      <c r="L3" s="1875"/>
      <c r="M3" s="1875"/>
      <c r="N3" s="1875"/>
      <c r="O3" s="1875"/>
      <c r="P3" s="1875"/>
      <c r="Q3" s="1875"/>
      <c r="R3" s="1875"/>
    </row>
    <row r="4" spans="1:18" x14ac:dyDescent="0.4">
      <c r="A4" s="1875" t="s">
        <v>277</v>
      </c>
      <c r="B4" s="1875"/>
      <c r="C4" s="1875"/>
      <c r="D4" s="1875"/>
      <c r="E4" s="1875"/>
      <c r="F4" s="1875"/>
      <c r="G4" s="1875"/>
      <c r="H4" s="1875"/>
      <c r="I4" s="1875"/>
      <c r="J4" s="1875"/>
      <c r="K4" s="1875"/>
      <c r="L4" s="1875"/>
      <c r="M4" s="1875"/>
      <c r="N4" s="1875"/>
      <c r="O4" s="1875"/>
      <c r="P4" s="1875"/>
      <c r="Q4" s="1875"/>
      <c r="R4" s="1875"/>
    </row>
    <row r="5" spans="1:18" x14ac:dyDescent="0.4">
      <c r="A5" s="53"/>
      <c r="B5" s="108"/>
      <c r="C5" s="108"/>
      <c r="D5" s="108"/>
      <c r="E5" s="108"/>
      <c r="F5" s="108"/>
      <c r="G5" s="108"/>
      <c r="H5" s="108"/>
      <c r="I5" s="108"/>
      <c r="J5" s="707"/>
      <c r="K5" s="108"/>
      <c r="L5" s="108"/>
    </row>
    <row r="6" spans="1:18" x14ac:dyDescent="0.4">
      <c r="B6" s="1960" t="s">
        <v>278</v>
      </c>
      <c r="C6" s="1960"/>
    </row>
    <row r="7" spans="1:18" x14ac:dyDescent="0.4">
      <c r="B7" s="117"/>
      <c r="C7" s="117"/>
    </row>
    <row r="8" spans="1:18" x14ac:dyDescent="0.4">
      <c r="B8" s="117" t="s">
        <v>1032</v>
      </c>
      <c r="C8" s="117"/>
    </row>
    <row r="10" spans="1:18" s="134" customFormat="1" ht="54" x14ac:dyDescent="0.35">
      <c r="A10" s="135" t="s">
        <v>279</v>
      </c>
      <c r="B10" s="135" t="s">
        <v>280</v>
      </c>
      <c r="C10" s="135" t="s">
        <v>281</v>
      </c>
      <c r="D10" s="135" t="s">
        <v>282</v>
      </c>
      <c r="E10" s="135" t="s">
        <v>283</v>
      </c>
      <c r="F10" s="136" t="s">
        <v>284</v>
      </c>
      <c r="G10" s="136" t="s">
        <v>285</v>
      </c>
      <c r="H10" s="136" t="s">
        <v>286</v>
      </c>
      <c r="I10" s="136" t="s">
        <v>287</v>
      </c>
      <c r="J10" s="708" t="s">
        <v>288</v>
      </c>
      <c r="K10" s="136" t="s">
        <v>289</v>
      </c>
      <c r="L10" s="136" t="s">
        <v>290</v>
      </c>
      <c r="M10" s="136" t="s">
        <v>291</v>
      </c>
      <c r="N10" s="136" t="s">
        <v>292</v>
      </c>
      <c r="O10" s="136" t="s">
        <v>293</v>
      </c>
      <c r="P10" s="136" t="s">
        <v>294</v>
      </c>
      <c r="Q10" s="136" t="s">
        <v>295</v>
      </c>
      <c r="R10" s="136" t="s">
        <v>296</v>
      </c>
    </row>
    <row r="11" spans="1:18" x14ac:dyDescent="0.4">
      <c r="A11" s="137">
        <v>1</v>
      </c>
      <c r="B11" s="137">
        <v>2</v>
      </c>
      <c r="C11" s="137">
        <v>3</v>
      </c>
      <c r="D11" s="137">
        <v>4</v>
      </c>
      <c r="E11" s="137">
        <v>5</v>
      </c>
      <c r="F11" s="137">
        <v>6</v>
      </c>
      <c r="G11" s="137">
        <v>7</v>
      </c>
      <c r="H11" s="137">
        <v>8</v>
      </c>
      <c r="I11" s="137">
        <v>9</v>
      </c>
      <c r="J11" s="709">
        <v>10</v>
      </c>
      <c r="K11" s="137">
        <v>11</v>
      </c>
      <c r="L11" s="137">
        <v>12</v>
      </c>
      <c r="M11" s="137">
        <v>13</v>
      </c>
      <c r="N11" s="137">
        <v>14</v>
      </c>
      <c r="O11" s="137">
        <v>15</v>
      </c>
      <c r="P11" s="137">
        <v>16</v>
      </c>
      <c r="Q11" s="137">
        <v>17</v>
      </c>
      <c r="R11" s="137">
        <v>18</v>
      </c>
    </row>
    <row r="12" spans="1:18" x14ac:dyDescent="0.4">
      <c r="A12" s="111"/>
      <c r="B12" s="640" t="s">
        <v>297</v>
      </c>
      <c r="C12" s="641"/>
      <c r="D12" s="641"/>
      <c r="E12" s="641"/>
      <c r="F12" s="642"/>
      <c r="G12" s="642"/>
      <c r="H12" s="642"/>
      <c r="I12" s="642"/>
      <c r="J12" s="710"/>
      <c r="K12" s="642"/>
      <c r="L12" s="642"/>
      <c r="M12" s="642"/>
      <c r="N12" s="642"/>
      <c r="O12" s="642"/>
      <c r="P12" s="642"/>
      <c r="Q12" s="643"/>
      <c r="R12" s="643"/>
    </row>
    <row r="13" spans="1:18" x14ac:dyDescent="0.4">
      <c r="A13" s="114"/>
      <c r="B13" s="494" t="s">
        <v>1189</v>
      </c>
      <c r="C13" s="644"/>
      <c r="D13" s="644"/>
      <c r="E13" s="645"/>
      <c r="F13" s="644"/>
      <c r="G13" s="437"/>
      <c r="H13" s="437"/>
      <c r="I13" s="437"/>
      <c r="J13" s="711">
        <f>+'F2.1'!Q27</f>
        <v>1.2801549999999997</v>
      </c>
      <c r="K13" s="439"/>
      <c r="L13" s="646">
        <v>0.22445689999999999</v>
      </c>
      <c r="M13" s="439">
        <f>N13/J13*10</f>
        <v>4.0630478340513463</v>
      </c>
      <c r="N13" s="646">
        <v>0.52013310000000001</v>
      </c>
      <c r="O13" s="646"/>
      <c r="P13" s="437"/>
      <c r="Q13" s="647">
        <f>+L13+N13+O13+P13</f>
        <v>0.74458999999999997</v>
      </c>
      <c r="R13" s="439">
        <f>+Q13*10/J13</f>
        <v>5.8164050447016198</v>
      </c>
    </row>
    <row r="14" spans="1:18" x14ac:dyDescent="0.4">
      <c r="A14" s="113"/>
      <c r="B14" s="640" t="s">
        <v>299</v>
      </c>
      <c r="C14" s="644"/>
      <c r="D14" s="644"/>
      <c r="E14" s="645"/>
      <c r="F14" s="644"/>
      <c r="G14" s="437"/>
      <c r="H14" s="437"/>
      <c r="I14" s="437"/>
      <c r="J14" s="711"/>
      <c r="K14" s="437"/>
      <c r="L14" s="437"/>
      <c r="M14" s="439"/>
      <c r="N14" s="437"/>
      <c r="O14" s="437"/>
      <c r="P14" s="437"/>
      <c r="Q14" s="648"/>
      <c r="R14" s="439"/>
    </row>
    <row r="15" spans="1:18" x14ac:dyDescent="0.4">
      <c r="A15" s="113"/>
      <c r="B15" s="494"/>
      <c r="C15" s="644"/>
      <c r="D15" s="644"/>
      <c r="E15" s="645"/>
      <c r="F15" s="644"/>
      <c r="G15" s="437"/>
      <c r="H15" s="437"/>
      <c r="I15" s="437"/>
      <c r="J15" s="711"/>
      <c r="K15" s="437"/>
      <c r="L15" s="437"/>
      <c r="M15" s="439"/>
      <c r="N15" s="437"/>
      <c r="O15" s="437"/>
      <c r="P15" s="437"/>
      <c r="Q15" s="648"/>
      <c r="R15" s="439"/>
    </row>
    <row r="16" spans="1:18" x14ac:dyDescent="0.4">
      <c r="A16" s="113"/>
      <c r="B16" s="494"/>
      <c r="C16" s="644"/>
      <c r="D16" s="644"/>
      <c r="E16" s="645"/>
      <c r="F16" s="644"/>
      <c r="G16" s="437"/>
      <c r="H16" s="437"/>
      <c r="I16" s="437"/>
      <c r="J16" s="711"/>
      <c r="K16" s="437"/>
      <c r="L16" s="437"/>
      <c r="M16" s="439"/>
      <c r="N16" s="437"/>
      <c r="O16" s="437"/>
      <c r="P16" s="437"/>
      <c r="Q16" s="648"/>
      <c r="R16" s="439"/>
    </row>
    <row r="17" spans="1:18" x14ac:dyDescent="0.4">
      <c r="A17" s="113"/>
      <c r="B17" s="494" t="s">
        <v>1192</v>
      </c>
      <c r="C17" s="644"/>
      <c r="D17" s="644"/>
      <c r="E17" s="644"/>
      <c r="F17" s="644"/>
      <c r="G17" s="437"/>
      <c r="H17" s="437"/>
      <c r="I17" s="437"/>
      <c r="J17" s="711">
        <f>+'F2.1'!Q32</f>
        <v>3.7672726906811144E-2</v>
      </c>
      <c r="K17" s="437"/>
      <c r="L17" s="437"/>
      <c r="M17" s="439">
        <f>N17/J17*10</f>
        <v>3.6887693408484128</v>
      </c>
      <c r="N17" s="646">
        <f>138966/10^7</f>
        <v>1.38966E-2</v>
      </c>
      <c r="O17" s="437"/>
      <c r="P17" s="437"/>
      <c r="Q17" s="647">
        <f>+L17+N17+O17+P17</f>
        <v>1.38966E-2</v>
      </c>
      <c r="R17" s="439">
        <f>+Q17*10/J17</f>
        <v>3.6887693408484128</v>
      </c>
    </row>
    <row r="18" spans="1:18" x14ac:dyDescent="0.4">
      <c r="A18" s="113"/>
      <c r="B18" s="649" t="s">
        <v>1193</v>
      </c>
      <c r="C18" s="644"/>
      <c r="D18" s="644"/>
      <c r="E18" s="644"/>
      <c r="F18" s="644"/>
      <c r="G18" s="437"/>
      <c r="H18" s="437"/>
      <c r="I18" s="437"/>
      <c r="J18" s="711"/>
      <c r="K18" s="437"/>
      <c r="L18" s="650"/>
      <c r="M18" s="650"/>
      <c r="N18" s="650"/>
      <c r="O18" s="650"/>
      <c r="P18" s="650"/>
      <c r="Q18" s="648"/>
      <c r="R18" s="439"/>
    </row>
    <row r="19" spans="1:18" x14ac:dyDescent="0.4">
      <c r="A19" s="113"/>
      <c r="B19" s="649" t="s">
        <v>1194</v>
      </c>
      <c r="C19" s="643"/>
      <c r="D19" s="643"/>
      <c r="E19" s="643"/>
      <c r="F19" s="643"/>
      <c r="G19" s="437"/>
      <c r="H19" s="651"/>
      <c r="I19" s="651"/>
      <c r="J19" s="712"/>
      <c r="K19" s="651"/>
      <c r="L19" s="651"/>
      <c r="M19" s="651"/>
      <c r="N19" s="651"/>
      <c r="O19" s="651"/>
      <c r="P19" s="651"/>
      <c r="Q19" s="648"/>
      <c r="R19" s="439"/>
    </row>
    <row r="20" spans="1:18" x14ac:dyDescent="0.4">
      <c r="A20" s="113"/>
      <c r="B20" s="652" t="s">
        <v>1195</v>
      </c>
      <c r="C20" s="643"/>
      <c r="D20" s="643"/>
      <c r="E20" s="643"/>
      <c r="F20" s="643"/>
      <c r="G20" s="437"/>
      <c r="H20" s="651"/>
      <c r="I20" s="651"/>
      <c r="J20" s="712"/>
      <c r="K20" s="651"/>
      <c r="L20" s="651"/>
      <c r="M20" s="651"/>
      <c r="N20" s="651"/>
      <c r="O20" s="651"/>
      <c r="P20" s="651"/>
      <c r="Q20" s="648"/>
      <c r="R20" s="437"/>
    </row>
    <row r="21" spans="1:18" ht="14.65" x14ac:dyDescent="0.4">
      <c r="A21" s="113"/>
      <c r="B21" s="653" t="s">
        <v>164</v>
      </c>
      <c r="C21" s="653"/>
      <c r="D21" s="653"/>
      <c r="E21" s="653"/>
      <c r="F21" s="653"/>
      <c r="G21" s="654"/>
      <c r="H21" s="654"/>
      <c r="I21" s="654"/>
      <c r="J21" s="713">
        <f>SUM(J13:J20)</f>
        <v>1.3178277269068108</v>
      </c>
      <c r="K21" s="654"/>
      <c r="L21" s="655">
        <f>SUM(L13:L20)</f>
        <v>0.22445689999999999</v>
      </c>
      <c r="M21" s="654"/>
      <c r="N21" s="655">
        <f>SUM(N13:N20)</f>
        <v>0.53402970000000005</v>
      </c>
      <c r="O21" s="654"/>
      <c r="P21" s="654"/>
      <c r="Q21" s="655">
        <f>SUM(Q13:Q20)</f>
        <v>0.75848660000000001</v>
      </c>
      <c r="R21" s="442">
        <f>Q21/J21*10</f>
        <v>5.7555823459589108</v>
      </c>
    </row>
    <row r="23" spans="1:18" x14ac:dyDescent="0.4">
      <c r="B23" s="117" t="s">
        <v>1033</v>
      </c>
      <c r="C23" s="117"/>
    </row>
    <row r="25" spans="1:18" s="134" customFormat="1" ht="54" x14ac:dyDescent="0.35">
      <c r="A25" s="135" t="s">
        <v>279</v>
      </c>
      <c r="B25" s="135" t="s">
        <v>280</v>
      </c>
      <c r="C25" s="135" t="s">
        <v>281</v>
      </c>
      <c r="D25" s="135" t="s">
        <v>282</v>
      </c>
      <c r="E25" s="135" t="s">
        <v>283</v>
      </c>
      <c r="F25" s="136" t="s">
        <v>284</v>
      </c>
      <c r="G25" s="136" t="s">
        <v>285</v>
      </c>
      <c r="H25" s="136" t="s">
        <v>286</v>
      </c>
      <c r="I25" s="136" t="s">
        <v>287</v>
      </c>
      <c r="J25" s="708" t="s">
        <v>288</v>
      </c>
      <c r="K25" s="136" t="s">
        <v>289</v>
      </c>
      <c r="L25" s="136" t="s">
        <v>290</v>
      </c>
      <c r="M25" s="136" t="s">
        <v>291</v>
      </c>
      <c r="N25" s="136" t="s">
        <v>292</v>
      </c>
      <c r="O25" s="136" t="s">
        <v>293</v>
      </c>
      <c r="P25" s="136" t="s">
        <v>294</v>
      </c>
      <c r="Q25" s="136" t="s">
        <v>295</v>
      </c>
      <c r="R25" s="136" t="s">
        <v>296</v>
      </c>
    </row>
    <row r="26" spans="1:18" x14ac:dyDescent="0.4">
      <c r="A26" s="137">
        <v>1</v>
      </c>
      <c r="B26" s="137">
        <v>2</v>
      </c>
      <c r="C26" s="137">
        <v>3</v>
      </c>
      <c r="D26" s="137">
        <v>4</v>
      </c>
      <c r="E26" s="137">
        <v>5</v>
      </c>
      <c r="F26" s="137">
        <v>6</v>
      </c>
      <c r="G26" s="137">
        <v>7</v>
      </c>
      <c r="H26" s="137">
        <v>8</v>
      </c>
      <c r="I26" s="137">
        <v>9</v>
      </c>
      <c r="J26" s="709">
        <v>10</v>
      </c>
      <c r="K26" s="137">
        <v>11</v>
      </c>
      <c r="L26" s="137">
        <v>12</v>
      </c>
      <c r="M26" s="137">
        <v>13</v>
      </c>
      <c r="N26" s="137">
        <v>14</v>
      </c>
      <c r="O26" s="137">
        <v>15</v>
      </c>
      <c r="P26" s="137">
        <v>16</v>
      </c>
      <c r="Q26" s="137">
        <v>17</v>
      </c>
      <c r="R26" s="137">
        <v>18</v>
      </c>
    </row>
    <row r="27" spans="1:18" x14ac:dyDescent="0.4">
      <c r="A27" s="111"/>
      <c r="B27" s="640" t="s">
        <v>297</v>
      </c>
      <c r="C27" s="641"/>
      <c r="D27" s="641"/>
      <c r="E27" s="641"/>
      <c r="F27" s="642"/>
      <c r="G27" s="642"/>
      <c r="H27" s="642"/>
      <c r="I27" s="642"/>
      <c r="J27" s="710"/>
      <c r="K27" s="642"/>
      <c r="L27" s="642"/>
      <c r="M27" s="642"/>
      <c r="N27" s="642"/>
      <c r="O27" s="642"/>
      <c r="P27" s="642"/>
      <c r="Q27" s="643"/>
      <c r="R27" s="643"/>
    </row>
    <row r="28" spans="1:18" x14ac:dyDescent="0.4">
      <c r="A28" s="114"/>
      <c r="B28" s="504" t="s">
        <v>271</v>
      </c>
      <c r="C28" s="644"/>
      <c r="D28" s="644"/>
      <c r="E28" s="644"/>
      <c r="F28" s="644"/>
      <c r="G28" s="437"/>
      <c r="H28" s="437"/>
      <c r="I28" s="437"/>
      <c r="J28" s="711"/>
      <c r="K28" s="437"/>
      <c r="L28" s="437"/>
      <c r="M28" s="437"/>
      <c r="N28" s="437"/>
      <c r="O28" s="437"/>
      <c r="P28" s="437"/>
      <c r="Q28" s="457"/>
      <c r="R28" s="457"/>
    </row>
    <row r="29" spans="1:18" x14ac:dyDescent="0.4">
      <c r="A29" s="113"/>
      <c r="B29" s="494" t="s">
        <v>1189</v>
      </c>
      <c r="C29" s="644"/>
      <c r="D29" s="644"/>
      <c r="E29" s="650"/>
      <c r="F29" s="644"/>
      <c r="G29" s="437"/>
      <c r="H29" s="437"/>
      <c r="I29" s="437"/>
      <c r="J29" s="711">
        <f>+'F2.1'!Q52</f>
        <v>3.3149670000000002</v>
      </c>
      <c r="K29" s="439"/>
      <c r="L29" s="682">
        <v>0.50919539999999996</v>
      </c>
      <c r="M29" s="439">
        <f>N29/J29*10</f>
        <v>3.5474494919557262</v>
      </c>
      <c r="N29" s="683">
        <v>1.1759678</v>
      </c>
      <c r="O29" s="437"/>
      <c r="P29" s="437"/>
      <c r="Q29" s="647">
        <f>+L29+N29+O29+P29</f>
        <v>1.6851631999999999</v>
      </c>
      <c r="R29" s="439">
        <f>+Q29*10/J29</f>
        <v>5.0834991720882883</v>
      </c>
    </row>
    <row r="30" spans="1:18" x14ac:dyDescent="0.4">
      <c r="A30" s="113"/>
      <c r="B30" s="640" t="s">
        <v>299</v>
      </c>
      <c r="C30" s="644"/>
      <c r="D30" s="644"/>
      <c r="E30" s="645"/>
      <c r="F30" s="644"/>
      <c r="G30" s="437"/>
      <c r="H30" s="437"/>
      <c r="I30" s="437"/>
      <c r="J30" s="711"/>
      <c r="K30" s="437"/>
      <c r="L30" s="437"/>
      <c r="M30" s="439"/>
      <c r="N30" s="437"/>
      <c r="O30" s="437"/>
      <c r="P30" s="437"/>
      <c r="Q30" s="1512"/>
      <c r="R30" s="439"/>
    </row>
    <row r="31" spans="1:18" x14ac:dyDescent="0.4">
      <c r="A31" s="113"/>
      <c r="B31" s="494"/>
      <c r="C31" s="644"/>
      <c r="D31" s="644"/>
      <c r="E31" s="650"/>
      <c r="F31" s="644"/>
      <c r="G31" s="437"/>
      <c r="H31" s="437"/>
      <c r="I31" s="437"/>
      <c r="J31" s="711"/>
      <c r="K31" s="684"/>
      <c r="L31" s="437"/>
      <c r="M31" s="439"/>
      <c r="N31" s="437"/>
      <c r="O31" s="437"/>
      <c r="P31" s="437"/>
      <c r="Q31" s="1512"/>
      <c r="R31" s="439"/>
    </row>
    <row r="32" spans="1:18" x14ac:dyDescent="0.4">
      <c r="A32" s="113"/>
      <c r="B32" s="494" t="s">
        <v>1192</v>
      </c>
      <c r="C32" s="644"/>
      <c r="D32" s="644"/>
      <c r="E32" s="644"/>
      <c r="F32" s="644"/>
      <c r="G32" s="437"/>
      <c r="H32" s="437"/>
      <c r="I32" s="437"/>
      <c r="J32" s="711">
        <f>+'F2.1'!Q57</f>
        <v>7.1069798504224263E-2</v>
      </c>
      <c r="K32" s="684"/>
      <c r="L32" s="437"/>
      <c r="M32" s="685">
        <f>N32/J32*10</f>
        <v>4.1642301825635428</v>
      </c>
      <c r="N32" s="646">
        <f>295951/10^7</f>
        <v>2.9595099999999999E-2</v>
      </c>
      <c r="O32" s="437"/>
      <c r="P32" s="437"/>
      <c r="Q32" s="1512">
        <f>+L32+N32+O32+P32</f>
        <v>2.9595099999999999E-2</v>
      </c>
      <c r="R32" s="439">
        <f>+Q32*10/J32</f>
        <v>4.1642301825635419</v>
      </c>
    </row>
    <row r="33" spans="1:18" x14ac:dyDescent="0.4">
      <c r="A33" s="113"/>
      <c r="B33" s="649" t="s">
        <v>1193</v>
      </c>
      <c r="C33" s="644"/>
      <c r="D33" s="644"/>
      <c r="E33" s="644"/>
      <c r="F33" s="644"/>
      <c r="G33" s="437"/>
      <c r="H33" s="437"/>
      <c r="I33" s="437"/>
      <c r="J33" s="711"/>
      <c r="K33" s="684"/>
      <c r="L33" s="437"/>
      <c r="M33" s="686"/>
      <c r="N33" s="437"/>
      <c r="O33" s="437"/>
      <c r="P33" s="437"/>
      <c r="Q33" s="1512"/>
      <c r="R33" s="439"/>
    </row>
    <row r="34" spans="1:18" x14ac:dyDescent="0.4">
      <c r="A34" s="113"/>
      <c r="B34" s="649" t="s">
        <v>1194</v>
      </c>
      <c r="C34" s="644"/>
      <c r="D34" s="644"/>
      <c r="E34" s="644"/>
      <c r="F34" s="644"/>
      <c r="G34" s="437"/>
      <c r="H34" s="437"/>
      <c r="I34" s="437"/>
      <c r="J34" s="711"/>
      <c r="K34" s="684"/>
      <c r="L34" s="650"/>
      <c r="M34" s="686"/>
      <c r="N34" s="650"/>
      <c r="O34" s="650"/>
      <c r="P34" s="650"/>
      <c r="Q34" s="1512"/>
      <c r="R34" s="439"/>
    </row>
    <row r="35" spans="1:18" x14ac:dyDescent="0.4">
      <c r="A35" s="113"/>
      <c r="B35" s="652" t="s">
        <v>1195</v>
      </c>
      <c r="C35" s="643"/>
      <c r="D35" s="643"/>
      <c r="E35" s="643"/>
      <c r="F35" s="643"/>
      <c r="G35" s="437"/>
      <c r="H35" s="651"/>
      <c r="I35" s="651"/>
      <c r="J35" s="712"/>
      <c r="K35" s="684"/>
      <c r="L35" s="651"/>
      <c r="M35" s="651"/>
      <c r="N35" s="651"/>
      <c r="O35" s="651"/>
      <c r="P35" s="651"/>
      <c r="Q35" s="1512"/>
      <c r="R35" s="439"/>
    </row>
    <row r="36" spans="1:18" ht="14.65" x14ac:dyDescent="0.4">
      <c r="A36" s="113"/>
      <c r="B36" s="653" t="s">
        <v>164</v>
      </c>
      <c r="C36" s="653"/>
      <c r="D36" s="653"/>
      <c r="E36" s="653"/>
      <c r="F36" s="653"/>
      <c r="G36" s="654"/>
      <c r="H36" s="654"/>
      <c r="I36" s="654"/>
      <c r="J36" s="713">
        <f>SUM(J29:J35)</f>
        <v>3.3860367985042243</v>
      </c>
      <c r="K36" s="684"/>
      <c r="L36" s="655">
        <f>SUM(L28:L35)</f>
        <v>0.50919539999999996</v>
      </c>
      <c r="M36" s="654"/>
      <c r="N36" s="655">
        <f>SUM(N28:N35)</f>
        <v>1.2055629000000001</v>
      </c>
      <c r="O36" s="654"/>
      <c r="P36" s="654"/>
      <c r="Q36" s="1513">
        <f>SUM(Q27:Q35)</f>
        <v>1.7147583</v>
      </c>
      <c r="R36" s="442">
        <f>Q36/J36*10</f>
        <v>5.0642045613842459</v>
      </c>
    </row>
    <row r="38" spans="1:18" x14ac:dyDescent="0.4">
      <c r="B38" s="117" t="s">
        <v>1034</v>
      </c>
      <c r="C38" s="117"/>
    </row>
    <row r="40" spans="1:18" s="134" customFormat="1" ht="54" x14ac:dyDescent="0.35">
      <c r="A40" s="135" t="s">
        <v>279</v>
      </c>
      <c r="B40" s="135" t="s">
        <v>280</v>
      </c>
      <c r="C40" s="135" t="s">
        <v>281</v>
      </c>
      <c r="D40" s="135" t="s">
        <v>282</v>
      </c>
      <c r="E40" s="135" t="s">
        <v>283</v>
      </c>
      <c r="F40" s="136" t="s">
        <v>284</v>
      </c>
      <c r="G40" s="136" t="s">
        <v>285</v>
      </c>
      <c r="H40" s="136" t="s">
        <v>286</v>
      </c>
      <c r="I40" s="136" t="s">
        <v>287</v>
      </c>
      <c r="J40" s="708" t="s">
        <v>288</v>
      </c>
      <c r="K40" s="136" t="s">
        <v>289</v>
      </c>
      <c r="L40" s="136" t="s">
        <v>290</v>
      </c>
      <c r="M40" s="136" t="s">
        <v>291</v>
      </c>
      <c r="N40" s="136" t="s">
        <v>292</v>
      </c>
      <c r="O40" s="136" t="s">
        <v>293</v>
      </c>
      <c r="P40" s="136" t="s">
        <v>294</v>
      </c>
      <c r="Q40" s="136" t="s">
        <v>295</v>
      </c>
      <c r="R40" s="136" t="s">
        <v>296</v>
      </c>
    </row>
    <row r="41" spans="1:18" x14ac:dyDescent="0.4">
      <c r="A41" s="137">
        <v>1</v>
      </c>
      <c r="B41" s="137">
        <v>2</v>
      </c>
      <c r="C41" s="137">
        <v>3</v>
      </c>
      <c r="D41" s="137">
        <v>4</v>
      </c>
      <c r="E41" s="137">
        <v>5</v>
      </c>
      <c r="F41" s="137">
        <v>6</v>
      </c>
      <c r="G41" s="137">
        <v>7</v>
      </c>
      <c r="H41" s="137">
        <v>8</v>
      </c>
      <c r="I41" s="137">
        <v>9</v>
      </c>
      <c r="J41" s="709">
        <v>10</v>
      </c>
      <c r="K41" s="137">
        <v>11</v>
      </c>
      <c r="L41" s="137">
        <v>12</v>
      </c>
      <c r="M41" s="137">
        <v>13</v>
      </c>
      <c r="N41" s="137">
        <v>14</v>
      </c>
      <c r="O41" s="137">
        <v>15</v>
      </c>
      <c r="P41" s="137">
        <v>16</v>
      </c>
      <c r="Q41" s="137">
        <v>17</v>
      </c>
      <c r="R41" s="137">
        <v>18</v>
      </c>
    </row>
    <row r="42" spans="1:18" x14ac:dyDescent="0.4">
      <c r="A42" s="111"/>
      <c r="B42" s="640" t="s">
        <v>297</v>
      </c>
      <c r="C42" s="641"/>
      <c r="D42" s="641"/>
      <c r="E42" s="641"/>
      <c r="F42" s="642"/>
      <c r="G42" s="642"/>
      <c r="H42" s="642"/>
      <c r="I42" s="642"/>
      <c r="J42" s="710"/>
      <c r="K42" s="642"/>
      <c r="L42" s="642"/>
      <c r="M42" s="642"/>
      <c r="N42" s="642"/>
      <c r="O42" s="642"/>
      <c r="P42" s="642"/>
      <c r="Q42" s="643"/>
      <c r="R42" s="643"/>
    </row>
    <row r="43" spans="1:18" x14ac:dyDescent="0.4">
      <c r="A43" s="114"/>
      <c r="B43" s="504" t="s">
        <v>271</v>
      </c>
      <c r="C43" s="644"/>
      <c r="D43" s="644"/>
      <c r="E43" s="644"/>
      <c r="F43" s="644"/>
      <c r="G43" s="437"/>
      <c r="H43" s="437"/>
      <c r="I43" s="437"/>
      <c r="J43" s="711"/>
      <c r="K43" s="437"/>
      <c r="L43" s="437"/>
      <c r="M43" s="437"/>
      <c r="N43" s="437"/>
      <c r="O43" s="437"/>
      <c r="P43" s="437"/>
      <c r="Q43" s="457"/>
      <c r="R43" s="457"/>
    </row>
    <row r="44" spans="1:18" x14ac:dyDescent="0.4">
      <c r="A44" s="113"/>
      <c r="B44" s="494" t="s">
        <v>1189</v>
      </c>
      <c r="C44" s="644"/>
      <c r="D44" s="644"/>
      <c r="E44" s="650"/>
      <c r="F44" s="644"/>
      <c r="G44" s="437"/>
      <c r="H44" s="437"/>
      <c r="I44" s="437"/>
      <c r="J44" s="711">
        <f>+'F2.1'!Q78</f>
        <v>8.1364169999999998</v>
      </c>
      <c r="K44" s="439"/>
      <c r="L44" s="439">
        <v>1.2535798</v>
      </c>
      <c r="M44" s="439">
        <f>N44/J44*10</f>
        <v>3.3629077762361486</v>
      </c>
      <c r="N44" s="439">
        <v>2.7362019999999996</v>
      </c>
      <c r="O44" s="437"/>
      <c r="P44" s="437"/>
      <c r="Q44" s="439">
        <f>+N44+L44</f>
        <v>3.9897817999999994</v>
      </c>
      <c r="R44" s="439">
        <f>+Q44*10/J44</f>
        <v>4.9036102746454606</v>
      </c>
    </row>
    <row r="45" spans="1:18" x14ac:dyDescent="0.4">
      <c r="A45" s="113"/>
      <c r="B45" s="494" t="s">
        <v>1210</v>
      </c>
      <c r="C45" s="644"/>
      <c r="D45" s="644"/>
      <c r="E45" s="650"/>
      <c r="F45" s="644"/>
      <c r="G45" s="437"/>
      <c r="H45" s="437"/>
      <c r="I45" s="437"/>
      <c r="J45" s="711">
        <f>+'F2.1'!Q66</f>
        <v>0.139485</v>
      </c>
      <c r="K45" s="701"/>
      <c r="L45" s="439"/>
      <c r="M45" s="702">
        <f>N45/J45*10</f>
        <v>4.8236129332903186</v>
      </c>
      <c r="N45" s="439">
        <v>6.7282165000000005E-2</v>
      </c>
      <c r="O45" s="437"/>
      <c r="P45" s="437"/>
      <c r="Q45" s="439">
        <f>+N45+L45</f>
        <v>6.7282165000000005E-2</v>
      </c>
      <c r="R45" s="439">
        <f>+Q45*10/J45</f>
        <v>4.8236129332903186</v>
      </c>
    </row>
    <row r="46" spans="1:18" x14ac:dyDescent="0.4">
      <c r="A46" s="113"/>
      <c r="B46" s="703" t="s">
        <v>1211</v>
      </c>
      <c r="C46" s="644"/>
      <c r="D46" s="644"/>
      <c r="E46" s="650"/>
      <c r="F46" s="644"/>
      <c r="G46" s="437"/>
      <c r="H46" s="437"/>
      <c r="I46" s="437"/>
      <c r="J46" s="711"/>
      <c r="K46" s="684"/>
      <c r="L46" s="437"/>
      <c r="M46" s="702"/>
      <c r="N46" s="646">
        <f>+M46*J46/10</f>
        <v>0</v>
      </c>
      <c r="O46" s="646"/>
      <c r="P46" s="646"/>
      <c r="Q46" s="646">
        <f>+N46+L46</f>
        <v>0</v>
      </c>
      <c r="R46" s="646"/>
    </row>
    <row r="47" spans="1:18" x14ac:dyDescent="0.4">
      <c r="A47" s="113"/>
      <c r="B47" s="494" t="s">
        <v>1192</v>
      </c>
      <c r="C47" s="644"/>
      <c r="D47" s="644"/>
      <c r="E47" s="644"/>
      <c r="F47" s="644"/>
      <c r="G47" s="437"/>
      <c r="H47" s="437"/>
      <c r="I47" s="437"/>
      <c r="J47" s="711">
        <f>+'F2.1'!Q83</f>
        <v>0.12392279547420459</v>
      </c>
      <c r="K47" s="684"/>
      <c r="L47" s="437"/>
      <c r="M47" s="685">
        <v>2.86</v>
      </c>
      <c r="N47" s="439">
        <v>3.6681230000000002E-2</v>
      </c>
      <c r="O47" s="646"/>
      <c r="P47" s="646"/>
      <c r="Q47" s="439">
        <f>+N47+L47</f>
        <v>3.6681230000000002E-2</v>
      </c>
      <c r="R47" s="439">
        <f>+Q47*10/J47</f>
        <v>2.9600066605691979</v>
      </c>
    </row>
    <row r="48" spans="1:18" x14ac:dyDescent="0.4">
      <c r="A48" s="113"/>
      <c r="B48" s="649" t="s">
        <v>1193</v>
      </c>
      <c r="C48" s="644"/>
      <c r="D48" s="644"/>
      <c r="E48" s="644"/>
      <c r="F48" s="644"/>
      <c r="G48" s="437"/>
      <c r="H48" s="437"/>
      <c r="I48" s="437"/>
      <c r="J48" s="711"/>
      <c r="K48" s="684"/>
      <c r="L48" s="437"/>
      <c r="M48" s="704">
        <v>1</v>
      </c>
      <c r="N48" s="646"/>
      <c r="O48" s="646"/>
      <c r="P48" s="646"/>
      <c r="Q48" s="646"/>
      <c r="R48" s="439"/>
    </row>
    <row r="49" spans="1:18" x14ac:dyDescent="0.4">
      <c r="A49" s="113"/>
      <c r="B49" s="649" t="s">
        <v>1194</v>
      </c>
      <c r="C49" s="644"/>
      <c r="D49" s="644"/>
      <c r="E49" s="644"/>
      <c r="F49" s="644"/>
      <c r="G49" s="437"/>
      <c r="H49" s="437"/>
      <c r="I49" s="437"/>
      <c r="J49" s="711"/>
      <c r="K49" s="684"/>
      <c r="L49" s="650"/>
      <c r="M49" s="686">
        <v>1</v>
      </c>
      <c r="N49" s="705"/>
      <c r="O49" s="705"/>
      <c r="P49" s="705"/>
      <c r="Q49" s="646"/>
      <c r="R49" s="439"/>
    </row>
    <row r="50" spans="1:18" x14ac:dyDescent="0.4">
      <c r="A50" s="113"/>
      <c r="B50" s="652" t="s">
        <v>1195</v>
      </c>
      <c r="C50" s="643"/>
      <c r="D50" s="643"/>
      <c r="E50" s="643"/>
      <c r="F50" s="643"/>
      <c r="G50" s="437"/>
      <c r="H50" s="651"/>
      <c r="I50" s="651"/>
      <c r="J50" s="712"/>
      <c r="K50" s="684"/>
      <c r="L50" s="651"/>
      <c r="M50" s="651"/>
      <c r="N50" s="651"/>
      <c r="O50" s="651"/>
      <c r="P50" s="651"/>
      <c r="Q50" s="439"/>
      <c r="R50" s="439"/>
    </row>
    <row r="51" spans="1:18" ht="14.65" x14ac:dyDescent="0.4">
      <c r="A51" s="113"/>
      <c r="B51" s="653" t="s">
        <v>164</v>
      </c>
      <c r="C51" s="653"/>
      <c r="D51" s="653"/>
      <c r="E51" s="653"/>
      <c r="F51" s="653"/>
      <c r="G51" s="654"/>
      <c r="H51" s="654"/>
      <c r="I51" s="654"/>
      <c r="J51" s="713">
        <f>SUM(J44:J50)</f>
        <v>8.3998247954742045</v>
      </c>
      <c r="K51" s="684"/>
      <c r="L51" s="655">
        <f>SUM(L43:L50)</f>
        <v>1.2535798</v>
      </c>
      <c r="M51" s="654"/>
      <c r="N51" s="655">
        <f>SUM(N43:N50)</f>
        <v>2.8401653949999996</v>
      </c>
      <c r="O51" s="654"/>
      <c r="P51" s="654"/>
      <c r="Q51" s="442">
        <f>SUM(Q42:Q50)</f>
        <v>4.0937451949999994</v>
      </c>
      <c r="R51" s="442">
        <f>Q51/J51*10</f>
        <v>4.8736078366845161</v>
      </c>
    </row>
    <row r="52" spans="1:18" x14ac:dyDescent="0.4">
      <c r="J52" s="561">
        <f>+J51-J45-'F1.4'!F34</f>
        <v>0</v>
      </c>
    </row>
    <row r="53" spans="1:18" x14ac:dyDescent="0.4">
      <c r="B53" s="117" t="s">
        <v>1035</v>
      </c>
      <c r="C53" s="117"/>
    </row>
    <row r="55" spans="1:18" s="134" customFormat="1" ht="54" x14ac:dyDescent="0.35">
      <c r="A55" s="135" t="s">
        <v>279</v>
      </c>
      <c r="B55" s="135" t="s">
        <v>280</v>
      </c>
      <c r="C55" s="135" t="s">
        <v>281</v>
      </c>
      <c r="D55" s="135" t="s">
        <v>282</v>
      </c>
      <c r="E55" s="135" t="s">
        <v>283</v>
      </c>
      <c r="F55" s="136" t="s">
        <v>284</v>
      </c>
      <c r="G55" s="136" t="s">
        <v>285</v>
      </c>
      <c r="H55" s="136" t="s">
        <v>286</v>
      </c>
      <c r="I55" s="136" t="s">
        <v>287</v>
      </c>
      <c r="J55" s="708" t="s">
        <v>288</v>
      </c>
      <c r="K55" s="136" t="s">
        <v>289</v>
      </c>
      <c r="L55" s="136" t="s">
        <v>290</v>
      </c>
      <c r="M55" s="136" t="s">
        <v>291</v>
      </c>
      <c r="N55" s="136" t="s">
        <v>292</v>
      </c>
      <c r="O55" s="136" t="s">
        <v>293</v>
      </c>
      <c r="P55" s="136" t="s">
        <v>294</v>
      </c>
      <c r="Q55" s="136" t="s">
        <v>295</v>
      </c>
      <c r="R55" s="136" t="s">
        <v>296</v>
      </c>
    </row>
    <row r="56" spans="1:18" x14ac:dyDescent="0.4">
      <c r="A56" s="137">
        <v>1</v>
      </c>
      <c r="B56" s="137">
        <v>2</v>
      </c>
      <c r="C56" s="137">
        <v>3</v>
      </c>
      <c r="D56" s="137">
        <v>4</v>
      </c>
      <c r="E56" s="137">
        <v>5</v>
      </c>
      <c r="F56" s="137">
        <v>6</v>
      </c>
      <c r="G56" s="137">
        <v>7</v>
      </c>
      <c r="H56" s="137">
        <v>8</v>
      </c>
      <c r="I56" s="137">
        <v>9</v>
      </c>
      <c r="J56" s="709">
        <v>10</v>
      </c>
      <c r="K56" s="137">
        <v>11</v>
      </c>
      <c r="L56" s="137">
        <v>12</v>
      </c>
      <c r="M56" s="137">
        <v>13</v>
      </c>
      <c r="N56" s="137">
        <v>14</v>
      </c>
      <c r="O56" s="137">
        <v>15</v>
      </c>
      <c r="P56" s="137">
        <v>16</v>
      </c>
      <c r="Q56" s="137">
        <v>17</v>
      </c>
      <c r="R56" s="137">
        <v>18</v>
      </c>
    </row>
    <row r="57" spans="1:18" x14ac:dyDescent="0.4">
      <c r="A57" s="111"/>
      <c r="B57" s="640" t="s">
        <v>297</v>
      </c>
      <c r="C57" s="641"/>
      <c r="D57" s="641"/>
      <c r="E57" s="641"/>
      <c r="F57" s="642"/>
      <c r="G57" s="642"/>
      <c r="H57" s="642"/>
      <c r="I57" s="642"/>
      <c r="J57" s="642"/>
      <c r="K57" s="642"/>
      <c r="L57" s="642"/>
      <c r="M57" s="642"/>
      <c r="N57" s="642"/>
      <c r="O57" s="642"/>
      <c r="P57" s="642"/>
      <c r="Q57" s="643"/>
      <c r="R57" s="643"/>
    </row>
    <row r="58" spans="1:18" x14ac:dyDescent="0.4">
      <c r="A58" s="114"/>
      <c r="B58" s="504" t="s">
        <v>271</v>
      </c>
      <c r="C58" s="644"/>
      <c r="D58" s="644"/>
      <c r="E58" s="644"/>
      <c r="F58" s="644"/>
      <c r="G58" s="437"/>
      <c r="H58" s="437"/>
      <c r="I58" s="437"/>
      <c r="J58" s="437"/>
      <c r="K58" s="437"/>
      <c r="L58" s="437"/>
      <c r="M58" s="437"/>
      <c r="N58" s="437"/>
      <c r="O58" s="437"/>
      <c r="P58" s="437"/>
      <c r="Q58" s="457"/>
      <c r="R58" s="457"/>
    </row>
    <row r="59" spans="1:18" x14ac:dyDescent="0.4">
      <c r="A59" s="113"/>
      <c r="B59" s="494" t="s">
        <v>1189</v>
      </c>
      <c r="C59" s="644"/>
      <c r="D59" s="644"/>
      <c r="E59" s="644"/>
      <c r="F59" s="644"/>
      <c r="G59" s="437"/>
      <c r="H59" s="437"/>
      <c r="I59" s="437"/>
      <c r="J59" s="439">
        <f>+'F2.1'!Q104</f>
        <v>7.7732270000000003</v>
      </c>
      <c r="K59" s="437"/>
      <c r="L59" s="439">
        <v>1.1296794999999999</v>
      </c>
      <c r="M59" s="439">
        <f>N59/J59*10</f>
        <v>4.5188760086383688</v>
      </c>
      <c r="N59" s="439">
        <v>3.5126249000000005</v>
      </c>
      <c r="O59" s="437"/>
      <c r="P59" s="437"/>
      <c r="Q59" s="439">
        <f t="shared" ref="Q59:Q64" si="0">+N59+L59</f>
        <v>4.6423044000000004</v>
      </c>
      <c r="R59" s="439">
        <f t="shared" ref="R59:R64" si="1">+Q59*10/J59</f>
        <v>5.9721714032022994</v>
      </c>
    </row>
    <row r="60" spans="1:18" x14ac:dyDescent="0.4">
      <c r="A60" s="113"/>
      <c r="B60" s="504" t="s">
        <v>272</v>
      </c>
      <c r="C60" s="644"/>
      <c r="D60" s="644"/>
      <c r="E60" s="644"/>
      <c r="F60" s="644"/>
      <c r="G60" s="437"/>
      <c r="H60" s="437"/>
      <c r="I60" s="437"/>
      <c r="J60" s="439"/>
      <c r="K60" s="437"/>
      <c r="L60" s="439"/>
      <c r="M60" s="439"/>
      <c r="N60" s="439"/>
      <c r="O60" s="437"/>
      <c r="P60" s="437"/>
      <c r="Q60" s="439"/>
      <c r="R60" s="439"/>
    </row>
    <row r="61" spans="1:18" ht="25.5" x14ac:dyDescent="0.4">
      <c r="A61" s="113"/>
      <c r="B61" s="689" t="s">
        <v>1213</v>
      </c>
      <c r="C61" s="644"/>
      <c r="D61" s="644"/>
      <c r="E61" s="645"/>
      <c r="F61" s="644"/>
      <c r="G61" s="437"/>
      <c r="H61" s="437"/>
      <c r="I61" s="437"/>
      <c r="J61" s="439">
        <f>+'F2.1'!Q107</f>
        <v>9.1573502500000004</v>
      </c>
      <c r="K61" s="701"/>
      <c r="L61" s="439"/>
      <c r="M61" s="439">
        <f>N61/J61*10</f>
        <v>3.5670967974605974</v>
      </c>
      <c r="N61" s="439">
        <v>3.2665154749999998</v>
      </c>
      <c r="O61" s="437"/>
      <c r="P61" s="437"/>
      <c r="Q61" s="439">
        <f t="shared" si="0"/>
        <v>3.2665154749999998</v>
      </c>
      <c r="R61" s="439">
        <f t="shared" si="1"/>
        <v>3.5670967974605969</v>
      </c>
    </row>
    <row r="62" spans="1:18" x14ac:dyDescent="0.4">
      <c r="A62" s="113"/>
      <c r="B62" s="494"/>
      <c r="C62" s="644"/>
      <c r="D62" s="644"/>
      <c r="E62" s="645"/>
      <c r="F62" s="644"/>
      <c r="G62" s="437"/>
      <c r="H62" s="437"/>
      <c r="I62" s="437"/>
      <c r="J62" s="439"/>
      <c r="K62" s="701"/>
      <c r="L62" s="439"/>
      <c r="M62" s="439"/>
      <c r="N62" s="439"/>
      <c r="O62" s="437"/>
      <c r="P62" s="437"/>
      <c r="Q62" s="439"/>
      <c r="R62" s="439"/>
    </row>
    <row r="63" spans="1:18" x14ac:dyDescent="0.4">
      <c r="A63" s="113"/>
      <c r="B63" s="703" t="s">
        <v>1212</v>
      </c>
      <c r="C63" s="644"/>
      <c r="D63" s="644"/>
      <c r="E63" s="645"/>
      <c r="F63" s="644"/>
      <c r="G63" s="437"/>
      <c r="H63" s="437"/>
      <c r="I63" s="437"/>
      <c r="J63" s="439">
        <f>+'F2.1'!Q108</f>
        <v>0.2809045</v>
      </c>
      <c r="K63" s="684"/>
      <c r="L63" s="437"/>
      <c r="M63" s="439">
        <f>N63/J63*10</f>
        <v>6.5350868711608401</v>
      </c>
      <c r="N63" s="439">
        <v>0.18357353100000001</v>
      </c>
      <c r="O63" s="437"/>
      <c r="P63" s="437"/>
      <c r="Q63" s="439">
        <f t="shared" si="0"/>
        <v>0.18357353100000001</v>
      </c>
      <c r="R63" s="439">
        <f t="shared" si="1"/>
        <v>6.5350868711608392</v>
      </c>
    </row>
    <row r="64" spans="1:18" x14ac:dyDescent="0.4">
      <c r="A64" s="113"/>
      <c r="B64" s="494" t="s">
        <v>1192</v>
      </c>
      <c r="C64" s="644"/>
      <c r="D64" s="644"/>
      <c r="E64" s="644"/>
      <c r="F64" s="644"/>
      <c r="G64" s="437"/>
      <c r="H64" s="437"/>
      <c r="I64" s="437"/>
      <c r="J64" s="439">
        <f>+'F2.1'!Q109</f>
        <v>0.45959098331695381</v>
      </c>
      <c r="K64" s="684"/>
      <c r="L64" s="437"/>
      <c r="M64" s="439">
        <f>N64/J64*10</f>
        <v>5.80102546999131</v>
      </c>
      <c r="N64" s="439">
        <v>0.26660990000000001</v>
      </c>
      <c r="O64" s="437"/>
      <c r="P64" s="437"/>
      <c r="Q64" s="439">
        <f t="shared" si="0"/>
        <v>0.26660990000000001</v>
      </c>
      <c r="R64" s="439">
        <f t="shared" si="1"/>
        <v>5.8010254699913091</v>
      </c>
    </row>
    <row r="65" spans="1:22" x14ac:dyDescent="0.4">
      <c r="A65" s="113"/>
      <c r="B65" s="494" t="s">
        <v>1210</v>
      </c>
      <c r="C65" s="644"/>
      <c r="D65" s="644"/>
      <c r="E65" s="644"/>
      <c r="F65" s="644"/>
      <c r="G65" s="437"/>
      <c r="H65" s="437"/>
      <c r="I65" s="437"/>
      <c r="J65" s="439">
        <f>+'F2.1'!Q92</f>
        <v>0.26875019999999999</v>
      </c>
      <c r="K65" s="437"/>
      <c r="L65" s="439"/>
      <c r="M65" s="439">
        <f>N65/J65*10</f>
        <v>4.8199033898393386</v>
      </c>
      <c r="N65" s="439">
        <v>0.12953500000000001</v>
      </c>
      <c r="O65" s="437"/>
      <c r="P65" s="437"/>
      <c r="Q65" s="439">
        <f>+N65+L65</f>
        <v>0.12953500000000001</v>
      </c>
      <c r="R65" s="439">
        <f>+Q65*10/J65</f>
        <v>4.8199033898393377</v>
      </c>
    </row>
    <row r="66" spans="1:22" x14ac:dyDescent="0.4">
      <c r="A66" s="113"/>
      <c r="B66" s="649" t="s">
        <v>1193</v>
      </c>
      <c r="C66" s="644"/>
      <c r="D66" s="644"/>
      <c r="E66" s="644"/>
      <c r="F66" s="644"/>
      <c r="G66" s="437"/>
      <c r="H66" s="437"/>
      <c r="I66" s="437"/>
      <c r="J66" s="437"/>
      <c r="K66" s="684"/>
      <c r="L66" s="437"/>
      <c r="M66" s="1665"/>
      <c r="N66" s="437"/>
      <c r="O66" s="437"/>
      <c r="P66" s="437"/>
      <c r="Q66" s="439">
        <f>+(H134+I131-I132)*(M66)/10</f>
        <v>0</v>
      </c>
      <c r="R66" s="439"/>
    </row>
    <row r="67" spans="1:22" x14ac:dyDescent="0.4">
      <c r="A67" s="113"/>
      <c r="B67" s="649" t="s">
        <v>1194</v>
      </c>
      <c r="C67" s="644"/>
      <c r="D67" s="644"/>
      <c r="E67" s="644"/>
      <c r="F67" s="644"/>
      <c r="G67" s="437"/>
      <c r="H67" s="437"/>
      <c r="I67" s="437"/>
      <c r="J67" s="437"/>
      <c r="K67" s="684"/>
      <c r="L67" s="650"/>
      <c r="M67" s="1665"/>
      <c r="N67" s="650"/>
      <c r="O67" s="650"/>
      <c r="P67" s="650"/>
      <c r="Q67" s="439"/>
      <c r="R67" s="439"/>
    </row>
    <row r="68" spans="1:22" x14ac:dyDescent="0.4">
      <c r="A68" s="722"/>
      <c r="B68" s="652" t="s">
        <v>1195</v>
      </c>
      <c r="C68" s="643"/>
      <c r="D68" s="643"/>
      <c r="E68" s="643"/>
      <c r="F68" s="643"/>
      <c r="G68" s="437"/>
      <c r="H68" s="651"/>
      <c r="I68" s="651"/>
      <c r="J68" s="651"/>
      <c r="K68" s="684"/>
      <c r="L68" s="651"/>
      <c r="M68" s="651"/>
      <c r="N68" s="651"/>
      <c r="O68" s="651"/>
      <c r="P68" s="651"/>
      <c r="Q68" s="439"/>
      <c r="R68" s="439"/>
    </row>
    <row r="69" spans="1:22" ht="14.65" x14ac:dyDescent="0.4">
      <c r="A69" s="722"/>
      <c r="B69" s="653" t="s">
        <v>164</v>
      </c>
      <c r="C69" s="653"/>
      <c r="D69" s="653"/>
      <c r="E69" s="653"/>
      <c r="F69" s="653"/>
      <c r="G69" s="654"/>
      <c r="H69" s="654"/>
      <c r="I69" s="654"/>
      <c r="J69" s="442">
        <f>SUM(J59:J68)</f>
        <v>17.93982293331695</v>
      </c>
      <c r="K69" s="684"/>
      <c r="L69" s="655">
        <f>SUM(L59:L68)</f>
        <v>1.1296794999999999</v>
      </c>
      <c r="M69" s="752">
        <f>+N69/J69*10</f>
        <v>4.1019684716806726</v>
      </c>
      <c r="N69" s="655">
        <f>SUM(N59:N68)</f>
        <v>7.3588588060000006</v>
      </c>
      <c r="O69" s="654"/>
      <c r="P69" s="654"/>
      <c r="Q69" s="442">
        <f>SUM(Q57:Q68)</f>
        <v>8.4885383060000024</v>
      </c>
      <c r="R69" s="442">
        <f>Q69/J69*10</f>
        <v>4.731673404777875</v>
      </c>
    </row>
    <row r="70" spans="1:22" ht="14.65" x14ac:dyDescent="0.4">
      <c r="B70" s="718"/>
      <c r="C70" s="718"/>
      <c r="D70" s="718"/>
      <c r="E70" s="718"/>
      <c r="F70" s="718"/>
      <c r="G70" s="719"/>
      <c r="H70" s="719"/>
      <c r="I70" s="719"/>
      <c r="J70" s="1509">
        <f>+J69-J65-'F1.4'!G34</f>
        <v>0</v>
      </c>
      <c r="K70" s="446"/>
      <c r="L70" s="721"/>
      <c r="M70" s="719"/>
      <c r="N70" s="721"/>
      <c r="O70" s="719"/>
      <c r="P70" s="719"/>
      <c r="Q70" s="720"/>
      <c r="R70" s="720"/>
    </row>
    <row r="71" spans="1:22" ht="14.65" x14ac:dyDescent="0.4">
      <c r="B71" s="117" t="s">
        <v>1037</v>
      </c>
      <c r="C71" s="718"/>
      <c r="D71" s="718"/>
      <c r="E71" s="718"/>
      <c r="F71" s="718"/>
      <c r="G71" s="719"/>
      <c r="H71" s="719"/>
      <c r="I71" s="719"/>
      <c r="J71" s="720"/>
      <c r="K71" s="446"/>
      <c r="L71" s="721"/>
      <c r="M71" s="719"/>
      <c r="N71" s="721"/>
      <c r="O71" s="719"/>
      <c r="P71" s="719"/>
      <c r="Q71" s="720"/>
      <c r="R71" s="720"/>
    </row>
    <row r="73" spans="1:22" s="134" customFormat="1" ht="54" x14ac:dyDescent="0.35">
      <c r="A73" s="135" t="s">
        <v>279</v>
      </c>
      <c r="B73" s="135" t="s">
        <v>280</v>
      </c>
      <c r="C73" s="135" t="s">
        <v>281</v>
      </c>
      <c r="D73" s="135" t="s">
        <v>282</v>
      </c>
      <c r="E73" s="135" t="s">
        <v>283</v>
      </c>
      <c r="F73" s="136" t="s">
        <v>284</v>
      </c>
      <c r="G73" s="136" t="s">
        <v>285</v>
      </c>
      <c r="H73" s="136" t="s">
        <v>286</v>
      </c>
      <c r="I73" s="136" t="s">
        <v>287</v>
      </c>
      <c r="J73" s="708" t="s">
        <v>288</v>
      </c>
      <c r="K73" s="136" t="s">
        <v>289</v>
      </c>
      <c r="L73" s="136" t="s">
        <v>290</v>
      </c>
      <c r="M73" s="136" t="s">
        <v>291</v>
      </c>
      <c r="N73" s="136" t="s">
        <v>292</v>
      </c>
      <c r="O73" s="136" t="s">
        <v>293</v>
      </c>
      <c r="P73" s="136" t="s">
        <v>294</v>
      </c>
      <c r="Q73" s="136" t="s">
        <v>295</v>
      </c>
      <c r="R73" s="136" t="s">
        <v>296</v>
      </c>
    </row>
    <row r="74" spans="1:22" x14ac:dyDescent="0.4">
      <c r="A74" s="137">
        <v>1</v>
      </c>
      <c r="B74" s="137">
        <v>2</v>
      </c>
      <c r="C74" s="137">
        <v>3</v>
      </c>
      <c r="D74" s="137">
        <v>4</v>
      </c>
      <c r="E74" s="137">
        <v>5</v>
      </c>
      <c r="F74" s="137">
        <v>6</v>
      </c>
      <c r="G74" s="137">
        <v>7</v>
      </c>
      <c r="H74" s="137">
        <v>8</v>
      </c>
      <c r="I74" s="137">
        <v>9</v>
      </c>
      <c r="J74" s="709">
        <v>10</v>
      </c>
      <c r="K74" s="137">
        <v>11</v>
      </c>
      <c r="L74" s="137">
        <v>12</v>
      </c>
      <c r="M74" s="137">
        <v>13</v>
      </c>
      <c r="N74" s="137">
        <v>14</v>
      </c>
      <c r="O74" s="137">
        <v>15</v>
      </c>
      <c r="P74" s="137">
        <v>16</v>
      </c>
      <c r="Q74" s="137">
        <v>17</v>
      </c>
      <c r="R74" s="137">
        <v>18</v>
      </c>
    </row>
    <row r="75" spans="1:22" x14ac:dyDescent="0.4">
      <c r="A75" s="111"/>
      <c r="B75" s="504" t="s">
        <v>272</v>
      </c>
      <c r="C75" s="109"/>
      <c r="D75" s="109"/>
      <c r="E75" s="109"/>
      <c r="F75" s="110"/>
      <c r="G75" s="110"/>
      <c r="H75" s="110"/>
      <c r="I75" s="110"/>
      <c r="J75" s="714"/>
      <c r="K75" s="110"/>
      <c r="L75" s="110"/>
      <c r="M75" s="110"/>
      <c r="N75" s="110"/>
      <c r="O75" s="110"/>
      <c r="P75" s="110"/>
      <c r="Q75" s="111"/>
      <c r="R75" s="111"/>
    </row>
    <row r="76" spans="1:22" ht="25.5" x14ac:dyDescent="0.4">
      <c r="A76" s="114"/>
      <c r="B76" s="689" t="s">
        <v>1213</v>
      </c>
      <c r="C76" s="112"/>
      <c r="D76" s="112"/>
      <c r="E76" s="112"/>
      <c r="F76" s="112"/>
      <c r="G76" s="113"/>
      <c r="H76" s="113"/>
      <c r="I76" s="113"/>
      <c r="J76" s="715">
        <f>+'F2.1'!Q133</f>
        <v>22.286323500000002</v>
      </c>
      <c r="K76" s="113"/>
      <c r="L76" s="113"/>
      <c r="M76" s="753">
        <f>+N76/J76*10</f>
        <v>4.3283217707487731</v>
      </c>
      <c r="N76" s="706">
        <v>9.6462379195000008</v>
      </c>
      <c r="O76" s="113"/>
      <c r="P76" s="113"/>
      <c r="Q76" s="439">
        <f t="shared" ref="Q76:Q82" si="2">+N76+L76</f>
        <v>9.6462379195000008</v>
      </c>
      <c r="R76" s="439">
        <f>+Q76*10/J76</f>
        <v>4.3283217707487731</v>
      </c>
      <c r="U76" s="661"/>
      <c r="V76" s="1508"/>
    </row>
    <row r="77" spans="1:22" ht="27.75" x14ac:dyDescent="0.4">
      <c r="A77" s="113"/>
      <c r="B77" s="61" t="s">
        <v>1230</v>
      </c>
      <c r="C77" s="112"/>
      <c r="D77" s="112"/>
      <c r="E77" s="112"/>
      <c r="F77" s="112"/>
      <c r="G77" s="113"/>
      <c r="H77" s="113"/>
      <c r="I77" s="113"/>
      <c r="J77" s="715">
        <f>+'F2.1'!Q134</f>
        <v>2.9338129199999998</v>
      </c>
      <c r="K77" s="113"/>
      <c r="L77" s="113"/>
      <c r="M77" s="753">
        <f>+N77/J77*10</f>
        <v>5.0149843910292695</v>
      </c>
      <c r="N77" s="753">
        <v>1.4713026</v>
      </c>
      <c r="O77" s="113"/>
      <c r="P77" s="113"/>
      <c r="Q77" s="439">
        <f t="shared" si="2"/>
        <v>1.4713026</v>
      </c>
      <c r="R77" s="439">
        <f>+Q77*10/J77</f>
        <v>5.0149843910292686</v>
      </c>
    </row>
    <row r="78" spans="1:22" x14ac:dyDescent="0.4">
      <c r="A78" s="113"/>
      <c r="B78" s="703" t="s">
        <v>1212</v>
      </c>
      <c r="C78" s="112"/>
      <c r="D78" s="112"/>
      <c r="E78" s="112"/>
      <c r="F78" s="112"/>
      <c r="G78" s="113"/>
      <c r="H78" s="113"/>
      <c r="I78" s="113"/>
      <c r="J78" s="715">
        <f>+'F2.1'!Q135</f>
        <v>0.35514899999999971</v>
      </c>
      <c r="K78" s="113"/>
      <c r="L78" s="113"/>
      <c r="M78" s="753">
        <f>+N78/J78*10</f>
        <v>-0.94760020442129334</v>
      </c>
      <c r="N78" s="753">
        <v>-3.3653926500001763E-2</v>
      </c>
      <c r="O78" s="113"/>
      <c r="P78" s="113"/>
      <c r="Q78" s="439">
        <f t="shared" si="2"/>
        <v>-3.3653926500001763E-2</v>
      </c>
      <c r="R78" s="439">
        <f>+Q78*10/J78</f>
        <v>-0.94760020442129334</v>
      </c>
    </row>
    <row r="79" spans="1:22" x14ac:dyDescent="0.4">
      <c r="A79" s="113"/>
      <c r="B79" s="494" t="s">
        <v>1192</v>
      </c>
      <c r="C79" s="112"/>
      <c r="D79" s="112"/>
      <c r="E79" s="112"/>
      <c r="F79" s="112"/>
      <c r="G79" s="113"/>
      <c r="H79" s="113"/>
      <c r="I79" s="113"/>
      <c r="J79" s="715">
        <f>+'F2.1'!Q136</f>
        <v>1.0005956003997398</v>
      </c>
      <c r="K79" s="113"/>
      <c r="L79" s="113"/>
      <c r="M79" s="753">
        <f>+N79/J79*10</f>
        <v>6.2321921038916663</v>
      </c>
      <c r="N79" s="706">
        <v>0.62359039999999999</v>
      </c>
      <c r="O79" s="113"/>
      <c r="P79" s="113"/>
      <c r="Q79" s="439">
        <f t="shared" si="2"/>
        <v>0.62359039999999999</v>
      </c>
      <c r="R79" s="439">
        <f>+Q79*10/J79</f>
        <v>6.2321921038916663</v>
      </c>
    </row>
    <row r="80" spans="1:22" x14ac:dyDescent="0.4">
      <c r="A80" s="113"/>
      <c r="B80" s="494" t="s">
        <v>1210</v>
      </c>
      <c r="C80" s="112"/>
      <c r="D80" s="112"/>
      <c r="E80" s="112"/>
      <c r="F80" s="112"/>
      <c r="G80" s="113"/>
      <c r="H80" s="113"/>
      <c r="I80" s="113"/>
      <c r="J80" s="715">
        <f>+'F2.1'!Q118</f>
        <v>0.21975111999999999</v>
      </c>
      <c r="K80" s="113"/>
      <c r="L80" s="113"/>
      <c r="M80" s="753">
        <f>+N80/J80*10</f>
        <v>4.2650158051526654</v>
      </c>
      <c r="N80" s="706">
        <v>9.3724199999999994E-2</v>
      </c>
      <c r="O80" s="113"/>
      <c r="P80" s="113"/>
      <c r="Q80" s="439">
        <f t="shared" si="2"/>
        <v>9.3724199999999994E-2</v>
      </c>
      <c r="R80" s="439">
        <f>+Q80*10/J80</f>
        <v>4.2650158051526654</v>
      </c>
    </row>
    <row r="81" spans="1:21" x14ac:dyDescent="0.4">
      <c r="A81" s="113"/>
      <c r="B81" s="649" t="s">
        <v>1193</v>
      </c>
      <c r="C81" s="112"/>
      <c r="D81" s="112"/>
      <c r="E81" s="112"/>
      <c r="F81" s="112"/>
      <c r="G81" s="113"/>
      <c r="H81" s="113"/>
      <c r="I81" s="113"/>
      <c r="J81" s="715"/>
      <c r="K81" s="113"/>
      <c r="L81" s="115"/>
      <c r="M81" s="115"/>
      <c r="N81" s="1666">
        <f>(1210821.6+11870.8)/10^7</f>
        <v>0.12226924000000002</v>
      </c>
      <c r="O81" s="115"/>
      <c r="P81" s="115"/>
      <c r="Q81" s="439">
        <f t="shared" si="2"/>
        <v>0.12226924000000002</v>
      </c>
      <c r="R81" s="439"/>
    </row>
    <row r="82" spans="1:21" x14ac:dyDescent="0.4">
      <c r="A82" s="113"/>
      <c r="B82" s="649" t="s">
        <v>1194</v>
      </c>
      <c r="C82" s="111"/>
      <c r="D82" s="111"/>
      <c r="E82" s="111"/>
      <c r="F82" s="111"/>
      <c r="G82" s="113"/>
      <c r="H82" s="116"/>
      <c r="I82" s="116"/>
      <c r="J82" s="716"/>
      <c r="K82" s="116"/>
      <c r="L82" s="116"/>
      <c r="M82" s="116"/>
      <c r="N82" s="116"/>
      <c r="O82" s="116"/>
      <c r="P82" s="116"/>
      <c r="Q82" s="439">
        <f t="shared" si="2"/>
        <v>0</v>
      </c>
      <c r="R82" s="439"/>
    </row>
    <row r="83" spans="1:21" x14ac:dyDescent="0.4">
      <c r="A83" s="113"/>
      <c r="B83" s="652" t="s">
        <v>1195</v>
      </c>
      <c r="C83" s="111"/>
      <c r="D83" s="111"/>
      <c r="E83" s="111"/>
      <c r="F83" s="111"/>
      <c r="G83" s="113"/>
      <c r="H83" s="116"/>
      <c r="I83" s="116"/>
      <c r="J83" s="716"/>
      <c r="K83" s="116"/>
      <c r="L83" s="116"/>
      <c r="M83" s="116"/>
      <c r="N83" s="116"/>
      <c r="O83" s="116"/>
      <c r="P83" s="116"/>
      <c r="Q83" s="439"/>
      <c r="R83" s="439"/>
    </row>
    <row r="84" spans="1:21" x14ac:dyDescent="0.4">
      <c r="A84" s="113"/>
      <c r="B84" s="139"/>
      <c r="C84" s="111"/>
      <c r="D84" s="111"/>
      <c r="E84" s="111"/>
      <c r="F84" s="111"/>
      <c r="G84" s="113"/>
      <c r="H84" s="116"/>
      <c r="I84" s="116"/>
      <c r="J84" s="716"/>
      <c r="K84" s="116"/>
      <c r="L84" s="116"/>
      <c r="M84" s="116"/>
      <c r="N84" s="116"/>
      <c r="O84" s="116"/>
      <c r="P84" s="116"/>
      <c r="Q84" s="439">
        <f>(H157+I155)*M84/10</f>
        <v>0</v>
      </c>
      <c r="R84" s="439"/>
    </row>
    <row r="85" spans="1:21" ht="15.4" x14ac:dyDescent="0.4">
      <c r="A85" s="113"/>
      <c r="B85" s="132" t="s">
        <v>164</v>
      </c>
      <c r="C85" s="132"/>
      <c r="D85" s="132"/>
      <c r="E85" s="132"/>
      <c r="F85" s="132"/>
      <c r="G85" s="133"/>
      <c r="H85" s="133"/>
      <c r="I85" s="133"/>
      <c r="J85" s="442">
        <f>SUM(J75:J84)</f>
        <v>26.795632140399746</v>
      </c>
      <c r="K85" s="684"/>
      <c r="L85" s="655">
        <f>SUM(L75:L84)</f>
        <v>0</v>
      </c>
      <c r="M85" s="752">
        <f>+N85/J85*10</f>
        <v>4.4497813563513571</v>
      </c>
      <c r="N85" s="655">
        <f>SUM(N75:N84)</f>
        <v>11.923470432999999</v>
      </c>
      <c r="O85" s="654"/>
      <c r="P85" s="654"/>
      <c r="Q85" s="655">
        <f>SUM(Q75:Q84)</f>
        <v>11.923470432999999</v>
      </c>
      <c r="R85" s="442">
        <f>+Q85/J85*10</f>
        <v>4.4497813563513571</v>
      </c>
    </row>
    <row r="86" spans="1:21" x14ac:dyDescent="0.4">
      <c r="J86" s="561">
        <f>+J85-J80-'F1.4'!H34</f>
        <v>0</v>
      </c>
      <c r="N86" s="560"/>
    </row>
    <row r="87" spans="1:21" x14ac:dyDescent="0.4">
      <c r="B87" s="117" t="s">
        <v>300</v>
      </c>
      <c r="C87" s="117"/>
    </row>
    <row r="89" spans="1:21" s="134" customFormat="1" ht="54" x14ac:dyDescent="0.35">
      <c r="A89" s="135" t="s">
        <v>279</v>
      </c>
      <c r="B89" s="135" t="s">
        <v>280</v>
      </c>
      <c r="C89" s="135" t="s">
        <v>281</v>
      </c>
      <c r="D89" s="135" t="s">
        <v>282</v>
      </c>
      <c r="E89" s="135" t="s">
        <v>283</v>
      </c>
      <c r="F89" s="136" t="s">
        <v>284</v>
      </c>
      <c r="G89" s="136" t="s">
        <v>285</v>
      </c>
      <c r="H89" s="136" t="s">
        <v>286</v>
      </c>
      <c r="I89" s="136" t="s">
        <v>287</v>
      </c>
      <c r="J89" s="708" t="s">
        <v>288</v>
      </c>
      <c r="K89" s="136" t="s">
        <v>289</v>
      </c>
      <c r="L89" s="136" t="s">
        <v>290</v>
      </c>
      <c r="M89" s="136" t="s">
        <v>291</v>
      </c>
      <c r="N89" s="136" t="s">
        <v>292</v>
      </c>
      <c r="O89" s="136" t="s">
        <v>293</v>
      </c>
      <c r="P89" s="136" t="s">
        <v>294</v>
      </c>
      <c r="Q89" s="136" t="s">
        <v>295</v>
      </c>
      <c r="R89" s="136" t="s">
        <v>296</v>
      </c>
    </row>
    <row r="90" spans="1:21" x14ac:dyDescent="0.4">
      <c r="A90" s="137">
        <v>1</v>
      </c>
      <c r="B90" s="137">
        <v>2</v>
      </c>
      <c r="C90" s="137">
        <v>3</v>
      </c>
      <c r="D90" s="137">
        <v>4</v>
      </c>
      <c r="E90" s="137">
        <v>5</v>
      </c>
      <c r="F90" s="137">
        <v>6</v>
      </c>
      <c r="G90" s="137">
        <v>7</v>
      </c>
      <c r="H90" s="137">
        <v>8</v>
      </c>
      <c r="I90" s="137">
        <v>9</v>
      </c>
      <c r="J90" s="709">
        <v>10</v>
      </c>
      <c r="K90" s="137">
        <v>11</v>
      </c>
      <c r="L90" s="137">
        <v>12</v>
      </c>
      <c r="M90" s="137">
        <v>13</v>
      </c>
      <c r="N90" s="137">
        <v>14</v>
      </c>
      <c r="O90" s="137">
        <v>15</v>
      </c>
      <c r="P90" s="137">
        <v>16</v>
      </c>
      <c r="Q90" s="137">
        <v>17</v>
      </c>
      <c r="R90" s="137">
        <v>18</v>
      </c>
    </row>
    <row r="91" spans="1:21" x14ac:dyDescent="0.4">
      <c r="A91" s="111"/>
      <c r="B91" s="504" t="s">
        <v>272</v>
      </c>
      <c r="C91" s="109"/>
      <c r="D91" s="109"/>
      <c r="E91" s="109"/>
      <c r="F91" s="110"/>
      <c r="G91" s="110"/>
      <c r="H91" s="110"/>
      <c r="I91" s="110"/>
      <c r="J91" s="714"/>
      <c r="K91" s="110"/>
      <c r="L91" s="110"/>
      <c r="M91" s="110"/>
      <c r="N91" s="110"/>
      <c r="O91" s="110"/>
      <c r="P91" s="110"/>
      <c r="Q91" s="111"/>
      <c r="R91" s="111"/>
    </row>
    <row r="92" spans="1:21" ht="25.5" x14ac:dyDescent="0.4">
      <c r="A92" s="114"/>
      <c r="B92" s="689" t="s">
        <v>1213</v>
      </c>
      <c r="C92" s="112"/>
      <c r="D92" s="112"/>
      <c r="E92" s="112"/>
      <c r="F92" s="112"/>
      <c r="G92" s="113"/>
      <c r="H92" s="113"/>
      <c r="I92" s="113"/>
      <c r="J92" s="715">
        <f>+'F2.1'!Q160</f>
        <v>23.556849999999997</v>
      </c>
      <c r="K92" s="113"/>
      <c r="L92" s="113"/>
      <c r="M92" s="753">
        <f>+N92/J92*10</f>
        <v>5.2178019132439202</v>
      </c>
      <c r="N92" s="706">
        <v>12.291497700000003</v>
      </c>
      <c r="O92" s="113"/>
      <c r="P92" s="113"/>
      <c r="Q92" s="439">
        <f t="shared" ref="Q92:Q97" si="3">+N92+L92</f>
        <v>12.291497700000003</v>
      </c>
      <c r="R92" s="439">
        <f>+Q92*10/J92</f>
        <v>5.2178019132439202</v>
      </c>
      <c r="T92" s="661"/>
      <c r="U92" s="1508"/>
    </row>
    <row r="93" spans="1:21" ht="27.75" x14ac:dyDescent="0.4">
      <c r="A93" s="113"/>
      <c r="B93" s="61" t="s">
        <v>1230</v>
      </c>
      <c r="C93" s="112"/>
      <c r="D93" s="112"/>
      <c r="E93" s="112"/>
      <c r="F93" s="112"/>
      <c r="G93" s="113"/>
      <c r="H93" s="113"/>
      <c r="I93" s="113"/>
      <c r="J93" s="715">
        <f>+'F2.1'!Q161</f>
        <v>16.811338710000001</v>
      </c>
      <c r="K93" s="113"/>
      <c r="L93" s="113"/>
      <c r="M93" s="753">
        <f>+N93/J93*10</f>
        <v>4.987772743530666</v>
      </c>
      <c r="N93" s="753">
        <v>8.3851136999999998</v>
      </c>
      <c r="O93" s="113"/>
      <c r="P93" s="113"/>
      <c r="Q93" s="439">
        <f t="shared" si="3"/>
        <v>8.3851136999999998</v>
      </c>
      <c r="R93" s="439">
        <f>+Q93*10/J93</f>
        <v>4.987772743530666</v>
      </c>
    </row>
    <row r="94" spans="1:21" x14ac:dyDescent="0.4">
      <c r="A94" s="113"/>
      <c r="B94" s="703" t="s">
        <v>1212</v>
      </c>
      <c r="C94" s="112"/>
      <c r="D94" s="112"/>
      <c r="E94" s="112"/>
      <c r="F94" s="112"/>
      <c r="G94" s="113"/>
      <c r="H94" s="113"/>
      <c r="I94" s="113"/>
      <c r="J94" s="715">
        <f>+'F2.1'!Q162</f>
        <v>0.14531099999999991</v>
      </c>
      <c r="K94" s="113"/>
      <c r="L94" s="113"/>
      <c r="M94" s="753">
        <f>+N94/J94*10</f>
        <v>-1.2378786877801604</v>
      </c>
      <c r="N94" s="753">
        <v>-1.7987739000002279E-2</v>
      </c>
      <c r="O94" s="113"/>
      <c r="P94" s="113"/>
      <c r="Q94" s="439">
        <f t="shared" si="3"/>
        <v>-1.7987739000002279E-2</v>
      </c>
      <c r="R94" s="439">
        <f>+Q94*10/J94</f>
        <v>-1.2378786877801604</v>
      </c>
    </row>
    <row r="95" spans="1:21" x14ac:dyDescent="0.4">
      <c r="A95" s="113"/>
      <c r="B95" s="494" t="s">
        <v>1192</v>
      </c>
      <c r="C95" s="112"/>
      <c r="D95" s="112"/>
      <c r="E95" s="112"/>
      <c r="F95" s="112"/>
      <c r="G95" s="113"/>
      <c r="H95" s="113"/>
      <c r="I95" s="113"/>
      <c r="J95" s="715">
        <f>+'F2.1'!Q163</f>
        <v>0.27130258378730554</v>
      </c>
      <c r="K95" s="113"/>
      <c r="L95" s="113"/>
      <c r="M95" s="1358">
        <f>+N95/J95*10</f>
        <v>15.636625869091699</v>
      </c>
      <c r="N95" s="706">
        <v>0.42422569999999998</v>
      </c>
      <c r="O95" s="113"/>
      <c r="P95" s="113"/>
      <c r="Q95" s="439">
        <f t="shared" si="3"/>
        <v>0.42422569999999998</v>
      </c>
      <c r="R95" s="439">
        <f>+Q95*10/J95</f>
        <v>15.636625869091697</v>
      </c>
    </row>
    <row r="96" spans="1:21" x14ac:dyDescent="0.4">
      <c r="A96" s="113"/>
      <c r="B96" s="494" t="s">
        <v>1210</v>
      </c>
      <c r="C96" s="112"/>
      <c r="D96" s="112"/>
      <c r="E96" s="112"/>
      <c r="F96" s="112"/>
      <c r="G96" s="113"/>
      <c r="H96" s="113"/>
      <c r="I96" s="113"/>
      <c r="J96" s="715">
        <f>+'F2.1'!Q145</f>
        <v>0.26306609999999997</v>
      </c>
      <c r="K96" s="113"/>
      <c r="L96" s="113"/>
      <c r="M96" s="753">
        <f>+N96/J96*10</f>
        <v>5.3599988748075109</v>
      </c>
      <c r="N96" s="706">
        <v>0.1410034</v>
      </c>
      <c r="O96" s="113"/>
      <c r="P96" s="113"/>
      <c r="Q96" s="439">
        <f t="shared" si="3"/>
        <v>0.1410034</v>
      </c>
      <c r="R96" s="439">
        <f>+Q96*10/J96</f>
        <v>5.3599988748075109</v>
      </c>
    </row>
    <row r="97" spans="1:18" x14ac:dyDescent="0.4">
      <c r="A97" s="113"/>
      <c r="B97" s="649" t="s">
        <v>1193</v>
      </c>
      <c r="C97" s="112"/>
      <c r="D97" s="112"/>
      <c r="E97" s="112"/>
      <c r="F97" s="112"/>
      <c r="G97" s="113"/>
      <c r="H97" s="113"/>
      <c r="I97" s="113"/>
      <c r="J97" s="715"/>
      <c r="K97" s="113"/>
      <c r="L97" s="115"/>
      <c r="M97" s="115"/>
      <c r="N97" s="115"/>
      <c r="O97" s="115"/>
      <c r="P97" s="115"/>
      <c r="Q97" s="439">
        <f t="shared" si="3"/>
        <v>0</v>
      </c>
      <c r="R97" s="439"/>
    </row>
    <row r="98" spans="1:18" x14ac:dyDescent="0.4">
      <c r="A98" s="113"/>
      <c r="B98" s="649" t="s">
        <v>1194</v>
      </c>
      <c r="C98" s="111"/>
      <c r="D98" s="111"/>
      <c r="E98" s="111"/>
      <c r="F98" s="111"/>
      <c r="G98" s="113"/>
      <c r="H98" s="116"/>
      <c r="I98" s="116"/>
      <c r="J98" s="716"/>
      <c r="K98" s="116"/>
      <c r="L98" s="116"/>
      <c r="M98" s="116"/>
      <c r="N98" s="116"/>
      <c r="O98" s="116"/>
      <c r="P98" s="116"/>
      <c r="Q98" s="439">
        <f>+N98+L98</f>
        <v>0</v>
      </c>
      <c r="R98" s="439"/>
    </row>
    <row r="99" spans="1:18" x14ac:dyDescent="0.4">
      <c r="A99" s="113"/>
      <c r="B99" s="652" t="s">
        <v>1195</v>
      </c>
      <c r="C99" s="111"/>
      <c r="D99" s="111"/>
      <c r="E99" s="111"/>
      <c r="F99" s="111"/>
      <c r="G99" s="113"/>
      <c r="H99" s="116"/>
      <c r="I99" s="116"/>
      <c r="J99" s="716"/>
      <c r="K99" s="116"/>
      <c r="L99" s="116"/>
      <c r="M99" s="116"/>
      <c r="N99" s="116"/>
      <c r="O99" s="116"/>
      <c r="P99" s="116"/>
      <c r="Q99" s="439"/>
      <c r="R99" s="439"/>
    </row>
    <row r="100" spans="1:18" x14ac:dyDescent="0.4">
      <c r="A100" s="113"/>
      <c r="B100" s="139"/>
      <c r="C100" s="111"/>
      <c r="D100" s="111"/>
      <c r="E100" s="111"/>
      <c r="F100" s="111"/>
      <c r="G100" s="113"/>
      <c r="H100" s="116"/>
      <c r="I100" s="116"/>
      <c r="J100" s="716"/>
      <c r="K100" s="116"/>
      <c r="L100" s="116"/>
      <c r="M100" s="116"/>
      <c r="N100" s="116"/>
      <c r="O100" s="116"/>
      <c r="P100" s="116"/>
      <c r="Q100" s="439">
        <f>(H170+I168)*M100/10</f>
        <v>0</v>
      </c>
      <c r="R100" s="439"/>
    </row>
    <row r="101" spans="1:18" ht="15.4" x14ac:dyDescent="0.4">
      <c r="A101" s="113"/>
      <c r="B101" s="132" t="s">
        <v>164</v>
      </c>
      <c r="C101" s="132"/>
      <c r="D101" s="132"/>
      <c r="E101" s="132"/>
      <c r="F101" s="132"/>
      <c r="G101" s="133"/>
      <c r="H101" s="133"/>
      <c r="I101" s="133"/>
      <c r="J101" s="442">
        <f>SUM(J91:J100)</f>
        <v>41.047868393787304</v>
      </c>
      <c r="K101" s="684"/>
      <c r="L101" s="655">
        <f>SUM(L91:L100)</f>
        <v>0</v>
      </c>
      <c r="M101" s="752">
        <f>+N101/J101*10</f>
        <v>5.1705127675307692</v>
      </c>
      <c r="N101" s="655">
        <f>SUM(N91:N100)</f>
        <v>21.223852761</v>
      </c>
      <c r="O101" s="654"/>
      <c r="P101" s="654"/>
      <c r="Q101" s="655">
        <f>SUM(Q91:Q100)</f>
        <v>21.223852761</v>
      </c>
      <c r="R101" s="442">
        <f>+Q101/J101*10</f>
        <v>5.1705127675307692</v>
      </c>
    </row>
    <row r="102" spans="1:18" ht="15.4" x14ac:dyDescent="0.4">
      <c r="A102" s="10" t="s">
        <v>148</v>
      </c>
      <c r="B102" s="140"/>
      <c r="C102" s="140"/>
      <c r="D102" s="140"/>
      <c r="E102" s="140"/>
      <c r="F102" s="140"/>
      <c r="G102" s="141"/>
      <c r="H102" s="141"/>
      <c r="I102" s="141"/>
      <c r="J102" s="717">
        <f>+J101-J96-'F1.4'!I34</f>
        <v>0</v>
      </c>
      <c r="K102" s="141"/>
      <c r="L102" s="141"/>
      <c r="M102" s="141"/>
      <c r="N102" s="141"/>
      <c r="O102" s="141"/>
      <c r="P102" s="141"/>
      <c r="Q102" s="141"/>
      <c r="R102" s="45"/>
    </row>
    <row r="103" spans="1:18" ht="15.4" x14ac:dyDescent="0.4">
      <c r="A103" s="45"/>
      <c r="B103" s="140"/>
      <c r="C103" s="140"/>
      <c r="D103" s="140"/>
      <c r="E103" s="140"/>
      <c r="F103" s="140"/>
      <c r="G103" s="141"/>
      <c r="H103" s="141"/>
      <c r="I103" s="141"/>
      <c r="J103" s="717"/>
      <c r="K103" s="141"/>
      <c r="L103" s="141"/>
      <c r="M103" s="141"/>
      <c r="N103" s="141"/>
      <c r="O103" s="141"/>
      <c r="P103" s="141"/>
      <c r="Q103" s="141"/>
      <c r="R103" s="45"/>
    </row>
    <row r="104" spans="1:18" x14ac:dyDescent="0.4">
      <c r="B104" s="117" t="s">
        <v>1036</v>
      </c>
      <c r="C104" s="117"/>
    </row>
    <row r="106" spans="1:18" s="134" customFormat="1" ht="54" x14ac:dyDescent="0.35">
      <c r="A106" s="135" t="s">
        <v>279</v>
      </c>
      <c r="B106" s="135" t="s">
        <v>280</v>
      </c>
      <c r="C106" s="135" t="s">
        <v>281</v>
      </c>
      <c r="D106" s="135" t="s">
        <v>282</v>
      </c>
      <c r="E106" s="135" t="s">
        <v>283</v>
      </c>
      <c r="F106" s="136" t="s">
        <v>284</v>
      </c>
      <c r="G106" s="136" t="s">
        <v>285</v>
      </c>
      <c r="H106" s="136" t="s">
        <v>286</v>
      </c>
      <c r="I106" s="136" t="s">
        <v>287</v>
      </c>
      <c r="J106" s="708" t="s">
        <v>288</v>
      </c>
      <c r="K106" s="136" t="s">
        <v>289</v>
      </c>
      <c r="L106" s="136" t="s">
        <v>290</v>
      </c>
      <c r="M106" s="136" t="s">
        <v>291</v>
      </c>
      <c r="N106" s="136" t="s">
        <v>292</v>
      </c>
      <c r="O106" s="136" t="s">
        <v>293</v>
      </c>
      <c r="P106" s="136" t="s">
        <v>294</v>
      </c>
      <c r="Q106" s="136" t="s">
        <v>295</v>
      </c>
      <c r="R106" s="136" t="s">
        <v>296</v>
      </c>
    </row>
    <row r="107" spans="1:18" x14ac:dyDescent="0.4">
      <c r="A107" s="137">
        <v>1</v>
      </c>
      <c r="B107" s="137">
        <v>2</v>
      </c>
      <c r="C107" s="137">
        <v>3</v>
      </c>
      <c r="D107" s="137">
        <v>4</v>
      </c>
      <c r="E107" s="137">
        <v>5</v>
      </c>
      <c r="F107" s="137">
        <v>6</v>
      </c>
      <c r="G107" s="137">
        <v>7</v>
      </c>
      <c r="H107" s="137">
        <v>8</v>
      </c>
      <c r="I107" s="137">
        <v>9</v>
      </c>
      <c r="J107" s="709">
        <v>10</v>
      </c>
      <c r="K107" s="137">
        <v>11</v>
      </c>
      <c r="L107" s="137">
        <v>12</v>
      </c>
      <c r="M107" s="137">
        <v>13</v>
      </c>
      <c r="N107" s="137">
        <v>14</v>
      </c>
      <c r="O107" s="137">
        <v>15</v>
      </c>
      <c r="P107" s="137">
        <v>16</v>
      </c>
      <c r="Q107" s="137">
        <v>17</v>
      </c>
      <c r="R107" s="137">
        <v>18</v>
      </c>
    </row>
    <row r="108" spans="1:18" ht="25.5" x14ac:dyDescent="0.4">
      <c r="A108" s="111"/>
      <c r="B108" s="689" t="s">
        <v>1213</v>
      </c>
      <c r="C108" s="112"/>
      <c r="D108" s="112"/>
      <c r="E108" s="112"/>
      <c r="F108" s="112"/>
      <c r="G108" s="113"/>
      <c r="H108" s="113"/>
      <c r="I108" s="113"/>
      <c r="J108" s="715">
        <f>+'F2.1'!Q186</f>
        <v>6.9278449999999996</v>
      </c>
      <c r="K108" s="113"/>
      <c r="L108" s="113"/>
      <c r="M108" s="753">
        <f t="shared" ref="M108:M113" si="4">+N108/J108*10</f>
        <v>5.3565839016317485</v>
      </c>
      <c r="N108" s="706">
        <v>3.7109582999999997</v>
      </c>
      <c r="O108" s="113"/>
      <c r="P108" s="113"/>
      <c r="Q108" s="439">
        <f t="shared" ref="Q108:Q114" si="5">+N108+L108</f>
        <v>3.7109582999999997</v>
      </c>
      <c r="R108" s="439">
        <f t="shared" ref="R108:R117" si="6">+Q108*10/J108</f>
        <v>5.3565839016317485</v>
      </c>
    </row>
    <row r="109" spans="1:18" ht="27.75" x14ac:dyDescent="0.4">
      <c r="A109" s="114"/>
      <c r="B109" s="61" t="s">
        <v>1230</v>
      </c>
      <c r="C109" s="112"/>
      <c r="D109" s="112"/>
      <c r="E109" s="112"/>
      <c r="F109" s="112"/>
      <c r="G109" s="113"/>
      <c r="H109" s="113"/>
      <c r="I109" s="113"/>
      <c r="J109" s="715">
        <f>+'F2.1'!Q187</f>
        <v>17.865324000000001</v>
      </c>
      <c r="K109" s="113"/>
      <c r="L109" s="113"/>
      <c r="M109" s="753">
        <f t="shared" si="4"/>
        <v>5.0082611292132189</v>
      </c>
      <c r="N109" s="753">
        <v>8.9474207750000012</v>
      </c>
      <c r="O109" s="113"/>
      <c r="P109" s="113"/>
      <c r="Q109" s="439">
        <f t="shared" si="5"/>
        <v>8.9474207750000012</v>
      </c>
      <c r="R109" s="439">
        <f t="shared" si="6"/>
        <v>5.008261129213218</v>
      </c>
    </row>
    <row r="110" spans="1:18" x14ac:dyDescent="0.4">
      <c r="A110" s="114"/>
      <c r="B110" s="10" t="s">
        <v>1232</v>
      </c>
      <c r="C110" s="112"/>
      <c r="D110" s="112"/>
      <c r="E110" s="112"/>
      <c r="F110" s="112"/>
      <c r="G110" s="113"/>
      <c r="H110" s="113"/>
      <c r="I110" s="113"/>
      <c r="J110" s="715">
        <f>+'F2.1'!Q188</f>
        <v>35.8294</v>
      </c>
      <c r="K110" s="113"/>
      <c r="L110" s="113"/>
      <c r="M110" s="753">
        <f t="shared" si="4"/>
        <v>6.3555666575493861</v>
      </c>
      <c r="N110" s="753">
        <v>22.771614</v>
      </c>
      <c r="O110" s="113"/>
      <c r="P110" s="113"/>
      <c r="Q110" s="439">
        <f t="shared" si="5"/>
        <v>22.771614</v>
      </c>
      <c r="R110" s="439">
        <f t="shared" si="6"/>
        <v>6.355566657549387</v>
      </c>
    </row>
    <row r="111" spans="1:18" x14ac:dyDescent="0.4">
      <c r="A111" s="113"/>
      <c r="B111" s="703" t="s">
        <v>1212</v>
      </c>
      <c r="C111" s="112"/>
      <c r="D111" s="112"/>
      <c r="E111" s="112"/>
      <c r="F111" s="112"/>
      <c r="G111" s="113"/>
      <c r="H111" s="113"/>
      <c r="I111" s="113"/>
      <c r="J111" s="715">
        <f>+'F2.1'!Q189</f>
        <v>22.334238000000003</v>
      </c>
      <c r="K111" s="113"/>
      <c r="L111" s="113"/>
      <c r="M111" s="753">
        <f t="shared" si="4"/>
        <v>5.6028195875767057</v>
      </c>
      <c r="N111" s="753">
        <v>12.513470614000001</v>
      </c>
      <c r="O111" s="113"/>
      <c r="P111" s="113"/>
      <c r="Q111" s="439">
        <f t="shared" si="5"/>
        <v>12.513470614000001</v>
      </c>
      <c r="R111" s="439">
        <f t="shared" si="6"/>
        <v>5.6028195875767057</v>
      </c>
    </row>
    <row r="112" spans="1:18" x14ac:dyDescent="0.4">
      <c r="A112" s="113"/>
      <c r="B112" s="494" t="s">
        <v>1192</v>
      </c>
      <c r="C112" s="112"/>
      <c r="D112" s="112"/>
      <c r="E112" s="112"/>
      <c r="F112" s="112"/>
      <c r="G112" s="113"/>
      <c r="H112" s="113"/>
      <c r="I112" s="113"/>
      <c r="J112" s="715">
        <f>+'F2.1'!Q190</f>
        <v>0.33779175328431421</v>
      </c>
      <c r="K112" s="113"/>
      <c r="L112" s="113"/>
      <c r="M112" s="753">
        <f t="shared" si="4"/>
        <v>7.349406774624418</v>
      </c>
      <c r="N112" s="706">
        <v>0.24825689999999992</v>
      </c>
      <c r="O112" s="113"/>
      <c r="P112" s="113"/>
      <c r="Q112" s="439">
        <f t="shared" si="5"/>
        <v>0.24825689999999992</v>
      </c>
      <c r="R112" s="439">
        <f t="shared" si="6"/>
        <v>7.3494067746244198</v>
      </c>
    </row>
    <row r="113" spans="1:18" x14ac:dyDescent="0.4">
      <c r="A113" s="113"/>
      <c r="B113" s="494" t="s">
        <v>1210</v>
      </c>
      <c r="C113" s="112"/>
      <c r="D113" s="112"/>
      <c r="E113" s="112"/>
      <c r="F113" s="112"/>
      <c r="G113" s="113"/>
      <c r="H113" s="113"/>
      <c r="I113" s="113"/>
      <c r="J113" s="715">
        <f>+'F2.1'!Q171</f>
        <v>0.12415811999999998</v>
      </c>
      <c r="K113" s="113"/>
      <c r="L113" s="113"/>
      <c r="M113" s="753">
        <f t="shared" si="4"/>
        <v>5.4600000000000009</v>
      </c>
      <c r="N113" s="706">
        <v>6.7790333519999996E-2</v>
      </c>
      <c r="O113" s="113"/>
      <c r="P113" s="113"/>
      <c r="Q113" s="439">
        <f t="shared" si="5"/>
        <v>6.7790333519999996E-2</v>
      </c>
      <c r="R113" s="439">
        <f t="shared" si="6"/>
        <v>5.46</v>
      </c>
    </row>
    <row r="114" spans="1:18" x14ac:dyDescent="0.4">
      <c r="A114" s="113"/>
      <c r="B114" s="649" t="s">
        <v>1193</v>
      </c>
      <c r="C114" s="112"/>
      <c r="D114" s="112"/>
      <c r="E114" s="112"/>
      <c r="F114" s="112"/>
      <c r="G114" s="113"/>
      <c r="H114" s="113"/>
      <c r="I114" s="113"/>
      <c r="J114" s="715"/>
      <c r="K114" s="113"/>
      <c r="L114" s="115"/>
      <c r="M114" s="115"/>
      <c r="N114" s="115"/>
      <c r="O114" s="115"/>
      <c r="P114" s="115"/>
      <c r="Q114" s="439">
        <f t="shared" si="5"/>
        <v>0</v>
      </c>
      <c r="R114" s="439" t="e">
        <f t="shared" si="6"/>
        <v>#DIV/0!</v>
      </c>
    </row>
    <row r="115" spans="1:18" x14ac:dyDescent="0.4">
      <c r="A115" s="113"/>
      <c r="B115" s="649" t="s">
        <v>1194</v>
      </c>
      <c r="C115" s="111"/>
      <c r="D115" s="111"/>
      <c r="E115" s="111"/>
      <c r="F115" s="111"/>
      <c r="G115" s="113"/>
      <c r="H115" s="116"/>
      <c r="I115" s="116"/>
      <c r="J115" s="716"/>
      <c r="K115" s="116"/>
      <c r="L115" s="116"/>
      <c r="M115" s="116"/>
      <c r="N115" s="116"/>
      <c r="O115" s="116"/>
      <c r="P115" s="116"/>
      <c r="Q115" s="439">
        <f>+N115+L115</f>
        <v>0</v>
      </c>
      <c r="R115" s="439" t="e">
        <f t="shared" si="6"/>
        <v>#DIV/0!</v>
      </c>
    </row>
    <row r="116" spans="1:18" x14ac:dyDescent="0.4">
      <c r="A116" s="113"/>
      <c r="B116" s="652" t="s">
        <v>1195</v>
      </c>
      <c r="C116" s="111"/>
      <c r="D116" s="111"/>
      <c r="E116" s="111"/>
      <c r="F116" s="111"/>
      <c r="G116" s="113"/>
      <c r="H116" s="116"/>
      <c r="I116" s="116"/>
      <c r="J116" s="716"/>
      <c r="K116" s="116"/>
      <c r="L116" s="116"/>
      <c r="M116" s="116"/>
      <c r="N116" s="116"/>
      <c r="O116" s="116"/>
      <c r="P116" s="116"/>
      <c r="Q116" s="439"/>
      <c r="R116" s="439" t="e">
        <f t="shared" si="6"/>
        <v>#DIV/0!</v>
      </c>
    </row>
    <row r="117" spans="1:18" x14ac:dyDescent="0.4">
      <c r="A117" s="113"/>
      <c r="B117" s="139"/>
      <c r="C117" s="111"/>
      <c r="D117" s="111"/>
      <c r="E117" s="111"/>
      <c r="F117" s="111"/>
      <c r="G117" s="113"/>
      <c r="H117" s="116"/>
      <c r="I117" s="116"/>
      <c r="J117" s="716"/>
      <c r="K117" s="116"/>
      <c r="L117" s="116"/>
      <c r="M117" s="116"/>
      <c r="N117" s="116"/>
      <c r="O117" s="116"/>
      <c r="P117" s="116"/>
      <c r="Q117" s="439"/>
      <c r="R117" s="439" t="e">
        <f t="shared" si="6"/>
        <v>#DIV/0!</v>
      </c>
    </row>
    <row r="118" spans="1:18" ht="15.4" x14ac:dyDescent="0.4">
      <c r="A118" s="113"/>
      <c r="B118" s="132" t="s">
        <v>164</v>
      </c>
      <c r="C118" s="132"/>
      <c r="D118" s="132"/>
      <c r="E118" s="132"/>
      <c r="F118" s="132"/>
      <c r="G118" s="133"/>
      <c r="H118" s="133"/>
      <c r="I118" s="133"/>
      <c r="J118" s="442">
        <f>SUM(J108:J117)</f>
        <v>83.418756873284309</v>
      </c>
      <c r="K118" s="684"/>
      <c r="L118" s="442">
        <f>SUM(L108:L117)</f>
        <v>0</v>
      </c>
      <c r="M118" s="752">
        <f>+N118/J118*10</f>
        <v>5.7852109922745196</v>
      </c>
      <c r="N118" s="442">
        <f>SUM(N108:N117)</f>
        <v>48.259510922520001</v>
      </c>
      <c r="O118" s="654"/>
      <c r="P118" s="654"/>
      <c r="Q118" s="442">
        <f>SUM(Q108:Q117)</f>
        <v>48.259510922520001</v>
      </c>
      <c r="R118" s="442">
        <f>+Q118/J118*10</f>
        <v>5.7852109922745196</v>
      </c>
    </row>
    <row r="119" spans="1:18" ht="15.4" x14ac:dyDescent="0.4">
      <c r="A119" s="45"/>
      <c r="B119" s="140"/>
      <c r="C119" s="140"/>
      <c r="D119" s="140"/>
      <c r="E119" s="140"/>
      <c r="F119" s="140"/>
      <c r="G119" s="141"/>
      <c r="H119" s="141"/>
      <c r="I119" s="141"/>
      <c r="J119" s="717">
        <f>+J118-J113-'F1.4'!J34</f>
        <v>0</v>
      </c>
      <c r="K119" s="141"/>
      <c r="L119" s="141"/>
      <c r="M119" s="141"/>
      <c r="N119" s="141"/>
      <c r="O119" s="141"/>
      <c r="P119" s="141"/>
      <c r="Q119" s="141"/>
      <c r="R119" s="45"/>
    </row>
    <row r="120" spans="1:18" x14ac:dyDescent="0.4">
      <c r="B120" s="117" t="s">
        <v>189</v>
      </c>
      <c r="C120" s="117"/>
    </row>
    <row r="122" spans="1:18" s="134" customFormat="1" ht="54" x14ac:dyDescent="0.35">
      <c r="A122" s="135" t="s">
        <v>279</v>
      </c>
      <c r="B122" s="135" t="s">
        <v>280</v>
      </c>
      <c r="C122" s="135" t="s">
        <v>281</v>
      </c>
      <c r="D122" s="135" t="s">
        <v>282</v>
      </c>
      <c r="E122" s="135" t="s">
        <v>283</v>
      </c>
      <c r="F122" s="136" t="s">
        <v>284</v>
      </c>
      <c r="G122" s="136" t="s">
        <v>285</v>
      </c>
      <c r="H122" s="136" t="s">
        <v>286</v>
      </c>
      <c r="I122" s="136" t="s">
        <v>287</v>
      </c>
      <c r="J122" s="708" t="s">
        <v>288</v>
      </c>
      <c r="K122" s="136" t="s">
        <v>289</v>
      </c>
      <c r="L122" s="136" t="s">
        <v>290</v>
      </c>
      <c r="M122" s="136" t="s">
        <v>291</v>
      </c>
      <c r="N122" s="136" t="s">
        <v>292</v>
      </c>
      <c r="O122" s="136" t="s">
        <v>293</v>
      </c>
      <c r="P122" s="136" t="s">
        <v>294</v>
      </c>
      <c r="Q122" s="136" t="s">
        <v>295</v>
      </c>
      <c r="R122" s="136" t="s">
        <v>296</v>
      </c>
    </row>
    <row r="123" spans="1:18" x14ac:dyDescent="0.4">
      <c r="A123" s="137">
        <v>1</v>
      </c>
      <c r="B123" s="137">
        <v>2</v>
      </c>
      <c r="C123" s="137">
        <v>3</v>
      </c>
      <c r="D123" s="137">
        <v>4</v>
      </c>
      <c r="E123" s="137">
        <v>5</v>
      </c>
      <c r="F123" s="137">
        <v>6</v>
      </c>
      <c r="G123" s="137">
        <v>7</v>
      </c>
      <c r="H123" s="137">
        <v>8</v>
      </c>
      <c r="I123" s="137">
        <v>9</v>
      </c>
      <c r="J123" s="709">
        <v>10</v>
      </c>
      <c r="K123" s="137">
        <v>11</v>
      </c>
      <c r="L123" s="137">
        <v>12</v>
      </c>
      <c r="M123" s="137">
        <v>13</v>
      </c>
      <c r="N123" s="137">
        <v>14</v>
      </c>
      <c r="O123" s="137">
        <v>15</v>
      </c>
      <c r="P123" s="137">
        <v>16</v>
      </c>
      <c r="Q123" s="137">
        <v>17</v>
      </c>
      <c r="R123" s="137">
        <v>18</v>
      </c>
    </row>
    <row r="124" spans="1:18" ht="25.5" x14ac:dyDescent="0.4">
      <c r="A124" s="111"/>
      <c r="B124" s="689" t="s">
        <v>1213</v>
      </c>
      <c r="C124" s="112"/>
      <c r="D124" s="112"/>
      <c r="E124" s="112"/>
      <c r="F124" s="112"/>
      <c r="G124" s="113"/>
      <c r="H124" s="113"/>
      <c r="I124" s="113"/>
      <c r="J124" s="715">
        <f>+'F2.1'!Q215</f>
        <v>8.7311999999999994</v>
      </c>
      <c r="K124" s="113"/>
      <c r="L124" s="113"/>
      <c r="M124" s="753">
        <f>+Assum!L77</f>
        <v>5.65</v>
      </c>
      <c r="N124" s="706">
        <f t="shared" ref="N124:N131" si="7">+J124*M124/10</f>
        <v>4.933128</v>
      </c>
      <c r="O124" s="113"/>
      <c r="P124" s="113"/>
      <c r="Q124" s="439">
        <f t="shared" ref="Q124:Q131" si="8">+N124+L124</f>
        <v>4.933128</v>
      </c>
      <c r="R124" s="439">
        <f t="shared" ref="R124:R135" si="9">+Q124*10/J124</f>
        <v>5.65</v>
      </c>
    </row>
    <row r="125" spans="1:18" ht="27.75" x14ac:dyDescent="0.4">
      <c r="A125" s="114"/>
      <c r="B125" s="61" t="s">
        <v>1230</v>
      </c>
      <c r="C125" s="112"/>
      <c r="D125" s="112"/>
      <c r="E125" s="112"/>
      <c r="F125" s="112"/>
      <c r="G125" s="113"/>
      <c r="H125" s="113"/>
      <c r="I125" s="113"/>
      <c r="J125" s="715">
        <f>+'F2.1'!Q212</f>
        <v>17.865324000000001</v>
      </c>
      <c r="K125" s="113"/>
      <c r="L125" s="113"/>
      <c r="M125" s="753">
        <f>+Assum!L78</f>
        <v>5.25</v>
      </c>
      <c r="N125" s="706">
        <f t="shared" si="7"/>
        <v>9.3792951000000002</v>
      </c>
      <c r="O125" s="113"/>
      <c r="P125" s="113"/>
      <c r="Q125" s="439">
        <f t="shared" si="8"/>
        <v>9.3792951000000002</v>
      </c>
      <c r="R125" s="439">
        <f t="shared" si="9"/>
        <v>5.25</v>
      </c>
    </row>
    <row r="126" spans="1:18" x14ac:dyDescent="0.4">
      <c r="A126" s="113"/>
      <c r="B126" s="10" t="s">
        <v>1232</v>
      </c>
      <c r="C126" s="112"/>
      <c r="D126" s="112"/>
      <c r="E126" s="112"/>
      <c r="F126" s="112"/>
      <c r="G126" s="113"/>
      <c r="H126" s="113"/>
      <c r="I126" s="113"/>
      <c r="J126" s="715">
        <f>+'F2.1'!Q216</f>
        <v>15.288</v>
      </c>
      <c r="K126" s="113"/>
      <c r="L126" s="113"/>
      <c r="M126" s="753">
        <f>+Assum!L75</f>
        <v>6.6</v>
      </c>
      <c r="N126" s="706">
        <f t="shared" si="7"/>
        <v>10.090079999999999</v>
      </c>
      <c r="O126" s="113"/>
      <c r="P126" s="113"/>
      <c r="Q126" s="439">
        <f t="shared" si="8"/>
        <v>10.090079999999999</v>
      </c>
      <c r="R126" s="439">
        <f t="shared" si="9"/>
        <v>6.6</v>
      </c>
    </row>
    <row r="127" spans="1:18" x14ac:dyDescent="0.4">
      <c r="A127" s="113"/>
      <c r="B127" s="19" t="s">
        <v>1575</v>
      </c>
      <c r="C127" s="112"/>
      <c r="D127" s="112"/>
      <c r="E127" s="112"/>
      <c r="F127" s="112"/>
      <c r="G127" s="113"/>
      <c r="H127" s="113"/>
      <c r="I127" s="113"/>
      <c r="J127" s="715">
        <f>+'F2.1'!Q217</f>
        <v>24.019200000000005</v>
      </c>
      <c r="K127" s="113"/>
      <c r="L127" s="113"/>
      <c r="M127" s="753">
        <f>+Assum!L79</f>
        <v>5.35</v>
      </c>
      <c r="N127" s="706">
        <f t="shared" si="7"/>
        <v>12.850272</v>
      </c>
      <c r="O127" s="113"/>
      <c r="P127" s="113"/>
      <c r="Q127" s="439">
        <f>+N127+L127</f>
        <v>12.850272</v>
      </c>
      <c r="R127" s="439">
        <f>+Q127*10/J127</f>
        <v>5.35</v>
      </c>
    </row>
    <row r="128" spans="1:18" x14ac:dyDescent="0.4">
      <c r="A128" s="113"/>
      <c r="B128" s="19" t="s">
        <v>1576</v>
      </c>
      <c r="C128" s="112"/>
      <c r="D128" s="112"/>
      <c r="E128" s="112"/>
      <c r="F128" s="112"/>
      <c r="G128" s="113"/>
      <c r="H128" s="113"/>
      <c r="I128" s="113"/>
      <c r="J128" s="715">
        <f>+'F2.1'!Q218</f>
        <v>32.054400000000001</v>
      </c>
      <c r="K128" s="113"/>
      <c r="L128" s="113"/>
      <c r="M128" s="753">
        <f>+Assum!L81</f>
        <v>5.8</v>
      </c>
      <c r="N128" s="706">
        <f t="shared" si="7"/>
        <v>18.591552</v>
      </c>
      <c r="O128" s="113"/>
      <c r="P128" s="113"/>
      <c r="Q128" s="439">
        <f>+N128+L128</f>
        <v>18.591552</v>
      </c>
      <c r="R128" s="439">
        <f>+Q128*10/J128</f>
        <v>5.8</v>
      </c>
    </row>
    <row r="129" spans="1:18" x14ac:dyDescent="0.4">
      <c r="A129" s="113"/>
      <c r="B129" s="703" t="s">
        <v>1212</v>
      </c>
      <c r="C129" s="112"/>
      <c r="D129" s="112"/>
      <c r="E129" s="112"/>
      <c r="F129" s="112"/>
      <c r="G129" s="113"/>
      <c r="H129" s="113"/>
      <c r="I129" s="113"/>
      <c r="J129" s="715">
        <f>+'F2.1'!Q219</f>
        <v>47.742828090566483</v>
      </c>
      <c r="K129" s="113"/>
      <c r="L129" s="113"/>
      <c r="M129" s="753">
        <f>+Assum!L82</f>
        <v>6</v>
      </c>
      <c r="N129" s="706">
        <f t="shared" si="7"/>
        <v>28.645696854339889</v>
      </c>
      <c r="O129" s="113"/>
      <c r="P129" s="113"/>
      <c r="Q129" s="439">
        <f t="shared" si="8"/>
        <v>28.645696854339889</v>
      </c>
      <c r="R129" s="439">
        <f t="shared" si="9"/>
        <v>6</v>
      </c>
    </row>
    <row r="130" spans="1:18" x14ac:dyDescent="0.4">
      <c r="A130" s="113"/>
      <c r="B130" s="494" t="s">
        <v>1192</v>
      </c>
      <c r="C130" s="112"/>
      <c r="D130" s="112"/>
      <c r="E130" s="112"/>
      <c r="F130" s="112"/>
      <c r="G130" s="113"/>
      <c r="H130" s="113"/>
      <c r="I130" s="113"/>
      <c r="J130" s="715">
        <f>+'F2.1'!Q207</f>
        <v>0</v>
      </c>
      <c r="K130" s="113"/>
      <c r="L130" s="113"/>
      <c r="M130" s="753"/>
      <c r="N130" s="706">
        <f t="shared" si="7"/>
        <v>0</v>
      </c>
      <c r="O130" s="113"/>
      <c r="P130" s="113"/>
      <c r="Q130" s="439">
        <f t="shared" si="8"/>
        <v>0</v>
      </c>
      <c r="R130" s="439" t="e">
        <f t="shared" si="9"/>
        <v>#DIV/0!</v>
      </c>
    </row>
    <row r="131" spans="1:18" x14ac:dyDescent="0.4">
      <c r="A131" s="113"/>
      <c r="B131" s="494" t="s">
        <v>1210</v>
      </c>
      <c r="C131" s="112"/>
      <c r="D131" s="112"/>
      <c r="E131" s="112"/>
      <c r="F131" s="112"/>
      <c r="G131" s="113"/>
      <c r="H131" s="113"/>
      <c r="I131" s="113"/>
      <c r="J131" s="715">
        <f>+'F2.1'!Q200</f>
        <v>0.12415811999999998</v>
      </c>
      <c r="K131" s="113"/>
      <c r="L131" s="113"/>
      <c r="M131" s="753">
        <f ca="1">+E210</f>
        <v>5.7680748996798128</v>
      </c>
      <c r="N131" s="706">
        <f t="shared" ca="1" si="7"/>
        <v>7.1615333556343405E-2</v>
      </c>
      <c r="O131" s="113"/>
      <c r="P131" s="113"/>
      <c r="Q131" s="439">
        <f t="shared" ca="1" si="8"/>
        <v>7.1615333556343405E-2</v>
      </c>
      <c r="R131" s="439">
        <f t="shared" ca="1" si="9"/>
        <v>5.7680748996798128</v>
      </c>
    </row>
    <row r="132" spans="1:18" x14ac:dyDescent="0.4">
      <c r="A132" s="113"/>
      <c r="B132" s="649" t="s">
        <v>1193</v>
      </c>
      <c r="C132" s="112"/>
      <c r="D132" s="112"/>
      <c r="E132" s="112"/>
      <c r="F132" s="112"/>
      <c r="G132" s="113"/>
      <c r="H132" s="113"/>
      <c r="I132" s="113"/>
      <c r="J132" s="715"/>
      <c r="K132" s="113"/>
      <c r="L132" s="115"/>
      <c r="M132" s="115"/>
      <c r="N132" s="115"/>
      <c r="O132" s="115"/>
      <c r="P132" s="115"/>
      <c r="Q132" s="439"/>
      <c r="R132" s="439" t="e">
        <f t="shared" si="9"/>
        <v>#DIV/0!</v>
      </c>
    </row>
    <row r="133" spans="1:18" x14ac:dyDescent="0.4">
      <c r="A133" s="113"/>
      <c r="B133" s="649" t="s">
        <v>1194</v>
      </c>
      <c r="C133" s="111"/>
      <c r="D133" s="111"/>
      <c r="E133" s="111"/>
      <c r="F133" s="111"/>
      <c r="G133" s="113"/>
      <c r="H133" s="116"/>
      <c r="I133" s="116"/>
      <c r="J133" s="716"/>
      <c r="K133" s="116"/>
      <c r="L133" s="116"/>
      <c r="M133" s="116"/>
      <c r="N133" s="116"/>
      <c r="O133" s="116"/>
      <c r="P133" s="116"/>
      <c r="Q133" s="439"/>
      <c r="R133" s="439" t="e">
        <f t="shared" si="9"/>
        <v>#DIV/0!</v>
      </c>
    </row>
    <row r="134" spans="1:18" x14ac:dyDescent="0.4">
      <c r="A134" s="113"/>
      <c r="B134" s="652" t="s">
        <v>1195</v>
      </c>
      <c r="C134" s="111"/>
      <c r="D134" s="111"/>
      <c r="E134" s="111"/>
      <c r="F134" s="111"/>
      <c r="G134" s="113"/>
      <c r="H134" s="116"/>
      <c r="I134" s="116"/>
      <c r="J134" s="716"/>
      <c r="K134" s="116"/>
      <c r="L134" s="116"/>
      <c r="M134" s="116"/>
      <c r="N134" s="116"/>
      <c r="O134" s="116"/>
      <c r="P134" s="116"/>
      <c r="Q134" s="439"/>
      <c r="R134" s="439" t="e">
        <f t="shared" si="9"/>
        <v>#DIV/0!</v>
      </c>
    </row>
    <row r="135" spans="1:18" x14ac:dyDescent="0.4">
      <c r="A135" s="113"/>
      <c r="B135" s="139"/>
      <c r="C135" s="111"/>
      <c r="D135" s="111"/>
      <c r="E135" s="111"/>
      <c r="F135" s="111"/>
      <c r="G135" s="113"/>
      <c r="H135" s="116"/>
      <c r="I135" s="116"/>
      <c r="J135" s="716"/>
      <c r="K135" s="116"/>
      <c r="L135" s="116"/>
      <c r="M135" s="116"/>
      <c r="N135" s="116"/>
      <c r="O135" s="116"/>
      <c r="P135" s="116"/>
      <c r="Q135" s="439"/>
      <c r="R135" s="439" t="e">
        <f t="shared" si="9"/>
        <v>#DIV/0!</v>
      </c>
    </row>
    <row r="136" spans="1:18" ht="15.4" x14ac:dyDescent="0.4">
      <c r="A136" s="113"/>
      <c r="B136" s="132" t="s">
        <v>164</v>
      </c>
      <c r="C136" s="132"/>
      <c r="D136" s="132"/>
      <c r="E136" s="132"/>
      <c r="F136" s="132"/>
      <c r="G136" s="133"/>
      <c r="H136" s="133"/>
      <c r="I136" s="133"/>
      <c r="J136" s="442">
        <f>SUM(J124:J135)</f>
        <v>145.82511021056649</v>
      </c>
      <c r="K136" s="684"/>
      <c r="L136" s="442">
        <f>SUM(L124:L135)</f>
        <v>0</v>
      </c>
      <c r="M136" s="752">
        <f ca="1">+N136/J136*10</f>
        <v>5.7988393882090739</v>
      </c>
      <c r="N136" s="442">
        <f ca="1">SUM(N124:N135)</f>
        <v>84.561639287896213</v>
      </c>
      <c r="O136" s="654"/>
      <c r="P136" s="654"/>
      <c r="Q136" s="442">
        <f ca="1">SUM(Q124:Q135)</f>
        <v>84.561639287896213</v>
      </c>
      <c r="R136" s="442">
        <f ca="1">+Q136/J136*10</f>
        <v>5.7988393882090739</v>
      </c>
    </row>
    <row r="137" spans="1:18" ht="15.4" x14ac:dyDescent="0.4">
      <c r="A137" s="45"/>
      <c r="B137" s="140"/>
      <c r="C137" s="140"/>
      <c r="D137" s="140"/>
      <c r="E137" s="140"/>
      <c r="F137" s="140"/>
      <c r="G137" s="141"/>
      <c r="H137" s="141"/>
      <c r="I137" s="141"/>
      <c r="J137" s="1510">
        <f>+'F2.1'!Q204-J136+J131</f>
        <v>-4.163336342344337E-15</v>
      </c>
      <c r="K137" s="141"/>
      <c r="L137" s="141"/>
      <c r="M137" s="141"/>
      <c r="N137" s="141"/>
      <c r="O137" s="141"/>
      <c r="P137" s="141"/>
      <c r="Q137" s="141"/>
      <c r="R137" s="45"/>
    </row>
    <row r="138" spans="1:18" x14ac:dyDescent="0.4">
      <c r="B138" s="117" t="s">
        <v>190</v>
      </c>
      <c r="C138" s="117"/>
    </row>
    <row r="140" spans="1:18" s="134" customFormat="1" ht="54" x14ac:dyDescent="0.35">
      <c r="A140" s="135" t="s">
        <v>279</v>
      </c>
      <c r="B140" s="135" t="s">
        <v>280</v>
      </c>
      <c r="C140" s="135" t="s">
        <v>281</v>
      </c>
      <c r="D140" s="135" t="s">
        <v>282</v>
      </c>
      <c r="E140" s="135" t="s">
        <v>283</v>
      </c>
      <c r="F140" s="136" t="s">
        <v>284</v>
      </c>
      <c r="G140" s="136" t="s">
        <v>285</v>
      </c>
      <c r="H140" s="136" t="s">
        <v>286</v>
      </c>
      <c r="I140" s="136" t="s">
        <v>287</v>
      </c>
      <c r="J140" s="708" t="s">
        <v>288</v>
      </c>
      <c r="K140" s="136" t="s">
        <v>289</v>
      </c>
      <c r="L140" s="136" t="s">
        <v>290</v>
      </c>
      <c r="M140" s="136" t="s">
        <v>291</v>
      </c>
      <c r="N140" s="136" t="s">
        <v>292</v>
      </c>
      <c r="O140" s="136" t="s">
        <v>293</v>
      </c>
      <c r="P140" s="136" t="s">
        <v>294</v>
      </c>
      <c r="Q140" s="136" t="s">
        <v>295</v>
      </c>
      <c r="R140" s="136" t="s">
        <v>296</v>
      </c>
    </row>
    <row r="141" spans="1:18" x14ac:dyDescent="0.4">
      <c r="A141" s="137">
        <v>1</v>
      </c>
      <c r="B141" s="137">
        <v>2</v>
      </c>
      <c r="C141" s="137">
        <v>3</v>
      </c>
      <c r="D141" s="137">
        <v>4</v>
      </c>
      <c r="E141" s="137">
        <v>5</v>
      </c>
      <c r="F141" s="137">
        <v>6</v>
      </c>
      <c r="G141" s="137">
        <v>7</v>
      </c>
      <c r="H141" s="137">
        <v>8</v>
      </c>
      <c r="I141" s="137">
        <v>9</v>
      </c>
      <c r="J141" s="709">
        <v>10</v>
      </c>
      <c r="K141" s="137">
        <v>11</v>
      </c>
      <c r="L141" s="137">
        <v>12</v>
      </c>
      <c r="M141" s="137">
        <v>13</v>
      </c>
      <c r="N141" s="137">
        <v>14</v>
      </c>
      <c r="O141" s="137">
        <v>15</v>
      </c>
      <c r="P141" s="137">
        <v>16</v>
      </c>
      <c r="Q141" s="137">
        <v>17</v>
      </c>
      <c r="R141" s="137">
        <v>18</v>
      </c>
    </row>
    <row r="142" spans="1:18" ht="25.5" x14ac:dyDescent="0.4">
      <c r="A142" s="111"/>
      <c r="B142" s="689" t="s">
        <v>1213</v>
      </c>
      <c r="C142" s="109"/>
      <c r="D142" s="109"/>
      <c r="E142" s="109"/>
      <c r="F142" s="110"/>
      <c r="G142" s="722"/>
      <c r="H142" s="110"/>
      <c r="I142" s="110"/>
      <c r="J142" s="1389">
        <f>+'F2.1'!Q244</f>
        <v>0</v>
      </c>
      <c r="K142" s="110"/>
      <c r="L142" s="110"/>
      <c r="M142" s="110"/>
      <c r="N142" s="110"/>
      <c r="O142" s="110"/>
      <c r="P142" s="110"/>
      <c r="Q142" s="439">
        <f t="shared" ref="Q142:Q149" si="10">+N142+L142</f>
        <v>0</v>
      </c>
      <c r="R142" s="439" t="e">
        <f t="shared" ref="R142:R153" si="11">+Q142*10/J142</f>
        <v>#DIV/0!</v>
      </c>
    </row>
    <row r="143" spans="1:18" ht="27.75" x14ac:dyDescent="0.4">
      <c r="A143" s="114"/>
      <c r="B143" s="61" t="s">
        <v>1230</v>
      </c>
      <c r="C143" s="112"/>
      <c r="D143" s="112"/>
      <c r="E143" s="112"/>
      <c r="F143" s="112"/>
      <c r="G143" s="722"/>
      <c r="H143" s="113"/>
      <c r="I143" s="113"/>
      <c r="J143" s="715">
        <f>+'F2.1'!Q241</f>
        <v>17.865324000000001</v>
      </c>
      <c r="K143" s="113"/>
      <c r="L143" s="113"/>
      <c r="M143" s="1391">
        <f>+Assum!M78</f>
        <v>5.25</v>
      </c>
      <c r="N143" s="706">
        <f t="shared" ref="N143:N150" si="12">+J143*M143/10</f>
        <v>9.3792951000000002</v>
      </c>
      <c r="O143" s="113"/>
      <c r="P143" s="113"/>
      <c r="Q143" s="439">
        <f t="shared" si="10"/>
        <v>9.3792951000000002</v>
      </c>
      <c r="R143" s="439">
        <f t="shared" si="11"/>
        <v>5.25</v>
      </c>
    </row>
    <row r="144" spans="1:18" x14ac:dyDescent="0.4">
      <c r="A144" s="113"/>
      <c r="B144" s="10" t="s">
        <v>1232</v>
      </c>
      <c r="C144" s="112"/>
      <c r="D144" s="112"/>
      <c r="E144" s="112"/>
      <c r="F144" s="112"/>
      <c r="G144" s="722"/>
      <c r="H144" s="113"/>
      <c r="I144" s="113"/>
      <c r="J144" s="715">
        <f>+'F2.1'!Q245</f>
        <v>0</v>
      </c>
      <c r="K144" s="113"/>
      <c r="L144" s="113"/>
      <c r="M144" s="1391"/>
      <c r="N144" s="706">
        <f t="shared" si="12"/>
        <v>0</v>
      </c>
      <c r="O144" s="113"/>
      <c r="P144" s="113"/>
      <c r="Q144" s="439">
        <f t="shared" si="10"/>
        <v>0</v>
      </c>
      <c r="R144" s="439" t="e">
        <f t="shared" si="11"/>
        <v>#DIV/0!</v>
      </c>
    </row>
    <row r="145" spans="1:18" x14ac:dyDescent="0.4">
      <c r="A145" s="113"/>
      <c r="B145" s="19" t="s">
        <v>1575</v>
      </c>
      <c r="C145" s="112"/>
      <c r="D145" s="112"/>
      <c r="E145" s="112"/>
      <c r="F145" s="112"/>
      <c r="G145" s="722"/>
      <c r="H145" s="113"/>
      <c r="I145" s="113"/>
      <c r="J145" s="715">
        <f>+'F2.1'!Q246</f>
        <v>17.150400000000001</v>
      </c>
      <c r="K145" s="113"/>
      <c r="L145" s="113"/>
      <c r="M145" s="1391">
        <f>+Assum!M80</f>
        <v>5.35</v>
      </c>
      <c r="N145" s="706">
        <f t="shared" si="12"/>
        <v>9.1754639999999998</v>
      </c>
      <c r="O145" s="113"/>
      <c r="P145" s="113"/>
      <c r="Q145" s="439">
        <f t="shared" si="10"/>
        <v>9.1754639999999998</v>
      </c>
      <c r="R145" s="439">
        <f t="shared" si="11"/>
        <v>5.35</v>
      </c>
    </row>
    <row r="146" spans="1:18" x14ac:dyDescent="0.4">
      <c r="A146" s="113"/>
      <c r="B146" s="19" t="s">
        <v>1576</v>
      </c>
      <c r="C146" s="112"/>
      <c r="D146" s="112"/>
      <c r="E146" s="112"/>
      <c r="F146" s="112"/>
      <c r="G146" s="722"/>
      <c r="H146" s="113"/>
      <c r="I146" s="113"/>
      <c r="J146" s="715">
        <f>+'F2.1'!Q247</f>
        <v>21.848399999999998</v>
      </c>
      <c r="K146" s="113"/>
      <c r="L146" s="113"/>
      <c r="M146" s="1391">
        <f>+Assum!M81</f>
        <v>5.8</v>
      </c>
      <c r="N146" s="706">
        <f t="shared" si="12"/>
        <v>12.672071999999998</v>
      </c>
      <c r="O146" s="113"/>
      <c r="P146" s="113"/>
      <c r="Q146" s="439">
        <f t="shared" si="10"/>
        <v>12.672071999999998</v>
      </c>
      <c r="R146" s="439">
        <f t="shared" si="11"/>
        <v>5.8</v>
      </c>
    </row>
    <row r="147" spans="1:18" x14ac:dyDescent="0.4">
      <c r="A147" s="113"/>
      <c r="B147" s="703" t="s">
        <v>1601</v>
      </c>
      <c r="C147" s="112"/>
      <c r="D147" s="112"/>
      <c r="E147" s="112"/>
      <c r="F147" s="112"/>
      <c r="G147" s="722"/>
      <c r="H147" s="113"/>
      <c r="I147" s="113"/>
      <c r="J147" s="715">
        <f>+'F2.1'!Q248</f>
        <v>124.24612151515666</v>
      </c>
      <c r="K147" s="113"/>
      <c r="L147" s="113"/>
      <c r="M147" s="1391">
        <f>+Assum!M82</f>
        <v>6.05</v>
      </c>
      <c r="N147" s="706">
        <f t="shared" si="12"/>
        <v>75.168903516669772</v>
      </c>
      <c r="O147" s="113"/>
      <c r="P147" s="113"/>
      <c r="Q147" s="439">
        <f t="shared" si="10"/>
        <v>75.168903516669772</v>
      </c>
      <c r="R147" s="439">
        <f t="shared" si="11"/>
        <v>6.05</v>
      </c>
    </row>
    <row r="148" spans="1:18" x14ac:dyDescent="0.4">
      <c r="A148" s="113"/>
      <c r="B148" s="494" t="s">
        <v>1192</v>
      </c>
      <c r="C148" s="112"/>
      <c r="D148" s="112"/>
      <c r="E148" s="112"/>
      <c r="F148" s="112"/>
      <c r="G148" s="113"/>
      <c r="H148" s="113"/>
      <c r="I148" s="113"/>
      <c r="J148" s="715"/>
      <c r="K148" s="113"/>
      <c r="L148" s="113"/>
      <c r="M148" s="113"/>
      <c r="N148" s="706">
        <f t="shared" si="12"/>
        <v>0</v>
      </c>
      <c r="O148" s="113"/>
      <c r="P148" s="113"/>
      <c r="Q148" s="439">
        <f t="shared" si="10"/>
        <v>0</v>
      </c>
      <c r="R148" s="439" t="e">
        <f t="shared" si="11"/>
        <v>#DIV/0!</v>
      </c>
    </row>
    <row r="149" spans="1:18" x14ac:dyDescent="0.4">
      <c r="A149" s="113"/>
      <c r="B149" s="494" t="s">
        <v>1210</v>
      </c>
      <c r="C149" s="112"/>
      <c r="D149" s="112"/>
      <c r="E149" s="112"/>
      <c r="F149" s="112"/>
      <c r="G149" s="113"/>
      <c r="H149" s="113"/>
      <c r="I149" s="113"/>
      <c r="J149" s="715">
        <f>+'F2.1'!Q229</f>
        <v>0.12415811999999998</v>
      </c>
      <c r="K149" s="113"/>
      <c r="L149" s="113"/>
      <c r="M149" s="706">
        <f ca="1">+H210</f>
        <v>5.6021046801440075</v>
      </c>
      <c r="N149" s="706">
        <f t="shared" ca="1" si="12"/>
        <v>6.9554678512988119E-2</v>
      </c>
      <c r="O149" s="113"/>
      <c r="P149" s="113"/>
      <c r="Q149" s="439">
        <f t="shared" ca="1" si="10"/>
        <v>6.9554678512988119E-2</v>
      </c>
      <c r="R149" s="439">
        <f t="shared" ca="1" si="11"/>
        <v>5.6021046801440075</v>
      </c>
    </row>
    <row r="150" spans="1:18" x14ac:dyDescent="0.4">
      <c r="A150" s="113"/>
      <c r="B150" s="649" t="s">
        <v>1193</v>
      </c>
      <c r="C150" s="112"/>
      <c r="D150" s="112"/>
      <c r="E150" s="112"/>
      <c r="F150" s="112"/>
      <c r="G150" s="113"/>
      <c r="H150" s="113"/>
      <c r="I150" s="113"/>
      <c r="J150" s="715"/>
      <c r="K150" s="113"/>
      <c r="L150" s="113"/>
      <c r="M150" s="113"/>
      <c r="N150" s="706">
        <f t="shared" si="12"/>
        <v>0</v>
      </c>
      <c r="O150" s="113"/>
      <c r="P150" s="113"/>
      <c r="Q150" s="439"/>
      <c r="R150" s="439" t="e">
        <f t="shared" si="11"/>
        <v>#DIV/0!</v>
      </c>
    </row>
    <row r="151" spans="1:18" x14ac:dyDescent="0.4">
      <c r="A151" s="113"/>
      <c r="B151" s="649" t="s">
        <v>1194</v>
      </c>
      <c r="C151" s="112"/>
      <c r="D151" s="112"/>
      <c r="E151" s="112"/>
      <c r="F151" s="112"/>
      <c r="G151" s="113"/>
      <c r="H151" s="113"/>
      <c r="I151" s="113"/>
      <c r="J151" s="715"/>
      <c r="K151" s="113"/>
      <c r="L151" s="113"/>
      <c r="M151" s="113"/>
      <c r="N151" s="113"/>
      <c r="O151" s="113"/>
      <c r="P151" s="113"/>
      <c r="Q151" s="439"/>
      <c r="R151" s="439" t="e">
        <f t="shared" si="11"/>
        <v>#DIV/0!</v>
      </c>
    </row>
    <row r="152" spans="1:18" x14ac:dyDescent="0.4">
      <c r="A152" s="113"/>
      <c r="B152" s="652" t="s">
        <v>1195</v>
      </c>
      <c r="C152" s="112"/>
      <c r="D152" s="112"/>
      <c r="E152" s="112"/>
      <c r="F152" s="112"/>
      <c r="G152" s="113"/>
      <c r="H152" s="113"/>
      <c r="I152" s="113"/>
      <c r="J152" s="715"/>
      <c r="K152" s="113"/>
      <c r="L152" s="115"/>
      <c r="M152" s="115"/>
      <c r="N152" s="115"/>
      <c r="O152" s="115"/>
      <c r="P152" s="115"/>
      <c r="Q152" s="439"/>
      <c r="R152" s="439" t="e">
        <f t="shared" si="11"/>
        <v>#DIV/0!</v>
      </c>
    </row>
    <row r="153" spans="1:18" x14ac:dyDescent="0.4">
      <c r="A153" s="113"/>
      <c r="B153" s="139"/>
      <c r="C153" s="111"/>
      <c r="D153" s="111"/>
      <c r="E153" s="111"/>
      <c r="F153" s="111"/>
      <c r="G153" s="113"/>
      <c r="H153" s="116"/>
      <c r="I153" s="116"/>
      <c r="J153" s="716"/>
      <c r="K153" s="116"/>
      <c r="L153" s="116"/>
      <c r="M153" s="116"/>
      <c r="N153" s="116"/>
      <c r="O153" s="116"/>
      <c r="P153" s="116"/>
      <c r="Q153" s="439"/>
      <c r="R153" s="439" t="e">
        <f t="shared" si="11"/>
        <v>#DIV/0!</v>
      </c>
    </row>
    <row r="154" spans="1:18" ht="14.65" x14ac:dyDescent="0.4">
      <c r="A154" s="113"/>
      <c r="B154" s="132" t="s">
        <v>164</v>
      </c>
      <c r="C154" s="111"/>
      <c r="D154" s="111"/>
      <c r="E154" s="111"/>
      <c r="F154" s="111"/>
      <c r="G154" s="113"/>
      <c r="H154" s="116"/>
      <c r="I154" s="116"/>
      <c r="J154" s="1390">
        <f>SUM(J142:J153)</f>
        <v>181.23440363515667</v>
      </c>
      <c r="K154" s="684"/>
      <c r="L154" s="442">
        <f>SUM(L142:L153)</f>
        <v>0</v>
      </c>
      <c r="M154" s="752">
        <f ca="1">+N154/J154*10</f>
        <v>5.8744524858264899</v>
      </c>
      <c r="N154" s="442">
        <f ca="1">SUM(N142:N153)</f>
        <v>106.46528929518276</v>
      </c>
      <c r="O154" s="654"/>
      <c r="P154" s="654"/>
      <c r="Q154" s="442">
        <f ca="1">SUM(Q142:Q153)</f>
        <v>106.46528929518276</v>
      </c>
      <c r="R154" s="442">
        <f ca="1">+Q154/J154*10</f>
        <v>5.8744524858264899</v>
      </c>
    </row>
    <row r="155" spans="1:18" ht="15.4" x14ac:dyDescent="0.4">
      <c r="A155" s="45"/>
      <c r="B155" s="140"/>
      <c r="C155" s="140"/>
      <c r="D155" s="140"/>
      <c r="E155" s="140"/>
      <c r="F155" s="140"/>
      <c r="G155" s="141"/>
      <c r="H155" s="141"/>
      <c r="I155" s="141"/>
      <c r="J155" s="717">
        <f>+'F2.1'!Q233-J154+J149</f>
        <v>-4.163336342344337E-15</v>
      </c>
      <c r="K155" s="141"/>
      <c r="L155" s="141"/>
      <c r="M155" s="141"/>
      <c r="N155" s="141"/>
      <c r="O155" s="141"/>
      <c r="P155" s="141"/>
      <c r="Q155" s="141"/>
      <c r="R155" s="45"/>
    </row>
    <row r="156" spans="1:18" x14ac:dyDescent="0.4">
      <c r="B156" s="117" t="s">
        <v>191</v>
      </c>
      <c r="C156" s="117"/>
    </row>
    <row r="158" spans="1:18" s="134" customFormat="1" ht="54" x14ac:dyDescent="0.35">
      <c r="A158" s="135" t="s">
        <v>279</v>
      </c>
      <c r="B158" s="135" t="s">
        <v>280</v>
      </c>
      <c r="C158" s="135" t="s">
        <v>281</v>
      </c>
      <c r="D158" s="135" t="s">
        <v>282</v>
      </c>
      <c r="E158" s="135" t="s">
        <v>283</v>
      </c>
      <c r="F158" s="136" t="s">
        <v>284</v>
      </c>
      <c r="G158" s="136" t="s">
        <v>285</v>
      </c>
      <c r="H158" s="136" t="s">
        <v>286</v>
      </c>
      <c r="I158" s="136" t="s">
        <v>287</v>
      </c>
      <c r="J158" s="708" t="s">
        <v>288</v>
      </c>
      <c r="K158" s="136" t="s">
        <v>289</v>
      </c>
      <c r="L158" s="136" t="s">
        <v>290</v>
      </c>
      <c r="M158" s="136" t="s">
        <v>291</v>
      </c>
      <c r="N158" s="136" t="s">
        <v>292</v>
      </c>
      <c r="O158" s="136" t="s">
        <v>293</v>
      </c>
      <c r="P158" s="136" t="s">
        <v>294</v>
      </c>
      <c r="Q158" s="136" t="s">
        <v>295</v>
      </c>
      <c r="R158" s="136" t="s">
        <v>296</v>
      </c>
    </row>
    <row r="159" spans="1:18" x14ac:dyDescent="0.4">
      <c r="A159" s="137">
        <v>1</v>
      </c>
      <c r="B159" s="137">
        <v>2</v>
      </c>
      <c r="C159" s="137">
        <v>3</v>
      </c>
      <c r="D159" s="137">
        <v>4</v>
      </c>
      <c r="E159" s="137">
        <v>5</v>
      </c>
      <c r="F159" s="137">
        <v>6</v>
      </c>
      <c r="G159" s="137">
        <v>7</v>
      </c>
      <c r="H159" s="137">
        <v>8</v>
      </c>
      <c r="I159" s="137">
        <v>9</v>
      </c>
      <c r="J159" s="709">
        <v>10</v>
      </c>
      <c r="K159" s="137">
        <v>11</v>
      </c>
      <c r="L159" s="137">
        <v>12</v>
      </c>
      <c r="M159" s="137">
        <v>13</v>
      </c>
      <c r="N159" s="137">
        <v>14</v>
      </c>
      <c r="O159" s="137">
        <v>15</v>
      </c>
      <c r="P159" s="137">
        <v>16</v>
      </c>
      <c r="Q159" s="137">
        <v>17</v>
      </c>
      <c r="R159" s="137">
        <v>18</v>
      </c>
    </row>
    <row r="160" spans="1:18" ht="27.75" x14ac:dyDescent="0.4">
      <c r="A160" s="111"/>
      <c r="B160" s="61" t="s">
        <v>1230</v>
      </c>
      <c r="C160" s="109"/>
      <c r="D160" s="109"/>
      <c r="E160" s="109"/>
      <c r="F160" s="110"/>
      <c r="G160" s="110"/>
      <c r="H160" s="110"/>
      <c r="I160" s="110"/>
      <c r="J160" s="714">
        <f>+'F2.1'!Q270</f>
        <v>17.865324000000001</v>
      </c>
      <c r="K160" s="110"/>
      <c r="L160" s="110"/>
      <c r="M160" s="714">
        <f>+Assum!N78</f>
        <v>5.25</v>
      </c>
      <c r="N160" s="706">
        <f>+J160*M160/10</f>
        <v>9.3792951000000002</v>
      </c>
      <c r="O160" s="110"/>
      <c r="P160" s="110"/>
      <c r="Q160" s="439">
        <f>+N160+L160</f>
        <v>9.3792951000000002</v>
      </c>
      <c r="R160" s="439">
        <f>+Q160*10/J160</f>
        <v>5.25</v>
      </c>
    </row>
    <row r="161" spans="1:18" x14ac:dyDescent="0.4">
      <c r="A161" s="114"/>
      <c r="B161" s="494" t="s">
        <v>1210</v>
      </c>
      <c r="C161" s="112"/>
      <c r="D161" s="112"/>
      <c r="E161" s="112"/>
      <c r="F161" s="112"/>
      <c r="G161" s="113"/>
      <c r="H161" s="113"/>
      <c r="I161" s="113"/>
      <c r="J161" s="715">
        <f>+'F2.1'!Q258</f>
        <v>0.12415811999999998</v>
      </c>
      <c r="K161" s="113"/>
      <c r="L161" s="113"/>
      <c r="M161" s="715">
        <f ca="1">+K210</f>
        <v>6.0319609972164612</v>
      </c>
      <c r="N161" s="706">
        <f ca="1">+J161*M161/10</f>
        <v>7.4891693732772088E-2</v>
      </c>
      <c r="O161" s="113"/>
      <c r="P161" s="113"/>
      <c r="Q161" s="439">
        <f ca="1">+N161+L161</f>
        <v>7.4891693732772088E-2</v>
      </c>
      <c r="R161" s="439">
        <f ca="1">+Q161*10/J161</f>
        <v>6.0319609972164612</v>
      </c>
    </row>
    <row r="162" spans="1:18" x14ac:dyDescent="0.4">
      <c r="A162" s="113"/>
      <c r="B162" s="703" t="s">
        <v>1601</v>
      </c>
      <c r="C162" s="112"/>
      <c r="D162" s="112"/>
      <c r="E162" s="112"/>
      <c r="F162" s="112"/>
      <c r="G162" s="113"/>
      <c r="H162" s="113"/>
      <c r="I162" s="113"/>
      <c r="J162" s="715">
        <f>+'F2.1'!Q275</f>
        <v>205.32321167433432</v>
      </c>
      <c r="K162" s="113"/>
      <c r="L162" s="113"/>
      <c r="M162" s="715">
        <f>+Assum!N82</f>
        <v>6.1</v>
      </c>
      <c r="N162" s="706">
        <f>+J162*M162/10</f>
        <v>125.24715912134393</v>
      </c>
      <c r="O162" s="113"/>
      <c r="P162" s="113"/>
      <c r="Q162" s="439">
        <f>+N162+L162</f>
        <v>125.24715912134393</v>
      </c>
      <c r="R162" s="439">
        <f>+Q162*10/J162</f>
        <v>6.1</v>
      </c>
    </row>
    <row r="163" spans="1:18" x14ac:dyDescent="0.4">
      <c r="A163" s="113"/>
      <c r="B163" s="703"/>
      <c r="C163" s="112"/>
      <c r="D163" s="112"/>
      <c r="E163" s="112"/>
      <c r="F163" s="112"/>
      <c r="G163" s="113"/>
      <c r="H163" s="113"/>
      <c r="I163" s="113"/>
      <c r="J163" s="715"/>
      <c r="K163" s="113"/>
      <c r="L163" s="113"/>
      <c r="M163" s="113"/>
      <c r="N163" s="113"/>
      <c r="O163" s="113"/>
      <c r="P163" s="113"/>
      <c r="Q163" s="113"/>
      <c r="R163" s="113"/>
    </row>
    <row r="164" spans="1:18" x14ac:dyDescent="0.4">
      <c r="A164" s="113"/>
      <c r="B164" s="703"/>
      <c r="C164" s="112"/>
      <c r="D164" s="112"/>
      <c r="E164" s="112"/>
      <c r="F164" s="112"/>
      <c r="G164" s="113"/>
      <c r="H164" s="113"/>
      <c r="I164" s="113"/>
      <c r="J164" s="715"/>
      <c r="K164" s="113"/>
      <c r="L164" s="113"/>
      <c r="M164" s="113"/>
      <c r="N164" s="113"/>
      <c r="O164" s="113"/>
      <c r="P164" s="113"/>
      <c r="Q164" s="113"/>
      <c r="R164" s="113"/>
    </row>
    <row r="165" spans="1:18" x14ac:dyDescent="0.4">
      <c r="A165" s="113"/>
      <c r="B165" s="139"/>
      <c r="C165" s="112"/>
      <c r="D165" s="112"/>
      <c r="E165" s="112"/>
      <c r="F165" s="112"/>
      <c r="G165" s="113"/>
      <c r="H165" s="113"/>
      <c r="I165" s="113"/>
      <c r="J165" s="715"/>
      <c r="K165" s="113"/>
      <c r="L165" s="113"/>
      <c r="M165" s="113"/>
      <c r="N165" s="113"/>
      <c r="O165" s="113"/>
      <c r="P165" s="113"/>
      <c r="Q165" s="113"/>
      <c r="R165" s="113"/>
    </row>
    <row r="166" spans="1:18" x14ac:dyDescent="0.4">
      <c r="A166" s="113"/>
      <c r="B166" s="139"/>
      <c r="C166" s="111"/>
      <c r="D166" s="111"/>
      <c r="E166" s="111"/>
      <c r="F166" s="111"/>
      <c r="G166" s="113"/>
      <c r="H166" s="116"/>
      <c r="I166" s="116"/>
      <c r="J166" s="716"/>
      <c r="K166" s="116"/>
      <c r="L166" s="116"/>
      <c r="M166" s="116"/>
      <c r="N166" s="116"/>
      <c r="O166" s="116"/>
      <c r="P166" s="116"/>
      <c r="Q166" s="113"/>
      <c r="R166" s="113"/>
    </row>
    <row r="167" spans="1:18" ht="15.4" x14ac:dyDescent="0.4">
      <c r="A167" s="113"/>
      <c r="B167" s="132" t="s">
        <v>164</v>
      </c>
      <c r="C167" s="132"/>
      <c r="D167" s="132"/>
      <c r="E167" s="132"/>
      <c r="F167" s="132"/>
      <c r="G167" s="133"/>
      <c r="H167" s="133"/>
      <c r="I167" s="133"/>
      <c r="J167" s="1390">
        <f>SUM(J160:J166)</f>
        <v>223.31269379433431</v>
      </c>
      <c r="K167" s="684"/>
      <c r="L167" s="1390">
        <f>SUM(L160:L166)</f>
        <v>0</v>
      </c>
      <c r="M167" s="752">
        <f ca="1">+N167/J167*10</f>
        <v>6.0319609972164612</v>
      </c>
      <c r="N167" s="1390">
        <f ca="1">SUM(N160:N166)</f>
        <v>134.7013459150767</v>
      </c>
      <c r="O167" s="654"/>
      <c r="P167" s="654"/>
      <c r="Q167" s="1390">
        <f ca="1">SUM(Q160:Q166)</f>
        <v>134.7013459150767</v>
      </c>
      <c r="R167" s="442">
        <f ca="1">+Q167/J167*10</f>
        <v>6.0319609972164612</v>
      </c>
    </row>
    <row r="168" spans="1:18" ht="15.4" x14ac:dyDescent="0.4">
      <c r="A168" s="45"/>
      <c r="B168" s="140"/>
      <c r="C168" s="140"/>
      <c r="D168" s="140"/>
      <c r="E168" s="140"/>
      <c r="F168" s="140"/>
      <c r="G168" s="141"/>
      <c r="H168" s="141"/>
      <c r="I168" s="141"/>
      <c r="J168" s="717">
        <f>+J167-J161-'F2.1'!Q276</f>
        <v>0</v>
      </c>
      <c r="K168" s="141"/>
      <c r="L168" s="141"/>
      <c r="M168" s="141"/>
      <c r="N168" s="141"/>
      <c r="O168" s="141"/>
      <c r="P168" s="141"/>
      <c r="Q168" s="141"/>
      <c r="R168" s="45"/>
    </row>
    <row r="169" spans="1:18" x14ac:dyDescent="0.4">
      <c r="B169" s="117" t="s">
        <v>192</v>
      </c>
      <c r="C169" s="117"/>
    </row>
    <row r="171" spans="1:18" s="134" customFormat="1" ht="54" x14ac:dyDescent="0.35">
      <c r="A171" s="135" t="s">
        <v>279</v>
      </c>
      <c r="B171" s="135" t="s">
        <v>280</v>
      </c>
      <c r="C171" s="135" t="s">
        <v>281</v>
      </c>
      <c r="D171" s="135" t="s">
        <v>282</v>
      </c>
      <c r="E171" s="135" t="s">
        <v>283</v>
      </c>
      <c r="F171" s="136" t="s">
        <v>284</v>
      </c>
      <c r="G171" s="136" t="s">
        <v>285</v>
      </c>
      <c r="H171" s="136" t="s">
        <v>286</v>
      </c>
      <c r="I171" s="136" t="s">
        <v>287</v>
      </c>
      <c r="J171" s="708" t="s">
        <v>288</v>
      </c>
      <c r="K171" s="136" t="s">
        <v>289</v>
      </c>
      <c r="L171" s="136" t="s">
        <v>290</v>
      </c>
      <c r="M171" s="136" t="s">
        <v>291</v>
      </c>
      <c r="N171" s="136" t="s">
        <v>292</v>
      </c>
      <c r="O171" s="136" t="s">
        <v>293</v>
      </c>
      <c r="P171" s="136" t="s">
        <v>294</v>
      </c>
      <c r="Q171" s="136" t="s">
        <v>295</v>
      </c>
      <c r="R171" s="136" t="s">
        <v>296</v>
      </c>
    </row>
    <row r="172" spans="1:18" x14ac:dyDescent="0.4">
      <c r="A172" s="137">
        <v>1</v>
      </c>
      <c r="B172" s="137">
        <v>2</v>
      </c>
      <c r="C172" s="137">
        <v>3</v>
      </c>
      <c r="D172" s="137">
        <v>4</v>
      </c>
      <c r="E172" s="137">
        <v>5</v>
      </c>
      <c r="F172" s="137">
        <v>6</v>
      </c>
      <c r="G172" s="137">
        <v>7</v>
      </c>
      <c r="H172" s="137">
        <v>8</v>
      </c>
      <c r="I172" s="137">
        <v>9</v>
      </c>
      <c r="J172" s="709">
        <v>10</v>
      </c>
      <c r="K172" s="137">
        <v>11</v>
      </c>
      <c r="L172" s="137">
        <v>12</v>
      </c>
      <c r="M172" s="137">
        <v>13</v>
      </c>
      <c r="N172" s="137">
        <v>14</v>
      </c>
      <c r="O172" s="137">
        <v>15</v>
      </c>
      <c r="P172" s="137">
        <v>16</v>
      </c>
      <c r="Q172" s="137">
        <v>17</v>
      </c>
      <c r="R172" s="137">
        <v>18</v>
      </c>
    </row>
    <row r="173" spans="1:18" ht="27.75" x14ac:dyDescent="0.4">
      <c r="A173" s="111"/>
      <c r="B173" s="61" t="s">
        <v>1230</v>
      </c>
      <c r="C173" s="109"/>
      <c r="D173" s="109"/>
      <c r="E173" s="109"/>
      <c r="F173" s="110"/>
      <c r="G173" s="110"/>
      <c r="H173" s="110"/>
      <c r="I173" s="110"/>
      <c r="J173" s="714">
        <f>+'F2.1'!Q297</f>
        <v>14.819889</v>
      </c>
      <c r="K173" s="110"/>
      <c r="L173" s="110"/>
      <c r="M173" s="1389">
        <f>+Assum!O78</f>
        <v>5.25</v>
      </c>
      <c r="N173" s="1399">
        <f>+J173*M173/10</f>
        <v>7.7804417250000002</v>
      </c>
      <c r="O173" s="110"/>
      <c r="P173" s="110"/>
      <c r="Q173" s="439">
        <f>+N173+L173</f>
        <v>7.7804417250000002</v>
      </c>
      <c r="R173" s="439">
        <f>+Q173*10/J173</f>
        <v>5.25</v>
      </c>
    </row>
    <row r="174" spans="1:18" x14ac:dyDescent="0.4">
      <c r="A174" s="114"/>
      <c r="B174" s="494" t="s">
        <v>1210</v>
      </c>
      <c r="C174" s="112"/>
      <c r="D174" s="112"/>
      <c r="E174" s="112"/>
      <c r="F174" s="112"/>
      <c r="G174" s="113"/>
      <c r="H174" s="113"/>
      <c r="I174" s="113"/>
      <c r="J174" s="715">
        <f>+'F2.1'!Q285</f>
        <v>0.12415811999999998</v>
      </c>
      <c r="K174" s="113"/>
      <c r="L174" s="113"/>
      <c r="M174" s="706">
        <f ca="1">+N210</f>
        <v>6.1004903803954473</v>
      </c>
      <c r="N174" s="1399">
        <f ca="1">+J174*M174/10</f>
        <v>7.5742541670798344E-2</v>
      </c>
      <c r="O174" s="113"/>
      <c r="P174" s="113"/>
      <c r="Q174" s="439">
        <f ca="1">+N174+L174</f>
        <v>7.5742541670798344E-2</v>
      </c>
      <c r="R174" s="439">
        <f ca="1">+Q174*10/J174</f>
        <v>6.1004903803954473</v>
      </c>
    </row>
    <row r="175" spans="1:18" x14ac:dyDescent="0.4">
      <c r="A175" s="113"/>
      <c r="B175" s="703" t="s">
        <v>1601</v>
      </c>
      <c r="C175" s="112"/>
      <c r="D175" s="112"/>
      <c r="E175" s="112"/>
      <c r="F175" s="112"/>
      <c r="G175" s="113"/>
      <c r="H175" s="113"/>
      <c r="I175" s="113"/>
      <c r="J175" s="715">
        <f>+'F2.1'!Q302</f>
        <v>254.58028427003589</v>
      </c>
      <c r="K175" s="113"/>
      <c r="L175" s="113"/>
      <c r="M175" s="706">
        <f>+Assum!O82</f>
        <v>6.1499999999999995</v>
      </c>
      <c r="N175" s="1399">
        <f>+J175*M175/10</f>
        <v>156.56687482607205</v>
      </c>
      <c r="O175" s="113"/>
      <c r="P175" s="113"/>
      <c r="Q175" s="439">
        <f>+N175+L175</f>
        <v>156.56687482607205</v>
      </c>
      <c r="R175" s="439">
        <f>+Q175*10/J175</f>
        <v>6.1499999999999995</v>
      </c>
    </row>
    <row r="176" spans="1:18" x14ac:dyDescent="0.4">
      <c r="A176" s="113"/>
      <c r="B176" s="139"/>
      <c r="C176" s="111"/>
      <c r="D176" s="111"/>
      <c r="E176" s="111"/>
      <c r="F176" s="111"/>
      <c r="G176" s="113"/>
      <c r="H176" s="116"/>
      <c r="I176" s="116"/>
      <c r="J176" s="716"/>
      <c r="K176" s="116"/>
      <c r="L176" s="116"/>
      <c r="M176" s="116"/>
      <c r="N176" s="116"/>
      <c r="O176" s="116"/>
      <c r="P176" s="116"/>
      <c r="Q176" s="113"/>
      <c r="R176" s="113"/>
    </row>
    <row r="177" spans="1:18" x14ac:dyDescent="0.4">
      <c r="A177" s="113"/>
      <c r="B177" s="139"/>
      <c r="C177" s="111"/>
      <c r="D177" s="111"/>
      <c r="E177" s="111"/>
      <c r="F177" s="111"/>
      <c r="G177" s="113"/>
      <c r="H177" s="116"/>
      <c r="I177" s="116"/>
      <c r="J177" s="716"/>
      <c r="K177" s="116"/>
      <c r="L177" s="116"/>
      <c r="M177" s="116"/>
      <c r="N177" s="116"/>
      <c r="O177" s="116"/>
      <c r="P177" s="116"/>
      <c r="Q177" s="113"/>
      <c r="R177" s="113"/>
    </row>
    <row r="178" spans="1:18" x14ac:dyDescent="0.4">
      <c r="A178" s="113"/>
      <c r="B178" s="139"/>
      <c r="C178" s="111"/>
      <c r="D178" s="111"/>
      <c r="E178" s="111"/>
      <c r="F178" s="111"/>
      <c r="G178" s="113"/>
      <c r="H178" s="116"/>
      <c r="I178" s="116"/>
      <c r="J178" s="716"/>
      <c r="K178" s="116"/>
      <c r="L178" s="116"/>
      <c r="M178" s="116"/>
      <c r="N178" s="116"/>
      <c r="O178" s="116"/>
      <c r="P178" s="116"/>
      <c r="Q178" s="113"/>
      <c r="R178" s="113"/>
    </row>
    <row r="179" spans="1:18" ht="15.4" x14ac:dyDescent="0.4">
      <c r="A179" s="113"/>
      <c r="B179" s="132" t="s">
        <v>164</v>
      </c>
      <c r="C179" s="132"/>
      <c r="D179" s="132"/>
      <c r="E179" s="132"/>
      <c r="F179" s="132"/>
      <c r="G179" s="133"/>
      <c r="H179" s="133"/>
      <c r="I179" s="133"/>
      <c r="J179" s="1390">
        <f>SUM(J173:J178)</f>
        <v>269.52433139003591</v>
      </c>
      <c r="K179" s="684"/>
      <c r="L179" s="1390">
        <f>SUM(L173:L178)</f>
        <v>0</v>
      </c>
      <c r="M179" s="752">
        <f ca="1">+N179/J179*10</f>
        <v>6.1004903803954456</v>
      </c>
      <c r="N179" s="1390">
        <f ca="1">SUM(N173:N178)</f>
        <v>164.42305909274285</v>
      </c>
      <c r="O179" s="654"/>
      <c r="P179" s="654"/>
      <c r="Q179" s="1390">
        <f ca="1">SUM(Q173:Q178)</f>
        <v>164.42305909274285</v>
      </c>
      <c r="R179" s="442">
        <f ca="1">+Q179/J179*10</f>
        <v>6.1004903803954456</v>
      </c>
    </row>
    <row r="180" spans="1:18" ht="15.4" x14ac:dyDescent="0.4">
      <c r="A180" s="45"/>
      <c r="B180" s="140"/>
      <c r="C180" s="140"/>
      <c r="D180" s="140"/>
      <c r="E180" s="140"/>
      <c r="F180" s="140"/>
      <c r="G180" s="141"/>
      <c r="H180" s="141"/>
      <c r="I180" s="141"/>
      <c r="J180" s="717">
        <f>+J179-J174-'F2.1'!Q303</f>
        <v>0</v>
      </c>
      <c r="K180" s="141"/>
      <c r="L180" s="141"/>
      <c r="M180" s="141"/>
      <c r="N180" s="141"/>
      <c r="O180" s="141"/>
      <c r="P180" s="141"/>
      <c r="Q180" s="141"/>
      <c r="R180" s="45"/>
    </row>
    <row r="181" spans="1:18" x14ac:dyDescent="0.4">
      <c r="B181" s="117" t="s">
        <v>193</v>
      </c>
      <c r="C181" s="117"/>
    </row>
    <row r="183" spans="1:18" s="134" customFormat="1" ht="54" x14ac:dyDescent="0.35">
      <c r="A183" s="135" t="s">
        <v>279</v>
      </c>
      <c r="B183" s="135" t="s">
        <v>280</v>
      </c>
      <c r="C183" s="135" t="s">
        <v>281</v>
      </c>
      <c r="D183" s="135" t="s">
        <v>282</v>
      </c>
      <c r="E183" s="135" t="s">
        <v>283</v>
      </c>
      <c r="F183" s="136" t="s">
        <v>284</v>
      </c>
      <c r="G183" s="136" t="s">
        <v>285</v>
      </c>
      <c r="H183" s="136" t="s">
        <v>286</v>
      </c>
      <c r="I183" s="136" t="s">
        <v>287</v>
      </c>
      <c r="J183" s="708" t="s">
        <v>288</v>
      </c>
      <c r="K183" s="136" t="s">
        <v>289</v>
      </c>
      <c r="L183" s="136" t="s">
        <v>290</v>
      </c>
      <c r="M183" s="136" t="s">
        <v>291</v>
      </c>
      <c r="N183" s="136" t="s">
        <v>292</v>
      </c>
      <c r="O183" s="136" t="s">
        <v>293</v>
      </c>
      <c r="P183" s="136" t="s">
        <v>294</v>
      </c>
      <c r="Q183" s="136" t="s">
        <v>295</v>
      </c>
      <c r="R183" s="136" t="s">
        <v>296</v>
      </c>
    </row>
    <row r="184" spans="1:18" x14ac:dyDescent="0.4">
      <c r="A184" s="137">
        <v>1</v>
      </c>
      <c r="B184" s="137">
        <v>2</v>
      </c>
      <c r="C184" s="137">
        <v>3</v>
      </c>
      <c r="D184" s="137">
        <v>4</v>
      </c>
      <c r="E184" s="137">
        <v>5</v>
      </c>
      <c r="F184" s="137">
        <v>6</v>
      </c>
      <c r="G184" s="137">
        <v>7</v>
      </c>
      <c r="H184" s="137">
        <v>8</v>
      </c>
      <c r="I184" s="137">
        <v>9</v>
      </c>
      <c r="J184" s="709">
        <v>10</v>
      </c>
      <c r="K184" s="137">
        <v>11</v>
      </c>
      <c r="L184" s="137">
        <v>12</v>
      </c>
      <c r="M184" s="137">
        <v>13</v>
      </c>
      <c r="N184" s="137">
        <v>14</v>
      </c>
      <c r="O184" s="137">
        <v>15</v>
      </c>
      <c r="P184" s="137">
        <v>16</v>
      </c>
      <c r="Q184" s="137">
        <v>17</v>
      </c>
      <c r="R184" s="137">
        <v>18</v>
      </c>
    </row>
    <row r="185" spans="1:18" ht="27.75" x14ac:dyDescent="0.4">
      <c r="A185" s="111"/>
      <c r="B185" s="61" t="s">
        <v>1230</v>
      </c>
      <c r="C185" s="109"/>
      <c r="D185" s="109"/>
      <c r="E185" s="109"/>
      <c r="F185" s="110"/>
      <c r="G185" s="110"/>
      <c r="H185" s="110"/>
      <c r="I185" s="110"/>
      <c r="J185" s="714"/>
      <c r="K185" s="110"/>
      <c r="L185" s="110"/>
      <c r="M185" s="110"/>
      <c r="N185" s="110"/>
      <c r="O185" s="110"/>
      <c r="P185" s="110"/>
      <c r="Q185" s="439">
        <f>+N185+L185</f>
        <v>0</v>
      </c>
      <c r="R185" s="439" t="e">
        <f>+Q185*10/J185</f>
        <v>#DIV/0!</v>
      </c>
    </row>
    <row r="186" spans="1:18" x14ac:dyDescent="0.4">
      <c r="A186" s="114"/>
      <c r="B186" s="494" t="s">
        <v>1210</v>
      </c>
      <c r="C186" s="112"/>
      <c r="D186" s="112"/>
      <c r="E186" s="112"/>
      <c r="F186" s="112"/>
      <c r="G186" s="113"/>
      <c r="H186" s="113"/>
      <c r="I186" s="113"/>
      <c r="J186" s="715">
        <f>+'F2.1'!Q312</f>
        <v>0.12415811999999998</v>
      </c>
      <c r="K186" s="113"/>
      <c r="L186" s="113"/>
      <c r="M186" s="1400">
        <f ca="1">+Q210</f>
        <v>6.1999999999999993</v>
      </c>
      <c r="N186" s="753">
        <f ca="1">+M186*J186/10</f>
        <v>7.6978034399999978E-2</v>
      </c>
      <c r="O186" s="113"/>
      <c r="P186" s="113"/>
      <c r="Q186" s="439">
        <f ca="1">+N186+L186</f>
        <v>7.6978034399999978E-2</v>
      </c>
      <c r="R186" s="439">
        <f ca="1">+Q186*10/J186</f>
        <v>6.1999999999999984</v>
      </c>
    </row>
    <row r="187" spans="1:18" x14ac:dyDescent="0.4">
      <c r="A187" s="113"/>
      <c r="B187" s="703" t="s">
        <v>1601</v>
      </c>
      <c r="C187" s="112"/>
      <c r="D187" s="112"/>
      <c r="E187" s="112"/>
      <c r="F187" s="112"/>
      <c r="G187" s="113"/>
      <c r="H187" s="113"/>
      <c r="I187" s="113"/>
      <c r="J187" s="715">
        <f>+'F2.1'!Q329</f>
        <v>291.15846886207487</v>
      </c>
      <c r="K187" s="113"/>
      <c r="L187" s="113"/>
      <c r="M187" s="753">
        <f>+Assum!P82</f>
        <v>6.1999999999999993</v>
      </c>
      <c r="N187" s="753">
        <f>+M187*J187/10</f>
        <v>180.5182506944864</v>
      </c>
      <c r="O187" s="113"/>
      <c r="P187" s="113"/>
      <c r="Q187" s="439">
        <f>+N187+L187</f>
        <v>180.5182506944864</v>
      </c>
      <c r="R187" s="439">
        <f>+Q187*10/J187</f>
        <v>6.1999999999999993</v>
      </c>
    </row>
    <row r="188" spans="1:18" x14ac:dyDescent="0.4">
      <c r="A188" s="113"/>
      <c r="B188" s="138"/>
      <c r="C188" s="112"/>
      <c r="D188" s="112"/>
      <c r="E188" s="112"/>
      <c r="F188" s="112"/>
      <c r="G188" s="113"/>
      <c r="H188" s="113"/>
      <c r="I188" s="113"/>
      <c r="J188" s="715"/>
      <c r="K188" s="113"/>
      <c r="L188" s="115"/>
      <c r="M188" s="115"/>
      <c r="N188" s="115"/>
      <c r="O188" s="115"/>
      <c r="P188" s="115"/>
      <c r="Q188" s="113"/>
      <c r="R188" s="113"/>
    </row>
    <row r="189" spans="1:18" x14ac:dyDescent="0.4">
      <c r="A189" s="113"/>
      <c r="B189" s="139"/>
      <c r="C189" s="111"/>
      <c r="D189" s="111"/>
      <c r="E189" s="111"/>
      <c r="F189" s="111"/>
      <c r="G189" s="113"/>
      <c r="H189" s="116"/>
      <c r="I189" s="116"/>
      <c r="J189" s="716"/>
      <c r="K189" s="116"/>
      <c r="L189" s="116"/>
      <c r="M189" s="116"/>
      <c r="N189" s="116"/>
      <c r="O189" s="116"/>
      <c r="P189" s="116"/>
      <c r="Q189" s="113"/>
      <c r="R189" s="113"/>
    </row>
    <row r="190" spans="1:18" x14ac:dyDescent="0.4">
      <c r="A190" s="113"/>
      <c r="B190" s="139"/>
      <c r="C190" s="111"/>
      <c r="D190" s="111"/>
      <c r="E190" s="111"/>
      <c r="F190" s="111"/>
      <c r="G190" s="113"/>
      <c r="H190" s="116"/>
      <c r="I190" s="116"/>
      <c r="J190" s="716"/>
      <c r="K190" s="116"/>
      <c r="L190" s="116"/>
      <c r="M190" s="116"/>
      <c r="N190" s="116"/>
      <c r="O190" s="116"/>
      <c r="P190" s="116"/>
      <c r="Q190" s="113"/>
      <c r="R190" s="113"/>
    </row>
    <row r="191" spans="1:18" x14ac:dyDescent="0.4">
      <c r="A191" s="113"/>
      <c r="B191" s="139"/>
      <c r="C191" s="111"/>
      <c r="D191" s="111"/>
      <c r="E191" s="111"/>
      <c r="F191" s="111"/>
      <c r="G191" s="113"/>
      <c r="H191" s="116"/>
      <c r="I191" s="116"/>
      <c r="J191" s="716"/>
      <c r="K191" s="116"/>
      <c r="L191" s="116"/>
      <c r="M191" s="116"/>
      <c r="N191" s="116"/>
      <c r="O191" s="116"/>
      <c r="P191" s="116"/>
      <c r="Q191" s="113"/>
      <c r="R191" s="113"/>
    </row>
    <row r="192" spans="1:18" ht="15.4" x14ac:dyDescent="0.4">
      <c r="A192" s="113"/>
      <c r="B192" s="132" t="s">
        <v>164</v>
      </c>
      <c r="C192" s="132"/>
      <c r="D192" s="132"/>
      <c r="E192" s="132"/>
      <c r="F192" s="132"/>
      <c r="G192" s="133"/>
      <c r="H192" s="133"/>
      <c r="I192" s="133"/>
      <c r="J192" s="1390">
        <f>SUM(J185:J191)</f>
        <v>291.28262698207487</v>
      </c>
      <c r="K192" s="684"/>
      <c r="L192" s="1390">
        <f>SUM(L185:L191)</f>
        <v>0</v>
      </c>
      <c r="M192" s="752">
        <f ca="1">+N192/J192*10</f>
        <v>6.2</v>
      </c>
      <c r="N192" s="1390">
        <f ca="1">SUM(N185:N191)</f>
        <v>180.59522872888641</v>
      </c>
      <c r="O192" s="654"/>
      <c r="P192" s="654"/>
      <c r="Q192" s="1390">
        <f ca="1">SUM(Q185:Q191)</f>
        <v>180.59522872888641</v>
      </c>
      <c r="R192" s="442">
        <f ca="1">+Q192/J192*10</f>
        <v>6.2</v>
      </c>
    </row>
    <row r="193" spans="2:17" x14ac:dyDescent="0.4">
      <c r="J193" s="561">
        <f>+J192-J186-'F2.1'!Q330</f>
        <v>0</v>
      </c>
    </row>
    <row r="202" spans="2:17" x14ac:dyDescent="0.4">
      <c r="C202" s="1961" t="s">
        <v>871</v>
      </c>
      <c r="D202" s="1961"/>
      <c r="E202" s="1961"/>
      <c r="F202" s="1961" t="s">
        <v>872</v>
      </c>
      <c r="G202" s="1961"/>
      <c r="H202" s="1961"/>
      <c r="I202" s="1961" t="s">
        <v>873</v>
      </c>
      <c r="J202" s="1961"/>
      <c r="K202" s="1961"/>
      <c r="L202" s="1961" t="s">
        <v>874</v>
      </c>
      <c r="M202" s="1961"/>
      <c r="N202" s="1961"/>
      <c r="O202" s="1961" t="s">
        <v>875</v>
      </c>
      <c r="P202" s="1961"/>
      <c r="Q202" s="1961"/>
    </row>
    <row r="203" spans="2:17" ht="14.25" x14ac:dyDescent="0.45">
      <c r="B203" s="1367"/>
      <c r="C203" s="1374" t="s">
        <v>1577</v>
      </c>
      <c r="D203" s="1374" t="s">
        <v>1578</v>
      </c>
      <c r="E203" s="1374" t="s">
        <v>1579</v>
      </c>
      <c r="F203" s="1374" t="s">
        <v>1577</v>
      </c>
      <c r="G203" s="1374" t="s">
        <v>1578</v>
      </c>
      <c r="H203" s="1374" t="s">
        <v>1579</v>
      </c>
      <c r="I203" s="1374" t="s">
        <v>1577</v>
      </c>
      <c r="J203" s="1374" t="s">
        <v>1578</v>
      </c>
      <c r="K203" s="1374" t="s">
        <v>1579</v>
      </c>
      <c r="L203" s="1374" t="s">
        <v>1577</v>
      </c>
      <c r="M203" s="1374" t="s">
        <v>1578</v>
      </c>
      <c r="N203" s="1374" t="s">
        <v>1579</v>
      </c>
      <c r="O203" s="1374" t="s">
        <v>1577</v>
      </c>
      <c r="P203" s="1374" t="s">
        <v>1578</v>
      </c>
      <c r="Q203" s="1374" t="s">
        <v>1579</v>
      </c>
    </row>
    <row r="204" spans="2:17" ht="14.25" x14ac:dyDescent="0.45">
      <c r="B204" s="1368"/>
      <c r="C204" s="1375" t="s">
        <v>236</v>
      </c>
      <c r="D204" s="1375" t="s">
        <v>1218</v>
      </c>
      <c r="E204" s="1375" t="s">
        <v>821</v>
      </c>
      <c r="F204" s="1375" t="s">
        <v>236</v>
      </c>
      <c r="G204" s="1375" t="s">
        <v>1218</v>
      </c>
      <c r="H204" s="1375" t="s">
        <v>821</v>
      </c>
      <c r="I204" s="1375" t="s">
        <v>236</v>
      </c>
      <c r="J204" s="1375" t="s">
        <v>1218</v>
      </c>
      <c r="K204" s="1375" t="s">
        <v>821</v>
      </c>
      <c r="L204" s="1375" t="s">
        <v>236</v>
      </c>
      <c r="M204" s="1375" t="s">
        <v>1218</v>
      </c>
      <c r="N204" s="1375" t="s">
        <v>821</v>
      </c>
      <c r="O204" s="1375" t="s">
        <v>236</v>
      </c>
      <c r="P204" s="1375" t="s">
        <v>1218</v>
      </c>
      <c r="Q204" s="1375" t="s">
        <v>821</v>
      </c>
    </row>
    <row r="205" spans="2:17" ht="14.25" x14ac:dyDescent="0.45">
      <c r="B205" s="1369" t="s">
        <v>1580</v>
      </c>
      <c r="C205" s="1393">
        <f>+J136</f>
        <v>145.82511021056649</v>
      </c>
      <c r="D205" s="1393">
        <f ca="1">+Q136+D209</f>
        <v>94.154889774462276</v>
      </c>
      <c r="E205" s="1376">
        <f ca="1">+D205/C205*10</f>
        <v>6.45669937355136</v>
      </c>
      <c r="F205" s="1393">
        <f>+J154</f>
        <v>181.23440363515667</v>
      </c>
      <c r="G205" s="1393">
        <f ca="1">+Q154+G209</f>
        <v>119.61623660750473</v>
      </c>
      <c r="H205" s="1376">
        <f t="shared" ref="H205:H210" ca="1" si="13">+G205/F205*10</f>
        <v>6.6000844325509203</v>
      </c>
      <c r="I205" s="1392">
        <f>+J167</f>
        <v>223.31269379433431</v>
      </c>
      <c r="J205" s="1392">
        <f ca="1">+Q167+SUM('F2.2'!M11:M14)</f>
        <v>150.08918386850135</v>
      </c>
      <c r="K205" s="1376">
        <f ca="1">+J205/I205*10</f>
        <v>6.7210323478847975</v>
      </c>
      <c r="L205" s="1392">
        <f>+J179</f>
        <v>269.52433139003591</v>
      </c>
      <c r="M205" s="1392">
        <f ca="1">+Q179+SUM('F2.2'!N11:N14)</f>
        <v>182.61718617029518</v>
      </c>
      <c r="N205" s="1376">
        <f ca="1">+M205/L205*10</f>
        <v>6.7755361910544902</v>
      </c>
      <c r="O205" s="1393">
        <f>+J192</f>
        <v>291.28262698207487</v>
      </c>
      <c r="P205" s="1393">
        <f ca="1">+Q192+SUM('F2.2'!O11:O14)</f>
        <v>199.42103178276608</v>
      </c>
      <c r="Q205" s="1376">
        <f ca="1">+P205/O205*10</f>
        <v>6.8463071021066479</v>
      </c>
    </row>
    <row r="206" spans="2:17" ht="14.25" x14ac:dyDescent="0.45">
      <c r="B206" s="1369" t="s">
        <v>1581</v>
      </c>
      <c r="C206" s="1394"/>
      <c r="D206" s="1394"/>
      <c r="E206" s="1376"/>
      <c r="F206" s="1394"/>
      <c r="G206" s="1394"/>
      <c r="H206" s="1376" t="e">
        <f t="shared" si="13"/>
        <v>#DIV/0!</v>
      </c>
      <c r="I206" s="1370"/>
      <c r="J206" s="1370"/>
      <c r="K206" s="1372"/>
      <c r="L206" s="1370"/>
      <c r="M206" s="1370"/>
      <c r="N206" s="1372"/>
      <c r="O206" s="1370"/>
      <c r="P206" s="1370"/>
      <c r="Q206" s="1372"/>
    </row>
    <row r="207" spans="2:17" ht="14.25" x14ac:dyDescent="0.45">
      <c r="B207" s="1369" t="s">
        <v>1582</v>
      </c>
      <c r="C207" s="1394">
        <f>+J125+J128+J126</f>
        <v>65.207723999999999</v>
      </c>
      <c r="D207" s="1394">
        <f>+Q125+Q128+Q126</f>
        <v>38.060927100000001</v>
      </c>
      <c r="E207" s="1376">
        <f>+D207/C207*10</f>
        <v>5.8368740335117355</v>
      </c>
      <c r="F207" s="1394">
        <f>+J143+J147</f>
        <v>142.11144551515667</v>
      </c>
      <c r="G207" s="1394">
        <f>+Q143+Q147</f>
        <v>84.548198616669765</v>
      </c>
      <c r="H207" s="1376">
        <f t="shared" si="13"/>
        <v>5.9494292180465091</v>
      </c>
      <c r="I207" s="1370"/>
      <c r="J207" s="1370"/>
      <c r="K207" s="1372"/>
      <c r="L207" s="1370"/>
      <c r="M207" s="1370"/>
      <c r="N207" s="1372"/>
      <c r="O207" s="1370"/>
      <c r="P207" s="1370"/>
      <c r="Q207" s="1372"/>
    </row>
    <row r="208" spans="2:17" ht="14.25" x14ac:dyDescent="0.45">
      <c r="B208" s="1369" t="s">
        <v>1583</v>
      </c>
      <c r="C208" s="1393">
        <f>+J131</f>
        <v>0.12415811999999998</v>
      </c>
      <c r="D208" s="1393">
        <f ca="1">+Q131</f>
        <v>7.1615333556343405E-2</v>
      </c>
      <c r="E208" s="1376">
        <f ca="1">+D208/C208*10</f>
        <v>5.7680748996798128</v>
      </c>
      <c r="F208" s="1393">
        <f>+J149</f>
        <v>0.12415811999999998</v>
      </c>
      <c r="G208" s="1393">
        <f ca="1">+Q149</f>
        <v>6.9554678512988119E-2</v>
      </c>
      <c r="H208" s="1376">
        <f t="shared" ca="1" si="13"/>
        <v>5.6021046801440075</v>
      </c>
      <c r="I208" s="1377">
        <f>+J161</f>
        <v>0.12415811999999998</v>
      </c>
      <c r="J208" s="1397">
        <f ca="1">+Q161</f>
        <v>7.4891693732772088E-2</v>
      </c>
      <c r="K208" s="1376">
        <f ca="1">+J208/I208*10</f>
        <v>6.0319609972164612</v>
      </c>
      <c r="L208" s="1377">
        <f>+J174</f>
        <v>0.12415811999999998</v>
      </c>
      <c r="M208" s="1397">
        <f ca="1">+Q174</f>
        <v>7.5742541670798344E-2</v>
      </c>
      <c r="N208" s="1376">
        <f ca="1">+M208/L208*10</f>
        <v>6.1004903803954473</v>
      </c>
      <c r="O208" s="1377">
        <f>+J186</f>
        <v>0.12415811999999998</v>
      </c>
      <c r="P208" s="1397">
        <f ca="1">+Q186</f>
        <v>7.6978034399999978E-2</v>
      </c>
      <c r="Q208" s="1376">
        <f ca="1">+P208/O208*10</f>
        <v>6.1999999999999993</v>
      </c>
    </row>
    <row r="209" spans="2:17" ht="14.25" x14ac:dyDescent="0.45">
      <c r="B209" s="1369" t="s">
        <v>1584</v>
      </c>
      <c r="C209" s="1394"/>
      <c r="D209" s="1394">
        <f>SUM('F2.2'!K11:K14)</f>
        <v>9.5932504865660704</v>
      </c>
      <c r="E209" s="1376"/>
      <c r="F209" s="1394"/>
      <c r="G209" s="1394">
        <f>SUM('F2.2'!L11:L14)</f>
        <v>13.150947312321973</v>
      </c>
      <c r="H209" s="1376" t="e">
        <f t="shared" si="13"/>
        <v>#DIV/0!</v>
      </c>
      <c r="I209" s="1370"/>
      <c r="J209" s="1394">
        <f>+SUM('F2.2'!M11:M14)</f>
        <v>15.387837953424654</v>
      </c>
      <c r="K209" s="1372"/>
      <c r="L209" s="1370"/>
      <c r="M209" s="1394">
        <f>+SUM('F2.2'!N11:N14)</f>
        <v>18.194127077552334</v>
      </c>
      <c r="N209" s="1372"/>
      <c r="O209" s="1370"/>
      <c r="P209" s="1394">
        <f>+SUM('F2.2'!O11:O14)</f>
        <v>18.825803053879682</v>
      </c>
      <c r="Q209" s="1372"/>
    </row>
    <row r="210" spans="2:17" ht="14.25" x14ac:dyDescent="0.45">
      <c r="B210" s="1371" t="s">
        <v>1585</v>
      </c>
      <c r="C210" s="1378">
        <f>+C205-SUM(C207:C209)</f>
        <v>80.49322809056649</v>
      </c>
      <c r="D210" s="1378">
        <f ca="1">+D205-SUM(D207:D209)</f>
        <v>46.429096854339861</v>
      </c>
      <c r="E210" s="1376">
        <f ca="1">+D210/C210*10</f>
        <v>5.7680748996798128</v>
      </c>
      <c r="F210" s="1378">
        <f>+F205-SUM(F207:F209)</f>
        <v>38.998799999999989</v>
      </c>
      <c r="G210" s="1378">
        <f ca="1">+G205-SUM(G207:G209)</f>
        <v>21.847536000000005</v>
      </c>
      <c r="H210" s="1376">
        <f t="shared" ca="1" si="13"/>
        <v>5.6021046801440075</v>
      </c>
      <c r="I210" s="1395">
        <f>+I205-SUM(I207:I209)</f>
        <v>223.1885356743343</v>
      </c>
      <c r="J210" s="1395">
        <f ca="1">+J205-SUM(J207:J209)</f>
        <v>134.62645422134392</v>
      </c>
      <c r="K210" s="1396">
        <f ca="1">+J210/I210*10</f>
        <v>6.0319609972164612</v>
      </c>
      <c r="L210" s="1395">
        <f>+L205-SUM(L207:L209)</f>
        <v>269.40017327003591</v>
      </c>
      <c r="M210" s="1395">
        <f ca="1">+M205-SUM(M207:M209)</f>
        <v>164.34731655107205</v>
      </c>
      <c r="N210" s="1376">
        <f ca="1">+M210/L210*10</f>
        <v>6.1004903803954473</v>
      </c>
      <c r="O210" s="1395">
        <f>+O205-SUM(O207:O209)</f>
        <v>291.15846886207487</v>
      </c>
      <c r="P210" s="1395">
        <f ca="1">+P205-SUM(P207:P209)</f>
        <v>180.5182506944864</v>
      </c>
      <c r="Q210" s="1376">
        <f ca="1">+P210/O210*10</f>
        <v>6.1999999999999993</v>
      </c>
    </row>
    <row r="215" spans="2:17" x14ac:dyDescent="0.4">
      <c r="B215" s="1532" t="s">
        <v>1724</v>
      </c>
      <c r="C215" s="1533" t="s">
        <v>624</v>
      </c>
      <c r="D215" s="1533" t="s">
        <v>196</v>
      </c>
      <c r="E215" s="1533" t="s">
        <v>197</v>
      </c>
      <c r="F215" s="1533" t="s">
        <v>198</v>
      </c>
      <c r="G215" s="1534" t="s">
        <v>199</v>
      </c>
      <c r="H215" s="1534" t="s">
        <v>112</v>
      </c>
      <c r="I215" s="1534" t="s">
        <v>113</v>
      </c>
    </row>
    <row r="216" spans="2:17" x14ac:dyDescent="0.4">
      <c r="B216" s="1535" t="s">
        <v>1725</v>
      </c>
      <c r="C216" s="1536" t="s">
        <v>236</v>
      </c>
      <c r="D216" s="1722">
        <f>+'F1.4'!D34</f>
        <v>1.3178277269068113</v>
      </c>
      <c r="E216" s="1722">
        <f>+'F1.4'!E34</f>
        <v>3.3860367985042248</v>
      </c>
      <c r="F216" s="1722">
        <f>+'F1.4'!F34</f>
        <v>8.2603397954742039</v>
      </c>
      <c r="G216" s="1722">
        <f>+'F1.4'!G34</f>
        <v>17.671072733316954</v>
      </c>
      <c r="H216" s="1722">
        <f>+'F1.4'!H34</f>
        <v>26.575881020399741</v>
      </c>
      <c r="I216" s="1722">
        <f>+'F1.4'!I34</f>
        <v>40.784802293787315</v>
      </c>
    </row>
    <row r="217" spans="2:17" x14ac:dyDescent="0.4">
      <c r="B217" s="1535" t="s">
        <v>1734</v>
      </c>
      <c r="C217" s="1536" t="s">
        <v>236</v>
      </c>
      <c r="D217" s="1722"/>
      <c r="E217" s="1722"/>
      <c r="F217" s="1722"/>
      <c r="G217" s="1722"/>
      <c r="H217" s="1722"/>
      <c r="I217" s="1722"/>
    </row>
    <row r="218" spans="2:17" x14ac:dyDescent="0.4">
      <c r="B218" s="1535" t="s">
        <v>1735</v>
      </c>
      <c r="C218" s="1536" t="s">
        <v>236</v>
      </c>
      <c r="D218" s="1722">
        <f t="shared" ref="D218:I218" si="14">+D216-D217</f>
        <v>1.3178277269068113</v>
      </c>
      <c r="E218" s="1722">
        <f t="shared" si="14"/>
        <v>3.3860367985042248</v>
      </c>
      <c r="F218" s="1722">
        <f t="shared" si="14"/>
        <v>8.2603397954742039</v>
      </c>
      <c r="G218" s="1722">
        <f t="shared" si="14"/>
        <v>17.671072733316954</v>
      </c>
      <c r="H218" s="1722">
        <f t="shared" si="14"/>
        <v>26.575881020399741</v>
      </c>
      <c r="I218" s="1722">
        <f t="shared" si="14"/>
        <v>40.784802293787315</v>
      </c>
    </row>
    <row r="219" spans="2:17" ht="14.25" x14ac:dyDescent="0.4">
      <c r="B219" s="1537" t="s">
        <v>1726</v>
      </c>
      <c r="C219" s="1536"/>
      <c r="D219" s="1723"/>
      <c r="E219" s="1723"/>
      <c r="F219" s="1723"/>
      <c r="G219" s="1724"/>
      <c r="H219" s="1724"/>
      <c r="I219" s="1724"/>
    </row>
    <row r="220" spans="2:17" x14ac:dyDescent="0.4">
      <c r="B220" s="1535" t="s">
        <v>1727</v>
      </c>
      <c r="C220" s="1536" t="s">
        <v>243</v>
      </c>
      <c r="D220" s="1540">
        <v>2.75E-2</v>
      </c>
      <c r="E220" s="1540">
        <v>3.5000000000000003E-2</v>
      </c>
      <c r="F220" s="1540">
        <v>4.4999999999999998E-2</v>
      </c>
      <c r="G220" s="1541">
        <v>0.06</v>
      </c>
      <c r="H220" s="1541">
        <v>0.08</v>
      </c>
      <c r="I220" s="1541">
        <v>0.105</v>
      </c>
    </row>
    <row r="221" spans="2:17" x14ac:dyDescent="0.4">
      <c r="B221" s="1535" t="s">
        <v>1727</v>
      </c>
      <c r="C221" s="1536" t="s">
        <v>236</v>
      </c>
      <c r="D221" s="1722">
        <f t="shared" ref="D221:I221" si="15">+D218*D220</f>
        <v>3.6240262489937308E-2</v>
      </c>
      <c r="E221" s="1722">
        <f t="shared" si="15"/>
        <v>0.11851128794764788</v>
      </c>
      <c r="F221" s="1722">
        <f t="shared" si="15"/>
        <v>0.37171529079633914</v>
      </c>
      <c r="G221" s="1722">
        <f t="shared" si="15"/>
        <v>1.0602643639990172</v>
      </c>
      <c r="H221" s="1722">
        <f t="shared" si="15"/>
        <v>2.1260704816319795</v>
      </c>
      <c r="I221" s="1722">
        <f t="shared" si="15"/>
        <v>4.2824042408476677</v>
      </c>
    </row>
    <row r="222" spans="2:17" x14ac:dyDescent="0.4">
      <c r="B222" s="1535" t="s">
        <v>1728</v>
      </c>
      <c r="C222" s="1536" t="s">
        <v>236</v>
      </c>
      <c r="D222" s="1726">
        <v>0</v>
      </c>
      <c r="E222" s="1726">
        <v>7.5741619999999996E-2</v>
      </c>
      <c r="F222" s="1726">
        <v>0.31655</v>
      </c>
      <c r="G222" s="1727">
        <v>0.47658</v>
      </c>
      <c r="H222" s="1727">
        <v>0.36890620000000007</v>
      </c>
      <c r="I222" s="1727">
        <v>0.35041870000000003</v>
      </c>
    </row>
    <row r="223" spans="2:17" x14ac:dyDescent="0.4">
      <c r="B223" s="1535" t="s">
        <v>1729</v>
      </c>
      <c r="C223" s="1536" t="s">
        <v>236</v>
      </c>
      <c r="D223" s="1726">
        <v>0</v>
      </c>
      <c r="E223" s="1726">
        <v>0</v>
      </c>
      <c r="F223" s="1726">
        <v>0</v>
      </c>
      <c r="G223" s="1726">
        <v>0</v>
      </c>
      <c r="H223" s="1726">
        <f>1.886-H222</f>
        <v>1.5170937999999998</v>
      </c>
      <c r="I223" s="1726">
        <v>0</v>
      </c>
      <c r="J223" s="561">
        <f>1006/10^6*1000</f>
        <v>1.006</v>
      </c>
      <c r="K223" s="1508">
        <f>+H223-J223</f>
        <v>0.51109379999999982</v>
      </c>
    </row>
    <row r="224" spans="2:17" x14ac:dyDescent="0.4">
      <c r="B224" s="1539" t="s">
        <v>1730</v>
      </c>
      <c r="C224" s="1536" t="s">
        <v>236</v>
      </c>
      <c r="D224" s="1725">
        <f>+D221-D222-D223</f>
        <v>3.6240262489937308E-2</v>
      </c>
      <c r="E224" s="1725">
        <f>+E221-E222-E223+D224</f>
        <v>7.9009930437585196E-2</v>
      </c>
      <c r="F224" s="1725">
        <f>+F221-F222-F223+E224</f>
        <v>0.13417522123392434</v>
      </c>
      <c r="G224" s="1725">
        <f>+G221-G222-G223+F224</f>
        <v>0.71785958523294158</v>
      </c>
      <c r="H224" s="1725">
        <f>+H221-H222-H223+G224</f>
        <v>0.95793006686492121</v>
      </c>
      <c r="I224" s="1725">
        <f>+I221-I222-I223+H224</f>
        <v>4.8899156077125889</v>
      </c>
    </row>
    <row r="225" spans="2:9" ht="14.25" x14ac:dyDescent="0.4">
      <c r="B225" s="1535"/>
      <c r="C225" s="1536"/>
      <c r="D225" s="1728"/>
      <c r="E225" s="1728"/>
      <c r="F225" s="1728"/>
      <c r="G225" s="1728"/>
      <c r="H225" s="1728"/>
      <c r="I225" s="1729"/>
    </row>
    <row r="226" spans="2:9" ht="14.25" x14ac:dyDescent="0.4">
      <c r="B226" s="1537" t="s">
        <v>1731</v>
      </c>
      <c r="C226" s="1536"/>
      <c r="D226" s="1728"/>
      <c r="E226" s="1728"/>
      <c r="F226" s="1728"/>
      <c r="G226" s="1729"/>
      <c r="H226" s="1729"/>
      <c r="I226" s="1729"/>
    </row>
    <row r="227" spans="2:9" x14ac:dyDescent="0.4">
      <c r="B227" s="1535" t="s">
        <v>1731</v>
      </c>
      <c r="C227" s="1536" t="s">
        <v>243</v>
      </c>
      <c r="D227" s="1540">
        <v>0.11</v>
      </c>
      <c r="E227" s="1540">
        <v>0.115</v>
      </c>
      <c r="F227" s="1540">
        <v>0.115</v>
      </c>
      <c r="G227" s="1541">
        <v>0.115</v>
      </c>
      <c r="H227" s="1541">
        <v>0.115</v>
      </c>
      <c r="I227" s="1541">
        <v>0.115</v>
      </c>
    </row>
    <row r="228" spans="2:9" x14ac:dyDescent="0.4">
      <c r="B228" s="1535" t="s">
        <v>1731</v>
      </c>
      <c r="C228" s="1536" t="s">
        <v>236</v>
      </c>
      <c r="D228" s="1731">
        <f t="shared" ref="D228:I228" si="16">+D218*D227</f>
        <v>0.14496104995974923</v>
      </c>
      <c r="E228" s="1731">
        <f t="shared" si="16"/>
        <v>0.38939423182798588</v>
      </c>
      <c r="F228" s="1731">
        <f t="shared" si="16"/>
        <v>0.94993907647953346</v>
      </c>
      <c r="G228" s="1731">
        <f t="shared" si="16"/>
        <v>2.0321733643314497</v>
      </c>
      <c r="H228" s="1731">
        <f t="shared" si="16"/>
        <v>3.0562263173459705</v>
      </c>
      <c r="I228" s="1731">
        <f t="shared" si="16"/>
        <v>4.6902522637855411</v>
      </c>
    </row>
    <row r="229" spans="2:9" x14ac:dyDescent="0.4">
      <c r="B229" s="1535" t="s">
        <v>1732</v>
      </c>
      <c r="C229" s="1536" t="s">
        <v>236</v>
      </c>
      <c r="D229" s="1730">
        <v>0</v>
      </c>
      <c r="E229" s="1730">
        <v>0</v>
      </c>
      <c r="F229" s="1730">
        <v>0</v>
      </c>
      <c r="G229" s="1729">
        <v>5.561E-2</v>
      </c>
      <c r="H229" s="1731">
        <v>4.8306247109999996</v>
      </c>
      <c r="I229" s="1731">
        <v>17.286728609090915</v>
      </c>
    </row>
    <row r="230" spans="2:9" ht="25.5" x14ac:dyDescent="0.4">
      <c r="B230" s="1539" t="s">
        <v>1733</v>
      </c>
      <c r="C230" s="1536" t="s">
        <v>236</v>
      </c>
      <c r="D230" s="1725">
        <f>+D228-D229</f>
        <v>0.14496104995974923</v>
      </c>
      <c r="E230" s="1725">
        <f>+E228-E229+D230</f>
        <v>0.53435528178773506</v>
      </c>
      <c r="F230" s="1725">
        <f>+F228-F229+E230</f>
        <v>1.4842943582672685</v>
      </c>
      <c r="G230" s="1725">
        <f>+G228-G229+F230</f>
        <v>3.4608577225987185</v>
      </c>
      <c r="H230" s="1725">
        <f>+H228-H229+G230</f>
        <v>1.6864593289446894</v>
      </c>
      <c r="I230" s="1725">
        <f>+I228-I229+H230</f>
        <v>-10.910017016360683</v>
      </c>
    </row>
    <row r="231" spans="2:9" x14ac:dyDescent="0.4">
      <c r="B231" s="722"/>
      <c r="C231" s="1553"/>
      <c r="D231" s="1732"/>
      <c r="E231" s="1732"/>
      <c r="F231" s="1732"/>
      <c r="G231" s="1732"/>
      <c r="H231" s="1732"/>
      <c r="I231" s="1732"/>
    </row>
    <row r="232" spans="2:9" x14ac:dyDescent="0.4">
      <c r="B232" s="1388" t="s">
        <v>1736</v>
      </c>
      <c r="C232" s="1553"/>
      <c r="D232" s="1732"/>
      <c r="E232" s="1732"/>
      <c r="F232" s="1732"/>
      <c r="G232" s="1732"/>
      <c r="H232" s="1732"/>
      <c r="I232" s="1732"/>
    </row>
    <row r="233" spans="2:9" x14ac:dyDescent="0.4">
      <c r="B233" s="722" t="s">
        <v>1737</v>
      </c>
      <c r="C233" s="1553" t="s">
        <v>243</v>
      </c>
      <c r="D233" s="1540">
        <f t="shared" ref="D233:I233" si="17">+D220+D227</f>
        <v>0.13750000000000001</v>
      </c>
      <c r="E233" s="1540">
        <f t="shared" si="17"/>
        <v>0.15000000000000002</v>
      </c>
      <c r="F233" s="1540">
        <f t="shared" si="17"/>
        <v>0.16</v>
      </c>
      <c r="G233" s="1541">
        <f t="shared" si="17"/>
        <v>0.17499999999999999</v>
      </c>
      <c r="H233" s="1541">
        <f t="shared" si="17"/>
        <v>0.19500000000000001</v>
      </c>
      <c r="I233" s="1541">
        <f t="shared" si="17"/>
        <v>0.22</v>
      </c>
    </row>
    <row r="234" spans="2:9" x14ac:dyDescent="0.4">
      <c r="B234" s="722" t="s">
        <v>1737</v>
      </c>
      <c r="C234" s="1553" t="s">
        <v>236</v>
      </c>
      <c r="D234" s="1733">
        <f t="shared" ref="D234:I234" si="18">+D218*D233</f>
        <v>0.18120131244968657</v>
      </c>
      <c r="E234" s="1733">
        <f t="shared" si="18"/>
        <v>0.50790551977563381</v>
      </c>
      <c r="F234" s="1733">
        <f t="shared" si="18"/>
        <v>1.3216543672758727</v>
      </c>
      <c r="G234" s="1733">
        <f t="shared" si="18"/>
        <v>3.0924377283304669</v>
      </c>
      <c r="H234" s="1733">
        <f t="shared" si="18"/>
        <v>5.1822967989779496</v>
      </c>
      <c r="I234" s="1733">
        <f t="shared" si="18"/>
        <v>8.9726565046332087</v>
      </c>
    </row>
    <row r="235" spans="2:9" x14ac:dyDescent="0.4">
      <c r="B235" s="722" t="s">
        <v>1738</v>
      </c>
      <c r="C235" s="1553" t="s">
        <v>236</v>
      </c>
      <c r="D235" s="1732">
        <f t="shared" ref="D235:I235" si="19">+D223+D222++D229</f>
        <v>0</v>
      </c>
      <c r="E235" s="1732">
        <f t="shared" si="19"/>
        <v>7.5741619999999996E-2</v>
      </c>
      <c r="F235" s="1732">
        <f t="shared" si="19"/>
        <v>0.31655</v>
      </c>
      <c r="G235" s="1732">
        <f t="shared" si="19"/>
        <v>0.53219000000000005</v>
      </c>
      <c r="H235" s="1732">
        <f t="shared" si="19"/>
        <v>6.7166247109999997</v>
      </c>
      <c r="I235" s="1732">
        <f t="shared" si="19"/>
        <v>17.637147309090913</v>
      </c>
    </row>
    <row r="236" spans="2:9" ht="25.5" x14ac:dyDescent="0.4">
      <c r="B236" s="1539" t="s">
        <v>1733</v>
      </c>
      <c r="C236" s="1536" t="s">
        <v>236</v>
      </c>
      <c r="D236" s="1732">
        <f>+D234-D235</f>
        <v>0.18120131244968657</v>
      </c>
      <c r="E236" s="1732">
        <f>+D236+E234-E235</f>
        <v>0.61336521222532048</v>
      </c>
      <c r="F236" s="1732">
        <f>+E236+F234-F235</f>
        <v>1.6184695795011934</v>
      </c>
      <c r="G236" s="1732">
        <f>+F236+G234-G235</f>
        <v>4.1787173078316604</v>
      </c>
      <c r="H236" s="1732">
        <f>+G236+H234-H235</f>
        <v>2.6443893958096094</v>
      </c>
      <c r="I236" s="1732">
        <f>+H236+I234-I235</f>
        <v>-6.0201014086480953</v>
      </c>
    </row>
    <row r="240" spans="2:9" x14ac:dyDescent="0.4">
      <c r="B240" s="1957" t="s">
        <v>111</v>
      </c>
      <c r="C240" s="1542" t="s">
        <v>1739</v>
      </c>
      <c r="D240" s="1958" t="s">
        <v>114</v>
      </c>
      <c r="E240" s="1959"/>
      <c r="F240" s="1959"/>
      <c r="G240" s="1959"/>
    </row>
    <row r="241" spans="2:8" ht="39.4" x14ac:dyDescent="0.4">
      <c r="B241" s="1957"/>
      <c r="C241" s="1542"/>
      <c r="D241" s="1543" t="s">
        <v>1750</v>
      </c>
      <c r="E241" s="1544" t="s">
        <v>1740</v>
      </c>
      <c r="F241" s="1544" t="s">
        <v>1741</v>
      </c>
      <c r="G241" s="1544" t="s">
        <v>1742</v>
      </c>
    </row>
    <row r="242" spans="2:8" x14ac:dyDescent="0.4">
      <c r="B242" s="1545" t="s">
        <v>1743</v>
      </c>
      <c r="C242" s="1545"/>
      <c r="D242" s="1546">
        <f>+'F1.4'!J34</f>
        <v>83.294598753284305</v>
      </c>
      <c r="E242" s="1545"/>
      <c r="F242" s="1545"/>
      <c r="G242" s="1545"/>
    </row>
    <row r="243" spans="2:8" x14ac:dyDescent="0.4">
      <c r="B243" s="1545" t="s">
        <v>1744</v>
      </c>
      <c r="C243" s="1547">
        <v>6.7000000000000002E-3</v>
      </c>
      <c r="D243" s="1548">
        <f>+$D$242*$C243</f>
        <v>0.55807381164700487</v>
      </c>
      <c r="E243" s="1545"/>
      <c r="F243" s="1545"/>
      <c r="G243" s="1549">
        <f>+D243+E243-F243</f>
        <v>0.55807381164700487</v>
      </c>
    </row>
    <row r="244" spans="2:8" x14ac:dyDescent="0.4">
      <c r="B244" s="1545" t="s">
        <v>1745</v>
      </c>
      <c r="C244" s="1547">
        <v>3.8E-3</v>
      </c>
      <c r="D244" s="1548">
        <f>+$D$242*$C244</f>
        <v>0.31651947526248037</v>
      </c>
      <c r="E244" s="1545"/>
      <c r="F244" s="1554">
        <v>0</v>
      </c>
      <c r="G244" s="1549">
        <f>+D244+E244-F244</f>
        <v>0.31651947526248037</v>
      </c>
    </row>
    <row r="245" spans="2:8" x14ac:dyDescent="0.4">
      <c r="B245" s="1545" t="s">
        <v>1746</v>
      </c>
      <c r="C245" s="1547">
        <v>1.4999999999999999E-2</v>
      </c>
      <c r="D245" s="1548">
        <f>+$D$242*$C245</f>
        <v>1.2494189812992644</v>
      </c>
      <c r="E245" s="1545"/>
      <c r="F245" s="1546">
        <f>253589.8/10^6</f>
        <v>0.25358979999999998</v>
      </c>
      <c r="G245" s="1549">
        <f>+D245+E245-F245</f>
        <v>0.99582918129926445</v>
      </c>
    </row>
    <row r="246" spans="2:8" x14ac:dyDescent="0.4">
      <c r="B246" s="1545" t="s">
        <v>1747</v>
      </c>
      <c r="C246" s="1547">
        <v>0.2586</v>
      </c>
      <c r="D246" s="1548">
        <f>+$D$242*$C246</f>
        <v>21.539983237599319</v>
      </c>
      <c r="E246" s="1549">
        <f>+I236</f>
        <v>-6.0201014086480953</v>
      </c>
      <c r="F246" s="1554">
        <f>+J110+J109+5.0141222</f>
        <v>58.708846200000004</v>
      </c>
      <c r="G246" s="1549">
        <f>+D246+E246-F246</f>
        <v>-43.188964371048783</v>
      </c>
    </row>
    <row r="247" spans="2:8" x14ac:dyDescent="0.4">
      <c r="B247" s="1545" t="s">
        <v>1748</v>
      </c>
      <c r="C247" s="1547">
        <v>1.4999999999999999E-2</v>
      </c>
      <c r="D247" s="1548">
        <f>+$D$242*$C247</f>
        <v>1.2494189812992644</v>
      </c>
      <c r="E247" s="1545"/>
      <c r="F247" s="1545"/>
      <c r="G247" s="1549">
        <f>+D247+E247-F247</f>
        <v>1.2494189812992644</v>
      </c>
      <c r="H247" s="1667"/>
    </row>
    <row r="248" spans="2:8" x14ac:dyDescent="0.4">
      <c r="B248" s="1550" t="s">
        <v>1749</v>
      </c>
      <c r="C248" s="1551">
        <f>SUM(C243:C247)</f>
        <v>0.29910000000000003</v>
      </c>
      <c r="D248" s="1552">
        <f>SUM(D243:D247)</f>
        <v>24.913414487107332</v>
      </c>
      <c r="E248" s="1552">
        <f>SUM(E243:E247)</f>
        <v>-6.0201014086480953</v>
      </c>
      <c r="F248" s="1552">
        <f>SUM(F243:F247)</f>
        <v>58.962436000000004</v>
      </c>
      <c r="G248" s="1552">
        <f>SUM(G243:G247)</f>
        <v>-40.069122921540767</v>
      </c>
    </row>
    <row r="251" spans="2:8" x14ac:dyDescent="0.4">
      <c r="B251" s="1604" t="s">
        <v>111</v>
      </c>
      <c r="C251" s="1605"/>
      <c r="D251" s="1605" t="s">
        <v>112</v>
      </c>
      <c r="E251" s="1606" t="s">
        <v>113</v>
      </c>
    </row>
    <row r="252" spans="2:8" x14ac:dyDescent="0.4">
      <c r="B252" s="1607" t="s">
        <v>1772</v>
      </c>
      <c r="C252" s="1608" t="s">
        <v>1062</v>
      </c>
      <c r="D252" s="1599">
        <f>+H216</f>
        <v>26.575881020399741</v>
      </c>
      <c r="E252" s="1599">
        <f>+I216</f>
        <v>40.784802293787315</v>
      </c>
    </row>
    <row r="253" spans="2:8" ht="27" x14ac:dyDescent="0.4">
      <c r="B253" s="1609" t="s">
        <v>1773</v>
      </c>
      <c r="C253" s="1610" t="s">
        <v>1060</v>
      </c>
      <c r="D253" s="1600">
        <v>0.24610000000000001</v>
      </c>
      <c r="E253" s="1600">
        <v>0.27079999999999999</v>
      </c>
    </row>
    <row r="254" spans="2:8" x14ac:dyDescent="0.4">
      <c r="B254" s="1607" t="s">
        <v>1774</v>
      </c>
      <c r="C254" s="1611" t="s">
        <v>1775</v>
      </c>
      <c r="D254" s="1601">
        <f>D252*D253</f>
        <v>6.5403243191203764</v>
      </c>
      <c r="E254" s="1601">
        <f>E252*E253</f>
        <v>11.044524461157604</v>
      </c>
    </row>
    <row r="255" spans="2:8" x14ac:dyDescent="0.4">
      <c r="B255" s="1612" t="s">
        <v>1776</v>
      </c>
      <c r="C255" s="1608" t="s">
        <v>1055</v>
      </c>
      <c r="D255" s="1602">
        <f>+G236</f>
        <v>4.1787173078316604</v>
      </c>
      <c r="E255" s="1602">
        <f>D258</f>
        <v>4.002416915952038</v>
      </c>
    </row>
    <row r="256" spans="2:8" x14ac:dyDescent="0.4">
      <c r="B256" s="1613" t="s">
        <v>1777</v>
      </c>
      <c r="C256" s="1614" t="s">
        <v>1778</v>
      </c>
      <c r="D256" s="1603">
        <f>D254+D255</f>
        <v>10.719041626952038</v>
      </c>
      <c r="E256" s="1603">
        <f>E254+E255</f>
        <v>15.046941377109642</v>
      </c>
    </row>
    <row r="257" spans="2:5" x14ac:dyDescent="0.4">
      <c r="B257" s="1612" t="s">
        <v>1779</v>
      </c>
      <c r="C257" s="1608" t="s">
        <v>1780</v>
      </c>
      <c r="D257" s="1602">
        <f>+H217+H235</f>
        <v>6.7166247109999997</v>
      </c>
      <c r="E257" s="1602">
        <f>+I217+I235</f>
        <v>17.637147309090913</v>
      </c>
    </row>
    <row r="258" spans="2:5" x14ac:dyDescent="0.4">
      <c r="B258" s="1612" t="s">
        <v>1742</v>
      </c>
      <c r="C258" s="1611" t="s">
        <v>1781</v>
      </c>
      <c r="D258" s="1734">
        <f>D256-D257</f>
        <v>4.002416915952038</v>
      </c>
      <c r="E258" s="1734">
        <f>E254+E255-E257</f>
        <v>-2.5902059319812718</v>
      </c>
    </row>
    <row r="259" spans="2:5" x14ac:dyDescent="0.4">
      <c r="B259" s="1607" t="s">
        <v>1782</v>
      </c>
      <c r="C259" s="1608" t="s">
        <v>1086</v>
      </c>
      <c r="D259" s="1599">
        <f>+H218</f>
        <v>26.575881020399741</v>
      </c>
      <c r="E259" s="1599">
        <f>+I218</f>
        <v>40.784802293787315</v>
      </c>
    </row>
    <row r="260" spans="2:5" x14ac:dyDescent="0.4">
      <c r="B260" s="1609" t="s">
        <v>1783</v>
      </c>
      <c r="C260" s="1615" t="s">
        <v>1084</v>
      </c>
      <c r="D260" s="1600">
        <f>+H233</f>
        <v>0.19500000000000001</v>
      </c>
      <c r="E260" s="1600">
        <f>+I233</f>
        <v>0.22</v>
      </c>
    </row>
    <row r="261" spans="2:5" x14ac:dyDescent="0.4">
      <c r="B261" s="1607" t="s">
        <v>1774</v>
      </c>
      <c r="C261" s="1611" t="s">
        <v>1784</v>
      </c>
      <c r="D261" s="1601">
        <f>D259*D260</f>
        <v>5.1822967989779496</v>
      </c>
      <c r="E261" s="1601">
        <f>E259*E260</f>
        <v>8.9726565046332087</v>
      </c>
    </row>
    <row r="262" spans="2:5" x14ac:dyDescent="0.4">
      <c r="B262" s="1616" t="str">
        <f>B255</f>
        <v>Previous year (Surplus)/
Short fall</v>
      </c>
      <c r="C262" s="1611" t="s">
        <v>1055</v>
      </c>
      <c r="D262" s="1601">
        <f>D255</f>
        <v>4.1787173078316604</v>
      </c>
      <c r="E262" s="1601">
        <f>D265</f>
        <v>2.6443893958096094</v>
      </c>
    </row>
    <row r="263" spans="2:5" x14ac:dyDescent="0.4">
      <c r="B263" s="1613" t="s">
        <v>1777</v>
      </c>
      <c r="C263" s="1614" t="s">
        <v>1785</v>
      </c>
      <c r="D263" s="1603">
        <f>D261+D262</f>
        <v>9.3610141068096091</v>
      </c>
      <c r="E263" s="1603">
        <f>E261+E262</f>
        <v>11.617045900442818</v>
      </c>
    </row>
    <row r="264" spans="2:5" x14ac:dyDescent="0.4">
      <c r="B264" s="1616" t="s">
        <v>1786</v>
      </c>
      <c r="C264" s="1608" t="s">
        <v>1787</v>
      </c>
      <c r="D264" s="1599">
        <f>+H235</f>
        <v>6.7166247109999997</v>
      </c>
      <c r="E264" s="1599">
        <f>+I235</f>
        <v>17.637147309090913</v>
      </c>
    </row>
    <row r="265" spans="2:5" x14ac:dyDescent="0.4">
      <c r="B265" s="1616" t="s">
        <v>1788</v>
      </c>
      <c r="C265" s="1611" t="s">
        <v>1789</v>
      </c>
      <c r="D265" s="1734">
        <f>D263-D264</f>
        <v>2.6443893958096094</v>
      </c>
      <c r="E265" s="1734">
        <f>E263-E264</f>
        <v>-6.0201014086480953</v>
      </c>
    </row>
    <row r="266" spans="2:5" ht="54" x14ac:dyDescent="0.4">
      <c r="B266" s="1617" t="s">
        <v>1790</v>
      </c>
      <c r="C266" s="1611" t="s">
        <v>1791</v>
      </c>
      <c r="D266" s="1601">
        <f>+D264-D261</f>
        <v>1.5343279120220501</v>
      </c>
      <c r="E266" s="1601">
        <f>+E264-E261</f>
        <v>8.6644908044577047</v>
      </c>
    </row>
    <row r="267" spans="2:5" x14ac:dyDescent="0.4">
      <c r="B267" s="1616" t="s">
        <v>1792</v>
      </c>
      <c r="C267" s="1611" t="s">
        <v>1793</v>
      </c>
      <c r="D267" s="1601">
        <f>IF(D265&lt;0,D266*0.25/10,0)</f>
        <v>0</v>
      </c>
      <c r="E267" s="1601">
        <f>IF(E265&lt;0,E266*0.25/10,0)</f>
        <v>0.21661227011144263</v>
      </c>
    </row>
  </sheetData>
  <mergeCells count="11">
    <mergeCell ref="B240:B241"/>
    <mergeCell ref="D240:G240"/>
    <mergeCell ref="B6:C6"/>
    <mergeCell ref="A2:R2"/>
    <mergeCell ref="A3:R3"/>
    <mergeCell ref="A4:R4"/>
    <mergeCell ref="C202:E202"/>
    <mergeCell ref="F202:H202"/>
    <mergeCell ref="I202:K202"/>
    <mergeCell ref="L202:N202"/>
    <mergeCell ref="O202:Q202"/>
  </mergeCells>
  <pageMargins left="0.47244094488188981" right="0.39370078740157483" top="0.43307086614173229" bottom="0.31496062992125984" header="0.31496062992125984" footer="0.31496062992125984"/>
  <pageSetup paperSize="9" scale="45" orientation="landscape" r:id="rId1"/>
  <rowBreaks count="3" manualBreakCount="3">
    <brk id="70" max="17" man="1"/>
    <brk id="103" max="16383" man="1"/>
    <brk id="16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V570"/>
  <sheetViews>
    <sheetView showGridLines="0" view="pageBreakPreview" topLeftCell="A222" zoomScale="80" zoomScaleNormal="75" zoomScaleSheetLayoutView="90" workbookViewId="0">
      <selection activeCell="E247" activeCellId="2" sqref="E241 E246 E247"/>
    </sheetView>
  </sheetViews>
  <sheetFormatPr defaultColWidth="9.33203125" defaultRowHeight="13.9" x14ac:dyDescent="0.35"/>
  <cols>
    <col min="1" max="1" width="6.6640625" style="10" customWidth="1"/>
    <col min="2" max="2" width="11.33203125" style="173" customWidth="1"/>
    <col min="3" max="3" width="40.1328125" style="10" customWidth="1"/>
    <col min="4" max="4" width="14.46484375" style="57" bestFit="1" customWidth="1"/>
    <col min="5" max="16" width="11" style="10" customWidth="1"/>
    <col min="17" max="17" width="13.6640625" style="10" customWidth="1"/>
    <col min="18" max="21" width="9.33203125" style="10"/>
    <col min="22" max="22" width="7.19921875" style="10" bestFit="1" customWidth="1"/>
    <col min="23" max="255" width="9.33203125" style="10"/>
    <col min="256" max="256" width="6.6640625" style="10" customWidth="1"/>
    <col min="257" max="257" width="7" style="10" customWidth="1"/>
    <col min="258" max="258" width="17.6640625" style="10" bestFit="1" customWidth="1"/>
    <col min="259" max="259" width="12.6640625" style="10" customWidth="1"/>
    <col min="260" max="260" width="24" style="10" customWidth="1"/>
    <col min="261" max="261" width="13.46484375" style="10" bestFit="1" customWidth="1"/>
    <col min="262" max="262" width="13.6640625" style="10" customWidth="1"/>
    <col min="263" max="263" width="13.33203125" style="10" customWidth="1"/>
    <col min="264" max="264" width="22.46484375" style="10" customWidth="1"/>
    <col min="265" max="265" width="18.46484375" style="10" customWidth="1"/>
    <col min="266" max="266" width="22" style="10" customWidth="1"/>
    <col min="267" max="267" width="21.33203125" style="10" customWidth="1"/>
    <col min="268" max="268" width="23" style="10" customWidth="1"/>
    <col min="269" max="511" width="9.33203125" style="10"/>
    <col min="512" max="512" width="6.6640625" style="10" customWidth="1"/>
    <col min="513" max="513" width="7" style="10" customWidth="1"/>
    <col min="514" max="514" width="17.6640625" style="10" bestFit="1" customWidth="1"/>
    <col min="515" max="515" width="12.6640625" style="10" customWidth="1"/>
    <col min="516" max="516" width="24" style="10" customWidth="1"/>
    <col min="517" max="517" width="13.46484375" style="10" bestFit="1" customWidth="1"/>
    <col min="518" max="518" width="13.6640625" style="10" customWidth="1"/>
    <col min="519" max="519" width="13.33203125" style="10" customWidth="1"/>
    <col min="520" max="520" width="22.46484375" style="10" customWidth="1"/>
    <col min="521" max="521" width="18.46484375" style="10" customWidth="1"/>
    <col min="522" max="522" width="22" style="10" customWidth="1"/>
    <col min="523" max="523" width="21.33203125" style="10" customWidth="1"/>
    <col min="524" max="524" width="23" style="10" customWidth="1"/>
    <col min="525" max="767" width="9.33203125" style="10"/>
    <col min="768" max="768" width="6.6640625" style="10" customWidth="1"/>
    <col min="769" max="769" width="7" style="10" customWidth="1"/>
    <col min="770" max="770" width="17.6640625" style="10" bestFit="1" customWidth="1"/>
    <col min="771" max="771" width="12.6640625" style="10" customWidth="1"/>
    <col min="772" max="772" width="24" style="10" customWidth="1"/>
    <col min="773" max="773" width="13.46484375" style="10" bestFit="1" customWidth="1"/>
    <col min="774" max="774" width="13.6640625" style="10" customWidth="1"/>
    <col min="775" max="775" width="13.33203125" style="10" customWidth="1"/>
    <col min="776" max="776" width="22.46484375" style="10" customWidth="1"/>
    <col min="777" max="777" width="18.46484375" style="10" customWidth="1"/>
    <col min="778" max="778" width="22" style="10" customWidth="1"/>
    <col min="779" max="779" width="21.33203125" style="10" customWidth="1"/>
    <col min="780" max="780" width="23" style="10" customWidth="1"/>
    <col min="781" max="1023" width="9.33203125" style="10"/>
    <col min="1024" max="1024" width="6.6640625" style="10" customWidth="1"/>
    <col min="1025" max="1025" width="7" style="10" customWidth="1"/>
    <col min="1026" max="1026" width="17.6640625" style="10" bestFit="1" customWidth="1"/>
    <col min="1027" max="1027" width="12.6640625" style="10" customWidth="1"/>
    <col min="1028" max="1028" width="24" style="10" customWidth="1"/>
    <col min="1029" max="1029" width="13.46484375" style="10" bestFit="1" customWidth="1"/>
    <col min="1030" max="1030" width="13.6640625" style="10" customWidth="1"/>
    <col min="1031" max="1031" width="13.33203125" style="10" customWidth="1"/>
    <col min="1032" max="1032" width="22.46484375" style="10" customWidth="1"/>
    <col min="1033" max="1033" width="18.46484375" style="10" customWidth="1"/>
    <col min="1034" max="1034" width="22" style="10" customWidth="1"/>
    <col min="1035" max="1035" width="21.33203125" style="10" customWidth="1"/>
    <col min="1036" max="1036" width="23" style="10" customWidth="1"/>
    <col min="1037" max="1279" width="9.33203125" style="10"/>
    <col min="1280" max="1280" width="6.6640625" style="10" customWidth="1"/>
    <col min="1281" max="1281" width="7" style="10" customWidth="1"/>
    <col min="1282" max="1282" width="17.6640625" style="10" bestFit="1" customWidth="1"/>
    <col min="1283" max="1283" width="12.6640625" style="10" customWidth="1"/>
    <col min="1284" max="1284" width="24" style="10" customWidth="1"/>
    <col min="1285" max="1285" width="13.46484375" style="10" bestFit="1" customWidth="1"/>
    <col min="1286" max="1286" width="13.6640625" style="10" customWidth="1"/>
    <col min="1287" max="1287" width="13.33203125" style="10" customWidth="1"/>
    <col min="1288" max="1288" width="22.46484375" style="10" customWidth="1"/>
    <col min="1289" max="1289" width="18.46484375" style="10" customWidth="1"/>
    <col min="1290" max="1290" width="22" style="10" customWidth="1"/>
    <col min="1291" max="1291" width="21.33203125" style="10" customWidth="1"/>
    <col min="1292" max="1292" width="23" style="10" customWidth="1"/>
    <col min="1293" max="1535" width="9.33203125" style="10"/>
    <col min="1536" max="1536" width="6.6640625" style="10" customWidth="1"/>
    <col min="1537" max="1537" width="7" style="10" customWidth="1"/>
    <col min="1538" max="1538" width="17.6640625" style="10" bestFit="1" customWidth="1"/>
    <col min="1539" max="1539" width="12.6640625" style="10" customWidth="1"/>
    <col min="1540" max="1540" width="24" style="10" customWidth="1"/>
    <col min="1541" max="1541" width="13.46484375" style="10" bestFit="1" customWidth="1"/>
    <col min="1542" max="1542" width="13.6640625" style="10" customWidth="1"/>
    <col min="1543" max="1543" width="13.33203125" style="10" customWidth="1"/>
    <col min="1544" max="1544" width="22.46484375" style="10" customWidth="1"/>
    <col min="1545" max="1545" width="18.46484375" style="10" customWidth="1"/>
    <col min="1546" max="1546" width="22" style="10" customWidth="1"/>
    <col min="1547" max="1547" width="21.33203125" style="10" customWidth="1"/>
    <col min="1548" max="1548" width="23" style="10" customWidth="1"/>
    <col min="1549" max="1791" width="9.33203125" style="10"/>
    <col min="1792" max="1792" width="6.6640625" style="10" customWidth="1"/>
    <col min="1793" max="1793" width="7" style="10" customWidth="1"/>
    <col min="1794" max="1794" width="17.6640625" style="10" bestFit="1" customWidth="1"/>
    <col min="1795" max="1795" width="12.6640625" style="10" customWidth="1"/>
    <col min="1796" max="1796" width="24" style="10" customWidth="1"/>
    <col min="1797" max="1797" width="13.46484375" style="10" bestFit="1" customWidth="1"/>
    <col min="1798" max="1798" width="13.6640625" style="10" customWidth="1"/>
    <col min="1799" max="1799" width="13.33203125" style="10" customWidth="1"/>
    <col min="1800" max="1800" width="22.46484375" style="10" customWidth="1"/>
    <col min="1801" max="1801" width="18.46484375" style="10" customWidth="1"/>
    <col min="1802" max="1802" width="22" style="10" customWidth="1"/>
    <col min="1803" max="1803" width="21.33203125" style="10" customWidth="1"/>
    <col min="1804" max="1804" width="23" style="10" customWidth="1"/>
    <col min="1805" max="2047" width="9.33203125" style="10"/>
    <col min="2048" max="2048" width="6.6640625" style="10" customWidth="1"/>
    <col min="2049" max="2049" width="7" style="10" customWidth="1"/>
    <col min="2050" max="2050" width="17.6640625" style="10" bestFit="1" customWidth="1"/>
    <col min="2051" max="2051" width="12.6640625" style="10" customWidth="1"/>
    <col min="2052" max="2052" width="24" style="10" customWidth="1"/>
    <col min="2053" max="2053" width="13.46484375" style="10" bestFit="1" customWidth="1"/>
    <col min="2054" max="2054" width="13.6640625" style="10" customWidth="1"/>
    <col min="2055" max="2055" width="13.33203125" style="10" customWidth="1"/>
    <col min="2056" max="2056" width="22.46484375" style="10" customWidth="1"/>
    <col min="2057" max="2057" width="18.46484375" style="10" customWidth="1"/>
    <col min="2058" max="2058" width="22" style="10" customWidth="1"/>
    <col min="2059" max="2059" width="21.33203125" style="10" customWidth="1"/>
    <col min="2060" max="2060" width="23" style="10" customWidth="1"/>
    <col min="2061" max="2303" width="9.33203125" style="10"/>
    <col min="2304" max="2304" width="6.6640625" style="10" customWidth="1"/>
    <col min="2305" max="2305" width="7" style="10" customWidth="1"/>
    <col min="2306" max="2306" width="17.6640625" style="10" bestFit="1" customWidth="1"/>
    <col min="2307" max="2307" width="12.6640625" style="10" customWidth="1"/>
    <col min="2308" max="2308" width="24" style="10" customWidth="1"/>
    <col min="2309" max="2309" width="13.46484375" style="10" bestFit="1" customWidth="1"/>
    <col min="2310" max="2310" width="13.6640625" style="10" customWidth="1"/>
    <col min="2311" max="2311" width="13.33203125" style="10" customWidth="1"/>
    <col min="2312" max="2312" width="22.46484375" style="10" customWidth="1"/>
    <col min="2313" max="2313" width="18.46484375" style="10" customWidth="1"/>
    <col min="2314" max="2314" width="22" style="10" customWidth="1"/>
    <col min="2315" max="2315" width="21.33203125" style="10" customWidth="1"/>
    <col min="2316" max="2316" width="23" style="10" customWidth="1"/>
    <col min="2317" max="2559" width="9.33203125" style="10"/>
    <col min="2560" max="2560" width="6.6640625" style="10" customWidth="1"/>
    <col min="2561" max="2561" width="7" style="10" customWidth="1"/>
    <col min="2562" max="2562" width="17.6640625" style="10" bestFit="1" customWidth="1"/>
    <col min="2563" max="2563" width="12.6640625" style="10" customWidth="1"/>
    <col min="2564" max="2564" width="24" style="10" customWidth="1"/>
    <col min="2565" max="2565" width="13.46484375" style="10" bestFit="1" customWidth="1"/>
    <col min="2566" max="2566" width="13.6640625" style="10" customWidth="1"/>
    <col min="2567" max="2567" width="13.33203125" style="10" customWidth="1"/>
    <col min="2568" max="2568" width="22.46484375" style="10" customWidth="1"/>
    <col min="2569" max="2569" width="18.46484375" style="10" customWidth="1"/>
    <col min="2570" max="2570" width="22" style="10" customWidth="1"/>
    <col min="2571" max="2571" width="21.33203125" style="10" customWidth="1"/>
    <col min="2572" max="2572" width="23" style="10" customWidth="1"/>
    <col min="2573" max="2815" width="9.33203125" style="10"/>
    <col min="2816" max="2816" width="6.6640625" style="10" customWidth="1"/>
    <col min="2817" max="2817" width="7" style="10" customWidth="1"/>
    <col min="2818" max="2818" width="17.6640625" style="10" bestFit="1" customWidth="1"/>
    <col min="2819" max="2819" width="12.6640625" style="10" customWidth="1"/>
    <col min="2820" max="2820" width="24" style="10" customWidth="1"/>
    <col min="2821" max="2821" width="13.46484375" style="10" bestFit="1" customWidth="1"/>
    <col min="2822" max="2822" width="13.6640625" style="10" customWidth="1"/>
    <col min="2823" max="2823" width="13.33203125" style="10" customWidth="1"/>
    <col min="2824" max="2824" width="22.46484375" style="10" customWidth="1"/>
    <col min="2825" max="2825" width="18.46484375" style="10" customWidth="1"/>
    <col min="2826" max="2826" width="22" style="10" customWidth="1"/>
    <col min="2827" max="2827" width="21.33203125" style="10" customWidth="1"/>
    <col min="2828" max="2828" width="23" style="10" customWidth="1"/>
    <col min="2829" max="3071" width="9.33203125" style="10"/>
    <col min="3072" max="3072" width="6.6640625" style="10" customWidth="1"/>
    <col min="3073" max="3073" width="7" style="10" customWidth="1"/>
    <col min="3074" max="3074" width="17.6640625" style="10" bestFit="1" customWidth="1"/>
    <col min="3075" max="3075" width="12.6640625" style="10" customWidth="1"/>
    <col min="3076" max="3076" width="24" style="10" customWidth="1"/>
    <col min="3077" max="3077" width="13.46484375" style="10" bestFit="1" customWidth="1"/>
    <col min="3078" max="3078" width="13.6640625" style="10" customWidth="1"/>
    <col min="3079" max="3079" width="13.33203125" style="10" customWidth="1"/>
    <col min="3080" max="3080" width="22.46484375" style="10" customWidth="1"/>
    <col min="3081" max="3081" width="18.46484375" style="10" customWidth="1"/>
    <col min="3082" max="3082" width="22" style="10" customWidth="1"/>
    <col min="3083" max="3083" width="21.33203125" style="10" customWidth="1"/>
    <col min="3084" max="3084" width="23" style="10" customWidth="1"/>
    <col min="3085" max="3327" width="9.33203125" style="10"/>
    <col min="3328" max="3328" width="6.6640625" style="10" customWidth="1"/>
    <col min="3329" max="3329" width="7" style="10" customWidth="1"/>
    <col min="3330" max="3330" width="17.6640625" style="10" bestFit="1" customWidth="1"/>
    <col min="3331" max="3331" width="12.6640625" style="10" customWidth="1"/>
    <col min="3332" max="3332" width="24" style="10" customWidth="1"/>
    <col min="3333" max="3333" width="13.46484375" style="10" bestFit="1" customWidth="1"/>
    <col min="3334" max="3334" width="13.6640625" style="10" customWidth="1"/>
    <col min="3335" max="3335" width="13.33203125" style="10" customWidth="1"/>
    <col min="3336" max="3336" width="22.46484375" style="10" customWidth="1"/>
    <col min="3337" max="3337" width="18.46484375" style="10" customWidth="1"/>
    <col min="3338" max="3338" width="22" style="10" customWidth="1"/>
    <col min="3339" max="3339" width="21.33203125" style="10" customWidth="1"/>
    <col min="3340" max="3340" width="23" style="10" customWidth="1"/>
    <col min="3341" max="3583" width="9.33203125" style="10"/>
    <col min="3584" max="3584" width="6.6640625" style="10" customWidth="1"/>
    <col min="3585" max="3585" width="7" style="10" customWidth="1"/>
    <col min="3586" max="3586" width="17.6640625" style="10" bestFit="1" customWidth="1"/>
    <col min="3587" max="3587" width="12.6640625" style="10" customWidth="1"/>
    <col min="3588" max="3588" width="24" style="10" customWidth="1"/>
    <col min="3589" max="3589" width="13.46484375" style="10" bestFit="1" customWidth="1"/>
    <col min="3590" max="3590" width="13.6640625" style="10" customWidth="1"/>
    <col min="3591" max="3591" width="13.33203125" style="10" customWidth="1"/>
    <col min="3592" max="3592" width="22.46484375" style="10" customWidth="1"/>
    <col min="3593" max="3593" width="18.46484375" style="10" customWidth="1"/>
    <col min="3594" max="3594" width="22" style="10" customWidth="1"/>
    <col min="3595" max="3595" width="21.33203125" style="10" customWidth="1"/>
    <col min="3596" max="3596" width="23" style="10" customWidth="1"/>
    <col min="3597" max="3839" width="9.33203125" style="10"/>
    <col min="3840" max="3840" width="6.6640625" style="10" customWidth="1"/>
    <col min="3841" max="3841" width="7" style="10" customWidth="1"/>
    <col min="3842" max="3842" width="17.6640625" style="10" bestFit="1" customWidth="1"/>
    <col min="3843" max="3843" width="12.6640625" style="10" customWidth="1"/>
    <col min="3844" max="3844" width="24" style="10" customWidth="1"/>
    <col min="3845" max="3845" width="13.46484375" style="10" bestFit="1" customWidth="1"/>
    <col min="3846" max="3846" width="13.6640625" style="10" customWidth="1"/>
    <col min="3847" max="3847" width="13.33203125" style="10" customWidth="1"/>
    <col min="3848" max="3848" width="22.46484375" style="10" customWidth="1"/>
    <col min="3849" max="3849" width="18.46484375" style="10" customWidth="1"/>
    <col min="3850" max="3850" width="22" style="10" customWidth="1"/>
    <col min="3851" max="3851" width="21.33203125" style="10" customWidth="1"/>
    <col min="3852" max="3852" width="23" style="10" customWidth="1"/>
    <col min="3853" max="4095" width="9.33203125" style="10"/>
    <col min="4096" max="4096" width="6.6640625" style="10" customWidth="1"/>
    <col min="4097" max="4097" width="7" style="10" customWidth="1"/>
    <col min="4098" max="4098" width="17.6640625" style="10" bestFit="1" customWidth="1"/>
    <col min="4099" max="4099" width="12.6640625" style="10" customWidth="1"/>
    <col min="4100" max="4100" width="24" style="10" customWidth="1"/>
    <col min="4101" max="4101" width="13.46484375" style="10" bestFit="1" customWidth="1"/>
    <col min="4102" max="4102" width="13.6640625" style="10" customWidth="1"/>
    <col min="4103" max="4103" width="13.33203125" style="10" customWidth="1"/>
    <col min="4104" max="4104" width="22.46484375" style="10" customWidth="1"/>
    <col min="4105" max="4105" width="18.46484375" style="10" customWidth="1"/>
    <col min="4106" max="4106" width="22" style="10" customWidth="1"/>
    <col min="4107" max="4107" width="21.33203125" style="10" customWidth="1"/>
    <col min="4108" max="4108" width="23" style="10" customWidth="1"/>
    <col min="4109" max="4351" width="9.33203125" style="10"/>
    <col min="4352" max="4352" width="6.6640625" style="10" customWidth="1"/>
    <col min="4353" max="4353" width="7" style="10" customWidth="1"/>
    <col min="4354" max="4354" width="17.6640625" style="10" bestFit="1" customWidth="1"/>
    <col min="4355" max="4355" width="12.6640625" style="10" customWidth="1"/>
    <col min="4356" max="4356" width="24" style="10" customWidth="1"/>
    <col min="4357" max="4357" width="13.46484375" style="10" bestFit="1" customWidth="1"/>
    <col min="4358" max="4358" width="13.6640625" style="10" customWidth="1"/>
    <col min="4359" max="4359" width="13.33203125" style="10" customWidth="1"/>
    <col min="4360" max="4360" width="22.46484375" style="10" customWidth="1"/>
    <col min="4361" max="4361" width="18.46484375" style="10" customWidth="1"/>
    <col min="4362" max="4362" width="22" style="10" customWidth="1"/>
    <col min="4363" max="4363" width="21.33203125" style="10" customWidth="1"/>
    <col min="4364" max="4364" width="23" style="10" customWidth="1"/>
    <col min="4365" max="4607" width="9.33203125" style="10"/>
    <col min="4608" max="4608" width="6.6640625" style="10" customWidth="1"/>
    <col min="4609" max="4609" width="7" style="10" customWidth="1"/>
    <col min="4610" max="4610" width="17.6640625" style="10" bestFit="1" customWidth="1"/>
    <col min="4611" max="4611" width="12.6640625" style="10" customWidth="1"/>
    <col min="4612" max="4612" width="24" style="10" customWidth="1"/>
    <col min="4613" max="4613" width="13.46484375" style="10" bestFit="1" customWidth="1"/>
    <col min="4614" max="4614" width="13.6640625" style="10" customWidth="1"/>
    <col min="4615" max="4615" width="13.33203125" style="10" customWidth="1"/>
    <col min="4616" max="4616" width="22.46484375" style="10" customWidth="1"/>
    <col min="4617" max="4617" width="18.46484375" style="10" customWidth="1"/>
    <col min="4618" max="4618" width="22" style="10" customWidth="1"/>
    <col min="4619" max="4619" width="21.33203125" style="10" customWidth="1"/>
    <col min="4620" max="4620" width="23" style="10" customWidth="1"/>
    <col min="4621" max="4863" width="9.33203125" style="10"/>
    <col min="4864" max="4864" width="6.6640625" style="10" customWidth="1"/>
    <col min="4865" max="4865" width="7" style="10" customWidth="1"/>
    <col min="4866" max="4866" width="17.6640625" style="10" bestFit="1" customWidth="1"/>
    <col min="4867" max="4867" width="12.6640625" style="10" customWidth="1"/>
    <col min="4868" max="4868" width="24" style="10" customWidth="1"/>
    <col min="4869" max="4869" width="13.46484375" style="10" bestFit="1" customWidth="1"/>
    <col min="4870" max="4870" width="13.6640625" style="10" customWidth="1"/>
    <col min="4871" max="4871" width="13.33203125" style="10" customWidth="1"/>
    <col min="4872" max="4872" width="22.46484375" style="10" customWidth="1"/>
    <col min="4873" max="4873" width="18.46484375" style="10" customWidth="1"/>
    <col min="4874" max="4874" width="22" style="10" customWidth="1"/>
    <col min="4875" max="4875" width="21.33203125" style="10" customWidth="1"/>
    <col min="4876" max="4876" width="23" style="10" customWidth="1"/>
    <col min="4877" max="5119" width="9.33203125" style="10"/>
    <col min="5120" max="5120" width="6.6640625" style="10" customWidth="1"/>
    <col min="5121" max="5121" width="7" style="10" customWidth="1"/>
    <col min="5122" max="5122" width="17.6640625" style="10" bestFit="1" customWidth="1"/>
    <col min="5123" max="5123" width="12.6640625" style="10" customWidth="1"/>
    <col min="5124" max="5124" width="24" style="10" customWidth="1"/>
    <col min="5125" max="5125" width="13.46484375" style="10" bestFit="1" customWidth="1"/>
    <col min="5126" max="5126" width="13.6640625" style="10" customWidth="1"/>
    <col min="5127" max="5127" width="13.33203125" style="10" customWidth="1"/>
    <col min="5128" max="5128" width="22.46484375" style="10" customWidth="1"/>
    <col min="5129" max="5129" width="18.46484375" style="10" customWidth="1"/>
    <col min="5130" max="5130" width="22" style="10" customWidth="1"/>
    <col min="5131" max="5131" width="21.33203125" style="10" customWidth="1"/>
    <col min="5132" max="5132" width="23" style="10" customWidth="1"/>
    <col min="5133" max="5375" width="9.33203125" style="10"/>
    <col min="5376" max="5376" width="6.6640625" style="10" customWidth="1"/>
    <col min="5377" max="5377" width="7" style="10" customWidth="1"/>
    <col min="5378" max="5378" width="17.6640625" style="10" bestFit="1" customWidth="1"/>
    <col min="5379" max="5379" width="12.6640625" style="10" customWidth="1"/>
    <col min="5380" max="5380" width="24" style="10" customWidth="1"/>
    <col min="5381" max="5381" width="13.46484375" style="10" bestFit="1" customWidth="1"/>
    <col min="5382" max="5382" width="13.6640625" style="10" customWidth="1"/>
    <col min="5383" max="5383" width="13.33203125" style="10" customWidth="1"/>
    <col min="5384" max="5384" width="22.46484375" style="10" customWidth="1"/>
    <col min="5385" max="5385" width="18.46484375" style="10" customWidth="1"/>
    <col min="5386" max="5386" width="22" style="10" customWidth="1"/>
    <col min="5387" max="5387" width="21.33203125" style="10" customWidth="1"/>
    <col min="5388" max="5388" width="23" style="10" customWidth="1"/>
    <col min="5389" max="5631" width="9.33203125" style="10"/>
    <col min="5632" max="5632" width="6.6640625" style="10" customWidth="1"/>
    <col min="5633" max="5633" width="7" style="10" customWidth="1"/>
    <col min="5634" max="5634" width="17.6640625" style="10" bestFit="1" customWidth="1"/>
    <col min="5635" max="5635" width="12.6640625" style="10" customWidth="1"/>
    <col min="5636" max="5636" width="24" style="10" customWidth="1"/>
    <col min="5637" max="5637" width="13.46484375" style="10" bestFit="1" customWidth="1"/>
    <col min="5638" max="5638" width="13.6640625" style="10" customWidth="1"/>
    <col min="5639" max="5639" width="13.33203125" style="10" customWidth="1"/>
    <col min="5640" max="5640" width="22.46484375" style="10" customWidth="1"/>
    <col min="5641" max="5641" width="18.46484375" style="10" customWidth="1"/>
    <col min="5642" max="5642" width="22" style="10" customWidth="1"/>
    <col min="5643" max="5643" width="21.33203125" style="10" customWidth="1"/>
    <col min="5644" max="5644" width="23" style="10" customWidth="1"/>
    <col min="5645" max="5887" width="9.33203125" style="10"/>
    <col min="5888" max="5888" width="6.6640625" style="10" customWidth="1"/>
    <col min="5889" max="5889" width="7" style="10" customWidth="1"/>
    <col min="5890" max="5890" width="17.6640625" style="10" bestFit="1" customWidth="1"/>
    <col min="5891" max="5891" width="12.6640625" style="10" customWidth="1"/>
    <col min="5892" max="5892" width="24" style="10" customWidth="1"/>
    <col min="5893" max="5893" width="13.46484375" style="10" bestFit="1" customWidth="1"/>
    <col min="5894" max="5894" width="13.6640625" style="10" customWidth="1"/>
    <col min="5895" max="5895" width="13.33203125" style="10" customWidth="1"/>
    <col min="5896" max="5896" width="22.46484375" style="10" customWidth="1"/>
    <col min="5897" max="5897" width="18.46484375" style="10" customWidth="1"/>
    <col min="5898" max="5898" width="22" style="10" customWidth="1"/>
    <col min="5899" max="5899" width="21.33203125" style="10" customWidth="1"/>
    <col min="5900" max="5900" width="23" style="10" customWidth="1"/>
    <col min="5901" max="6143" width="9.33203125" style="10"/>
    <col min="6144" max="6144" width="6.6640625" style="10" customWidth="1"/>
    <col min="6145" max="6145" width="7" style="10" customWidth="1"/>
    <col min="6146" max="6146" width="17.6640625" style="10" bestFit="1" customWidth="1"/>
    <col min="6147" max="6147" width="12.6640625" style="10" customWidth="1"/>
    <col min="6148" max="6148" width="24" style="10" customWidth="1"/>
    <col min="6149" max="6149" width="13.46484375" style="10" bestFit="1" customWidth="1"/>
    <col min="6150" max="6150" width="13.6640625" style="10" customWidth="1"/>
    <col min="6151" max="6151" width="13.33203125" style="10" customWidth="1"/>
    <col min="6152" max="6152" width="22.46484375" style="10" customWidth="1"/>
    <col min="6153" max="6153" width="18.46484375" style="10" customWidth="1"/>
    <col min="6154" max="6154" width="22" style="10" customWidth="1"/>
    <col min="6155" max="6155" width="21.33203125" style="10" customWidth="1"/>
    <col min="6156" max="6156" width="23" style="10" customWidth="1"/>
    <col min="6157" max="6399" width="9.33203125" style="10"/>
    <col min="6400" max="6400" width="6.6640625" style="10" customWidth="1"/>
    <col min="6401" max="6401" width="7" style="10" customWidth="1"/>
    <col min="6402" max="6402" width="17.6640625" style="10" bestFit="1" customWidth="1"/>
    <col min="6403" max="6403" width="12.6640625" style="10" customWidth="1"/>
    <col min="6404" max="6404" width="24" style="10" customWidth="1"/>
    <col min="6405" max="6405" width="13.46484375" style="10" bestFit="1" customWidth="1"/>
    <col min="6406" max="6406" width="13.6640625" style="10" customWidth="1"/>
    <col min="6407" max="6407" width="13.33203125" style="10" customWidth="1"/>
    <col min="6408" max="6408" width="22.46484375" style="10" customWidth="1"/>
    <col min="6409" max="6409" width="18.46484375" style="10" customWidth="1"/>
    <col min="6410" max="6410" width="22" style="10" customWidth="1"/>
    <col min="6411" max="6411" width="21.33203125" style="10" customWidth="1"/>
    <col min="6412" max="6412" width="23" style="10" customWidth="1"/>
    <col min="6413" max="6655" width="9.33203125" style="10"/>
    <col min="6656" max="6656" width="6.6640625" style="10" customWidth="1"/>
    <col min="6657" max="6657" width="7" style="10" customWidth="1"/>
    <col min="6658" max="6658" width="17.6640625" style="10" bestFit="1" customWidth="1"/>
    <col min="6659" max="6659" width="12.6640625" style="10" customWidth="1"/>
    <col min="6660" max="6660" width="24" style="10" customWidth="1"/>
    <col min="6661" max="6661" width="13.46484375" style="10" bestFit="1" customWidth="1"/>
    <col min="6662" max="6662" width="13.6640625" style="10" customWidth="1"/>
    <col min="6663" max="6663" width="13.33203125" style="10" customWidth="1"/>
    <col min="6664" max="6664" width="22.46484375" style="10" customWidth="1"/>
    <col min="6665" max="6665" width="18.46484375" style="10" customWidth="1"/>
    <col min="6666" max="6666" width="22" style="10" customWidth="1"/>
    <col min="6667" max="6667" width="21.33203125" style="10" customWidth="1"/>
    <col min="6668" max="6668" width="23" style="10" customWidth="1"/>
    <col min="6669" max="6911" width="9.33203125" style="10"/>
    <col min="6912" max="6912" width="6.6640625" style="10" customWidth="1"/>
    <col min="6913" max="6913" width="7" style="10" customWidth="1"/>
    <col min="6914" max="6914" width="17.6640625" style="10" bestFit="1" customWidth="1"/>
    <col min="6915" max="6915" width="12.6640625" style="10" customWidth="1"/>
    <col min="6916" max="6916" width="24" style="10" customWidth="1"/>
    <col min="6917" max="6917" width="13.46484375" style="10" bestFit="1" customWidth="1"/>
    <col min="6918" max="6918" width="13.6640625" style="10" customWidth="1"/>
    <col min="6919" max="6919" width="13.33203125" style="10" customWidth="1"/>
    <col min="6920" max="6920" width="22.46484375" style="10" customWidth="1"/>
    <col min="6921" max="6921" width="18.46484375" style="10" customWidth="1"/>
    <col min="6922" max="6922" width="22" style="10" customWidth="1"/>
    <col min="6923" max="6923" width="21.33203125" style="10" customWidth="1"/>
    <col min="6924" max="6924" width="23" style="10" customWidth="1"/>
    <col min="6925" max="7167" width="9.33203125" style="10"/>
    <col min="7168" max="7168" width="6.6640625" style="10" customWidth="1"/>
    <col min="7169" max="7169" width="7" style="10" customWidth="1"/>
    <col min="7170" max="7170" width="17.6640625" style="10" bestFit="1" customWidth="1"/>
    <col min="7171" max="7171" width="12.6640625" style="10" customWidth="1"/>
    <col min="7172" max="7172" width="24" style="10" customWidth="1"/>
    <col min="7173" max="7173" width="13.46484375" style="10" bestFit="1" customWidth="1"/>
    <col min="7174" max="7174" width="13.6640625" style="10" customWidth="1"/>
    <col min="7175" max="7175" width="13.33203125" style="10" customWidth="1"/>
    <col min="7176" max="7176" width="22.46484375" style="10" customWidth="1"/>
    <col min="7177" max="7177" width="18.46484375" style="10" customWidth="1"/>
    <col min="7178" max="7178" width="22" style="10" customWidth="1"/>
    <col min="7179" max="7179" width="21.33203125" style="10" customWidth="1"/>
    <col min="7180" max="7180" width="23" style="10" customWidth="1"/>
    <col min="7181" max="7423" width="9.33203125" style="10"/>
    <col min="7424" max="7424" width="6.6640625" style="10" customWidth="1"/>
    <col min="7425" max="7425" width="7" style="10" customWidth="1"/>
    <col min="7426" max="7426" width="17.6640625" style="10" bestFit="1" customWidth="1"/>
    <col min="7427" max="7427" width="12.6640625" style="10" customWidth="1"/>
    <col min="7428" max="7428" width="24" style="10" customWidth="1"/>
    <col min="7429" max="7429" width="13.46484375" style="10" bestFit="1" customWidth="1"/>
    <col min="7430" max="7430" width="13.6640625" style="10" customWidth="1"/>
    <col min="7431" max="7431" width="13.33203125" style="10" customWidth="1"/>
    <col min="7432" max="7432" width="22.46484375" style="10" customWidth="1"/>
    <col min="7433" max="7433" width="18.46484375" style="10" customWidth="1"/>
    <col min="7434" max="7434" width="22" style="10" customWidth="1"/>
    <col min="7435" max="7435" width="21.33203125" style="10" customWidth="1"/>
    <col min="7436" max="7436" width="23" style="10" customWidth="1"/>
    <col min="7437" max="7679" width="9.33203125" style="10"/>
    <col min="7680" max="7680" width="6.6640625" style="10" customWidth="1"/>
    <col min="7681" max="7681" width="7" style="10" customWidth="1"/>
    <col min="7682" max="7682" width="17.6640625" style="10" bestFit="1" customWidth="1"/>
    <col min="7683" max="7683" width="12.6640625" style="10" customWidth="1"/>
    <col min="7684" max="7684" width="24" style="10" customWidth="1"/>
    <col min="7685" max="7685" width="13.46484375" style="10" bestFit="1" customWidth="1"/>
    <col min="7686" max="7686" width="13.6640625" style="10" customWidth="1"/>
    <col min="7687" max="7687" width="13.33203125" style="10" customWidth="1"/>
    <col min="7688" max="7688" width="22.46484375" style="10" customWidth="1"/>
    <col min="7689" max="7689" width="18.46484375" style="10" customWidth="1"/>
    <col min="7690" max="7690" width="22" style="10" customWidth="1"/>
    <col min="7691" max="7691" width="21.33203125" style="10" customWidth="1"/>
    <col min="7692" max="7692" width="23" style="10" customWidth="1"/>
    <col min="7693" max="7935" width="9.33203125" style="10"/>
    <col min="7936" max="7936" width="6.6640625" style="10" customWidth="1"/>
    <col min="7937" max="7937" width="7" style="10" customWidth="1"/>
    <col min="7938" max="7938" width="17.6640625" style="10" bestFit="1" customWidth="1"/>
    <col min="7939" max="7939" width="12.6640625" style="10" customWidth="1"/>
    <col min="7940" max="7940" width="24" style="10" customWidth="1"/>
    <col min="7941" max="7941" width="13.46484375" style="10" bestFit="1" customWidth="1"/>
    <col min="7942" max="7942" width="13.6640625" style="10" customWidth="1"/>
    <col min="7943" max="7943" width="13.33203125" style="10" customWidth="1"/>
    <col min="7944" max="7944" width="22.46484375" style="10" customWidth="1"/>
    <col min="7945" max="7945" width="18.46484375" style="10" customWidth="1"/>
    <col min="7946" max="7946" width="22" style="10" customWidth="1"/>
    <col min="7947" max="7947" width="21.33203125" style="10" customWidth="1"/>
    <col min="7948" max="7948" width="23" style="10" customWidth="1"/>
    <col min="7949" max="8191" width="9.33203125" style="10"/>
    <col min="8192" max="8192" width="6.6640625" style="10" customWidth="1"/>
    <col min="8193" max="8193" width="7" style="10" customWidth="1"/>
    <col min="8194" max="8194" width="17.6640625" style="10" bestFit="1" customWidth="1"/>
    <col min="8195" max="8195" width="12.6640625" style="10" customWidth="1"/>
    <col min="8196" max="8196" width="24" style="10" customWidth="1"/>
    <col min="8197" max="8197" width="13.46484375" style="10" bestFit="1" customWidth="1"/>
    <col min="8198" max="8198" width="13.6640625" style="10" customWidth="1"/>
    <col min="8199" max="8199" width="13.33203125" style="10" customWidth="1"/>
    <col min="8200" max="8200" width="22.46484375" style="10" customWidth="1"/>
    <col min="8201" max="8201" width="18.46484375" style="10" customWidth="1"/>
    <col min="8202" max="8202" width="22" style="10" customWidth="1"/>
    <col min="8203" max="8203" width="21.33203125" style="10" customWidth="1"/>
    <col min="8204" max="8204" width="23" style="10" customWidth="1"/>
    <col min="8205" max="8447" width="9.33203125" style="10"/>
    <col min="8448" max="8448" width="6.6640625" style="10" customWidth="1"/>
    <col min="8449" max="8449" width="7" style="10" customWidth="1"/>
    <col min="8450" max="8450" width="17.6640625" style="10" bestFit="1" customWidth="1"/>
    <col min="8451" max="8451" width="12.6640625" style="10" customWidth="1"/>
    <col min="8452" max="8452" width="24" style="10" customWidth="1"/>
    <col min="8453" max="8453" width="13.46484375" style="10" bestFit="1" customWidth="1"/>
    <col min="8454" max="8454" width="13.6640625" style="10" customWidth="1"/>
    <col min="8455" max="8455" width="13.33203125" style="10" customWidth="1"/>
    <col min="8456" max="8456" width="22.46484375" style="10" customWidth="1"/>
    <col min="8457" max="8457" width="18.46484375" style="10" customWidth="1"/>
    <col min="8458" max="8458" width="22" style="10" customWidth="1"/>
    <col min="8459" max="8459" width="21.33203125" style="10" customWidth="1"/>
    <col min="8460" max="8460" width="23" style="10" customWidth="1"/>
    <col min="8461" max="8703" width="9.33203125" style="10"/>
    <col min="8704" max="8704" width="6.6640625" style="10" customWidth="1"/>
    <col min="8705" max="8705" width="7" style="10" customWidth="1"/>
    <col min="8706" max="8706" width="17.6640625" style="10" bestFit="1" customWidth="1"/>
    <col min="8707" max="8707" width="12.6640625" style="10" customWidth="1"/>
    <col min="8708" max="8708" width="24" style="10" customWidth="1"/>
    <col min="8709" max="8709" width="13.46484375" style="10" bestFit="1" customWidth="1"/>
    <col min="8710" max="8710" width="13.6640625" style="10" customWidth="1"/>
    <col min="8711" max="8711" width="13.33203125" style="10" customWidth="1"/>
    <col min="8712" max="8712" width="22.46484375" style="10" customWidth="1"/>
    <col min="8713" max="8713" width="18.46484375" style="10" customWidth="1"/>
    <col min="8714" max="8714" width="22" style="10" customWidth="1"/>
    <col min="8715" max="8715" width="21.33203125" style="10" customWidth="1"/>
    <col min="8716" max="8716" width="23" style="10" customWidth="1"/>
    <col min="8717" max="8959" width="9.33203125" style="10"/>
    <col min="8960" max="8960" width="6.6640625" style="10" customWidth="1"/>
    <col min="8961" max="8961" width="7" style="10" customWidth="1"/>
    <col min="8962" max="8962" width="17.6640625" style="10" bestFit="1" customWidth="1"/>
    <col min="8963" max="8963" width="12.6640625" style="10" customWidth="1"/>
    <col min="8964" max="8964" width="24" style="10" customWidth="1"/>
    <col min="8965" max="8965" width="13.46484375" style="10" bestFit="1" customWidth="1"/>
    <col min="8966" max="8966" width="13.6640625" style="10" customWidth="1"/>
    <col min="8967" max="8967" width="13.33203125" style="10" customWidth="1"/>
    <col min="8968" max="8968" width="22.46484375" style="10" customWidth="1"/>
    <col min="8969" max="8969" width="18.46484375" style="10" customWidth="1"/>
    <col min="8970" max="8970" width="22" style="10" customWidth="1"/>
    <col min="8971" max="8971" width="21.33203125" style="10" customWidth="1"/>
    <col min="8972" max="8972" width="23" style="10" customWidth="1"/>
    <col min="8973" max="9215" width="9.33203125" style="10"/>
    <col min="9216" max="9216" width="6.6640625" style="10" customWidth="1"/>
    <col min="9217" max="9217" width="7" style="10" customWidth="1"/>
    <col min="9218" max="9218" width="17.6640625" style="10" bestFit="1" customWidth="1"/>
    <col min="9219" max="9219" width="12.6640625" style="10" customWidth="1"/>
    <col min="9220" max="9220" width="24" style="10" customWidth="1"/>
    <col min="9221" max="9221" width="13.46484375" style="10" bestFit="1" customWidth="1"/>
    <col min="9222" max="9222" width="13.6640625" style="10" customWidth="1"/>
    <col min="9223" max="9223" width="13.33203125" style="10" customWidth="1"/>
    <col min="9224" max="9224" width="22.46484375" style="10" customWidth="1"/>
    <col min="9225" max="9225" width="18.46484375" style="10" customWidth="1"/>
    <col min="9226" max="9226" width="22" style="10" customWidth="1"/>
    <col min="9227" max="9227" width="21.33203125" style="10" customWidth="1"/>
    <col min="9228" max="9228" width="23" style="10" customWidth="1"/>
    <col min="9229" max="9471" width="9.33203125" style="10"/>
    <col min="9472" max="9472" width="6.6640625" style="10" customWidth="1"/>
    <col min="9473" max="9473" width="7" style="10" customWidth="1"/>
    <col min="9474" max="9474" width="17.6640625" style="10" bestFit="1" customWidth="1"/>
    <col min="9475" max="9475" width="12.6640625" style="10" customWidth="1"/>
    <col min="9476" max="9476" width="24" style="10" customWidth="1"/>
    <col min="9477" max="9477" width="13.46484375" style="10" bestFit="1" customWidth="1"/>
    <col min="9478" max="9478" width="13.6640625" style="10" customWidth="1"/>
    <col min="9479" max="9479" width="13.33203125" style="10" customWidth="1"/>
    <col min="9480" max="9480" width="22.46484375" style="10" customWidth="1"/>
    <col min="9481" max="9481" width="18.46484375" style="10" customWidth="1"/>
    <col min="9482" max="9482" width="22" style="10" customWidth="1"/>
    <col min="9483" max="9483" width="21.33203125" style="10" customWidth="1"/>
    <col min="9484" max="9484" width="23" style="10" customWidth="1"/>
    <col min="9485" max="9727" width="9.33203125" style="10"/>
    <col min="9728" max="9728" width="6.6640625" style="10" customWidth="1"/>
    <col min="9729" max="9729" width="7" style="10" customWidth="1"/>
    <col min="9730" max="9730" width="17.6640625" style="10" bestFit="1" customWidth="1"/>
    <col min="9731" max="9731" width="12.6640625" style="10" customWidth="1"/>
    <col min="9732" max="9732" width="24" style="10" customWidth="1"/>
    <col min="9733" max="9733" width="13.46484375" style="10" bestFit="1" customWidth="1"/>
    <col min="9734" max="9734" width="13.6640625" style="10" customWidth="1"/>
    <col min="9735" max="9735" width="13.33203125" style="10" customWidth="1"/>
    <col min="9736" max="9736" width="22.46484375" style="10" customWidth="1"/>
    <col min="9737" max="9737" width="18.46484375" style="10" customWidth="1"/>
    <col min="9738" max="9738" width="22" style="10" customWidth="1"/>
    <col min="9739" max="9739" width="21.33203125" style="10" customWidth="1"/>
    <col min="9740" max="9740" width="23" style="10" customWidth="1"/>
    <col min="9741" max="9983" width="9.33203125" style="10"/>
    <col min="9984" max="9984" width="6.6640625" style="10" customWidth="1"/>
    <col min="9985" max="9985" width="7" style="10" customWidth="1"/>
    <col min="9986" max="9986" width="17.6640625" style="10" bestFit="1" customWidth="1"/>
    <col min="9987" max="9987" width="12.6640625" style="10" customWidth="1"/>
    <col min="9988" max="9988" width="24" style="10" customWidth="1"/>
    <col min="9989" max="9989" width="13.46484375" style="10" bestFit="1" customWidth="1"/>
    <col min="9990" max="9990" width="13.6640625" style="10" customWidth="1"/>
    <col min="9991" max="9991" width="13.33203125" style="10" customWidth="1"/>
    <col min="9992" max="9992" width="22.46484375" style="10" customWidth="1"/>
    <col min="9993" max="9993" width="18.46484375" style="10" customWidth="1"/>
    <col min="9994" max="9994" width="22" style="10" customWidth="1"/>
    <col min="9995" max="9995" width="21.33203125" style="10" customWidth="1"/>
    <col min="9996" max="9996" width="23" style="10" customWidth="1"/>
    <col min="9997" max="10239" width="9.33203125" style="10"/>
    <col min="10240" max="10240" width="6.6640625" style="10" customWidth="1"/>
    <col min="10241" max="10241" width="7" style="10" customWidth="1"/>
    <col min="10242" max="10242" width="17.6640625" style="10" bestFit="1" customWidth="1"/>
    <col min="10243" max="10243" width="12.6640625" style="10" customWidth="1"/>
    <col min="10244" max="10244" width="24" style="10" customWidth="1"/>
    <col min="10245" max="10245" width="13.46484375" style="10" bestFit="1" customWidth="1"/>
    <col min="10246" max="10246" width="13.6640625" style="10" customWidth="1"/>
    <col min="10247" max="10247" width="13.33203125" style="10" customWidth="1"/>
    <col min="10248" max="10248" width="22.46484375" style="10" customWidth="1"/>
    <col min="10249" max="10249" width="18.46484375" style="10" customWidth="1"/>
    <col min="10250" max="10250" width="22" style="10" customWidth="1"/>
    <col min="10251" max="10251" width="21.33203125" style="10" customWidth="1"/>
    <col min="10252" max="10252" width="23" style="10" customWidth="1"/>
    <col min="10253" max="10495" width="9.33203125" style="10"/>
    <col min="10496" max="10496" width="6.6640625" style="10" customWidth="1"/>
    <col min="10497" max="10497" width="7" style="10" customWidth="1"/>
    <col min="10498" max="10498" width="17.6640625" style="10" bestFit="1" customWidth="1"/>
    <col min="10499" max="10499" width="12.6640625" style="10" customWidth="1"/>
    <col min="10500" max="10500" width="24" style="10" customWidth="1"/>
    <col min="10501" max="10501" width="13.46484375" style="10" bestFit="1" customWidth="1"/>
    <col min="10502" max="10502" width="13.6640625" style="10" customWidth="1"/>
    <col min="10503" max="10503" width="13.33203125" style="10" customWidth="1"/>
    <col min="10504" max="10504" width="22.46484375" style="10" customWidth="1"/>
    <col min="10505" max="10505" width="18.46484375" style="10" customWidth="1"/>
    <col min="10506" max="10506" width="22" style="10" customWidth="1"/>
    <col min="10507" max="10507" width="21.33203125" style="10" customWidth="1"/>
    <col min="10508" max="10508" width="23" style="10" customWidth="1"/>
    <col min="10509" max="10751" width="9.33203125" style="10"/>
    <col min="10752" max="10752" width="6.6640625" style="10" customWidth="1"/>
    <col min="10753" max="10753" width="7" style="10" customWidth="1"/>
    <col min="10754" max="10754" width="17.6640625" style="10" bestFit="1" customWidth="1"/>
    <col min="10755" max="10755" width="12.6640625" style="10" customWidth="1"/>
    <col min="10756" max="10756" width="24" style="10" customWidth="1"/>
    <col min="10757" max="10757" width="13.46484375" style="10" bestFit="1" customWidth="1"/>
    <col min="10758" max="10758" width="13.6640625" style="10" customWidth="1"/>
    <col min="10759" max="10759" width="13.33203125" style="10" customWidth="1"/>
    <col min="10760" max="10760" width="22.46484375" style="10" customWidth="1"/>
    <col min="10761" max="10761" width="18.46484375" style="10" customWidth="1"/>
    <col min="10762" max="10762" width="22" style="10" customWidth="1"/>
    <col min="10763" max="10763" width="21.33203125" style="10" customWidth="1"/>
    <col min="10764" max="10764" width="23" style="10" customWidth="1"/>
    <col min="10765" max="11007" width="9.33203125" style="10"/>
    <col min="11008" max="11008" width="6.6640625" style="10" customWidth="1"/>
    <col min="11009" max="11009" width="7" style="10" customWidth="1"/>
    <col min="11010" max="11010" width="17.6640625" style="10" bestFit="1" customWidth="1"/>
    <col min="11011" max="11011" width="12.6640625" style="10" customWidth="1"/>
    <col min="11012" max="11012" width="24" style="10" customWidth="1"/>
    <col min="11013" max="11013" width="13.46484375" style="10" bestFit="1" customWidth="1"/>
    <col min="11014" max="11014" width="13.6640625" style="10" customWidth="1"/>
    <col min="11015" max="11015" width="13.33203125" style="10" customWidth="1"/>
    <col min="11016" max="11016" width="22.46484375" style="10" customWidth="1"/>
    <col min="11017" max="11017" width="18.46484375" style="10" customWidth="1"/>
    <col min="11018" max="11018" width="22" style="10" customWidth="1"/>
    <col min="11019" max="11019" width="21.33203125" style="10" customWidth="1"/>
    <col min="11020" max="11020" width="23" style="10" customWidth="1"/>
    <col min="11021" max="11263" width="9.33203125" style="10"/>
    <col min="11264" max="11264" width="6.6640625" style="10" customWidth="1"/>
    <col min="11265" max="11265" width="7" style="10" customWidth="1"/>
    <col min="11266" max="11266" width="17.6640625" style="10" bestFit="1" customWidth="1"/>
    <col min="11267" max="11267" width="12.6640625" style="10" customWidth="1"/>
    <col min="11268" max="11268" width="24" style="10" customWidth="1"/>
    <col min="11269" max="11269" width="13.46484375" style="10" bestFit="1" customWidth="1"/>
    <col min="11270" max="11270" width="13.6640625" style="10" customWidth="1"/>
    <col min="11271" max="11271" width="13.33203125" style="10" customWidth="1"/>
    <col min="11272" max="11272" width="22.46484375" style="10" customWidth="1"/>
    <col min="11273" max="11273" width="18.46484375" style="10" customWidth="1"/>
    <col min="11274" max="11274" width="22" style="10" customWidth="1"/>
    <col min="11275" max="11275" width="21.33203125" style="10" customWidth="1"/>
    <col min="11276" max="11276" width="23" style="10" customWidth="1"/>
    <col min="11277" max="11519" width="9.33203125" style="10"/>
    <col min="11520" max="11520" width="6.6640625" style="10" customWidth="1"/>
    <col min="11521" max="11521" width="7" style="10" customWidth="1"/>
    <col min="11522" max="11522" width="17.6640625" style="10" bestFit="1" customWidth="1"/>
    <col min="11523" max="11523" width="12.6640625" style="10" customWidth="1"/>
    <col min="11524" max="11524" width="24" style="10" customWidth="1"/>
    <col min="11525" max="11525" width="13.46484375" style="10" bestFit="1" customWidth="1"/>
    <col min="11526" max="11526" width="13.6640625" style="10" customWidth="1"/>
    <col min="11527" max="11527" width="13.33203125" style="10" customWidth="1"/>
    <col min="11528" max="11528" width="22.46484375" style="10" customWidth="1"/>
    <col min="11529" max="11529" width="18.46484375" style="10" customWidth="1"/>
    <col min="11530" max="11530" width="22" style="10" customWidth="1"/>
    <col min="11531" max="11531" width="21.33203125" style="10" customWidth="1"/>
    <col min="11532" max="11532" width="23" style="10" customWidth="1"/>
    <col min="11533" max="11775" width="9.33203125" style="10"/>
    <col min="11776" max="11776" width="6.6640625" style="10" customWidth="1"/>
    <col min="11777" max="11777" width="7" style="10" customWidth="1"/>
    <col min="11778" max="11778" width="17.6640625" style="10" bestFit="1" customWidth="1"/>
    <col min="11779" max="11779" width="12.6640625" style="10" customWidth="1"/>
    <col min="11780" max="11780" width="24" style="10" customWidth="1"/>
    <col min="11781" max="11781" width="13.46484375" style="10" bestFit="1" customWidth="1"/>
    <col min="11782" max="11782" width="13.6640625" style="10" customWidth="1"/>
    <col min="11783" max="11783" width="13.33203125" style="10" customWidth="1"/>
    <col min="11784" max="11784" width="22.46484375" style="10" customWidth="1"/>
    <col min="11785" max="11785" width="18.46484375" style="10" customWidth="1"/>
    <col min="11786" max="11786" width="22" style="10" customWidth="1"/>
    <col min="11787" max="11787" width="21.33203125" style="10" customWidth="1"/>
    <col min="11788" max="11788" width="23" style="10" customWidth="1"/>
    <col min="11789" max="12031" width="9.33203125" style="10"/>
    <col min="12032" max="12032" width="6.6640625" style="10" customWidth="1"/>
    <col min="12033" max="12033" width="7" style="10" customWidth="1"/>
    <col min="12034" max="12034" width="17.6640625" style="10" bestFit="1" customWidth="1"/>
    <col min="12035" max="12035" width="12.6640625" style="10" customWidth="1"/>
    <col min="12036" max="12036" width="24" style="10" customWidth="1"/>
    <col min="12037" max="12037" width="13.46484375" style="10" bestFit="1" customWidth="1"/>
    <col min="12038" max="12038" width="13.6640625" style="10" customWidth="1"/>
    <col min="12039" max="12039" width="13.33203125" style="10" customWidth="1"/>
    <col min="12040" max="12040" width="22.46484375" style="10" customWidth="1"/>
    <col min="12041" max="12041" width="18.46484375" style="10" customWidth="1"/>
    <col min="12042" max="12042" width="22" style="10" customWidth="1"/>
    <col min="12043" max="12043" width="21.33203125" style="10" customWidth="1"/>
    <col min="12044" max="12044" width="23" style="10" customWidth="1"/>
    <col min="12045" max="12287" width="9.33203125" style="10"/>
    <col min="12288" max="12288" width="6.6640625" style="10" customWidth="1"/>
    <col min="12289" max="12289" width="7" style="10" customWidth="1"/>
    <col min="12290" max="12290" width="17.6640625" style="10" bestFit="1" customWidth="1"/>
    <col min="12291" max="12291" width="12.6640625" style="10" customWidth="1"/>
    <col min="12292" max="12292" width="24" style="10" customWidth="1"/>
    <col min="12293" max="12293" width="13.46484375" style="10" bestFit="1" customWidth="1"/>
    <col min="12294" max="12294" width="13.6640625" style="10" customWidth="1"/>
    <col min="12295" max="12295" width="13.33203125" style="10" customWidth="1"/>
    <col min="12296" max="12296" width="22.46484375" style="10" customWidth="1"/>
    <col min="12297" max="12297" width="18.46484375" style="10" customWidth="1"/>
    <col min="12298" max="12298" width="22" style="10" customWidth="1"/>
    <col min="12299" max="12299" width="21.33203125" style="10" customWidth="1"/>
    <col min="12300" max="12300" width="23" style="10" customWidth="1"/>
    <col min="12301" max="12543" width="9.33203125" style="10"/>
    <col min="12544" max="12544" width="6.6640625" style="10" customWidth="1"/>
    <col min="12545" max="12545" width="7" style="10" customWidth="1"/>
    <col min="12546" max="12546" width="17.6640625" style="10" bestFit="1" customWidth="1"/>
    <col min="12547" max="12547" width="12.6640625" style="10" customWidth="1"/>
    <col min="12548" max="12548" width="24" style="10" customWidth="1"/>
    <col min="12549" max="12549" width="13.46484375" style="10" bestFit="1" customWidth="1"/>
    <col min="12550" max="12550" width="13.6640625" style="10" customWidth="1"/>
    <col min="12551" max="12551" width="13.33203125" style="10" customWidth="1"/>
    <col min="12552" max="12552" width="22.46484375" style="10" customWidth="1"/>
    <col min="12553" max="12553" width="18.46484375" style="10" customWidth="1"/>
    <col min="12554" max="12554" width="22" style="10" customWidth="1"/>
    <col min="12555" max="12555" width="21.33203125" style="10" customWidth="1"/>
    <col min="12556" max="12556" width="23" style="10" customWidth="1"/>
    <col min="12557" max="12799" width="9.33203125" style="10"/>
    <col min="12800" max="12800" width="6.6640625" style="10" customWidth="1"/>
    <col min="12801" max="12801" width="7" style="10" customWidth="1"/>
    <col min="12802" max="12802" width="17.6640625" style="10" bestFit="1" customWidth="1"/>
    <col min="12803" max="12803" width="12.6640625" style="10" customWidth="1"/>
    <col min="12804" max="12804" width="24" style="10" customWidth="1"/>
    <col min="12805" max="12805" width="13.46484375" style="10" bestFit="1" customWidth="1"/>
    <col min="12806" max="12806" width="13.6640625" style="10" customWidth="1"/>
    <col min="12807" max="12807" width="13.33203125" style="10" customWidth="1"/>
    <col min="12808" max="12808" width="22.46484375" style="10" customWidth="1"/>
    <col min="12809" max="12809" width="18.46484375" style="10" customWidth="1"/>
    <col min="12810" max="12810" width="22" style="10" customWidth="1"/>
    <col min="12811" max="12811" width="21.33203125" style="10" customWidth="1"/>
    <col min="12812" max="12812" width="23" style="10" customWidth="1"/>
    <col min="12813" max="13055" width="9.33203125" style="10"/>
    <col min="13056" max="13056" width="6.6640625" style="10" customWidth="1"/>
    <col min="13057" max="13057" width="7" style="10" customWidth="1"/>
    <col min="13058" max="13058" width="17.6640625" style="10" bestFit="1" customWidth="1"/>
    <col min="13059" max="13059" width="12.6640625" style="10" customWidth="1"/>
    <col min="13060" max="13060" width="24" style="10" customWidth="1"/>
    <col min="13061" max="13061" width="13.46484375" style="10" bestFit="1" customWidth="1"/>
    <col min="13062" max="13062" width="13.6640625" style="10" customWidth="1"/>
    <col min="13063" max="13063" width="13.33203125" style="10" customWidth="1"/>
    <col min="13064" max="13064" width="22.46484375" style="10" customWidth="1"/>
    <col min="13065" max="13065" width="18.46484375" style="10" customWidth="1"/>
    <col min="13066" max="13066" width="22" style="10" customWidth="1"/>
    <col min="13067" max="13067" width="21.33203125" style="10" customWidth="1"/>
    <col min="13068" max="13068" width="23" style="10" customWidth="1"/>
    <col min="13069" max="13311" width="9.33203125" style="10"/>
    <col min="13312" max="13312" width="6.6640625" style="10" customWidth="1"/>
    <col min="13313" max="13313" width="7" style="10" customWidth="1"/>
    <col min="13314" max="13314" width="17.6640625" style="10" bestFit="1" customWidth="1"/>
    <col min="13315" max="13315" width="12.6640625" style="10" customWidth="1"/>
    <col min="13316" max="13316" width="24" style="10" customWidth="1"/>
    <col min="13317" max="13317" width="13.46484375" style="10" bestFit="1" customWidth="1"/>
    <col min="13318" max="13318" width="13.6640625" style="10" customWidth="1"/>
    <col min="13319" max="13319" width="13.33203125" style="10" customWidth="1"/>
    <col min="13320" max="13320" width="22.46484375" style="10" customWidth="1"/>
    <col min="13321" max="13321" width="18.46484375" style="10" customWidth="1"/>
    <col min="13322" max="13322" width="22" style="10" customWidth="1"/>
    <col min="13323" max="13323" width="21.33203125" style="10" customWidth="1"/>
    <col min="13324" max="13324" width="23" style="10" customWidth="1"/>
    <col min="13325" max="13567" width="9.33203125" style="10"/>
    <col min="13568" max="13568" width="6.6640625" style="10" customWidth="1"/>
    <col min="13569" max="13569" width="7" style="10" customWidth="1"/>
    <col min="13570" max="13570" width="17.6640625" style="10" bestFit="1" customWidth="1"/>
    <col min="13571" max="13571" width="12.6640625" style="10" customWidth="1"/>
    <col min="13572" max="13572" width="24" style="10" customWidth="1"/>
    <col min="13573" max="13573" width="13.46484375" style="10" bestFit="1" customWidth="1"/>
    <col min="13574" max="13574" width="13.6640625" style="10" customWidth="1"/>
    <col min="13575" max="13575" width="13.33203125" style="10" customWidth="1"/>
    <col min="13576" max="13576" width="22.46484375" style="10" customWidth="1"/>
    <col min="13577" max="13577" width="18.46484375" style="10" customWidth="1"/>
    <col min="13578" max="13578" width="22" style="10" customWidth="1"/>
    <col min="13579" max="13579" width="21.33203125" style="10" customWidth="1"/>
    <col min="13580" max="13580" width="23" style="10" customWidth="1"/>
    <col min="13581" max="13823" width="9.33203125" style="10"/>
    <col min="13824" max="13824" width="6.6640625" style="10" customWidth="1"/>
    <col min="13825" max="13825" width="7" style="10" customWidth="1"/>
    <col min="13826" max="13826" width="17.6640625" style="10" bestFit="1" customWidth="1"/>
    <col min="13827" max="13827" width="12.6640625" style="10" customWidth="1"/>
    <col min="13828" max="13828" width="24" style="10" customWidth="1"/>
    <col min="13829" max="13829" width="13.46484375" style="10" bestFit="1" customWidth="1"/>
    <col min="13830" max="13830" width="13.6640625" style="10" customWidth="1"/>
    <col min="13831" max="13831" width="13.33203125" style="10" customWidth="1"/>
    <col min="13832" max="13832" width="22.46484375" style="10" customWidth="1"/>
    <col min="13833" max="13833" width="18.46484375" style="10" customWidth="1"/>
    <col min="13834" max="13834" width="22" style="10" customWidth="1"/>
    <col min="13835" max="13835" width="21.33203125" style="10" customWidth="1"/>
    <col min="13836" max="13836" width="23" style="10" customWidth="1"/>
    <col min="13837" max="14079" width="9.33203125" style="10"/>
    <col min="14080" max="14080" width="6.6640625" style="10" customWidth="1"/>
    <col min="14081" max="14081" width="7" style="10" customWidth="1"/>
    <col min="14082" max="14082" width="17.6640625" style="10" bestFit="1" customWidth="1"/>
    <col min="14083" max="14083" width="12.6640625" style="10" customWidth="1"/>
    <col min="14084" max="14084" width="24" style="10" customWidth="1"/>
    <col min="14085" max="14085" width="13.46484375" style="10" bestFit="1" customWidth="1"/>
    <col min="14086" max="14086" width="13.6640625" style="10" customWidth="1"/>
    <col min="14087" max="14087" width="13.33203125" style="10" customWidth="1"/>
    <col min="14088" max="14088" width="22.46484375" style="10" customWidth="1"/>
    <col min="14089" max="14089" width="18.46484375" style="10" customWidth="1"/>
    <col min="14090" max="14090" width="22" style="10" customWidth="1"/>
    <col min="14091" max="14091" width="21.33203125" style="10" customWidth="1"/>
    <col min="14092" max="14092" width="23" style="10" customWidth="1"/>
    <col min="14093" max="14335" width="9.33203125" style="10"/>
    <col min="14336" max="14336" width="6.6640625" style="10" customWidth="1"/>
    <col min="14337" max="14337" width="7" style="10" customWidth="1"/>
    <col min="14338" max="14338" width="17.6640625" style="10" bestFit="1" customWidth="1"/>
    <col min="14339" max="14339" width="12.6640625" style="10" customWidth="1"/>
    <col min="14340" max="14340" width="24" style="10" customWidth="1"/>
    <col min="14341" max="14341" width="13.46484375" style="10" bestFit="1" customWidth="1"/>
    <col min="14342" max="14342" width="13.6640625" style="10" customWidth="1"/>
    <col min="14343" max="14343" width="13.33203125" style="10" customWidth="1"/>
    <col min="14344" max="14344" width="22.46484375" style="10" customWidth="1"/>
    <col min="14345" max="14345" width="18.46484375" style="10" customWidth="1"/>
    <col min="14346" max="14346" width="22" style="10" customWidth="1"/>
    <col min="14347" max="14347" width="21.33203125" style="10" customWidth="1"/>
    <col min="14348" max="14348" width="23" style="10" customWidth="1"/>
    <col min="14349" max="14591" width="9.33203125" style="10"/>
    <col min="14592" max="14592" width="6.6640625" style="10" customWidth="1"/>
    <col min="14593" max="14593" width="7" style="10" customWidth="1"/>
    <col min="14594" max="14594" width="17.6640625" style="10" bestFit="1" customWidth="1"/>
    <col min="14595" max="14595" width="12.6640625" style="10" customWidth="1"/>
    <col min="14596" max="14596" width="24" style="10" customWidth="1"/>
    <col min="14597" max="14597" width="13.46484375" style="10" bestFit="1" customWidth="1"/>
    <col min="14598" max="14598" width="13.6640625" style="10" customWidth="1"/>
    <col min="14599" max="14599" width="13.33203125" style="10" customWidth="1"/>
    <col min="14600" max="14600" width="22.46484375" style="10" customWidth="1"/>
    <col min="14601" max="14601" width="18.46484375" style="10" customWidth="1"/>
    <col min="14602" max="14602" width="22" style="10" customWidth="1"/>
    <col min="14603" max="14603" width="21.33203125" style="10" customWidth="1"/>
    <col min="14604" max="14604" width="23" style="10" customWidth="1"/>
    <col min="14605" max="14847" width="9.33203125" style="10"/>
    <col min="14848" max="14848" width="6.6640625" style="10" customWidth="1"/>
    <col min="14849" max="14849" width="7" style="10" customWidth="1"/>
    <col min="14850" max="14850" width="17.6640625" style="10" bestFit="1" customWidth="1"/>
    <col min="14851" max="14851" width="12.6640625" style="10" customWidth="1"/>
    <col min="14852" max="14852" width="24" style="10" customWidth="1"/>
    <col min="14853" max="14853" width="13.46484375" style="10" bestFit="1" customWidth="1"/>
    <col min="14854" max="14854" width="13.6640625" style="10" customWidth="1"/>
    <col min="14855" max="14855" width="13.33203125" style="10" customWidth="1"/>
    <col min="14856" max="14856" width="22.46484375" style="10" customWidth="1"/>
    <col min="14857" max="14857" width="18.46484375" style="10" customWidth="1"/>
    <col min="14858" max="14858" width="22" style="10" customWidth="1"/>
    <col min="14859" max="14859" width="21.33203125" style="10" customWidth="1"/>
    <col min="14860" max="14860" width="23" style="10" customWidth="1"/>
    <col min="14861" max="15103" width="9.33203125" style="10"/>
    <col min="15104" max="15104" width="6.6640625" style="10" customWidth="1"/>
    <col min="15105" max="15105" width="7" style="10" customWidth="1"/>
    <col min="15106" max="15106" width="17.6640625" style="10" bestFit="1" customWidth="1"/>
    <col min="15107" max="15107" width="12.6640625" style="10" customWidth="1"/>
    <col min="15108" max="15108" width="24" style="10" customWidth="1"/>
    <col min="15109" max="15109" width="13.46484375" style="10" bestFit="1" customWidth="1"/>
    <col min="15110" max="15110" width="13.6640625" style="10" customWidth="1"/>
    <col min="15111" max="15111" width="13.33203125" style="10" customWidth="1"/>
    <col min="15112" max="15112" width="22.46484375" style="10" customWidth="1"/>
    <col min="15113" max="15113" width="18.46484375" style="10" customWidth="1"/>
    <col min="15114" max="15114" width="22" style="10" customWidth="1"/>
    <col min="15115" max="15115" width="21.33203125" style="10" customWidth="1"/>
    <col min="15116" max="15116" width="23" style="10" customWidth="1"/>
    <col min="15117" max="15359" width="9.33203125" style="10"/>
    <col min="15360" max="15360" width="6.6640625" style="10" customWidth="1"/>
    <col min="15361" max="15361" width="7" style="10" customWidth="1"/>
    <col min="15362" max="15362" width="17.6640625" style="10" bestFit="1" customWidth="1"/>
    <col min="15363" max="15363" width="12.6640625" style="10" customWidth="1"/>
    <col min="15364" max="15364" width="24" style="10" customWidth="1"/>
    <col min="15365" max="15365" width="13.46484375" style="10" bestFit="1" customWidth="1"/>
    <col min="15366" max="15366" width="13.6640625" style="10" customWidth="1"/>
    <col min="15367" max="15367" width="13.33203125" style="10" customWidth="1"/>
    <col min="15368" max="15368" width="22.46484375" style="10" customWidth="1"/>
    <col min="15369" max="15369" width="18.46484375" style="10" customWidth="1"/>
    <col min="15370" max="15370" width="22" style="10" customWidth="1"/>
    <col min="15371" max="15371" width="21.33203125" style="10" customWidth="1"/>
    <col min="15372" max="15372" width="23" style="10" customWidth="1"/>
    <col min="15373" max="15615" width="9.33203125" style="10"/>
    <col min="15616" max="15616" width="6.6640625" style="10" customWidth="1"/>
    <col min="15617" max="15617" width="7" style="10" customWidth="1"/>
    <col min="15618" max="15618" width="17.6640625" style="10" bestFit="1" customWidth="1"/>
    <col min="15619" max="15619" width="12.6640625" style="10" customWidth="1"/>
    <col min="15620" max="15620" width="24" style="10" customWidth="1"/>
    <col min="15621" max="15621" width="13.46484375" style="10" bestFit="1" customWidth="1"/>
    <col min="15622" max="15622" width="13.6640625" style="10" customWidth="1"/>
    <col min="15623" max="15623" width="13.33203125" style="10" customWidth="1"/>
    <col min="15624" max="15624" width="22.46484375" style="10" customWidth="1"/>
    <col min="15625" max="15625" width="18.46484375" style="10" customWidth="1"/>
    <col min="15626" max="15626" width="22" style="10" customWidth="1"/>
    <col min="15627" max="15627" width="21.33203125" style="10" customWidth="1"/>
    <col min="15628" max="15628" width="23" style="10" customWidth="1"/>
    <col min="15629" max="15871" width="9.33203125" style="10"/>
    <col min="15872" max="15872" width="6.6640625" style="10" customWidth="1"/>
    <col min="15873" max="15873" width="7" style="10" customWidth="1"/>
    <col min="15874" max="15874" width="17.6640625" style="10" bestFit="1" customWidth="1"/>
    <col min="15875" max="15875" width="12.6640625" style="10" customWidth="1"/>
    <col min="15876" max="15876" width="24" style="10" customWidth="1"/>
    <col min="15877" max="15877" width="13.46484375" style="10" bestFit="1" customWidth="1"/>
    <col min="15878" max="15878" width="13.6640625" style="10" customWidth="1"/>
    <col min="15879" max="15879" width="13.33203125" style="10" customWidth="1"/>
    <col min="15880" max="15880" width="22.46484375" style="10" customWidth="1"/>
    <col min="15881" max="15881" width="18.46484375" style="10" customWidth="1"/>
    <col min="15882" max="15882" width="22" style="10" customWidth="1"/>
    <col min="15883" max="15883" width="21.33203125" style="10" customWidth="1"/>
    <col min="15884" max="15884" width="23" style="10" customWidth="1"/>
    <col min="15885" max="16127" width="9.33203125" style="10"/>
    <col min="16128" max="16128" width="6.6640625" style="10" customWidth="1"/>
    <col min="16129" max="16129" width="7" style="10" customWidth="1"/>
    <col min="16130" max="16130" width="17.6640625" style="10" bestFit="1" customWidth="1"/>
    <col min="16131" max="16131" width="12.6640625" style="10" customWidth="1"/>
    <col min="16132" max="16132" width="24" style="10" customWidth="1"/>
    <col min="16133" max="16133" width="13.46484375" style="10" bestFit="1" customWidth="1"/>
    <col min="16134" max="16134" width="13.6640625" style="10" customWidth="1"/>
    <col min="16135" max="16135" width="13.33203125" style="10" customWidth="1"/>
    <col min="16136" max="16136" width="22.46484375" style="10" customWidth="1"/>
    <col min="16137" max="16137" width="18.46484375" style="10" customWidth="1"/>
    <col min="16138" max="16138" width="22" style="10" customWidth="1"/>
    <col min="16139" max="16139" width="21.33203125" style="10" customWidth="1"/>
    <col min="16140" max="16140" width="23" style="10" customWidth="1"/>
    <col min="16141" max="16384" width="9.33203125" style="10"/>
  </cols>
  <sheetData>
    <row r="3" spans="2:18" x14ac:dyDescent="0.35">
      <c r="B3" s="1875" t="str">
        <f>+Index!B2</f>
        <v>Nidar Utilities Panvel LLP</v>
      </c>
      <c r="C3" s="1875"/>
      <c r="D3" s="1875"/>
      <c r="E3" s="1875"/>
      <c r="F3" s="1875"/>
      <c r="G3" s="1875"/>
      <c r="H3" s="1875"/>
      <c r="I3" s="1875"/>
      <c r="J3" s="1875"/>
      <c r="K3" s="1875"/>
      <c r="L3" s="1875"/>
      <c r="M3" s="1875"/>
      <c r="N3" s="1875"/>
      <c r="O3" s="1875"/>
      <c r="P3" s="1875"/>
      <c r="Q3" s="1875"/>
    </row>
    <row r="4" spans="2:18" x14ac:dyDescent="0.35">
      <c r="B4" s="1875" t="s">
        <v>211</v>
      </c>
      <c r="C4" s="1875"/>
      <c r="D4" s="1875"/>
      <c r="E4" s="1875"/>
      <c r="F4" s="1875"/>
      <c r="G4" s="1875"/>
      <c r="H4" s="1875"/>
      <c r="I4" s="1875"/>
      <c r="J4" s="1875"/>
      <c r="K4" s="1875"/>
      <c r="L4" s="1875"/>
      <c r="M4" s="1875"/>
      <c r="N4" s="1875"/>
      <c r="O4" s="1875"/>
      <c r="P4" s="1875"/>
      <c r="Q4" s="1875"/>
    </row>
    <row r="5" spans="2:18" x14ac:dyDescent="0.35">
      <c r="B5" s="1875" t="s">
        <v>302</v>
      </c>
      <c r="C5" s="1875"/>
      <c r="D5" s="1875"/>
      <c r="E5" s="1875"/>
      <c r="F5" s="1875"/>
      <c r="G5" s="1875"/>
      <c r="H5" s="1875"/>
      <c r="I5" s="1875"/>
      <c r="J5" s="1875"/>
      <c r="K5" s="1875"/>
      <c r="L5" s="1875"/>
      <c r="M5" s="1875"/>
      <c r="N5" s="1875"/>
      <c r="O5" s="1875"/>
      <c r="P5" s="1875"/>
      <c r="Q5" s="1875"/>
    </row>
    <row r="6" spans="2:18" x14ac:dyDescent="0.35">
      <c r="B6" s="49"/>
      <c r="C6" s="99"/>
      <c r="D6" s="179"/>
      <c r="E6" s="11"/>
      <c r="F6" s="12"/>
      <c r="G6" s="11"/>
      <c r="H6" s="11"/>
      <c r="I6" s="11"/>
    </row>
    <row r="7" spans="2:18" x14ac:dyDescent="0.35">
      <c r="B7" s="49"/>
      <c r="C7" s="99"/>
      <c r="D7" s="179"/>
      <c r="E7" s="11"/>
      <c r="F7" s="12"/>
      <c r="G7" s="11"/>
      <c r="H7" s="11"/>
      <c r="I7" s="11"/>
    </row>
    <row r="8" spans="2:18" x14ac:dyDescent="0.35">
      <c r="B8" s="755" t="s">
        <v>303</v>
      </c>
      <c r="C8" s="204"/>
      <c r="D8" s="179"/>
      <c r="E8" s="11"/>
      <c r="F8" s="12"/>
      <c r="G8" s="11"/>
      <c r="H8" s="11"/>
      <c r="I8" s="11"/>
    </row>
    <row r="9" spans="2:18" x14ac:dyDescent="0.35">
      <c r="B9" s="49"/>
      <c r="C9" s="99"/>
      <c r="D9" s="179"/>
      <c r="E9" s="11"/>
      <c r="F9" s="12"/>
      <c r="G9" s="11"/>
      <c r="H9" s="11"/>
      <c r="I9" s="11"/>
    </row>
    <row r="10" spans="2:18" x14ac:dyDescent="0.35">
      <c r="B10" s="49" t="s">
        <v>1032</v>
      </c>
      <c r="C10" s="99"/>
      <c r="D10" s="179"/>
      <c r="E10" s="11"/>
      <c r="F10" s="12"/>
      <c r="G10" s="11"/>
      <c r="H10" s="11"/>
      <c r="I10" s="11"/>
    </row>
    <row r="11" spans="2:18" x14ac:dyDescent="0.35">
      <c r="B11" s="49"/>
      <c r="C11" s="99"/>
      <c r="D11" s="179"/>
      <c r="E11" s="11"/>
      <c r="F11" s="12"/>
      <c r="G11" s="11"/>
      <c r="H11" s="11"/>
      <c r="I11" s="11"/>
    </row>
    <row r="12" spans="2:18" ht="27" x14ac:dyDescent="0.35">
      <c r="B12" s="756" t="s">
        <v>1</v>
      </c>
      <c r="C12" s="178" t="s">
        <v>111</v>
      </c>
      <c r="D12" s="98" t="s">
        <v>305</v>
      </c>
      <c r="E12" s="98" t="s">
        <v>172</v>
      </c>
      <c r="F12" s="98" t="s">
        <v>173</v>
      </c>
      <c r="G12" s="98" t="s">
        <v>174</v>
      </c>
      <c r="H12" s="98" t="s">
        <v>175</v>
      </c>
      <c r="I12" s="98" t="s">
        <v>176</v>
      </c>
      <c r="J12" s="98" t="s">
        <v>177</v>
      </c>
      <c r="K12" s="98" t="s">
        <v>178</v>
      </c>
      <c r="L12" s="98" t="s">
        <v>179</v>
      </c>
      <c r="M12" s="98" t="s">
        <v>180</v>
      </c>
      <c r="N12" s="98" t="s">
        <v>181</v>
      </c>
      <c r="O12" s="98" t="s">
        <v>182</v>
      </c>
      <c r="P12" s="98" t="s">
        <v>183</v>
      </c>
      <c r="Q12" s="98" t="s">
        <v>164</v>
      </c>
    </row>
    <row r="13" spans="2:18" x14ac:dyDescent="0.35">
      <c r="B13" s="757"/>
      <c r="C13" s="105"/>
      <c r="D13" s="200"/>
      <c r="E13" s="200"/>
      <c r="F13" s="200"/>
      <c r="G13" s="200"/>
      <c r="H13" s="200"/>
      <c r="I13" s="200"/>
      <c r="J13" s="200"/>
      <c r="K13" s="200"/>
      <c r="L13" s="200"/>
      <c r="M13" s="200"/>
      <c r="N13" s="200"/>
      <c r="O13" s="200"/>
      <c r="P13" s="200"/>
      <c r="Q13" s="200"/>
    </row>
    <row r="14" spans="2:18" x14ac:dyDescent="0.35">
      <c r="B14" s="757" t="s">
        <v>306</v>
      </c>
      <c r="C14" s="105" t="s">
        <v>307</v>
      </c>
      <c r="D14" s="200"/>
      <c r="E14" s="1962" t="s">
        <v>1199</v>
      </c>
      <c r="F14" s="1963"/>
      <c r="G14" s="1963"/>
      <c r="H14" s="1963"/>
      <c r="I14" s="1963"/>
      <c r="J14" s="1964"/>
      <c r="K14" s="200"/>
      <c r="L14" s="200"/>
      <c r="M14" s="200"/>
      <c r="N14" s="200"/>
      <c r="O14" s="200"/>
      <c r="P14" s="200"/>
      <c r="Q14" s="200"/>
    </row>
    <row r="15" spans="2:18" x14ac:dyDescent="0.35">
      <c r="B15" s="74">
        <v>1</v>
      </c>
      <c r="C15" s="152" t="s">
        <v>308</v>
      </c>
      <c r="D15" s="759"/>
      <c r="E15" s="1965"/>
      <c r="F15" s="1966"/>
      <c r="G15" s="1966"/>
      <c r="H15" s="1966"/>
      <c r="I15" s="1966"/>
      <c r="J15" s="1967"/>
      <c r="K15" s="657">
        <f>+'F1'!I65</f>
        <v>0.16426124</v>
      </c>
      <c r="L15" s="657">
        <f>+'F1'!J65</f>
        <v>0.20305292999999999</v>
      </c>
      <c r="M15" s="657">
        <f>+'F1'!K65</f>
        <v>0.20557799999999998</v>
      </c>
      <c r="N15" s="657">
        <f>+'F1'!L65</f>
        <v>0.20378285000000002</v>
      </c>
      <c r="O15" s="657">
        <f>+'F1'!M65</f>
        <v>0.18805931000000001</v>
      </c>
      <c r="P15" s="657">
        <f>+'F1'!N65</f>
        <v>0.21711447</v>
      </c>
      <c r="Q15" s="658">
        <f>SUM(E15:P15)</f>
        <v>1.1818488</v>
      </c>
    </row>
    <row r="16" spans="2:18" x14ac:dyDescent="0.35">
      <c r="B16" s="74"/>
      <c r="C16" s="690" t="s">
        <v>1196</v>
      </c>
      <c r="D16" s="759"/>
      <c r="E16" s="1965"/>
      <c r="F16" s="1966"/>
      <c r="G16" s="1966"/>
      <c r="H16" s="1966"/>
      <c r="I16" s="1966"/>
      <c r="J16" s="1967"/>
      <c r="K16" s="688">
        <f>+K17-K15</f>
        <v>3.8994759999999989E-2</v>
      </c>
      <c r="L16" s="688">
        <f t="shared" ref="L16:Q16" si="0">+L17-L15</f>
        <v>-2.889299999999928E-4</v>
      </c>
      <c r="M16" s="688">
        <f t="shared" si="0"/>
        <v>1.4622000000000024E-2</v>
      </c>
      <c r="N16" s="688">
        <f t="shared" si="0"/>
        <v>1.4977149999999995E-2</v>
      </c>
      <c r="O16" s="688">
        <f t="shared" si="0"/>
        <v>1.2340689999999988E-2</v>
      </c>
      <c r="P16" s="688">
        <f t="shared" si="0"/>
        <v>1.3405529999999999E-2</v>
      </c>
      <c r="Q16" s="657">
        <f t="shared" si="0"/>
        <v>9.4051200000000001E-2</v>
      </c>
      <c r="R16" s="662">
        <f>+Q16/Q17</f>
        <v>7.3713613919586168E-2</v>
      </c>
    </row>
    <row r="17" spans="2:18" x14ac:dyDescent="0.35">
      <c r="B17" s="74"/>
      <c r="C17" s="690" t="s">
        <v>1197</v>
      </c>
      <c r="D17" s="759"/>
      <c r="E17" s="1965"/>
      <c r="F17" s="1966"/>
      <c r="G17" s="1966"/>
      <c r="H17" s="1966"/>
      <c r="I17" s="1966"/>
      <c r="J17" s="1967"/>
      <c r="K17" s="657">
        <v>0.20325599999999999</v>
      </c>
      <c r="L17" s="657">
        <v>0.202764</v>
      </c>
      <c r="M17" s="657">
        <v>0.22020000000000001</v>
      </c>
      <c r="N17" s="657">
        <v>0.21876000000000001</v>
      </c>
      <c r="O17" s="657">
        <v>0.20039999999999999</v>
      </c>
      <c r="P17" s="657">
        <v>0.23052</v>
      </c>
      <c r="Q17" s="658">
        <f>SUM(E17:P17)</f>
        <v>1.2759</v>
      </c>
    </row>
    <row r="18" spans="2:18" x14ac:dyDescent="0.35">
      <c r="B18" s="74"/>
      <c r="C18" s="690" t="s">
        <v>1198</v>
      </c>
      <c r="D18" s="759"/>
      <c r="E18" s="1965"/>
      <c r="F18" s="1966"/>
      <c r="G18" s="1966"/>
      <c r="H18" s="1966"/>
      <c r="I18" s="1966"/>
      <c r="J18" s="1967"/>
      <c r="K18" s="691">
        <v>3.39E-2</v>
      </c>
      <c r="L18" s="691">
        <v>3.1600000000000003E-2</v>
      </c>
      <c r="M18" s="691">
        <v>3.0800000000000001E-2</v>
      </c>
      <c r="N18" s="691">
        <v>3.0300000000000001E-2</v>
      </c>
      <c r="O18" s="691">
        <v>3.27E-2</v>
      </c>
      <c r="P18" s="691">
        <v>3.1800000000000002E-2</v>
      </c>
      <c r="Q18" s="692">
        <f>(Q19-Q17)/Q19</f>
        <v>3.1815787489327965E-2</v>
      </c>
      <c r="R18" s="693"/>
    </row>
    <row r="19" spans="2:18" x14ac:dyDescent="0.35">
      <c r="B19" s="74">
        <v>2</v>
      </c>
      <c r="C19" s="152" t="s">
        <v>309</v>
      </c>
      <c r="D19" s="759"/>
      <c r="E19" s="1965"/>
      <c r="F19" s="1966"/>
      <c r="G19" s="1966"/>
      <c r="H19" s="1966"/>
      <c r="I19" s="1966"/>
      <c r="J19" s="1967"/>
      <c r="K19" s="694">
        <f t="shared" ref="K19:P19" si="1">K17/(1-K18)</f>
        <v>0.2103881585757168</v>
      </c>
      <c r="L19" s="694">
        <f t="shared" si="1"/>
        <v>0.20938042131350681</v>
      </c>
      <c r="M19" s="694">
        <f t="shared" si="1"/>
        <v>0.22719768881551797</v>
      </c>
      <c r="N19" s="694">
        <f t="shared" si="1"/>
        <v>0.22559554501392184</v>
      </c>
      <c r="O19" s="694">
        <f t="shared" si="1"/>
        <v>0.2071746097384472</v>
      </c>
      <c r="P19" s="694">
        <f t="shared" si="1"/>
        <v>0.2380913034497005</v>
      </c>
      <c r="Q19" s="695">
        <f>SUM(E19:P19)</f>
        <v>1.3178277269068113</v>
      </c>
      <c r="R19" s="693"/>
    </row>
    <row r="20" spans="2:18" x14ac:dyDescent="0.35">
      <c r="B20" s="74"/>
      <c r="C20" s="152"/>
      <c r="D20" s="219"/>
      <c r="E20" s="1965"/>
      <c r="F20" s="1966"/>
      <c r="G20" s="1966"/>
      <c r="H20" s="1966"/>
      <c r="I20" s="1966"/>
      <c r="J20" s="1967"/>
      <c r="K20" s="19"/>
      <c r="L20" s="19"/>
      <c r="M20" s="19"/>
      <c r="N20" s="19"/>
      <c r="O20" s="19"/>
      <c r="P20" s="19"/>
      <c r="Q20" s="19"/>
    </row>
    <row r="21" spans="2:18" x14ac:dyDescent="0.35">
      <c r="B21" s="757" t="s">
        <v>310</v>
      </c>
      <c r="C21" s="63" t="s">
        <v>311</v>
      </c>
      <c r="D21" s="200"/>
      <c r="E21" s="1965"/>
      <c r="F21" s="1966"/>
      <c r="G21" s="1966"/>
      <c r="H21" s="1966"/>
      <c r="I21" s="1966"/>
      <c r="J21" s="1967"/>
      <c r="K21" s="19"/>
      <c r="L21" s="19"/>
      <c r="M21" s="19"/>
      <c r="N21" s="19"/>
      <c r="O21" s="19"/>
      <c r="P21" s="19"/>
      <c r="Q21" s="19"/>
    </row>
    <row r="22" spans="2:18" x14ac:dyDescent="0.35">
      <c r="B22" s="758">
        <v>1</v>
      </c>
      <c r="C22" s="63" t="s">
        <v>269</v>
      </c>
      <c r="D22" s="200"/>
      <c r="E22" s="1965"/>
      <c r="F22" s="1966"/>
      <c r="G22" s="1966"/>
      <c r="H22" s="1966"/>
      <c r="I22" s="1966"/>
      <c r="J22" s="1967"/>
      <c r="K22" s="19"/>
      <c r="L22" s="19"/>
      <c r="M22" s="19"/>
      <c r="N22" s="19"/>
      <c r="O22" s="19"/>
      <c r="P22" s="19"/>
      <c r="Q22" s="658">
        <f t="shared" ref="Q22:Q33" si="2">SUM(E22:P22)</f>
        <v>0</v>
      </c>
    </row>
    <row r="23" spans="2:18" x14ac:dyDescent="0.35">
      <c r="B23" s="74">
        <v>1.1000000000000001</v>
      </c>
      <c r="C23" s="61" t="s">
        <v>235</v>
      </c>
      <c r="D23" s="219"/>
      <c r="E23" s="1965"/>
      <c r="F23" s="1966"/>
      <c r="G23" s="1966"/>
      <c r="H23" s="1966"/>
      <c r="I23" s="1966"/>
      <c r="J23" s="1967"/>
      <c r="K23" s="19"/>
      <c r="L23" s="19"/>
      <c r="M23" s="19"/>
      <c r="N23" s="19"/>
      <c r="O23" s="19"/>
      <c r="P23" s="19"/>
      <c r="Q23" s="658">
        <f t="shared" si="2"/>
        <v>0</v>
      </c>
    </row>
    <row r="24" spans="2:18" x14ac:dyDescent="0.35">
      <c r="B24" s="74">
        <v>1.2</v>
      </c>
      <c r="C24" s="61" t="s">
        <v>237</v>
      </c>
      <c r="D24" s="219"/>
      <c r="E24" s="1965"/>
      <c r="F24" s="1966"/>
      <c r="G24" s="1966"/>
      <c r="H24" s="1966"/>
      <c r="I24" s="1966"/>
      <c r="J24" s="1967"/>
      <c r="K24" s="19"/>
      <c r="L24" s="19"/>
      <c r="M24" s="19"/>
      <c r="N24" s="19"/>
      <c r="O24" s="19"/>
      <c r="P24" s="19"/>
      <c r="Q24" s="658">
        <f t="shared" si="2"/>
        <v>0</v>
      </c>
    </row>
    <row r="25" spans="2:18" x14ac:dyDescent="0.35">
      <c r="B25" s="74">
        <v>1.3</v>
      </c>
      <c r="C25" s="61" t="s">
        <v>270</v>
      </c>
      <c r="D25" s="219"/>
      <c r="E25" s="1965"/>
      <c r="F25" s="1966"/>
      <c r="G25" s="1966"/>
      <c r="H25" s="1966"/>
      <c r="I25" s="1966"/>
      <c r="J25" s="1967"/>
      <c r="K25" s="19"/>
      <c r="L25" s="19"/>
      <c r="M25" s="19"/>
      <c r="N25" s="19"/>
      <c r="O25" s="19"/>
      <c r="P25" s="19"/>
      <c r="Q25" s="658">
        <f t="shared" si="2"/>
        <v>0</v>
      </c>
    </row>
    <row r="26" spans="2:18" x14ac:dyDescent="0.35">
      <c r="B26" s="758">
        <v>2</v>
      </c>
      <c r="C26" s="63" t="s">
        <v>271</v>
      </c>
      <c r="D26" s="200"/>
      <c r="E26" s="1965"/>
      <c r="F26" s="1966"/>
      <c r="G26" s="1966"/>
      <c r="H26" s="1966"/>
      <c r="I26" s="1966"/>
      <c r="J26" s="1967"/>
      <c r="K26" s="19"/>
      <c r="L26" s="19"/>
      <c r="M26" s="19"/>
      <c r="N26" s="19"/>
      <c r="O26" s="19"/>
      <c r="P26" s="19"/>
      <c r="Q26" s="658">
        <f t="shared" si="2"/>
        <v>0</v>
      </c>
    </row>
    <row r="27" spans="2:18" x14ac:dyDescent="0.35">
      <c r="B27" s="74">
        <v>2.1</v>
      </c>
      <c r="C27" s="61" t="s">
        <v>1200</v>
      </c>
      <c r="D27" s="219">
        <v>4.0599999999999996</v>
      </c>
      <c r="E27" s="1965"/>
      <c r="F27" s="1966"/>
      <c r="G27" s="1966"/>
      <c r="H27" s="1966"/>
      <c r="I27" s="1966"/>
      <c r="J27" s="1967"/>
      <c r="K27" s="676">
        <v>0.207123</v>
      </c>
      <c r="L27" s="676">
        <v>0.20224600000000001</v>
      </c>
      <c r="M27" s="676">
        <v>0.21876799999999999</v>
      </c>
      <c r="N27" s="676">
        <v>0.220495</v>
      </c>
      <c r="O27" s="676">
        <v>0.200434</v>
      </c>
      <c r="P27" s="676">
        <v>0.23108899999999999</v>
      </c>
      <c r="Q27" s="658">
        <f t="shared" si="2"/>
        <v>1.2801549999999997</v>
      </c>
    </row>
    <row r="28" spans="2:18" x14ac:dyDescent="0.35">
      <c r="B28" s="74">
        <v>2.2000000000000002</v>
      </c>
      <c r="C28" s="61" t="s">
        <v>237</v>
      </c>
      <c r="D28" s="219"/>
      <c r="E28" s="1965"/>
      <c r="F28" s="1966"/>
      <c r="G28" s="1966"/>
      <c r="H28" s="1966"/>
      <c r="I28" s="1966"/>
      <c r="J28" s="1967"/>
      <c r="K28" s="19"/>
      <c r="L28" s="19"/>
      <c r="M28" s="19"/>
      <c r="N28" s="19"/>
      <c r="O28" s="19"/>
      <c r="P28" s="19"/>
      <c r="Q28" s="658">
        <f t="shared" si="2"/>
        <v>0</v>
      </c>
    </row>
    <row r="29" spans="2:18" x14ac:dyDescent="0.35">
      <c r="B29" s="758">
        <v>3</v>
      </c>
      <c r="C29" s="63" t="s">
        <v>272</v>
      </c>
      <c r="D29" s="200"/>
      <c r="E29" s="1965"/>
      <c r="F29" s="1966"/>
      <c r="G29" s="1966"/>
      <c r="H29" s="1966"/>
      <c r="I29" s="1966"/>
      <c r="J29" s="1967"/>
      <c r="K29" s="19"/>
      <c r="L29" s="19"/>
      <c r="M29" s="19"/>
      <c r="N29" s="19"/>
      <c r="O29" s="19"/>
      <c r="P29" s="19"/>
      <c r="Q29" s="658">
        <f t="shared" si="2"/>
        <v>0</v>
      </c>
    </row>
    <row r="30" spans="2:18" x14ac:dyDescent="0.35">
      <c r="B30" s="74">
        <v>3.1</v>
      </c>
      <c r="C30" s="61" t="s">
        <v>235</v>
      </c>
      <c r="D30" s="219"/>
      <c r="E30" s="1965"/>
      <c r="F30" s="1966"/>
      <c r="G30" s="1966"/>
      <c r="H30" s="1966"/>
      <c r="I30" s="1966"/>
      <c r="J30" s="1967"/>
      <c r="K30" s="19"/>
      <c r="L30" s="19"/>
      <c r="M30" s="19"/>
      <c r="N30" s="19"/>
      <c r="O30" s="19"/>
      <c r="P30" s="19"/>
      <c r="Q30" s="658">
        <f t="shared" si="2"/>
        <v>0</v>
      </c>
    </row>
    <row r="31" spans="2:18" x14ac:dyDescent="0.35">
      <c r="B31" s="74">
        <v>3.2</v>
      </c>
      <c r="C31" s="61" t="s">
        <v>237</v>
      </c>
      <c r="D31" s="219"/>
      <c r="E31" s="1965"/>
      <c r="F31" s="1966"/>
      <c r="G31" s="1966"/>
      <c r="H31" s="1966"/>
      <c r="I31" s="1966"/>
      <c r="J31" s="1967"/>
      <c r="K31" s="19"/>
      <c r="L31" s="19"/>
      <c r="M31" s="19"/>
      <c r="N31" s="19"/>
      <c r="O31" s="19"/>
      <c r="P31" s="19"/>
      <c r="Q31" s="658">
        <f t="shared" si="2"/>
        <v>0</v>
      </c>
    </row>
    <row r="32" spans="2:18" x14ac:dyDescent="0.35">
      <c r="B32" s="74">
        <v>3.3000000000000003</v>
      </c>
      <c r="C32" s="61" t="s">
        <v>1192</v>
      </c>
      <c r="D32" s="219"/>
      <c r="E32" s="1968"/>
      <c r="F32" s="1969"/>
      <c r="G32" s="1969"/>
      <c r="H32" s="1969"/>
      <c r="I32" s="1969"/>
      <c r="J32" s="1970"/>
      <c r="K32" s="676">
        <f t="shared" ref="K32:P32" si="3">+K19-SUM(K23:K31)</f>
        <v>3.2651585757167978E-3</v>
      </c>
      <c r="L32" s="676">
        <f t="shared" si="3"/>
        <v>7.1344213135068058E-3</v>
      </c>
      <c r="M32" s="676">
        <f t="shared" si="3"/>
        <v>8.4296888155179772E-3</v>
      </c>
      <c r="N32" s="676">
        <f t="shared" si="3"/>
        <v>5.1005450139218478E-3</v>
      </c>
      <c r="O32" s="676">
        <f t="shared" si="3"/>
        <v>6.7406097384472008E-3</v>
      </c>
      <c r="P32" s="676">
        <f t="shared" si="3"/>
        <v>7.0023034497005143E-3</v>
      </c>
      <c r="Q32" s="658">
        <f t="shared" si="2"/>
        <v>3.7672726906811144E-2</v>
      </c>
    </row>
    <row r="33" spans="2:18" x14ac:dyDescent="0.35">
      <c r="B33" s="758">
        <v>4</v>
      </c>
      <c r="C33" s="22" t="s">
        <v>312</v>
      </c>
      <c r="D33" s="59"/>
      <c r="E33" s="656">
        <f>SUM(E22:E32)</f>
        <v>0</v>
      </c>
      <c r="F33" s="656">
        <f t="shared" ref="F33:P33" si="4">SUM(F22:F32)</f>
        <v>0</v>
      </c>
      <c r="G33" s="656">
        <f t="shared" si="4"/>
        <v>0</v>
      </c>
      <c r="H33" s="656">
        <f t="shared" si="4"/>
        <v>0</v>
      </c>
      <c r="I33" s="656">
        <f t="shared" si="4"/>
        <v>0</v>
      </c>
      <c r="J33" s="656">
        <f t="shared" si="4"/>
        <v>0</v>
      </c>
      <c r="K33" s="677">
        <f t="shared" si="4"/>
        <v>0.2103881585757168</v>
      </c>
      <c r="L33" s="677">
        <f t="shared" si="4"/>
        <v>0.20938042131350681</v>
      </c>
      <c r="M33" s="677">
        <f t="shared" si="4"/>
        <v>0.22719768881551797</v>
      </c>
      <c r="N33" s="677">
        <f t="shared" si="4"/>
        <v>0.22559554501392184</v>
      </c>
      <c r="O33" s="677">
        <f t="shared" si="4"/>
        <v>0.2071746097384472</v>
      </c>
      <c r="P33" s="677">
        <f t="shared" si="4"/>
        <v>0.2380913034497005</v>
      </c>
      <c r="Q33" s="658">
        <f t="shared" si="2"/>
        <v>1.3178277269068113</v>
      </c>
    </row>
    <row r="34" spans="2:18" x14ac:dyDescent="0.35">
      <c r="B34" s="49"/>
      <c r="C34" s="99"/>
      <c r="D34" s="179"/>
      <c r="E34" s="11"/>
      <c r="F34" s="12"/>
      <c r="G34" s="11"/>
      <c r="H34" s="11"/>
      <c r="I34" s="11"/>
    </row>
    <row r="35" spans="2:18" x14ac:dyDescent="0.35">
      <c r="B35" s="49" t="s">
        <v>1038</v>
      </c>
      <c r="C35" s="99"/>
      <c r="D35" s="179"/>
      <c r="E35" s="11"/>
      <c r="F35" s="12"/>
      <c r="G35" s="11"/>
      <c r="H35" s="11"/>
      <c r="I35" s="11"/>
    </row>
    <row r="36" spans="2:18" x14ac:dyDescent="0.35">
      <c r="B36" s="49"/>
      <c r="C36" s="99"/>
      <c r="D36" s="179"/>
      <c r="E36" s="11"/>
      <c r="F36" s="12"/>
      <c r="G36" s="11"/>
      <c r="H36" s="11"/>
      <c r="I36" s="11"/>
    </row>
    <row r="37" spans="2:18" ht="27" x14ac:dyDescent="0.35">
      <c r="B37" s="756" t="s">
        <v>1</v>
      </c>
      <c r="C37" s="178" t="s">
        <v>111</v>
      </c>
      <c r="D37" s="98" t="s">
        <v>305</v>
      </c>
      <c r="E37" s="98" t="s">
        <v>172</v>
      </c>
      <c r="F37" s="98" t="s">
        <v>173</v>
      </c>
      <c r="G37" s="98" t="s">
        <v>174</v>
      </c>
      <c r="H37" s="98" t="s">
        <v>175</v>
      </c>
      <c r="I37" s="98" t="s">
        <v>176</v>
      </c>
      <c r="J37" s="98" t="s">
        <v>177</v>
      </c>
      <c r="K37" s="98" t="s">
        <v>178</v>
      </c>
      <c r="L37" s="98" t="s">
        <v>179</v>
      </c>
      <c r="M37" s="98" t="s">
        <v>180</v>
      </c>
      <c r="N37" s="98" t="s">
        <v>181</v>
      </c>
      <c r="O37" s="98" t="s">
        <v>182</v>
      </c>
      <c r="P37" s="98" t="s">
        <v>183</v>
      </c>
      <c r="Q37" s="98" t="s">
        <v>164</v>
      </c>
    </row>
    <row r="38" spans="2:18" x14ac:dyDescent="0.35">
      <c r="B38" s="757"/>
      <c r="C38" s="105"/>
      <c r="D38" s="200"/>
      <c r="E38" s="200"/>
      <c r="F38" s="200"/>
      <c r="G38" s="200"/>
      <c r="H38" s="200"/>
      <c r="I38" s="200"/>
      <c r="J38" s="200"/>
      <c r="K38" s="200"/>
      <c r="L38" s="200"/>
      <c r="M38" s="200"/>
      <c r="N38" s="200"/>
      <c r="O38" s="200"/>
      <c r="P38" s="200"/>
      <c r="Q38" s="200"/>
    </row>
    <row r="39" spans="2:18" x14ac:dyDescent="0.35">
      <c r="B39" s="757" t="s">
        <v>306</v>
      </c>
      <c r="C39" s="105" t="s">
        <v>307</v>
      </c>
      <c r="D39" s="200"/>
      <c r="Q39" s="658"/>
    </row>
    <row r="40" spans="2:18" x14ac:dyDescent="0.35">
      <c r="B40" s="74">
        <v>1</v>
      </c>
      <c r="C40" s="152" t="s">
        <v>308</v>
      </c>
      <c r="D40" s="759"/>
      <c r="E40" s="673">
        <f>+'F1'!C94</f>
        <v>0.23191944</v>
      </c>
      <c r="F40" s="673">
        <f>+'F1'!D94</f>
        <v>0.24694317000000002</v>
      </c>
      <c r="G40" s="673">
        <f>+'F1'!E94</f>
        <v>0.24715687000000003</v>
      </c>
      <c r="H40" s="673">
        <f>+'F1'!F94</f>
        <v>0.26595472999999997</v>
      </c>
      <c r="I40" s="673">
        <f>+'F1'!G94</f>
        <v>0.25971975999999997</v>
      </c>
      <c r="J40" s="673">
        <f>+'F1'!H94</f>
        <v>0.27535875999999998</v>
      </c>
      <c r="K40" s="673">
        <f>+'F1'!I94</f>
        <v>0.27127953999999999</v>
      </c>
      <c r="L40" s="673">
        <f>+'F1'!J94</f>
        <v>0.25980591999999997</v>
      </c>
      <c r="M40" s="673">
        <f>+'F1'!K94</f>
        <v>0.27227870999999998</v>
      </c>
      <c r="N40" s="673">
        <f>+'F1'!L94</f>
        <v>0.25416573999999997</v>
      </c>
      <c r="O40" s="673">
        <f>+'F1'!M94</f>
        <v>0.25314799999999998</v>
      </c>
      <c r="P40" s="673">
        <f>+'F1'!N94</f>
        <v>0.23600527000000002</v>
      </c>
      <c r="Q40" s="658">
        <f>SUM(E40:P40)</f>
        <v>3.0737359099999999</v>
      </c>
      <c r="R40" s="662"/>
    </row>
    <row r="41" spans="2:18" x14ac:dyDescent="0.35">
      <c r="B41" s="74"/>
      <c r="C41" s="690" t="s">
        <v>1196</v>
      </c>
      <c r="D41" s="759"/>
      <c r="E41" s="656">
        <f t="shared" ref="E41:P41" si="5">+E42-E40</f>
        <v>1.2640559999999995E-2</v>
      </c>
      <c r="F41" s="656">
        <f t="shared" si="5"/>
        <v>1.3576829999999956E-2</v>
      </c>
      <c r="G41" s="656">
        <f t="shared" si="5"/>
        <v>9.8831299999999622E-3</v>
      </c>
      <c r="H41" s="656">
        <f t="shared" si="5"/>
        <v>1.3405270000000025E-2</v>
      </c>
      <c r="I41" s="656">
        <f t="shared" si="5"/>
        <v>1.1600240000000039E-2</v>
      </c>
      <c r="J41" s="656">
        <f t="shared" si="5"/>
        <v>1.2881240000000016E-2</v>
      </c>
      <c r="K41" s="656">
        <f t="shared" si="5"/>
        <v>1.7440459999999991E-2</v>
      </c>
      <c r="L41" s="656">
        <f t="shared" si="5"/>
        <v>2.0154080000000019E-2</v>
      </c>
      <c r="M41" s="656">
        <f t="shared" si="5"/>
        <v>2.0281290000000007E-2</v>
      </c>
      <c r="N41" s="656">
        <f t="shared" si="5"/>
        <v>2.9754260000000032E-2</v>
      </c>
      <c r="O41" s="656">
        <f t="shared" si="5"/>
        <v>1.9944840000000019E-2</v>
      </c>
      <c r="P41" s="656">
        <f t="shared" si="5"/>
        <v>2.4028980000000005E-2</v>
      </c>
      <c r="Q41" s="658">
        <f>SUM(E41:P41)</f>
        <v>0.20559118000000007</v>
      </c>
      <c r="R41" s="662">
        <f>+Q41/Q42</f>
        <v>6.2693099638316374E-2</v>
      </c>
    </row>
    <row r="42" spans="2:18" x14ac:dyDescent="0.35">
      <c r="B42" s="74"/>
      <c r="C42" s="690" t="s">
        <v>1197</v>
      </c>
      <c r="D42" s="759"/>
      <c r="E42" s="656">
        <v>0.24456</v>
      </c>
      <c r="F42" s="674">
        <v>0.26051999999999997</v>
      </c>
      <c r="G42" s="674">
        <v>0.25703999999999999</v>
      </c>
      <c r="H42" s="674">
        <v>0.27936</v>
      </c>
      <c r="I42" s="674">
        <v>0.27132000000000001</v>
      </c>
      <c r="J42" s="674">
        <v>0.28824</v>
      </c>
      <c r="K42" s="675">
        <v>0.28871999999999998</v>
      </c>
      <c r="L42" s="675">
        <v>0.27995999999999999</v>
      </c>
      <c r="M42" s="675">
        <v>0.29255999999999999</v>
      </c>
      <c r="N42" s="675">
        <v>0.28392000000000001</v>
      </c>
      <c r="O42" s="675">
        <v>0.27309284</v>
      </c>
      <c r="P42" s="675">
        <v>0.26003425000000002</v>
      </c>
      <c r="Q42" s="658">
        <f>SUM(E42:P42)</f>
        <v>3.2793270899999998</v>
      </c>
    </row>
    <row r="43" spans="2:18" x14ac:dyDescent="0.4">
      <c r="B43" s="74"/>
      <c r="C43" s="690" t="s">
        <v>1198</v>
      </c>
      <c r="D43" s="759"/>
      <c r="E43" s="696">
        <v>3.3599999999999998E-2</v>
      </c>
      <c r="F43" s="696">
        <v>3.27E-2</v>
      </c>
      <c r="G43" s="696">
        <v>3.3599999999999998E-2</v>
      </c>
      <c r="H43" s="696">
        <v>3.2000000000000001E-2</v>
      </c>
      <c r="I43" s="696">
        <v>3.09E-2</v>
      </c>
      <c r="J43" s="696">
        <v>2.9100000000000001E-2</v>
      </c>
      <c r="K43" s="696">
        <v>2.87E-2</v>
      </c>
      <c r="L43" s="696">
        <v>3.1300000000000001E-2</v>
      </c>
      <c r="M43" s="696">
        <v>3.27E-2</v>
      </c>
      <c r="N43" s="696">
        <v>3.2000000000000001E-2</v>
      </c>
      <c r="O43" s="696">
        <v>3.1099999999999999E-2</v>
      </c>
      <c r="P43" s="696">
        <v>3.1E-2</v>
      </c>
      <c r="Q43" s="692">
        <f>(Q44-Q42)/Q44</f>
        <v>3.1514633435573945E-2</v>
      </c>
    </row>
    <row r="44" spans="2:18" x14ac:dyDescent="0.35">
      <c r="B44" s="74">
        <v>2</v>
      </c>
      <c r="C44" s="152" t="s">
        <v>309</v>
      </c>
      <c r="D44" s="759"/>
      <c r="E44" s="694">
        <f t="shared" ref="E44:P44" si="6">E42/(1-E43)</f>
        <v>0.25306291390728475</v>
      </c>
      <c r="F44" s="694">
        <f t="shared" si="6"/>
        <v>0.26932699265998133</v>
      </c>
      <c r="G44" s="694">
        <f t="shared" si="6"/>
        <v>0.26597682119205296</v>
      </c>
      <c r="H44" s="694">
        <f t="shared" si="6"/>
        <v>0.28859504132231406</v>
      </c>
      <c r="I44" s="694">
        <f t="shared" si="6"/>
        <v>0.27997110721287793</v>
      </c>
      <c r="J44" s="694">
        <f t="shared" si="6"/>
        <v>0.29687918426202492</v>
      </c>
      <c r="K44" s="694">
        <f t="shared" si="6"/>
        <v>0.29725110676413052</v>
      </c>
      <c r="L44" s="694">
        <f t="shared" si="6"/>
        <v>0.28900588417466705</v>
      </c>
      <c r="M44" s="694">
        <f t="shared" si="6"/>
        <v>0.3024501188876253</v>
      </c>
      <c r="N44" s="694">
        <f t="shared" si="6"/>
        <v>0.29330578512396693</v>
      </c>
      <c r="O44" s="694">
        <f t="shared" si="6"/>
        <v>0.28185864382289194</v>
      </c>
      <c r="P44" s="694">
        <f t="shared" si="6"/>
        <v>0.26835319917440664</v>
      </c>
      <c r="Q44" s="658">
        <f>SUM(E44:P44)</f>
        <v>3.3860367985042248</v>
      </c>
    </row>
    <row r="45" spans="2:18" x14ac:dyDescent="0.35">
      <c r="B45" s="74"/>
      <c r="C45" s="152"/>
      <c r="D45" s="219"/>
      <c r="E45" s="177"/>
      <c r="F45" s="19"/>
      <c r="G45" s="19"/>
      <c r="H45" s="19"/>
      <c r="I45" s="19"/>
      <c r="J45" s="19"/>
      <c r="K45" s="19"/>
      <c r="L45" s="19"/>
      <c r="M45" s="19"/>
      <c r="N45" s="19"/>
      <c r="O45" s="19"/>
      <c r="P45" s="19"/>
      <c r="Q45" s="19"/>
    </row>
    <row r="46" spans="2:18" x14ac:dyDescent="0.35">
      <c r="B46" s="757" t="s">
        <v>310</v>
      </c>
      <c r="C46" s="63" t="s">
        <v>311</v>
      </c>
      <c r="D46" s="200"/>
      <c r="E46" s="177"/>
      <c r="F46" s="19"/>
      <c r="G46" s="19"/>
      <c r="H46" s="19"/>
      <c r="I46" s="19"/>
      <c r="J46" s="19"/>
      <c r="K46" s="19"/>
      <c r="L46" s="19"/>
      <c r="M46" s="19"/>
      <c r="N46" s="19"/>
      <c r="O46" s="19"/>
      <c r="P46" s="19"/>
      <c r="Q46" s="658">
        <f t="shared" ref="Q46:Q57" si="7">SUM(E46:P46)</f>
        <v>0</v>
      </c>
    </row>
    <row r="47" spans="2:18" x14ac:dyDescent="0.35">
      <c r="B47" s="758">
        <v>1</v>
      </c>
      <c r="C47" s="63" t="s">
        <v>269</v>
      </c>
      <c r="D47" s="200"/>
      <c r="E47" s="177"/>
      <c r="F47" s="19"/>
      <c r="G47" s="19"/>
      <c r="H47" s="19"/>
      <c r="I47" s="19"/>
      <c r="J47" s="19"/>
      <c r="K47" s="19"/>
      <c r="L47" s="19"/>
      <c r="M47" s="19"/>
      <c r="N47" s="19"/>
      <c r="O47" s="19"/>
      <c r="P47" s="19"/>
      <c r="Q47" s="658">
        <f t="shared" si="7"/>
        <v>0</v>
      </c>
    </row>
    <row r="48" spans="2:18" x14ac:dyDescent="0.35">
      <c r="B48" s="74">
        <v>1.1000000000000001</v>
      </c>
      <c r="C48" s="697" t="s">
        <v>1202</v>
      </c>
      <c r="D48" s="219"/>
      <c r="E48" s="177"/>
      <c r="F48" s="19"/>
      <c r="G48" s="19"/>
      <c r="H48" s="19"/>
      <c r="I48" s="19"/>
      <c r="J48" s="19"/>
      <c r="K48" s="19"/>
      <c r="L48" s="19"/>
      <c r="M48" s="19"/>
      <c r="N48" s="19"/>
      <c r="O48" s="19"/>
      <c r="P48" s="19"/>
      <c r="Q48" s="658">
        <f t="shared" si="7"/>
        <v>0</v>
      </c>
    </row>
    <row r="49" spans="2:18" x14ac:dyDescent="0.35">
      <c r="B49" s="74">
        <v>1.2</v>
      </c>
      <c r="C49" s="61" t="s">
        <v>237</v>
      </c>
      <c r="D49" s="219"/>
      <c r="E49" s="177"/>
      <c r="F49" s="19"/>
      <c r="G49" s="19"/>
      <c r="H49" s="19"/>
      <c r="I49" s="19"/>
      <c r="J49" s="19"/>
      <c r="K49" s="19"/>
      <c r="L49" s="19"/>
      <c r="M49" s="19"/>
      <c r="N49" s="19"/>
      <c r="O49" s="19"/>
      <c r="P49" s="19"/>
      <c r="Q49" s="658">
        <f t="shared" si="7"/>
        <v>0</v>
      </c>
    </row>
    <row r="50" spans="2:18" x14ac:dyDescent="0.35">
      <c r="B50" s="74">
        <v>1.3</v>
      </c>
      <c r="C50" s="61" t="s">
        <v>270</v>
      </c>
      <c r="D50" s="219"/>
      <c r="E50" s="177"/>
      <c r="F50" s="19"/>
      <c r="G50" s="19"/>
      <c r="H50" s="19"/>
      <c r="I50" s="19"/>
      <c r="J50" s="19"/>
      <c r="K50" s="19"/>
      <c r="L50" s="19"/>
      <c r="M50" s="19"/>
      <c r="N50" s="19"/>
      <c r="O50" s="19"/>
      <c r="P50" s="19"/>
      <c r="Q50" s="658">
        <f t="shared" si="7"/>
        <v>0</v>
      </c>
    </row>
    <row r="51" spans="2:18" x14ac:dyDescent="0.35">
      <c r="B51" s="758">
        <v>2</v>
      </c>
      <c r="C51" s="63" t="s">
        <v>271</v>
      </c>
      <c r="D51" s="200"/>
      <c r="E51" s="177"/>
      <c r="F51" s="19"/>
      <c r="G51" s="19"/>
      <c r="H51" s="19"/>
      <c r="I51" s="19"/>
      <c r="J51" s="19"/>
      <c r="K51" s="19"/>
      <c r="L51" s="19"/>
      <c r="M51" s="19"/>
      <c r="N51" s="19"/>
      <c r="O51" s="19"/>
      <c r="P51" s="19"/>
      <c r="Q51" s="658">
        <f t="shared" si="7"/>
        <v>0</v>
      </c>
    </row>
    <row r="52" spans="2:18" x14ac:dyDescent="0.35">
      <c r="B52" s="74">
        <v>2.1</v>
      </c>
      <c r="C52" s="61" t="s">
        <v>1200</v>
      </c>
      <c r="D52" s="219">
        <v>3.55</v>
      </c>
      <c r="E52" s="698">
        <v>0.249333</v>
      </c>
      <c r="F52" s="698">
        <v>0.261629</v>
      </c>
      <c r="G52" s="698">
        <v>0.258214</v>
      </c>
      <c r="H52" s="698">
        <v>0.28025800000000001</v>
      </c>
      <c r="I52" s="698">
        <v>0.27663100000000002</v>
      </c>
      <c r="J52" s="698">
        <v>0.28532200000000002</v>
      </c>
      <c r="K52" s="698">
        <v>0.29789300000000002</v>
      </c>
      <c r="L52" s="698">
        <v>0.28259000000000001</v>
      </c>
      <c r="M52" s="698">
        <v>0.29252099999999998</v>
      </c>
      <c r="N52" s="698">
        <v>0.28703000000000001</v>
      </c>
      <c r="O52" s="698">
        <v>0.27490300000000001</v>
      </c>
      <c r="P52" s="698">
        <v>0.26864300000000002</v>
      </c>
      <c r="Q52" s="658">
        <f t="shared" si="7"/>
        <v>3.3149670000000002</v>
      </c>
    </row>
    <row r="53" spans="2:18" x14ac:dyDescent="0.35">
      <c r="B53" s="74">
        <v>2.2000000000000002</v>
      </c>
      <c r="C53" s="61" t="s">
        <v>237</v>
      </c>
      <c r="D53" s="219"/>
      <c r="E53" s="177"/>
      <c r="F53" s="19"/>
      <c r="G53" s="19"/>
      <c r="H53" s="19"/>
      <c r="I53" s="19"/>
      <c r="J53" s="19"/>
      <c r="K53" s="19"/>
      <c r="L53" s="19"/>
      <c r="M53" s="19"/>
      <c r="N53" s="19"/>
      <c r="O53" s="19"/>
      <c r="P53" s="19"/>
      <c r="Q53" s="658">
        <f t="shared" si="7"/>
        <v>0</v>
      </c>
    </row>
    <row r="54" spans="2:18" x14ac:dyDescent="0.35">
      <c r="B54" s="758">
        <v>3</v>
      </c>
      <c r="C54" s="63" t="s">
        <v>272</v>
      </c>
      <c r="D54" s="200"/>
      <c r="E54" s="177"/>
      <c r="F54" s="19"/>
      <c r="G54" s="19"/>
      <c r="H54" s="19"/>
      <c r="I54" s="19"/>
      <c r="J54" s="19"/>
      <c r="K54" s="19"/>
      <c r="L54" s="19"/>
      <c r="M54" s="19"/>
      <c r="N54" s="19"/>
      <c r="O54" s="19"/>
      <c r="P54" s="19"/>
      <c r="Q54" s="658">
        <f t="shared" si="7"/>
        <v>0</v>
      </c>
    </row>
    <row r="55" spans="2:18" x14ac:dyDescent="0.35">
      <c r="B55" s="74">
        <v>3.1</v>
      </c>
      <c r="C55" s="61" t="s">
        <v>235</v>
      </c>
      <c r="D55" s="219"/>
      <c r="E55" s="177"/>
      <c r="F55" s="19"/>
      <c r="G55" s="19"/>
      <c r="H55" s="19"/>
      <c r="I55" s="19"/>
      <c r="J55" s="19"/>
      <c r="K55" s="19"/>
      <c r="L55" s="19"/>
      <c r="M55" s="19"/>
      <c r="N55" s="19"/>
      <c r="O55" s="19"/>
      <c r="P55" s="19"/>
      <c r="Q55" s="658">
        <f t="shared" si="7"/>
        <v>0</v>
      </c>
    </row>
    <row r="56" spans="2:18" x14ac:dyDescent="0.35">
      <c r="B56" s="74">
        <v>3.2</v>
      </c>
      <c r="C56" s="61" t="s">
        <v>237</v>
      </c>
      <c r="D56" s="219"/>
      <c r="E56" s="177"/>
      <c r="F56" s="19"/>
      <c r="G56" s="19"/>
      <c r="H56" s="19"/>
      <c r="I56" s="19"/>
      <c r="J56" s="19"/>
      <c r="K56" s="19"/>
      <c r="L56" s="19"/>
      <c r="M56" s="19"/>
      <c r="N56" s="19"/>
      <c r="O56" s="19"/>
      <c r="P56" s="19"/>
      <c r="Q56" s="658">
        <f t="shared" si="7"/>
        <v>0</v>
      </c>
    </row>
    <row r="57" spans="2:18" x14ac:dyDescent="0.35">
      <c r="B57" s="74">
        <v>3.3000000000000003</v>
      </c>
      <c r="C57" s="61" t="s">
        <v>1192</v>
      </c>
      <c r="D57" s="219"/>
      <c r="E57" s="676">
        <f>+E44-SUM(E48:E56)</f>
        <v>3.7299139072847487E-3</v>
      </c>
      <c r="F57" s="676">
        <f t="shared" ref="F57:P57" si="8">+F44-SUM(F48:F56)</f>
        <v>7.6979926599813342E-3</v>
      </c>
      <c r="G57" s="676">
        <f t="shared" si="8"/>
        <v>7.76282119205296E-3</v>
      </c>
      <c r="H57" s="676">
        <f t="shared" si="8"/>
        <v>8.3370413223140538E-3</v>
      </c>
      <c r="I57" s="676">
        <f t="shared" si="8"/>
        <v>3.3401072128779186E-3</v>
      </c>
      <c r="J57" s="676">
        <f t="shared" si="8"/>
        <v>1.15571842620249E-2</v>
      </c>
      <c r="K57" s="676">
        <f t="shared" si="8"/>
        <v>-6.4189323586949509E-4</v>
      </c>
      <c r="L57" s="676">
        <f t="shared" si="8"/>
        <v>6.4158841746670414E-3</v>
      </c>
      <c r="M57" s="676">
        <f t="shared" si="8"/>
        <v>9.9291188876253211E-3</v>
      </c>
      <c r="N57" s="676">
        <f t="shared" si="8"/>
        <v>6.275785123966926E-3</v>
      </c>
      <c r="O57" s="676">
        <f t="shared" si="8"/>
        <v>6.9556438228919326E-3</v>
      </c>
      <c r="P57" s="676">
        <f t="shared" si="8"/>
        <v>-2.8980082559337816E-4</v>
      </c>
      <c r="Q57" s="658">
        <f t="shared" si="7"/>
        <v>7.1069798504224263E-2</v>
      </c>
    </row>
    <row r="58" spans="2:18" x14ac:dyDescent="0.35">
      <c r="B58" s="758">
        <v>4</v>
      </c>
      <c r="C58" s="22" t="s">
        <v>312</v>
      </c>
      <c r="D58" s="59"/>
      <c r="E58" s="677">
        <f t="shared" ref="E58:Q58" si="9">SUM(E47:E57)</f>
        <v>0.25306291390728475</v>
      </c>
      <c r="F58" s="677">
        <f t="shared" si="9"/>
        <v>0.26932699265998133</v>
      </c>
      <c r="G58" s="677">
        <f t="shared" si="9"/>
        <v>0.26597682119205296</v>
      </c>
      <c r="H58" s="677">
        <f t="shared" si="9"/>
        <v>0.28859504132231406</v>
      </c>
      <c r="I58" s="677">
        <f t="shared" si="9"/>
        <v>0.27997110721287793</v>
      </c>
      <c r="J58" s="677">
        <f t="shared" si="9"/>
        <v>0.29687918426202492</v>
      </c>
      <c r="K58" s="677">
        <f t="shared" si="9"/>
        <v>0.29725110676413052</v>
      </c>
      <c r="L58" s="677">
        <f t="shared" si="9"/>
        <v>0.28900588417466705</v>
      </c>
      <c r="M58" s="677">
        <f t="shared" si="9"/>
        <v>0.3024501188876253</v>
      </c>
      <c r="N58" s="677">
        <f t="shared" si="9"/>
        <v>0.29330578512396693</v>
      </c>
      <c r="O58" s="677">
        <f t="shared" si="9"/>
        <v>0.28185864382289194</v>
      </c>
      <c r="P58" s="677">
        <f t="shared" si="9"/>
        <v>0.26835319917440664</v>
      </c>
      <c r="Q58" s="677">
        <f t="shared" si="9"/>
        <v>3.3860367985042243</v>
      </c>
    </row>
    <row r="59" spans="2:18" x14ac:dyDescent="0.35">
      <c r="B59" s="49"/>
      <c r="C59" s="99"/>
      <c r="D59" s="179"/>
      <c r="E59" s="11"/>
      <c r="F59" s="12"/>
      <c r="G59" s="11"/>
      <c r="H59" s="11"/>
      <c r="I59" s="11"/>
    </row>
    <row r="60" spans="2:18" x14ac:dyDescent="0.35">
      <c r="B60" s="49" t="s">
        <v>1034</v>
      </c>
      <c r="C60" s="99"/>
      <c r="D60" s="179"/>
      <c r="E60" s="11"/>
      <c r="F60" s="12"/>
      <c r="G60" s="11"/>
      <c r="H60" s="11"/>
      <c r="I60" s="11"/>
    </row>
    <row r="61" spans="2:18" x14ac:dyDescent="0.35">
      <c r="B61" s="49"/>
      <c r="C61" s="99"/>
      <c r="D61" s="179"/>
      <c r="E61" s="11"/>
      <c r="F61" s="12"/>
      <c r="G61" s="11"/>
      <c r="H61" s="11"/>
      <c r="I61" s="11"/>
    </row>
    <row r="62" spans="2:18" ht="27" x14ac:dyDescent="0.35">
      <c r="B62" s="756" t="s">
        <v>1</v>
      </c>
      <c r="C62" s="178" t="s">
        <v>111</v>
      </c>
      <c r="D62" s="98" t="s">
        <v>305</v>
      </c>
      <c r="E62" s="98" t="s">
        <v>172</v>
      </c>
      <c r="F62" s="98" t="s">
        <v>173</v>
      </c>
      <c r="G62" s="98" t="s">
        <v>174</v>
      </c>
      <c r="H62" s="98" t="s">
        <v>175</v>
      </c>
      <c r="I62" s="98" t="s">
        <v>176</v>
      </c>
      <c r="J62" s="98" t="s">
        <v>177</v>
      </c>
      <c r="K62" s="98" t="s">
        <v>178</v>
      </c>
      <c r="L62" s="98" t="s">
        <v>179</v>
      </c>
      <c r="M62" s="98" t="s">
        <v>180</v>
      </c>
      <c r="N62" s="98" t="s">
        <v>181</v>
      </c>
      <c r="O62" s="98" t="s">
        <v>182</v>
      </c>
      <c r="P62" s="98" t="s">
        <v>183</v>
      </c>
      <c r="Q62" s="98" t="s">
        <v>164</v>
      </c>
    </row>
    <row r="63" spans="2:18" x14ac:dyDescent="0.35">
      <c r="B63" s="757"/>
      <c r="C63" s="105"/>
      <c r="D63" s="200"/>
      <c r="E63" s="200"/>
      <c r="F63" s="200"/>
      <c r="G63" s="200"/>
      <c r="H63" s="200"/>
      <c r="I63" s="200"/>
      <c r="J63" s="200"/>
      <c r="K63" s="200"/>
      <c r="L63" s="200"/>
      <c r="M63" s="200"/>
      <c r="N63" s="200"/>
      <c r="O63" s="200"/>
      <c r="P63" s="200"/>
      <c r="Q63" s="200"/>
    </row>
    <row r="64" spans="2:18" x14ac:dyDescent="0.35">
      <c r="B64" s="757" t="s">
        <v>306</v>
      </c>
      <c r="C64" s="105" t="s">
        <v>307</v>
      </c>
      <c r="D64" s="200"/>
      <c r="E64" s="673"/>
      <c r="F64" s="673"/>
      <c r="G64" s="673"/>
      <c r="H64" s="673"/>
      <c r="I64" s="673"/>
      <c r="J64" s="673"/>
      <c r="K64" s="673"/>
      <c r="L64" s="673"/>
      <c r="M64" s="673"/>
      <c r="N64" s="673"/>
      <c r="O64" s="673"/>
      <c r="P64" s="673"/>
      <c r="Q64" s="658"/>
      <c r="R64" s="662"/>
    </row>
    <row r="65" spans="2:18" x14ac:dyDescent="0.35">
      <c r="B65" s="74">
        <v>1</v>
      </c>
      <c r="C65" s="152" t="s">
        <v>308</v>
      </c>
      <c r="D65" s="759"/>
      <c r="E65" s="657">
        <f>+'F1'!C124</f>
        <v>0.19441103999999998</v>
      </c>
      <c r="F65" s="657">
        <f>+'F1'!D124</f>
        <v>0.23367645600000003</v>
      </c>
      <c r="G65" s="657">
        <f>+'F1'!E124</f>
        <v>0.28718436999999997</v>
      </c>
      <c r="H65" s="657">
        <f>+'F1'!F124</f>
        <v>0.44368384000000005</v>
      </c>
      <c r="I65" s="657">
        <f>+'F1'!G124</f>
        <v>0.72222070000000005</v>
      </c>
      <c r="J65" s="657">
        <f>+'F1'!H124</f>
        <v>0.79802329999999999</v>
      </c>
      <c r="K65" s="657">
        <f>+'F1'!I124</f>
        <v>0.83687461100000005</v>
      </c>
      <c r="L65" s="657">
        <f>+'F1'!J124</f>
        <v>0.78130984999999997</v>
      </c>
      <c r="M65" s="657">
        <f>+'F1'!K124</f>
        <v>0.81127389500000002</v>
      </c>
      <c r="N65" s="657">
        <f>+'F1'!L124</f>
        <v>0.89540987199999988</v>
      </c>
      <c r="O65" s="657">
        <f>+'F1'!M124</f>
        <v>0.83417093000000009</v>
      </c>
      <c r="P65" s="657">
        <f>+'F1'!N124</f>
        <v>1.0707447700000001</v>
      </c>
      <c r="Q65" s="658">
        <f>SUM(E65:P65)</f>
        <v>7.908983634000001</v>
      </c>
      <c r="R65" s="662"/>
    </row>
    <row r="66" spans="2:18" x14ac:dyDescent="0.35">
      <c r="B66" s="74"/>
      <c r="C66" s="697" t="s">
        <v>1723</v>
      </c>
      <c r="D66" s="759"/>
      <c r="E66" s="657">
        <v>0</v>
      </c>
      <c r="F66" s="676">
        <v>0</v>
      </c>
      <c r="G66" s="676">
        <v>0</v>
      </c>
      <c r="H66" s="676">
        <v>0</v>
      </c>
      <c r="I66" s="676">
        <v>0</v>
      </c>
      <c r="J66" s="676">
        <v>0</v>
      </c>
      <c r="K66" s="676">
        <v>0</v>
      </c>
      <c r="L66" s="676">
        <v>3.2079999999999997E-2</v>
      </c>
      <c r="M66" s="676">
        <v>2.3244000000000001E-2</v>
      </c>
      <c r="N66" s="676">
        <v>2.3102999999999999E-2</v>
      </c>
      <c r="O66" s="676">
        <v>2.6516000000000001E-2</v>
      </c>
      <c r="P66" s="676">
        <v>3.4542000000000003E-2</v>
      </c>
      <c r="Q66" s="658">
        <f>SUM(E66:P66)</f>
        <v>0.139485</v>
      </c>
      <c r="R66" s="662"/>
    </row>
    <row r="67" spans="2:18" x14ac:dyDescent="0.35">
      <c r="B67" s="74"/>
      <c r="C67" s="690" t="s">
        <v>1196</v>
      </c>
      <c r="D67" s="759"/>
      <c r="E67" s="688">
        <f>+E68-E65+E66</f>
        <v>1.6308960000000011E-2</v>
      </c>
      <c r="F67" s="688">
        <f t="shared" ref="F67:P67" si="10">+F68-F65+F66</f>
        <v>1.880354399999995E-2</v>
      </c>
      <c r="G67" s="688">
        <f t="shared" si="10"/>
        <v>1.857563000000001E-2</v>
      </c>
      <c r="H67" s="688">
        <f t="shared" si="10"/>
        <v>2.0956159999999946E-2</v>
      </c>
      <c r="I67" s="688">
        <f t="shared" si="10"/>
        <v>2.7059299999999897E-2</v>
      </c>
      <c r="J67" s="688">
        <f t="shared" si="10"/>
        <v>2.9016700000000006E-2</v>
      </c>
      <c r="K67" s="688">
        <f t="shared" si="10"/>
        <v>1.5245388999999943E-2</v>
      </c>
      <c r="L67" s="688">
        <f t="shared" si="10"/>
        <v>1.9730150000000002E-2</v>
      </c>
      <c r="M67" s="688">
        <f t="shared" si="10"/>
        <v>2.4850105000000025E-2</v>
      </c>
      <c r="N67" s="688">
        <f t="shared" si="10"/>
        <v>2.4093128000000089E-2</v>
      </c>
      <c r="O67" s="688">
        <f t="shared" si="10"/>
        <v>2.0345069999999871E-2</v>
      </c>
      <c r="P67" s="688">
        <f t="shared" si="10"/>
        <v>1.1757229999999882E-2</v>
      </c>
      <c r="Q67" s="658">
        <f>SUM(E67:P67)</f>
        <v>0.24674136599999963</v>
      </c>
      <c r="R67" s="662">
        <f>+Q67/Q68</f>
        <v>3.078018697044994E-2</v>
      </c>
    </row>
    <row r="68" spans="2:18" x14ac:dyDescent="0.35">
      <c r="B68" s="74"/>
      <c r="C68" s="690" t="s">
        <v>1197</v>
      </c>
      <c r="D68" s="759"/>
      <c r="E68" s="699">
        <v>0.21071999999999999</v>
      </c>
      <c r="F68" s="699">
        <v>0.25247999999999998</v>
      </c>
      <c r="G68" s="699">
        <v>0.30575999999999998</v>
      </c>
      <c r="H68" s="699">
        <v>0.46464</v>
      </c>
      <c r="I68" s="699">
        <v>0.74927999999999995</v>
      </c>
      <c r="J68" s="699">
        <v>0.82704</v>
      </c>
      <c r="K68" s="699">
        <v>0.85211999999999999</v>
      </c>
      <c r="L68" s="699">
        <f>768960/10^6</f>
        <v>0.76895999999999998</v>
      </c>
      <c r="M68" s="699">
        <f>812880/10^6</f>
        <v>0.81288000000000005</v>
      </c>
      <c r="N68" s="699">
        <f>896400/10^6</f>
        <v>0.89639999999999997</v>
      </c>
      <c r="O68" s="699">
        <f>828000/10^6</f>
        <v>0.82799999999999996</v>
      </c>
      <c r="P68" s="699">
        <f>1047960/10^6</f>
        <v>1.04796</v>
      </c>
      <c r="Q68" s="658">
        <f>SUM(E68:P68)</f>
        <v>8.0162399999999998</v>
      </c>
      <c r="R68" s="10">
        <f>+Q68*10^6</f>
        <v>8016240</v>
      </c>
    </row>
    <row r="69" spans="2:18" x14ac:dyDescent="0.4">
      <c r="B69" s="74"/>
      <c r="C69" s="690" t="s">
        <v>1198</v>
      </c>
      <c r="D69" s="759"/>
      <c r="E69" s="696">
        <v>2.9499999999999998E-2</v>
      </c>
      <c r="F69" s="696">
        <v>2.9100000000000001E-2</v>
      </c>
      <c r="G69" s="696">
        <v>2.81E-2</v>
      </c>
      <c r="H69" s="696">
        <v>2.69E-2</v>
      </c>
      <c r="I69" s="696">
        <v>2.9000000000000001E-2</v>
      </c>
      <c r="J69" s="696">
        <v>2.9100000000000001E-2</v>
      </c>
      <c r="K69" s="696">
        <v>2.9700000000000001E-2</v>
      </c>
      <c r="L69" s="696">
        <v>2.9000000000000001E-2</v>
      </c>
      <c r="M69" s="696">
        <v>2.7400000000000001E-2</v>
      </c>
      <c r="N69" s="696">
        <v>0.03</v>
      </c>
      <c r="O69" s="696">
        <v>3.09E-2</v>
      </c>
      <c r="P69" s="696">
        <v>3.2500000000000001E-2</v>
      </c>
      <c r="Q69" s="692">
        <f>(Q70-Q68)/Q70</f>
        <v>2.9550817704611269E-2</v>
      </c>
    </row>
    <row r="70" spans="2:18" x14ac:dyDescent="0.35">
      <c r="B70" s="74">
        <v>2</v>
      </c>
      <c r="C70" s="152" t="s">
        <v>309</v>
      </c>
      <c r="D70" s="759"/>
      <c r="E70" s="694">
        <f t="shared" ref="E70:P70" si="11">E68/(1-E69)</f>
        <v>0.21712519319938176</v>
      </c>
      <c r="F70" s="694">
        <f t="shared" si="11"/>
        <v>0.26004737872077455</v>
      </c>
      <c r="G70" s="694">
        <f t="shared" si="11"/>
        <v>0.31460026751723424</v>
      </c>
      <c r="H70" s="694">
        <f t="shared" si="11"/>
        <v>0.4774843284348988</v>
      </c>
      <c r="I70" s="694">
        <f t="shared" si="11"/>
        <v>0.77165808444902162</v>
      </c>
      <c r="J70" s="694">
        <f t="shared" si="11"/>
        <v>0.85182820063858278</v>
      </c>
      <c r="K70" s="694">
        <f t="shared" si="11"/>
        <v>0.87820261774708852</v>
      </c>
      <c r="L70" s="694">
        <f t="shared" si="11"/>
        <v>0.79192584963954682</v>
      </c>
      <c r="M70" s="694">
        <f t="shared" si="11"/>
        <v>0.83578038247995068</v>
      </c>
      <c r="N70" s="694">
        <f t="shared" si="11"/>
        <v>0.92412371134020621</v>
      </c>
      <c r="O70" s="694">
        <f t="shared" si="11"/>
        <v>0.8544009906098442</v>
      </c>
      <c r="P70" s="694">
        <f t="shared" si="11"/>
        <v>1.0831627906976744</v>
      </c>
      <c r="Q70" s="658">
        <f>SUM(E70:P70)</f>
        <v>8.2603397954742039</v>
      </c>
      <c r="R70" s="10">
        <f>+Q70*10^6</f>
        <v>8260339.7954742042</v>
      </c>
    </row>
    <row r="71" spans="2:18" x14ac:dyDescent="0.35">
      <c r="B71" s="74"/>
      <c r="C71" s="152"/>
      <c r="D71" s="219"/>
      <c r="E71" s="177"/>
      <c r="F71" s="19"/>
      <c r="G71" s="19"/>
      <c r="H71" s="19"/>
      <c r="I71" s="19"/>
      <c r="J71" s="19"/>
      <c r="K71" s="19"/>
      <c r="L71" s="19"/>
      <c r="M71" s="19"/>
      <c r="N71" s="19"/>
      <c r="O71" s="19"/>
      <c r="P71" s="19"/>
      <c r="Q71" s="19"/>
    </row>
    <row r="72" spans="2:18" x14ac:dyDescent="0.35">
      <c r="B72" s="757" t="s">
        <v>310</v>
      </c>
      <c r="C72" s="63" t="s">
        <v>311</v>
      </c>
      <c r="D72" s="200"/>
      <c r="E72" s="177"/>
      <c r="F72" s="19"/>
      <c r="G72" s="19"/>
      <c r="H72" s="19"/>
      <c r="I72" s="19"/>
      <c r="J72" s="19"/>
      <c r="K72" s="19"/>
      <c r="L72" s="19"/>
      <c r="M72" s="19"/>
      <c r="N72" s="19"/>
      <c r="O72" s="19"/>
      <c r="P72" s="19"/>
      <c r="Q72" s="19"/>
    </row>
    <row r="73" spans="2:18" x14ac:dyDescent="0.35">
      <c r="B73" s="758">
        <v>1</v>
      </c>
      <c r="C73" s="63" t="s">
        <v>269</v>
      </c>
      <c r="D73" s="200"/>
      <c r="E73" s="177"/>
      <c r="F73" s="19"/>
      <c r="G73" s="19"/>
      <c r="H73" s="19"/>
      <c r="I73" s="19"/>
      <c r="J73" s="19"/>
      <c r="K73" s="19"/>
      <c r="L73" s="19"/>
      <c r="M73" s="19"/>
      <c r="N73" s="19"/>
      <c r="O73" s="19"/>
      <c r="P73" s="19"/>
      <c r="Q73" s="19"/>
    </row>
    <row r="74" spans="2:18" x14ac:dyDescent="0.35">
      <c r="B74" s="74">
        <v>1.1000000000000001</v>
      </c>
      <c r="C74" s="61" t="s">
        <v>235</v>
      </c>
      <c r="D74" s="219"/>
      <c r="E74" s="657"/>
      <c r="F74" s="676"/>
      <c r="G74" s="676"/>
      <c r="H74" s="676"/>
      <c r="I74" s="676"/>
      <c r="J74" s="676"/>
      <c r="K74" s="676"/>
      <c r="L74" s="676"/>
      <c r="M74" s="676"/>
      <c r="N74" s="676"/>
      <c r="O74" s="676"/>
      <c r="P74" s="676"/>
      <c r="Q74" s="658">
        <f t="shared" ref="Q74:Q83" si="12">SUM(E74:P74)</f>
        <v>0</v>
      </c>
    </row>
    <row r="75" spans="2:18" x14ac:dyDescent="0.35">
      <c r="B75" s="74">
        <v>1.2</v>
      </c>
      <c r="C75" s="61" t="s">
        <v>237</v>
      </c>
      <c r="D75" s="219"/>
      <c r="E75" s="177"/>
      <c r="F75" s="19"/>
      <c r="G75" s="19"/>
      <c r="H75" s="19"/>
      <c r="I75" s="19"/>
      <c r="J75" s="19"/>
      <c r="K75" s="19"/>
      <c r="L75" s="19"/>
      <c r="M75" s="19"/>
      <c r="N75" s="19"/>
      <c r="O75" s="19"/>
      <c r="P75" s="19"/>
      <c r="Q75" s="658">
        <f t="shared" si="12"/>
        <v>0</v>
      </c>
    </row>
    <row r="76" spans="2:18" x14ac:dyDescent="0.35">
      <c r="B76" s="74">
        <v>1.3</v>
      </c>
      <c r="C76" s="61" t="s">
        <v>270</v>
      </c>
      <c r="D76" s="219"/>
      <c r="E76" s="177"/>
      <c r="F76" s="19"/>
      <c r="G76" s="19"/>
      <c r="H76" s="19"/>
      <c r="I76" s="19"/>
      <c r="J76" s="19"/>
      <c r="K76" s="19"/>
      <c r="L76" s="19"/>
      <c r="M76" s="19"/>
      <c r="N76" s="19"/>
      <c r="O76" s="19"/>
      <c r="P76" s="19"/>
      <c r="Q76" s="658">
        <f t="shared" si="12"/>
        <v>0</v>
      </c>
    </row>
    <row r="77" spans="2:18" x14ac:dyDescent="0.35">
      <c r="B77" s="758">
        <v>2</v>
      </c>
      <c r="C77" s="63" t="s">
        <v>271</v>
      </c>
      <c r="D77" s="200"/>
      <c r="E77" s="177"/>
      <c r="F77" s="19"/>
      <c r="G77" s="19"/>
      <c r="H77" s="19"/>
      <c r="I77" s="19"/>
      <c r="J77" s="19"/>
      <c r="K77" s="19"/>
      <c r="L77" s="19"/>
      <c r="M77" s="19"/>
      <c r="N77" s="19"/>
      <c r="O77" s="19"/>
      <c r="P77" s="19"/>
      <c r="Q77" s="658">
        <f t="shared" si="12"/>
        <v>0</v>
      </c>
    </row>
    <row r="78" spans="2:18" x14ac:dyDescent="0.35">
      <c r="B78" s="74">
        <v>2.1</v>
      </c>
      <c r="C78" s="61" t="s">
        <v>1203</v>
      </c>
      <c r="D78" s="219">
        <v>3.36</v>
      </c>
      <c r="E78" s="657">
        <v>0.22983000000000001</v>
      </c>
      <c r="F78" s="676">
        <v>0.25465500000000002</v>
      </c>
      <c r="G78" s="676">
        <v>0.33313700000000002</v>
      </c>
      <c r="H78" s="676">
        <v>0.46343400000000001</v>
      </c>
      <c r="I78" s="676">
        <v>0.79494100000000001</v>
      </c>
      <c r="J78" s="676">
        <v>0.85966299999999995</v>
      </c>
      <c r="K78" s="676">
        <v>0.85267499999999996</v>
      </c>
      <c r="L78" s="676">
        <v>0.78120000000000001</v>
      </c>
      <c r="M78" s="676">
        <v>0.81091500000000005</v>
      </c>
      <c r="N78" s="676">
        <v>0.89959800000000001</v>
      </c>
      <c r="O78" s="676">
        <v>0.82190099999999999</v>
      </c>
      <c r="P78" s="676">
        <v>1.0344679999999999</v>
      </c>
      <c r="Q78" s="658">
        <f t="shared" si="12"/>
        <v>8.1364169999999998</v>
      </c>
    </row>
    <row r="79" spans="2:18" x14ac:dyDescent="0.35">
      <c r="B79" s="74">
        <v>2.2000000000000002</v>
      </c>
      <c r="C79" s="61" t="s">
        <v>237</v>
      </c>
      <c r="D79" s="219"/>
      <c r="E79" s="177"/>
      <c r="F79" s="19"/>
      <c r="G79" s="19"/>
      <c r="H79" s="19"/>
      <c r="I79" s="19"/>
      <c r="J79" s="19"/>
      <c r="K79" s="19"/>
      <c r="L79" s="19"/>
      <c r="M79" s="19"/>
      <c r="N79" s="19"/>
      <c r="O79" s="19"/>
      <c r="P79" s="19"/>
      <c r="Q79" s="658">
        <f t="shared" si="12"/>
        <v>0</v>
      </c>
    </row>
    <row r="80" spans="2:18" x14ac:dyDescent="0.35">
      <c r="B80" s="758">
        <v>3</v>
      </c>
      <c r="C80" s="63" t="s">
        <v>272</v>
      </c>
      <c r="D80" s="200"/>
      <c r="E80" s="177"/>
      <c r="F80" s="19"/>
      <c r="G80" s="19"/>
      <c r="H80" s="19"/>
      <c r="I80" s="19"/>
      <c r="J80" s="19"/>
      <c r="K80" s="19"/>
      <c r="L80" s="19"/>
      <c r="M80" s="19"/>
      <c r="N80" s="19"/>
      <c r="O80" s="19"/>
      <c r="P80" s="19"/>
      <c r="Q80" s="658">
        <f t="shared" si="12"/>
        <v>0</v>
      </c>
    </row>
    <row r="81" spans="2:18" x14ac:dyDescent="0.35">
      <c r="B81" s="74">
        <v>3.1</v>
      </c>
      <c r="C81" s="61" t="s">
        <v>235</v>
      </c>
      <c r="D81" s="219"/>
      <c r="E81" s="177"/>
      <c r="F81" s="19"/>
      <c r="G81" s="19"/>
      <c r="H81" s="19"/>
      <c r="I81" s="19"/>
      <c r="J81" s="19"/>
      <c r="K81" s="19"/>
      <c r="L81" s="19"/>
      <c r="M81" s="19"/>
      <c r="N81" s="19"/>
      <c r="O81" s="19"/>
      <c r="P81" s="19"/>
      <c r="Q81" s="658">
        <f t="shared" si="12"/>
        <v>0</v>
      </c>
    </row>
    <row r="82" spans="2:18" x14ac:dyDescent="0.35">
      <c r="B82" s="74">
        <v>3.2</v>
      </c>
      <c r="C82" s="61" t="s">
        <v>237</v>
      </c>
      <c r="D82" s="219"/>
      <c r="E82" s="177"/>
      <c r="F82" s="19"/>
      <c r="G82" s="19"/>
      <c r="H82" s="19"/>
      <c r="I82" s="19"/>
      <c r="J82" s="19"/>
      <c r="K82" s="19"/>
      <c r="L82" s="19"/>
      <c r="M82" s="19"/>
      <c r="N82" s="19"/>
      <c r="O82" s="19"/>
      <c r="P82" s="19"/>
      <c r="Q82" s="658">
        <f t="shared" si="12"/>
        <v>0</v>
      </c>
    </row>
    <row r="83" spans="2:18" x14ac:dyDescent="0.35">
      <c r="B83" s="74">
        <v>3.3000000000000003</v>
      </c>
      <c r="C83" s="61" t="s">
        <v>1204</v>
      </c>
      <c r="D83" s="219"/>
      <c r="E83" s="676">
        <f>+E70-SUM(E74:E82)</f>
        <v>-1.2704806800618251E-2</v>
      </c>
      <c r="F83" s="676">
        <f t="shared" ref="F83:P83" si="13">+F70-SUM(F74:F82)</f>
        <v>5.3923787207745266E-3</v>
      </c>
      <c r="G83" s="676">
        <f t="shared" si="13"/>
        <v>-1.8536732482765772E-2</v>
      </c>
      <c r="H83" s="676">
        <f t="shared" si="13"/>
        <v>1.4050328434898784E-2</v>
      </c>
      <c r="I83" s="676">
        <f t="shared" si="13"/>
        <v>-2.3282915550978389E-2</v>
      </c>
      <c r="J83" s="676">
        <f t="shared" si="13"/>
        <v>-7.8347993614171774E-3</v>
      </c>
      <c r="K83" s="676">
        <f t="shared" si="13"/>
        <v>2.552761774708856E-2</v>
      </c>
      <c r="L83" s="676">
        <f t="shared" si="13"/>
        <v>1.0725849639546814E-2</v>
      </c>
      <c r="M83" s="676">
        <f t="shared" si="13"/>
        <v>2.4865382479950626E-2</v>
      </c>
      <c r="N83" s="676">
        <f t="shared" si="13"/>
        <v>2.4525711340206202E-2</v>
      </c>
      <c r="O83" s="676">
        <f t="shared" si="13"/>
        <v>3.2499990609844209E-2</v>
      </c>
      <c r="P83" s="676">
        <f t="shared" si="13"/>
        <v>4.8694790697674462E-2</v>
      </c>
      <c r="Q83" s="658">
        <f t="shared" si="12"/>
        <v>0.12392279547420459</v>
      </c>
    </row>
    <row r="84" spans="2:18" x14ac:dyDescent="0.35">
      <c r="B84" s="758">
        <v>4</v>
      </c>
      <c r="C84" s="22" t="s">
        <v>312</v>
      </c>
      <c r="D84" s="59"/>
      <c r="E84" s="677">
        <f t="shared" ref="E84:Q84" si="14">SUM(E73:E83)</f>
        <v>0.21712519319938176</v>
      </c>
      <c r="F84" s="677">
        <f t="shared" si="14"/>
        <v>0.26004737872077455</v>
      </c>
      <c r="G84" s="677">
        <f t="shared" si="14"/>
        <v>0.31460026751723424</v>
      </c>
      <c r="H84" s="677">
        <f t="shared" si="14"/>
        <v>0.4774843284348988</v>
      </c>
      <c r="I84" s="677">
        <f t="shared" si="14"/>
        <v>0.77165808444902162</v>
      </c>
      <c r="J84" s="677">
        <f t="shared" si="14"/>
        <v>0.85182820063858278</v>
      </c>
      <c r="K84" s="677">
        <f t="shared" si="14"/>
        <v>0.87820261774708852</v>
      </c>
      <c r="L84" s="677">
        <f t="shared" si="14"/>
        <v>0.79192584963954682</v>
      </c>
      <c r="M84" s="677">
        <f t="shared" si="14"/>
        <v>0.83578038247995068</v>
      </c>
      <c r="N84" s="677">
        <f t="shared" si="14"/>
        <v>0.92412371134020621</v>
      </c>
      <c r="O84" s="677">
        <f t="shared" si="14"/>
        <v>0.8544009906098442</v>
      </c>
      <c r="P84" s="677">
        <f t="shared" si="14"/>
        <v>1.0831627906976744</v>
      </c>
      <c r="Q84" s="677">
        <f t="shared" si="14"/>
        <v>8.2603397954742039</v>
      </c>
    </row>
    <row r="85" spans="2:18" x14ac:dyDescent="0.35">
      <c r="B85" s="49"/>
      <c r="C85" s="99"/>
      <c r="D85" s="179"/>
      <c r="E85" s="11"/>
      <c r="F85" s="12"/>
      <c r="G85" s="11"/>
      <c r="H85" s="11"/>
      <c r="I85" s="11"/>
    </row>
    <row r="86" spans="2:18" x14ac:dyDescent="0.35">
      <c r="B86" s="49" t="s">
        <v>1039</v>
      </c>
      <c r="C86" s="99"/>
      <c r="D86" s="179"/>
      <c r="E86" s="11"/>
      <c r="F86" s="12"/>
      <c r="G86" s="11"/>
      <c r="H86" s="11"/>
      <c r="I86" s="11"/>
    </row>
    <row r="87" spans="2:18" x14ac:dyDescent="0.35">
      <c r="B87" s="49"/>
      <c r="C87" s="99"/>
      <c r="D87" s="179"/>
      <c r="E87" s="11"/>
      <c r="F87" s="12"/>
      <c r="G87" s="11"/>
      <c r="H87" s="11"/>
      <c r="I87" s="11"/>
    </row>
    <row r="88" spans="2:18" ht="27" x14ac:dyDescent="0.35">
      <c r="B88" s="756" t="s">
        <v>1</v>
      </c>
      <c r="C88" s="178" t="s">
        <v>111</v>
      </c>
      <c r="D88" s="98" t="s">
        <v>305</v>
      </c>
      <c r="E88" s="98" t="s">
        <v>172</v>
      </c>
      <c r="F88" s="98" t="s">
        <v>173</v>
      </c>
      <c r="G88" s="98" t="s">
        <v>174</v>
      </c>
      <c r="H88" s="98" t="s">
        <v>175</v>
      </c>
      <c r="I88" s="98" t="s">
        <v>176</v>
      </c>
      <c r="J88" s="98" t="s">
        <v>177</v>
      </c>
      <c r="K88" s="98" t="s">
        <v>178</v>
      </c>
      <c r="L88" s="98" t="s">
        <v>179</v>
      </c>
      <c r="M88" s="98" t="s">
        <v>180</v>
      </c>
      <c r="N88" s="98" t="s">
        <v>181</v>
      </c>
      <c r="O88" s="98" t="s">
        <v>182</v>
      </c>
      <c r="P88" s="98" t="s">
        <v>183</v>
      </c>
      <c r="Q88" s="98" t="s">
        <v>164</v>
      </c>
    </row>
    <row r="89" spans="2:18" x14ac:dyDescent="0.35">
      <c r="B89" s="757"/>
      <c r="C89" s="105"/>
      <c r="D89" s="200"/>
      <c r="E89" s="200"/>
      <c r="F89" s="200"/>
      <c r="G89" s="200"/>
      <c r="H89" s="200"/>
      <c r="I89" s="200"/>
      <c r="J89" s="200"/>
      <c r="K89" s="200"/>
      <c r="L89" s="200"/>
      <c r="M89" s="200"/>
      <c r="N89" s="200"/>
      <c r="O89" s="200"/>
      <c r="P89" s="200"/>
      <c r="Q89" s="200"/>
    </row>
    <row r="90" spans="2:18" x14ac:dyDescent="0.35">
      <c r="B90" s="757" t="s">
        <v>306</v>
      </c>
      <c r="C90" s="105" t="s">
        <v>307</v>
      </c>
      <c r="D90" s="200"/>
      <c r="E90" s="200"/>
      <c r="F90" s="200"/>
      <c r="G90" s="200"/>
      <c r="H90" s="200"/>
      <c r="I90" s="200"/>
      <c r="J90" s="200"/>
      <c r="K90" s="200"/>
      <c r="L90" s="200"/>
      <c r="M90" s="200"/>
      <c r="N90" s="200"/>
      <c r="O90" s="200"/>
      <c r="P90" s="200"/>
      <c r="Q90" s="200"/>
    </row>
    <row r="91" spans="2:18" x14ac:dyDescent="0.35">
      <c r="B91" s="74">
        <v>1</v>
      </c>
      <c r="C91" s="152" t="s">
        <v>308</v>
      </c>
      <c r="D91" s="759"/>
      <c r="E91" s="657">
        <f>+'F1'!C155</f>
        <v>1.12137854</v>
      </c>
      <c r="F91" s="657">
        <f>+'F1'!D155</f>
        <v>1.1748435860999999</v>
      </c>
      <c r="G91" s="657">
        <f>+'F1'!E155</f>
        <v>1.2447036942</v>
      </c>
      <c r="H91" s="657">
        <f>+'F1'!F155</f>
        <v>1.3479095886000001</v>
      </c>
      <c r="I91" s="657">
        <f>+'F1'!G155</f>
        <v>1.3250382455</v>
      </c>
      <c r="J91" s="657">
        <f>+'F1'!H155</f>
        <v>1.2889778763000002</v>
      </c>
      <c r="K91" s="657">
        <f>+'F1'!I155</f>
        <v>1.4413691400999999</v>
      </c>
      <c r="L91" s="657">
        <f>+'F1'!J155</f>
        <v>1.4394776761000001</v>
      </c>
      <c r="M91" s="657">
        <f>+'F1'!K155</f>
        <v>1.5490729072</v>
      </c>
      <c r="N91" s="657">
        <f>+'F1'!L155</f>
        <v>1.5765964257</v>
      </c>
      <c r="O91" s="657">
        <f>+'F1'!M155</f>
        <v>1.43920581</v>
      </c>
      <c r="P91" s="657">
        <f>+'F1'!N155</f>
        <v>1.9435161421</v>
      </c>
      <c r="Q91" s="658">
        <f>SUM(E91:P91)</f>
        <v>16.892089631899999</v>
      </c>
      <c r="R91" s="662"/>
    </row>
    <row r="92" spans="2:18" x14ac:dyDescent="0.35">
      <c r="B92" s="74"/>
      <c r="C92" s="697" t="s">
        <v>1723</v>
      </c>
      <c r="D92" s="759"/>
      <c r="E92" s="657">
        <v>3.3016999999999998E-2</v>
      </c>
      <c r="F92" s="676">
        <v>2.9232000000000001E-2</v>
      </c>
      <c r="G92" s="676">
        <v>1.8804999999999999E-2</v>
      </c>
      <c r="H92" s="676">
        <v>1.3372999999999999E-2</v>
      </c>
      <c r="I92" s="676">
        <v>1.3917000000000001E-2</v>
      </c>
      <c r="J92" s="676">
        <v>1.2317E-2</v>
      </c>
      <c r="K92" s="676">
        <v>3.0095500000000001E-2</v>
      </c>
      <c r="L92" s="676">
        <v>2.4570999999999999E-2</v>
      </c>
      <c r="M92" s="676">
        <v>1.8181200000000002E-2</v>
      </c>
      <c r="N92" s="676">
        <v>2.1880699999999999E-2</v>
      </c>
      <c r="O92" s="676">
        <v>2.4853799999999999E-2</v>
      </c>
      <c r="P92" s="676">
        <v>2.8507000000000001E-2</v>
      </c>
      <c r="Q92" s="658">
        <f>SUM(E92:P92)</f>
        <v>0.26875019999999999</v>
      </c>
      <c r="R92" s="662"/>
    </row>
    <row r="93" spans="2:18" x14ac:dyDescent="0.35">
      <c r="B93" s="74"/>
      <c r="C93" s="690" t="s">
        <v>1196</v>
      </c>
      <c r="D93" s="759"/>
      <c r="E93" s="688">
        <f>+E94-E91+E92</f>
        <v>3.5798460000000011E-2</v>
      </c>
      <c r="F93" s="688">
        <f t="shared" ref="F93:P93" si="15">+F94-F91+F92</f>
        <v>4.2028413900000082E-2</v>
      </c>
      <c r="G93" s="688">
        <f t="shared" si="15"/>
        <v>3.6861305800000063E-2</v>
      </c>
      <c r="H93" s="688">
        <f t="shared" si="15"/>
        <v>3.9223411399999991E-2</v>
      </c>
      <c r="I93" s="688">
        <f t="shared" si="15"/>
        <v>4.3198754499999922E-2</v>
      </c>
      <c r="J93" s="688">
        <f t="shared" si="15"/>
        <v>4.5019123699999809E-2</v>
      </c>
      <c r="K93" s="688">
        <f t="shared" si="15"/>
        <v>2.6075359900000043E-2</v>
      </c>
      <c r="L93" s="688">
        <f t="shared" si="15"/>
        <v>3.3758323899999984E-2</v>
      </c>
      <c r="M93" s="688">
        <f t="shared" si="15"/>
        <v>4.0304292800000023E-2</v>
      </c>
      <c r="N93" s="688">
        <f t="shared" si="15"/>
        <v>4.0831274300000026E-2</v>
      </c>
      <c r="O93" s="688">
        <f t="shared" si="15"/>
        <v>3.934699000000004E-2</v>
      </c>
      <c r="P93" s="688">
        <f t="shared" si="15"/>
        <v>5.9961857900000026E-2</v>
      </c>
      <c r="Q93" s="658">
        <f>SUM(E93:P93)</f>
        <v>0.48240756810000007</v>
      </c>
      <c r="R93" s="662">
        <f>+Q93/Q94</f>
        <v>2.8201490884905527E-2</v>
      </c>
    </row>
    <row r="94" spans="2:18" x14ac:dyDescent="0.35">
      <c r="B94" s="74"/>
      <c r="C94" s="690" t="s">
        <v>1197</v>
      </c>
      <c r="D94" s="759"/>
      <c r="E94" s="657">
        <f>1124160/10^6</f>
        <v>1.12416</v>
      </c>
      <c r="F94" s="700">
        <f>1187640/10^6</f>
        <v>1.18764</v>
      </c>
      <c r="G94" s="700">
        <f>1262760/10^6</f>
        <v>1.2627600000000001</v>
      </c>
      <c r="H94" s="700">
        <f>1373760/10^6</f>
        <v>1.3737600000000001</v>
      </c>
      <c r="I94" s="700">
        <f>1354320/10^6</f>
        <v>1.35432</v>
      </c>
      <c r="J94" s="700">
        <f>1321680/10^6</f>
        <v>1.32168</v>
      </c>
      <c r="K94" s="676">
        <v>1.437349</v>
      </c>
      <c r="L94" s="676">
        <v>1.4486650000000001</v>
      </c>
      <c r="M94" s="676">
        <f>1571196/10^6</f>
        <v>1.571196</v>
      </c>
      <c r="N94" s="676">
        <v>1.595547</v>
      </c>
      <c r="O94" s="676">
        <f>1453699/10^6</f>
        <v>1.4536990000000001</v>
      </c>
      <c r="P94" s="676">
        <f>1974971/10^6</f>
        <v>1.974971</v>
      </c>
      <c r="Q94" s="658">
        <f>SUM(E94:P94)</f>
        <v>17.105747000000001</v>
      </c>
      <c r="R94" s="10">
        <f>+Q94*10^6</f>
        <v>17105747</v>
      </c>
    </row>
    <row r="95" spans="2:18" x14ac:dyDescent="0.4">
      <c r="B95" s="74"/>
      <c r="C95" s="690" t="s">
        <v>1198</v>
      </c>
      <c r="D95" s="759"/>
      <c r="E95" s="775">
        <v>3.1800000000000002E-2</v>
      </c>
      <c r="F95" s="775">
        <v>2.87E-2</v>
      </c>
      <c r="G95" s="775">
        <v>3.27E-2</v>
      </c>
      <c r="H95" s="775">
        <v>3.3599999999999998E-2</v>
      </c>
      <c r="I95" s="775">
        <v>3.4000000000000002E-2</v>
      </c>
      <c r="J95" s="775">
        <v>3.1899999999999998E-2</v>
      </c>
      <c r="K95" s="775">
        <v>3.1199999999999999E-2</v>
      </c>
      <c r="L95" s="775">
        <v>3.0200000000000001E-2</v>
      </c>
      <c r="M95" s="775">
        <v>0.03</v>
      </c>
      <c r="N95" s="775">
        <v>3.2099999999999997E-2</v>
      </c>
      <c r="O95" s="775">
        <v>3.3700000000000001E-2</v>
      </c>
      <c r="P95" s="775">
        <v>3.3300000000000003E-2</v>
      </c>
      <c r="Q95" s="692">
        <f>(Q96-Q94)/Q96</f>
        <v>3.1991591107601018E-2</v>
      </c>
    </row>
    <row r="96" spans="2:18" x14ac:dyDescent="0.35">
      <c r="B96" s="74">
        <v>2</v>
      </c>
      <c r="C96" s="152" t="s">
        <v>309</v>
      </c>
      <c r="D96" s="759"/>
      <c r="E96" s="694">
        <f t="shared" ref="E96:P96" si="16">E94/(1-E95)</f>
        <v>1.1610824209873993</v>
      </c>
      <c r="F96" s="694">
        <f t="shared" si="16"/>
        <v>1.2227324204674148</v>
      </c>
      <c r="G96" s="694">
        <f t="shared" si="16"/>
        <v>1.3054481546572936</v>
      </c>
      <c r="H96" s="694">
        <f t="shared" si="16"/>
        <v>1.421523178807947</v>
      </c>
      <c r="I96" s="694">
        <f t="shared" si="16"/>
        <v>1.4019875776397515</v>
      </c>
      <c r="J96" s="694">
        <f t="shared" si="16"/>
        <v>1.3652308645801055</v>
      </c>
      <c r="K96" s="694">
        <f t="shared" si="16"/>
        <v>1.4836385218827415</v>
      </c>
      <c r="L96" s="694">
        <f t="shared" si="16"/>
        <v>1.4937770674365849</v>
      </c>
      <c r="M96" s="694">
        <f t="shared" si="16"/>
        <v>1.6197896907216496</v>
      </c>
      <c r="N96" s="694">
        <f t="shared" si="16"/>
        <v>1.6484626511003204</v>
      </c>
      <c r="O96" s="694">
        <f t="shared" si="16"/>
        <v>1.5043971851391906</v>
      </c>
      <c r="P96" s="694">
        <f t="shared" si="16"/>
        <v>2.0430029998965553</v>
      </c>
      <c r="Q96" s="658">
        <f>SUM(E96:P96)</f>
        <v>17.671072733316954</v>
      </c>
      <c r="R96" s="10">
        <f>+Q96*10^6</f>
        <v>17671072.733316954</v>
      </c>
    </row>
    <row r="97" spans="2:17" x14ac:dyDescent="0.35">
      <c r="B97" s="74"/>
      <c r="C97" s="152"/>
      <c r="D97" s="219"/>
      <c r="E97" s="177"/>
      <c r="F97" s="19"/>
      <c r="G97" s="19"/>
      <c r="H97" s="19"/>
      <c r="I97" s="19"/>
      <c r="J97" s="19"/>
      <c r="K97" s="19"/>
      <c r="L97" s="19"/>
      <c r="M97" s="19"/>
      <c r="N97" s="19"/>
      <c r="O97" s="19"/>
      <c r="P97" s="19"/>
      <c r="Q97" s="19"/>
    </row>
    <row r="98" spans="2:17" x14ac:dyDescent="0.35">
      <c r="B98" s="757" t="s">
        <v>310</v>
      </c>
      <c r="C98" s="63" t="s">
        <v>311</v>
      </c>
      <c r="D98" s="200"/>
      <c r="E98" s="177"/>
      <c r="F98" s="19"/>
      <c r="G98" s="19"/>
      <c r="H98" s="19"/>
      <c r="I98" s="19"/>
      <c r="J98" s="19"/>
      <c r="K98" s="19"/>
      <c r="L98" s="19"/>
      <c r="M98" s="19"/>
      <c r="N98" s="19"/>
      <c r="O98" s="19"/>
      <c r="P98" s="19"/>
      <c r="Q98" s="19"/>
    </row>
    <row r="99" spans="2:17" x14ac:dyDescent="0.35">
      <c r="B99" s="758">
        <v>1</v>
      </c>
      <c r="C99" s="63" t="s">
        <v>269</v>
      </c>
      <c r="D99" s="200"/>
      <c r="E99" s="177"/>
      <c r="F99" s="19"/>
      <c r="G99" s="19"/>
      <c r="H99" s="19"/>
      <c r="I99" s="19"/>
      <c r="J99" s="19"/>
      <c r="K99" s="19"/>
      <c r="L99" s="19"/>
      <c r="M99" s="19"/>
      <c r="N99" s="19"/>
      <c r="O99" s="19"/>
      <c r="P99" s="19"/>
      <c r="Q99" s="19"/>
    </row>
    <row r="100" spans="2:17" x14ac:dyDescent="0.35">
      <c r="B100" s="74">
        <v>1.1000000000000001</v>
      </c>
      <c r="C100" s="697" t="s">
        <v>235</v>
      </c>
      <c r="D100" s="219"/>
      <c r="E100" s="657"/>
      <c r="F100" s="676"/>
      <c r="G100" s="676"/>
      <c r="H100" s="676"/>
      <c r="I100" s="676"/>
      <c r="J100" s="676"/>
      <c r="K100" s="676"/>
      <c r="L100" s="676"/>
      <c r="M100" s="676"/>
      <c r="N100" s="676"/>
      <c r="O100" s="676"/>
      <c r="P100" s="676"/>
      <c r="Q100" s="658">
        <f t="shared" ref="Q100:Q109" si="17">SUM(E100:P100)</f>
        <v>0</v>
      </c>
    </row>
    <row r="101" spans="2:17" x14ac:dyDescent="0.35">
      <c r="B101" s="74">
        <v>1.2</v>
      </c>
      <c r="C101" s="61" t="s">
        <v>237</v>
      </c>
      <c r="D101" s="219"/>
      <c r="E101" s="177"/>
      <c r="F101" s="19"/>
      <c r="G101" s="19"/>
      <c r="H101" s="19"/>
      <c r="I101" s="19"/>
      <c r="J101" s="19"/>
      <c r="K101" s="19"/>
      <c r="L101" s="19"/>
      <c r="M101" s="19"/>
      <c r="N101" s="19"/>
      <c r="O101" s="19"/>
      <c r="P101" s="19"/>
      <c r="Q101" s="658">
        <f t="shared" si="17"/>
        <v>0</v>
      </c>
    </row>
    <row r="102" spans="2:17" x14ac:dyDescent="0.35">
      <c r="B102" s="74">
        <v>1.3</v>
      </c>
      <c r="C102" s="61" t="s">
        <v>270</v>
      </c>
      <c r="D102" s="219"/>
      <c r="E102" s="177"/>
      <c r="F102" s="19"/>
      <c r="G102" s="19"/>
      <c r="H102" s="19"/>
      <c r="I102" s="19"/>
      <c r="J102" s="19"/>
      <c r="K102" s="19"/>
      <c r="L102" s="19"/>
      <c r="M102" s="19"/>
      <c r="N102" s="19"/>
      <c r="O102" s="19"/>
      <c r="P102" s="19"/>
      <c r="Q102" s="658">
        <f t="shared" si="17"/>
        <v>0</v>
      </c>
    </row>
    <row r="103" spans="2:17" x14ac:dyDescent="0.35">
      <c r="B103" s="758">
        <v>2</v>
      </c>
      <c r="C103" s="63" t="s">
        <v>271</v>
      </c>
      <c r="D103" s="200"/>
      <c r="E103" s="177"/>
      <c r="F103" s="19"/>
      <c r="G103" s="19"/>
      <c r="H103" s="19"/>
      <c r="I103" s="19"/>
      <c r="J103" s="19"/>
      <c r="K103" s="19"/>
      <c r="L103" s="19"/>
      <c r="M103" s="19"/>
      <c r="N103" s="19"/>
      <c r="O103" s="19"/>
      <c r="P103" s="19"/>
      <c r="Q103" s="658">
        <f t="shared" si="17"/>
        <v>0</v>
      </c>
    </row>
    <row r="104" spans="2:17" x14ac:dyDescent="0.35">
      <c r="B104" s="74">
        <v>2.1</v>
      </c>
      <c r="C104" s="61" t="s">
        <v>1203</v>
      </c>
      <c r="D104" s="219">
        <v>4.5199999999999996</v>
      </c>
      <c r="E104" s="657">
        <v>1.258035</v>
      </c>
      <c r="F104" s="676">
        <v>1.3023</v>
      </c>
      <c r="G104" s="676">
        <v>1.2363919999999999</v>
      </c>
      <c r="H104" s="676">
        <v>1.3514600000000001</v>
      </c>
      <c r="I104" s="676">
        <v>1.327529</v>
      </c>
      <c r="J104" s="676">
        <v>1.2975110000000001</v>
      </c>
      <c r="K104" s="19"/>
      <c r="L104" s="19"/>
      <c r="M104" s="19"/>
      <c r="N104" s="19"/>
      <c r="O104" s="19"/>
      <c r="P104" s="19"/>
      <c r="Q104" s="658">
        <f t="shared" si="17"/>
        <v>7.7732270000000003</v>
      </c>
    </row>
    <row r="105" spans="2:17" x14ac:dyDescent="0.35">
      <c r="B105" s="74">
        <v>2.2000000000000002</v>
      </c>
      <c r="C105" s="61" t="s">
        <v>237</v>
      </c>
      <c r="D105" s="219"/>
      <c r="E105" s="177"/>
      <c r="F105" s="19"/>
      <c r="G105" s="19"/>
      <c r="H105" s="19"/>
      <c r="I105" s="19"/>
      <c r="J105" s="19"/>
      <c r="K105" s="19"/>
      <c r="L105" s="19"/>
      <c r="M105" s="19"/>
      <c r="N105" s="19"/>
      <c r="O105" s="19"/>
      <c r="P105" s="19"/>
      <c r="Q105" s="658">
        <f t="shared" si="17"/>
        <v>0</v>
      </c>
    </row>
    <row r="106" spans="2:17" x14ac:dyDescent="0.35">
      <c r="B106" s="758">
        <v>3</v>
      </c>
      <c r="C106" s="63" t="s">
        <v>272</v>
      </c>
      <c r="D106" s="200"/>
      <c r="E106" s="177"/>
      <c r="F106" s="19"/>
      <c r="G106" s="19"/>
      <c r="H106" s="19"/>
      <c r="I106" s="19"/>
      <c r="J106" s="19"/>
      <c r="K106" s="19"/>
      <c r="L106" s="19"/>
      <c r="M106" s="19"/>
      <c r="N106" s="19"/>
      <c r="O106" s="19"/>
      <c r="P106" s="19"/>
      <c r="Q106" s="658">
        <f t="shared" si="17"/>
        <v>0</v>
      </c>
    </row>
    <row r="107" spans="2:17" x14ac:dyDescent="0.4">
      <c r="B107" s="74">
        <v>3.1</v>
      </c>
      <c r="C107" s="107" t="s">
        <v>1208</v>
      </c>
      <c r="D107" s="219">
        <v>3.59</v>
      </c>
      <c r="E107" s="177"/>
      <c r="F107" s="19"/>
      <c r="G107" s="19"/>
      <c r="H107" s="19"/>
      <c r="I107" s="19"/>
      <c r="J107" s="19"/>
      <c r="K107" s="676">
        <v>1.3942075</v>
      </c>
      <c r="L107" s="676">
        <v>1.3530063999999999</v>
      </c>
      <c r="M107" s="676">
        <v>1.5296891000000001</v>
      </c>
      <c r="N107" s="676">
        <v>1.6068499999999999</v>
      </c>
      <c r="O107" s="676">
        <v>1.46102975</v>
      </c>
      <c r="P107" s="676">
        <v>1.8125675000000001</v>
      </c>
      <c r="Q107" s="658">
        <f t="shared" si="17"/>
        <v>9.1573502500000004</v>
      </c>
    </row>
    <row r="108" spans="2:17" x14ac:dyDescent="0.35">
      <c r="B108" s="74">
        <v>3.2</v>
      </c>
      <c r="C108" s="61" t="s">
        <v>1207</v>
      </c>
      <c r="D108" s="219"/>
      <c r="E108" s="657"/>
      <c r="F108" s="676"/>
      <c r="G108" s="676"/>
      <c r="H108" s="676"/>
      <c r="I108" s="676"/>
      <c r="J108" s="676"/>
      <c r="K108" s="676">
        <v>4.5372500000000003E-2</v>
      </c>
      <c r="L108" s="676">
        <v>9.3386999999999998E-2</v>
      </c>
      <c r="M108" s="676">
        <v>5.0099999999999999E-2</v>
      </c>
      <c r="N108" s="676"/>
      <c r="O108" s="676"/>
      <c r="P108" s="676">
        <v>9.2045000000000002E-2</v>
      </c>
      <c r="Q108" s="658">
        <f t="shared" si="17"/>
        <v>0.2809045</v>
      </c>
    </row>
    <row r="109" spans="2:17" x14ac:dyDescent="0.35">
      <c r="B109" s="74">
        <v>3.3000000000000003</v>
      </c>
      <c r="C109" s="61" t="s">
        <v>1204</v>
      </c>
      <c r="D109" s="219"/>
      <c r="E109" s="676">
        <f t="shared" ref="E109:P109" si="18">+E96-SUM(E100:E108)</f>
        <v>-9.6952579012600681E-2</v>
      </c>
      <c r="F109" s="676">
        <f t="shared" si="18"/>
        <v>-7.9567579532585198E-2</v>
      </c>
      <c r="G109" s="676">
        <f t="shared" si="18"/>
        <v>6.9056154657293645E-2</v>
      </c>
      <c r="H109" s="676">
        <f t="shared" si="18"/>
        <v>7.006317880794688E-2</v>
      </c>
      <c r="I109" s="676">
        <f t="shared" si="18"/>
        <v>7.44585776397515E-2</v>
      </c>
      <c r="J109" s="676">
        <f t="shared" si="18"/>
        <v>6.7719864580105371E-2</v>
      </c>
      <c r="K109" s="676">
        <f t="shared" si="18"/>
        <v>4.4058521882741397E-2</v>
      </c>
      <c r="L109" s="676">
        <f t="shared" si="18"/>
        <v>4.7383667436585064E-2</v>
      </c>
      <c r="M109" s="676">
        <f t="shared" si="18"/>
        <v>4.0000590721649409E-2</v>
      </c>
      <c r="N109" s="676">
        <f t="shared" si="18"/>
        <v>4.161265110032053E-2</v>
      </c>
      <c r="O109" s="676">
        <f t="shared" si="18"/>
        <v>4.3367435139190613E-2</v>
      </c>
      <c r="P109" s="676">
        <f t="shared" si="18"/>
        <v>0.13839049989655527</v>
      </c>
      <c r="Q109" s="658">
        <f t="shared" si="17"/>
        <v>0.45959098331695381</v>
      </c>
    </row>
    <row r="110" spans="2:17" x14ac:dyDescent="0.35">
      <c r="B110" s="758">
        <v>4</v>
      </c>
      <c r="C110" s="22" t="s">
        <v>312</v>
      </c>
      <c r="D110" s="59"/>
      <c r="E110" s="677">
        <f t="shared" ref="E110:Q110" si="19">SUM(E99:E109)</f>
        <v>1.1610824209873993</v>
      </c>
      <c r="F110" s="677">
        <f t="shared" si="19"/>
        <v>1.2227324204674148</v>
      </c>
      <c r="G110" s="677">
        <f t="shared" si="19"/>
        <v>1.3054481546572936</v>
      </c>
      <c r="H110" s="677">
        <f t="shared" si="19"/>
        <v>1.421523178807947</v>
      </c>
      <c r="I110" s="677">
        <f t="shared" si="19"/>
        <v>1.4019875776397515</v>
      </c>
      <c r="J110" s="677">
        <f t="shared" si="19"/>
        <v>1.3652308645801055</v>
      </c>
      <c r="K110" s="677">
        <f t="shared" si="19"/>
        <v>1.4836385218827415</v>
      </c>
      <c r="L110" s="677">
        <f t="shared" si="19"/>
        <v>1.4937770674365849</v>
      </c>
      <c r="M110" s="677">
        <f t="shared" si="19"/>
        <v>1.6197896907216496</v>
      </c>
      <c r="N110" s="677">
        <f t="shared" si="19"/>
        <v>1.6484626511003204</v>
      </c>
      <c r="O110" s="677">
        <f t="shared" si="19"/>
        <v>1.5043971851391906</v>
      </c>
      <c r="P110" s="677">
        <f t="shared" si="19"/>
        <v>2.0430029998965553</v>
      </c>
      <c r="Q110" s="677">
        <f t="shared" si="19"/>
        <v>17.671072733316951</v>
      </c>
    </row>
    <row r="111" spans="2:17" x14ac:dyDescent="0.35">
      <c r="B111" s="49"/>
      <c r="C111" s="99"/>
      <c r="D111" s="179"/>
      <c r="E111" s="11"/>
      <c r="F111" s="12"/>
      <c r="G111" s="11"/>
      <c r="H111" s="11"/>
      <c r="I111" s="11"/>
    </row>
    <row r="112" spans="2:17" x14ac:dyDescent="0.35">
      <c r="B112" s="49" t="s">
        <v>304</v>
      </c>
      <c r="C112" s="99"/>
      <c r="D112" s="179"/>
      <c r="E112" s="11"/>
      <c r="F112" s="12"/>
      <c r="G112" s="11"/>
      <c r="H112" s="11"/>
      <c r="I112" s="11"/>
    </row>
    <row r="113" spans="2:18" x14ac:dyDescent="0.35">
      <c r="B113" s="49"/>
      <c r="C113" s="99"/>
      <c r="D113" s="179"/>
      <c r="E113" s="11"/>
      <c r="F113" s="12"/>
      <c r="G113" s="11"/>
      <c r="H113" s="11"/>
      <c r="I113" s="11"/>
    </row>
    <row r="114" spans="2:18" ht="27" x14ac:dyDescent="0.35">
      <c r="B114" s="756" t="s">
        <v>1</v>
      </c>
      <c r="C114" s="178" t="s">
        <v>111</v>
      </c>
      <c r="D114" s="98" t="s">
        <v>305</v>
      </c>
      <c r="E114" s="98" t="s">
        <v>172</v>
      </c>
      <c r="F114" s="98" t="s">
        <v>173</v>
      </c>
      <c r="G114" s="98" t="s">
        <v>174</v>
      </c>
      <c r="H114" s="98" t="s">
        <v>175</v>
      </c>
      <c r="I114" s="98" t="s">
        <v>176</v>
      </c>
      <c r="J114" s="98" t="s">
        <v>177</v>
      </c>
      <c r="K114" s="98" t="s">
        <v>178</v>
      </c>
      <c r="L114" s="98" t="s">
        <v>179</v>
      </c>
      <c r="M114" s="98" t="s">
        <v>180</v>
      </c>
      <c r="N114" s="98" t="s">
        <v>181</v>
      </c>
      <c r="O114" s="98" t="s">
        <v>182</v>
      </c>
      <c r="P114" s="98" t="s">
        <v>183</v>
      </c>
      <c r="Q114" s="98" t="s">
        <v>164</v>
      </c>
    </row>
    <row r="115" spans="2:18" x14ac:dyDescent="0.35">
      <c r="B115" s="757"/>
      <c r="C115" s="105"/>
      <c r="D115" s="200"/>
      <c r="E115" s="200"/>
      <c r="F115" s="200"/>
      <c r="G115" s="200"/>
      <c r="H115" s="200"/>
      <c r="I115" s="200"/>
      <c r="J115" s="200"/>
      <c r="K115" s="200"/>
      <c r="L115" s="200"/>
      <c r="M115" s="200"/>
      <c r="N115" s="200"/>
      <c r="O115" s="200"/>
      <c r="P115" s="200"/>
      <c r="Q115" s="200"/>
    </row>
    <row r="116" spans="2:18" x14ac:dyDescent="0.35">
      <c r="B116" s="757" t="s">
        <v>306</v>
      </c>
      <c r="C116" s="105" t="s">
        <v>307</v>
      </c>
      <c r="D116" s="200"/>
      <c r="E116" s="200"/>
      <c r="F116" s="200"/>
      <c r="G116" s="200"/>
      <c r="H116" s="200"/>
      <c r="I116" s="200"/>
      <c r="J116" s="200"/>
      <c r="K116" s="200"/>
      <c r="L116" s="200"/>
      <c r="M116" s="200"/>
      <c r="N116" s="200"/>
      <c r="O116" s="200"/>
      <c r="P116" s="200"/>
      <c r="Q116" s="200"/>
    </row>
    <row r="117" spans="2:18" x14ac:dyDescent="0.35">
      <c r="B117" s="74">
        <v>1</v>
      </c>
      <c r="C117" s="152" t="s">
        <v>308</v>
      </c>
      <c r="D117" s="759"/>
      <c r="E117" s="657">
        <f>+'F1'!C187</f>
        <v>2.0385178799999997</v>
      </c>
      <c r="F117" s="657">
        <f>+'F1'!D187</f>
        <v>2.1391094050000001</v>
      </c>
      <c r="G117" s="657">
        <f>+'F1'!E187</f>
        <v>2.0432086699999998</v>
      </c>
      <c r="H117" s="657">
        <f>+'F1'!F187</f>
        <v>1.9706766500000001</v>
      </c>
      <c r="I117" s="657">
        <f>+'F1'!G187</f>
        <v>2.09925235</v>
      </c>
      <c r="J117" s="657">
        <f>+'F1'!H187</f>
        <v>2.0616135902999999</v>
      </c>
      <c r="K117" s="657">
        <f>+'F1'!I187</f>
        <v>2.1509091799999998</v>
      </c>
      <c r="L117" s="657">
        <f>+'F1'!J187</f>
        <v>2.1172173299999999</v>
      </c>
      <c r="M117" s="657">
        <f>+'F1'!K187</f>
        <v>2.2046054099999997</v>
      </c>
      <c r="N117" s="657">
        <f>+'F1'!L187</f>
        <v>2.1866552599999998</v>
      </c>
      <c r="O117" s="657">
        <f>+'F1'!M187</f>
        <v>2.09836416</v>
      </c>
      <c r="P117" s="657">
        <f>+'F1'!N187</f>
        <v>2.529072744</v>
      </c>
      <c r="Q117" s="658">
        <f>SUM(E117:P117)</f>
        <v>25.639202629299998</v>
      </c>
      <c r="R117" s="662"/>
    </row>
    <row r="118" spans="2:18" x14ac:dyDescent="0.35">
      <c r="B118" s="74"/>
      <c r="C118" s="697" t="s">
        <v>1723</v>
      </c>
      <c r="D118" s="759"/>
      <c r="E118" s="657">
        <v>3.4007999999999997E-2</v>
      </c>
      <c r="F118" s="676">
        <v>3.9253499999999997E-2</v>
      </c>
      <c r="G118" s="676">
        <v>2.3484999999999999E-2</v>
      </c>
      <c r="H118" s="676">
        <v>5.3351199999999996E-3</v>
      </c>
      <c r="I118" s="676">
        <v>9.7672999999999996E-3</v>
      </c>
      <c r="J118" s="676">
        <v>1.31848E-2</v>
      </c>
      <c r="K118" s="676">
        <v>2.41409E-2</v>
      </c>
      <c r="L118" s="676">
        <v>2.1366200000000002E-2</v>
      </c>
      <c r="M118" s="676">
        <v>1.1278E-2</v>
      </c>
      <c r="N118" s="676">
        <v>8.5743099999999999E-3</v>
      </c>
      <c r="O118" s="676">
        <v>8.0922900000000002E-3</v>
      </c>
      <c r="P118" s="676">
        <v>2.1265700000000002E-2</v>
      </c>
      <c r="Q118" s="658">
        <f>SUM(E118:P118)</f>
        <v>0.21975111999999999</v>
      </c>
      <c r="R118" s="662"/>
    </row>
    <row r="119" spans="2:18" x14ac:dyDescent="0.35">
      <c r="B119" s="74"/>
      <c r="C119" s="690" t="s">
        <v>1196</v>
      </c>
      <c r="D119" s="759"/>
      <c r="E119" s="688">
        <f>+E120-E117+E118</f>
        <v>4.0023120000000259E-2</v>
      </c>
      <c r="F119" s="688">
        <f t="shared" ref="F119:P119" si="20">+F120-F117+F118</f>
        <v>4.599409499999968E-2</v>
      </c>
      <c r="G119" s="688">
        <f t="shared" si="20"/>
        <v>-2.0006699999996838E-3</v>
      </c>
      <c r="H119" s="688">
        <f t="shared" si="20"/>
        <v>5.2680470000000063E-2</v>
      </c>
      <c r="I119" s="688">
        <f t="shared" si="20"/>
        <v>4.0014950000000181E-2</v>
      </c>
      <c r="J119" s="688">
        <f t="shared" si="20"/>
        <v>4.1935209700000198E-2</v>
      </c>
      <c r="K119" s="688">
        <f t="shared" si="20"/>
        <v>6.5547200000001041E-3</v>
      </c>
      <c r="L119" s="688">
        <f t="shared" si="20"/>
        <v>-1.3122129999999843E-2</v>
      </c>
      <c r="M119" s="688">
        <f t="shared" si="20"/>
        <v>2.2256590000000565E-2</v>
      </c>
      <c r="N119" s="688">
        <f t="shared" si="20"/>
        <v>3.0129050000000018E-2</v>
      </c>
      <c r="O119" s="688">
        <f t="shared" si="20"/>
        <v>2.6798129999999976E-2</v>
      </c>
      <c r="P119" s="688">
        <f t="shared" si="20"/>
        <v>2.0395600000017514E-4</v>
      </c>
      <c r="Q119" s="658">
        <f>SUM(E119:P119)</f>
        <v>0.29146749070000172</v>
      </c>
      <c r="R119" s="662">
        <f>+Q119/Q120</f>
        <v>1.1336331101194854E-2</v>
      </c>
    </row>
    <row r="120" spans="2:18" x14ac:dyDescent="0.35">
      <c r="B120" s="74"/>
      <c r="C120" s="690" t="s">
        <v>1197</v>
      </c>
      <c r="D120" s="759"/>
      <c r="E120" s="657">
        <v>2.0445329999999999</v>
      </c>
      <c r="F120" s="700">
        <f>2145850/10^6</f>
        <v>2.1458499999999998</v>
      </c>
      <c r="G120" s="700">
        <f>2017723/10^6</f>
        <v>2.0177230000000002</v>
      </c>
      <c r="H120" s="700">
        <f>2018022/10^6</f>
        <v>2.0180220000000002</v>
      </c>
      <c r="I120" s="700">
        <f>2129500/10^6</f>
        <v>2.1295000000000002</v>
      </c>
      <c r="J120" s="700">
        <f>2090364/10^6</f>
        <v>2.0903640000000001</v>
      </c>
      <c r="K120" s="676">
        <f>2133323/10^6</f>
        <v>2.1333229999999999</v>
      </c>
      <c r="L120" s="676">
        <f>2082729/10^6</f>
        <v>2.0827290000000001</v>
      </c>
      <c r="M120" s="676">
        <f>2215584/10^6</f>
        <v>2.2155840000000002</v>
      </c>
      <c r="N120" s="676">
        <f>2208210/10^6</f>
        <v>2.2082099999999998</v>
      </c>
      <c r="O120" s="676">
        <f>2117070/10^6</f>
        <v>2.11707</v>
      </c>
      <c r="P120" s="676">
        <f>2508011/10^6</f>
        <v>2.5080110000000002</v>
      </c>
      <c r="Q120" s="658">
        <f>SUM(E120:P120)</f>
        <v>25.710919000000001</v>
      </c>
      <c r="R120" s="10">
        <f>+Q120*10^6</f>
        <v>25710919</v>
      </c>
    </row>
    <row r="121" spans="2:18" x14ac:dyDescent="0.35">
      <c r="B121" s="74"/>
      <c r="C121" s="690" t="s">
        <v>1198</v>
      </c>
      <c r="D121" s="759"/>
      <c r="E121" s="1419">
        <v>3.4299999999999997E-2</v>
      </c>
      <c r="F121" s="1420">
        <v>3.2599999999999997E-2</v>
      </c>
      <c r="G121" s="1420">
        <v>3.2899999999999999E-2</v>
      </c>
      <c r="H121" s="1420">
        <v>3.4700000000000002E-2</v>
      </c>
      <c r="I121" s="1420">
        <v>3.2099999999999997E-2</v>
      </c>
      <c r="J121" s="1420">
        <v>3.32E-2</v>
      </c>
      <c r="K121" s="1420">
        <v>0.03</v>
      </c>
      <c r="L121" s="1420">
        <v>3.2000000000000001E-2</v>
      </c>
      <c r="M121" s="1420">
        <v>3.1300000000000001E-2</v>
      </c>
      <c r="N121" s="1420">
        <v>3.1199999999999999E-2</v>
      </c>
      <c r="O121" s="1420">
        <v>3.4299999999999997E-2</v>
      </c>
      <c r="P121" s="1420">
        <v>3.2300000000000002E-2</v>
      </c>
      <c r="Q121" s="692">
        <f>(Q122-Q120)/Q122</f>
        <v>3.254688037381688E-2</v>
      </c>
    </row>
    <row r="122" spans="2:18" x14ac:dyDescent="0.35">
      <c r="B122" s="74">
        <v>2</v>
      </c>
      <c r="C122" s="152" t="s">
        <v>309</v>
      </c>
      <c r="D122" s="759"/>
      <c r="E122" s="694">
        <f t="shared" ref="E122:P122" si="21">E120/(1-E121)</f>
        <v>2.1171512892202546</v>
      </c>
      <c r="F122" s="694">
        <f t="shared" si="21"/>
        <v>2.2181620839363241</v>
      </c>
      <c r="G122" s="694">
        <f t="shared" si="21"/>
        <v>2.0863643883776239</v>
      </c>
      <c r="H122" s="694">
        <f t="shared" si="21"/>
        <v>2.0905645913187612</v>
      </c>
      <c r="I122" s="694">
        <f t="shared" si="21"/>
        <v>2.2001239797499745</v>
      </c>
      <c r="J122" s="694">
        <f t="shared" si="21"/>
        <v>2.1621472900289618</v>
      </c>
      <c r="K122" s="694">
        <f t="shared" si="21"/>
        <v>2.1993020618556702</v>
      </c>
      <c r="L122" s="694">
        <f t="shared" si="21"/>
        <v>2.1515795454545454</v>
      </c>
      <c r="M122" s="694">
        <f t="shared" si="21"/>
        <v>2.2871724992257665</v>
      </c>
      <c r="N122" s="694">
        <f t="shared" si="21"/>
        <v>2.2793249380677123</v>
      </c>
      <c r="O122" s="694">
        <f t="shared" si="21"/>
        <v>2.1922646784715751</v>
      </c>
      <c r="P122" s="694">
        <f t="shared" si="21"/>
        <v>2.5917236746925703</v>
      </c>
      <c r="Q122" s="658">
        <f>SUM(E122:P122)</f>
        <v>26.575881020399741</v>
      </c>
      <c r="R122" s="10">
        <f>+Q122*10^6</f>
        <v>26575881.020399742</v>
      </c>
    </row>
    <row r="123" spans="2:18" x14ac:dyDescent="0.35">
      <c r="B123" s="74"/>
      <c r="C123" s="152"/>
      <c r="D123" s="219"/>
      <c r="E123" s="177"/>
      <c r="F123" s="19"/>
      <c r="G123" s="19"/>
      <c r="H123" s="19"/>
      <c r="I123" s="19"/>
      <c r="J123" s="19"/>
      <c r="K123" s="19"/>
      <c r="L123" s="19"/>
      <c r="M123" s="19"/>
      <c r="N123" s="19"/>
      <c r="O123" s="19"/>
      <c r="P123" s="19"/>
      <c r="Q123" s="19"/>
    </row>
    <row r="124" spans="2:18" x14ac:dyDescent="0.35">
      <c r="B124" s="757" t="s">
        <v>310</v>
      </c>
      <c r="C124" s="63" t="s">
        <v>311</v>
      </c>
      <c r="D124" s="200"/>
      <c r="E124" s="177"/>
      <c r="F124" s="19"/>
      <c r="G124" s="19"/>
      <c r="H124" s="19"/>
      <c r="I124" s="19"/>
      <c r="J124" s="19"/>
      <c r="K124" s="19"/>
      <c r="L124" s="19"/>
      <c r="M124" s="19"/>
      <c r="N124" s="19"/>
      <c r="O124" s="19"/>
      <c r="P124" s="19"/>
      <c r="Q124" s="19"/>
    </row>
    <row r="125" spans="2:18" x14ac:dyDescent="0.35">
      <c r="B125" s="758">
        <v>1</v>
      </c>
      <c r="C125" s="63" t="s">
        <v>269</v>
      </c>
      <c r="D125" s="200"/>
      <c r="E125" s="177"/>
      <c r="F125" s="19"/>
      <c r="G125" s="19"/>
      <c r="H125" s="19"/>
      <c r="I125" s="19"/>
      <c r="J125" s="19"/>
      <c r="K125" s="19"/>
      <c r="L125" s="19"/>
      <c r="M125" s="19"/>
      <c r="N125" s="19"/>
      <c r="O125" s="19"/>
      <c r="P125" s="19"/>
      <c r="Q125" s="19"/>
    </row>
    <row r="126" spans="2:18" x14ac:dyDescent="0.35">
      <c r="B126" s="74">
        <v>1.1000000000000001</v>
      </c>
      <c r="C126" s="61" t="s">
        <v>235</v>
      </c>
      <c r="D126" s="219"/>
      <c r="E126" s="657"/>
      <c r="F126" s="676"/>
      <c r="G126" s="676"/>
      <c r="H126" s="676"/>
      <c r="I126" s="676"/>
      <c r="J126" s="676"/>
      <c r="K126" s="676"/>
      <c r="L126" s="676"/>
      <c r="M126" s="676"/>
      <c r="N126" s="676"/>
      <c r="O126" s="676"/>
      <c r="P126" s="676"/>
      <c r="Q126" s="658">
        <f t="shared" ref="Q126:Q135" si="22">SUM(E126:P126)</f>
        <v>0</v>
      </c>
    </row>
    <row r="127" spans="2:18" x14ac:dyDescent="0.35">
      <c r="B127" s="74">
        <v>1.2</v>
      </c>
      <c r="C127" s="61" t="s">
        <v>237</v>
      </c>
      <c r="D127" s="219"/>
      <c r="E127" s="177"/>
      <c r="F127" s="19"/>
      <c r="G127" s="19"/>
      <c r="H127" s="19"/>
      <c r="I127" s="19"/>
      <c r="J127" s="19"/>
      <c r="K127" s="19"/>
      <c r="L127" s="19"/>
      <c r="M127" s="19"/>
      <c r="N127" s="19"/>
      <c r="O127" s="19"/>
      <c r="P127" s="19"/>
      <c r="Q127" s="658">
        <f t="shared" si="22"/>
        <v>0</v>
      </c>
    </row>
    <row r="128" spans="2:18" x14ac:dyDescent="0.35">
      <c r="B128" s="74">
        <v>1.3</v>
      </c>
      <c r="C128" s="61" t="s">
        <v>270</v>
      </c>
      <c r="D128" s="219"/>
      <c r="E128" s="177"/>
      <c r="F128" s="19"/>
      <c r="G128" s="19"/>
      <c r="H128" s="19"/>
      <c r="I128" s="19"/>
      <c r="J128" s="19"/>
      <c r="K128" s="19"/>
      <c r="L128" s="19"/>
      <c r="M128" s="19"/>
      <c r="N128" s="19"/>
      <c r="O128" s="19"/>
      <c r="P128" s="19"/>
      <c r="Q128" s="658">
        <f t="shared" si="22"/>
        <v>0</v>
      </c>
    </row>
    <row r="129" spans="2:18" x14ac:dyDescent="0.35">
      <c r="B129" s="758">
        <v>2</v>
      </c>
      <c r="C129" s="63" t="s">
        <v>271</v>
      </c>
      <c r="D129" s="200"/>
      <c r="E129" s="177"/>
      <c r="F129" s="19"/>
      <c r="G129" s="19"/>
      <c r="H129" s="19"/>
      <c r="I129" s="19"/>
      <c r="J129" s="19"/>
      <c r="K129" s="19"/>
      <c r="L129" s="19"/>
      <c r="M129" s="19"/>
      <c r="N129" s="19"/>
      <c r="O129" s="19"/>
      <c r="P129" s="19"/>
      <c r="Q129" s="658">
        <f t="shared" si="22"/>
        <v>0</v>
      </c>
    </row>
    <row r="130" spans="2:18" x14ac:dyDescent="0.35">
      <c r="B130" s="74">
        <v>2.1</v>
      </c>
      <c r="C130" s="61" t="s">
        <v>235</v>
      </c>
      <c r="D130" s="219"/>
      <c r="E130" s="177"/>
      <c r="F130" s="19"/>
      <c r="G130" s="19"/>
      <c r="H130" s="19"/>
      <c r="I130" s="19"/>
      <c r="J130" s="19"/>
      <c r="K130" s="19"/>
      <c r="L130" s="19"/>
      <c r="M130" s="19"/>
      <c r="N130" s="19"/>
      <c r="O130" s="19"/>
      <c r="P130" s="19"/>
      <c r="Q130" s="658">
        <f t="shared" si="22"/>
        <v>0</v>
      </c>
    </row>
    <row r="131" spans="2:18" x14ac:dyDescent="0.35">
      <c r="B131" s="74">
        <v>2.2000000000000002</v>
      </c>
      <c r="C131" s="61" t="s">
        <v>237</v>
      </c>
      <c r="D131" s="219"/>
      <c r="E131" s="177"/>
      <c r="F131" s="19"/>
      <c r="G131" s="19"/>
      <c r="H131" s="19"/>
      <c r="I131" s="19"/>
      <c r="J131" s="19"/>
      <c r="K131" s="19"/>
      <c r="L131" s="19"/>
      <c r="M131" s="19"/>
      <c r="N131" s="19"/>
      <c r="O131" s="19"/>
      <c r="P131" s="19"/>
      <c r="Q131" s="658">
        <f t="shared" si="22"/>
        <v>0</v>
      </c>
    </row>
    <row r="132" spans="2:18" x14ac:dyDescent="0.35">
      <c r="B132" s="758">
        <v>3</v>
      </c>
      <c r="C132" s="63" t="s">
        <v>272</v>
      </c>
      <c r="D132" s="200"/>
      <c r="E132" s="177"/>
      <c r="F132" s="19"/>
      <c r="G132" s="19"/>
      <c r="H132" s="19"/>
      <c r="I132" s="19"/>
      <c r="J132" s="19"/>
      <c r="K132" s="19"/>
      <c r="L132" s="19"/>
      <c r="M132" s="19"/>
      <c r="N132" s="19"/>
      <c r="O132" s="19"/>
      <c r="P132" s="19"/>
      <c r="Q132" s="658">
        <f t="shared" si="22"/>
        <v>0</v>
      </c>
    </row>
    <row r="133" spans="2:18" x14ac:dyDescent="0.4">
      <c r="B133" s="74">
        <v>3.1</v>
      </c>
      <c r="C133" s="107" t="s">
        <v>1208</v>
      </c>
      <c r="D133" s="219"/>
      <c r="E133" s="657">
        <v>1.764</v>
      </c>
      <c r="F133" s="676">
        <v>1.8600399999999999</v>
      </c>
      <c r="G133" s="676">
        <v>1.8720000000000001</v>
      </c>
      <c r="H133" s="676">
        <v>2.0111530000000002</v>
      </c>
      <c r="I133" s="676">
        <v>1.9644200000000001</v>
      </c>
      <c r="J133" s="676">
        <v>2.0370400000000002</v>
      </c>
      <c r="K133" s="676">
        <v>1.8905025</v>
      </c>
      <c r="L133" s="676">
        <v>2.1130650000000002</v>
      </c>
      <c r="M133" s="676">
        <v>0.90393500000000004</v>
      </c>
      <c r="N133" s="676">
        <v>2.2075499999999999</v>
      </c>
      <c r="O133" s="676">
        <v>1.7572179999999999</v>
      </c>
      <c r="P133" s="676">
        <v>1.9054</v>
      </c>
      <c r="Q133" s="658">
        <f t="shared" si="22"/>
        <v>22.286323500000002</v>
      </c>
    </row>
    <row r="134" spans="2:18" ht="27.75" x14ac:dyDescent="0.35">
      <c r="B134" s="74">
        <v>3.2</v>
      </c>
      <c r="C134" s="61" t="s">
        <v>1230</v>
      </c>
      <c r="D134" s="219"/>
      <c r="E134" s="177"/>
      <c r="F134" s="19"/>
      <c r="G134" s="19"/>
      <c r="H134" s="19"/>
      <c r="I134" s="19"/>
      <c r="J134" s="19"/>
      <c r="K134" s="19"/>
      <c r="L134" s="19"/>
      <c r="M134" s="19"/>
      <c r="N134" s="19"/>
      <c r="O134" s="676">
        <v>1.4087233899999998</v>
      </c>
      <c r="P134" s="676">
        <v>1.52508953</v>
      </c>
      <c r="Q134" s="658">
        <f t="shared" si="22"/>
        <v>2.9338129199999998</v>
      </c>
    </row>
    <row r="135" spans="2:18" x14ac:dyDescent="0.35">
      <c r="B135" s="74">
        <v>3.3000000000000003</v>
      </c>
      <c r="C135" s="61" t="s">
        <v>1207</v>
      </c>
      <c r="D135" s="219"/>
      <c r="E135" s="656">
        <v>9.5241999999999993E-2</v>
      </c>
      <c r="F135" s="675">
        <v>0.23550299999999999</v>
      </c>
      <c r="G135" s="675">
        <v>0.15271999999999999</v>
      </c>
      <c r="H135" s="675">
        <v>3.5834999999999999E-2</v>
      </c>
      <c r="I135" s="675">
        <v>0.19361999999999999</v>
      </c>
      <c r="J135" s="675">
        <v>0.13566</v>
      </c>
      <c r="K135" s="675">
        <v>0.30679800000000002</v>
      </c>
      <c r="L135" s="675">
        <v>4.4792999999999999E-2</v>
      </c>
      <c r="M135" s="675">
        <v>1.3236680000000001</v>
      </c>
      <c r="N135" s="675">
        <v>0</v>
      </c>
      <c r="O135" s="675">
        <v>-1.1048199999999999</v>
      </c>
      <c r="P135" s="675">
        <v>-1.0638700000000001</v>
      </c>
      <c r="Q135" s="658">
        <f t="shared" si="22"/>
        <v>0.35514899999999971</v>
      </c>
    </row>
    <row r="136" spans="2:18" x14ac:dyDescent="0.35">
      <c r="B136" s="74">
        <v>3.4</v>
      </c>
      <c r="C136" s="61" t="s">
        <v>1204</v>
      </c>
      <c r="D136" s="219"/>
      <c r="E136" s="676">
        <f t="shared" ref="E136:P136" si="23">+E122-SUM(E126:E135)</f>
        <v>0.25790928922025458</v>
      </c>
      <c r="F136" s="676">
        <f t="shared" si="23"/>
        <v>0.12261908393632437</v>
      </c>
      <c r="G136" s="676">
        <f t="shared" si="23"/>
        <v>6.1644388377623649E-2</v>
      </c>
      <c r="H136" s="676">
        <f t="shared" si="23"/>
        <v>4.3576591318760904E-2</v>
      </c>
      <c r="I136" s="676">
        <f t="shared" si="23"/>
        <v>4.2083979749974354E-2</v>
      </c>
      <c r="J136" s="676">
        <f t="shared" si="23"/>
        <v>-1.0552709971038521E-2</v>
      </c>
      <c r="K136" s="676">
        <f t="shared" si="23"/>
        <v>2.0015618556703529E-3</v>
      </c>
      <c r="L136" s="676">
        <f t="shared" si="23"/>
        <v>-6.2784545454546148E-3</v>
      </c>
      <c r="M136" s="676">
        <f t="shared" si="23"/>
        <v>5.9569499225766265E-2</v>
      </c>
      <c r="N136" s="676">
        <f t="shared" si="23"/>
        <v>7.1774938067712402E-2</v>
      </c>
      <c r="O136" s="676">
        <f t="shared" si="23"/>
        <v>0.13114328847157575</v>
      </c>
      <c r="P136" s="676">
        <f t="shared" si="23"/>
        <v>0.22510414469257034</v>
      </c>
      <c r="Q136" s="658">
        <f>SUM(E136:P136)</f>
        <v>1.0005956003997398</v>
      </c>
    </row>
    <row r="137" spans="2:18" x14ac:dyDescent="0.35">
      <c r="B137" s="758">
        <v>4</v>
      </c>
      <c r="C137" s="22" t="s">
        <v>312</v>
      </c>
      <c r="D137" s="59"/>
      <c r="E137" s="677">
        <f t="shared" ref="E137:Q137" si="24">SUM(E125:E136)</f>
        <v>2.1171512892202546</v>
      </c>
      <c r="F137" s="677">
        <f t="shared" si="24"/>
        <v>2.2181620839363241</v>
      </c>
      <c r="G137" s="677">
        <f t="shared" si="24"/>
        <v>2.0863643883776239</v>
      </c>
      <c r="H137" s="677">
        <f t="shared" si="24"/>
        <v>2.0905645913187612</v>
      </c>
      <c r="I137" s="677">
        <f t="shared" si="24"/>
        <v>2.2001239797499745</v>
      </c>
      <c r="J137" s="677">
        <f t="shared" si="24"/>
        <v>2.1621472900289618</v>
      </c>
      <c r="K137" s="677">
        <f t="shared" si="24"/>
        <v>2.1993020618556702</v>
      </c>
      <c r="L137" s="677">
        <f t="shared" si="24"/>
        <v>2.1515795454545454</v>
      </c>
      <c r="M137" s="677">
        <f t="shared" si="24"/>
        <v>2.2871724992257665</v>
      </c>
      <c r="N137" s="677">
        <f t="shared" si="24"/>
        <v>2.2793249380677123</v>
      </c>
      <c r="O137" s="677">
        <f t="shared" si="24"/>
        <v>2.1922646784715751</v>
      </c>
      <c r="P137" s="677">
        <f t="shared" si="24"/>
        <v>2.5917236746925703</v>
      </c>
      <c r="Q137" s="677">
        <f t="shared" si="24"/>
        <v>26.575881020399745</v>
      </c>
    </row>
    <row r="139" spans="2:18" x14ac:dyDescent="0.35">
      <c r="B139" s="49" t="s">
        <v>313</v>
      </c>
      <c r="C139" s="99"/>
      <c r="D139" s="179"/>
      <c r="E139" s="11"/>
      <c r="F139" s="12"/>
      <c r="G139" s="11"/>
      <c r="H139" s="11"/>
      <c r="I139" s="11"/>
    </row>
    <row r="140" spans="2:18" x14ac:dyDescent="0.35">
      <c r="B140" s="49"/>
      <c r="C140" s="99"/>
      <c r="D140" s="179"/>
      <c r="E140" s="11"/>
      <c r="F140" s="12"/>
      <c r="G140" s="11"/>
      <c r="H140" s="11"/>
      <c r="I140" s="11"/>
    </row>
    <row r="141" spans="2:18" ht="27" x14ac:dyDescent="0.35">
      <c r="B141" s="756" t="s">
        <v>1</v>
      </c>
      <c r="C141" s="178" t="s">
        <v>111</v>
      </c>
      <c r="D141" s="98" t="s">
        <v>305</v>
      </c>
      <c r="E141" s="98" t="s">
        <v>172</v>
      </c>
      <c r="F141" s="98" t="s">
        <v>173</v>
      </c>
      <c r="G141" s="98" t="s">
        <v>174</v>
      </c>
      <c r="H141" s="98" t="s">
        <v>175</v>
      </c>
      <c r="I141" s="98" t="s">
        <v>176</v>
      </c>
      <c r="J141" s="98" t="s">
        <v>177</v>
      </c>
      <c r="K141" s="98" t="s">
        <v>178</v>
      </c>
      <c r="L141" s="98" t="s">
        <v>179</v>
      </c>
      <c r="M141" s="98" t="s">
        <v>180</v>
      </c>
      <c r="N141" s="98" t="s">
        <v>181</v>
      </c>
      <c r="O141" s="98" t="s">
        <v>182</v>
      </c>
      <c r="P141" s="98" t="s">
        <v>183</v>
      </c>
      <c r="Q141" s="98" t="s">
        <v>164</v>
      </c>
    </row>
    <row r="142" spans="2:18" x14ac:dyDescent="0.35">
      <c r="B142" s="757"/>
      <c r="C142" s="105"/>
      <c r="D142" s="200"/>
      <c r="E142" s="200"/>
      <c r="F142" s="200"/>
      <c r="G142" s="200"/>
      <c r="H142" s="200"/>
      <c r="I142" s="200"/>
      <c r="J142" s="200"/>
      <c r="K142" s="200"/>
      <c r="L142" s="200"/>
      <c r="M142" s="200"/>
      <c r="N142" s="200"/>
      <c r="O142" s="200"/>
      <c r="P142" s="200"/>
      <c r="Q142" s="200"/>
    </row>
    <row r="143" spans="2:18" x14ac:dyDescent="0.35">
      <c r="B143" s="757" t="s">
        <v>306</v>
      </c>
      <c r="C143" s="105" t="s">
        <v>307</v>
      </c>
      <c r="D143" s="200"/>
      <c r="E143" s="200"/>
      <c r="F143" s="200"/>
      <c r="G143" s="200"/>
      <c r="H143" s="200"/>
      <c r="I143" s="200"/>
      <c r="J143" s="200"/>
      <c r="K143" s="200"/>
      <c r="L143" s="200"/>
      <c r="M143" s="200"/>
      <c r="N143" s="200"/>
      <c r="O143" s="200"/>
      <c r="P143" s="200"/>
      <c r="Q143" s="200"/>
    </row>
    <row r="144" spans="2:18" x14ac:dyDescent="0.35">
      <c r="B144" s="74">
        <v>1</v>
      </c>
      <c r="C144" s="152" t="s">
        <v>308</v>
      </c>
      <c r="D144" s="759"/>
      <c r="E144" s="657">
        <f>+'F1'!C219</f>
        <v>2.6562487340000001</v>
      </c>
      <c r="F144" s="657">
        <f>+'F1'!D219</f>
        <v>2.9063635560000001</v>
      </c>
      <c r="G144" s="657">
        <f>+'F1'!E219</f>
        <v>2.8368116399999996</v>
      </c>
      <c r="H144" s="657">
        <f>+'F1'!F219</f>
        <v>2.7876805300000003</v>
      </c>
      <c r="I144" s="657">
        <f>+'F1'!G219</f>
        <v>3.2912629500000001</v>
      </c>
      <c r="J144" s="657">
        <f>+'F1'!H219</f>
        <v>3.2916637499999997</v>
      </c>
      <c r="K144" s="657">
        <f>+'F1'!I219</f>
        <v>3.5997419800000001</v>
      </c>
      <c r="L144" s="657">
        <f>+'F1'!J219</f>
        <v>3.4651509700000003</v>
      </c>
      <c r="M144" s="657">
        <f>+'F1'!K219</f>
        <v>3.5660492800000001</v>
      </c>
      <c r="N144" s="657">
        <f>+'F1'!L219</f>
        <v>3.7064584300000001</v>
      </c>
      <c r="O144" s="657">
        <f>+'F1'!M219</f>
        <v>3.4731883539999999</v>
      </c>
      <c r="P144" s="657">
        <f>+'F1'!N219</f>
        <v>3.7780391955999999</v>
      </c>
      <c r="Q144" s="658">
        <f>SUM(E144:P144)</f>
        <v>39.358659369600005</v>
      </c>
      <c r="R144" s="662"/>
    </row>
    <row r="145" spans="2:18" x14ac:dyDescent="0.35">
      <c r="B145" s="74"/>
      <c r="C145" s="697" t="s">
        <v>1202</v>
      </c>
      <c r="D145" s="759"/>
      <c r="E145" s="657">
        <v>3.34215E-2</v>
      </c>
      <c r="F145" s="676">
        <v>4.0342500000000003E-2</v>
      </c>
      <c r="G145" s="676">
        <v>2.9440000000000001E-2</v>
      </c>
      <c r="H145" s="676">
        <v>1.0718999999999999E-2</v>
      </c>
      <c r="I145" s="676">
        <v>2.1651299999999998E-2</v>
      </c>
      <c r="J145" s="676">
        <v>1.7959300000000001E-2</v>
      </c>
      <c r="K145" s="676">
        <v>2.5111900000000003E-2</v>
      </c>
      <c r="L145" s="676">
        <v>2.1098700000000001E-2</v>
      </c>
      <c r="M145" s="676">
        <v>1.9731800000000001E-2</v>
      </c>
      <c r="N145" s="676">
        <v>1.5745800000000001E-2</v>
      </c>
      <c r="O145" s="676">
        <v>1.33139E-2</v>
      </c>
      <c r="P145" s="676">
        <v>1.4530399999999999E-2</v>
      </c>
      <c r="Q145" s="658">
        <f>SUM(E145:P145)</f>
        <v>0.26306609999999997</v>
      </c>
      <c r="R145" s="662"/>
    </row>
    <row r="146" spans="2:18" x14ac:dyDescent="0.35">
      <c r="B146" s="74"/>
      <c r="C146" s="690" t="s">
        <v>1196</v>
      </c>
      <c r="D146" s="759"/>
      <c r="E146" s="688">
        <f>+E147-E144+E145</f>
        <v>1.1448765999999784E-2</v>
      </c>
      <c r="F146" s="688">
        <f t="shared" ref="F146:P146" si="25">+F147-F144+F145</f>
        <v>4.8723943999999852E-2</v>
      </c>
      <c r="G146" s="688">
        <f t="shared" si="25"/>
        <v>1.0742360000000374E-2</v>
      </c>
      <c r="H146" s="688">
        <f t="shared" si="25"/>
        <v>5.3085469999999711E-2</v>
      </c>
      <c r="I146" s="688">
        <f t="shared" si="25"/>
        <v>3.2143349999999862E-2</v>
      </c>
      <c r="J146" s="688">
        <f t="shared" si="25"/>
        <v>3.7013550000000381E-2</v>
      </c>
      <c r="K146" s="688">
        <f t="shared" si="25"/>
        <v>4.9818919999999697E-2</v>
      </c>
      <c r="L146" s="688">
        <f t="shared" si="25"/>
        <v>2.7587729999999564E-2</v>
      </c>
      <c r="M146" s="688">
        <f t="shared" si="25"/>
        <v>5.2608519999999971E-2</v>
      </c>
      <c r="N146" s="688">
        <f t="shared" si="25"/>
        <v>-4.5009629999999939E-2</v>
      </c>
      <c r="O146" s="688">
        <f t="shared" si="25"/>
        <v>-9.1945399999992031E-4</v>
      </c>
      <c r="P146" s="688">
        <f t="shared" si="25"/>
        <v>8.7076204400000246E-2</v>
      </c>
      <c r="Q146" s="658">
        <f>SUM(E146:P146)</f>
        <v>0.3643197303999996</v>
      </c>
      <c r="R146" s="662">
        <f>+Q146/Q147</f>
        <v>9.2326541723495338E-3</v>
      </c>
    </row>
    <row r="147" spans="2:18" x14ac:dyDescent="0.35">
      <c r="B147" s="74"/>
      <c r="C147" s="690" t="s">
        <v>1197</v>
      </c>
      <c r="D147" s="759"/>
      <c r="E147" s="657">
        <f>2634276/10^6</f>
        <v>2.6342759999999998</v>
      </c>
      <c r="F147" s="700">
        <f>2914745/10^6</f>
        <v>2.9147449999999999</v>
      </c>
      <c r="G147" s="700">
        <f>2818114/10^6</f>
        <v>2.818114</v>
      </c>
      <c r="H147" s="700">
        <f>2830047/10^6</f>
        <v>2.830047</v>
      </c>
      <c r="I147" s="700">
        <f>3301755/10^6</f>
        <v>3.301755</v>
      </c>
      <c r="J147" s="700">
        <f>3310718/10^6</f>
        <v>3.310718</v>
      </c>
      <c r="K147" s="676">
        <f>3624449/10^6</f>
        <v>3.6244489999999998</v>
      </c>
      <c r="L147" s="676">
        <f>3471640/10^6</f>
        <v>3.4716399999999998</v>
      </c>
      <c r="M147" s="676">
        <f>3598926/10^6</f>
        <v>3.5989260000000001</v>
      </c>
      <c r="N147" s="676">
        <f>3645703/10^6</f>
        <v>3.6457030000000001</v>
      </c>
      <c r="O147" s="676">
        <f>3458955/10^6</f>
        <v>3.458955</v>
      </c>
      <c r="P147" s="676">
        <f>3850585/10^6</f>
        <v>3.8505850000000001</v>
      </c>
      <c r="Q147" s="658">
        <f>SUM(E147:P147)</f>
        <v>39.459913</v>
      </c>
      <c r="R147" s="10">
        <f>+Q147*10^6</f>
        <v>39459913</v>
      </c>
    </row>
    <row r="148" spans="2:18" x14ac:dyDescent="0.4">
      <c r="B148" s="74"/>
      <c r="C148" s="690" t="s">
        <v>1198</v>
      </c>
      <c r="D148" s="759"/>
      <c r="E148" s="775">
        <v>3.7100000000000001E-2</v>
      </c>
      <c r="F148" s="775">
        <v>3.56E-2</v>
      </c>
      <c r="G148" s="775">
        <v>3.4200000000000001E-2</v>
      </c>
      <c r="H148" s="775">
        <v>3.2399999999999998E-2</v>
      </c>
      <c r="I148" s="775">
        <v>3.2199999999999999E-2</v>
      </c>
      <c r="J148" s="775">
        <v>3.2800000000000003E-2</v>
      </c>
      <c r="K148" s="775">
        <v>3.5299999999999998E-2</v>
      </c>
      <c r="L148" s="775">
        <v>3.1699999999999999E-2</v>
      </c>
      <c r="M148" s="775">
        <v>2.9399999999999999E-2</v>
      </c>
      <c r="N148" s="775">
        <v>2.8400000000000002E-2</v>
      </c>
      <c r="O148" s="775">
        <v>3.0700000000000002E-2</v>
      </c>
      <c r="P148" s="775">
        <v>3.2099999999999997E-2</v>
      </c>
      <c r="Q148" s="692">
        <f>(Q149-Q147)/Q149</f>
        <v>3.2484877191353539E-2</v>
      </c>
    </row>
    <row r="149" spans="2:18" x14ac:dyDescent="0.35">
      <c r="B149" s="74">
        <v>2</v>
      </c>
      <c r="C149" s="152" t="s">
        <v>309</v>
      </c>
      <c r="D149" s="759"/>
      <c r="E149" s="694">
        <f t="shared" ref="E149:P149" si="26">E147/(1-E148)</f>
        <v>2.7357731851697995</v>
      </c>
      <c r="F149" s="694">
        <f t="shared" si="26"/>
        <v>3.0223403152218995</v>
      </c>
      <c r="G149" s="694">
        <f t="shared" si="26"/>
        <v>2.9179063988403398</v>
      </c>
      <c r="H149" s="694">
        <f t="shared" si="26"/>
        <v>2.9248108722612649</v>
      </c>
      <c r="I149" s="694">
        <f t="shared" si="26"/>
        <v>3.4116088034717915</v>
      </c>
      <c r="J149" s="694">
        <f t="shared" si="26"/>
        <v>3.4229921422663359</v>
      </c>
      <c r="K149" s="694">
        <f t="shared" si="26"/>
        <v>3.7570737016689124</v>
      </c>
      <c r="L149" s="694">
        <f t="shared" si="26"/>
        <v>3.5852938139006505</v>
      </c>
      <c r="M149" s="694">
        <f t="shared" si="26"/>
        <v>3.7079394189161343</v>
      </c>
      <c r="N149" s="694">
        <f t="shared" si="26"/>
        <v>3.7522673939892961</v>
      </c>
      <c r="O149" s="694">
        <f t="shared" si="26"/>
        <v>3.5685082017951095</v>
      </c>
      <c r="P149" s="694">
        <f t="shared" si="26"/>
        <v>3.9782880462857735</v>
      </c>
      <c r="Q149" s="658">
        <f>SUM(E149:P149)</f>
        <v>40.784802293787315</v>
      </c>
      <c r="R149" s="10">
        <f>+Q149*10^6</f>
        <v>40784802.293787315</v>
      </c>
    </row>
    <row r="150" spans="2:18" x14ac:dyDescent="0.35">
      <c r="B150" s="74"/>
      <c r="C150" s="152"/>
      <c r="D150" s="219"/>
      <c r="E150" s="177"/>
      <c r="F150" s="19"/>
      <c r="G150" s="19"/>
      <c r="H150" s="19"/>
      <c r="I150" s="19"/>
      <c r="J150" s="19"/>
      <c r="K150" s="19"/>
      <c r="L150" s="19"/>
      <c r="M150" s="19"/>
      <c r="N150" s="19"/>
      <c r="O150" s="19"/>
      <c r="P150" s="19"/>
      <c r="Q150" s="19"/>
    </row>
    <row r="151" spans="2:18" x14ac:dyDescent="0.35">
      <c r="B151" s="757" t="s">
        <v>310</v>
      </c>
      <c r="C151" s="63" t="s">
        <v>311</v>
      </c>
      <c r="D151" s="200"/>
      <c r="E151" s="177"/>
      <c r="F151" s="19"/>
      <c r="G151" s="19"/>
      <c r="H151" s="19"/>
      <c r="I151" s="19"/>
      <c r="J151" s="19"/>
      <c r="K151" s="19"/>
      <c r="L151" s="19"/>
      <c r="M151" s="19"/>
      <c r="N151" s="19"/>
      <c r="O151" s="19"/>
      <c r="P151" s="19"/>
      <c r="Q151" s="19"/>
    </row>
    <row r="152" spans="2:18" x14ac:dyDescent="0.35">
      <c r="B152" s="758">
        <v>1</v>
      </c>
      <c r="C152" s="63" t="s">
        <v>269</v>
      </c>
      <c r="D152" s="200"/>
      <c r="E152" s="177"/>
      <c r="F152" s="19"/>
      <c r="G152" s="19"/>
      <c r="H152" s="19"/>
      <c r="I152" s="19"/>
      <c r="J152" s="19"/>
      <c r="K152" s="19"/>
      <c r="L152" s="19"/>
      <c r="M152" s="19"/>
      <c r="N152" s="19"/>
      <c r="O152" s="19"/>
      <c r="P152" s="19"/>
      <c r="Q152" s="19"/>
    </row>
    <row r="153" spans="2:18" x14ac:dyDescent="0.35">
      <c r="B153" s="74">
        <v>1.1000000000000001</v>
      </c>
      <c r="C153" s="61" t="s">
        <v>235</v>
      </c>
      <c r="D153" s="219"/>
      <c r="E153" s="657"/>
      <c r="F153" s="676"/>
      <c r="G153" s="676"/>
      <c r="H153" s="676"/>
      <c r="I153" s="676"/>
      <c r="J153" s="676"/>
      <c r="K153" s="676"/>
      <c r="L153" s="676"/>
      <c r="M153" s="676"/>
      <c r="N153" s="676"/>
      <c r="O153" s="676"/>
      <c r="P153" s="676"/>
      <c r="Q153" s="658">
        <f t="shared" ref="Q153:Q162" si="27">SUM(E153:P153)</f>
        <v>0</v>
      </c>
    </row>
    <row r="154" spans="2:18" x14ac:dyDescent="0.35">
      <c r="B154" s="74">
        <v>1.2</v>
      </c>
      <c r="C154" s="61" t="s">
        <v>237</v>
      </c>
      <c r="D154" s="219"/>
      <c r="E154" s="177"/>
      <c r="F154" s="19"/>
      <c r="G154" s="19"/>
      <c r="H154" s="19"/>
      <c r="I154" s="19"/>
      <c r="J154" s="19"/>
      <c r="K154" s="19"/>
      <c r="L154" s="19"/>
      <c r="M154" s="19"/>
      <c r="N154" s="19"/>
      <c r="O154" s="19"/>
      <c r="P154" s="19"/>
      <c r="Q154" s="658">
        <f t="shared" si="27"/>
        <v>0</v>
      </c>
    </row>
    <row r="155" spans="2:18" x14ac:dyDescent="0.35">
      <c r="B155" s="74">
        <v>1.3</v>
      </c>
      <c r="C155" s="61" t="s">
        <v>270</v>
      </c>
      <c r="D155" s="219"/>
      <c r="E155" s="177"/>
      <c r="F155" s="19"/>
      <c r="G155" s="19"/>
      <c r="H155" s="19"/>
      <c r="I155" s="19"/>
      <c r="J155" s="19"/>
      <c r="K155" s="19"/>
      <c r="L155" s="19"/>
      <c r="M155" s="19"/>
      <c r="N155" s="19"/>
      <c r="O155" s="19"/>
      <c r="P155" s="19"/>
      <c r="Q155" s="658">
        <f t="shared" si="27"/>
        <v>0</v>
      </c>
    </row>
    <row r="156" spans="2:18" x14ac:dyDescent="0.35">
      <c r="B156" s="758">
        <v>2</v>
      </c>
      <c r="C156" s="63" t="s">
        <v>271</v>
      </c>
      <c r="D156" s="200"/>
      <c r="E156" s="177"/>
      <c r="F156" s="19"/>
      <c r="G156" s="19"/>
      <c r="H156" s="19"/>
      <c r="I156" s="19"/>
      <c r="J156" s="19"/>
      <c r="K156" s="19"/>
      <c r="L156" s="19"/>
      <c r="M156" s="19"/>
      <c r="N156" s="19"/>
      <c r="O156" s="19"/>
      <c r="P156" s="19"/>
      <c r="Q156" s="658">
        <f t="shared" si="27"/>
        <v>0</v>
      </c>
    </row>
    <row r="157" spans="2:18" x14ac:dyDescent="0.35">
      <c r="B157" s="74">
        <v>2.1</v>
      </c>
      <c r="C157" s="61" t="s">
        <v>235</v>
      </c>
      <c r="D157" s="219"/>
      <c r="E157" s="177"/>
      <c r="F157" s="19"/>
      <c r="G157" s="19"/>
      <c r="H157" s="19"/>
      <c r="I157" s="19"/>
      <c r="J157" s="19"/>
      <c r="K157" s="19"/>
      <c r="L157" s="19"/>
      <c r="M157" s="19"/>
      <c r="N157" s="19"/>
      <c r="O157" s="19"/>
      <c r="P157" s="19"/>
      <c r="Q157" s="658">
        <f t="shared" si="27"/>
        <v>0</v>
      </c>
    </row>
    <row r="158" spans="2:18" x14ac:dyDescent="0.35">
      <c r="B158" s="74">
        <v>2.2000000000000002</v>
      </c>
      <c r="C158" s="61" t="s">
        <v>237</v>
      </c>
      <c r="D158" s="219"/>
      <c r="E158" s="177"/>
      <c r="F158" s="19"/>
      <c r="G158" s="19"/>
      <c r="H158" s="19"/>
      <c r="I158" s="19"/>
      <c r="J158" s="19"/>
      <c r="K158" s="19"/>
      <c r="L158" s="19"/>
      <c r="M158" s="19"/>
      <c r="N158" s="19"/>
      <c r="O158" s="19"/>
      <c r="P158" s="19"/>
      <c r="Q158" s="658">
        <f t="shared" si="27"/>
        <v>0</v>
      </c>
    </row>
    <row r="159" spans="2:18" x14ac:dyDescent="0.35">
      <c r="B159" s="758">
        <v>3</v>
      </c>
      <c r="C159" s="63" t="s">
        <v>272</v>
      </c>
      <c r="D159" s="200"/>
      <c r="E159" s="177"/>
      <c r="F159" s="19"/>
      <c r="G159" s="19"/>
      <c r="H159" s="19"/>
      <c r="I159" s="19"/>
      <c r="J159" s="19"/>
      <c r="K159" s="19"/>
      <c r="L159" s="19"/>
      <c r="M159" s="19"/>
      <c r="N159" s="19"/>
      <c r="O159" s="19"/>
      <c r="P159" s="19"/>
      <c r="Q159" s="658">
        <f t="shared" si="27"/>
        <v>0</v>
      </c>
    </row>
    <row r="160" spans="2:18" x14ac:dyDescent="0.4">
      <c r="B160" s="74">
        <v>3.1</v>
      </c>
      <c r="C160" s="107" t="s">
        <v>1208</v>
      </c>
      <c r="D160" s="754">
        <v>4.57</v>
      </c>
      <c r="E160" s="657">
        <v>1.4557</v>
      </c>
      <c r="F160" s="676">
        <v>1.87175</v>
      </c>
      <c r="G160" s="676">
        <v>1.84365</v>
      </c>
      <c r="H160" s="676">
        <v>1.907</v>
      </c>
      <c r="I160" s="676">
        <v>2.1106500000000001</v>
      </c>
      <c r="J160" s="676">
        <v>1.9612499999999999</v>
      </c>
      <c r="K160" s="676">
        <v>2.2191000000000001</v>
      </c>
      <c r="L160" s="676">
        <v>1.81735</v>
      </c>
      <c r="M160" s="676">
        <v>2.0081000000000002</v>
      </c>
      <c r="N160" s="676">
        <v>2.1073</v>
      </c>
      <c r="O160" s="676">
        <v>2.0430000000000001</v>
      </c>
      <c r="P160" s="676">
        <v>2.2120000000000002</v>
      </c>
      <c r="Q160" s="658">
        <f t="shared" si="27"/>
        <v>23.556849999999997</v>
      </c>
    </row>
    <row r="161" spans="2:18" ht="27.75" x14ac:dyDescent="0.35">
      <c r="B161" s="74">
        <v>3.2</v>
      </c>
      <c r="C161" s="61" t="s">
        <v>1230</v>
      </c>
      <c r="D161" s="754">
        <v>5</v>
      </c>
      <c r="E161" s="657">
        <v>1.5517110000000001</v>
      </c>
      <c r="F161" s="676">
        <v>1.7201341299999999</v>
      </c>
      <c r="G161" s="676">
        <v>1.6546700000000001</v>
      </c>
      <c r="H161" s="676">
        <v>0.67716699999999996</v>
      </c>
      <c r="I161" s="676">
        <v>0.34419</v>
      </c>
      <c r="J161" s="676">
        <v>1.2581929999999999</v>
      </c>
      <c r="K161" s="676">
        <v>1.4499420000000001</v>
      </c>
      <c r="L161" s="676">
        <v>1.599596</v>
      </c>
      <c r="M161" s="676">
        <v>1.753153</v>
      </c>
      <c r="N161" s="676">
        <v>1.657484</v>
      </c>
      <c r="O161" s="676">
        <v>1.5375865800000001</v>
      </c>
      <c r="P161" s="676">
        <v>1.6075120000000001</v>
      </c>
      <c r="Q161" s="658">
        <f t="shared" si="27"/>
        <v>16.811338710000001</v>
      </c>
    </row>
    <row r="162" spans="2:18" x14ac:dyDescent="0.35">
      <c r="B162" s="74">
        <v>3.3000000000000003</v>
      </c>
      <c r="C162" s="61" t="s">
        <v>1207</v>
      </c>
      <c r="D162" s="219"/>
      <c r="E162" s="657">
        <v>-0.52049800000000002</v>
      </c>
      <c r="F162" s="676">
        <v>-0.66628500000000002</v>
      </c>
      <c r="G162" s="676">
        <v>-0.64375899999999997</v>
      </c>
      <c r="H162" s="676">
        <v>0.30095</v>
      </c>
      <c r="I162" s="676">
        <v>0.81219200000000003</v>
      </c>
      <c r="J162" s="676">
        <v>0.28924299999999997</v>
      </c>
      <c r="K162" s="676">
        <v>8.6199999999999999E-2</v>
      </c>
      <c r="L162" s="676">
        <v>0.18329999999999999</v>
      </c>
      <c r="M162" s="676">
        <v>9.6019999999999994E-2</v>
      </c>
      <c r="N162" s="676">
        <v>2.9745000000000001E-2</v>
      </c>
      <c r="O162" s="676">
        <v>1.324E-2</v>
      </c>
      <c r="P162" s="676">
        <v>0.164963</v>
      </c>
      <c r="Q162" s="658">
        <f t="shared" si="27"/>
        <v>0.14531099999999991</v>
      </c>
    </row>
    <row r="163" spans="2:18" x14ac:dyDescent="0.35">
      <c r="B163" s="74">
        <v>3.4</v>
      </c>
      <c r="C163" s="61" t="s">
        <v>1204</v>
      </c>
      <c r="D163" s="219"/>
      <c r="E163" s="676">
        <f t="shared" ref="E163:P163" si="28">+E149-SUM(E153:E162)</f>
        <v>0.24886018516979913</v>
      </c>
      <c r="F163" s="676">
        <f t="shared" si="28"/>
        <v>9.674118522189934E-2</v>
      </c>
      <c r="G163" s="676">
        <f t="shared" si="28"/>
        <v>6.3345398840339406E-2</v>
      </c>
      <c r="H163" s="676">
        <f t="shared" si="28"/>
        <v>3.9693872261265195E-2</v>
      </c>
      <c r="I163" s="676">
        <f t="shared" si="28"/>
        <v>0.14457680347179158</v>
      </c>
      <c r="J163" s="676">
        <f t="shared" si="28"/>
        <v>-8.5693857733664114E-2</v>
      </c>
      <c r="K163" s="676">
        <f t="shared" si="28"/>
        <v>1.8317016689124443E-3</v>
      </c>
      <c r="L163" s="676">
        <f t="shared" si="28"/>
        <v>-1.4952186099349785E-2</v>
      </c>
      <c r="M163" s="676">
        <f t="shared" si="28"/>
        <v>-0.14933358108386585</v>
      </c>
      <c r="N163" s="676">
        <f t="shared" si="28"/>
        <v>-4.2261606010703723E-2</v>
      </c>
      <c r="O163" s="676">
        <f t="shared" si="28"/>
        <v>-2.5318378204890912E-2</v>
      </c>
      <c r="P163" s="676">
        <f t="shared" si="28"/>
        <v>-6.1869537142271724E-3</v>
      </c>
      <c r="Q163" s="658">
        <f>SUM(E163:P163)</f>
        <v>0.27130258378730554</v>
      </c>
    </row>
    <row r="164" spans="2:18" x14ac:dyDescent="0.35">
      <c r="B164" s="758">
        <v>4</v>
      </c>
      <c r="C164" s="22" t="s">
        <v>312</v>
      </c>
      <c r="D164" s="59"/>
      <c r="E164" s="677">
        <f t="shared" ref="E164:Q164" si="29">SUM(E152:E163)</f>
        <v>2.7357731851697995</v>
      </c>
      <c r="F164" s="677">
        <f t="shared" si="29"/>
        <v>3.0223403152218995</v>
      </c>
      <c r="G164" s="677">
        <f t="shared" si="29"/>
        <v>2.9179063988403398</v>
      </c>
      <c r="H164" s="677">
        <f t="shared" si="29"/>
        <v>2.9248108722612649</v>
      </c>
      <c r="I164" s="677">
        <f t="shared" si="29"/>
        <v>3.4116088034717915</v>
      </c>
      <c r="J164" s="677">
        <f t="shared" si="29"/>
        <v>3.4229921422663359</v>
      </c>
      <c r="K164" s="677">
        <f t="shared" si="29"/>
        <v>3.7570737016689124</v>
      </c>
      <c r="L164" s="677">
        <f t="shared" si="29"/>
        <v>3.5852938139006505</v>
      </c>
      <c r="M164" s="677">
        <f t="shared" si="29"/>
        <v>3.7079394189161343</v>
      </c>
      <c r="N164" s="677">
        <f t="shared" si="29"/>
        <v>3.7522673939892961</v>
      </c>
      <c r="O164" s="677">
        <f t="shared" si="29"/>
        <v>3.5685082017951095</v>
      </c>
      <c r="P164" s="677">
        <f t="shared" si="29"/>
        <v>3.9782880462857735</v>
      </c>
      <c r="Q164" s="677">
        <f t="shared" si="29"/>
        <v>40.784802293787301</v>
      </c>
    </row>
    <row r="166" spans="2:18" x14ac:dyDescent="0.35">
      <c r="B166" s="49" t="s">
        <v>301</v>
      </c>
      <c r="C166" s="99"/>
      <c r="D166" s="179"/>
      <c r="E166" s="11"/>
      <c r="F166" s="12"/>
      <c r="G166" s="11"/>
      <c r="H166" s="11"/>
      <c r="I166" s="11"/>
    </row>
    <row r="167" spans="2:18" x14ac:dyDescent="0.35">
      <c r="B167" s="49"/>
      <c r="C167" s="99"/>
      <c r="D167" s="179"/>
      <c r="E167" s="11"/>
      <c r="F167" s="12"/>
      <c r="G167" s="11"/>
      <c r="H167" s="11"/>
      <c r="I167" s="11"/>
    </row>
    <row r="168" spans="2:18" ht="27.6" customHeight="1" x14ac:dyDescent="0.35">
      <c r="B168" s="360" t="s">
        <v>1</v>
      </c>
      <c r="C168" s="360" t="s">
        <v>111</v>
      </c>
      <c r="D168" s="357" t="s">
        <v>305</v>
      </c>
      <c r="E168" s="98" t="s">
        <v>172</v>
      </c>
      <c r="F168" s="98" t="s">
        <v>173</v>
      </c>
      <c r="G168" s="98" t="s">
        <v>174</v>
      </c>
      <c r="H168" s="98" t="s">
        <v>175</v>
      </c>
      <c r="I168" s="98" t="s">
        <v>176</v>
      </c>
      <c r="J168" s="98" t="s">
        <v>177</v>
      </c>
      <c r="K168" s="98" t="s">
        <v>178</v>
      </c>
      <c r="L168" s="98" t="s">
        <v>179</v>
      </c>
      <c r="M168" s="98" t="s">
        <v>180</v>
      </c>
      <c r="N168" s="98" t="s">
        <v>181</v>
      </c>
      <c r="O168" s="98" t="s">
        <v>182</v>
      </c>
      <c r="P168" s="98" t="s">
        <v>183</v>
      </c>
      <c r="Q168" s="98" t="s">
        <v>164</v>
      </c>
    </row>
    <row r="169" spans="2:18" x14ac:dyDescent="0.35">
      <c r="B169" s="757" t="s">
        <v>306</v>
      </c>
      <c r="C169" s="105" t="s">
        <v>307</v>
      </c>
      <c r="D169" s="200"/>
      <c r="E169" s="200"/>
      <c r="F169" s="200"/>
      <c r="G169" s="200"/>
      <c r="H169" s="200"/>
      <c r="I169" s="200"/>
      <c r="J169" s="200"/>
      <c r="K169" s="200"/>
      <c r="L169" s="200"/>
      <c r="M169" s="200"/>
      <c r="N169" s="200"/>
      <c r="O169" s="200"/>
      <c r="P169" s="200"/>
      <c r="Q169" s="200"/>
    </row>
    <row r="170" spans="2:18" x14ac:dyDescent="0.35">
      <c r="B170" s="74">
        <v>1</v>
      </c>
      <c r="C170" s="152" t="s">
        <v>308</v>
      </c>
      <c r="D170" s="759"/>
      <c r="E170" s="657">
        <f>+'F1'!C252</f>
        <v>4.0464342999999996</v>
      </c>
      <c r="F170" s="657">
        <f>+'F1'!D252</f>
        <v>4.9009941499999998</v>
      </c>
      <c r="G170" s="657">
        <f>+'F1'!E252</f>
        <v>6.4841167209999995</v>
      </c>
      <c r="H170" s="657">
        <f>+'F1'!F252</f>
        <v>6.8271647599999996</v>
      </c>
      <c r="I170" s="657">
        <f>+'F1'!G252</f>
        <v>6.5423859399999991</v>
      </c>
      <c r="J170" s="657">
        <f>+'F1'!H252</f>
        <v>6.8663822399999992</v>
      </c>
      <c r="K170" s="657">
        <f>+'F1'!I252</f>
        <v>7.44692796</v>
      </c>
      <c r="L170" s="657">
        <f>+'F1'!J252</f>
        <v>7.3746778999999991</v>
      </c>
      <c r="M170" s="657">
        <f>+'F1'!K252</f>
        <v>7.7338695710000005</v>
      </c>
      <c r="N170" s="657">
        <f>+'F1'!L252</f>
        <v>6.9117139410000004</v>
      </c>
      <c r="O170" s="657">
        <f>+'F1'!M252</f>
        <v>6.9040132400000003</v>
      </c>
      <c r="P170" s="657">
        <f>+'F1'!N252</f>
        <v>8.3231849400000009</v>
      </c>
      <c r="Q170" s="658">
        <f>SUM(E170:P170)</f>
        <v>80.361865662999989</v>
      </c>
      <c r="R170" s="662"/>
    </row>
    <row r="171" spans="2:18" x14ac:dyDescent="0.35">
      <c r="B171" s="74"/>
      <c r="C171" s="697" t="s">
        <v>1202</v>
      </c>
      <c r="D171" s="759"/>
      <c r="E171" s="657">
        <v>1.1566700000000001E-2</v>
      </c>
      <c r="F171" s="676">
        <v>2.50038E-2</v>
      </c>
      <c r="G171" s="676">
        <v>2.0235E-2</v>
      </c>
      <c r="H171" s="676">
        <v>5.8172299999999996E-3</v>
      </c>
      <c r="I171" s="676">
        <v>1.2233520000000001E-2</v>
      </c>
      <c r="J171" s="676">
        <v>1.084591E-2</v>
      </c>
      <c r="K171" s="676">
        <v>1.1921540000000001E-2</v>
      </c>
      <c r="L171" s="676">
        <v>1.1137319999999999E-2</v>
      </c>
      <c r="M171" s="676">
        <v>6.1681999999999996E-3</v>
      </c>
      <c r="N171" s="676">
        <v>3.3132600000000002E-3</v>
      </c>
      <c r="O171" s="676">
        <v>1.91595E-3</v>
      </c>
      <c r="P171" s="676">
        <v>3.9996900000000002E-3</v>
      </c>
      <c r="Q171" s="658">
        <f>SUM(E171:P171)</f>
        <v>0.12415811999999998</v>
      </c>
      <c r="R171" s="662"/>
    </row>
    <row r="172" spans="2:18" x14ac:dyDescent="0.35">
      <c r="B172" s="74"/>
      <c r="C172" s="690" t="s">
        <v>1196</v>
      </c>
      <c r="D172" s="759"/>
      <c r="E172" s="688">
        <f>+E173-E170+E171</f>
        <v>6.2055400000000718E-2</v>
      </c>
      <c r="F172" s="688">
        <f t="shared" ref="F172:P172" si="30">+F173-F170+F171</f>
        <v>2.8780650000000386E-2</v>
      </c>
      <c r="G172" s="688">
        <f t="shared" si="30"/>
        <v>2.2632790000005586E-3</v>
      </c>
      <c r="H172" s="688">
        <f t="shared" si="30"/>
        <v>-3.5695299999999389E-3</v>
      </c>
      <c r="I172" s="688">
        <f t="shared" si="30"/>
        <v>3.5068580000001126E-2</v>
      </c>
      <c r="J172" s="688">
        <f t="shared" si="30"/>
        <v>1.6644670000001124E-2</v>
      </c>
      <c r="K172" s="688">
        <f t="shared" si="30"/>
        <v>5.5802579999999595E-2</v>
      </c>
      <c r="L172" s="688">
        <f t="shared" si="30"/>
        <v>-3.0765799999987811E-3</v>
      </c>
      <c r="M172" s="688">
        <f t="shared" si="30"/>
        <v>3.9532628999999694E-2</v>
      </c>
      <c r="N172" s="688">
        <f t="shared" si="30"/>
        <v>3.1005318999999601E-2</v>
      </c>
      <c r="O172" s="688">
        <f t="shared" si="30"/>
        <v>3.4119709999999803E-2</v>
      </c>
      <c r="P172" s="688">
        <f t="shared" si="30"/>
        <v>5.2146749999999797E-2</v>
      </c>
      <c r="Q172" s="658">
        <f>SUM(E172:P172)</f>
        <v>0.35077345700000373</v>
      </c>
      <c r="R172" s="662">
        <f>+Q172/Q173</f>
        <v>4.3526500642195216E-3</v>
      </c>
    </row>
    <row r="173" spans="2:18" x14ac:dyDescent="0.35">
      <c r="B173" s="74"/>
      <c r="C173" s="690" t="s">
        <v>1197</v>
      </c>
      <c r="D173" s="759"/>
      <c r="E173" s="657">
        <f>4096923/10^6</f>
        <v>4.0969230000000003</v>
      </c>
      <c r="F173" s="700">
        <f>4904771/10^6</f>
        <v>4.9047710000000002</v>
      </c>
      <c r="G173" s="700">
        <v>6.466145</v>
      </c>
      <c r="H173" s="700">
        <v>6.8177779999999997</v>
      </c>
      <c r="I173" s="700">
        <v>6.5652210000000002</v>
      </c>
      <c r="J173" s="700">
        <v>6.8721810000000003</v>
      </c>
      <c r="K173" s="676">
        <v>7.4908089999999996</v>
      </c>
      <c r="L173" s="676">
        <v>7.3604640000000003</v>
      </c>
      <c r="M173" s="676">
        <v>7.7672340000000002</v>
      </c>
      <c r="N173" s="676">
        <v>6.939406</v>
      </c>
      <c r="O173" s="676">
        <v>6.9362170000000001</v>
      </c>
      <c r="P173" s="676">
        <v>8.3713320000000007</v>
      </c>
      <c r="Q173" s="658">
        <f>SUM(E173:P173)</f>
        <v>80.588481000000002</v>
      </c>
      <c r="R173" s="10">
        <f>+Q173*10^6</f>
        <v>80588481</v>
      </c>
    </row>
    <row r="174" spans="2:18" x14ac:dyDescent="0.35">
      <c r="B174" s="74"/>
      <c r="C174" s="690" t="s">
        <v>1198</v>
      </c>
      <c r="D174" s="759"/>
      <c r="E174" s="659">
        <v>3.4599999999999999E-2</v>
      </c>
      <c r="F174" s="743">
        <v>3.4099999999999998E-2</v>
      </c>
      <c r="G174" s="743">
        <v>3.4599999999999999E-2</v>
      </c>
      <c r="H174" s="743">
        <v>3.49E-2</v>
      </c>
      <c r="I174" s="743">
        <v>3.2199999999999999E-2</v>
      </c>
      <c r="J174" s="743">
        <v>3.1300000000000001E-2</v>
      </c>
      <c r="K174" s="744">
        <v>3.27E-2</v>
      </c>
      <c r="L174" s="744">
        <v>3.2599999999999997E-2</v>
      </c>
      <c r="M174" s="744">
        <v>2.9899999999999999E-2</v>
      </c>
      <c r="N174" s="744">
        <v>3.1E-2</v>
      </c>
      <c r="O174" s="744">
        <v>0.03</v>
      </c>
      <c r="P174" s="744">
        <v>3.3500000000000002E-2</v>
      </c>
      <c r="Q174" s="692">
        <f>(Q175-Q173)/Q175</f>
        <v>3.2488514186852974E-2</v>
      </c>
    </row>
    <row r="175" spans="2:18" x14ac:dyDescent="0.35">
      <c r="B175" s="74">
        <v>2</v>
      </c>
      <c r="C175" s="152" t="s">
        <v>309</v>
      </c>
      <c r="D175" s="759"/>
      <c r="E175" s="694">
        <f t="shared" ref="E175:P175" si="31">E173/(1-E174)</f>
        <v>4.2437569919204474</v>
      </c>
      <c r="F175" s="694">
        <f t="shared" si="31"/>
        <v>5.0779283569727722</v>
      </c>
      <c r="G175" s="694">
        <f t="shared" si="31"/>
        <v>6.6978920654650924</v>
      </c>
      <c r="H175" s="694">
        <f t="shared" si="31"/>
        <v>7.0643228680965704</v>
      </c>
      <c r="I175" s="694">
        <f t="shared" si="31"/>
        <v>6.7836546807191569</v>
      </c>
      <c r="J175" s="694">
        <f t="shared" si="31"/>
        <v>7.0942304118922266</v>
      </c>
      <c r="K175" s="694">
        <f t="shared" si="31"/>
        <v>7.7440390778455486</v>
      </c>
      <c r="L175" s="694">
        <f t="shared" si="31"/>
        <v>7.6085011370684308</v>
      </c>
      <c r="M175" s="694">
        <f t="shared" si="31"/>
        <v>8.006632305947841</v>
      </c>
      <c r="N175" s="694">
        <f t="shared" si="31"/>
        <v>7.1614097007223947</v>
      </c>
      <c r="O175" s="694">
        <f t="shared" si="31"/>
        <v>7.1507391752577325</v>
      </c>
      <c r="P175" s="694">
        <f t="shared" si="31"/>
        <v>8.6614919813761002</v>
      </c>
      <c r="Q175" s="658">
        <f>SUM(E175:P175)</f>
        <v>83.294598753284305</v>
      </c>
      <c r="R175" s="10">
        <f>+Q175*10^6</f>
        <v>83294598.753284305</v>
      </c>
    </row>
    <row r="176" spans="2:18" x14ac:dyDescent="0.35">
      <c r="B176" s="74"/>
      <c r="C176" s="152"/>
      <c r="D176" s="219"/>
      <c r="E176" s="177"/>
      <c r="F176" s="19"/>
      <c r="G176" s="19"/>
      <c r="H176" s="19"/>
      <c r="I176" s="19"/>
      <c r="J176" s="19"/>
      <c r="K176" s="19"/>
      <c r="L176" s="19"/>
      <c r="M176" s="19"/>
      <c r="N176" s="19"/>
      <c r="O176" s="19"/>
      <c r="P176" s="19"/>
      <c r="Q176" s="19"/>
    </row>
    <row r="177" spans="2:17" x14ac:dyDescent="0.35">
      <c r="B177" s="757" t="s">
        <v>310</v>
      </c>
      <c r="C177" s="63" t="s">
        <v>314</v>
      </c>
      <c r="D177" s="200"/>
      <c r="E177" s="177"/>
      <c r="F177" s="19"/>
      <c r="G177" s="19"/>
      <c r="H177" s="19"/>
      <c r="I177" s="19"/>
      <c r="J177" s="19"/>
      <c r="K177" s="19"/>
      <c r="L177" s="19"/>
      <c r="M177" s="19"/>
      <c r="N177" s="19"/>
      <c r="O177" s="19"/>
      <c r="P177" s="19"/>
      <c r="Q177" s="19"/>
    </row>
    <row r="178" spans="2:17" x14ac:dyDescent="0.35">
      <c r="B178" s="758">
        <v>1</v>
      </c>
      <c r="C178" s="63" t="s">
        <v>269</v>
      </c>
      <c r="D178" s="200"/>
      <c r="E178" s="177"/>
      <c r="F178" s="19"/>
      <c r="G178" s="19"/>
      <c r="H178" s="19"/>
      <c r="I178" s="19"/>
      <c r="J178" s="19"/>
      <c r="K178" s="19"/>
      <c r="L178" s="19"/>
      <c r="M178" s="19"/>
      <c r="N178" s="19"/>
      <c r="O178" s="19"/>
      <c r="P178" s="19"/>
      <c r="Q178" s="19"/>
    </row>
    <row r="179" spans="2:17" x14ac:dyDescent="0.35">
      <c r="B179" s="74">
        <v>1.1000000000000001</v>
      </c>
      <c r="C179" s="61" t="s">
        <v>235</v>
      </c>
      <c r="D179" s="219"/>
      <c r="E179" s="657"/>
      <c r="F179" s="676"/>
      <c r="G179" s="676"/>
      <c r="H179" s="676"/>
      <c r="I179" s="676"/>
      <c r="J179" s="676"/>
      <c r="K179" s="676"/>
      <c r="L179" s="676"/>
      <c r="M179" s="676"/>
      <c r="N179" s="676"/>
      <c r="O179" s="676"/>
      <c r="P179" s="676"/>
      <c r="Q179" s="658">
        <f t="shared" ref="Q179:Q189" si="32">SUM(E179:P179)</f>
        <v>0</v>
      </c>
    </row>
    <row r="180" spans="2:17" x14ac:dyDescent="0.35">
      <c r="B180" s="74">
        <v>1.2</v>
      </c>
      <c r="C180" s="61" t="s">
        <v>237</v>
      </c>
      <c r="D180" s="219"/>
      <c r="E180" s="177"/>
      <c r="F180" s="19"/>
      <c r="G180" s="19"/>
      <c r="H180" s="19"/>
      <c r="I180" s="19"/>
      <c r="J180" s="19"/>
      <c r="K180" s="19"/>
      <c r="L180" s="19"/>
      <c r="M180" s="19"/>
      <c r="N180" s="19"/>
      <c r="O180" s="19"/>
      <c r="P180" s="19"/>
      <c r="Q180" s="658">
        <f t="shared" si="32"/>
        <v>0</v>
      </c>
    </row>
    <row r="181" spans="2:17" x14ac:dyDescent="0.35">
      <c r="B181" s="74">
        <v>1.3</v>
      </c>
      <c r="C181" s="61" t="s">
        <v>270</v>
      </c>
      <c r="D181" s="219"/>
      <c r="E181" s="177"/>
      <c r="F181" s="19"/>
      <c r="G181" s="19"/>
      <c r="H181" s="19"/>
      <c r="I181" s="19"/>
      <c r="J181" s="19"/>
      <c r="K181" s="19"/>
      <c r="L181" s="19"/>
      <c r="M181" s="19"/>
      <c r="N181" s="19"/>
      <c r="O181" s="19"/>
      <c r="P181" s="19"/>
      <c r="Q181" s="658">
        <f t="shared" si="32"/>
        <v>0</v>
      </c>
    </row>
    <row r="182" spans="2:17" x14ac:dyDescent="0.35">
      <c r="B182" s="758">
        <v>2</v>
      </c>
      <c r="C182" s="63" t="s">
        <v>271</v>
      </c>
      <c r="D182" s="200"/>
      <c r="E182" s="177"/>
      <c r="F182" s="19"/>
      <c r="G182" s="19"/>
      <c r="H182" s="19"/>
      <c r="I182" s="19"/>
      <c r="J182" s="19"/>
      <c r="K182" s="19"/>
      <c r="L182" s="19"/>
      <c r="M182" s="19"/>
      <c r="N182" s="19"/>
      <c r="O182" s="19"/>
      <c r="P182" s="19"/>
      <c r="Q182" s="658">
        <f t="shared" si="32"/>
        <v>0</v>
      </c>
    </row>
    <row r="183" spans="2:17" x14ac:dyDescent="0.35">
      <c r="B183" s="74">
        <v>2.1</v>
      </c>
      <c r="C183" s="61" t="s">
        <v>235</v>
      </c>
      <c r="D183" s="219"/>
      <c r="E183" s="177"/>
      <c r="F183" s="19"/>
      <c r="G183" s="19"/>
      <c r="H183" s="19"/>
      <c r="I183" s="19"/>
      <c r="J183" s="19"/>
      <c r="K183" s="19"/>
      <c r="L183" s="19"/>
      <c r="M183" s="19"/>
      <c r="N183" s="19"/>
      <c r="O183" s="19"/>
      <c r="P183" s="19"/>
      <c r="Q183" s="658">
        <f t="shared" si="32"/>
        <v>0</v>
      </c>
    </row>
    <row r="184" spans="2:17" x14ac:dyDescent="0.35">
      <c r="B184" s="74">
        <v>2.2000000000000002</v>
      </c>
      <c r="C184" s="61" t="s">
        <v>237</v>
      </c>
      <c r="D184" s="219"/>
      <c r="E184" s="177"/>
      <c r="F184" s="19"/>
      <c r="G184" s="19"/>
      <c r="H184" s="19"/>
      <c r="I184" s="19"/>
      <c r="J184" s="19"/>
      <c r="K184" s="19"/>
      <c r="L184" s="19"/>
      <c r="M184" s="19"/>
      <c r="N184" s="19"/>
      <c r="O184" s="19"/>
      <c r="P184" s="19"/>
      <c r="Q184" s="658">
        <f t="shared" si="32"/>
        <v>0</v>
      </c>
    </row>
    <row r="185" spans="2:17" x14ac:dyDescent="0.35">
      <c r="B185" s="758">
        <v>3</v>
      </c>
      <c r="C185" s="63" t="s">
        <v>272</v>
      </c>
      <c r="D185" s="200"/>
      <c r="E185" s="177"/>
      <c r="F185" s="19"/>
      <c r="G185" s="19"/>
      <c r="H185" s="19"/>
      <c r="I185" s="19"/>
      <c r="J185" s="19"/>
      <c r="K185" s="19"/>
      <c r="L185" s="19"/>
      <c r="M185" s="19"/>
      <c r="N185" s="19"/>
      <c r="O185" s="19"/>
      <c r="P185" s="19"/>
      <c r="Q185" s="658">
        <f t="shared" si="32"/>
        <v>0</v>
      </c>
    </row>
    <row r="186" spans="2:17" x14ac:dyDescent="0.4">
      <c r="B186" s="74">
        <v>3.1</v>
      </c>
      <c r="C186" s="107" t="s">
        <v>1208</v>
      </c>
      <c r="D186" s="219"/>
      <c r="E186" s="657">
        <v>2.16</v>
      </c>
      <c r="F186" s="676">
        <v>1.6080000000000001</v>
      </c>
      <c r="G186" s="676">
        <v>1.1546449999999999</v>
      </c>
      <c r="H186" s="676">
        <v>0</v>
      </c>
      <c r="I186" s="676"/>
      <c r="J186" s="676"/>
      <c r="K186" s="676"/>
      <c r="L186" s="676"/>
      <c r="M186" s="676"/>
      <c r="N186" s="676">
        <v>0.63239999999999996</v>
      </c>
      <c r="O186" s="676">
        <v>0.62880000000000003</v>
      </c>
      <c r="P186" s="676">
        <v>0.74399999999999999</v>
      </c>
      <c r="Q186" s="658">
        <f t="shared" si="32"/>
        <v>6.9278449999999996</v>
      </c>
    </row>
    <row r="187" spans="2:17" ht="27.75" x14ac:dyDescent="0.35">
      <c r="B187" s="74">
        <v>3.2</v>
      </c>
      <c r="C187" s="61" t="s">
        <v>1230</v>
      </c>
      <c r="D187" s="219"/>
      <c r="E187" s="657">
        <v>1.5697840000000001</v>
      </c>
      <c r="F187" s="676">
        <v>1.673395</v>
      </c>
      <c r="G187" s="676">
        <v>1.403124</v>
      </c>
      <c r="H187" s="676">
        <v>0.76211700000000004</v>
      </c>
      <c r="I187" s="676">
        <v>1.437697</v>
      </c>
      <c r="J187" s="676">
        <v>1.6148149999999999</v>
      </c>
      <c r="K187" s="676">
        <v>1.442402</v>
      </c>
      <c r="L187" s="676">
        <v>1.5728580000000001</v>
      </c>
      <c r="M187" s="676">
        <v>1.7328479999999999</v>
      </c>
      <c r="N187" s="676">
        <v>1.610849</v>
      </c>
      <c r="O187" s="676">
        <v>1.432844</v>
      </c>
      <c r="P187" s="676">
        <v>1.6125910000000001</v>
      </c>
      <c r="Q187" s="658">
        <f t="shared" si="32"/>
        <v>17.865324000000001</v>
      </c>
    </row>
    <row r="188" spans="2:17" x14ac:dyDescent="0.35">
      <c r="B188" s="74">
        <v>3.3</v>
      </c>
      <c r="C188" s="10" t="s">
        <v>1232</v>
      </c>
      <c r="D188" s="219"/>
      <c r="E188" s="177"/>
      <c r="F188" s="19"/>
      <c r="G188" s="19"/>
      <c r="H188" s="19"/>
      <c r="I188" s="676">
        <v>5.2080000000000002</v>
      </c>
      <c r="J188" s="676">
        <v>4.9139999999999997</v>
      </c>
      <c r="K188" s="676">
        <v>5.0209999999999999</v>
      </c>
      <c r="L188" s="676">
        <v>4.319</v>
      </c>
      <c r="M188" s="676">
        <v>4.2</v>
      </c>
      <c r="N188" s="676">
        <v>4.6074000000000002</v>
      </c>
      <c r="O188" s="676">
        <v>2.3519999999999999</v>
      </c>
      <c r="P188" s="676">
        <v>5.2080000000000002</v>
      </c>
      <c r="Q188" s="658">
        <f t="shared" si="32"/>
        <v>35.8294</v>
      </c>
    </row>
    <row r="189" spans="2:17" x14ac:dyDescent="0.35">
      <c r="B189" s="74">
        <v>3.4</v>
      </c>
      <c r="C189" s="61" t="s">
        <v>1207</v>
      </c>
      <c r="D189" s="219"/>
      <c r="E189" s="657">
        <v>0.37320999999999999</v>
      </c>
      <c r="F189" s="676">
        <v>1.6451</v>
      </c>
      <c r="G189" s="676">
        <v>3.98895</v>
      </c>
      <c r="H189" s="676">
        <v>6.3391929999999999</v>
      </c>
      <c r="I189" s="676">
        <v>0.37958500000000001</v>
      </c>
      <c r="J189" s="676">
        <v>0.52044299999999999</v>
      </c>
      <c r="K189" s="676">
        <v>1.1369750000000001</v>
      </c>
      <c r="L189" s="676">
        <v>1.6031329999999999</v>
      </c>
      <c r="M189" s="676">
        <v>2.1325059999999998</v>
      </c>
      <c r="N189" s="676">
        <v>0.416105</v>
      </c>
      <c r="O189" s="676">
        <v>2.6797279999999999</v>
      </c>
      <c r="P189" s="676">
        <v>1.11931</v>
      </c>
      <c r="Q189" s="658">
        <f t="shared" si="32"/>
        <v>22.334238000000003</v>
      </c>
    </row>
    <row r="190" spans="2:17" x14ac:dyDescent="0.35">
      <c r="B190" s="74">
        <v>3.5</v>
      </c>
      <c r="C190" s="61" t="s">
        <v>1204</v>
      </c>
      <c r="D190" s="219"/>
      <c r="E190" s="676">
        <f>+E175-SUM(E178:E189)</f>
        <v>0.14076299192044672</v>
      </c>
      <c r="F190" s="676">
        <f t="shared" ref="F190:P190" si="33">+F175-SUM(F178:F189)</f>
        <v>0.15143335697277216</v>
      </c>
      <c r="G190" s="676">
        <f t="shared" si="33"/>
        <v>0.1511730654650929</v>
      </c>
      <c r="H190" s="676">
        <f t="shared" si="33"/>
        <v>-3.6987131903429393E-2</v>
      </c>
      <c r="I190" s="676">
        <f t="shared" si="33"/>
        <v>-0.24162731928084291</v>
      </c>
      <c r="J190" s="676">
        <f t="shared" si="33"/>
        <v>4.497241189222656E-2</v>
      </c>
      <c r="K190" s="676">
        <f t="shared" si="33"/>
        <v>0.14366207784554863</v>
      </c>
      <c r="L190" s="676">
        <f t="shared" si="33"/>
        <v>0.11351013706843105</v>
      </c>
      <c r="M190" s="676">
        <f t="shared" si="33"/>
        <v>-5.8721694052158213E-2</v>
      </c>
      <c r="N190" s="676">
        <f t="shared" si="33"/>
        <v>-0.10534429927760591</v>
      </c>
      <c r="O190" s="676">
        <f t="shared" si="33"/>
        <v>5.7367175257732939E-2</v>
      </c>
      <c r="P190" s="676">
        <f t="shared" si="33"/>
        <v>-2.2409018623900323E-2</v>
      </c>
      <c r="Q190" s="658">
        <f>SUM(E190:P190)</f>
        <v>0.33779175328431421</v>
      </c>
    </row>
    <row r="191" spans="2:17" x14ac:dyDescent="0.35">
      <c r="B191" s="758">
        <v>4</v>
      </c>
      <c r="C191" s="22" t="s">
        <v>312</v>
      </c>
      <c r="D191" s="59"/>
      <c r="E191" s="677">
        <f t="shared" ref="E191:Q191" si="34">SUM(E177:E190)</f>
        <v>4.2437569919204474</v>
      </c>
      <c r="F191" s="677">
        <f t="shared" si="34"/>
        <v>5.0779283569727722</v>
      </c>
      <c r="G191" s="677">
        <f t="shared" si="34"/>
        <v>6.6978920654650924</v>
      </c>
      <c r="H191" s="677">
        <f t="shared" si="34"/>
        <v>7.0643228680965704</v>
      </c>
      <c r="I191" s="677">
        <f t="shared" si="34"/>
        <v>6.7836546807191569</v>
      </c>
      <c r="J191" s="677">
        <f t="shared" si="34"/>
        <v>7.0942304118922266</v>
      </c>
      <c r="K191" s="677">
        <f t="shared" si="34"/>
        <v>7.7440390778455486</v>
      </c>
      <c r="L191" s="677">
        <f t="shared" si="34"/>
        <v>7.6085011370684308</v>
      </c>
      <c r="M191" s="677">
        <f t="shared" si="34"/>
        <v>8.006632305947841</v>
      </c>
      <c r="N191" s="677">
        <f t="shared" si="34"/>
        <v>7.1614097007223947</v>
      </c>
      <c r="O191" s="677">
        <f t="shared" si="34"/>
        <v>7.1507391752577325</v>
      </c>
      <c r="P191" s="677">
        <f t="shared" si="34"/>
        <v>8.6614919813761002</v>
      </c>
      <c r="Q191" s="677">
        <f t="shared" si="34"/>
        <v>83.294598753284305</v>
      </c>
    </row>
    <row r="192" spans="2:17" x14ac:dyDescent="0.35">
      <c r="B192" s="758">
        <v>5</v>
      </c>
      <c r="C192" s="22" t="s">
        <v>315</v>
      </c>
      <c r="D192" s="59"/>
      <c r="E192" s="177"/>
      <c r="F192" s="19"/>
      <c r="G192" s="19"/>
      <c r="H192" s="19"/>
      <c r="I192" s="19"/>
      <c r="J192" s="19"/>
      <c r="K192" s="19"/>
      <c r="L192" s="19"/>
      <c r="M192" s="19"/>
      <c r="N192" s="19"/>
      <c r="O192" s="19"/>
      <c r="P192" s="19"/>
      <c r="Q192" s="19"/>
    </row>
    <row r="194" spans="2:18" x14ac:dyDescent="0.35">
      <c r="B194" s="49" t="s">
        <v>189</v>
      </c>
      <c r="C194" s="99"/>
      <c r="D194" s="179"/>
      <c r="E194" s="11"/>
      <c r="F194" s="12"/>
      <c r="G194" s="11"/>
      <c r="H194" s="11"/>
      <c r="I194" s="11"/>
    </row>
    <row r="195" spans="2:18" x14ac:dyDescent="0.35">
      <c r="B195" s="49"/>
      <c r="C195" s="99"/>
      <c r="D195" s="179"/>
      <c r="E195" s="11"/>
      <c r="F195" s="12"/>
      <c r="G195" s="11"/>
      <c r="H195" s="11"/>
      <c r="I195" s="11"/>
    </row>
    <row r="196" spans="2:18" ht="27" x14ac:dyDescent="0.35">
      <c r="B196" s="756" t="s">
        <v>1</v>
      </c>
      <c r="C196" s="178" t="s">
        <v>111</v>
      </c>
      <c r="D196" s="98" t="s">
        <v>305</v>
      </c>
      <c r="E196" s="98" t="s">
        <v>172</v>
      </c>
      <c r="F196" s="98" t="s">
        <v>173</v>
      </c>
      <c r="G196" s="98" t="s">
        <v>174</v>
      </c>
      <c r="H196" s="98" t="s">
        <v>175</v>
      </c>
      <c r="I196" s="98" t="s">
        <v>176</v>
      </c>
      <c r="J196" s="98" t="s">
        <v>177</v>
      </c>
      <c r="K196" s="98" t="s">
        <v>178</v>
      </c>
      <c r="L196" s="98" t="s">
        <v>179</v>
      </c>
      <c r="M196" s="98" t="s">
        <v>180</v>
      </c>
      <c r="N196" s="98" t="s">
        <v>181</v>
      </c>
      <c r="O196" s="98" t="s">
        <v>182</v>
      </c>
      <c r="P196" s="98" t="s">
        <v>183</v>
      </c>
      <c r="Q196" s="98" t="s">
        <v>164</v>
      </c>
    </row>
    <row r="197" spans="2:18" x14ac:dyDescent="0.35">
      <c r="B197" s="757"/>
      <c r="C197" s="105"/>
      <c r="D197" s="200"/>
      <c r="E197" s="200"/>
      <c r="F197" s="200"/>
      <c r="G197" s="200"/>
      <c r="H197" s="200"/>
      <c r="I197" s="200"/>
      <c r="J197" s="200"/>
      <c r="K197" s="200"/>
      <c r="L197" s="200"/>
      <c r="M197" s="200"/>
      <c r="N197" s="200"/>
      <c r="O197" s="200"/>
      <c r="P197" s="200"/>
      <c r="Q197" s="200"/>
    </row>
    <row r="198" spans="2:18" x14ac:dyDescent="0.35">
      <c r="B198" s="757" t="s">
        <v>306</v>
      </c>
      <c r="C198" s="105" t="s">
        <v>307</v>
      </c>
      <c r="D198" s="200"/>
      <c r="R198" s="662"/>
    </row>
    <row r="199" spans="2:18" x14ac:dyDescent="0.35">
      <c r="B199" s="74">
        <v>1</v>
      </c>
      <c r="C199" s="152" t="s">
        <v>308</v>
      </c>
      <c r="D199" s="759"/>
      <c r="E199" s="673">
        <f>+'F1'!C284</f>
        <v>10.045882616094188</v>
      </c>
      <c r="F199" s="673">
        <f>+'F1'!D284</f>
        <v>10.519108972548585</v>
      </c>
      <c r="G199" s="673">
        <f>+'F1'!E284</f>
        <v>10.025652106965993</v>
      </c>
      <c r="H199" s="673">
        <f>+'F1'!F284</f>
        <v>11.827031792960364</v>
      </c>
      <c r="I199" s="673">
        <f>+'F1'!G284</f>
        <v>11.827062505760022</v>
      </c>
      <c r="J199" s="673">
        <f>+'F1'!H284</f>
        <v>11.4734475021106</v>
      </c>
      <c r="K199" s="673">
        <f>+'F1'!I284</f>
        <v>12.498105789929228</v>
      </c>
      <c r="L199" s="673">
        <f>+'F1'!J284</f>
        <v>12.066010658025526</v>
      </c>
      <c r="M199" s="673">
        <f>+'F1'!K284</f>
        <v>12.368087532926642</v>
      </c>
      <c r="N199" s="673">
        <f>+'F1'!L284</f>
        <v>12.928370651698707</v>
      </c>
      <c r="O199" s="673">
        <f>+'F1'!M284</f>
        <v>11.73762999597349</v>
      </c>
      <c r="P199" s="673">
        <f>+'F1'!N284</f>
        <v>13.116344875006657</v>
      </c>
      <c r="Q199" s="658">
        <f>SUM(E199:P199)</f>
        <v>140.43273500000001</v>
      </c>
    </row>
    <row r="200" spans="2:18" x14ac:dyDescent="0.35">
      <c r="B200" s="74"/>
      <c r="C200" s="697" t="s">
        <v>1202</v>
      </c>
      <c r="D200" s="759"/>
      <c r="E200" s="673">
        <f>+E171</f>
        <v>1.1566700000000001E-2</v>
      </c>
      <c r="F200" s="673">
        <f t="shared" ref="F200:P200" si="35">+F171</f>
        <v>2.50038E-2</v>
      </c>
      <c r="G200" s="673">
        <f t="shared" si="35"/>
        <v>2.0235E-2</v>
      </c>
      <c r="H200" s="673">
        <f t="shared" si="35"/>
        <v>5.8172299999999996E-3</v>
      </c>
      <c r="I200" s="673">
        <f t="shared" si="35"/>
        <v>1.2233520000000001E-2</v>
      </c>
      <c r="J200" s="673">
        <f t="shared" si="35"/>
        <v>1.084591E-2</v>
      </c>
      <c r="K200" s="673">
        <f t="shared" si="35"/>
        <v>1.1921540000000001E-2</v>
      </c>
      <c r="L200" s="673">
        <f t="shared" si="35"/>
        <v>1.1137319999999999E-2</v>
      </c>
      <c r="M200" s="673">
        <f t="shared" si="35"/>
        <v>6.1681999999999996E-3</v>
      </c>
      <c r="N200" s="673">
        <f t="shared" si="35"/>
        <v>3.3132600000000002E-3</v>
      </c>
      <c r="O200" s="673">
        <f t="shared" si="35"/>
        <v>1.91595E-3</v>
      </c>
      <c r="P200" s="673">
        <f t="shared" si="35"/>
        <v>3.9996900000000002E-3</v>
      </c>
      <c r="Q200" s="658">
        <f>SUM(E200:P200)</f>
        <v>0.12415811999999998</v>
      </c>
    </row>
    <row r="201" spans="2:18" x14ac:dyDescent="0.35">
      <c r="B201" s="74"/>
      <c r="C201" s="690" t="s">
        <v>1196</v>
      </c>
      <c r="D201" s="759"/>
      <c r="E201" s="688">
        <f>+E202-E199+E200</f>
        <v>4.3866802657993434E-2</v>
      </c>
      <c r="F201" s="688">
        <f t="shared" ref="F201:P201" si="36">+F202-F199+F200</f>
        <v>4.587685344230117E-2</v>
      </c>
      <c r="G201" s="688">
        <f t="shared" si="36"/>
        <v>4.3740466356875007E-2</v>
      </c>
      <c r="H201" s="688">
        <f t="shared" si="36"/>
        <v>5.1678548966098352E-2</v>
      </c>
      <c r="I201" s="688">
        <f t="shared" si="36"/>
        <v>5.1650633275854729E-2</v>
      </c>
      <c r="J201" s="688">
        <f t="shared" si="36"/>
        <v>5.011080836928937E-2</v>
      </c>
      <c r="K201" s="688">
        <f t="shared" si="36"/>
        <v>5.4585582616994636E-2</v>
      </c>
      <c r="L201" s="688">
        <f t="shared" si="36"/>
        <v>5.2700029997869262E-2</v>
      </c>
      <c r="M201" s="688">
        <f t="shared" si="36"/>
        <v>5.4042336357155094E-2</v>
      </c>
      <c r="N201" s="688">
        <f t="shared" si="36"/>
        <v>5.6504194873461158E-2</v>
      </c>
      <c r="O201" s="688">
        <f t="shared" si="36"/>
        <v>5.1304768198460526E-2</v>
      </c>
      <c r="P201" s="688">
        <f t="shared" si="36"/>
        <v>5.7322956883547049E-2</v>
      </c>
      <c r="Q201" s="658">
        <f>SUM(E201:P201)</f>
        <v>0.61338398199589983</v>
      </c>
      <c r="R201" s="662">
        <f>+Q201/Q202</f>
        <v>4.352650064219467E-3</v>
      </c>
    </row>
    <row r="202" spans="2:18" x14ac:dyDescent="0.35">
      <c r="B202" s="74"/>
      <c r="C202" s="690" t="s">
        <v>1197</v>
      </c>
      <c r="D202" s="759"/>
      <c r="E202" s="657">
        <f>(+E199-E200)/(1-Assum!$L$40)</f>
        <v>10.078182718752181</v>
      </c>
      <c r="F202" s="657">
        <f>(+F199-F200)/(1-Assum!$L$40)</f>
        <v>10.539982025990886</v>
      </c>
      <c r="G202" s="657">
        <f>(+G199-G200)/(1-Assum!$L$40)</f>
        <v>10.049157573322868</v>
      </c>
      <c r="H202" s="657">
        <f>(+H199-H200)/(1-Assum!$L$40)</f>
        <v>11.872893111926462</v>
      </c>
      <c r="I202" s="657">
        <f>(+I199-I200)/(1-Assum!$L$40)</f>
        <v>11.866479619035877</v>
      </c>
      <c r="J202" s="657">
        <f>(+J199-J200)/(1-Assum!$L$40)</f>
        <v>11.51271240047989</v>
      </c>
      <c r="K202" s="657">
        <f>(+K199-K200)/(1-Assum!$L$40)</f>
        <v>12.540769832546223</v>
      </c>
      <c r="L202" s="657">
        <f>(+L199-L200)/(1-Assum!$L$40)</f>
        <v>12.107573368023395</v>
      </c>
      <c r="M202" s="657">
        <f>(+M199-M200)/(1-Assum!$L$40)</f>
        <v>12.415961669283798</v>
      </c>
      <c r="N202" s="657">
        <f>(+N199-N200)/(1-Assum!$L$40)</f>
        <v>12.981561586572168</v>
      </c>
      <c r="O202" s="657">
        <f>(+O199-O200)/(1-Assum!$L$40)</f>
        <v>11.787018814171951</v>
      </c>
      <c r="P202" s="657">
        <f>(+P199-P200)/(1-Assum!$L$40)</f>
        <v>13.169668141890204</v>
      </c>
      <c r="Q202" s="658">
        <f>SUM(E202:P202)</f>
        <v>140.92196086199593</v>
      </c>
    </row>
    <row r="203" spans="2:18" x14ac:dyDescent="0.35">
      <c r="B203" s="74"/>
      <c r="C203" s="690" t="s">
        <v>1198</v>
      </c>
      <c r="D203" s="759"/>
      <c r="E203" s="774">
        <f>+Assum!$L$42</f>
        <v>3.2800000000000003E-2</v>
      </c>
      <c r="F203" s="774">
        <f>+Assum!$L$42</f>
        <v>3.2800000000000003E-2</v>
      </c>
      <c r="G203" s="774">
        <f>+Assum!$L$42</f>
        <v>3.2800000000000003E-2</v>
      </c>
      <c r="H203" s="774">
        <f>+Assum!$L$42</f>
        <v>3.2800000000000003E-2</v>
      </c>
      <c r="I203" s="774">
        <f>+Assum!$L$42</f>
        <v>3.2800000000000003E-2</v>
      </c>
      <c r="J203" s="774">
        <f>+Assum!$L$42</f>
        <v>3.2800000000000003E-2</v>
      </c>
      <c r="K203" s="774">
        <f>+Assum!$L$42</f>
        <v>3.2800000000000003E-2</v>
      </c>
      <c r="L203" s="774">
        <f>+Assum!$L$42</f>
        <v>3.2800000000000003E-2</v>
      </c>
      <c r="M203" s="774">
        <f>+Assum!$L$42</f>
        <v>3.2800000000000003E-2</v>
      </c>
      <c r="N203" s="774">
        <f>+Assum!$L$42</f>
        <v>3.2800000000000003E-2</v>
      </c>
      <c r="O203" s="774">
        <f>+Assum!$L$42</f>
        <v>3.2800000000000003E-2</v>
      </c>
      <c r="P203" s="774">
        <f>+Assum!$L$42</f>
        <v>3.2800000000000003E-2</v>
      </c>
      <c r="Q203" s="692">
        <f>(Q204-Q202)/Q204</f>
        <v>3.2799999999999864E-2</v>
      </c>
    </row>
    <row r="204" spans="2:18" x14ac:dyDescent="0.35">
      <c r="B204" s="74">
        <v>2</v>
      </c>
      <c r="C204" s="152" t="s">
        <v>309</v>
      </c>
      <c r="D204" s="759"/>
      <c r="E204" s="694">
        <f t="shared" ref="E204:P204" si="37">E202/(1-E203)</f>
        <v>10.419957318809121</v>
      </c>
      <c r="F204" s="694">
        <f t="shared" si="37"/>
        <v>10.897417313886359</v>
      </c>
      <c r="G204" s="694">
        <f t="shared" si="37"/>
        <v>10.389947863237044</v>
      </c>
      <c r="H204" s="694">
        <f t="shared" si="37"/>
        <v>12.275530512744481</v>
      </c>
      <c r="I204" s="694">
        <f t="shared" si="37"/>
        <v>12.268899523403512</v>
      </c>
      <c r="J204" s="694">
        <f t="shared" si="37"/>
        <v>11.903135236228174</v>
      </c>
      <c r="K204" s="694">
        <f t="shared" si="37"/>
        <v>12.966056485262845</v>
      </c>
      <c r="L204" s="694">
        <f t="shared" si="37"/>
        <v>12.518169321777705</v>
      </c>
      <c r="M204" s="694">
        <f t="shared" si="37"/>
        <v>12.837015787100702</v>
      </c>
      <c r="N204" s="694">
        <f t="shared" si="37"/>
        <v>13.42179651217139</v>
      </c>
      <c r="O204" s="694">
        <f t="shared" si="37"/>
        <v>12.186744017961075</v>
      </c>
      <c r="P204" s="694">
        <f t="shared" si="37"/>
        <v>13.616282197984082</v>
      </c>
      <c r="Q204" s="658">
        <f>SUM(E204:P204)</f>
        <v>145.70095209056649</v>
      </c>
    </row>
    <row r="205" spans="2:18" x14ac:dyDescent="0.35">
      <c r="B205" s="74"/>
      <c r="C205" s="152"/>
      <c r="D205" s="219"/>
      <c r="E205" s="177"/>
      <c r="F205" s="19"/>
      <c r="G205" s="19"/>
      <c r="H205" s="19"/>
      <c r="I205" s="19"/>
      <c r="J205" s="19"/>
      <c r="K205" s="19"/>
      <c r="L205" s="19"/>
      <c r="M205" s="19"/>
      <c r="N205" s="19"/>
      <c r="O205" s="19"/>
      <c r="P205" s="19"/>
      <c r="Q205" s="19"/>
    </row>
    <row r="206" spans="2:18" x14ac:dyDescent="0.35">
      <c r="B206" s="757" t="s">
        <v>310</v>
      </c>
      <c r="C206" s="63" t="s">
        <v>316</v>
      </c>
      <c r="D206" s="200"/>
      <c r="E206" s="177"/>
      <c r="F206" s="19"/>
      <c r="G206" s="19"/>
      <c r="H206" s="19"/>
      <c r="I206" s="19"/>
      <c r="J206" s="19"/>
      <c r="K206" s="19"/>
      <c r="L206" s="19"/>
      <c r="M206" s="19"/>
      <c r="N206" s="19"/>
      <c r="O206" s="19"/>
      <c r="P206" s="19"/>
      <c r="Q206" s="19"/>
    </row>
    <row r="207" spans="2:18" x14ac:dyDescent="0.35">
      <c r="B207" s="758">
        <v>1</v>
      </c>
      <c r="C207" s="63" t="s">
        <v>269</v>
      </c>
      <c r="D207" s="200"/>
      <c r="E207" s="177"/>
      <c r="F207" s="19"/>
      <c r="G207" s="19"/>
      <c r="H207" s="19"/>
      <c r="I207" s="19"/>
      <c r="J207" s="19"/>
      <c r="K207" s="19"/>
      <c r="L207" s="19"/>
      <c r="M207" s="19"/>
      <c r="N207" s="19"/>
      <c r="O207" s="19"/>
      <c r="P207" s="19"/>
      <c r="Q207" s="19"/>
    </row>
    <row r="208" spans="2:18" x14ac:dyDescent="0.35">
      <c r="B208" s="74">
        <v>1.1000000000000001</v>
      </c>
      <c r="C208" s="61" t="s">
        <v>235</v>
      </c>
      <c r="D208" s="219"/>
      <c r="E208" s="688"/>
      <c r="F208" s="688"/>
      <c r="G208" s="688"/>
      <c r="H208" s="688"/>
      <c r="I208" s="688"/>
      <c r="J208" s="688"/>
      <c r="K208" s="688"/>
      <c r="L208" s="688"/>
      <c r="M208" s="688"/>
      <c r="N208" s="688"/>
      <c r="O208" s="688"/>
      <c r="P208" s="688"/>
      <c r="Q208" s="658">
        <f t="shared" ref="Q208:Q217" si="38">SUM(E208:P208)</f>
        <v>0</v>
      </c>
    </row>
    <row r="209" spans="2:17" x14ac:dyDescent="0.35">
      <c r="B209" s="74">
        <v>1.2</v>
      </c>
      <c r="C209" s="61" t="s">
        <v>237</v>
      </c>
      <c r="D209" s="219"/>
      <c r="E209" s="177"/>
      <c r="F209" s="19"/>
      <c r="G209" s="19"/>
      <c r="H209" s="19"/>
      <c r="I209" s="19"/>
      <c r="J209" s="19"/>
      <c r="K209" s="19"/>
      <c r="L209" s="19"/>
      <c r="M209" s="19"/>
      <c r="N209" s="19"/>
      <c r="O209" s="19"/>
      <c r="P209" s="19"/>
      <c r="Q209" s="658">
        <f t="shared" si="38"/>
        <v>0</v>
      </c>
    </row>
    <row r="210" spans="2:17" x14ac:dyDescent="0.35">
      <c r="B210" s="74">
        <v>1.3</v>
      </c>
      <c r="C210" s="61" t="s">
        <v>270</v>
      </c>
      <c r="D210" s="219"/>
      <c r="E210" s="177"/>
      <c r="F210" s="19"/>
      <c r="G210" s="19"/>
      <c r="H210" s="19"/>
      <c r="I210" s="19"/>
      <c r="J210" s="19"/>
      <c r="K210" s="19"/>
      <c r="L210" s="19"/>
      <c r="M210" s="19"/>
      <c r="N210" s="19"/>
      <c r="O210" s="19"/>
      <c r="P210" s="19"/>
      <c r="Q210" s="658">
        <f t="shared" si="38"/>
        <v>0</v>
      </c>
    </row>
    <row r="211" spans="2:17" x14ac:dyDescent="0.35">
      <c r="B211" s="758">
        <v>2</v>
      </c>
      <c r="C211" s="63" t="s">
        <v>271</v>
      </c>
      <c r="D211" s="200"/>
      <c r="E211" s="177"/>
      <c r="F211" s="19"/>
      <c r="G211" s="19"/>
      <c r="H211" s="19"/>
      <c r="I211" s="19"/>
      <c r="J211" s="19"/>
      <c r="K211" s="19"/>
      <c r="L211" s="19"/>
      <c r="M211" s="19"/>
      <c r="N211" s="19"/>
      <c r="O211" s="19"/>
      <c r="P211" s="19"/>
      <c r="Q211" s="658">
        <f t="shared" si="38"/>
        <v>0</v>
      </c>
    </row>
    <row r="212" spans="2:17" ht="27.75" x14ac:dyDescent="0.35">
      <c r="B212" s="74">
        <v>2.1</v>
      </c>
      <c r="C212" s="61" t="s">
        <v>1230</v>
      </c>
      <c r="D212" s="219">
        <f>+Assum!L78</f>
        <v>5.25</v>
      </c>
      <c r="E212" s="688">
        <f>+E489</f>
        <v>1.5697840000000001</v>
      </c>
      <c r="F212" s="688">
        <f t="shared" ref="F212:P212" si="39">+F489</f>
        <v>1.6733949999999997</v>
      </c>
      <c r="G212" s="688">
        <f t="shared" si="39"/>
        <v>1.403124</v>
      </c>
      <c r="H212" s="688">
        <f t="shared" si="39"/>
        <v>0.76211700000000004</v>
      </c>
      <c r="I212" s="688">
        <f t="shared" si="39"/>
        <v>1.437697</v>
      </c>
      <c r="J212" s="688">
        <f t="shared" si="39"/>
        <v>1.6148149999999997</v>
      </c>
      <c r="K212" s="688">
        <f t="shared" si="39"/>
        <v>1.442402</v>
      </c>
      <c r="L212" s="688">
        <f t="shared" si="39"/>
        <v>1.5728580000000001</v>
      </c>
      <c r="M212" s="688">
        <f t="shared" si="39"/>
        <v>1.7328480000000002</v>
      </c>
      <c r="N212" s="688">
        <f t="shared" si="39"/>
        <v>1.610849</v>
      </c>
      <c r="O212" s="688">
        <f t="shared" si="39"/>
        <v>1.432844</v>
      </c>
      <c r="P212" s="688">
        <f t="shared" si="39"/>
        <v>1.6125910000000001</v>
      </c>
      <c r="Q212" s="658">
        <f t="shared" si="38"/>
        <v>17.865324000000001</v>
      </c>
    </row>
    <row r="213" spans="2:17" x14ac:dyDescent="0.35">
      <c r="B213" s="74">
        <v>2.2000000000000002</v>
      </c>
      <c r="C213" s="61" t="s">
        <v>237</v>
      </c>
      <c r="D213" s="219"/>
      <c r="E213" s="688"/>
      <c r="F213" s="1263"/>
      <c r="G213" s="1263"/>
      <c r="H213" s="1263"/>
      <c r="I213" s="1263"/>
      <c r="J213" s="1263"/>
      <c r="K213" s="1263"/>
      <c r="L213" s="1263"/>
      <c r="M213" s="1263"/>
      <c r="N213" s="1263"/>
      <c r="O213" s="1263"/>
      <c r="P213" s="1263"/>
      <c r="Q213" s="658">
        <f t="shared" si="38"/>
        <v>0</v>
      </c>
    </row>
    <row r="214" spans="2:17" x14ac:dyDescent="0.35">
      <c r="B214" s="758">
        <v>3</v>
      </c>
      <c r="C214" s="63" t="s">
        <v>272</v>
      </c>
      <c r="D214" s="200"/>
      <c r="E214" s="688"/>
      <c r="F214" s="1263"/>
      <c r="G214" s="1263"/>
      <c r="H214" s="1263"/>
      <c r="I214" s="1263"/>
      <c r="J214" s="1263"/>
      <c r="K214" s="1263"/>
      <c r="L214" s="1263"/>
      <c r="M214" s="1263"/>
      <c r="N214" s="1263"/>
      <c r="O214" s="1263"/>
      <c r="P214" s="1263"/>
      <c r="Q214" s="658">
        <f t="shared" si="38"/>
        <v>0</v>
      </c>
    </row>
    <row r="215" spans="2:17" x14ac:dyDescent="0.4">
      <c r="B215" s="74">
        <v>3.1</v>
      </c>
      <c r="C215" s="722" t="s">
        <v>1208</v>
      </c>
      <c r="D215" s="219">
        <f>+Assum!L77</f>
        <v>5.65</v>
      </c>
      <c r="E215" s="688">
        <f>+E492</f>
        <v>1.224</v>
      </c>
      <c r="F215" s="688">
        <f t="shared" ref="F215:P215" si="40">+F492</f>
        <v>1.2647999999999999</v>
      </c>
      <c r="G215" s="688">
        <f t="shared" si="40"/>
        <v>1.224</v>
      </c>
      <c r="H215" s="688">
        <f t="shared" si="40"/>
        <v>1.2647999999999999</v>
      </c>
      <c r="I215" s="688">
        <f t="shared" si="40"/>
        <v>1.2647999999999999</v>
      </c>
      <c r="J215" s="688">
        <f t="shared" si="40"/>
        <v>1.224</v>
      </c>
      <c r="K215" s="688">
        <f t="shared" si="40"/>
        <v>1.2647999999999999</v>
      </c>
      <c r="L215" s="688">
        <f t="shared" si="40"/>
        <v>0</v>
      </c>
      <c r="M215" s="688">
        <f t="shared" si="40"/>
        <v>0</v>
      </c>
      <c r="N215" s="688">
        <f t="shared" si="40"/>
        <v>0</v>
      </c>
      <c r="O215" s="688">
        <f t="shared" si="40"/>
        <v>0</v>
      </c>
      <c r="P215" s="688">
        <f t="shared" si="40"/>
        <v>0</v>
      </c>
      <c r="Q215" s="658">
        <f t="shared" si="38"/>
        <v>8.7311999999999994</v>
      </c>
    </row>
    <row r="216" spans="2:17" x14ac:dyDescent="0.35">
      <c r="B216" s="74">
        <v>3.2</v>
      </c>
      <c r="C216" s="19" t="s">
        <v>1232</v>
      </c>
      <c r="D216" s="219">
        <f>+Assum!L75</f>
        <v>6.6</v>
      </c>
      <c r="E216" s="688">
        <f>+E493</f>
        <v>5.04</v>
      </c>
      <c r="F216" s="688">
        <f t="shared" ref="F216:P216" si="41">+F493</f>
        <v>5.2080000000000002</v>
      </c>
      <c r="G216" s="688">
        <f t="shared" si="41"/>
        <v>5.04</v>
      </c>
      <c r="H216" s="688">
        <f t="shared" si="41"/>
        <v>0</v>
      </c>
      <c r="I216" s="688">
        <f t="shared" si="41"/>
        <v>0</v>
      </c>
      <c r="J216" s="688">
        <f t="shared" si="41"/>
        <v>0</v>
      </c>
      <c r="K216" s="688">
        <f t="shared" si="41"/>
        <v>0</v>
      </c>
      <c r="L216" s="688">
        <f t="shared" si="41"/>
        <v>0</v>
      </c>
      <c r="M216" s="688">
        <f t="shared" si="41"/>
        <v>0</v>
      </c>
      <c r="N216" s="688">
        <f t="shared" si="41"/>
        <v>0</v>
      </c>
      <c r="O216" s="688">
        <f t="shared" si="41"/>
        <v>0</v>
      </c>
      <c r="P216" s="688">
        <f t="shared" si="41"/>
        <v>0</v>
      </c>
      <c r="Q216" s="658">
        <f t="shared" si="38"/>
        <v>15.288</v>
      </c>
    </row>
    <row r="217" spans="2:17" x14ac:dyDescent="0.35">
      <c r="B217" s="74">
        <v>3.3</v>
      </c>
      <c r="C217" s="19" t="s">
        <v>1575</v>
      </c>
      <c r="D217" s="219">
        <f>+Assum!L80</f>
        <v>5.35</v>
      </c>
      <c r="E217" s="688">
        <f>+E494+E495</f>
        <v>0</v>
      </c>
      <c r="F217" s="688">
        <f t="shared" ref="F217:P217" si="42">+F494+F495</f>
        <v>0</v>
      </c>
      <c r="G217" s="688">
        <f t="shared" si="42"/>
        <v>0</v>
      </c>
      <c r="H217" s="688">
        <f t="shared" si="42"/>
        <v>0</v>
      </c>
      <c r="I217" s="688">
        <f t="shared" si="42"/>
        <v>2.2320000000000002</v>
      </c>
      <c r="J217" s="688">
        <f t="shared" si="42"/>
        <v>2.16</v>
      </c>
      <c r="K217" s="688">
        <f t="shared" si="42"/>
        <v>2.2320000000000002</v>
      </c>
      <c r="L217" s="688">
        <f t="shared" si="42"/>
        <v>3.4560000000000004</v>
      </c>
      <c r="M217" s="688">
        <f t="shared" si="42"/>
        <v>3.5712000000000002</v>
      </c>
      <c r="N217" s="688">
        <f t="shared" si="42"/>
        <v>3.5712000000000002</v>
      </c>
      <c r="O217" s="688">
        <f t="shared" si="42"/>
        <v>3.2256</v>
      </c>
      <c r="P217" s="688">
        <f t="shared" si="42"/>
        <v>3.5712000000000002</v>
      </c>
      <c r="Q217" s="658">
        <f t="shared" si="38"/>
        <v>24.019200000000005</v>
      </c>
    </row>
    <row r="218" spans="2:17" x14ac:dyDescent="0.35">
      <c r="B218" s="74">
        <v>3.4</v>
      </c>
      <c r="C218" s="19" t="s">
        <v>1576</v>
      </c>
      <c r="D218" s="768">
        <f>+Assum!L81</f>
        <v>5.8</v>
      </c>
      <c r="E218" s="688">
        <f>+E496</f>
        <v>0</v>
      </c>
      <c r="F218" s="688">
        <f t="shared" ref="F218:P218" si="43">+F496</f>
        <v>0</v>
      </c>
      <c r="G218" s="688">
        <f t="shared" si="43"/>
        <v>0</v>
      </c>
      <c r="H218" s="688">
        <f t="shared" si="43"/>
        <v>0</v>
      </c>
      <c r="I218" s="688">
        <f t="shared" si="43"/>
        <v>0</v>
      </c>
      <c r="J218" s="688">
        <f t="shared" si="43"/>
        <v>4.5360000000000005</v>
      </c>
      <c r="K218" s="688">
        <f t="shared" si="43"/>
        <v>4.6872000000000007</v>
      </c>
      <c r="L218" s="688">
        <f t="shared" si="43"/>
        <v>4.5360000000000005</v>
      </c>
      <c r="M218" s="688">
        <f t="shared" si="43"/>
        <v>4.6872000000000007</v>
      </c>
      <c r="N218" s="688">
        <f t="shared" si="43"/>
        <v>4.6872000000000007</v>
      </c>
      <c r="O218" s="688">
        <f t="shared" si="43"/>
        <v>4.2336</v>
      </c>
      <c r="P218" s="688">
        <f t="shared" si="43"/>
        <v>4.6872000000000007</v>
      </c>
      <c r="Q218" s="658">
        <f>SUM(E218:P218)</f>
        <v>32.054400000000001</v>
      </c>
    </row>
    <row r="219" spans="2:17" x14ac:dyDescent="0.35">
      <c r="B219" s="74">
        <v>3.5</v>
      </c>
      <c r="C219" s="61" t="s">
        <v>1249</v>
      </c>
      <c r="D219" s="219">
        <f>+Assum!L82</f>
        <v>6</v>
      </c>
      <c r="E219" s="676">
        <f t="shared" ref="E219:P219" si="44">+E204-SUM(E207:E218)</f>
        <v>2.5861733188091218</v>
      </c>
      <c r="F219" s="676">
        <f t="shared" si="44"/>
        <v>2.7512223138863607</v>
      </c>
      <c r="G219" s="676">
        <f t="shared" si="44"/>
        <v>2.7228238632370436</v>
      </c>
      <c r="H219" s="676">
        <f t="shared" si="44"/>
        <v>10.24861351274448</v>
      </c>
      <c r="I219" s="676">
        <f t="shared" si="44"/>
        <v>7.3344025234035115</v>
      </c>
      <c r="J219" s="676">
        <f t="shared" si="44"/>
        <v>2.3683202362281737</v>
      </c>
      <c r="K219" s="676">
        <f t="shared" si="44"/>
        <v>3.3396544852628445</v>
      </c>
      <c r="L219" s="676">
        <f t="shared" si="44"/>
        <v>2.9533113217777043</v>
      </c>
      <c r="M219" s="676">
        <f t="shared" si="44"/>
        <v>2.8457677871007014</v>
      </c>
      <c r="N219" s="676">
        <f t="shared" si="44"/>
        <v>3.5525475121713903</v>
      </c>
      <c r="O219" s="676">
        <f t="shared" si="44"/>
        <v>3.294700017961075</v>
      </c>
      <c r="P219" s="676">
        <f t="shared" si="44"/>
        <v>3.7452911979840824</v>
      </c>
      <c r="Q219" s="658">
        <f>SUM(E219:P219)</f>
        <v>47.742828090566483</v>
      </c>
    </row>
    <row r="220" spans="2:17" x14ac:dyDescent="0.35">
      <c r="B220" s="758">
        <v>4</v>
      </c>
      <c r="C220" s="22" t="s">
        <v>312</v>
      </c>
      <c r="D220" s="59"/>
      <c r="E220" s="677">
        <f t="shared" ref="E220:Q220" si="45">SUM(E206:E219)</f>
        <v>10.419957318809121</v>
      </c>
      <c r="F220" s="677">
        <f t="shared" si="45"/>
        <v>10.897417313886359</v>
      </c>
      <c r="G220" s="677">
        <f t="shared" si="45"/>
        <v>10.389947863237044</v>
      </c>
      <c r="H220" s="677">
        <f t="shared" si="45"/>
        <v>12.275530512744481</v>
      </c>
      <c r="I220" s="677">
        <f t="shared" si="45"/>
        <v>12.268899523403512</v>
      </c>
      <c r="J220" s="677">
        <f t="shared" si="45"/>
        <v>11.903135236228174</v>
      </c>
      <c r="K220" s="677">
        <f t="shared" si="45"/>
        <v>12.966056485262845</v>
      </c>
      <c r="L220" s="677">
        <f t="shared" si="45"/>
        <v>12.518169321777705</v>
      </c>
      <c r="M220" s="677">
        <f t="shared" si="45"/>
        <v>12.837015787100702</v>
      </c>
      <c r="N220" s="677">
        <f t="shared" si="45"/>
        <v>13.42179651217139</v>
      </c>
      <c r="O220" s="677">
        <f t="shared" si="45"/>
        <v>12.186744017961075</v>
      </c>
      <c r="P220" s="677">
        <f t="shared" si="45"/>
        <v>13.616282197984082</v>
      </c>
      <c r="Q220" s="677">
        <f t="shared" si="45"/>
        <v>145.70095209056649</v>
      </c>
    </row>
    <row r="221" spans="2:17" x14ac:dyDescent="0.35">
      <c r="B221" s="758">
        <v>5</v>
      </c>
      <c r="C221" s="22" t="s">
        <v>315</v>
      </c>
      <c r="D221" s="59"/>
      <c r="E221" s="177"/>
      <c r="F221" s="19"/>
      <c r="G221" s="19"/>
      <c r="H221" s="19"/>
      <c r="I221" s="19"/>
      <c r="J221" s="19"/>
      <c r="K221" s="19"/>
      <c r="L221" s="19"/>
      <c r="M221" s="19"/>
      <c r="N221" s="19"/>
      <c r="O221" s="19"/>
      <c r="P221" s="19"/>
      <c r="Q221" s="19"/>
    </row>
    <row r="223" spans="2:17" x14ac:dyDescent="0.35">
      <c r="B223" s="49" t="s">
        <v>190</v>
      </c>
      <c r="C223" s="99"/>
      <c r="D223" s="179"/>
      <c r="E223" s="11"/>
      <c r="F223" s="12"/>
      <c r="G223" s="11"/>
      <c r="H223" s="11"/>
      <c r="I223" s="11"/>
    </row>
    <row r="224" spans="2:17" x14ac:dyDescent="0.35">
      <c r="B224" s="49"/>
      <c r="C224" s="99"/>
      <c r="D224" s="179"/>
      <c r="E224" s="11"/>
      <c r="F224" s="12"/>
      <c r="G224" s="11"/>
      <c r="H224" s="11"/>
      <c r="I224" s="11"/>
    </row>
    <row r="225" spans="2:18" ht="27" x14ac:dyDescent="0.35">
      <c r="B225" s="756" t="s">
        <v>1</v>
      </c>
      <c r="C225" s="178" t="s">
        <v>111</v>
      </c>
      <c r="D225" s="98" t="s">
        <v>305</v>
      </c>
      <c r="E225" s="98" t="s">
        <v>172</v>
      </c>
      <c r="F225" s="98" t="s">
        <v>173</v>
      </c>
      <c r="G225" s="98" t="s">
        <v>174</v>
      </c>
      <c r="H225" s="98" t="s">
        <v>175</v>
      </c>
      <c r="I225" s="98" t="s">
        <v>176</v>
      </c>
      <c r="J225" s="98" t="s">
        <v>177</v>
      </c>
      <c r="K225" s="98" t="s">
        <v>178</v>
      </c>
      <c r="L225" s="98" t="s">
        <v>179</v>
      </c>
      <c r="M225" s="98" t="s">
        <v>180</v>
      </c>
      <c r="N225" s="98" t="s">
        <v>181</v>
      </c>
      <c r="O225" s="98" t="s">
        <v>182</v>
      </c>
      <c r="P225" s="98" t="s">
        <v>183</v>
      </c>
      <c r="Q225" s="98" t="s">
        <v>164</v>
      </c>
    </row>
    <row r="226" spans="2:18" x14ac:dyDescent="0.35">
      <c r="B226" s="757"/>
      <c r="C226" s="105"/>
      <c r="D226" s="200"/>
      <c r="E226" s="200"/>
      <c r="F226" s="200"/>
      <c r="G226" s="200"/>
      <c r="H226" s="200"/>
      <c r="I226" s="200"/>
      <c r="J226" s="200"/>
      <c r="K226" s="200"/>
      <c r="L226" s="200"/>
      <c r="M226" s="200"/>
      <c r="N226" s="200"/>
      <c r="O226" s="200"/>
      <c r="P226" s="200"/>
      <c r="Q226" s="200"/>
    </row>
    <row r="227" spans="2:18" x14ac:dyDescent="0.35">
      <c r="B227" s="757" t="s">
        <v>306</v>
      </c>
      <c r="C227" s="105" t="s">
        <v>307</v>
      </c>
      <c r="D227" s="200"/>
      <c r="E227" s="200"/>
      <c r="F227" s="200"/>
      <c r="G227" s="200"/>
      <c r="H227" s="200"/>
      <c r="I227" s="200"/>
      <c r="J227" s="200"/>
      <c r="K227" s="200"/>
      <c r="L227" s="200"/>
      <c r="M227" s="200"/>
      <c r="N227" s="200"/>
      <c r="O227" s="200"/>
      <c r="P227" s="200"/>
      <c r="Q227" s="200"/>
    </row>
    <row r="228" spans="2:18" x14ac:dyDescent="0.35">
      <c r="B228" s="74">
        <v>1</v>
      </c>
      <c r="C228" s="152" t="s">
        <v>308</v>
      </c>
      <c r="D228" s="759"/>
      <c r="E228" s="657">
        <f>+'F1'!C312</f>
        <v>13.562451139313024</v>
      </c>
      <c r="F228" s="657">
        <f>+'F1'!D312</f>
        <v>14.180233367058296</v>
      </c>
      <c r="G228" s="657">
        <f>+'F1'!E312</f>
        <v>13.538414528359189</v>
      </c>
      <c r="H228" s="657">
        <f>+'F1'!F312</f>
        <v>14.455290951552435</v>
      </c>
      <c r="I228" s="657">
        <f>+'F1'!G312</f>
        <v>14.455567806912029</v>
      </c>
      <c r="J228" s="657">
        <f>+'F1'!H312</f>
        <v>14.02244100253272</v>
      </c>
      <c r="K228" s="657">
        <f>+'F1'!I312</f>
        <v>15.136629347915076</v>
      </c>
      <c r="L228" s="657">
        <f>+'F1'!J312</f>
        <v>14.613564789630635</v>
      </c>
      <c r="M228" s="657">
        <f>+'F1'!K312</f>
        <v>14.980847439511974</v>
      </c>
      <c r="N228" s="657">
        <f>+'F1'!L312</f>
        <v>15.613126382038445</v>
      </c>
      <c r="O228" s="657">
        <f>+'F1'!M312</f>
        <v>14.172976795168186</v>
      </c>
      <c r="P228" s="657">
        <f>+'F1'!N312</f>
        <v>15.836055450007981</v>
      </c>
      <c r="Q228" s="658">
        <f>SUM(E228:P228)</f>
        <v>174.56759899999997</v>
      </c>
    </row>
    <row r="229" spans="2:18" x14ac:dyDescent="0.35">
      <c r="B229" s="74"/>
      <c r="C229" s="697" t="s">
        <v>1202</v>
      </c>
      <c r="D229" s="759"/>
      <c r="E229" s="657">
        <f>+E200</f>
        <v>1.1566700000000001E-2</v>
      </c>
      <c r="F229" s="657">
        <f t="shared" ref="F229:P229" si="46">+F200</f>
        <v>2.50038E-2</v>
      </c>
      <c r="G229" s="657">
        <f t="shared" si="46"/>
        <v>2.0235E-2</v>
      </c>
      <c r="H229" s="657">
        <f t="shared" si="46"/>
        <v>5.8172299999999996E-3</v>
      </c>
      <c r="I229" s="657">
        <f t="shared" si="46"/>
        <v>1.2233520000000001E-2</v>
      </c>
      <c r="J229" s="657">
        <f t="shared" si="46"/>
        <v>1.084591E-2</v>
      </c>
      <c r="K229" s="657">
        <f t="shared" si="46"/>
        <v>1.1921540000000001E-2</v>
      </c>
      <c r="L229" s="657">
        <f t="shared" si="46"/>
        <v>1.1137319999999999E-2</v>
      </c>
      <c r="M229" s="657">
        <f t="shared" si="46"/>
        <v>6.1681999999999996E-3</v>
      </c>
      <c r="N229" s="657">
        <f t="shared" si="46"/>
        <v>3.3132600000000002E-3</v>
      </c>
      <c r="O229" s="657">
        <f t="shared" si="46"/>
        <v>1.91595E-3</v>
      </c>
      <c r="P229" s="657">
        <f t="shared" si="46"/>
        <v>3.9996900000000002E-3</v>
      </c>
      <c r="Q229" s="658">
        <f>SUM(E229:P229)</f>
        <v>0.12415811999999998</v>
      </c>
    </row>
    <row r="230" spans="2:18" x14ac:dyDescent="0.35">
      <c r="B230" s="74"/>
      <c r="C230" s="690" t="s">
        <v>1196</v>
      </c>
      <c r="D230" s="759"/>
      <c r="E230" s="688">
        <f>+E231-E228+E229</f>
        <v>5.9240109491389761E-2</v>
      </c>
      <c r="F230" s="688">
        <f t="shared" ref="F230:P230" si="47">+F231-F228+F229</f>
        <v>6.188211206314307E-2</v>
      </c>
      <c r="G230" s="688">
        <f t="shared" si="47"/>
        <v>5.9097134136939733E-2</v>
      </c>
      <c r="H230" s="688">
        <f t="shared" si="47"/>
        <v>6.3168452892592097E-2</v>
      </c>
      <c r="I230" s="688">
        <f t="shared" si="47"/>
        <v>6.3141613258474449E-2</v>
      </c>
      <c r="J230" s="688">
        <f t="shared" si="47"/>
        <v>6.1254188326081302E-2</v>
      </c>
      <c r="K230" s="688">
        <f t="shared" si="47"/>
        <v>6.6120359197129219E-2</v>
      </c>
      <c r="L230" s="688">
        <f t="shared" si="47"/>
        <v>6.3837117497021811E-2</v>
      </c>
      <c r="M230" s="688">
        <f t="shared" si="47"/>
        <v>6.5464482537649957E-2</v>
      </c>
      <c r="N230" s="688">
        <f t="shared" si="47"/>
        <v>6.8241083645204439E-2</v>
      </c>
      <c r="O230" s="688">
        <f t="shared" si="47"/>
        <v>6.1951321320502406E-2</v>
      </c>
      <c r="P230" s="688">
        <f t="shared" si="47"/>
        <v>6.9212656996444522E-2</v>
      </c>
      <c r="Q230" s="658">
        <f>SUM(E230:P230)</f>
        <v>0.76261063136257279</v>
      </c>
      <c r="R230" s="662">
        <f>+Q230/Q231</f>
        <v>4.3526500642194739E-3</v>
      </c>
    </row>
    <row r="231" spans="2:18" x14ac:dyDescent="0.35">
      <c r="B231" s="74"/>
      <c r="C231" s="690" t="s">
        <v>1197</v>
      </c>
      <c r="D231" s="759"/>
      <c r="E231" s="657">
        <f>(+E228-E229)/(1-Assum!$M$40)</f>
        <v>13.610124548804414</v>
      </c>
      <c r="F231" s="657">
        <f>(+F228-F229)/(1-Assum!$M$40)</f>
        <v>14.217111679121439</v>
      </c>
      <c r="G231" s="657">
        <f>(+G228-G229)/(1-Assum!$M$40)</f>
        <v>13.577276662496129</v>
      </c>
      <c r="H231" s="657">
        <f>(+H228-H229)/(1-Assum!$M$40)</f>
        <v>14.512642174445027</v>
      </c>
      <c r="I231" s="657">
        <f>(+I228-I229)/(1-Assum!$M$40)</f>
        <v>14.506475900170503</v>
      </c>
      <c r="J231" s="657">
        <f>(+J228-J229)/(1-Assum!$M$40)</f>
        <v>14.072849280858801</v>
      </c>
      <c r="K231" s="657">
        <f>(+K228-K229)/(1-Assum!$M$40)</f>
        <v>15.190828167112205</v>
      </c>
      <c r="L231" s="657">
        <f>(+L228-L229)/(1-Assum!$M$40)</f>
        <v>14.666264587127657</v>
      </c>
      <c r="M231" s="657">
        <f>(+M228-M229)/(1-Assum!$M$40)</f>
        <v>15.040143722049624</v>
      </c>
      <c r="N231" s="657">
        <f>(+N228-N229)/(1-Assum!$M$40)</f>
        <v>15.678054205683649</v>
      </c>
      <c r="O231" s="657">
        <f>(+O228-O229)/(1-Assum!$M$40)</f>
        <v>14.233012166488688</v>
      </c>
      <c r="P231" s="657">
        <f>(+P228-P229)/(1-Assum!$M$40)</f>
        <v>15.901268417004426</v>
      </c>
      <c r="Q231" s="658">
        <f>SUM(E231:P231)</f>
        <v>175.20605151136257</v>
      </c>
    </row>
    <row r="232" spans="2:18" x14ac:dyDescent="0.35">
      <c r="B232" s="74"/>
      <c r="C232" s="690" t="s">
        <v>1198</v>
      </c>
      <c r="D232" s="759"/>
      <c r="E232" s="774">
        <f>+Assum!$M$42</f>
        <v>3.2599999999999997E-2</v>
      </c>
      <c r="F232" s="774">
        <f>+Assum!$M$42</f>
        <v>3.2599999999999997E-2</v>
      </c>
      <c r="G232" s="774">
        <f>+Assum!$M$42</f>
        <v>3.2599999999999997E-2</v>
      </c>
      <c r="H232" s="774">
        <f>+Assum!$M$42</f>
        <v>3.2599999999999997E-2</v>
      </c>
      <c r="I232" s="774">
        <f>+Assum!$M$42</f>
        <v>3.2599999999999997E-2</v>
      </c>
      <c r="J232" s="774">
        <f>+Assum!$M$42</f>
        <v>3.2599999999999997E-2</v>
      </c>
      <c r="K232" s="774">
        <f>+Assum!$M$42</f>
        <v>3.2599999999999997E-2</v>
      </c>
      <c r="L232" s="774">
        <f>+Assum!$M$42</f>
        <v>3.2599999999999997E-2</v>
      </c>
      <c r="M232" s="774">
        <f>+Assum!$M$42</f>
        <v>3.2599999999999997E-2</v>
      </c>
      <c r="N232" s="774">
        <f>+Assum!$M$42</f>
        <v>3.2599999999999997E-2</v>
      </c>
      <c r="O232" s="774">
        <f>+Assum!$M$42</f>
        <v>3.2599999999999997E-2</v>
      </c>
      <c r="P232" s="774">
        <f>+Assum!$M$42</f>
        <v>3.2599999999999997E-2</v>
      </c>
      <c r="Q232" s="692">
        <f>(Q233-Q231)/Q233</f>
        <v>3.25999999999999E-2</v>
      </c>
    </row>
    <row r="233" spans="2:18" x14ac:dyDescent="0.35">
      <c r="B233" s="74">
        <v>2</v>
      </c>
      <c r="C233" s="152" t="s">
        <v>309</v>
      </c>
      <c r="D233" s="759"/>
      <c r="E233" s="694">
        <f t="shared" ref="E233:P233" si="48">E231/(1-E232)</f>
        <v>14.068766331201585</v>
      </c>
      <c r="F233" s="694">
        <f t="shared" si="48"/>
        <v>14.696208061940705</v>
      </c>
      <c r="G233" s="694">
        <f t="shared" si="48"/>
        <v>14.034811517982353</v>
      </c>
      <c r="H233" s="694">
        <f t="shared" si="48"/>
        <v>15.001697513381256</v>
      </c>
      <c r="I233" s="694">
        <f t="shared" si="48"/>
        <v>14.995323444459896</v>
      </c>
      <c r="J233" s="694">
        <f t="shared" si="48"/>
        <v>14.54708422664751</v>
      </c>
      <c r="K233" s="694">
        <f t="shared" si="48"/>
        <v>15.702737406566264</v>
      </c>
      <c r="L233" s="694">
        <f t="shared" si="48"/>
        <v>15.160496782228298</v>
      </c>
      <c r="M233" s="694">
        <f t="shared" si="48"/>
        <v>15.546975110657042</v>
      </c>
      <c r="N233" s="694">
        <f t="shared" si="48"/>
        <v>16.206382267607658</v>
      </c>
      <c r="O233" s="694">
        <f t="shared" si="48"/>
        <v>14.712644373050122</v>
      </c>
      <c r="P233" s="694">
        <f t="shared" si="48"/>
        <v>16.437118479433973</v>
      </c>
      <c r="Q233" s="658">
        <f>SUM(E233:P233)</f>
        <v>181.11024551515666</v>
      </c>
    </row>
    <row r="234" spans="2:18" x14ac:dyDescent="0.35">
      <c r="B234" s="74"/>
      <c r="C234" s="152"/>
      <c r="D234" s="219"/>
      <c r="E234" s="177"/>
      <c r="F234" s="19"/>
      <c r="G234" s="19"/>
      <c r="H234" s="19"/>
      <c r="I234" s="19"/>
      <c r="J234" s="19"/>
      <c r="K234" s="19"/>
      <c r="L234" s="19"/>
      <c r="M234" s="19"/>
      <c r="N234" s="19"/>
      <c r="O234" s="19"/>
      <c r="P234" s="19"/>
      <c r="Q234" s="19"/>
    </row>
    <row r="235" spans="2:18" x14ac:dyDescent="0.35">
      <c r="B235" s="757" t="s">
        <v>310</v>
      </c>
      <c r="C235" s="63" t="s">
        <v>316</v>
      </c>
      <c r="D235" s="200"/>
      <c r="E235" s="177"/>
      <c r="F235" s="19"/>
      <c r="G235" s="19"/>
      <c r="H235" s="19"/>
      <c r="I235" s="19"/>
      <c r="J235" s="19"/>
      <c r="K235" s="19"/>
      <c r="L235" s="19"/>
      <c r="M235" s="19"/>
      <c r="N235" s="19"/>
      <c r="O235" s="19"/>
      <c r="P235" s="19"/>
      <c r="Q235" s="19"/>
    </row>
    <row r="236" spans="2:18" x14ac:dyDescent="0.35">
      <c r="B236" s="758">
        <v>1</v>
      </c>
      <c r="C236" s="63" t="s">
        <v>269</v>
      </c>
      <c r="D236" s="200"/>
      <c r="E236" s="177"/>
      <c r="F236" s="19"/>
      <c r="G236" s="19"/>
      <c r="H236" s="19"/>
      <c r="I236" s="19"/>
      <c r="J236" s="19"/>
      <c r="K236" s="19"/>
      <c r="L236" s="19"/>
      <c r="M236" s="19"/>
      <c r="N236" s="19"/>
      <c r="O236" s="19"/>
      <c r="P236" s="19"/>
      <c r="Q236" s="19"/>
    </row>
    <row r="237" spans="2:18" x14ac:dyDescent="0.35">
      <c r="B237" s="74">
        <v>1.1000000000000001</v>
      </c>
      <c r="C237" s="61" t="s">
        <v>235</v>
      </c>
      <c r="D237" s="219"/>
      <c r="E237" s="657">
        <f>+E208</f>
        <v>0</v>
      </c>
      <c r="F237" s="657">
        <f t="shared" ref="F237:P237" si="49">+F208</f>
        <v>0</v>
      </c>
      <c r="G237" s="657">
        <f t="shared" si="49"/>
        <v>0</v>
      </c>
      <c r="H237" s="657">
        <f t="shared" si="49"/>
        <v>0</v>
      </c>
      <c r="I237" s="657">
        <f t="shared" si="49"/>
        <v>0</v>
      </c>
      <c r="J237" s="657">
        <f t="shared" si="49"/>
        <v>0</v>
      </c>
      <c r="K237" s="657">
        <f t="shared" si="49"/>
        <v>0</v>
      </c>
      <c r="L237" s="657">
        <f t="shared" si="49"/>
        <v>0</v>
      </c>
      <c r="M237" s="657">
        <f t="shared" si="49"/>
        <v>0</v>
      </c>
      <c r="N237" s="657">
        <f t="shared" si="49"/>
        <v>0</v>
      </c>
      <c r="O237" s="657">
        <f t="shared" si="49"/>
        <v>0</v>
      </c>
      <c r="P237" s="657">
        <f t="shared" si="49"/>
        <v>0</v>
      </c>
      <c r="Q237" s="658">
        <f t="shared" ref="Q237:Q245" si="50">SUM(E237:P237)</f>
        <v>0</v>
      </c>
    </row>
    <row r="238" spans="2:18" x14ac:dyDescent="0.35">
      <c r="B238" s="74">
        <v>1.2</v>
      </c>
      <c r="C238" s="61" t="s">
        <v>237</v>
      </c>
      <c r="D238" s="219"/>
      <c r="E238" s="657"/>
      <c r="F238" s="676"/>
      <c r="G238" s="676"/>
      <c r="H238" s="676"/>
      <c r="I238" s="676"/>
      <c r="J238" s="676"/>
      <c r="K238" s="676"/>
      <c r="L238" s="676"/>
      <c r="M238" s="676"/>
      <c r="N238" s="676"/>
      <c r="O238" s="676"/>
      <c r="P238" s="676"/>
      <c r="Q238" s="658">
        <f t="shared" si="50"/>
        <v>0</v>
      </c>
    </row>
    <row r="239" spans="2:18" x14ac:dyDescent="0.35">
      <c r="B239" s="74">
        <v>1.3</v>
      </c>
      <c r="C239" s="61" t="s">
        <v>270</v>
      </c>
      <c r="D239" s="219"/>
      <c r="E239" s="657"/>
      <c r="F239" s="676"/>
      <c r="G239" s="676"/>
      <c r="H239" s="676"/>
      <c r="I239" s="676"/>
      <c r="J239" s="676"/>
      <c r="K239" s="676"/>
      <c r="L239" s="676"/>
      <c r="M239" s="676"/>
      <c r="N239" s="676"/>
      <c r="O239" s="676"/>
      <c r="P239" s="676"/>
      <c r="Q239" s="658">
        <f t="shared" si="50"/>
        <v>0</v>
      </c>
    </row>
    <row r="240" spans="2:18" x14ac:dyDescent="0.35">
      <c r="B240" s="758">
        <v>2</v>
      </c>
      <c r="C240" s="63" t="s">
        <v>271</v>
      </c>
      <c r="D240" s="200"/>
      <c r="E240" s="657"/>
      <c r="F240" s="676"/>
      <c r="G240" s="676"/>
      <c r="H240" s="676"/>
      <c r="I240" s="676"/>
      <c r="J240" s="676"/>
      <c r="K240" s="676"/>
      <c r="L240" s="676"/>
      <c r="M240" s="676"/>
      <c r="N240" s="676"/>
      <c r="O240" s="676"/>
      <c r="P240" s="676"/>
      <c r="Q240" s="658">
        <f t="shared" si="50"/>
        <v>0</v>
      </c>
    </row>
    <row r="241" spans="2:17" ht="27.75" x14ac:dyDescent="0.35">
      <c r="B241" s="74">
        <v>2.1</v>
      </c>
      <c r="C241" s="61" t="s">
        <v>1230</v>
      </c>
      <c r="D241" s="219">
        <f>+Assum!M78</f>
        <v>5.25</v>
      </c>
      <c r="E241" s="657">
        <f>+E507</f>
        <v>1.5697840000000001</v>
      </c>
      <c r="F241" s="657">
        <f t="shared" ref="F241:P241" si="51">+F507</f>
        <v>1.6733949999999997</v>
      </c>
      <c r="G241" s="657">
        <f t="shared" si="51"/>
        <v>1.403124</v>
      </c>
      <c r="H241" s="657">
        <f t="shared" si="51"/>
        <v>0.76211700000000004</v>
      </c>
      <c r="I241" s="657">
        <f t="shared" si="51"/>
        <v>1.437697</v>
      </c>
      <c r="J241" s="657">
        <f t="shared" si="51"/>
        <v>1.6148149999999997</v>
      </c>
      <c r="K241" s="657">
        <f t="shared" si="51"/>
        <v>1.442402</v>
      </c>
      <c r="L241" s="657">
        <f t="shared" si="51"/>
        <v>1.5728580000000001</v>
      </c>
      <c r="M241" s="657">
        <f t="shared" si="51"/>
        <v>1.7328480000000002</v>
      </c>
      <c r="N241" s="657">
        <f t="shared" si="51"/>
        <v>1.610849</v>
      </c>
      <c r="O241" s="657">
        <f t="shared" si="51"/>
        <v>1.432844</v>
      </c>
      <c r="P241" s="657">
        <f t="shared" si="51"/>
        <v>1.6125910000000001</v>
      </c>
      <c r="Q241" s="658">
        <f t="shared" si="50"/>
        <v>17.865324000000001</v>
      </c>
    </row>
    <row r="242" spans="2:17" x14ac:dyDescent="0.35">
      <c r="B242" s="74">
        <v>2.2000000000000002</v>
      </c>
      <c r="C242" s="61" t="s">
        <v>237</v>
      </c>
      <c r="D242" s="219"/>
      <c r="E242" s="657"/>
      <c r="F242" s="676"/>
      <c r="G242" s="676"/>
      <c r="H242" s="676"/>
      <c r="I242" s="676"/>
      <c r="J242" s="676"/>
      <c r="K242" s="676"/>
      <c r="L242" s="676"/>
      <c r="M242" s="676"/>
      <c r="N242" s="676"/>
      <c r="O242" s="676"/>
      <c r="P242" s="676"/>
      <c r="Q242" s="658">
        <f t="shared" si="50"/>
        <v>0</v>
      </c>
    </row>
    <row r="243" spans="2:17" x14ac:dyDescent="0.35">
      <c r="B243" s="758">
        <v>3</v>
      </c>
      <c r="C243" s="63" t="s">
        <v>272</v>
      </c>
      <c r="D243" s="200"/>
      <c r="E243" s="657"/>
      <c r="F243" s="676"/>
      <c r="G243" s="676"/>
      <c r="H243" s="676"/>
      <c r="I243" s="676"/>
      <c r="J243" s="676"/>
      <c r="K243" s="676"/>
      <c r="L243" s="676"/>
      <c r="M243" s="676"/>
      <c r="N243" s="676"/>
      <c r="O243" s="676"/>
      <c r="P243" s="676"/>
      <c r="Q243" s="658">
        <f t="shared" si="50"/>
        <v>0</v>
      </c>
    </row>
    <row r="244" spans="2:17" x14ac:dyDescent="0.4">
      <c r="B244" s="74">
        <v>3.1</v>
      </c>
      <c r="C244" s="722" t="s">
        <v>1208</v>
      </c>
      <c r="D244" s="219"/>
      <c r="E244" s="657">
        <f>+E510</f>
        <v>0</v>
      </c>
      <c r="F244" s="657">
        <f t="shared" ref="F244:P244" si="52">+F510</f>
        <v>0</v>
      </c>
      <c r="G244" s="657">
        <f t="shared" si="52"/>
        <v>0</v>
      </c>
      <c r="H244" s="657">
        <f t="shared" si="52"/>
        <v>0</v>
      </c>
      <c r="I244" s="657">
        <f t="shared" si="52"/>
        <v>0</v>
      </c>
      <c r="J244" s="657">
        <f t="shared" si="52"/>
        <v>0</v>
      </c>
      <c r="K244" s="657">
        <f t="shared" si="52"/>
        <v>0</v>
      </c>
      <c r="L244" s="657">
        <f t="shared" si="52"/>
        <v>0</v>
      </c>
      <c r="M244" s="657">
        <f t="shared" si="52"/>
        <v>0</v>
      </c>
      <c r="N244" s="657">
        <f t="shared" si="52"/>
        <v>0</v>
      </c>
      <c r="O244" s="657">
        <f t="shared" si="52"/>
        <v>0</v>
      </c>
      <c r="P244" s="657">
        <f t="shared" si="52"/>
        <v>0</v>
      </c>
      <c r="Q244" s="658">
        <f t="shared" si="50"/>
        <v>0</v>
      </c>
    </row>
    <row r="245" spans="2:17" x14ac:dyDescent="0.35">
      <c r="B245" s="74">
        <v>3.2</v>
      </c>
      <c r="C245" s="19" t="s">
        <v>1232</v>
      </c>
      <c r="D245" s="219"/>
      <c r="E245" s="657">
        <f t="shared" ref="E245:P245" si="53">+E511</f>
        <v>0</v>
      </c>
      <c r="F245" s="657">
        <f t="shared" si="53"/>
        <v>0</v>
      </c>
      <c r="G245" s="657">
        <f t="shared" si="53"/>
        <v>0</v>
      </c>
      <c r="H245" s="657">
        <f t="shared" si="53"/>
        <v>0</v>
      </c>
      <c r="I245" s="657">
        <f t="shared" si="53"/>
        <v>0</v>
      </c>
      <c r="J245" s="657">
        <f t="shared" si="53"/>
        <v>0</v>
      </c>
      <c r="K245" s="657">
        <f t="shared" si="53"/>
        <v>0</v>
      </c>
      <c r="L245" s="657">
        <f t="shared" si="53"/>
        <v>0</v>
      </c>
      <c r="M245" s="657">
        <f t="shared" si="53"/>
        <v>0</v>
      </c>
      <c r="N245" s="657">
        <f t="shared" si="53"/>
        <v>0</v>
      </c>
      <c r="O245" s="657">
        <f t="shared" si="53"/>
        <v>0</v>
      </c>
      <c r="P245" s="657">
        <f t="shared" si="53"/>
        <v>0</v>
      </c>
      <c r="Q245" s="658">
        <f t="shared" si="50"/>
        <v>0</v>
      </c>
    </row>
    <row r="246" spans="2:17" x14ac:dyDescent="0.35">
      <c r="B246" s="74">
        <v>3.3</v>
      </c>
      <c r="C246" s="19" t="s">
        <v>1575</v>
      </c>
      <c r="D246" s="219">
        <f>+D217</f>
        <v>5.35</v>
      </c>
      <c r="E246" s="676">
        <f>+E512+E513</f>
        <v>3.24</v>
      </c>
      <c r="F246" s="676">
        <f t="shared" ref="F246:P246" si="54">+F512+F513</f>
        <v>3.3480000000000003</v>
      </c>
      <c r="G246" s="676">
        <f t="shared" si="54"/>
        <v>3.24</v>
      </c>
      <c r="H246" s="676">
        <f t="shared" si="54"/>
        <v>3.3480000000000003</v>
      </c>
      <c r="I246" s="676">
        <f t="shared" si="54"/>
        <v>1.3391999999999999</v>
      </c>
      <c r="J246" s="676">
        <f t="shared" si="54"/>
        <v>1.296</v>
      </c>
      <c r="K246" s="676">
        <f t="shared" si="54"/>
        <v>1.3391999999999999</v>
      </c>
      <c r="L246" s="676">
        <f t="shared" si="54"/>
        <v>0</v>
      </c>
      <c r="M246" s="676">
        <f t="shared" si="54"/>
        <v>0</v>
      </c>
      <c r="N246" s="676">
        <f t="shared" si="54"/>
        <v>0</v>
      </c>
      <c r="O246" s="676">
        <f t="shared" si="54"/>
        <v>0</v>
      </c>
      <c r="P246" s="676">
        <f t="shared" si="54"/>
        <v>0</v>
      </c>
      <c r="Q246" s="658">
        <f>SUM(E246:P246)</f>
        <v>17.150400000000001</v>
      </c>
    </row>
    <row r="247" spans="2:17" x14ac:dyDescent="0.35">
      <c r="B247" s="74">
        <v>3.4</v>
      </c>
      <c r="C247" s="19" t="s">
        <v>1576</v>
      </c>
      <c r="D247" s="219">
        <f>+D218</f>
        <v>5.8</v>
      </c>
      <c r="E247" s="657">
        <f>+E514</f>
        <v>4.2839999999999998</v>
      </c>
      <c r="F247" s="657">
        <f t="shared" ref="F247:P247" si="55">+F514</f>
        <v>4.4268000000000001</v>
      </c>
      <c r="G247" s="657">
        <f t="shared" si="55"/>
        <v>4.2839999999999998</v>
      </c>
      <c r="H247" s="657">
        <f t="shared" si="55"/>
        <v>4.4268000000000001</v>
      </c>
      <c r="I247" s="657">
        <f t="shared" si="55"/>
        <v>4.4268000000000001</v>
      </c>
      <c r="J247" s="657">
        <f t="shared" si="55"/>
        <v>0</v>
      </c>
      <c r="K247" s="657">
        <f t="shared" si="55"/>
        <v>0</v>
      </c>
      <c r="L247" s="657">
        <f t="shared" si="55"/>
        <v>0</v>
      </c>
      <c r="M247" s="657">
        <f t="shared" si="55"/>
        <v>0</v>
      </c>
      <c r="N247" s="657">
        <f t="shared" si="55"/>
        <v>0</v>
      </c>
      <c r="O247" s="657">
        <f t="shared" si="55"/>
        <v>0</v>
      </c>
      <c r="P247" s="657">
        <f t="shared" si="55"/>
        <v>0</v>
      </c>
      <c r="Q247" s="658">
        <f>SUM(E247:P247)</f>
        <v>21.848399999999998</v>
      </c>
    </row>
    <row r="248" spans="2:17" x14ac:dyDescent="0.35">
      <c r="B248" s="74">
        <v>3.5</v>
      </c>
      <c r="C248" s="61" t="s">
        <v>1600</v>
      </c>
      <c r="D248" s="776"/>
      <c r="E248" s="676">
        <f t="shared" ref="E248:P248" si="56">+E233-SUM(E236:E247)</f>
        <v>4.9749823312015859</v>
      </c>
      <c r="F248" s="676">
        <f t="shared" si="56"/>
        <v>5.2480130619407053</v>
      </c>
      <c r="G248" s="676">
        <f t="shared" si="56"/>
        <v>5.1076875179823542</v>
      </c>
      <c r="H248" s="676">
        <f t="shared" si="56"/>
        <v>6.464780513381255</v>
      </c>
      <c r="I248" s="676">
        <f t="shared" si="56"/>
        <v>7.7916264444598955</v>
      </c>
      <c r="J248" s="676">
        <f t="shared" si="56"/>
        <v>11.63626922664751</v>
      </c>
      <c r="K248" s="676">
        <f t="shared" si="56"/>
        <v>12.921135406566265</v>
      </c>
      <c r="L248" s="676">
        <f t="shared" si="56"/>
        <v>13.587638782228298</v>
      </c>
      <c r="M248" s="676">
        <f t="shared" si="56"/>
        <v>13.814127110657042</v>
      </c>
      <c r="N248" s="676">
        <f t="shared" si="56"/>
        <v>14.595533267607658</v>
      </c>
      <c r="O248" s="676">
        <f t="shared" si="56"/>
        <v>13.279800373050122</v>
      </c>
      <c r="P248" s="676">
        <f t="shared" si="56"/>
        <v>14.824527479433973</v>
      </c>
      <c r="Q248" s="658">
        <f>SUM(E248:P248)</f>
        <v>124.24612151515666</v>
      </c>
    </row>
    <row r="249" spans="2:17" x14ac:dyDescent="0.35">
      <c r="B249" s="758">
        <v>4</v>
      </c>
      <c r="C249" s="22" t="s">
        <v>312</v>
      </c>
      <c r="D249" s="59"/>
      <c r="E249" s="677">
        <f>SUM(E237:E248)</f>
        <v>14.068766331201585</v>
      </c>
      <c r="F249" s="677">
        <f t="shared" ref="F249:Q249" si="57">SUM(F237:F248)</f>
        <v>14.696208061940705</v>
      </c>
      <c r="G249" s="677">
        <f t="shared" si="57"/>
        <v>14.034811517982353</v>
      </c>
      <c r="H249" s="677">
        <f t="shared" si="57"/>
        <v>15.001697513381256</v>
      </c>
      <c r="I249" s="677">
        <f t="shared" si="57"/>
        <v>14.995323444459896</v>
      </c>
      <c r="J249" s="677">
        <f t="shared" si="57"/>
        <v>14.54708422664751</v>
      </c>
      <c r="K249" s="677">
        <f t="shared" si="57"/>
        <v>15.702737406566264</v>
      </c>
      <c r="L249" s="677">
        <f t="shared" si="57"/>
        <v>15.160496782228298</v>
      </c>
      <c r="M249" s="677">
        <f t="shared" si="57"/>
        <v>15.546975110657042</v>
      </c>
      <c r="N249" s="677">
        <f t="shared" si="57"/>
        <v>16.206382267607658</v>
      </c>
      <c r="O249" s="677">
        <f t="shared" si="57"/>
        <v>14.712644373050122</v>
      </c>
      <c r="P249" s="677">
        <f t="shared" si="57"/>
        <v>16.437118479433973</v>
      </c>
      <c r="Q249" s="677">
        <f t="shared" si="57"/>
        <v>181.11024551515666</v>
      </c>
    </row>
    <row r="250" spans="2:17" x14ac:dyDescent="0.35">
      <c r="B250" s="758">
        <v>5</v>
      </c>
      <c r="C250" s="22" t="s">
        <v>315</v>
      </c>
      <c r="D250" s="59"/>
      <c r="E250" s="177"/>
      <c r="F250" s="19"/>
      <c r="G250" s="19"/>
      <c r="H250" s="19"/>
      <c r="I250" s="19"/>
      <c r="J250" s="19"/>
      <c r="K250" s="19"/>
      <c r="L250" s="19"/>
      <c r="M250" s="19"/>
      <c r="N250" s="19"/>
      <c r="O250" s="19"/>
      <c r="P250" s="19"/>
      <c r="Q250" s="19"/>
    </row>
    <row r="252" spans="2:17" x14ac:dyDescent="0.35">
      <c r="B252" s="49" t="s">
        <v>191</v>
      </c>
      <c r="C252" s="99"/>
      <c r="D252" s="179"/>
      <c r="E252" s="11"/>
      <c r="F252" s="12"/>
      <c r="G252" s="11"/>
      <c r="H252" s="11"/>
      <c r="I252" s="11"/>
    </row>
    <row r="253" spans="2:17" x14ac:dyDescent="0.35">
      <c r="B253" s="49"/>
      <c r="C253" s="99"/>
      <c r="D253" s="179"/>
      <c r="E253" s="11"/>
      <c r="F253" s="12"/>
      <c r="G253" s="11"/>
      <c r="H253" s="11"/>
      <c r="I253" s="11"/>
    </row>
    <row r="254" spans="2:17" ht="27" x14ac:dyDescent="0.35">
      <c r="B254" s="756" t="s">
        <v>1</v>
      </c>
      <c r="C254" s="178" t="s">
        <v>111</v>
      </c>
      <c r="D254" s="98" t="s">
        <v>305</v>
      </c>
      <c r="E254" s="98" t="s">
        <v>172</v>
      </c>
      <c r="F254" s="98" t="s">
        <v>173</v>
      </c>
      <c r="G254" s="98" t="s">
        <v>174</v>
      </c>
      <c r="H254" s="98" t="s">
        <v>175</v>
      </c>
      <c r="I254" s="98" t="s">
        <v>176</v>
      </c>
      <c r="J254" s="98" t="s">
        <v>177</v>
      </c>
      <c r="K254" s="98" t="s">
        <v>178</v>
      </c>
      <c r="L254" s="98" t="s">
        <v>179</v>
      </c>
      <c r="M254" s="98" t="s">
        <v>180</v>
      </c>
      <c r="N254" s="98" t="s">
        <v>181</v>
      </c>
      <c r="O254" s="98" t="s">
        <v>182</v>
      </c>
      <c r="P254" s="98" t="s">
        <v>183</v>
      </c>
      <c r="Q254" s="98" t="s">
        <v>164</v>
      </c>
    </row>
    <row r="255" spans="2:17" x14ac:dyDescent="0.35">
      <c r="B255" s="757"/>
      <c r="C255" s="105"/>
      <c r="D255" s="200"/>
      <c r="E255" s="200"/>
      <c r="F255" s="200"/>
      <c r="G255" s="200"/>
      <c r="H255" s="200"/>
      <c r="I255" s="200"/>
      <c r="J255" s="200"/>
      <c r="K255" s="200"/>
      <c r="L255" s="200"/>
      <c r="M255" s="200"/>
      <c r="N255" s="200"/>
      <c r="O255" s="200"/>
      <c r="P255" s="200"/>
      <c r="Q255" s="200"/>
    </row>
    <row r="256" spans="2:17" x14ac:dyDescent="0.35">
      <c r="B256" s="757" t="s">
        <v>306</v>
      </c>
      <c r="C256" s="105" t="s">
        <v>307</v>
      </c>
      <c r="D256" s="200"/>
      <c r="E256" s="200"/>
      <c r="F256" s="200"/>
      <c r="G256" s="200"/>
      <c r="H256" s="200"/>
      <c r="I256" s="200"/>
      <c r="J256" s="200"/>
      <c r="K256" s="200"/>
      <c r="L256" s="200"/>
      <c r="M256" s="200"/>
      <c r="N256" s="200"/>
      <c r="O256" s="200"/>
      <c r="P256" s="200"/>
      <c r="Q256" s="200"/>
    </row>
    <row r="257" spans="2:18" x14ac:dyDescent="0.35">
      <c r="B257" s="74">
        <v>1</v>
      </c>
      <c r="C257" s="152" t="s">
        <v>308</v>
      </c>
      <c r="D257" s="759"/>
      <c r="E257" s="657">
        <f>+'F1'!C340</f>
        <v>16.035651139313025</v>
      </c>
      <c r="F257" s="657">
        <f>+'F1'!D340</f>
        <v>16.7358733670583</v>
      </c>
      <c r="G257" s="657">
        <f>+'F1'!E340</f>
        <v>16.011614528359189</v>
      </c>
      <c r="H257" s="657">
        <f>+'F1'!F340</f>
        <v>17.606130951552437</v>
      </c>
      <c r="I257" s="657">
        <f>+'F1'!G340</f>
        <v>17.606407806912028</v>
      </c>
      <c r="J257" s="657">
        <f>+'F1'!H340</f>
        <v>17.071641002532722</v>
      </c>
      <c r="K257" s="657">
        <f>+'F1'!I340</f>
        <v>18.882669347915076</v>
      </c>
      <c r="L257" s="657">
        <f>+'F1'!J340</f>
        <v>18.238764789630633</v>
      </c>
      <c r="M257" s="657">
        <f>+'F1'!K340</f>
        <v>18.72688743951197</v>
      </c>
      <c r="N257" s="657">
        <f>+'F1'!L340</f>
        <v>19.954366382038444</v>
      </c>
      <c r="O257" s="657">
        <f>+'F1'!M340</f>
        <v>18.094096795168184</v>
      </c>
      <c r="P257" s="657">
        <f>+'F1'!N340</f>
        <v>20.177295450007986</v>
      </c>
      <c r="Q257" s="658">
        <f>SUM(E257:P257)</f>
        <v>215.14139900000001</v>
      </c>
    </row>
    <row r="258" spans="2:18" x14ac:dyDescent="0.35">
      <c r="B258" s="74"/>
      <c r="C258" s="697" t="s">
        <v>1202</v>
      </c>
      <c r="D258" s="759"/>
      <c r="E258" s="657">
        <f>+E229</f>
        <v>1.1566700000000001E-2</v>
      </c>
      <c r="F258" s="657">
        <f t="shared" ref="F258:P258" si="58">+F229</f>
        <v>2.50038E-2</v>
      </c>
      <c r="G258" s="657">
        <f t="shared" si="58"/>
        <v>2.0235E-2</v>
      </c>
      <c r="H258" s="657">
        <f t="shared" si="58"/>
        <v>5.8172299999999996E-3</v>
      </c>
      <c r="I258" s="657">
        <f t="shared" si="58"/>
        <v>1.2233520000000001E-2</v>
      </c>
      <c r="J258" s="657">
        <f t="shared" si="58"/>
        <v>1.084591E-2</v>
      </c>
      <c r="K258" s="657">
        <f t="shared" si="58"/>
        <v>1.1921540000000001E-2</v>
      </c>
      <c r="L258" s="657">
        <f t="shared" si="58"/>
        <v>1.1137319999999999E-2</v>
      </c>
      <c r="M258" s="657">
        <f t="shared" si="58"/>
        <v>6.1681999999999996E-3</v>
      </c>
      <c r="N258" s="657">
        <f t="shared" si="58"/>
        <v>3.3132600000000002E-3</v>
      </c>
      <c r="O258" s="657">
        <f t="shared" si="58"/>
        <v>1.91595E-3</v>
      </c>
      <c r="P258" s="657">
        <f t="shared" si="58"/>
        <v>3.9996900000000002E-3</v>
      </c>
      <c r="Q258" s="658">
        <f>SUM(E258:P258)</f>
        <v>0.12415811999999998</v>
      </c>
    </row>
    <row r="259" spans="2:18" x14ac:dyDescent="0.35">
      <c r="B259" s="74"/>
      <c r="C259" s="690" t="s">
        <v>1196</v>
      </c>
      <c r="D259" s="759"/>
      <c r="E259" s="688">
        <f t="shared" ref="E259:P259" si="59">+E260-E257+E258</f>
        <v>7.005214463568217E-2</v>
      </c>
      <c r="F259" s="688">
        <f t="shared" si="59"/>
        <v>7.3054548378912537E-2</v>
      </c>
      <c r="G259" s="688">
        <f t="shared" si="59"/>
        <v>6.9909169281232142E-2</v>
      </c>
      <c r="H259" s="688">
        <f t="shared" si="59"/>
        <v>7.6942912222220383E-2</v>
      </c>
      <c r="I259" s="688">
        <f t="shared" si="59"/>
        <v>7.6916072588106288E-2</v>
      </c>
      <c r="J259" s="688">
        <f t="shared" si="59"/>
        <v>7.4584310257982164E-2</v>
      </c>
      <c r="K259" s="688">
        <f t="shared" si="59"/>
        <v>8.2496841540621646E-2</v>
      </c>
      <c r="L259" s="688">
        <f t="shared" si="59"/>
        <v>7.9685326216531127E-2</v>
      </c>
      <c r="M259" s="688">
        <f t="shared" si="59"/>
        <v>8.1840964881140607E-2</v>
      </c>
      <c r="N259" s="688">
        <f t="shared" si="59"/>
        <v>8.7219589002562783E-2</v>
      </c>
      <c r="O259" s="688">
        <f t="shared" si="59"/>
        <v>7.9093197127146131E-2</v>
      </c>
      <c r="P259" s="688">
        <f t="shared" si="59"/>
        <v>8.8191162353801089E-2</v>
      </c>
      <c r="Q259" s="658">
        <f>SUM(E259:P259)</f>
        <v>0.93998623848593899</v>
      </c>
      <c r="R259" s="662">
        <f>+Q259/Q260</f>
        <v>4.3526500642194817E-3</v>
      </c>
    </row>
    <row r="260" spans="2:18" x14ac:dyDescent="0.35">
      <c r="B260" s="74"/>
      <c r="C260" s="690" t="s">
        <v>1197</v>
      </c>
      <c r="D260" s="759"/>
      <c r="E260" s="657">
        <f>(+E257-E258)/(1-Assum!$N$40)</f>
        <v>16.094136583948707</v>
      </c>
      <c r="F260" s="657">
        <f>(+F257-F258)/(1-Assum!$N$40)</f>
        <v>16.783924115437213</v>
      </c>
      <c r="G260" s="657">
        <f>(+G257-G258)/(1-Assum!$N$40)</f>
        <v>16.061288697640421</v>
      </c>
      <c r="H260" s="657">
        <f>(+H257-H258)/(1-Assum!$N$40)</f>
        <v>17.677256633774658</v>
      </c>
      <c r="I260" s="657">
        <f>(+I257-I258)/(1-Assum!$N$40)</f>
        <v>17.671090359500134</v>
      </c>
      <c r="J260" s="657">
        <f>(+J257-J258)/(1-Assum!$N$40)</f>
        <v>17.135379402790704</v>
      </c>
      <c r="K260" s="657">
        <f>(+K257-K258)/(1-Assum!$N$40)</f>
        <v>18.953244649455698</v>
      </c>
      <c r="L260" s="657">
        <f>(+L257-L258)/(1-Assum!$N$40)</f>
        <v>18.307312795847164</v>
      </c>
      <c r="M260" s="657">
        <f>(+M257-M258)/(1-Assum!$N$40)</f>
        <v>18.80256020439311</v>
      </c>
      <c r="N260" s="657">
        <f>(+N257-N258)/(1-Assum!$N$40)</f>
        <v>20.038272711041007</v>
      </c>
      <c r="O260" s="657">
        <f>(+O257-O258)/(1-Assum!$N$40)</f>
        <v>18.17127404229533</v>
      </c>
      <c r="P260" s="657">
        <f>(+P257-P258)/(1-Assum!$N$40)</f>
        <v>20.261486922361787</v>
      </c>
      <c r="Q260" s="658">
        <f>SUM(E260:P260)</f>
        <v>215.95722711848592</v>
      </c>
    </row>
    <row r="261" spans="2:18" x14ac:dyDescent="0.35">
      <c r="B261" s="74"/>
      <c r="C261" s="690" t="s">
        <v>1198</v>
      </c>
      <c r="D261" s="759"/>
      <c r="E261" s="774">
        <f>+Assum!$N$42</f>
        <v>3.2399999999999998E-2</v>
      </c>
      <c r="F261" s="774">
        <f>+Assum!$N$42</f>
        <v>3.2399999999999998E-2</v>
      </c>
      <c r="G261" s="774">
        <f>+Assum!$N$42</f>
        <v>3.2399999999999998E-2</v>
      </c>
      <c r="H261" s="774">
        <f>+Assum!$N$42</f>
        <v>3.2399999999999998E-2</v>
      </c>
      <c r="I261" s="774">
        <f>+Assum!$N$42</f>
        <v>3.2399999999999998E-2</v>
      </c>
      <c r="J261" s="774">
        <f>+Assum!$N$42</f>
        <v>3.2399999999999998E-2</v>
      </c>
      <c r="K261" s="774">
        <f>+Assum!$N$42</f>
        <v>3.2399999999999998E-2</v>
      </c>
      <c r="L261" s="774">
        <f>+Assum!$N$42</f>
        <v>3.2399999999999998E-2</v>
      </c>
      <c r="M261" s="774">
        <f>+Assum!$N$42</f>
        <v>3.2399999999999998E-2</v>
      </c>
      <c r="N261" s="774">
        <f>+Assum!$N$42</f>
        <v>3.2399999999999998E-2</v>
      </c>
      <c r="O261" s="774">
        <f>+Assum!$N$42</f>
        <v>3.2399999999999998E-2</v>
      </c>
      <c r="P261" s="774">
        <f>+Assum!$N$42</f>
        <v>3.2399999999999998E-2</v>
      </c>
      <c r="Q261" s="692">
        <f>(Q262-Q260)/Q262</f>
        <v>3.2400000000000165E-2</v>
      </c>
    </row>
    <row r="262" spans="2:18" x14ac:dyDescent="0.35">
      <c r="B262" s="74">
        <v>2</v>
      </c>
      <c r="C262" s="152" t="s">
        <v>309</v>
      </c>
      <c r="D262" s="759"/>
      <c r="E262" s="694">
        <f t="shared" ref="E262:P262" si="60">E260/(1-E261)</f>
        <v>16.633047317020161</v>
      </c>
      <c r="F262" s="694">
        <f t="shared" si="60"/>
        <v>17.345932322692448</v>
      </c>
      <c r="G262" s="694">
        <f t="shared" si="60"/>
        <v>16.599099522158351</v>
      </c>
      <c r="H262" s="694">
        <f t="shared" si="60"/>
        <v>18.269178001007294</v>
      </c>
      <c r="I262" s="694">
        <f t="shared" si="60"/>
        <v>18.262805249586744</v>
      </c>
      <c r="J262" s="694">
        <f t="shared" si="60"/>
        <v>17.70915605910573</v>
      </c>
      <c r="K262" s="694">
        <f t="shared" si="60"/>
        <v>19.587892361983979</v>
      </c>
      <c r="L262" s="694">
        <f t="shared" si="60"/>
        <v>18.920331537667593</v>
      </c>
      <c r="M262" s="694">
        <f t="shared" si="60"/>
        <v>19.432162261671259</v>
      </c>
      <c r="N262" s="694">
        <f t="shared" si="60"/>
        <v>20.7092524917745</v>
      </c>
      <c r="O262" s="694">
        <f t="shared" si="60"/>
        <v>18.779737538544161</v>
      </c>
      <c r="P262" s="694">
        <f t="shared" si="60"/>
        <v>20.939941011122144</v>
      </c>
      <c r="Q262" s="658">
        <f>SUM(E262:P262)</f>
        <v>223.18853567433439</v>
      </c>
    </row>
    <row r="263" spans="2:18" x14ac:dyDescent="0.35">
      <c r="B263" s="74"/>
      <c r="C263" s="152"/>
      <c r="D263" s="219"/>
      <c r="E263" s="177"/>
      <c r="F263" s="19"/>
      <c r="G263" s="19"/>
      <c r="H263" s="19"/>
      <c r="I263" s="19"/>
      <c r="J263" s="19"/>
      <c r="K263" s="19"/>
      <c r="L263" s="19"/>
      <c r="M263" s="19"/>
      <c r="N263" s="19"/>
      <c r="O263" s="19"/>
      <c r="P263" s="19"/>
      <c r="Q263" s="19"/>
    </row>
    <row r="264" spans="2:18" x14ac:dyDescent="0.35">
      <c r="B264" s="757" t="s">
        <v>310</v>
      </c>
      <c r="C264" s="63" t="s">
        <v>316</v>
      </c>
      <c r="D264" s="200"/>
      <c r="E264" s="177"/>
      <c r="F264" s="19"/>
      <c r="G264" s="19"/>
      <c r="H264" s="19"/>
      <c r="I264" s="19"/>
      <c r="J264" s="19"/>
      <c r="K264" s="19"/>
      <c r="L264" s="19"/>
      <c r="M264" s="19"/>
      <c r="N264" s="19"/>
      <c r="O264" s="19"/>
      <c r="P264" s="19"/>
      <c r="Q264" s="19"/>
    </row>
    <row r="265" spans="2:18" x14ac:dyDescent="0.35">
      <c r="B265" s="758">
        <v>1</v>
      </c>
      <c r="C265" s="63" t="s">
        <v>269</v>
      </c>
      <c r="D265" s="200"/>
      <c r="E265" s="177"/>
      <c r="F265" s="19"/>
      <c r="G265" s="19"/>
      <c r="H265" s="19"/>
      <c r="I265" s="19"/>
      <c r="J265" s="19"/>
      <c r="K265" s="19"/>
      <c r="L265" s="19"/>
      <c r="M265" s="19"/>
      <c r="N265" s="19"/>
      <c r="O265" s="19"/>
      <c r="P265" s="19"/>
      <c r="Q265" s="19"/>
    </row>
    <row r="266" spans="2:18" x14ac:dyDescent="0.35">
      <c r="B266" s="74">
        <v>1.1000000000000001</v>
      </c>
      <c r="C266" s="61" t="s">
        <v>235</v>
      </c>
      <c r="D266" s="219"/>
      <c r="E266" s="688">
        <f>+E237</f>
        <v>0</v>
      </c>
      <c r="F266" s="688">
        <f t="shared" ref="F266:P266" si="61">+F237</f>
        <v>0</v>
      </c>
      <c r="G266" s="688">
        <f t="shared" si="61"/>
        <v>0</v>
      </c>
      <c r="H266" s="688">
        <f t="shared" si="61"/>
        <v>0</v>
      </c>
      <c r="I266" s="688">
        <f t="shared" si="61"/>
        <v>0</v>
      </c>
      <c r="J266" s="688">
        <f t="shared" si="61"/>
        <v>0</v>
      </c>
      <c r="K266" s="688">
        <f t="shared" si="61"/>
        <v>0</v>
      </c>
      <c r="L266" s="688">
        <f t="shared" si="61"/>
        <v>0</v>
      </c>
      <c r="M266" s="688">
        <f t="shared" si="61"/>
        <v>0</v>
      </c>
      <c r="N266" s="688">
        <f t="shared" si="61"/>
        <v>0</v>
      </c>
      <c r="O266" s="688">
        <f t="shared" si="61"/>
        <v>0</v>
      </c>
      <c r="P266" s="688">
        <f t="shared" si="61"/>
        <v>0</v>
      </c>
      <c r="Q266" s="658">
        <f t="shared" ref="Q266:Q274" si="62">SUM(E266:P266)</f>
        <v>0</v>
      </c>
    </row>
    <row r="267" spans="2:18" x14ac:dyDescent="0.35">
      <c r="B267" s="74">
        <v>1.2</v>
      </c>
      <c r="C267" s="61" t="s">
        <v>237</v>
      </c>
      <c r="D267" s="219"/>
      <c r="E267" s="177"/>
      <c r="F267" s="19"/>
      <c r="G267" s="19"/>
      <c r="H267" s="19"/>
      <c r="I267" s="19"/>
      <c r="J267" s="19"/>
      <c r="K267" s="19"/>
      <c r="L267" s="19"/>
      <c r="M267" s="19"/>
      <c r="N267" s="19"/>
      <c r="O267" s="19"/>
      <c r="P267" s="19"/>
      <c r="Q267" s="658">
        <f t="shared" si="62"/>
        <v>0</v>
      </c>
    </row>
    <row r="268" spans="2:18" x14ac:dyDescent="0.35">
      <c r="B268" s="74">
        <v>1.3</v>
      </c>
      <c r="C268" s="61" t="s">
        <v>270</v>
      </c>
      <c r="D268" s="219"/>
      <c r="E268" s="177"/>
      <c r="F268" s="19"/>
      <c r="G268" s="19"/>
      <c r="H268" s="19"/>
      <c r="I268" s="19"/>
      <c r="J268" s="19"/>
      <c r="K268" s="19"/>
      <c r="L268" s="19"/>
      <c r="M268" s="19"/>
      <c r="N268" s="19"/>
      <c r="O268" s="19"/>
      <c r="P268" s="19"/>
      <c r="Q268" s="658">
        <f t="shared" si="62"/>
        <v>0</v>
      </c>
    </row>
    <row r="269" spans="2:18" x14ac:dyDescent="0.35">
      <c r="B269" s="758">
        <v>2</v>
      </c>
      <c r="C269" s="63" t="s">
        <v>271</v>
      </c>
      <c r="D269" s="200"/>
      <c r="E269" s="177"/>
      <c r="F269" s="19"/>
      <c r="G269" s="19"/>
      <c r="H269" s="19"/>
      <c r="I269" s="19"/>
      <c r="J269" s="19"/>
      <c r="K269" s="19"/>
      <c r="L269" s="19"/>
      <c r="M269" s="19"/>
      <c r="N269" s="19"/>
      <c r="O269" s="19"/>
      <c r="P269" s="19"/>
      <c r="Q269" s="658">
        <f t="shared" si="62"/>
        <v>0</v>
      </c>
    </row>
    <row r="270" spans="2:18" ht="27.75" x14ac:dyDescent="0.35">
      <c r="B270" s="74">
        <v>2.1</v>
      </c>
      <c r="C270" s="61" t="s">
        <v>1230</v>
      </c>
      <c r="D270" s="219"/>
      <c r="E270" s="773">
        <f>+E525</f>
        <v>1.5697840000000001</v>
      </c>
      <c r="F270" s="773">
        <f t="shared" ref="F270:P270" si="63">+F525</f>
        <v>1.6733949999999997</v>
      </c>
      <c r="G270" s="773">
        <f t="shared" si="63"/>
        <v>1.403124</v>
      </c>
      <c r="H270" s="773">
        <f t="shared" si="63"/>
        <v>0.76211700000000004</v>
      </c>
      <c r="I270" s="773">
        <f t="shared" si="63"/>
        <v>1.437697</v>
      </c>
      <c r="J270" s="773">
        <f t="shared" si="63"/>
        <v>1.6148149999999997</v>
      </c>
      <c r="K270" s="773">
        <f t="shared" si="63"/>
        <v>1.442402</v>
      </c>
      <c r="L270" s="773">
        <f t="shared" si="63"/>
        <v>1.5728580000000001</v>
      </c>
      <c r="M270" s="773">
        <f t="shared" si="63"/>
        <v>1.7328480000000002</v>
      </c>
      <c r="N270" s="773">
        <f t="shared" si="63"/>
        <v>1.610849</v>
      </c>
      <c r="O270" s="773">
        <f t="shared" si="63"/>
        <v>1.432844</v>
      </c>
      <c r="P270" s="773">
        <f t="shared" si="63"/>
        <v>1.6125910000000001</v>
      </c>
      <c r="Q270" s="658">
        <f t="shared" si="62"/>
        <v>17.865324000000001</v>
      </c>
    </row>
    <row r="271" spans="2:18" x14ac:dyDescent="0.35">
      <c r="B271" s="74">
        <v>2.2000000000000002</v>
      </c>
      <c r="C271" s="61" t="s">
        <v>237</v>
      </c>
      <c r="D271" s="219"/>
      <c r="E271" s="177"/>
      <c r="F271" s="19"/>
      <c r="G271" s="19"/>
      <c r="H271" s="19"/>
      <c r="I271" s="19"/>
      <c r="J271" s="19"/>
      <c r="K271" s="19"/>
      <c r="L271" s="19"/>
      <c r="M271" s="19"/>
      <c r="N271" s="19"/>
      <c r="O271" s="19"/>
      <c r="P271" s="19"/>
      <c r="Q271" s="658">
        <f t="shared" si="62"/>
        <v>0</v>
      </c>
    </row>
    <row r="272" spans="2:18" x14ac:dyDescent="0.35">
      <c r="B272" s="758">
        <v>3</v>
      </c>
      <c r="C272" s="63" t="s">
        <v>272</v>
      </c>
      <c r="D272" s="200"/>
      <c r="E272" s="177"/>
      <c r="F272" s="19"/>
      <c r="G272" s="19"/>
      <c r="H272" s="19"/>
      <c r="I272" s="19"/>
      <c r="J272" s="19"/>
      <c r="K272" s="19"/>
      <c r="L272" s="19"/>
      <c r="M272" s="19"/>
      <c r="N272" s="19"/>
      <c r="O272" s="19"/>
      <c r="P272" s="19"/>
      <c r="Q272" s="658">
        <f t="shared" si="62"/>
        <v>0</v>
      </c>
    </row>
    <row r="273" spans="2:18" x14ac:dyDescent="0.35">
      <c r="B273" s="74">
        <v>3.1</v>
      </c>
      <c r="C273" s="61" t="s">
        <v>235</v>
      </c>
      <c r="D273" s="219"/>
      <c r="E273" s="177"/>
      <c r="F273" s="19"/>
      <c r="G273" s="19"/>
      <c r="H273" s="19"/>
      <c r="I273" s="19"/>
      <c r="J273" s="19"/>
      <c r="K273" s="19"/>
      <c r="L273" s="19"/>
      <c r="M273" s="19"/>
      <c r="N273" s="19"/>
      <c r="O273" s="19"/>
      <c r="P273" s="19"/>
      <c r="Q273" s="658">
        <f t="shared" si="62"/>
        <v>0</v>
      </c>
    </row>
    <row r="274" spans="2:18" x14ac:dyDescent="0.35">
      <c r="B274" s="74">
        <v>3.2</v>
      </c>
      <c r="C274" s="61" t="s">
        <v>237</v>
      </c>
      <c r="D274" s="219"/>
      <c r="E274" s="177"/>
      <c r="F274" s="19"/>
      <c r="G274" s="19"/>
      <c r="H274" s="19"/>
      <c r="I274" s="19"/>
      <c r="J274" s="19"/>
      <c r="K274" s="19"/>
      <c r="L274" s="19"/>
      <c r="M274" s="19"/>
      <c r="N274" s="19"/>
      <c r="O274" s="19"/>
      <c r="P274" s="19"/>
      <c r="Q274" s="658">
        <f t="shared" si="62"/>
        <v>0</v>
      </c>
    </row>
    <row r="275" spans="2:18" x14ac:dyDescent="0.35">
      <c r="B275" s="74">
        <v>3.3000000000000003</v>
      </c>
      <c r="C275" s="61" t="s">
        <v>1600</v>
      </c>
      <c r="D275" s="776">
        <f>+Assum!N82</f>
        <v>6.1</v>
      </c>
      <c r="E275" s="676">
        <f t="shared" ref="E275:P275" si="64">+E262-SUM(E264:E274)</f>
        <v>15.06326331702016</v>
      </c>
      <c r="F275" s="676">
        <f t="shared" si="64"/>
        <v>15.672537322692449</v>
      </c>
      <c r="G275" s="676">
        <f t="shared" si="64"/>
        <v>15.195975522158351</v>
      </c>
      <c r="H275" s="676">
        <f t="shared" si="64"/>
        <v>17.507061001007294</v>
      </c>
      <c r="I275" s="676">
        <f t="shared" si="64"/>
        <v>16.825108249586744</v>
      </c>
      <c r="J275" s="676">
        <f t="shared" si="64"/>
        <v>16.09434105910573</v>
      </c>
      <c r="K275" s="676">
        <f t="shared" si="64"/>
        <v>18.145490361983978</v>
      </c>
      <c r="L275" s="676">
        <f t="shared" si="64"/>
        <v>17.347473537667593</v>
      </c>
      <c r="M275" s="676">
        <f t="shared" si="64"/>
        <v>17.699314261671258</v>
      </c>
      <c r="N275" s="676">
        <f t="shared" si="64"/>
        <v>19.098403491774498</v>
      </c>
      <c r="O275" s="676">
        <f t="shared" si="64"/>
        <v>17.346893538544162</v>
      </c>
      <c r="P275" s="676">
        <f t="shared" si="64"/>
        <v>19.327350011122142</v>
      </c>
      <c r="Q275" s="658">
        <f>SUM(E275:P275)</f>
        <v>205.32321167433432</v>
      </c>
    </row>
    <row r="276" spans="2:18" x14ac:dyDescent="0.35">
      <c r="B276" s="758">
        <v>4</v>
      </c>
      <c r="C276" s="22" t="s">
        <v>312</v>
      </c>
      <c r="D276" s="59"/>
      <c r="E276" s="677">
        <f t="shared" ref="E276:Q276" si="65">SUM(E264:E275)</f>
        <v>16.633047317020161</v>
      </c>
      <c r="F276" s="677">
        <f t="shared" si="65"/>
        <v>17.345932322692448</v>
      </c>
      <c r="G276" s="677">
        <f t="shared" si="65"/>
        <v>16.599099522158351</v>
      </c>
      <c r="H276" s="677">
        <f t="shared" si="65"/>
        <v>18.269178001007294</v>
      </c>
      <c r="I276" s="677">
        <f t="shared" si="65"/>
        <v>18.262805249586744</v>
      </c>
      <c r="J276" s="677">
        <f t="shared" si="65"/>
        <v>17.70915605910573</v>
      </c>
      <c r="K276" s="677">
        <f t="shared" si="65"/>
        <v>19.587892361983979</v>
      </c>
      <c r="L276" s="677">
        <f t="shared" si="65"/>
        <v>18.920331537667593</v>
      </c>
      <c r="M276" s="677">
        <f t="shared" si="65"/>
        <v>19.432162261671259</v>
      </c>
      <c r="N276" s="677">
        <f t="shared" si="65"/>
        <v>20.7092524917745</v>
      </c>
      <c r="O276" s="677">
        <f t="shared" si="65"/>
        <v>18.779737538544161</v>
      </c>
      <c r="P276" s="677">
        <f t="shared" si="65"/>
        <v>20.939941011122144</v>
      </c>
      <c r="Q276" s="677">
        <f t="shared" si="65"/>
        <v>223.18853567433433</v>
      </c>
    </row>
    <row r="277" spans="2:18" x14ac:dyDescent="0.35">
      <c r="B277" s="758">
        <v>5</v>
      </c>
      <c r="C277" s="22" t="s">
        <v>315</v>
      </c>
      <c r="D277" s="59"/>
      <c r="E277" s="177"/>
      <c r="F277" s="19"/>
      <c r="G277" s="19"/>
      <c r="H277" s="19"/>
      <c r="I277" s="19"/>
      <c r="J277" s="19"/>
      <c r="K277" s="19"/>
      <c r="L277" s="19"/>
      <c r="M277" s="19"/>
      <c r="N277" s="19"/>
      <c r="O277" s="19"/>
      <c r="P277" s="19"/>
      <c r="Q277" s="19"/>
    </row>
    <row r="279" spans="2:18" x14ac:dyDescent="0.35">
      <c r="B279" s="49" t="s">
        <v>192</v>
      </c>
      <c r="C279" s="99"/>
      <c r="D279" s="179"/>
      <c r="E279" s="11"/>
      <c r="F279" s="12"/>
      <c r="G279" s="11"/>
      <c r="H279" s="11"/>
      <c r="I279" s="11"/>
    </row>
    <row r="280" spans="2:18" x14ac:dyDescent="0.35">
      <c r="B280" s="49"/>
      <c r="C280" s="99"/>
      <c r="D280" s="179"/>
      <c r="E280" s="11"/>
      <c r="F280" s="12"/>
      <c r="G280" s="11"/>
      <c r="H280" s="11"/>
      <c r="I280" s="11"/>
    </row>
    <row r="281" spans="2:18" ht="27" x14ac:dyDescent="0.35">
      <c r="B281" s="756" t="s">
        <v>1</v>
      </c>
      <c r="C281" s="178" t="s">
        <v>111</v>
      </c>
      <c r="D281" s="98" t="s">
        <v>305</v>
      </c>
      <c r="E281" s="98" t="s">
        <v>172</v>
      </c>
      <c r="F281" s="98" t="s">
        <v>173</v>
      </c>
      <c r="G281" s="98" t="s">
        <v>174</v>
      </c>
      <c r="H281" s="98" t="s">
        <v>175</v>
      </c>
      <c r="I281" s="98" t="s">
        <v>176</v>
      </c>
      <c r="J281" s="98" t="s">
        <v>177</v>
      </c>
      <c r="K281" s="98" t="s">
        <v>178</v>
      </c>
      <c r="L281" s="98" t="s">
        <v>179</v>
      </c>
      <c r="M281" s="98" t="s">
        <v>180</v>
      </c>
      <c r="N281" s="98" t="s">
        <v>181</v>
      </c>
      <c r="O281" s="98" t="s">
        <v>182</v>
      </c>
      <c r="P281" s="98" t="s">
        <v>183</v>
      </c>
      <c r="Q281" s="98" t="s">
        <v>164</v>
      </c>
    </row>
    <row r="282" spans="2:18" x14ac:dyDescent="0.35">
      <c r="B282" s="757"/>
      <c r="C282" s="105"/>
      <c r="D282" s="200"/>
      <c r="E282" s="200"/>
      <c r="F282" s="200"/>
      <c r="G282" s="200"/>
      <c r="H282" s="200"/>
      <c r="I282" s="200"/>
      <c r="J282" s="200"/>
      <c r="K282" s="200"/>
      <c r="L282" s="200"/>
      <c r="M282" s="200"/>
      <c r="N282" s="200"/>
      <c r="O282" s="200"/>
      <c r="P282" s="200"/>
      <c r="Q282" s="200"/>
    </row>
    <row r="283" spans="2:18" x14ac:dyDescent="0.35">
      <c r="B283" s="757" t="s">
        <v>306</v>
      </c>
      <c r="C283" s="105" t="s">
        <v>307</v>
      </c>
      <c r="D283" s="200"/>
      <c r="E283" s="200"/>
      <c r="F283" s="200"/>
      <c r="G283" s="200"/>
      <c r="H283" s="200"/>
      <c r="I283" s="200"/>
      <c r="J283" s="200"/>
      <c r="K283" s="200"/>
      <c r="L283" s="200"/>
      <c r="M283" s="200"/>
      <c r="N283" s="200"/>
      <c r="O283" s="200"/>
      <c r="P283" s="200"/>
      <c r="Q283" s="200"/>
    </row>
    <row r="284" spans="2:18" x14ac:dyDescent="0.35">
      <c r="B284" s="74">
        <v>1</v>
      </c>
      <c r="C284" s="152" t="s">
        <v>308</v>
      </c>
      <c r="D284" s="759"/>
      <c r="E284" s="657">
        <f>+'F1'!C368</f>
        <v>20.584068185750699</v>
      </c>
      <c r="F284" s="657">
        <f>+'F1'!D368</f>
        <v>21.490578156077728</v>
      </c>
      <c r="G284" s="657">
        <f>+'F1'!E368</f>
        <v>20.552419371145589</v>
      </c>
      <c r="H284" s="657">
        <f>+'F1'!F368</f>
        <v>21.663321268736578</v>
      </c>
      <c r="I284" s="657">
        <f>+'F1'!G368</f>
        <v>21.66409040921603</v>
      </c>
      <c r="J284" s="657">
        <f>+'F1'!H368</f>
        <v>21.008988003376963</v>
      </c>
      <c r="K284" s="657">
        <f>+'F1'!I368</f>
        <v>22.373372463886767</v>
      </c>
      <c r="L284" s="657">
        <f>+'F1'!J368</f>
        <v>21.605153052840848</v>
      </c>
      <c r="M284" s="657">
        <f>+'F1'!K368</f>
        <v>22.16606325268263</v>
      </c>
      <c r="N284" s="657">
        <f>+'F1'!L368</f>
        <v>22.809901842717927</v>
      </c>
      <c r="O284" s="657">
        <f>+'F1'!M368</f>
        <v>20.694102393557586</v>
      </c>
      <c r="P284" s="657">
        <f>+'F1'!N368</f>
        <v>23.102740600010645</v>
      </c>
      <c r="Q284" s="658">
        <f>SUM(E284:P284)</f>
        <v>259.71479899999997</v>
      </c>
    </row>
    <row r="285" spans="2:18" x14ac:dyDescent="0.35">
      <c r="B285" s="74"/>
      <c r="C285" s="697" t="s">
        <v>1202</v>
      </c>
      <c r="D285" s="759"/>
      <c r="E285" s="657">
        <f>+E258</f>
        <v>1.1566700000000001E-2</v>
      </c>
      <c r="F285" s="657">
        <f t="shared" ref="F285:P285" si="66">+F258</f>
        <v>2.50038E-2</v>
      </c>
      <c r="G285" s="657">
        <f t="shared" si="66"/>
        <v>2.0235E-2</v>
      </c>
      <c r="H285" s="657">
        <f t="shared" si="66"/>
        <v>5.8172299999999996E-3</v>
      </c>
      <c r="I285" s="657">
        <f t="shared" si="66"/>
        <v>1.2233520000000001E-2</v>
      </c>
      <c r="J285" s="657">
        <f t="shared" si="66"/>
        <v>1.084591E-2</v>
      </c>
      <c r="K285" s="657">
        <f t="shared" si="66"/>
        <v>1.1921540000000001E-2</v>
      </c>
      <c r="L285" s="657">
        <f t="shared" si="66"/>
        <v>1.1137319999999999E-2</v>
      </c>
      <c r="M285" s="657">
        <f t="shared" si="66"/>
        <v>6.1681999999999996E-3</v>
      </c>
      <c r="N285" s="657">
        <f t="shared" si="66"/>
        <v>3.3132600000000002E-3</v>
      </c>
      <c r="O285" s="657">
        <f t="shared" si="66"/>
        <v>1.91595E-3</v>
      </c>
      <c r="P285" s="657">
        <f t="shared" si="66"/>
        <v>3.9996900000000002E-3</v>
      </c>
      <c r="Q285" s="658">
        <f>SUM(E285:P285)</f>
        <v>0.12415811999999998</v>
      </c>
    </row>
    <row r="286" spans="2:18" x14ac:dyDescent="0.35">
      <c r="B286" s="74"/>
      <c r="C286" s="690" t="s">
        <v>1196</v>
      </c>
      <c r="D286" s="759"/>
      <c r="E286" s="688">
        <f t="shared" ref="E286:P286" si="67">+E287-E284+E285</f>
        <v>8.9936361422428293E-2</v>
      </c>
      <c r="F286" s="688">
        <f t="shared" si="67"/>
        <v>9.3840588844549794E-2</v>
      </c>
      <c r="G286" s="688">
        <f t="shared" si="67"/>
        <v>8.9760107961315061E-2</v>
      </c>
      <c r="H286" s="688">
        <f t="shared" si="67"/>
        <v>9.4679643702280214E-2</v>
      </c>
      <c r="I286" s="688">
        <f t="shared" si="67"/>
        <v>9.4654956180414529E-2</v>
      </c>
      <c r="J286" s="688">
        <f t="shared" si="67"/>
        <v>9.1797125294536638E-2</v>
      </c>
      <c r="K286" s="688">
        <f t="shared" si="67"/>
        <v>9.7757073130538275E-2</v>
      </c>
      <c r="L286" s="688">
        <f t="shared" si="67"/>
        <v>9.440209324352411E-2</v>
      </c>
      <c r="M286" s="688">
        <f t="shared" si="67"/>
        <v>9.687593567177781E-2</v>
      </c>
      <c r="N286" s="688">
        <f t="shared" si="67"/>
        <v>9.9703071841248728E-2</v>
      </c>
      <c r="O286" s="688">
        <f t="shared" si="67"/>
        <v>9.0459585573348211E-2</v>
      </c>
      <c r="P286" s="688">
        <f t="shared" si="67"/>
        <v>0.10098026787479542</v>
      </c>
      <c r="Q286" s="658">
        <f>SUM(E286:P286)</f>
        <v>1.1348468107407572</v>
      </c>
      <c r="R286" s="662">
        <f>+Q286/Q287</f>
        <v>4.3526500642194774E-3</v>
      </c>
    </row>
    <row r="287" spans="2:18" x14ac:dyDescent="0.35">
      <c r="B287" s="74"/>
      <c r="C287" s="690" t="s">
        <v>1197</v>
      </c>
      <c r="D287" s="759"/>
      <c r="E287" s="657">
        <f>(+E284-E285)/(1-Assum!$O$40)</f>
        <v>20.662437847173127</v>
      </c>
      <c r="F287" s="657">
        <f>(+F284-F285)/(1-Assum!$O$40)</f>
        <v>21.559414944922278</v>
      </c>
      <c r="G287" s="657">
        <f>(+G284-G285)/(1-Assum!$O$40)</f>
        <v>20.621944479106904</v>
      </c>
      <c r="H287" s="657">
        <f>(+H284-H285)/(1-Assum!$O$40)</f>
        <v>21.752183682438858</v>
      </c>
      <c r="I287" s="657">
        <f>(+I284-I285)/(1-Assum!$O$40)</f>
        <v>21.746511845396444</v>
      </c>
      <c r="J287" s="657">
        <f>(+J284-J285)/(1-Assum!$O$40)</f>
        <v>21.0899392186715</v>
      </c>
      <c r="K287" s="657">
        <f>(+K284-K285)/(1-Assum!$O$40)</f>
        <v>22.459207997017305</v>
      </c>
      <c r="L287" s="657">
        <f>(+L284-L285)/(1-Assum!$O$40)</f>
        <v>21.688417826084372</v>
      </c>
      <c r="M287" s="657">
        <f>(+M284-M285)/(1-Assum!$O$40)</f>
        <v>22.256770988354408</v>
      </c>
      <c r="N287" s="657">
        <f>(+N284-N285)/(1-Assum!$O$40)</f>
        <v>22.906291654559176</v>
      </c>
      <c r="O287" s="657">
        <f>(+O284-O285)/(1-Assum!$O$40)</f>
        <v>20.782646029130934</v>
      </c>
      <c r="P287" s="657">
        <f>(+P284-P285)/(1-Assum!$O$40)</f>
        <v>23.19972117788544</v>
      </c>
      <c r="Q287" s="658">
        <f>SUM(E287:P287)</f>
        <v>260.72548769074075</v>
      </c>
    </row>
    <row r="288" spans="2:18" x14ac:dyDescent="0.35">
      <c r="B288" s="74"/>
      <c r="C288" s="690" t="s">
        <v>1198</v>
      </c>
      <c r="D288" s="759"/>
      <c r="E288" s="774">
        <f>+Assum!$O$42</f>
        <v>3.2199999999999999E-2</v>
      </c>
      <c r="F288" s="774">
        <f>+Assum!$O$42</f>
        <v>3.2199999999999999E-2</v>
      </c>
      <c r="G288" s="774">
        <f>+Assum!$O$42</f>
        <v>3.2199999999999999E-2</v>
      </c>
      <c r="H288" s="774">
        <f>+Assum!$O$42</f>
        <v>3.2199999999999999E-2</v>
      </c>
      <c r="I288" s="774">
        <f>+Assum!$O$42</f>
        <v>3.2199999999999999E-2</v>
      </c>
      <c r="J288" s="774">
        <f>+Assum!$O$42</f>
        <v>3.2199999999999999E-2</v>
      </c>
      <c r="K288" s="774">
        <f>+Assum!$O$42</f>
        <v>3.2199999999999999E-2</v>
      </c>
      <c r="L288" s="774">
        <f>+Assum!$O$42</f>
        <v>3.2199999999999999E-2</v>
      </c>
      <c r="M288" s="774">
        <f>+Assum!$O$42</f>
        <v>3.2199999999999999E-2</v>
      </c>
      <c r="N288" s="774">
        <f>+Assum!$O$42</f>
        <v>3.2199999999999999E-2</v>
      </c>
      <c r="O288" s="774">
        <f>+Assum!$O$42</f>
        <v>3.2199999999999999E-2</v>
      </c>
      <c r="P288" s="774">
        <f>+Assum!$O$42</f>
        <v>3.2199999999999999E-2</v>
      </c>
      <c r="Q288" s="692">
        <f>(Q289-Q287)/Q289</f>
        <v>3.2200000000000006E-2</v>
      </c>
    </row>
    <row r="289" spans="2:17" x14ac:dyDescent="0.35">
      <c r="B289" s="74">
        <v>2</v>
      </c>
      <c r="C289" s="152" t="s">
        <v>309</v>
      </c>
      <c r="D289" s="759"/>
      <c r="E289" s="694">
        <f t="shared" ref="E289:P289" si="68">E287/(1-E288)</f>
        <v>21.349904781125364</v>
      </c>
      <c r="F289" s="694">
        <f t="shared" si="68"/>
        <v>22.276725506222647</v>
      </c>
      <c r="G289" s="694">
        <f t="shared" si="68"/>
        <v>21.308064144561794</v>
      </c>
      <c r="H289" s="694">
        <f t="shared" si="68"/>
        <v>22.475907917378443</v>
      </c>
      <c r="I289" s="694">
        <f t="shared" si="68"/>
        <v>22.470047370734083</v>
      </c>
      <c r="J289" s="694">
        <f t="shared" si="68"/>
        <v>21.791629694845525</v>
      </c>
      <c r="K289" s="694">
        <f t="shared" si="68"/>
        <v>23.206455876231974</v>
      </c>
      <c r="L289" s="694">
        <f t="shared" si="68"/>
        <v>22.410020485724708</v>
      </c>
      <c r="M289" s="694">
        <f t="shared" si="68"/>
        <v>22.997283517621831</v>
      </c>
      <c r="N289" s="694">
        <f t="shared" si="68"/>
        <v>23.668414604834858</v>
      </c>
      <c r="O289" s="694">
        <f t="shared" si="68"/>
        <v>21.474112450021629</v>
      </c>
      <c r="P289" s="694">
        <f t="shared" si="68"/>
        <v>23.971606920733045</v>
      </c>
      <c r="Q289" s="658">
        <f>SUM(E289:P289)</f>
        <v>269.40017327003591</v>
      </c>
    </row>
    <row r="290" spans="2:17" x14ac:dyDescent="0.35">
      <c r="B290" s="74"/>
      <c r="C290" s="152"/>
      <c r="D290" s="219"/>
      <c r="E290" s="177"/>
      <c r="F290" s="19"/>
      <c r="G290" s="19"/>
      <c r="H290" s="19"/>
      <c r="I290" s="19"/>
      <c r="J290" s="19"/>
      <c r="K290" s="19"/>
      <c r="L290" s="19"/>
      <c r="M290" s="19"/>
      <c r="N290" s="19"/>
      <c r="O290" s="19"/>
      <c r="P290" s="19"/>
      <c r="Q290" s="19"/>
    </row>
    <row r="291" spans="2:17" x14ac:dyDescent="0.35">
      <c r="B291" s="757" t="s">
        <v>310</v>
      </c>
      <c r="C291" s="63" t="s">
        <v>316</v>
      </c>
      <c r="D291" s="200"/>
      <c r="E291" s="177"/>
      <c r="F291" s="19"/>
      <c r="G291" s="19"/>
      <c r="H291" s="19"/>
      <c r="I291" s="19"/>
      <c r="J291" s="19"/>
      <c r="K291" s="19"/>
      <c r="L291" s="19"/>
      <c r="M291" s="19"/>
      <c r="N291" s="19"/>
      <c r="O291" s="19"/>
      <c r="P291" s="19"/>
      <c r="Q291" s="19"/>
    </row>
    <row r="292" spans="2:17" x14ac:dyDescent="0.35">
      <c r="B292" s="758">
        <v>1</v>
      </c>
      <c r="C292" s="63" t="s">
        <v>269</v>
      </c>
      <c r="D292" s="200"/>
      <c r="E292" s="177"/>
      <c r="F292" s="19"/>
      <c r="G292" s="19"/>
      <c r="H292" s="19"/>
      <c r="I292" s="19"/>
      <c r="J292" s="19"/>
      <c r="K292" s="19"/>
      <c r="L292" s="19"/>
      <c r="M292" s="19"/>
      <c r="N292" s="19"/>
      <c r="O292" s="19"/>
      <c r="P292" s="19"/>
      <c r="Q292" s="19"/>
    </row>
    <row r="293" spans="2:17" x14ac:dyDescent="0.35">
      <c r="B293" s="74">
        <v>1.1000000000000001</v>
      </c>
      <c r="C293" s="61" t="s">
        <v>235</v>
      </c>
      <c r="D293" s="219"/>
      <c r="E293" s="688">
        <f>+E266</f>
        <v>0</v>
      </c>
      <c r="F293" s="688">
        <f t="shared" ref="F293:P293" si="69">+F266</f>
        <v>0</v>
      </c>
      <c r="G293" s="688">
        <f t="shared" si="69"/>
        <v>0</v>
      </c>
      <c r="H293" s="688">
        <f t="shared" si="69"/>
        <v>0</v>
      </c>
      <c r="I293" s="688">
        <f t="shared" si="69"/>
        <v>0</v>
      </c>
      <c r="J293" s="688">
        <f t="shared" si="69"/>
        <v>0</v>
      </c>
      <c r="K293" s="688">
        <f t="shared" si="69"/>
        <v>0</v>
      </c>
      <c r="L293" s="688">
        <f t="shared" si="69"/>
        <v>0</v>
      </c>
      <c r="M293" s="688">
        <f t="shared" si="69"/>
        <v>0</v>
      </c>
      <c r="N293" s="688">
        <f t="shared" si="69"/>
        <v>0</v>
      </c>
      <c r="O293" s="688">
        <f t="shared" si="69"/>
        <v>0</v>
      </c>
      <c r="P293" s="688">
        <f t="shared" si="69"/>
        <v>0</v>
      </c>
      <c r="Q293" s="658">
        <f t="shared" ref="Q293:Q301" si="70">SUM(E293:P293)</f>
        <v>0</v>
      </c>
    </row>
    <row r="294" spans="2:17" x14ac:dyDescent="0.35">
      <c r="B294" s="74">
        <v>1.2</v>
      </c>
      <c r="C294" s="61" t="s">
        <v>237</v>
      </c>
      <c r="D294" s="219"/>
      <c r="E294" s="177"/>
      <c r="F294" s="19"/>
      <c r="G294" s="19"/>
      <c r="H294" s="19"/>
      <c r="I294" s="19"/>
      <c r="J294" s="19"/>
      <c r="K294" s="19"/>
      <c r="L294" s="19"/>
      <c r="M294" s="19"/>
      <c r="N294" s="19"/>
      <c r="O294" s="19"/>
      <c r="P294" s="19"/>
      <c r="Q294" s="658">
        <f t="shared" si="70"/>
        <v>0</v>
      </c>
    </row>
    <row r="295" spans="2:17" x14ac:dyDescent="0.35">
      <c r="B295" s="74">
        <v>1.3</v>
      </c>
      <c r="C295" s="61" t="s">
        <v>270</v>
      </c>
      <c r="D295" s="219"/>
      <c r="E295" s="177"/>
      <c r="F295" s="19"/>
      <c r="G295" s="19"/>
      <c r="H295" s="19"/>
      <c r="I295" s="19"/>
      <c r="J295" s="19"/>
      <c r="K295" s="19"/>
      <c r="L295" s="19"/>
      <c r="M295" s="19"/>
      <c r="N295" s="19"/>
      <c r="O295" s="19"/>
      <c r="P295" s="19"/>
      <c r="Q295" s="658">
        <f t="shared" si="70"/>
        <v>0</v>
      </c>
    </row>
    <row r="296" spans="2:17" x14ac:dyDescent="0.35">
      <c r="B296" s="758">
        <v>2</v>
      </c>
      <c r="C296" s="63" t="s">
        <v>271</v>
      </c>
      <c r="D296" s="200"/>
      <c r="E296" s="177"/>
      <c r="F296" s="19"/>
      <c r="G296" s="19"/>
      <c r="H296" s="19"/>
      <c r="I296" s="19"/>
      <c r="J296" s="19"/>
      <c r="K296" s="19"/>
      <c r="L296" s="19"/>
      <c r="M296" s="19"/>
      <c r="N296" s="19"/>
      <c r="O296" s="19"/>
      <c r="P296" s="19"/>
      <c r="Q296" s="658">
        <f t="shared" si="70"/>
        <v>0</v>
      </c>
    </row>
    <row r="297" spans="2:17" ht="27.75" x14ac:dyDescent="0.35">
      <c r="B297" s="74">
        <v>2.1</v>
      </c>
      <c r="C297" s="61" t="s">
        <v>1230</v>
      </c>
      <c r="D297" s="219">
        <f>+Assum!O78</f>
        <v>5.25</v>
      </c>
      <c r="E297" s="688">
        <f>+E544</f>
        <v>1.5697840000000001</v>
      </c>
      <c r="F297" s="688">
        <f t="shared" ref="F297:P297" si="71">+F544</f>
        <v>1.6733949999999997</v>
      </c>
      <c r="G297" s="688">
        <f t="shared" si="71"/>
        <v>1.403124</v>
      </c>
      <c r="H297" s="688">
        <f t="shared" si="71"/>
        <v>0.76211700000000004</v>
      </c>
      <c r="I297" s="688">
        <f t="shared" si="71"/>
        <v>1.437697</v>
      </c>
      <c r="J297" s="688">
        <f t="shared" si="71"/>
        <v>1.6148149999999997</v>
      </c>
      <c r="K297" s="688">
        <f t="shared" si="71"/>
        <v>1.442402</v>
      </c>
      <c r="L297" s="688">
        <f t="shared" si="71"/>
        <v>1.5728580000000001</v>
      </c>
      <c r="M297" s="688">
        <f t="shared" si="71"/>
        <v>1.7328480000000002</v>
      </c>
      <c r="N297" s="688">
        <f t="shared" si="71"/>
        <v>1.610849</v>
      </c>
      <c r="O297" s="688">
        <f t="shared" si="71"/>
        <v>0</v>
      </c>
      <c r="P297" s="688">
        <f t="shared" si="71"/>
        <v>0</v>
      </c>
      <c r="Q297" s="658">
        <f t="shared" si="70"/>
        <v>14.819889</v>
      </c>
    </row>
    <row r="298" spans="2:17" x14ac:dyDescent="0.35">
      <c r="B298" s="74">
        <v>2.2000000000000002</v>
      </c>
      <c r="C298" s="61" t="s">
        <v>237</v>
      </c>
      <c r="D298" s="219"/>
      <c r="E298" s="177"/>
      <c r="F298" s="19"/>
      <c r="G298" s="19"/>
      <c r="H298" s="19"/>
      <c r="I298" s="19"/>
      <c r="J298" s="19"/>
      <c r="K298" s="19"/>
      <c r="L298" s="19"/>
      <c r="M298" s="19"/>
      <c r="N298" s="19"/>
      <c r="O298" s="19"/>
      <c r="P298" s="19"/>
      <c r="Q298" s="658">
        <f t="shared" si="70"/>
        <v>0</v>
      </c>
    </row>
    <row r="299" spans="2:17" x14ac:dyDescent="0.35">
      <c r="B299" s="758">
        <v>3</v>
      </c>
      <c r="C299" s="63" t="s">
        <v>272</v>
      </c>
      <c r="D299" s="200"/>
      <c r="E299" s="177"/>
      <c r="F299" s="19"/>
      <c r="G299" s="19"/>
      <c r="H299" s="19"/>
      <c r="I299" s="19"/>
      <c r="J299" s="19"/>
      <c r="K299" s="19"/>
      <c r="L299" s="19"/>
      <c r="M299" s="19"/>
      <c r="N299" s="19"/>
      <c r="O299" s="19"/>
      <c r="P299" s="19"/>
      <c r="Q299" s="658">
        <f t="shared" si="70"/>
        <v>0</v>
      </c>
    </row>
    <row r="300" spans="2:17" x14ac:dyDescent="0.35">
      <c r="B300" s="74">
        <v>3.1</v>
      </c>
      <c r="C300" s="61" t="s">
        <v>235</v>
      </c>
      <c r="D300" s="219"/>
      <c r="E300" s="177"/>
      <c r="F300" s="19"/>
      <c r="G300" s="19"/>
      <c r="H300" s="19"/>
      <c r="I300" s="19"/>
      <c r="J300" s="19"/>
      <c r="K300" s="19"/>
      <c r="L300" s="19"/>
      <c r="M300" s="19"/>
      <c r="N300" s="19"/>
      <c r="O300" s="19"/>
      <c r="P300" s="19"/>
      <c r="Q300" s="658">
        <f t="shared" si="70"/>
        <v>0</v>
      </c>
    </row>
    <row r="301" spans="2:17" x14ac:dyDescent="0.35">
      <c r="B301" s="74">
        <v>3.2</v>
      </c>
      <c r="C301" s="61" t="s">
        <v>237</v>
      </c>
      <c r="D301" s="219"/>
      <c r="E301" s="177"/>
      <c r="F301" s="19"/>
      <c r="G301" s="19"/>
      <c r="H301" s="19"/>
      <c r="I301" s="19"/>
      <c r="J301" s="19"/>
      <c r="K301" s="19"/>
      <c r="L301" s="19"/>
      <c r="M301" s="19"/>
      <c r="N301" s="19"/>
      <c r="O301" s="19"/>
      <c r="P301" s="19"/>
      <c r="Q301" s="658">
        <f t="shared" si="70"/>
        <v>0</v>
      </c>
    </row>
    <row r="302" spans="2:17" x14ac:dyDescent="0.35">
      <c r="B302" s="74">
        <v>3.3000000000000003</v>
      </c>
      <c r="C302" s="61" t="s">
        <v>1249</v>
      </c>
      <c r="D302" s="776">
        <f>+Assum!O82</f>
        <v>6.1499999999999995</v>
      </c>
      <c r="E302" s="676">
        <f t="shared" ref="E302:P302" si="72">+E289-SUM(E291:E301)</f>
        <v>19.780120781125365</v>
      </c>
      <c r="F302" s="676">
        <f t="shared" si="72"/>
        <v>20.603330506222648</v>
      </c>
      <c r="G302" s="676">
        <f t="shared" si="72"/>
        <v>19.904940144561792</v>
      </c>
      <c r="H302" s="676">
        <f t="shared" si="72"/>
        <v>21.713790917378443</v>
      </c>
      <c r="I302" s="676">
        <f t="shared" si="72"/>
        <v>21.032350370734083</v>
      </c>
      <c r="J302" s="676">
        <f t="shared" si="72"/>
        <v>20.176814694845525</v>
      </c>
      <c r="K302" s="676">
        <f t="shared" si="72"/>
        <v>21.764053876231973</v>
      </c>
      <c r="L302" s="676">
        <f t="shared" si="72"/>
        <v>20.837162485724708</v>
      </c>
      <c r="M302" s="676">
        <f t="shared" si="72"/>
        <v>21.26443551762183</v>
      </c>
      <c r="N302" s="676">
        <f t="shared" si="72"/>
        <v>22.057565604834856</v>
      </c>
      <c r="O302" s="676">
        <f t="shared" si="72"/>
        <v>21.474112450021629</v>
      </c>
      <c r="P302" s="676">
        <f t="shared" si="72"/>
        <v>23.971606920733045</v>
      </c>
      <c r="Q302" s="658">
        <f>SUM(E302:P302)</f>
        <v>254.58028427003589</v>
      </c>
    </row>
    <row r="303" spans="2:17" x14ac:dyDescent="0.35">
      <c r="B303" s="758">
        <v>4</v>
      </c>
      <c r="C303" s="22" t="s">
        <v>312</v>
      </c>
      <c r="D303" s="59"/>
      <c r="E303" s="677">
        <f t="shared" ref="E303:Q303" si="73">SUM(E291:E302)</f>
        <v>21.349904781125364</v>
      </c>
      <c r="F303" s="677">
        <f t="shared" si="73"/>
        <v>22.276725506222647</v>
      </c>
      <c r="G303" s="677">
        <f t="shared" si="73"/>
        <v>21.30806414456179</v>
      </c>
      <c r="H303" s="677">
        <f t="shared" si="73"/>
        <v>22.475907917378443</v>
      </c>
      <c r="I303" s="677">
        <f t="shared" si="73"/>
        <v>22.470047370734083</v>
      </c>
      <c r="J303" s="677">
        <f t="shared" si="73"/>
        <v>21.791629694845525</v>
      </c>
      <c r="K303" s="677">
        <f t="shared" si="73"/>
        <v>23.206455876231974</v>
      </c>
      <c r="L303" s="677">
        <f t="shared" si="73"/>
        <v>22.410020485724708</v>
      </c>
      <c r="M303" s="677">
        <f t="shared" si="73"/>
        <v>22.997283517621831</v>
      </c>
      <c r="N303" s="677">
        <f t="shared" si="73"/>
        <v>23.668414604834858</v>
      </c>
      <c r="O303" s="677">
        <f t="shared" si="73"/>
        <v>21.474112450021629</v>
      </c>
      <c r="P303" s="677">
        <f t="shared" si="73"/>
        <v>23.971606920733045</v>
      </c>
      <c r="Q303" s="677">
        <f t="shared" si="73"/>
        <v>269.40017327003591</v>
      </c>
    </row>
    <row r="304" spans="2:17" x14ac:dyDescent="0.35">
      <c r="B304" s="758">
        <v>5</v>
      </c>
      <c r="C304" s="22" t="s">
        <v>315</v>
      </c>
      <c r="D304" s="59"/>
      <c r="E304" s="177"/>
      <c r="F304" s="19"/>
      <c r="G304" s="19"/>
      <c r="H304" s="19"/>
      <c r="I304" s="19"/>
      <c r="J304" s="19"/>
      <c r="K304" s="19"/>
      <c r="L304" s="19"/>
      <c r="M304" s="19"/>
      <c r="N304" s="19"/>
      <c r="O304" s="19"/>
      <c r="P304" s="19"/>
      <c r="Q304" s="19"/>
    </row>
    <row r="306" spans="2:18" x14ac:dyDescent="0.35">
      <c r="B306" s="49" t="s">
        <v>193</v>
      </c>
      <c r="C306" s="99"/>
      <c r="D306" s="179"/>
      <c r="E306" s="11"/>
      <c r="F306" s="12"/>
      <c r="G306" s="11"/>
      <c r="H306" s="11"/>
      <c r="I306" s="11"/>
    </row>
    <row r="307" spans="2:18" x14ac:dyDescent="0.35">
      <c r="B307" s="49"/>
      <c r="C307" s="99"/>
      <c r="D307" s="179"/>
      <c r="E307" s="11"/>
      <c r="F307" s="12"/>
      <c r="G307" s="11"/>
      <c r="H307" s="11"/>
      <c r="I307" s="11"/>
    </row>
    <row r="308" spans="2:18" ht="27" x14ac:dyDescent="0.35">
      <c r="B308" s="756" t="s">
        <v>1</v>
      </c>
      <c r="C308" s="178" t="s">
        <v>111</v>
      </c>
      <c r="D308" s="98" t="s">
        <v>305</v>
      </c>
      <c r="E308" s="98" t="s">
        <v>172</v>
      </c>
      <c r="F308" s="98" t="s">
        <v>173</v>
      </c>
      <c r="G308" s="98" t="s">
        <v>174</v>
      </c>
      <c r="H308" s="98" t="s">
        <v>175</v>
      </c>
      <c r="I308" s="98" t="s">
        <v>176</v>
      </c>
      <c r="J308" s="98" t="s">
        <v>177</v>
      </c>
      <c r="K308" s="98" t="s">
        <v>178</v>
      </c>
      <c r="L308" s="98" t="s">
        <v>179</v>
      </c>
      <c r="M308" s="98" t="s">
        <v>180</v>
      </c>
      <c r="N308" s="98" t="s">
        <v>181</v>
      </c>
      <c r="O308" s="98" t="s">
        <v>182</v>
      </c>
      <c r="P308" s="98" t="s">
        <v>183</v>
      </c>
      <c r="Q308" s="98" t="s">
        <v>164</v>
      </c>
    </row>
    <row r="309" spans="2:18" x14ac:dyDescent="0.35">
      <c r="B309" s="757"/>
      <c r="C309" s="105"/>
      <c r="D309" s="200"/>
      <c r="E309" s="200"/>
      <c r="F309" s="200"/>
      <c r="G309" s="200"/>
      <c r="H309" s="200"/>
      <c r="I309" s="200"/>
      <c r="J309" s="200"/>
      <c r="K309" s="200"/>
      <c r="L309" s="200"/>
      <c r="M309" s="200"/>
      <c r="N309" s="200"/>
      <c r="O309" s="200"/>
      <c r="P309" s="200"/>
      <c r="Q309" s="200"/>
    </row>
    <row r="310" spans="2:18" x14ac:dyDescent="0.35">
      <c r="B310" s="757" t="s">
        <v>306</v>
      </c>
      <c r="C310" s="105" t="s">
        <v>307</v>
      </c>
      <c r="D310" s="200"/>
      <c r="E310" s="200"/>
      <c r="F310" s="200"/>
      <c r="G310" s="200"/>
      <c r="H310" s="200"/>
      <c r="I310" s="200"/>
      <c r="J310" s="200"/>
      <c r="K310" s="200"/>
      <c r="L310" s="200"/>
      <c r="M310" s="200"/>
      <c r="N310" s="200"/>
      <c r="O310" s="200"/>
      <c r="P310" s="200"/>
      <c r="Q310" s="200"/>
    </row>
    <row r="311" spans="2:18" x14ac:dyDescent="0.35">
      <c r="B311" s="74">
        <v>1</v>
      </c>
      <c r="C311" s="152" t="s">
        <v>308</v>
      </c>
      <c r="D311" s="759"/>
      <c r="E311" s="657">
        <f>+'F1'!C396</f>
        <v>22.3120681857507</v>
      </c>
      <c r="F311" s="657">
        <f>+'F1'!D396</f>
        <v>23.27617815607773</v>
      </c>
      <c r="G311" s="657">
        <f>+'F1'!E396</f>
        <v>22.280419371145591</v>
      </c>
      <c r="H311" s="657">
        <f>+'F1'!F396</f>
        <v>23.44892126873658</v>
      </c>
      <c r="I311" s="657">
        <f>+'F1'!G396</f>
        <v>23.449690409216032</v>
      </c>
      <c r="J311" s="657">
        <f>+'F1'!H396</f>
        <v>22.736988003376965</v>
      </c>
      <c r="K311" s="657">
        <f>+'F1'!I396</f>
        <v>24.158972463886766</v>
      </c>
      <c r="L311" s="657">
        <f>+'F1'!J396</f>
        <v>23.333153052840849</v>
      </c>
      <c r="M311" s="657">
        <f>+'F1'!K396</f>
        <v>23.951663252682625</v>
      </c>
      <c r="N311" s="657">
        <f>+'F1'!L396</f>
        <v>24.595501842717926</v>
      </c>
      <c r="O311" s="657">
        <f>+'F1'!M396</f>
        <v>22.306902393557586</v>
      </c>
      <c r="P311" s="657">
        <f>+'F1'!N396</f>
        <v>24.888340600010643</v>
      </c>
      <c r="Q311" s="658">
        <f>SUM(E311:P311)</f>
        <v>280.73879900000003</v>
      </c>
    </row>
    <row r="312" spans="2:18" x14ac:dyDescent="0.35">
      <c r="B312" s="74"/>
      <c r="C312" s="697" t="s">
        <v>1202</v>
      </c>
      <c r="D312" s="759"/>
      <c r="E312" s="657">
        <f>+E285</f>
        <v>1.1566700000000001E-2</v>
      </c>
      <c r="F312" s="657">
        <f t="shared" ref="F312:P312" si="74">+F285</f>
        <v>2.50038E-2</v>
      </c>
      <c r="G312" s="657">
        <f t="shared" si="74"/>
        <v>2.0235E-2</v>
      </c>
      <c r="H312" s="657">
        <f t="shared" si="74"/>
        <v>5.8172299999999996E-3</v>
      </c>
      <c r="I312" s="657">
        <f t="shared" si="74"/>
        <v>1.2233520000000001E-2</v>
      </c>
      <c r="J312" s="657">
        <f t="shared" si="74"/>
        <v>1.084591E-2</v>
      </c>
      <c r="K312" s="657">
        <f t="shared" si="74"/>
        <v>1.1921540000000001E-2</v>
      </c>
      <c r="L312" s="657">
        <f t="shared" si="74"/>
        <v>1.1137319999999999E-2</v>
      </c>
      <c r="M312" s="657">
        <f t="shared" si="74"/>
        <v>6.1681999999999996E-3</v>
      </c>
      <c r="N312" s="657">
        <f t="shared" si="74"/>
        <v>3.3132600000000002E-3</v>
      </c>
      <c r="O312" s="657">
        <f t="shared" si="74"/>
        <v>1.91595E-3</v>
      </c>
      <c r="P312" s="657">
        <f t="shared" si="74"/>
        <v>3.9996900000000002E-3</v>
      </c>
      <c r="Q312" s="658">
        <f>SUM(E312:P312)</f>
        <v>0.12415811999999998</v>
      </c>
    </row>
    <row r="313" spans="2:18" x14ac:dyDescent="0.35">
      <c r="B313" s="74"/>
      <c r="C313" s="690" t="s">
        <v>1196</v>
      </c>
      <c r="D313" s="759"/>
      <c r="E313" s="688">
        <f t="shared" ref="E313:P313" si="75">+E314-E311+E312</f>
        <v>9.749062178525543E-2</v>
      </c>
      <c r="F313" s="688">
        <f t="shared" si="75"/>
        <v>0.10164665788613511</v>
      </c>
      <c r="G313" s="688">
        <f t="shared" si="75"/>
        <v>9.7314368324138645E-2</v>
      </c>
      <c r="H313" s="688">
        <f t="shared" si="75"/>
        <v>0.10248571274386553</v>
      </c>
      <c r="I313" s="688">
        <f t="shared" si="75"/>
        <v>0.10246102522199985</v>
      </c>
      <c r="J313" s="688">
        <f t="shared" si="75"/>
        <v>9.9351385657360222E-2</v>
      </c>
      <c r="K313" s="688">
        <f t="shared" si="75"/>
        <v>0.10556314217212359</v>
      </c>
      <c r="L313" s="688">
        <f t="shared" si="75"/>
        <v>0.10195635360635125</v>
      </c>
      <c r="M313" s="688">
        <f t="shared" si="75"/>
        <v>0.10468200471336313</v>
      </c>
      <c r="N313" s="688">
        <f t="shared" si="75"/>
        <v>0.10750914088283405</v>
      </c>
      <c r="O313" s="688">
        <f t="shared" si="75"/>
        <v>9.7510228578648328E-2</v>
      </c>
      <c r="P313" s="688">
        <f t="shared" si="75"/>
        <v>0.10878633691638073</v>
      </c>
      <c r="Q313" s="658">
        <f>SUM(E313:P313)</f>
        <v>1.226756978488456</v>
      </c>
      <c r="R313" s="662">
        <f>+Q313/Q314</f>
        <v>4.3526500642194739E-3</v>
      </c>
    </row>
    <row r="314" spans="2:18" x14ac:dyDescent="0.35">
      <c r="B314" s="74"/>
      <c r="C314" s="690" t="s">
        <v>1197</v>
      </c>
      <c r="D314" s="759"/>
      <c r="E314" s="657">
        <f>(+E311-E312)/(1-Assum!$P$40)</f>
        <v>22.397992107535956</v>
      </c>
      <c r="F314" s="657">
        <f>(+F311-F312)/(1-Assum!$P$40)</f>
        <v>23.352821013963865</v>
      </c>
      <c r="G314" s="657">
        <f>(+G311-G312)/(1-Assum!$P$40)</f>
        <v>22.35749873946973</v>
      </c>
      <c r="H314" s="657">
        <f>(+H311-H312)/(1-Assum!$P$40)</f>
        <v>23.545589751480446</v>
      </c>
      <c r="I314" s="657">
        <f>(+I311-I312)/(1-Assum!$P$40)</f>
        <v>23.539917914438032</v>
      </c>
      <c r="J314" s="657">
        <f>(+J311-J312)/(1-Assum!$P$40)</f>
        <v>22.825493479034325</v>
      </c>
      <c r="K314" s="657">
        <f>(+K311-K312)/(1-Assum!$P$40)</f>
        <v>24.252614066058889</v>
      </c>
      <c r="L314" s="657">
        <f>(+L311-L312)/(1-Assum!$P$40)</f>
        <v>23.423972086447201</v>
      </c>
      <c r="M314" s="657">
        <f>(+M311-M312)/(1-Assum!$P$40)</f>
        <v>24.050177057395988</v>
      </c>
      <c r="N314" s="657">
        <f>(+N311-N312)/(1-Assum!$P$40)</f>
        <v>24.69969772360076</v>
      </c>
      <c r="O314" s="657">
        <f>(+O311-O312)/(1-Assum!$P$40)</f>
        <v>22.402496672136234</v>
      </c>
      <c r="P314" s="657">
        <f>(+P311-P312)/(1-Assum!$P$40)</f>
        <v>24.993127246927024</v>
      </c>
      <c r="Q314" s="658">
        <f>SUM(E314:P314)</f>
        <v>281.84139785848845</v>
      </c>
    </row>
    <row r="315" spans="2:18" x14ac:dyDescent="0.35">
      <c r="B315" s="74"/>
      <c r="C315" s="690" t="s">
        <v>1198</v>
      </c>
      <c r="D315" s="759"/>
      <c r="E315" s="774">
        <f>+Assum!$P$42</f>
        <v>3.2000000000000001E-2</v>
      </c>
      <c r="F315" s="774">
        <f>+Assum!$P$42</f>
        <v>3.2000000000000001E-2</v>
      </c>
      <c r="G315" s="774">
        <f>+Assum!$P$42</f>
        <v>3.2000000000000001E-2</v>
      </c>
      <c r="H315" s="774">
        <f>+Assum!$P$42</f>
        <v>3.2000000000000001E-2</v>
      </c>
      <c r="I315" s="774">
        <f>+Assum!$P$42</f>
        <v>3.2000000000000001E-2</v>
      </c>
      <c r="J315" s="774">
        <f>+Assum!$P$42</f>
        <v>3.2000000000000001E-2</v>
      </c>
      <c r="K315" s="774">
        <f>+Assum!$P$42</f>
        <v>3.2000000000000001E-2</v>
      </c>
      <c r="L315" s="774">
        <f>+Assum!$P$42</f>
        <v>3.2000000000000001E-2</v>
      </c>
      <c r="M315" s="774">
        <f>+Assum!$P$42</f>
        <v>3.2000000000000001E-2</v>
      </c>
      <c r="N315" s="774">
        <f>+Assum!$P$42</f>
        <v>3.2000000000000001E-2</v>
      </c>
      <c r="O315" s="774">
        <f>+Assum!$P$42</f>
        <v>3.2000000000000001E-2</v>
      </c>
      <c r="P315" s="774">
        <f>+Assum!$P$42</f>
        <v>3.2000000000000001E-2</v>
      </c>
      <c r="Q315" s="692">
        <f>(Q316-Q314)/Q316</f>
        <v>3.2000000000000084E-2</v>
      </c>
    </row>
    <row r="316" spans="2:18" x14ac:dyDescent="0.35">
      <c r="B316" s="74">
        <v>2</v>
      </c>
      <c r="C316" s="152" t="s">
        <v>309</v>
      </c>
      <c r="D316" s="759"/>
      <c r="E316" s="694">
        <f t="shared" ref="E316:P316" si="76">E314/(1-E315)</f>
        <v>23.138421598694169</v>
      </c>
      <c r="F316" s="694">
        <f t="shared" si="76"/>
        <v>24.124815097070108</v>
      </c>
      <c r="G316" s="694">
        <f t="shared" si="76"/>
        <v>23.096589606890216</v>
      </c>
      <c r="H316" s="694">
        <f t="shared" si="76"/>
        <v>24.323956354835172</v>
      </c>
      <c r="I316" s="694">
        <f t="shared" si="76"/>
        <v>24.318097019047553</v>
      </c>
      <c r="J316" s="694">
        <f t="shared" si="76"/>
        <v>23.580055246936286</v>
      </c>
      <c r="K316" s="694">
        <f t="shared" si="76"/>
        <v>25.05435337402778</v>
      </c>
      <c r="L316" s="694">
        <f t="shared" si="76"/>
        <v>24.198318271123142</v>
      </c>
      <c r="M316" s="694">
        <f t="shared" si="76"/>
        <v>24.845224232847094</v>
      </c>
      <c r="N316" s="694">
        <f t="shared" si="76"/>
        <v>25.516216656612357</v>
      </c>
      <c r="O316" s="694">
        <f t="shared" si="76"/>
        <v>23.143075074520905</v>
      </c>
      <c r="P316" s="694">
        <f t="shared" si="76"/>
        <v>25.819346329470068</v>
      </c>
      <c r="Q316" s="658">
        <f>SUM(E316:P316)</f>
        <v>291.15846886207487</v>
      </c>
    </row>
    <row r="317" spans="2:18" x14ac:dyDescent="0.35">
      <c r="B317" s="74"/>
      <c r="C317" s="152"/>
      <c r="D317" s="219"/>
      <c r="E317" s="177"/>
      <c r="F317" s="19"/>
      <c r="G317" s="19"/>
      <c r="H317" s="19"/>
      <c r="I317" s="19"/>
      <c r="J317" s="19"/>
      <c r="K317" s="19"/>
      <c r="L317" s="19"/>
      <c r="M317" s="19"/>
      <c r="N317" s="19"/>
      <c r="O317" s="19"/>
      <c r="P317" s="19"/>
      <c r="Q317" s="19"/>
    </row>
    <row r="318" spans="2:18" x14ac:dyDescent="0.35">
      <c r="B318" s="757" t="s">
        <v>310</v>
      </c>
      <c r="C318" s="63" t="s">
        <v>316</v>
      </c>
      <c r="D318" s="200"/>
      <c r="E318" s="177"/>
      <c r="F318" s="19"/>
      <c r="G318" s="19"/>
      <c r="H318" s="19"/>
      <c r="I318" s="19"/>
      <c r="J318" s="19"/>
      <c r="K318" s="19"/>
      <c r="L318" s="19"/>
      <c r="M318" s="19"/>
      <c r="N318" s="19"/>
      <c r="O318" s="19"/>
      <c r="P318" s="19"/>
      <c r="Q318" s="19"/>
    </row>
    <row r="319" spans="2:18" x14ac:dyDescent="0.35">
      <c r="B319" s="758">
        <v>1</v>
      </c>
      <c r="C319" s="63" t="s">
        <v>269</v>
      </c>
      <c r="D319" s="200"/>
      <c r="E319" s="177"/>
      <c r="F319" s="19"/>
      <c r="G319" s="19"/>
      <c r="H319" s="19"/>
      <c r="I319" s="19"/>
      <c r="J319" s="19"/>
      <c r="K319" s="19"/>
      <c r="L319" s="19"/>
      <c r="M319" s="19"/>
      <c r="N319" s="19"/>
      <c r="O319" s="19"/>
      <c r="P319" s="19"/>
      <c r="Q319" s="19"/>
    </row>
    <row r="320" spans="2:18" x14ac:dyDescent="0.35">
      <c r="B320" s="74">
        <v>1.1000000000000001</v>
      </c>
      <c r="C320" s="61" t="s">
        <v>235</v>
      </c>
      <c r="D320" s="219"/>
      <c r="E320" s="688">
        <f>+E293</f>
        <v>0</v>
      </c>
      <c r="F320" s="688">
        <f t="shared" ref="F320:P320" si="77">+F293</f>
        <v>0</v>
      </c>
      <c r="G320" s="688">
        <f t="shared" si="77"/>
        <v>0</v>
      </c>
      <c r="H320" s="688">
        <f t="shared" si="77"/>
        <v>0</v>
      </c>
      <c r="I320" s="688">
        <f t="shared" si="77"/>
        <v>0</v>
      </c>
      <c r="J320" s="688">
        <f t="shared" si="77"/>
        <v>0</v>
      </c>
      <c r="K320" s="688">
        <f t="shared" si="77"/>
        <v>0</v>
      </c>
      <c r="L320" s="688">
        <f t="shared" si="77"/>
        <v>0</v>
      </c>
      <c r="M320" s="688">
        <f t="shared" si="77"/>
        <v>0</v>
      </c>
      <c r="N320" s="688">
        <f t="shared" si="77"/>
        <v>0</v>
      </c>
      <c r="O320" s="688">
        <f t="shared" si="77"/>
        <v>0</v>
      </c>
      <c r="P320" s="688">
        <f t="shared" si="77"/>
        <v>0</v>
      </c>
      <c r="Q320" s="658">
        <f t="shared" ref="Q320:Q328" si="78">SUM(E320:P320)</f>
        <v>0</v>
      </c>
    </row>
    <row r="321" spans="2:17" x14ac:dyDescent="0.35">
      <c r="B321" s="74">
        <v>1.2</v>
      </c>
      <c r="C321" s="61" t="s">
        <v>237</v>
      </c>
      <c r="D321" s="219"/>
      <c r="E321" s="177"/>
      <c r="F321" s="19"/>
      <c r="G321" s="19"/>
      <c r="H321" s="19"/>
      <c r="I321" s="19"/>
      <c r="J321" s="19"/>
      <c r="K321" s="19"/>
      <c r="L321" s="19"/>
      <c r="M321" s="19"/>
      <c r="N321" s="19"/>
      <c r="O321" s="19"/>
      <c r="P321" s="19"/>
      <c r="Q321" s="658">
        <f t="shared" si="78"/>
        <v>0</v>
      </c>
    </row>
    <row r="322" spans="2:17" x14ac:dyDescent="0.35">
      <c r="B322" s="74">
        <v>1.3</v>
      </c>
      <c r="C322" s="61" t="s">
        <v>270</v>
      </c>
      <c r="D322" s="219"/>
      <c r="E322" s="177"/>
      <c r="F322" s="19"/>
      <c r="G322" s="19"/>
      <c r="H322" s="19"/>
      <c r="I322" s="19"/>
      <c r="J322" s="19"/>
      <c r="K322" s="19"/>
      <c r="L322" s="19"/>
      <c r="M322" s="19"/>
      <c r="N322" s="19"/>
      <c r="O322" s="19"/>
      <c r="P322" s="19"/>
      <c r="Q322" s="658">
        <f t="shared" si="78"/>
        <v>0</v>
      </c>
    </row>
    <row r="323" spans="2:17" x14ac:dyDescent="0.35">
      <c r="B323" s="758">
        <v>2</v>
      </c>
      <c r="C323" s="63" t="s">
        <v>271</v>
      </c>
      <c r="D323" s="200"/>
      <c r="E323" s="177"/>
      <c r="F323" s="19"/>
      <c r="G323" s="19"/>
      <c r="H323" s="19"/>
      <c r="I323" s="19"/>
      <c r="J323" s="19"/>
      <c r="K323" s="19"/>
      <c r="L323" s="19"/>
      <c r="M323" s="19"/>
      <c r="N323" s="19"/>
      <c r="O323" s="19"/>
      <c r="P323" s="19"/>
      <c r="Q323" s="658">
        <f t="shared" si="78"/>
        <v>0</v>
      </c>
    </row>
    <row r="324" spans="2:17" ht="27.75" x14ac:dyDescent="0.35">
      <c r="B324" s="74">
        <v>2.1</v>
      </c>
      <c r="C324" s="61" t="s">
        <v>1230</v>
      </c>
      <c r="D324" s="219"/>
      <c r="E324" s="177"/>
      <c r="F324" s="19"/>
      <c r="G324" s="19"/>
      <c r="H324" s="19"/>
      <c r="I324" s="19"/>
      <c r="J324" s="19"/>
      <c r="K324" s="19"/>
      <c r="L324" s="19"/>
      <c r="M324" s="19"/>
      <c r="N324" s="19"/>
      <c r="O324" s="19"/>
      <c r="P324" s="19"/>
      <c r="Q324" s="658">
        <f t="shared" si="78"/>
        <v>0</v>
      </c>
    </row>
    <row r="325" spans="2:17" x14ac:dyDescent="0.35">
      <c r="B325" s="74">
        <v>2.2000000000000002</v>
      </c>
      <c r="C325" s="61" t="s">
        <v>237</v>
      </c>
      <c r="D325" s="219"/>
      <c r="E325" s="177"/>
      <c r="F325" s="19"/>
      <c r="G325" s="19"/>
      <c r="H325" s="19"/>
      <c r="I325" s="19"/>
      <c r="J325" s="19"/>
      <c r="K325" s="19"/>
      <c r="L325" s="19"/>
      <c r="M325" s="19"/>
      <c r="N325" s="19"/>
      <c r="O325" s="19"/>
      <c r="P325" s="19"/>
      <c r="Q325" s="658">
        <f t="shared" si="78"/>
        <v>0</v>
      </c>
    </row>
    <row r="326" spans="2:17" x14ac:dyDescent="0.35">
      <c r="B326" s="758">
        <v>3</v>
      </c>
      <c r="C326" s="63" t="s">
        <v>272</v>
      </c>
      <c r="D326" s="200"/>
      <c r="E326" s="177"/>
      <c r="F326" s="19"/>
      <c r="G326" s="19"/>
      <c r="H326" s="19"/>
      <c r="I326" s="19"/>
      <c r="J326" s="19"/>
      <c r="K326" s="19"/>
      <c r="L326" s="19"/>
      <c r="M326" s="19"/>
      <c r="N326" s="19"/>
      <c r="O326" s="19"/>
      <c r="P326" s="19"/>
      <c r="Q326" s="658">
        <f t="shared" si="78"/>
        <v>0</v>
      </c>
    </row>
    <row r="327" spans="2:17" x14ac:dyDescent="0.35">
      <c r="B327" s="74">
        <v>3.1</v>
      </c>
      <c r="C327" s="61" t="s">
        <v>235</v>
      </c>
      <c r="D327" s="219"/>
      <c r="E327" s="177"/>
      <c r="F327" s="19"/>
      <c r="G327" s="19"/>
      <c r="H327" s="19"/>
      <c r="I327" s="19"/>
      <c r="J327" s="19"/>
      <c r="K327" s="19"/>
      <c r="L327" s="19"/>
      <c r="M327" s="19"/>
      <c r="N327" s="19"/>
      <c r="O327" s="19"/>
      <c r="P327" s="19"/>
      <c r="Q327" s="658">
        <f t="shared" si="78"/>
        <v>0</v>
      </c>
    </row>
    <row r="328" spans="2:17" x14ac:dyDescent="0.35">
      <c r="B328" s="74">
        <v>3.2</v>
      </c>
      <c r="C328" s="61" t="s">
        <v>237</v>
      </c>
      <c r="D328" s="219"/>
      <c r="E328" s="177"/>
      <c r="F328" s="19"/>
      <c r="G328" s="19"/>
      <c r="H328" s="19"/>
      <c r="I328" s="19"/>
      <c r="J328" s="19"/>
      <c r="K328" s="19"/>
      <c r="L328" s="19"/>
      <c r="M328" s="19"/>
      <c r="N328" s="19"/>
      <c r="O328" s="19"/>
      <c r="P328" s="19"/>
      <c r="Q328" s="658">
        <f t="shared" si="78"/>
        <v>0</v>
      </c>
    </row>
    <row r="329" spans="2:17" x14ac:dyDescent="0.35">
      <c r="B329" s="74">
        <v>3.3000000000000003</v>
      </c>
      <c r="C329" s="61" t="s">
        <v>1249</v>
      </c>
      <c r="D329" s="776">
        <f>+Assum!P82</f>
        <v>6.1999999999999993</v>
      </c>
      <c r="E329" s="676">
        <f t="shared" ref="E329:P329" si="79">+E316-SUM(E318:E328)</f>
        <v>23.138421598694169</v>
      </c>
      <c r="F329" s="676">
        <f t="shared" si="79"/>
        <v>24.124815097070108</v>
      </c>
      <c r="G329" s="676">
        <f t="shared" si="79"/>
        <v>23.096589606890216</v>
      </c>
      <c r="H329" s="676">
        <f t="shared" si="79"/>
        <v>24.323956354835172</v>
      </c>
      <c r="I329" s="676">
        <f t="shared" si="79"/>
        <v>24.318097019047553</v>
      </c>
      <c r="J329" s="676">
        <f t="shared" si="79"/>
        <v>23.580055246936286</v>
      </c>
      <c r="K329" s="676">
        <f t="shared" si="79"/>
        <v>25.05435337402778</v>
      </c>
      <c r="L329" s="676">
        <f t="shared" si="79"/>
        <v>24.198318271123142</v>
      </c>
      <c r="M329" s="676">
        <f t="shared" si="79"/>
        <v>24.845224232847094</v>
      </c>
      <c r="N329" s="676">
        <f t="shared" si="79"/>
        <v>25.516216656612357</v>
      </c>
      <c r="O329" s="676">
        <f t="shared" si="79"/>
        <v>23.143075074520905</v>
      </c>
      <c r="P329" s="676">
        <f t="shared" si="79"/>
        <v>25.819346329470068</v>
      </c>
      <c r="Q329" s="658">
        <f>SUM(E329:P329)</f>
        <v>291.15846886207487</v>
      </c>
    </row>
    <row r="330" spans="2:17" x14ac:dyDescent="0.35">
      <c r="B330" s="758">
        <v>4</v>
      </c>
      <c r="C330" s="22" t="s">
        <v>312</v>
      </c>
      <c r="D330" s="59"/>
      <c r="E330" s="677">
        <f t="shared" ref="E330:Q330" si="80">SUM(E318:E329)</f>
        <v>23.138421598694169</v>
      </c>
      <c r="F330" s="677">
        <f t="shared" si="80"/>
        <v>24.124815097070108</v>
      </c>
      <c r="G330" s="677">
        <f t="shared" si="80"/>
        <v>23.096589606890216</v>
      </c>
      <c r="H330" s="677">
        <f t="shared" si="80"/>
        <v>24.323956354835172</v>
      </c>
      <c r="I330" s="677">
        <f t="shared" si="80"/>
        <v>24.318097019047553</v>
      </c>
      <c r="J330" s="677">
        <f t="shared" si="80"/>
        <v>23.580055246936286</v>
      </c>
      <c r="K330" s="677">
        <f t="shared" si="80"/>
        <v>25.05435337402778</v>
      </c>
      <c r="L330" s="677">
        <f t="shared" si="80"/>
        <v>24.198318271123142</v>
      </c>
      <c r="M330" s="677">
        <f t="shared" si="80"/>
        <v>24.845224232847094</v>
      </c>
      <c r="N330" s="677">
        <f t="shared" si="80"/>
        <v>25.516216656612357</v>
      </c>
      <c r="O330" s="677">
        <f t="shared" si="80"/>
        <v>23.143075074520905</v>
      </c>
      <c r="P330" s="677">
        <f t="shared" si="80"/>
        <v>25.819346329470068</v>
      </c>
      <c r="Q330" s="677">
        <f t="shared" si="80"/>
        <v>291.15846886207487</v>
      </c>
    </row>
    <row r="331" spans="2:17" x14ac:dyDescent="0.35">
      <c r="B331" s="758">
        <v>5</v>
      </c>
      <c r="C331" s="22" t="s">
        <v>315</v>
      </c>
      <c r="D331" s="59"/>
      <c r="E331" s="177"/>
      <c r="F331" s="19"/>
      <c r="G331" s="19"/>
      <c r="H331" s="19"/>
      <c r="I331" s="19"/>
      <c r="J331" s="19"/>
      <c r="K331" s="19"/>
      <c r="L331" s="19"/>
      <c r="M331" s="19"/>
      <c r="N331" s="19"/>
      <c r="O331" s="19"/>
      <c r="P331" s="19"/>
      <c r="Q331" s="19"/>
    </row>
    <row r="332" spans="2:17" x14ac:dyDescent="0.35">
      <c r="B332" s="49"/>
      <c r="C332" s="16"/>
      <c r="D332" s="120"/>
      <c r="E332" s="201"/>
    </row>
    <row r="333" spans="2:17" x14ac:dyDescent="0.35">
      <c r="B333" s="49" t="s">
        <v>317</v>
      </c>
      <c r="C333" s="16"/>
      <c r="D333" s="120"/>
      <c r="E333" s="201"/>
    </row>
    <row r="334" spans="2:17" x14ac:dyDescent="0.35">
      <c r="B334" s="173">
        <v>1</v>
      </c>
      <c r="C334" s="10" t="s">
        <v>318</v>
      </c>
    </row>
    <row r="335" spans="2:17" x14ac:dyDescent="0.35">
      <c r="B335" s="173">
        <v>2</v>
      </c>
      <c r="C335" s="10" t="s">
        <v>319</v>
      </c>
    </row>
    <row r="338" spans="2:15" x14ac:dyDescent="0.35">
      <c r="B338" s="755" t="s">
        <v>320</v>
      </c>
      <c r="C338" s="205"/>
    </row>
    <row r="340" spans="2:15" ht="14" customHeight="1" x14ac:dyDescent="0.35">
      <c r="B340" s="1982" t="s">
        <v>1</v>
      </c>
      <c r="C340" s="1940" t="s">
        <v>111</v>
      </c>
      <c r="D340" s="98" t="s">
        <v>196</v>
      </c>
      <c r="E340" s="98" t="s">
        <v>197</v>
      </c>
      <c r="F340" s="98" t="s">
        <v>198</v>
      </c>
      <c r="G340" s="98" t="s">
        <v>199</v>
      </c>
      <c r="H340" s="217" t="s">
        <v>112</v>
      </c>
      <c r="I340" s="217" t="s">
        <v>113</v>
      </c>
      <c r="J340" s="217" t="s">
        <v>114</v>
      </c>
      <c r="K340" s="1941" t="s">
        <v>1019</v>
      </c>
      <c r="L340" s="1941"/>
      <c r="M340" s="1941"/>
      <c r="N340" s="1941"/>
      <c r="O340" s="1941"/>
    </row>
    <row r="341" spans="2:15" ht="40.5" x14ac:dyDescent="0.35">
      <c r="B341" s="1982"/>
      <c r="C341" s="1940"/>
      <c r="D341" s="1941" t="s">
        <v>117</v>
      </c>
      <c r="E341" s="1941"/>
      <c r="F341" s="1941"/>
      <c r="G341" s="1941"/>
      <c r="H341" s="1941"/>
      <c r="I341" s="1941"/>
      <c r="J341" s="217" t="s">
        <v>121</v>
      </c>
      <c r="K341" s="217" t="s">
        <v>123</v>
      </c>
      <c r="L341" s="217" t="s">
        <v>124</v>
      </c>
      <c r="M341" s="217" t="s">
        <v>125</v>
      </c>
      <c r="N341" s="217" t="s">
        <v>126</v>
      </c>
      <c r="O341" s="217" t="s">
        <v>127</v>
      </c>
    </row>
    <row r="342" spans="2:15" x14ac:dyDescent="0.35">
      <c r="B342" s="758">
        <v>1</v>
      </c>
      <c r="C342" s="63" t="s">
        <v>269</v>
      </c>
      <c r="D342" s="177"/>
      <c r="E342" s="177"/>
      <c r="F342" s="19"/>
      <c r="G342" s="19"/>
      <c r="H342" s="19"/>
      <c r="I342" s="19"/>
      <c r="J342" s="19"/>
      <c r="K342" s="19"/>
      <c r="L342" s="19"/>
      <c r="M342" s="19"/>
      <c r="N342" s="19"/>
      <c r="O342" s="19"/>
    </row>
    <row r="343" spans="2:15" x14ac:dyDescent="0.35">
      <c r="B343" s="74">
        <v>1.1000000000000001</v>
      </c>
      <c r="C343" s="61" t="s">
        <v>235</v>
      </c>
      <c r="D343" s="177"/>
      <c r="E343" s="177"/>
      <c r="F343" s="19"/>
      <c r="G343" s="19"/>
      <c r="H343" s="19"/>
      <c r="I343" s="19"/>
      <c r="J343" s="19"/>
      <c r="K343" s="19"/>
      <c r="L343" s="19"/>
      <c r="M343" s="19"/>
      <c r="N343" s="19"/>
      <c r="O343" s="19"/>
    </row>
    <row r="344" spans="2:15" x14ac:dyDescent="0.35">
      <c r="B344" s="74">
        <v>1.2</v>
      </c>
      <c r="C344" s="61" t="s">
        <v>237</v>
      </c>
      <c r="D344" s="177"/>
      <c r="E344" s="177"/>
      <c r="F344" s="19"/>
      <c r="G344" s="19"/>
      <c r="H344" s="19"/>
      <c r="I344" s="19"/>
      <c r="J344" s="19"/>
      <c r="K344" s="19"/>
      <c r="L344" s="19"/>
      <c r="M344" s="19"/>
      <c r="N344" s="19"/>
      <c r="O344" s="19"/>
    </row>
    <row r="345" spans="2:15" x14ac:dyDescent="0.35">
      <c r="B345" s="74">
        <v>1.3</v>
      </c>
      <c r="C345" s="61" t="s">
        <v>270</v>
      </c>
      <c r="D345" s="177"/>
      <c r="E345" s="177"/>
      <c r="F345" s="19"/>
      <c r="G345" s="19"/>
      <c r="H345" s="19"/>
      <c r="I345" s="19"/>
      <c r="J345" s="19"/>
      <c r="K345" s="19"/>
      <c r="L345" s="19"/>
      <c r="M345" s="19"/>
      <c r="N345" s="19"/>
      <c r="O345" s="19"/>
    </row>
    <row r="346" spans="2:15" x14ac:dyDescent="0.35">
      <c r="B346" s="758">
        <v>2</v>
      </c>
      <c r="C346" s="63" t="s">
        <v>271</v>
      </c>
      <c r="D346" s="177"/>
      <c r="E346" s="177"/>
      <c r="F346" s="19"/>
      <c r="G346" s="19"/>
      <c r="H346" s="19"/>
      <c r="I346" s="19"/>
      <c r="J346" s="19"/>
      <c r="K346" s="19"/>
      <c r="L346" s="19"/>
      <c r="M346" s="19"/>
      <c r="N346" s="19"/>
      <c r="O346" s="19"/>
    </row>
    <row r="347" spans="2:15" x14ac:dyDescent="0.35">
      <c r="B347" s="74">
        <v>2.1</v>
      </c>
      <c r="C347" s="61" t="s">
        <v>1203</v>
      </c>
      <c r="D347" s="687">
        <f>+Assum!E67</f>
        <v>4.0630478340513463</v>
      </c>
      <c r="E347" s="687">
        <f>+Assum!F67</f>
        <v>3.5474494919557262</v>
      </c>
      <c r="F347" s="687">
        <f>+Assum!G67</f>
        <v>3.3629077762361486</v>
      </c>
      <c r="G347" s="687">
        <f>+Assum!H67</f>
        <v>4.5188760086383688</v>
      </c>
      <c r="H347" s="687">
        <f>+Assum!I67</f>
        <v>0</v>
      </c>
      <c r="I347" s="687">
        <f>+Assum!J67</f>
        <v>0</v>
      </c>
      <c r="J347" s="687">
        <f>+Assum!K67</f>
        <v>0</v>
      </c>
      <c r="K347" s="687">
        <f>+Assum!L67</f>
        <v>0</v>
      </c>
      <c r="L347" s="687">
        <f>+Assum!M67</f>
        <v>0</v>
      </c>
      <c r="M347" s="687">
        <f>+Assum!N67</f>
        <v>0</v>
      </c>
      <c r="N347" s="687">
        <f>+Assum!O67</f>
        <v>0</v>
      </c>
      <c r="O347" s="687">
        <f>+Assum!P67</f>
        <v>0</v>
      </c>
    </row>
    <row r="348" spans="2:15" x14ac:dyDescent="0.35">
      <c r="B348" s="74">
        <v>2.2000000000000002</v>
      </c>
      <c r="C348" s="61" t="s">
        <v>237</v>
      </c>
      <c r="D348" s="177"/>
      <c r="E348" s="177"/>
      <c r="F348" s="19"/>
      <c r="G348" s="19"/>
      <c r="H348" s="19"/>
      <c r="I348" s="19"/>
      <c r="J348" s="19"/>
      <c r="K348" s="19"/>
      <c r="L348" s="19"/>
      <c r="M348" s="19"/>
      <c r="N348" s="19"/>
      <c r="O348" s="19"/>
    </row>
    <row r="349" spans="2:15" x14ac:dyDescent="0.35">
      <c r="B349" s="74">
        <v>2.3000000000000003</v>
      </c>
      <c r="C349" s="61" t="s">
        <v>270</v>
      </c>
      <c r="D349" s="177"/>
      <c r="E349" s="177"/>
      <c r="F349" s="19"/>
      <c r="G349" s="19"/>
      <c r="H349" s="19"/>
      <c r="I349" s="19"/>
      <c r="J349" s="19"/>
      <c r="K349" s="19"/>
      <c r="L349" s="19"/>
      <c r="M349" s="19"/>
      <c r="N349" s="19"/>
      <c r="O349" s="19"/>
    </row>
    <row r="350" spans="2:15" x14ac:dyDescent="0.35">
      <c r="B350" s="758">
        <v>3</v>
      </c>
      <c r="C350" s="63" t="s">
        <v>272</v>
      </c>
      <c r="D350" s="177"/>
      <c r="E350" s="177"/>
      <c r="F350" s="19"/>
      <c r="G350" s="19"/>
      <c r="H350" s="19"/>
      <c r="I350" s="19"/>
      <c r="J350" s="19"/>
      <c r="K350" s="19"/>
      <c r="L350" s="19"/>
      <c r="M350" s="19"/>
      <c r="N350" s="19"/>
      <c r="O350" s="19"/>
    </row>
    <row r="351" spans="2:15" x14ac:dyDescent="0.4">
      <c r="B351" s="74">
        <v>3.1</v>
      </c>
      <c r="C351" s="107" t="s">
        <v>1208</v>
      </c>
      <c r="D351" s="687">
        <f>+Assum!E69</f>
        <v>0</v>
      </c>
      <c r="E351" s="687">
        <f>+Assum!F69</f>
        <v>0</v>
      </c>
      <c r="F351" s="687">
        <f>+Assum!G69</f>
        <v>0</v>
      </c>
      <c r="G351" s="687">
        <f>+Assum!H69</f>
        <v>3.59</v>
      </c>
      <c r="H351" s="687" t="str">
        <f>CONCATENATE(+Assum!I69," - ",Assum!I70)</f>
        <v>3.59 - 4.57</v>
      </c>
      <c r="I351" s="687">
        <f>+Assum!J72</f>
        <v>5.4</v>
      </c>
      <c r="J351" s="687" t="str">
        <f>CONCATENATE(+Assum!K72," - ",Assum!K76)</f>
        <v>5.4 - 5.65</v>
      </c>
      <c r="K351" s="687">
        <f>+Assum!L77</f>
        <v>5.65</v>
      </c>
      <c r="L351" s="687">
        <f>+Assum!M77</f>
        <v>0</v>
      </c>
      <c r="M351" s="687">
        <f>+Assum!N77</f>
        <v>0</v>
      </c>
      <c r="N351" s="687">
        <f>+Assum!O77</f>
        <v>0</v>
      </c>
      <c r="O351" s="687">
        <f>+Assum!P77</f>
        <v>0</v>
      </c>
    </row>
    <row r="352" spans="2:15" ht="27.75" x14ac:dyDescent="0.35">
      <c r="B352" s="74">
        <v>3.2</v>
      </c>
      <c r="C352" s="61" t="s">
        <v>1230</v>
      </c>
      <c r="D352" s="687">
        <f>+Assum!E71</f>
        <v>0</v>
      </c>
      <c r="E352" s="687">
        <f>+Assum!F71</f>
        <v>0</v>
      </c>
      <c r="F352" s="687">
        <f>+Assum!G71</f>
        <v>0</v>
      </c>
      <c r="G352" s="687">
        <f>+Assum!H71</f>
        <v>0</v>
      </c>
      <c r="H352" s="687">
        <f>+Assum!I71</f>
        <v>5</v>
      </c>
      <c r="I352" s="687">
        <f>+Assum!J71</f>
        <v>5</v>
      </c>
      <c r="J352" s="687">
        <f>+Assum!K71</f>
        <v>0</v>
      </c>
      <c r="K352" s="687">
        <f>+Assum!L78</f>
        <v>5.25</v>
      </c>
      <c r="L352" s="687">
        <f>+Assum!M78</f>
        <v>5.25</v>
      </c>
      <c r="M352" s="687">
        <f>+Assum!N78</f>
        <v>5.25</v>
      </c>
      <c r="N352" s="687">
        <f>+Assum!O78</f>
        <v>5.25</v>
      </c>
      <c r="O352" s="687">
        <f>+Assum!P78</f>
        <v>0</v>
      </c>
    </row>
    <row r="353" spans="2:17" x14ac:dyDescent="0.35">
      <c r="B353" s="74">
        <v>3.3</v>
      </c>
      <c r="C353" s="10" t="s">
        <v>1232</v>
      </c>
      <c r="D353" s="687">
        <f>+Assum!E74</f>
        <v>0</v>
      </c>
      <c r="E353" s="687">
        <f>+Assum!F74</f>
        <v>0</v>
      </c>
      <c r="F353" s="687">
        <f>+Assum!G74</f>
        <v>0</v>
      </c>
      <c r="G353" s="687">
        <f>+Assum!H74</f>
        <v>0</v>
      </c>
      <c r="H353" s="687">
        <f>+Assum!I74</f>
        <v>0</v>
      </c>
      <c r="I353" s="687">
        <f>+Assum!J74</f>
        <v>0</v>
      </c>
      <c r="J353" s="687" t="str">
        <f>CONCATENATE(+Assum!K74," - ",Assum!K75)</f>
        <v>6.15 - 6.6</v>
      </c>
      <c r="K353" s="687">
        <f>+Assum!L75</f>
        <v>6.6</v>
      </c>
      <c r="L353" s="687">
        <f>+Assum!M75</f>
        <v>0</v>
      </c>
      <c r="M353" s="687">
        <f>+Assum!N75</f>
        <v>0</v>
      </c>
      <c r="N353" s="687">
        <f>+Assum!O75</f>
        <v>0</v>
      </c>
      <c r="O353" s="687">
        <f>+Assum!P75</f>
        <v>0</v>
      </c>
    </row>
    <row r="354" spans="2:17" x14ac:dyDescent="0.35">
      <c r="B354" s="74">
        <v>3.4</v>
      </c>
      <c r="C354" s="152" t="s">
        <v>1596</v>
      </c>
      <c r="D354" s="687"/>
      <c r="E354" s="687"/>
      <c r="F354" s="687"/>
      <c r="G354" s="687"/>
      <c r="H354" s="687"/>
      <c r="I354" s="687"/>
      <c r="J354" s="687"/>
      <c r="K354" s="687">
        <f>+Assum!L80</f>
        <v>5.35</v>
      </c>
      <c r="L354" s="687">
        <f>+Assum!M80</f>
        <v>5.35</v>
      </c>
      <c r="M354" s="687">
        <f>+Assum!N80</f>
        <v>0</v>
      </c>
      <c r="N354" s="687">
        <f>+Assum!O80</f>
        <v>0</v>
      </c>
      <c r="O354" s="687">
        <f>+Assum!P80</f>
        <v>0</v>
      </c>
    </row>
    <row r="355" spans="2:17" x14ac:dyDescent="0.35">
      <c r="B355" s="74">
        <v>3.5</v>
      </c>
      <c r="C355" s="152" t="s">
        <v>1597</v>
      </c>
      <c r="D355" s="687"/>
      <c r="E355" s="687"/>
      <c r="F355" s="687"/>
      <c r="G355" s="687"/>
      <c r="H355" s="687"/>
      <c r="I355" s="687"/>
      <c r="J355" s="687"/>
      <c r="K355" s="687">
        <f>+Assum!L81</f>
        <v>5.8</v>
      </c>
      <c r="L355" s="687">
        <f>+Assum!M81</f>
        <v>5.8</v>
      </c>
      <c r="M355" s="687">
        <f>+Assum!N81</f>
        <v>0</v>
      </c>
      <c r="N355" s="687">
        <f>+Assum!O81</f>
        <v>0</v>
      </c>
      <c r="O355" s="687">
        <f>+Assum!P81</f>
        <v>0</v>
      </c>
    </row>
    <row r="356" spans="2:17" x14ac:dyDescent="0.35">
      <c r="B356" s="74">
        <v>3.6</v>
      </c>
      <c r="C356" s="61" t="s">
        <v>1248</v>
      </c>
      <c r="D356" s="177"/>
      <c r="E356" s="177"/>
      <c r="F356" s="19"/>
      <c r="G356" s="19"/>
      <c r="H356" s="19"/>
      <c r="I356" s="19"/>
      <c r="J356" s="19"/>
      <c r="K356" s="777">
        <f>+Assum!L82</f>
        <v>6</v>
      </c>
      <c r="L356" s="777">
        <f>+Assum!M82</f>
        <v>6.05</v>
      </c>
      <c r="M356" s="777">
        <f>+Assum!N82</f>
        <v>6.1</v>
      </c>
      <c r="N356" s="777">
        <f>+Assum!O82</f>
        <v>6.1499999999999995</v>
      </c>
      <c r="O356" s="777">
        <f>+Assum!P82</f>
        <v>6.1999999999999993</v>
      </c>
    </row>
    <row r="359" spans="2:17" x14ac:dyDescent="0.35">
      <c r="B359" s="755" t="s">
        <v>321</v>
      </c>
      <c r="C359" s="205"/>
    </row>
    <row r="361" spans="2:17" x14ac:dyDescent="0.35">
      <c r="B361" s="49" t="s">
        <v>1032</v>
      </c>
      <c r="C361" s="99"/>
      <c r="D361" s="179"/>
      <c r="E361" s="11"/>
      <c r="F361" s="12"/>
      <c r="G361" s="11"/>
      <c r="H361" s="11"/>
      <c r="I361" s="11"/>
    </row>
    <row r="362" spans="2:17" x14ac:dyDescent="0.35">
      <c r="B362" s="49"/>
      <c r="C362" s="99"/>
      <c r="D362" s="179"/>
      <c r="E362" s="11"/>
      <c r="F362" s="12"/>
      <c r="G362" s="11"/>
      <c r="H362" s="11"/>
      <c r="I362" s="11"/>
    </row>
    <row r="363" spans="2:17" ht="27.6" customHeight="1" x14ac:dyDescent="0.35">
      <c r="B363" s="1980" t="s">
        <v>1</v>
      </c>
      <c r="C363" s="1980" t="s">
        <v>111</v>
      </c>
      <c r="D363" s="1938" t="s">
        <v>322</v>
      </c>
      <c r="E363" s="1940" t="s">
        <v>186</v>
      </c>
      <c r="F363" s="1940"/>
      <c r="G363" s="1940"/>
      <c r="H363" s="1940"/>
      <c r="I363" s="1940"/>
      <c r="J363" s="1940"/>
      <c r="K363" s="1940" t="s">
        <v>187</v>
      </c>
      <c r="L363" s="1940"/>
      <c r="M363" s="1940"/>
      <c r="N363" s="1940"/>
      <c r="O363" s="1940"/>
      <c r="P363" s="1940"/>
      <c r="Q363" s="1940" t="s">
        <v>164</v>
      </c>
    </row>
    <row r="364" spans="2:17" x14ac:dyDescent="0.35">
      <c r="B364" s="1981"/>
      <c r="C364" s="1981"/>
      <c r="D364" s="1983"/>
      <c r="E364" s="98" t="s">
        <v>172</v>
      </c>
      <c r="F364" s="98" t="s">
        <v>173</v>
      </c>
      <c r="G364" s="98" t="s">
        <v>174</v>
      </c>
      <c r="H364" s="98" t="s">
        <v>175</v>
      </c>
      <c r="I364" s="98" t="s">
        <v>176</v>
      </c>
      <c r="J364" s="98" t="s">
        <v>177</v>
      </c>
      <c r="K364" s="98" t="s">
        <v>178</v>
      </c>
      <c r="L364" s="98" t="s">
        <v>179</v>
      </c>
      <c r="M364" s="98" t="s">
        <v>180</v>
      </c>
      <c r="N364" s="98" t="s">
        <v>181</v>
      </c>
      <c r="O364" s="98" t="s">
        <v>182</v>
      </c>
      <c r="P364" s="98" t="s">
        <v>183</v>
      </c>
      <c r="Q364" s="1940"/>
    </row>
    <row r="365" spans="2:17" x14ac:dyDescent="0.35">
      <c r="B365" s="758">
        <v>1</v>
      </c>
      <c r="C365" s="63" t="s">
        <v>269</v>
      </c>
      <c r="D365" s="200"/>
      <c r="E365" s="1971" t="s">
        <v>1128</v>
      </c>
      <c r="F365" s="1972"/>
      <c r="G365" s="1972"/>
      <c r="H365" s="1972"/>
      <c r="I365" s="1972"/>
      <c r="J365" s="1973"/>
      <c r="K365" s="19"/>
      <c r="L365" s="19"/>
      <c r="M365" s="19"/>
      <c r="N365" s="19"/>
      <c r="O365" s="19"/>
      <c r="P365" s="19"/>
      <c r="Q365" s="658">
        <f t="shared" ref="Q365:Q376" si="81">SUM(E365:P365)</f>
        <v>0</v>
      </c>
    </row>
    <row r="366" spans="2:17" x14ac:dyDescent="0.35">
      <c r="B366" s="74">
        <v>1.1000000000000001</v>
      </c>
      <c r="C366" s="61" t="s">
        <v>235</v>
      </c>
      <c r="D366" s="219"/>
      <c r="E366" s="1974"/>
      <c r="F366" s="1975"/>
      <c r="G366" s="1975"/>
      <c r="H366" s="1975"/>
      <c r="I366" s="1975"/>
      <c r="J366" s="1976"/>
      <c r="K366" s="19"/>
      <c r="L366" s="19"/>
      <c r="M366" s="19"/>
      <c r="N366" s="19"/>
      <c r="O366" s="19"/>
      <c r="P366" s="19"/>
      <c r="Q366" s="658">
        <f t="shared" si="81"/>
        <v>0</v>
      </c>
    </row>
    <row r="367" spans="2:17" x14ac:dyDescent="0.35">
      <c r="B367" s="74">
        <v>1.2</v>
      </c>
      <c r="C367" s="61" t="s">
        <v>237</v>
      </c>
      <c r="D367" s="219"/>
      <c r="E367" s="1974"/>
      <c r="F367" s="1975"/>
      <c r="G367" s="1975"/>
      <c r="H367" s="1975"/>
      <c r="I367" s="1975"/>
      <c r="J367" s="1976"/>
      <c r="K367" s="19"/>
      <c r="L367" s="19"/>
      <c r="M367" s="19"/>
      <c r="N367" s="19"/>
      <c r="O367" s="19"/>
      <c r="P367" s="19"/>
      <c r="Q367" s="658">
        <f t="shared" si="81"/>
        <v>0</v>
      </c>
    </row>
    <row r="368" spans="2:17" x14ac:dyDescent="0.35">
      <c r="B368" s="74">
        <v>1.3</v>
      </c>
      <c r="C368" s="61" t="s">
        <v>270</v>
      </c>
      <c r="D368" s="219"/>
      <c r="E368" s="1974"/>
      <c r="F368" s="1975"/>
      <c r="G368" s="1975"/>
      <c r="H368" s="1975"/>
      <c r="I368" s="1975"/>
      <c r="J368" s="1976"/>
      <c r="K368" s="19"/>
      <c r="L368" s="19"/>
      <c r="M368" s="19"/>
      <c r="N368" s="19"/>
      <c r="O368" s="19"/>
      <c r="P368" s="19"/>
      <c r="Q368" s="658">
        <f t="shared" si="81"/>
        <v>0</v>
      </c>
    </row>
    <row r="369" spans="2:18" x14ac:dyDescent="0.35">
      <c r="B369" s="758">
        <v>2</v>
      </c>
      <c r="C369" s="63" t="s">
        <v>271</v>
      </c>
      <c r="D369" s="200"/>
      <c r="E369" s="1974"/>
      <c r="F369" s="1975"/>
      <c r="G369" s="1975"/>
      <c r="H369" s="1975"/>
      <c r="I369" s="1975"/>
      <c r="J369" s="1976"/>
      <c r="K369" s="19"/>
      <c r="L369" s="19"/>
      <c r="M369" s="19"/>
      <c r="N369" s="19"/>
      <c r="O369" s="19"/>
      <c r="P369" s="19"/>
      <c r="Q369" s="658">
        <f t="shared" si="81"/>
        <v>0</v>
      </c>
    </row>
    <row r="370" spans="2:18" x14ac:dyDescent="0.35">
      <c r="B370" s="74">
        <v>2.1</v>
      </c>
      <c r="C370" s="61" t="s">
        <v>1200</v>
      </c>
      <c r="D370" s="768">
        <v>2.6</v>
      </c>
      <c r="E370" s="1974"/>
      <c r="F370" s="1975"/>
      <c r="G370" s="1975"/>
      <c r="H370" s="1975"/>
      <c r="I370" s="1975"/>
      <c r="J370" s="1976"/>
      <c r="K370" s="676">
        <v>0.207123</v>
      </c>
      <c r="L370" s="676">
        <v>0.20224600000000001</v>
      </c>
      <c r="M370" s="676">
        <v>0.21876799999999999</v>
      </c>
      <c r="N370" s="676">
        <v>0.220495</v>
      </c>
      <c r="O370" s="676">
        <v>0.200434</v>
      </c>
      <c r="P370" s="676">
        <v>0.23108899999999999</v>
      </c>
      <c r="Q370" s="658">
        <f t="shared" si="81"/>
        <v>1.2801549999999997</v>
      </c>
    </row>
    <row r="371" spans="2:18" x14ac:dyDescent="0.35">
      <c r="B371" s="74">
        <v>2.2000000000000002</v>
      </c>
      <c r="C371" s="61" t="s">
        <v>237</v>
      </c>
      <c r="D371" s="219"/>
      <c r="E371" s="1974"/>
      <c r="F371" s="1975"/>
      <c r="G371" s="1975"/>
      <c r="H371" s="1975"/>
      <c r="I371" s="1975"/>
      <c r="J371" s="1976"/>
      <c r="K371" s="19"/>
      <c r="L371" s="19"/>
      <c r="M371" s="19"/>
      <c r="N371" s="19"/>
      <c r="O371" s="19"/>
      <c r="P371" s="19"/>
      <c r="Q371" s="658">
        <f t="shared" si="81"/>
        <v>0</v>
      </c>
    </row>
    <row r="372" spans="2:18" x14ac:dyDescent="0.35">
      <c r="B372" s="758">
        <v>3</v>
      </c>
      <c r="C372" s="63" t="s">
        <v>272</v>
      </c>
      <c r="D372" s="200"/>
      <c r="E372" s="1974"/>
      <c r="F372" s="1975"/>
      <c r="G372" s="1975"/>
      <c r="H372" s="1975"/>
      <c r="I372" s="1975"/>
      <c r="J372" s="1976"/>
      <c r="K372" s="19"/>
      <c r="L372" s="19"/>
      <c r="M372" s="19"/>
      <c r="N372" s="19"/>
      <c r="O372" s="19"/>
      <c r="P372" s="19"/>
      <c r="Q372" s="658">
        <f t="shared" si="81"/>
        <v>0</v>
      </c>
    </row>
    <row r="373" spans="2:18" x14ac:dyDescent="0.35">
      <c r="B373" s="74">
        <v>3.1</v>
      </c>
      <c r="C373" s="61" t="s">
        <v>235</v>
      </c>
      <c r="D373" s="219"/>
      <c r="E373" s="1974"/>
      <c r="F373" s="1975"/>
      <c r="G373" s="1975"/>
      <c r="H373" s="1975"/>
      <c r="I373" s="1975"/>
      <c r="J373" s="1976"/>
      <c r="K373" s="19"/>
      <c r="L373" s="19"/>
      <c r="M373" s="19"/>
      <c r="N373" s="19"/>
      <c r="O373" s="19"/>
      <c r="P373" s="19"/>
      <c r="Q373" s="658">
        <f t="shared" si="81"/>
        <v>0</v>
      </c>
    </row>
    <row r="374" spans="2:18" x14ac:dyDescent="0.35">
      <c r="B374" s="74">
        <v>3.2</v>
      </c>
      <c r="C374" s="61" t="s">
        <v>237</v>
      </c>
      <c r="D374" s="219"/>
      <c r="E374" s="1974"/>
      <c r="F374" s="1975"/>
      <c r="G374" s="1975"/>
      <c r="H374" s="1975"/>
      <c r="I374" s="1975"/>
      <c r="J374" s="1976"/>
      <c r="K374" s="19"/>
      <c r="L374" s="19"/>
      <c r="M374" s="19"/>
      <c r="N374" s="19"/>
      <c r="O374" s="19"/>
      <c r="P374" s="19"/>
      <c r="Q374" s="658">
        <f t="shared" si="81"/>
        <v>0</v>
      </c>
    </row>
    <row r="375" spans="2:18" x14ac:dyDescent="0.35">
      <c r="B375" s="74">
        <v>3.3000000000000003</v>
      </c>
      <c r="C375" s="61" t="s">
        <v>1192</v>
      </c>
      <c r="D375" s="219"/>
      <c r="E375" s="1974"/>
      <c r="F375" s="1975"/>
      <c r="G375" s="1975"/>
      <c r="H375" s="1975"/>
      <c r="I375" s="1975"/>
      <c r="J375" s="1976"/>
      <c r="K375" s="676">
        <f t="shared" ref="K375:P375" si="82">+K32</f>
        <v>3.2651585757167978E-3</v>
      </c>
      <c r="L375" s="676">
        <f t="shared" si="82"/>
        <v>7.1344213135068058E-3</v>
      </c>
      <c r="M375" s="676">
        <f t="shared" si="82"/>
        <v>8.4296888155179772E-3</v>
      </c>
      <c r="N375" s="676">
        <f t="shared" si="82"/>
        <v>5.1005450139218478E-3</v>
      </c>
      <c r="O375" s="676">
        <f t="shared" si="82"/>
        <v>6.7406097384472008E-3</v>
      </c>
      <c r="P375" s="676">
        <f t="shared" si="82"/>
        <v>7.0023034497005143E-3</v>
      </c>
      <c r="Q375" s="658">
        <f t="shared" si="81"/>
        <v>3.7672726906811144E-2</v>
      </c>
    </row>
    <row r="376" spans="2:18" x14ac:dyDescent="0.35">
      <c r="B376" s="758">
        <v>4</v>
      </c>
      <c r="C376" s="22" t="s">
        <v>312</v>
      </c>
      <c r="D376" s="59"/>
      <c r="E376" s="1977"/>
      <c r="F376" s="1978"/>
      <c r="G376" s="1978"/>
      <c r="H376" s="1978"/>
      <c r="I376" s="1978"/>
      <c r="J376" s="1979"/>
      <c r="K376" s="677">
        <f t="shared" ref="K376:P376" si="83">SUM(K365:K375)</f>
        <v>0.2103881585757168</v>
      </c>
      <c r="L376" s="677">
        <f t="shared" si="83"/>
        <v>0.20938042131350681</v>
      </c>
      <c r="M376" s="677">
        <f t="shared" si="83"/>
        <v>0.22719768881551797</v>
      </c>
      <c r="N376" s="677">
        <f t="shared" si="83"/>
        <v>0.22559554501392184</v>
      </c>
      <c r="O376" s="677">
        <f t="shared" si="83"/>
        <v>0.2071746097384472</v>
      </c>
      <c r="P376" s="677">
        <f t="shared" si="83"/>
        <v>0.2380913034497005</v>
      </c>
      <c r="Q376" s="658">
        <f t="shared" si="81"/>
        <v>1.3178277269068113</v>
      </c>
      <c r="R376" s="660">
        <f>+Q33-Q376</f>
        <v>0</v>
      </c>
    </row>
    <row r="378" spans="2:18" x14ac:dyDescent="0.35">
      <c r="B378" s="49" t="s">
        <v>1243</v>
      </c>
      <c r="C378" s="99"/>
      <c r="D378" s="179"/>
      <c r="E378" s="11"/>
      <c r="F378" s="12"/>
      <c r="G378" s="11"/>
      <c r="H378" s="11"/>
      <c r="I378" s="11"/>
    </row>
    <row r="379" spans="2:18" x14ac:dyDescent="0.35">
      <c r="B379" s="49"/>
      <c r="C379" s="99"/>
      <c r="D379" s="179"/>
      <c r="E379" s="11"/>
      <c r="F379" s="12"/>
      <c r="G379" s="11"/>
      <c r="H379" s="11"/>
      <c r="I379" s="11"/>
    </row>
    <row r="380" spans="2:18" ht="27.6" customHeight="1" x14ac:dyDescent="0.35">
      <c r="B380" s="1980" t="s">
        <v>1</v>
      </c>
      <c r="C380" s="1980" t="s">
        <v>111</v>
      </c>
      <c r="D380" s="1938" t="s">
        <v>322</v>
      </c>
      <c r="E380" s="1940" t="s">
        <v>186</v>
      </c>
      <c r="F380" s="1940"/>
      <c r="G380" s="1940"/>
      <c r="H380" s="1940"/>
      <c r="I380" s="1940"/>
      <c r="J380" s="1940"/>
      <c r="K380" s="1940" t="s">
        <v>187</v>
      </c>
      <c r="L380" s="1940"/>
      <c r="M380" s="1940"/>
      <c r="N380" s="1940"/>
      <c r="O380" s="1940"/>
      <c r="P380" s="1940"/>
      <c r="Q380" s="1940" t="s">
        <v>164</v>
      </c>
    </row>
    <row r="381" spans="2:18" x14ac:dyDescent="0.35">
      <c r="B381" s="1981"/>
      <c r="C381" s="1981"/>
      <c r="D381" s="1983"/>
      <c r="E381" s="98" t="s">
        <v>172</v>
      </c>
      <c r="F381" s="98" t="s">
        <v>173</v>
      </c>
      <c r="G381" s="98" t="s">
        <v>174</v>
      </c>
      <c r="H381" s="98" t="s">
        <v>175</v>
      </c>
      <c r="I381" s="98" t="s">
        <v>176</v>
      </c>
      <c r="J381" s="98" t="s">
        <v>177</v>
      </c>
      <c r="K381" s="98" t="s">
        <v>178</v>
      </c>
      <c r="L381" s="98" t="s">
        <v>179</v>
      </c>
      <c r="M381" s="98" t="s">
        <v>180</v>
      </c>
      <c r="N381" s="98" t="s">
        <v>181</v>
      </c>
      <c r="O381" s="98" t="s">
        <v>182</v>
      </c>
      <c r="P381" s="98" t="s">
        <v>183</v>
      </c>
      <c r="Q381" s="1940"/>
    </row>
    <row r="382" spans="2:18" x14ac:dyDescent="0.35">
      <c r="B382" s="758">
        <v>1</v>
      </c>
      <c r="C382" s="63" t="s">
        <v>269</v>
      </c>
      <c r="D382" s="200"/>
      <c r="E382" s="177"/>
      <c r="F382" s="19"/>
      <c r="G382" s="19"/>
      <c r="H382" s="19"/>
      <c r="I382" s="19"/>
      <c r="J382" s="19"/>
      <c r="K382" s="19"/>
      <c r="L382" s="19"/>
      <c r="M382" s="19"/>
      <c r="N382" s="19"/>
      <c r="O382" s="19"/>
      <c r="P382" s="19"/>
      <c r="Q382" s="658">
        <f t="shared" ref="Q382:Q392" si="84">SUM(E382:P382)</f>
        <v>0</v>
      </c>
    </row>
    <row r="383" spans="2:18" x14ac:dyDescent="0.35">
      <c r="B383" s="74">
        <v>1.1000000000000001</v>
      </c>
      <c r="C383" s="697" t="s">
        <v>1202</v>
      </c>
      <c r="D383" s="219"/>
      <c r="E383" s="177"/>
      <c r="F383" s="19"/>
      <c r="G383" s="19"/>
      <c r="H383" s="19"/>
      <c r="I383" s="19"/>
      <c r="J383" s="19"/>
      <c r="K383" s="19"/>
      <c r="L383" s="19"/>
      <c r="M383" s="19"/>
      <c r="N383" s="19"/>
      <c r="O383" s="19"/>
      <c r="P383" s="19"/>
      <c r="Q383" s="658">
        <f t="shared" si="84"/>
        <v>0</v>
      </c>
    </row>
    <row r="384" spans="2:18" x14ac:dyDescent="0.35">
      <c r="B384" s="74">
        <v>1.2</v>
      </c>
      <c r="C384" s="61" t="s">
        <v>237</v>
      </c>
      <c r="D384" s="219"/>
      <c r="E384" s="177"/>
      <c r="F384" s="19"/>
      <c r="G384" s="19"/>
      <c r="H384" s="19"/>
      <c r="I384" s="19"/>
      <c r="J384" s="19"/>
      <c r="K384" s="19"/>
      <c r="L384" s="19"/>
      <c r="M384" s="19"/>
      <c r="N384" s="19"/>
      <c r="O384" s="19"/>
      <c r="P384" s="19"/>
      <c r="Q384" s="658">
        <f t="shared" si="84"/>
        <v>0</v>
      </c>
    </row>
    <row r="385" spans="2:18" x14ac:dyDescent="0.35">
      <c r="B385" s="74">
        <v>1.3</v>
      </c>
      <c r="C385" s="61" t="s">
        <v>270</v>
      </c>
      <c r="D385" s="219"/>
      <c r="E385" s="177"/>
      <c r="F385" s="19"/>
      <c r="G385" s="19"/>
      <c r="H385" s="19"/>
      <c r="I385" s="19"/>
      <c r="J385" s="19"/>
      <c r="K385" s="19"/>
      <c r="L385" s="19"/>
      <c r="M385" s="19"/>
      <c r="N385" s="19"/>
      <c r="O385" s="19"/>
      <c r="P385" s="19"/>
      <c r="Q385" s="658">
        <f t="shared" si="84"/>
        <v>0</v>
      </c>
    </row>
    <row r="386" spans="2:18" x14ac:dyDescent="0.35">
      <c r="B386" s="758">
        <v>2</v>
      </c>
      <c r="C386" s="63" t="s">
        <v>271</v>
      </c>
      <c r="D386" s="200"/>
      <c r="E386" s="177"/>
      <c r="F386" s="19"/>
      <c r="G386" s="19"/>
      <c r="H386" s="19"/>
      <c r="I386" s="19"/>
      <c r="J386" s="19"/>
      <c r="K386" s="19"/>
      <c r="L386" s="19"/>
      <c r="M386" s="19"/>
      <c r="N386" s="19"/>
      <c r="O386" s="19"/>
      <c r="P386" s="19"/>
      <c r="Q386" s="658">
        <f t="shared" si="84"/>
        <v>0</v>
      </c>
    </row>
    <row r="387" spans="2:18" x14ac:dyDescent="0.35">
      <c r="B387" s="74">
        <v>2.1</v>
      </c>
      <c r="C387" s="61" t="s">
        <v>1200</v>
      </c>
      <c r="D387" s="768">
        <v>2.6</v>
      </c>
      <c r="E387" s="698">
        <v>0.249333</v>
      </c>
      <c r="F387" s="698">
        <v>0.261629</v>
      </c>
      <c r="G387" s="698">
        <v>0.258214</v>
      </c>
      <c r="H387" s="698">
        <v>0.28025800000000001</v>
      </c>
      <c r="I387" s="698">
        <v>0.27663100000000002</v>
      </c>
      <c r="J387" s="698">
        <v>0.28532200000000002</v>
      </c>
      <c r="K387" s="698">
        <v>0.29789300000000002</v>
      </c>
      <c r="L387" s="698">
        <v>0.28259000000000001</v>
      </c>
      <c r="M387" s="698">
        <v>0.29252099999999998</v>
      </c>
      <c r="N387" s="698">
        <v>0.28703000000000001</v>
      </c>
      <c r="O387" s="698">
        <v>0.27490300000000001</v>
      </c>
      <c r="P387" s="698">
        <v>0.26864300000000002</v>
      </c>
      <c r="Q387" s="658">
        <f t="shared" si="84"/>
        <v>3.3149670000000002</v>
      </c>
    </row>
    <row r="388" spans="2:18" x14ac:dyDescent="0.35">
      <c r="B388" s="74">
        <v>2.2000000000000002</v>
      </c>
      <c r="C388" s="61" t="s">
        <v>237</v>
      </c>
      <c r="D388" s="219"/>
      <c r="E388" s="177"/>
      <c r="F388" s="19"/>
      <c r="G388" s="19"/>
      <c r="H388" s="19"/>
      <c r="I388" s="19"/>
      <c r="J388" s="19"/>
      <c r="K388" s="19"/>
      <c r="L388" s="19"/>
      <c r="M388" s="19"/>
      <c r="N388" s="19"/>
      <c r="O388" s="19"/>
      <c r="P388" s="19"/>
      <c r="Q388" s="658">
        <f t="shared" si="84"/>
        <v>0</v>
      </c>
    </row>
    <row r="389" spans="2:18" x14ac:dyDescent="0.35">
      <c r="B389" s="758">
        <v>3</v>
      </c>
      <c r="C389" s="63" t="s">
        <v>272</v>
      </c>
      <c r="D389" s="200"/>
      <c r="E389" s="177"/>
      <c r="F389" s="19"/>
      <c r="G389" s="19"/>
      <c r="H389" s="19"/>
      <c r="I389" s="19"/>
      <c r="J389" s="19"/>
      <c r="K389" s="19"/>
      <c r="L389" s="19"/>
      <c r="M389" s="19"/>
      <c r="N389" s="19"/>
      <c r="O389" s="19"/>
      <c r="P389" s="19"/>
      <c r="Q389" s="658">
        <f t="shared" si="84"/>
        <v>0</v>
      </c>
    </row>
    <row r="390" spans="2:18" x14ac:dyDescent="0.35">
      <c r="B390" s="74">
        <v>3.1</v>
      </c>
      <c r="C390" s="61" t="s">
        <v>235</v>
      </c>
      <c r="D390" s="219"/>
      <c r="E390" s="177"/>
      <c r="F390" s="19"/>
      <c r="G390" s="19"/>
      <c r="H390" s="19"/>
      <c r="I390" s="19"/>
      <c r="J390" s="19"/>
      <c r="K390" s="19"/>
      <c r="L390" s="19"/>
      <c r="M390" s="19"/>
      <c r="N390" s="19"/>
      <c r="O390" s="19"/>
      <c r="P390" s="19"/>
      <c r="Q390" s="658">
        <f t="shared" si="84"/>
        <v>0</v>
      </c>
    </row>
    <row r="391" spans="2:18" x14ac:dyDescent="0.35">
      <c r="B391" s="74">
        <v>3.2</v>
      </c>
      <c r="C391" s="61" t="s">
        <v>237</v>
      </c>
      <c r="D391" s="219"/>
      <c r="E391" s="177"/>
      <c r="F391" s="19"/>
      <c r="G391" s="19"/>
      <c r="H391" s="19"/>
      <c r="I391" s="19"/>
      <c r="J391" s="19"/>
      <c r="K391" s="19"/>
      <c r="L391" s="19"/>
      <c r="M391" s="19"/>
      <c r="N391" s="19"/>
      <c r="O391" s="19"/>
      <c r="P391" s="19"/>
      <c r="Q391" s="658">
        <f t="shared" si="84"/>
        <v>0</v>
      </c>
    </row>
    <row r="392" spans="2:18" x14ac:dyDescent="0.35">
      <c r="B392" s="74">
        <v>3.3000000000000003</v>
      </c>
      <c r="C392" s="61" t="s">
        <v>1192</v>
      </c>
      <c r="D392" s="219"/>
      <c r="E392" s="676">
        <f t="shared" ref="E392:P392" si="85">+E57</f>
        <v>3.7299139072847487E-3</v>
      </c>
      <c r="F392" s="676">
        <f t="shared" si="85"/>
        <v>7.6979926599813342E-3</v>
      </c>
      <c r="G392" s="676">
        <f t="shared" si="85"/>
        <v>7.76282119205296E-3</v>
      </c>
      <c r="H392" s="676">
        <f t="shared" si="85"/>
        <v>8.3370413223140538E-3</v>
      </c>
      <c r="I392" s="676">
        <f t="shared" si="85"/>
        <v>3.3401072128779186E-3</v>
      </c>
      <c r="J392" s="676">
        <f t="shared" si="85"/>
        <v>1.15571842620249E-2</v>
      </c>
      <c r="K392" s="676">
        <f t="shared" si="85"/>
        <v>-6.4189323586949509E-4</v>
      </c>
      <c r="L392" s="676">
        <f t="shared" si="85"/>
        <v>6.4158841746670414E-3</v>
      </c>
      <c r="M392" s="676">
        <f t="shared" si="85"/>
        <v>9.9291188876253211E-3</v>
      </c>
      <c r="N392" s="676">
        <f t="shared" si="85"/>
        <v>6.275785123966926E-3</v>
      </c>
      <c r="O392" s="676">
        <f t="shared" si="85"/>
        <v>6.9556438228919326E-3</v>
      </c>
      <c r="P392" s="676">
        <f t="shared" si="85"/>
        <v>-2.8980082559337816E-4</v>
      </c>
      <c r="Q392" s="658">
        <f t="shared" si="84"/>
        <v>7.1069798504224263E-2</v>
      </c>
    </row>
    <row r="393" spans="2:18" x14ac:dyDescent="0.35">
      <c r="B393" s="758">
        <v>4</v>
      </c>
      <c r="C393" s="22" t="s">
        <v>312</v>
      </c>
      <c r="D393" s="59"/>
      <c r="E393" s="677">
        <f t="shared" ref="E393:Q393" si="86">SUM(E382:E392)</f>
        <v>0.25306291390728475</v>
      </c>
      <c r="F393" s="677">
        <f t="shared" si="86"/>
        <v>0.26932699265998133</v>
      </c>
      <c r="G393" s="677">
        <f t="shared" si="86"/>
        <v>0.26597682119205296</v>
      </c>
      <c r="H393" s="677">
        <f t="shared" si="86"/>
        <v>0.28859504132231406</v>
      </c>
      <c r="I393" s="677">
        <f t="shared" si="86"/>
        <v>0.27997110721287793</v>
      </c>
      <c r="J393" s="677">
        <f t="shared" si="86"/>
        <v>0.29687918426202492</v>
      </c>
      <c r="K393" s="677">
        <f t="shared" si="86"/>
        <v>0.29725110676413052</v>
      </c>
      <c r="L393" s="677">
        <f t="shared" si="86"/>
        <v>0.28900588417466705</v>
      </c>
      <c r="M393" s="677">
        <f t="shared" si="86"/>
        <v>0.3024501188876253</v>
      </c>
      <c r="N393" s="677">
        <f t="shared" si="86"/>
        <v>0.29330578512396693</v>
      </c>
      <c r="O393" s="677">
        <f t="shared" si="86"/>
        <v>0.28185864382289194</v>
      </c>
      <c r="P393" s="677">
        <f t="shared" si="86"/>
        <v>0.26835319917440664</v>
      </c>
      <c r="Q393" s="677">
        <f t="shared" si="86"/>
        <v>3.3860367985042243</v>
      </c>
      <c r="R393" s="660"/>
    </row>
    <row r="394" spans="2:18" x14ac:dyDescent="0.35">
      <c r="B394" s="49"/>
      <c r="C394" s="16"/>
      <c r="D394" s="120"/>
      <c r="E394" s="769"/>
      <c r="F394" s="769"/>
      <c r="G394" s="769"/>
      <c r="H394" s="769"/>
      <c r="I394" s="769"/>
      <c r="J394" s="769"/>
      <c r="K394" s="769"/>
      <c r="L394" s="769"/>
      <c r="M394" s="769"/>
      <c r="N394" s="769"/>
      <c r="O394" s="769"/>
      <c r="P394" s="769"/>
      <c r="Q394" s="769"/>
    </row>
    <row r="395" spans="2:18" x14ac:dyDescent="0.35">
      <c r="B395" s="49" t="s">
        <v>1244</v>
      </c>
      <c r="C395" s="99"/>
      <c r="D395" s="179"/>
      <c r="E395" s="11"/>
      <c r="F395" s="12"/>
      <c r="G395" s="11"/>
      <c r="H395" s="11"/>
      <c r="I395" s="11"/>
    </row>
    <row r="396" spans="2:18" x14ac:dyDescent="0.35">
      <c r="B396" s="49"/>
      <c r="C396" s="99"/>
      <c r="D396" s="179"/>
      <c r="E396" s="11"/>
      <c r="F396" s="12"/>
      <c r="G396" s="11"/>
      <c r="H396" s="11"/>
      <c r="I396" s="11"/>
    </row>
    <row r="397" spans="2:18" ht="27.6" customHeight="1" x14ac:dyDescent="0.35">
      <c r="B397" s="1980" t="s">
        <v>1</v>
      </c>
      <c r="C397" s="1980" t="s">
        <v>111</v>
      </c>
      <c r="D397" s="1938" t="s">
        <v>322</v>
      </c>
      <c r="E397" s="1940" t="s">
        <v>186</v>
      </c>
      <c r="F397" s="1940"/>
      <c r="G397" s="1940"/>
      <c r="H397" s="1940"/>
      <c r="I397" s="1940"/>
      <c r="J397" s="1940"/>
      <c r="K397" s="1940" t="s">
        <v>187</v>
      </c>
      <c r="L397" s="1940"/>
      <c r="M397" s="1940"/>
      <c r="N397" s="1940"/>
      <c r="O397" s="1940"/>
      <c r="P397" s="1940"/>
      <c r="Q397" s="1940" t="s">
        <v>164</v>
      </c>
    </row>
    <row r="398" spans="2:18" x14ac:dyDescent="0.35">
      <c r="B398" s="1981"/>
      <c r="C398" s="1981"/>
      <c r="D398" s="1983"/>
      <c r="E398" s="98" t="s">
        <v>172</v>
      </c>
      <c r="F398" s="98" t="s">
        <v>173</v>
      </c>
      <c r="G398" s="98" t="s">
        <v>174</v>
      </c>
      <c r="H398" s="98" t="s">
        <v>175</v>
      </c>
      <c r="I398" s="98" t="s">
        <v>176</v>
      </c>
      <c r="J398" s="98" t="s">
        <v>177</v>
      </c>
      <c r="K398" s="98" t="s">
        <v>178</v>
      </c>
      <c r="L398" s="98" t="s">
        <v>179</v>
      </c>
      <c r="M398" s="98" t="s">
        <v>180</v>
      </c>
      <c r="N398" s="98" t="s">
        <v>181</v>
      </c>
      <c r="O398" s="98" t="s">
        <v>182</v>
      </c>
      <c r="P398" s="98" t="s">
        <v>183</v>
      </c>
      <c r="Q398" s="1940"/>
    </row>
    <row r="399" spans="2:18" x14ac:dyDescent="0.35">
      <c r="B399" s="758">
        <v>1</v>
      </c>
      <c r="C399" s="63" t="s">
        <v>269</v>
      </c>
      <c r="D399" s="200"/>
      <c r="E399" s="177"/>
      <c r="F399" s="19"/>
      <c r="G399" s="19"/>
      <c r="H399" s="19"/>
      <c r="I399" s="19"/>
      <c r="J399" s="19"/>
      <c r="K399" s="19"/>
      <c r="L399" s="19"/>
      <c r="M399" s="19"/>
      <c r="N399" s="19"/>
      <c r="O399" s="19"/>
      <c r="P399" s="19"/>
      <c r="Q399" s="19"/>
    </row>
    <row r="400" spans="2:18" x14ac:dyDescent="0.35">
      <c r="B400" s="74">
        <v>1.1000000000000001</v>
      </c>
      <c r="C400" s="697" t="s">
        <v>1202</v>
      </c>
      <c r="D400" s="219"/>
      <c r="E400" s="657">
        <v>0</v>
      </c>
      <c r="F400" s="676">
        <v>0</v>
      </c>
      <c r="G400" s="676">
        <v>0</v>
      </c>
      <c r="H400" s="676">
        <v>0</v>
      </c>
      <c r="I400" s="676">
        <v>0</v>
      </c>
      <c r="J400" s="676">
        <v>0</v>
      </c>
      <c r="K400" s="676">
        <v>0</v>
      </c>
      <c r="L400" s="676">
        <v>3.2079999999999997E-2</v>
      </c>
      <c r="M400" s="676">
        <v>2.3244000000000001E-2</v>
      </c>
      <c r="N400" s="676">
        <v>2.3102999999999999E-2</v>
      </c>
      <c r="O400" s="676">
        <v>2.6516000000000001E-2</v>
      </c>
      <c r="P400" s="676">
        <v>3.4542000000000003E-2</v>
      </c>
      <c r="Q400" s="658">
        <f t="shared" ref="Q400:Q409" si="87">SUM(E400:P400)</f>
        <v>0.139485</v>
      </c>
    </row>
    <row r="401" spans="2:18" x14ac:dyDescent="0.35">
      <c r="B401" s="74">
        <v>1.2</v>
      </c>
      <c r="C401" s="61" t="s">
        <v>237</v>
      </c>
      <c r="D401" s="219"/>
      <c r="E401" s="177"/>
      <c r="F401" s="19"/>
      <c r="G401" s="19"/>
      <c r="H401" s="19"/>
      <c r="I401" s="19"/>
      <c r="J401" s="19"/>
      <c r="K401" s="19"/>
      <c r="L401" s="19"/>
      <c r="M401" s="19"/>
      <c r="N401" s="19"/>
      <c r="O401" s="19"/>
      <c r="P401" s="19"/>
      <c r="Q401" s="658">
        <f t="shared" si="87"/>
        <v>0</v>
      </c>
    </row>
    <row r="402" spans="2:18" x14ac:dyDescent="0.35">
      <c r="B402" s="74">
        <v>1.3</v>
      </c>
      <c r="C402" s="61" t="s">
        <v>270</v>
      </c>
      <c r="D402" s="219"/>
      <c r="E402" s="177"/>
      <c r="F402" s="19"/>
      <c r="G402" s="19"/>
      <c r="H402" s="19"/>
      <c r="I402" s="19"/>
      <c r="J402" s="19"/>
      <c r="K402" s="19"/>
      <c r="L402" s="19"/>
      <c r="M402" s="19"/>
      <c r="N402" s="19"/>
      <c r="O402" s="19"/>
      <c r="P402" s="19"/>
      <c r="Q402" s="658">
        <f t="shared" si="87"/>
        <v>0</v>
      </c>
    </row>
    <row r="403" spans="2:18" x14ac:dyDescent="0.35">
      <c r="B403" s="758">
        <v>2</v>
      </c>
      <c r="C403" s="63" t="s">
        <v>271</v>
      </c>
      <c r="D403" s="200"/>
      <c r="E403" s="177"/>
      <c r="F403" s="19"/>
      <c r="G403" s="19"/>
      <c r="H403" s="19"/>
      <c r="I403" s="19"/>
      <c r="J403" s="19"/>
      <c r="K403" s="19"/>
      <c r="L403" s="19"/>
      <c r="M403" s="19"/>
      <c r="N403" s="19"/>
      <c r="O403" s="19"/>
      <c r="P403" s="19"/>
      <c r="Q403" s="658">
        <f t="shared" si="87"/>
        <v>0</v>
      </c>
    </row>
    <row r="404" spans="2:18" x14ac:dyDescent="0.35">
      <c r="B404" s="74">
        <v>2.1</v>
      </c>
      <c r="C404" s="61" t="s">
        <v>1203</v>
      </c>
      <c r="D404" s="219">
        <v>3.36</v>
      </c>
      <c r="E404" s="657">
        <v>0.22983000000000001</v>
      </c>
      <c r="F404" s="676">
        <v>0.25465500000000002</v>
      </c>
      <c r="G404" s="676">
        <v>0.33313700000000002</v>
      </c>
      <c r="H404" s="676">
        <v>0.46343400000000001</v>
      </c>
      <c r="I404" s="676">
        <v>0.79494100000000001</v>
      </c>
      <c r="J404" s="676">
        <v>0.85966299999999995</v>
      </c>
      <c r="K404" s="676">
        <v>0.85267499999999996</v>
      </c>
      <c r="L404" s="676">
        <v>0.78120000000000001</v>
      </c>
      <c r="M404" s="676">
        <v>0.81091500000000005</v>
      </c>
      <c r="N404" s="676">
        <v>0.89959800000000001</v>
      </c>
      <c r="O404" s="676">
        <v>0.82190099999999999</v>
      </c>
      <c r="P404" s="676">
        <v>1.0344679999999999</v>
      </c>
      <c r="Q404" s="658">
        <f t="shared" si="87"/>
        <v>8.1364169999999998</v>
      </c>
    </row>
    <row r="405" spans="2:18" x14ac:dyDescent="0.35">
      <c r="B405" s="74">
        <v>2.2000000000000002</v>
      </c>
      <c r="C405" s="61" t="s">
        <v>237</v>
      </c>
      <c r="D405" s="219"/>
      <c r="E405" s="177"/>
      <c r="F405" s="19"/>
      <c r="G405" s="19"/>
      <c r="H405" s="19"/>
      <c r="I405" s="19"/>
      <c r="J405" s="19"/>
      <c r="K405" s="19"/>
      <c r="L405" s="19"/>
      <c r="M405" s="19"/>
      <c r="N405" s="19"/>
      <c r="O405" s="19"/>
      <c r="P405" s="19"/>
      <c r="Q405" s="658">
        <f t="shared" si="87"/>
        <v>0</v>
      </c>
    </row>
    <row r="406" spans="2:18" x14ac:dyDescent="0.35">
      <c r="B406" s="758">
        <v>3</v>
      </c>
      <c r="C406" s="63" t="s">
        <v>272</v>
      </c>
      <c r="D406" s="200"/>
      <c r="E406" s="177"/>
      <c r="F406" s="19"/>
      <c r="G406" s="19"/>
      <c r="H406" s="19"/>
      <c r="I406" s="19"/>
      <c r="J406" s="19"/>
      <c r="K406" s="19"/>
      <c r="L406" s="19"/>
      <c r="M406" s="19"/>
      <c r="N406" s="19"/>
      <c r="O406" s="19"/>
      <c r="P406" s="19"/>
      <c r="Q406" s="658">
        <f t="shared" si="87"/>
        <v>0</v>
      </c>
    </row>
    <row r="407" spans="2:18" x14ac:dyDescent="0.35">
      <c r="B407" s="74">
        <v>3.1</v>
      </c>
      <c r="C407" s="61" t="s">
        <v>235</v>
      </c>
      <c r="D407" s="219"/>
      <c r="E407" s="177"/>
      <c r="F407" s="19"/>
      <c r="G407" s="19"/>
      <c r="H407" s="19"/>
      <c r="I407" s="19"/>
      <c r="J407" s="19"/>
      <c r="K407" s="19"/>
      <c r="L407" s="19"/>
      <c r="M407" s="19"/>
      <c r="N407" s="19"/>
      <c r="O407" s="19"/>
      <c r="P407" s="19"/>
      <c r="Q407" s="658">
        <f t="shared" si="87"/>
        <v>0</v>
      </c>
    </row>
    <row r="408" spans="2:18" x14ac:dyDescent="0.35">
      <c r="B408" s="74">
        <v>3.2</v>
      </c>
      <c r="C408" s="61" t="s">
        <v>237</v>
      </c>
      <c r="D408" s="219"/>
      <c r="E408" s="177"/>
      <c r="F408" s="19"/>
      <c r="G408" s="19"/>
      <c r="H408" s="19"/>
      <c r="I408" s="19"/>
      <c r="J408" s="19"/>
      <c r="K408" s="19"/>
      <c r="L408" s="19"/>
      <c r="M408" s="19"/>
      <c r="N408" s="19"/>
      <c r="O408" s="19"/>
      <c r="P408" s="19"/>
      <c r="Q408" s="658">
        <f t="shared" si="87"/>
        <v>0</v>
      </c>
    </row>
    <row r="409" spans="2:18" x14ac:dyDescent="0.35">
      <c r="B409" s="74">
        <v>3.3000000000000003</v>
      </c>
      <c r="C409" s="61" t="s">
        <v>1204</v>
      </c>
      <c r="D409" s="219"/>
      <c r="E409" s="676">
        <f t="shared" ref="E409:P409" si="88">+E83</f>
        <v>-1.2704806800618251E-2</v>
      </c>
      <c r="F409" s="676">
        <f t="shared" si="88"/>
        <v>5.3923787207745266E-3</v>
      </c>
      <c r="G409" s="676">
        <f t="shared" si="88"/>
        <v>-1.8536732482765772E-2</v>
      </c>
      <c r="H409" s="676">
        <f t="shared" si="88"/>
        <v>1.4050328434898784E-2</v>
      </c>
      <c r="I409" s="676">
        <f t="shared" si="88"/>
        <v>-2.3282915550978389E-2</v>
      </c>
      <c r="J409" s="676">
        <f t="shared" si="88"/>
        <v>-7.8347993614171774E-3</v>
      </c>
      <c r="K409" s="676">
        <f t="shared" si="88"/>
        <v>2.552761774708856E-2</v>
      </c>
      <c r="L409" s="676">
        <f t="shared" si="88"/>
        <v>1.0725849639546814E-2</v>
      </c>
      <c r="M409" s="676">
        <f t="shared" si="88"/>
        <v>2.4865382479950626E-2</v>
      </c>
      <c r="N409" s="676">
        <f t="shared" si="88"/>
        <v>2.4525711340206202E-2</v>
      </c>
      <c r="O409" s="676">
        <f t="shared" si="88"/>
        <v>3.2499990609844209E-2</v>
      </c>
      <c r="P409" s="676">
        <f t="shared" si="88"/>
        <v>4.8694790697674462E-2</v>
      </c>
      <c r="Q409" s="658">
        <f t="shared" si="87"/>
        <v>0.12392279547420459</v>
      </c>
    </row>
    <row r="410" spans="2:18" x14ac:dyDescent="0.35">
      <c r="B410" s="758">
        <v>4</v>
      </c>
      <c r="C410" s="22" t="s">
        <v>312</v>
      </c>
      <c r="D410" s="59"/>
      <c r="E410" s="677">
        <f t="shared" ref="E410:Q410" si="89">SUM(E399:E409)</f>
        <v>0.21712519319938176</v>
      </c>
      <c r="F410" s="677">
        <f t="shared" si="89"/>
        <v>0.26004737872077455</v>
      </c>
      <c r="G410" s="677">
        <f t="shared" si="89"/>
        <v>0.31460026751723424</v>
      </c>
      <c r="H410" s="677">
        <f t="shared" si="89"/>
        <v>0.4774843284348988</v>
      </c>
      <c r="I410" s="677">
        <f t="shared" si="89"/>
        <v>0.77165808444902162</v>
      </c>
      <c r="J410" s="677">
        <f t="shared" si="89"/>
        <v>0.85182820063858278</v>
      </c>
      <c r="K410" s="677">
        <f t="shared" si="89"/>
        <v>0.87820261774708852</v>
      </c>
      <c r="L410" s="677">
        <f t="shared" si="89"/>
        <v>0.82400584963954682</v>
      </c>
      <c r="M410" s="677">
        <f t="shared" si="89"/>
        <v>0.85902438247995072</v>
      </c>
      <c r="N410" s="677">
        <f t="shared" si="89"/>
        <v>0.9472267113402062</v>
      </c>
      <c r="O410" s="677">
        <f t="shared" si="89"/>
        <v>0.88091699060984419</v>
      </c>
      <c r="P410" s="677">
        <f t="shared" si="89"/>
        <v>1.1177047906976745</v>
      </c>
      <c r="Q410" s="677">
        <f t="shared" si="89"/>
        <v>8.3998247954742045</v>
      </c>
      <c r="R410" s="660"/>
    </row>
    <row r="411" spans="2:18" x14ac:dyDescent="0.35">
      <c r="B411" s="49"/>
      <c r="C411" s="16"/>
      <c r="D411" s="120"/>
      <c r="E411" s="769"/>
      <c r="F411" s="769"/>
      <c r="G411" s="769"/>
      <c r="H411" s="769"/>
      <c r="I411" s="769"/>
      <c r="J411" s="769"/>
      <c r="K411" s="769"/>
      <c r="L411" s="769"/>
      <c r="M411" s="769"/>
      <c r="N411" s="769"/>
      <c r="O411" s="769"/>
      <c r="P411" s="769"/>
      <c r="Q411" s="769"/>
    </row>
    <row r="412" spans="2:18" x14ac:dyDescent="0.35">
      <c r="B412" s="49" t="s">
        <v>1039</v>
      </c>
      <c r="C412" s="16"/>
      <c r="D412" s="120"/>
      <c r="E412" s="769"/>
      <c r="F412" s="769"/>
      <c r="G412" s="769"/>
      <c r="H412" s="769"/>
      <c r="I412" s="769"/>
      <c r="J412" s="769"/>
      <c r="K412" s="769"/>
      <c r="L412" s="769"/>
      <c r="M412" s="769"/>
      <c r="N412" s="769"/>
      <c r="O412" s="769"/>
      <c r="P412" s="769"/>
      <c r="Q412" s="769"/>
    </row>
    <row r="413" spans="2:18" x14ac:dyDescent="0.35">
      <c r="B413" s="49"/>
      <c r="C413" s="99"/>
      <c r="D413" s="179"/>
      <c r="E413" s="11"/>
      <c r="F413" s="12"/>
      <c r="G413" s="11"/>
      <c r="H413" s="11"/>
      <c r="I413" s="11"/>
    </row>
    <row r="414" spans="2:18" ht="27.6" customHeight="1" x14ac:dyDescent="0.35">
      <c r="B414" s="1980" t="s">
        <v>1</v>
      </c>
      <c r="C414" s="1980" t="s">
        <v>111</v>
      </c>
      <c r="D414" s="1938" t="s">
        <v>322</v>
      </c>
      <c r="E414" s="1940" t="s">
        <v>186</v>
      </c>
      <c r="F414" s="1940"/>
      <c r="G414" s="1940"/>
      <c r="H414" s="1940"/>
      <c r="I414" s="1940"/>
      <c r="J414" s="1940"/>
      <c r="K414" s="1940" t="s">
        <v>187</v>
      </c>
      <c r="L414" s="1940"/>
      <c r="M414" s="1940"/>
      <c r="N414" s="1940"/>
      <c r="O414" s="1940"/>
      <c r="P414" s="1940"/>
      <c r="Q414" s="1940" t="s">
        <v>164</v>
      </c>
    </row>
    <row r="415" spans="2:18" x14ac:dyDescent="0.35">
      <c r="B415" s="1981"/>
      <c r="C415" s="1981"/>
      <c r="D415" s="1983"/>
      <c r="E415" s="98" t="s">
        <v>172</v>
      </c>
      <c r="F415" s="98" t="s">
        <v>173</v>
      </c>
      <c r="G415" s="98" t="s">
        <v>174</v>
      </c>
      <c r="H415" s="98" t="s">
        <v>175</v>
      </c>
      <c r="I415" s="98" t="s">
        <v>176</v>
      </c>
      <c r="J415" s="98" t="s">
        <v>177</v>
      </c>
      <c r="K415" s="98" t="s">
        <v>178</v>
      </c>
      <c r="L415" s="98" t="s">
        <v>179</v>
      </c>
      <c r="M415" s="98" t="s">
        <v>180</v>
      </c>
      <c r="N415" s="98" t="s">
        <v>181</v>
      </c>
      <c r="O415" s="98" t="s">
        <v>182</v>
      </c>
      <c r="P415" s="98" t="s">
        <v>183</v>
      </c>
      <c r="Q415" s="1940"/>
    </row>
    <row r="416" spans="2:18" x14ac:dyDescent="0.35">
      <c r="B416" s="758">
        <v>1</v>
      </c>
      <c r="C416" s="63" t="s">
        <v>269</v>
      </c>
      <c r="D416" s="200"/>
      <c r="E416" s="177"/>
      <c r="F416" s="19"/>
      <c r="G416" s="19"/>
      <c r="H416" s="19"/>
      <c r="I416" s="19"/>
      <c r="J416" s="19"/>
      <c r="K416" s="19"/>
      <c r="L416" s="19"/>
      <c r="M416" s="19"/>
      <c r="N416" s="19"/>
      <c r="O416" s="19"/>
      <c r="P416" s="19"/>
      <c r="Q416" s="19"/>
    </row>
    <row r="417" spans="2:22" x14ac:dyDescent="0.35">
      <c r="B417" s="74">
        <v>1.1000000000000001</v>
      </c>
      <c r="C417" s="697" t="s">
        <v>1202</v>
      </c>
      <c r="D417" s="219"/>
      <c r="E417" s="657">
        <v>3.3016999999999998E-2</v>
      </c>
      <c r="F417" s="676">
        <v>2.9232000000000001E-2</v>
      </c>
      <c r="G417" s="676">
        <v>1.8804999999999999E-2</v>
      </c>
      <c r="H417" s="676">
        <v>1.3372999999999999E-2</v>
      </c>
      <c r="I417" s="676">
        <v>1.3917000000000001E-2</v>
      </c>
      <c r="J417" s="676">
        <v>1.2317E-2</v>
      </c>
      <c r="K417" s="676">
        <v>3.0095500000000001E-2</v>
      </c>
      <c r="L417" s="676">
        <v>2.4570999999999999E-2</v>
      </c>
      <c r="M417" s="676">
        <v>1.8181200000000002E-2</v>
      </c>
      <c r="N417" s="676">
        <v>2.1880699999999999E-2</v>
      </c>
      <c r="O417" s="676">
        <v>2.4853799999999999E-2</v>
      </c>
      <c r="P417" s="676">
        <v>2.8507000000000001E-2</v>
      </c>
      <c r="Q417" s="658">
        <f t="shared" ref="Q417:Q426" si="90">SUM(E417:P417)</f>
        <v>0.26875019999999999</v>
      </c>
    </row>
    <row r="418" spans="2:22" x14ac:dyDescent="0.35">
      <c r="B418" s="74">
        <v>1.2</v>
      </c>
      <c r="C418" s="61" t="s">
        <v>237</v>
      </c>
      <c r="D418" s="219"/>
      <c r="E418" s="177"/>
      <c r="F418" s="19"/>
      <c r="G418" s="19"/>
      <c r="H418" s="19"/>
      <c r="I418" s="19"/>
      <c r="J418" s="19"/>
      <c r="K418" s="19"/>
      <c r="L418" s="19"/>
      <c r="M418" s="19"/>
      <c r="N418" s="19"/>
      <c r="O418" s="19"/>
      <c r="P418" s="19"/>
      <c r="Q418" s="658">
        <f t="shared" si="90"/>
        <v>0</v>
      </c>
    </row>
    <row r="419" spans="2:22" x14ac:dyDescent="0.35">
      <c r="B419" s="74">
        <v>1.3</v>
      </c>
      <c r="C419" s="61" t="s">
        <v>270</v>
      </c>
      <c r="D419" s="219"/>
      <c r="E419" s="177"/>
      <c r="F419" s="19"/>
      <c r="G419" s="19"/>
      <c r="H419" s="19"/>
      <c r="I419" s="19"/>
      <c r="J419" s="19"/>
      <c r="K419" s="19"/>
      <c r="L419" s="19"/>
      <c r="M419" s="19"/>
      <c r="N419" s="19"/>
      <c r="O419" s="19"/>
      <c r="P419" s="19"/>
      <c r="Q419" s="658">
        <f t="shared" si="90"/>
        <v>0</v>
      </c>
    </row>
    <row r="420" spans="2:22" x14ac:dyDescent="0.35">
      <c r="B420" s="758">
        <v>2</v>
      </c>
      <c r="C420" s="63" t="s">
        <v>271</v>
      </c>
      <c r="D420" s="200"/>
      <c r="E420" s="177"/>
      <c r="F420" s="19"/>
      <c r="G420" s="19"/>
      <c r="H420" s="19"/>
      <c r="I420" s="19"/>
      <c r="J420" s="19"/>
      <c r="K420" s="19"/>
      <c r="L420" s="19"/>
      <c r="M420" s="19"/>
      <c r="N420" s="19"/>
      <c r="O420" s="19"/>
      <c r="P420" s="19"/>
      <c r="Q420" s="658">
        <f t="shared" si="90"/>
        <v>0</v>
      </c>
      <c r="V420" s="662"/>
    </row>
    <row r="421" spans="2:22" x14ac:dyDescent="0.35">
      <c r="B421" s="74">
        <v>2.1</v>
      </c>
      <c r="C421" s="61" t="s">
        <v>1203</v>
      </c>
      <c r="D421" s="219">
        <v>2.6</v>
      </c>
      <c r="E421" s="657">
        <v>1.258035</v>
      </c>
      <c r="F421" s="676">
        <v>1.3023</v>
      </c>
      <c r="G421" s="676">
        <v>1.2363919999999999</v>
      </c>
      <c r="H421" s="676">
        <v>1.3514600000000001</v>
      </c>
      <c r="I421" s="676">
        <v>1.327529</v>
      </c>
      <c r="J421" s="676">
        <v>1.2975110000000001</v>
      </c>
      <c r="K421" s="19"/>
      <c r="L421" s="19"/>
      <c r="M421" s="19"/>
      <c r="N421" s="19"/>
      <c r="O421" s="19"/>
      <c r="P421" s="19"/>
      <c r="Q421" s="658">
        <f t="shared" si="90"/>
        <v>7.7732270000000003</v>
      </c>
      <c r="V421" s="662"/>
    </row>
    <row r="422" spans="2:22" x14ac:dyDescent="0.35">
      <c r="B422" s="74">
        <v>2.2000000000000002</v>
      </c>
      <c r="C422" s="61" t="s">
        <v>237</v>
      </c>
      <c r="D422" s="219"/>
      <c r="E422" s="177"/>
      <c r="F422" s="19"/>
      <c r="G422" s="19"/>
      <c r="H422" s="19"/>
      <c r="I422" s="19"/>
      <c r="J422" s="19"/>
      <c r="K422" s="19"/>
      <c r="L422" s="19"/>
      <c r="M422" s="19"/>
      <c r="N422" s="19"/>
      <c r="O422" s="19"/>
      <c r="P422" s="19"/>
      <c r="Q422" s="658">
        <f t="shared" si="90"/>
        <v>0</v>
      </c>
    </row>
    <row r="423" spans="2:22" x14ac:dyDescent="0.35">
      <c r="B423" s="758">
        <v>3</v>
      </c>
      <c r="C423" s="63" t="s">
        <v>272</v>
      </c>
      <c r="D423" s="200"/>
      <c r="E423" s="177"/>
      <c r="F423" s="19"/>
      <c r="G423" s="19"/>
      <c r="H423" s="19"/>
      <c r="I423" s="19"/>
      <c r="J423" s="19"/>
      <c r="K423" s="19"/>
      <c r="L423" s="19"/>
      <c r="M423" s="19"/>
      <c r="N423" s="19"/>
      <c r="O423" s="19"/>
      <c r="P423" s="19"/>
      <c r="Q423" s="658">
        <f t="shared" si="90"/>
        <v>0</v>
      </c>
    </row>
    <row r="424" spans="2:22" x14ac:dyDescent="0.4">
      <c r="B424" s="74">
        <v>3.1</v>
      </c>
      <c r="C424" s="107" t="s">
        <v>1208</v>
      </c>
      <c r="D424" s="219" t="str">
        <f>+Assum!B69</f>
        <v>2.2 to 2.6</v>
      </c>
      <c r="E424" s="177"/>
      <c r="F424" s="19"/>
      <c r="G424" s="19"/>
      <c r="H424" s="19"/>
      <c r="I424" s="19"/>
      <c r="J424" s="19"/>
      <c r="K424" s="676">
        <v>1.3942075</v>
      </c>
      <c r="L424" s="676">
        <v>1.3530063999999999</v>
      </c>
      <c r="M424" s="676">
        <v>1.5296891000000001</v>
      </c>
      <c r="N424" s="676">
        <v>1.6068499999999999</v>
      </c>
      <c r="O424" s="676">
        <v>1.46102975</v>
      </c>
      <c r="P424" s="676">
        <v>1.8125675000000001</v>
      </c>
      <c r="Q424" s="658">
        <f t="shared" si="90"/>
        <v>9.1573502500000004</v>
      </c>
    </row>
    <row r="425" spans="2:22" x14ac:dyDescent="0.35">
      <c r="B425" s="74">
        <v>3.2</v>
      </c>
      <c r="C425" s="61" t="s">
        <v>1207</v>
      </c>
      <c r="D425" s="219"/>
      <c r="E425" s="657"/>
      <c r="F425" s="676"/>
      <c r="G425" s="676"/>
      <c r="H425" s="676"/>
      <c r="I425" s="676"/>
      <c r="J425" s="676"/>
      <c r="K425" s="676">
        <v>4.5372500000000003E-2</v>
      </c>
      <c r="L425" s="676">
        <v>9.3386999999999998E-2</v>
      </c>
      <c r="M425" s="676">
        <v>5.0099999999999999E-2</v>
      </c>
      <c r="N425" s="676"/>
      <c r="O425" s="676"/>
      <c r="P425" s="676">
        <v>9.2045000000000002E-2</v>
      </c>
      <c r="Q425" s="658">
        <f t="shared" si="90"/>
        <v>0.2809045</v>
      </c>
    </row>
    <row r="426" spans="2:22" x14ac:dyDescent="0.35">
      <c r="B426" s="74">
        <v>3.3000000000000003</v>
      </c>
      <c r="C426" s="61" t="s">
        <v>1204</v>
      </c>
      <c r="D426" s="219"/>
      <c r="E426" s="676">
        <f t="shared" ref="E426:P426" si="91">+E109</f>
        <v>-9.6952579012600681E-2</v>
      </c>
      <c r="F426" s="676">
        <f t="shared" si="91"/>
        <v>-7.9567579532585198E-2</v>
      </c>
      <c r="G426" s="676">
        <f t="shared" si="91"/>
        <v>6.9056154657293645E-2</v>
      </c>
      <c r="H426" s="676">
        <f t="shared" si="91"/>
        <v>7.006317880794688E-2</v>
      </c>
      <c r="I426" s="676">
        <f t="shared" si="91"/>
        <v>7.44585776397515E-2</v>
      </c>
      <c r="J426" s="676">
        <f t="shared" si="91"/>
        <v>6.7719864580105371E-2</v>
      </c>
      <c r="K426" s="676">
        <f t="shared" si="91"/>
        <v>4.4058521882741397E-2</v>
      </c>
      <c r="L426" s="676">
        <f t="shared" si="91"/>
        <v>4.7383667436585064E-2</v>
      </c>
      <c r="M426" s="676">
        <f t="shared" si="91"/>
        <v>4.0000590721649409E-2</v>
      </c>
      <c r="N426" s="676">
        <f t="shared" si="91"/>
        <v>4.161265110032053E-2</v>
      </c>
      <c r="O426" s="676">
        <f t="shared" si="91"/>
        <v>4.3367435139190613E-2</v>
      </c>
      <c r="P426" s="676">
        <f t="shared" si="91"/>
        <v>0.13839049989655527</v>
      </c>
      <c r="Q426" s="658">
        <f t="shared" si="90"/>
        <v>0.45959098331695381</v>
      </c>
    </row>
    <row r="427" spans="2:22" x14ac:dyDescent="0.35">
      <c r="B427" s="758">
        <v>4</v>
      </c>
      <c r="C427" s="22" t="s">
        <v>312</v>
      </c>
      <c r="D427" s="59"/>
      <c r="E427" s="677">
        <f t="shared" ref="E427:Q427" si="92">SUM(E416:E426)</f>
        <v>1.1940994209873994</v>
      </c>
      <c r="F427" s="677">
        <f t="shared" si="92"/>
        <v>1.2519644204674147</v>
      </c>
      <c r="G427" s="677">
        <f t="shared" si="92"/>
        <v>1.3242531546572935</v>
      </c>
      <c r="H427" s="677">
        <f t="shared" si="92"/>
        <v>1.4348961788079471</v>
      </c>
      <c r="I427" s="677">
        <f t="shared" si="92"/>
        <v>1.4159045776397514</v>
      </c>
      <c r="J427" s="677">
        <f t="shared" si="92"/>
        <v>1.3775478645801054</v>
      </c>
      <c r="K427" s="677">
        <f t="shared" si="92"/>
        <v>1.5137340218827415</v>
      </c>
      <c r="L427" s="677">
        <f t="shared" si="92"/>
        <v>1.5183480674365848</v>
      </c>
      <c r="M427" s="677">
        <f t="shared" si="92"/>
        <v>1.6379708907216495</v>
      </c>
      <c r="N427" s="677">
        <f t="shared" si="92"/>
        <v>1.6703433511003205</v>
      </c>
      <c r="O427" s="677">
        <f t="shared" si="92"/>
        <v>1.5292509851391907</v>
      </c>
      <c r="P427" s="677">
        <f t="shared" si="92"/>
        <v>2.0715099998965556</v>
      </c>
      <c r="Q427" s="677">
        <f t="shared" si="92"/>
        <v>17.93982293331695</v>
      </c>
      <c r="R427" s="660"/>
    </row>
    <row r="428" spans="2:22" x14ac:dyDescent="0.35">
      <c r="B428" s="49"/>
      <c r="C428" s="16"/>
      <c r="D428" s="120"/>
      <c r="E428" s="769"/>
      <c r="F428" s="769"/>
      <c r="G428" s="769"/>
      <c r="H428" s="769"/>
      <c r="I428" s="769"/>
      <c r="J428" s="769"/>
      <c r="K428" s="769"/>
      <c r="L428" s="769"/>
      <c r="M428" s="769"/>
      <c r="N428" s="769"/>
      <c r="O428" s="769"/>
      <c r="P428" s="769"/>
      <c r="Q428" s="769"/>
    </row>
    <row r="429" spans="2:22" x14ac:dyDescent="0.35">
      <c r="B429" s="49" t="s">
        <v>304</v>
      </c>
      <c r="C429" s="99"/>
      <c r="D429" s="179"/>
      <c r="E429" s="11"/>
      <c r="F429" s="12"/>
      <c r="G429" s="11"/>
      <c r="H429" s="11"/>
      <c r="I429" s="11"/>
    </row>
    <row r="430" spans="2:22" x14ac:dyDescent="0.35">
      <c r="B430" s="49"/>
      <c r="C430" s="99"/>
      <c r="D430" s="179"/>
      <c r="E430" s="11"/>
      <c r="F430" s="12"/>
      <c r="G430" s="11"/>
      <c r="H430" s="11"/>
      <c r="I430" s="11"/>
    </row>
    <row r="431" spans="2:22" ht="27.6" customHeight="1" x14ac:dyDescent="0.35">
      <c r="B431" s="1980" t="s">
        <v>1</v>
      </c>
      <c r="C431" s="1980" t="s">
        <v>111</v>
      </c>
      <c r="D431" s="1938" t="s">
        <v>322</v>
      </c>
      <c r="E431" s="1940" t="s">
        <v>186</v>
      </c>
      <c r="F431" s="1940"/>
      <c r="G431" s="1940"/>
      <c r="H431" s="1940"/>
      <c r="I431" s="1940"/>
      <c r="J431" s="1940"/>
      <c r="K431" s="1940" t="s">
        <v>187</v>
      </c>
      <c r="L431" s="1940"/>
      <c r="M431" s="1940"/>
      <c r="N431" s="1940"/>
      <c r="O431" s="1940"/>
      <c r="P431" s="1940"/>
      <c r="Q431" s="1940" t="s">
        <v>164</v>
      </c>
    </row>
    <row r="432" spans="2:22" x14ac:dyDescent="0.35">
      <c r="B432" s="1981"/>
      <c r="C432" s="1981"/>
      <c r="D432" s="1983"/>
      <c r="E432" s="98" t="s">
        <v>172</v>
      </c>
      <c r="F432" s="98" t="s">
        <v>173</v>
      </c>
      <c r="G432" s="98" t="s">
        <v>174</v>
      </c>
      <c r="H432" s="98" t="s">
        <v>175</v>
      </c>
      <c r="I432" s="98" t="s">
        <v>176</v>
      </c>
      <c r="J432" s="98" t="s">
        <v>177</v>
      </c>
      <c r="K432" s="98" t="s">
        <v>178</v>
      </c>
      <c r="L432" s="98" t="s">
        <v>179</v>
      </c>
      <c r="M432" s="98" t="s">
        <v>180</v>
      </c>
      <c r="N432" s="98" t="s">
        <v>181</v>
      </c>
      <c r="O432" s="98" t="s">
        <v>182</v>
      </c>
      <c r="P432" s="98" t="s">
        <v>183</v>
      </c>
      <c r="Q432" s="1940"/>
    </row>
    <row r="433" spans="2:18" x14ac:dyDescent="0.35">
      <c r="B433" s="758">
        <v>1</v>
      </c>
      <c r="C433" s="63" t="s">
        <v>269</v>
      </c>
      <c r="D433" s="200"/>
      <c r="E433" s="177"/>
      <c r="F433" s="19"/>
      <c r="G433" s="19"/>
      <c r="H433" s="19"/>
      <c r="I433" s="19"/>
      <c r="J433" s="19"/>
      <c r="K433" s="19"/>
      <c r="L433" s="19"/>
      <c r="M433" s="19"/>
      <c r="N433" s="19"/>
      <c r="O433" s="19"/>
      <c r="P433" s="19"/>
      <c r="Q433" s="19"/>
    </row>
    <row r="434" spans="2:18" x14ac:dyDescent="0.35">
      <c r="B434" s="74">
        <v>1.1000000000000001</v>
      </c>
      <c r="C434" s="697" t="s">
        <v>1202</v>
      </c>
      <c r="D434" s="219"/>
      <c r="E434" s="657">
        <v>3.4007999999999997E-2</v>
      </c>
      <c r="F434" s="676">
        <v>3.9253499999999997E-2</v>
      </c>
      <c r="G434" s="676">
        <v>2.3484999999999999E-2</v>
      </c>
      <c r="H434" s="676">
        <v>5.3351199999999996E-3</v>
      </c>
      <c r="I434" s="676">
        <v>9.7672999999999996E-3</v>
      </c>
      <c r="J434" s="676">
        <v>1.31848E-2</v>
      </c>
      <c r="K434" s="676">
        <v>2.41409E-2</v>
      </c>
      <c r="L434" s="676">
        <v>2.1366200000000002E-2</v>
      </c>
      <c r="M434" s="676">
        <v>1.1278E-2</v>
      </c>
      <c r="N434" s="676">
        <v>8.5743099999999999E-3</v>
      </c>
      <c r="O434" s="676">
        <v>8.0922900000000002E-3</v>
      </c>
      <c r="P434" s="676">
        <v>2.1265700000000002E-2</v>
      </c>
      <c r="Q434" s="658">
        <f t="shared" ref="Q434:Q444" si="93">SUM(E434:P434)</f>
        <v>0.21975111999999999</v>
      </c>
    </row>
    <row r="435" spans="2:18" x14ac:dyDescent="0.35">
      <c r="B435" s="74">
        <v>1.2</v>
      </c>
      <c r="C435" s="61" t="s">
        <v>237</v>
      </c>
      <c r="D435" s="219"/>
      <c r="E435" s="177"/>
      <c r="F435" s="19"/>
      <c r="G435" s="19"/>
      <c r="H435" s="19"/>
      <c r="I435" s="19"/>
      <c r="J435" s="19"/>
      <c r="K435" s="19"/>
      <c r="L435" s="19"/>
      <c r="M435" s="19"/>
      <c r="N435" s="19"/>
      <c r="O435" s="19"/>
      <c r="P435" s="19"/>
      <c r="Q435" s="658">
        <f t="shared" si="93"/>
        <v>0</v>
      </c>
    </row>
    <row r="436" spans="2:18" x14ac:dyDescent="0.35">
      <c r="B436" s="74">
        <v>1.3</v>
      </c>
      <c r="C436" s="61" t="s">
        <v>270</v>
      </c>
      <c r="D436" s="219"/>
      <c r="E436" s="177"/>
      <c r="F436" s="19"/>
      <c r="G436" s="19"/>
      <c r="H436" s="19"/>
      <c r="I436" s="19"/>
      <c r="J436" s="19"/>
      <c r="K436" s="19"/>
      <c r="L436" s="19"/>
      <c r="M436" s="19"/>
      <c r="N436" s="19"/>
      <c r="O436" s="19"/>
      <c r="P436" s="19"/>
      <c r="Q436" s="658">
        <f t="shared" si="93"/>
        <v>0</v>
      </c>
    </row>
    <row r="437" spans="2:18" x14ac:dyDescent="0.35">
      <c r="B437" s="758">
        <v>2</v>
      </c>
      <c r="C437" s="63" t="s">
        <v>271</v>
      </c>
      <c r="D437" s="200"/>
      <c r="E437" s="177"/>
      <c r="F437" s="19"/>
      <c r="G437" s="19"/>
      <c r="H437" s="19"/>
      <c r="I437" s="19"/>
      <c r="J437" s="19"/>
      <c r="K437" s="19"/>
      <c r="L437" s="19"/>
      <c r="M437" s="19"/>
      <c r="N437" s="19"/>
      <c r="O437" s="19"/>
      <c r="P437" s="19"/>
      <c r="Q437" s="658">
        <f t="shared" si="93"/>
        <v>0</v>
      </c>
    </row>
    <row r="438" spans="2:18" x14ac:dyDescent="0.35">
      <c r="B438" s="74">
        <v>2.1</v>
      </c>
      <c r="C438" s="61" t="s">
        <v>235</v>
      </c>
      <c r="D438" s="219"/>
      <c r="E438" s="177"/>
      <c r="F438" s="19"/>
      <c r="G438" s="19"/>
      <c r="H438" s="19"/>
      <c r="I438" s="19"/>
      <c r="J438" s="19"/>
      <c r="K438" s="19"/>
      <c r="L438" s="19"/>
      <c r="M438" s="19"/>
      <c r="N438" s="19"/>
      <c r="O438" s="19"/>
      <c r="P438" s="19"/>
      <c r="Q438" s="658">
        <f t="shared" si="93"/>
        <v>0</v>
      </c>
    </row>
    <row r="439" spans="2:18" x14ac:dyDescent="0.35">
      <c r="B439" s="74">
        <v>2.2000000000000002</v>
      </c>
      <c r="C439" s="61" t="s">
        <v>237</v>
      </c>
      <c r="D439" s="219"/>
      <c r="E439" s="177"/>
      <c r="F439" s="19"/>
      <c r="G439" s="19"/>
      <c r="H439" s="19"/>
      <c r="I439" s="19"/>
      <c r="J439" s="19"/>
      <c r="K439" s="19"/>
      <c r="L439" s="19"/>
      <c r="M439" s="19"/>
      <c r="N439" s="19"/>
      <c r="O439" s="19"/>
      <c r="P439" s="19"/>
      <c r="Q439" s="658">
        <f t="shared" si="93"/>
        <v>0</v>
      </c>
    </row>
    <row r="440" spans="2:18" x14ac:dyDescent="0.35">
      <c r="B440" s="758">
        <v>3</v>
      </c>
      <c r="C440" s="63" t="s">
        <v>272</v>
      </c>
      <c r="D440" s="200"/>
      <c r="E440" s="177"/>
      <c r="F440" s="19"/>
      <c r="G440" s="19"/>
      <c r="H440" s="19"/>
      <c r="I440" s="19"/>
      <c r="J440" s="19"/>
      <c r="K440" s="19"/>
      <c r="L440" s="19"/>
      <c r="M440" s="19"/>
      <c r="N440" s="19"/>
      <c r="O440" s="19"/>
      <c r="P440" s="19"/>
      <c r="Q440" s="658">
        <f t="shared" si="93"/>
        <v>0</v>
      </c>
    </row>
    <row r="441" spans="2:18" x14ac:dyDescent="0.4">
      <c r="B441" s="74">
        <v>3.1</v>
      </c>
      <c r="C441" s="107" t="s">
        <v>1208</v>
      </c>
      <c r="D441" s="219">
        <f>+Assum!B70</f>
        <v>3</v>
      </c>
      <c r="E441" s="657">
        <v>1.764</v>
      </c>
      <c r="F441" s="676">
        <v>1.8600399999999999</v>
      </c>
      <c r="G441" s="676">
        <v>1.8720000000000001</v>
      </c>
      <c r="H441" s="676">
        <v>2.0111530000000002</v>
      </c>
      <c r="I441" s="676">
        <v>1.9644200000000001</v>
      </c>
      <c r="J441" s="676">
        <v>2.0370400000000002</v>
      </c>
      <c r="K441" s="676">
        <v>1.8905025</v>
      </c>
      <c r="L441" s="676">
        <v>2.1130650000000002</v>
      </c>
      <c r="M441" s="676">
        <v>0.90393500000000004</v>
      </c>
      <c r="N441" s="676">
        <v>2.2075499999999999</v>
      </c>
      <c r="O441" s="676">
        <v>1.7572179999999999</v>
      </c>
      <c r="P441" s="676">
        <v>1.9054</v>
      </c>
      <c r="Q441" s="658">
        <f t="shared" si="93"/>
        <v>22.286323500000002</v>
      </c>
    </row>
    <row r="442" spans="2:18" ht="27.75" x14ac:dyDescent="0.35">
      <c r="B442" s="74">
        <v>3.2</v>
      </c>
      <c r="C442" s="61" t="s">
        <v>1230</v>
      </c>
      <c r="D442" s="219">
        <f>+Assum!B71</f>
        <v>3</v>
      </c>
      <c r="E442" s="177"/>
      <c r="F442" s="19"/>
      <c r="G442" s="19"/>
      <c r="H442" s="19"/>
      <c r="I442" s="19"/>
      <c r="J442" s="19"/>
      <c r="K442" s="19"/>
      <c r="L442" s="19"/>
      <c r="M442" s="19"/>
      <c r="N442" s="19"/>
      <c r="O442" s="676">
        <v>1.4087233899999998</v>
      </c>
      <c r="P442" s="676">
        <v>1.52508953</v>
      </c>
      <c r="Q442" s="658">
        <f t="shared" si="93"/>
        <v>2.9338129199999998</v>
      </c>
    </row>
    <row r="443" spans="2:18" x14ac:dyDescent="0.35">
      <c r="B443" s="74">
        <v>3.3000000000000003</v>
      </c>
      <c r="C443" s="61" t="s">
        <v>1207</v>
      </c>
      <c r="D443" s="219"/>
      <c r="E443" s="657">
        <v>9.5241999999999993E-2</v>
      </c>
      <c r="F443" s="675">
        <v>0.23550299999999999</v>
      </c>
      <c r="G443" s="675">
        <v>0.15271999999999999</v>
      </c>
      <c r="H443" s="675">
        <v>3.5834999999999999E-2</v>
      </c>
      <c r="I443" s="675">
        <v>0.19361999999999999</v>
      </c>
      <c r="J443" s="675">
        <v>0.13566</v>
      </c>
      <c r="K443" s="675">
        <v>0.30679800000000002</v>
      </c>
      <c r="L443" s="675">
        <v>4.4792999999999999E-2</v>
      </c>
      <c r="M443" s="675">
        <v>1.3236680000000001</v>
      </c>
      <c r="N443" s="675">
        <v>0</v>
      </c>
      <c r="O443" s="675">
        <v>-1.1048199999999999</v>
      </c>
      <c r="P443" s="675">
        <v>-1.0638700000000001</v>
      </c>
      <c r="Q443" s="658">
        <f t="shared" si="93"/>
        <v>0.35514899999999971</v>
      </c>
    </row>
    <row r="444" spans="2:18" x14ac:dyDescent="0.35">
      <c r="B444" s="74">
        <v>3.4</v>
      </c>
      <c r="C444" s="61" t="s">
        <v>1204</v>
      </c>
      <c r="D444" s="219"/>
      <c r="E444" s="657">
        <f t="shared" ref="E444:P444" si="94">+E136</f>
        <v>0.25790928922025458</v>
      </c>
      <c r="F444" s="657">
        <f t="shared" si="94"/>
        <v>0.12261908393632437</v>
      </c>
      <c r="G444" s="657">
        <f t="shared" si="94"/>
        <v>6.1644388377623649E-2</v>
      </c>
      <c r="H444" s="657">
        <f t="shared" si="94"/>
        <v>4.3576591318760904E-2</v>
      </c>
      <c r="I444" s="657">
        <f t="shared" si="94"/>
        <v>4.2083979749974354E-2</v>
      </c>
      <c r="J444" s="657">
        <f t="shared" si="94"/>
        <v>-1.0552709971038521E-2</v>
      </c>
      <c r="K444" s="657">
        <f t="shared" si="94"/>
        <v>2.0015618556703529E-3</v>
      </c>
      <c r="L444" s="657">
        <f t="shared" si="94"/>
        <v>-6.2784545454546148E-3</v>
      </c>
      <c r="M444" s="657">
        <f t="shared" si="94"/>
        <v>5.9569499225766265E-2</v>
      </c>
      <c r="N444" s="657">
        <f t="shared" si="94"/>
        <v>7.1774938067712402E-2</v>
      </c>
      <c r="O444" s="657">
        <f t="shared" si="94"/>
        <v>0.13114328847157575</v>
      </c>
      <c r="P444" s="657">
        <f t="shared" si="94"/>
        <v>0.22510414469257034</v>
      </c>
      <c r="Q444" s="658">
        <f t="shared" si="93"/>
        <v>1.0005956003997398</v>
      </c>
    </row>
    <row r="445" spans="2:18" x14ac:dyDescent="0.35">
      <c r="B445" s="758">
        <v>4</v>
      </c>
      <c r="C445" s="22" t="s">
        <v>312</v>
      </c>
      <c r="D445" s="59"/>
      <c r="E445" s="677">
        <f>SUM(E433:E444)</f>
        <v>2.1511592892202547</v>
      </c>
      <c r="F445" s="677">
        <f t="shared" ref="F445:Q445" si="95">SUM(F433:F444)</f>
        <v>2.2574155839363241</v>
      </c>
      <c r="G445" s="677">
        <f t="shared" si="95"/>
        <v>2.1098493883776239</v>
      </c>
      <c r="H445" s="677">
        <f t="shared" si="95"/>
        <v>2.095899711318761</v>
      </c>
      <c r="I445" s="677">
        <f t="shared" si="95"/>
        <v>2.2098912797499746</v>
      </c>
      <c r="J445" s="677">
        <f t="shared" si="95"/>
        <v>2.1753320900289617</v>
      </c>
      <c r="K445" s="677">
        <f t="shared" si="95"/>
        <v>2.2234429618556701</v>
      </c>
      <c r="L445" s="677">
        <f t="shared" si="95"/>
        <v>2.1729457454545456</v>
      </c>
      <c r="M445" s="677">
        <f t="shared" si="95"/>
        <v>2.2984504992257664</v>
      </c>
      <c r="N445" s="677">
        <f t="shared" si="95"/>
        <v>2.2878992480677125</v>
      </c>
      <c r="O445" s="677">
        <f t="shared" si="95"/>
        <v>2.2003569684715756</v>
      </c>
      <c r="P445" s="677">
        <f t="shared" si="95"/>
        <v>2.6129893746925701</v>
      </c>
      <c r="Q445" s="677">
        <f t="shared" si="95"/>
        <v>26.795632140399746</v>
      </c>
      <c r="R445" s="660"/>
    </row>
    <row r="447" spans="2:18" x14ac:dyDescent="0.35">
      <c r="B447" s="49" t="s">
        <v>313</v>
      </c>
      <c r="C447" s="99"/>
      <c r="D447" s="179"/>
      <c r="E447" s="11"/>
      <c r="F447" s="12"/>
      <c r="G447" s="11"/>
      <c r="H447" s="11"/>
      <c r="I447" s="11"/>
    </row>
    <row r="448" spans="2:18" x14ac:dyDescent="0.35">
      <c r="B448" s="49"/>
      <c r="C448" s="99"/>
      <c r="D448" s="179"/>
      <c r="E448" s="11"/>
      <c r="F448" s="12"/>
      <c r="G448" s="11"/>
      <c r="H448" s="11"/>
      <c r="I448" s="11"/>
    </row>
    <row r="449" spans="2:18" ht="27.6" customHeight="1" x14ac:dyDescent="0.35">
      <c r="B449" s="1980" t="s">
        <v>1</v>
      </c>
      <c r="C449" s="1980" t="s">
        <v>111</v>
      </c>
      <c r="D449" s="1938" t="s">
        <v>322</v>
      </c>
      <c r="E449" s="1940" t="s">
        <v>186</v>
      </c>
      <c r="F449" s="1940"/>
      <c r="G449" s="1940"/>
      <c r="H449" s="1940"/>
      <c r="I449" s="1940"/>
      <c r="J449" s="1940"/>
      <c r="K449" s="1940" t="s">
        <v>187</v>
      </c>
      <c r="L449" s="1940"/>
      <c r="M449" s="1940"/>
      <c r="N449" s="1940"/>
      <c r="O449" s="1940"/>
      <c r="P449" s="1940"/>
      <c r="Q449" s="1940" t="s">
        <v>164</v>
      </c>
    </row>
    <row r="450" spans="2:18" x14ac:dyDescent="0.35">
      <c r="B450" s="1981"/>
      <c r="C450" s="1981"/>
      <c r="D450" s="1983"/>
      <c r="E450" s="98" t="s">
        <v>172</v>
      </c>
      <c r="F450" s="98" t="s">
        <v>173</v>
      </c>
      <c r="G450" s="98" t="s">
        <v>174</v>
      </c>
      <c r="H450" s="98" t="s">
        <v>175</v>
      </c>
      <c r="I450" s="98" t="s">
        <v>176</v>
      </c>
      <c r="J450" s="98" t="s">
        <v>177</v>
      </c>
      <c r="K450" s="98" t="s">
        <v>178</v>
      </c>
      <c r="L450" s="98" t="s">
        <v>179</v>
      </c>
      <c r="M450" s="98" t="s">
        <v>180</v>
      </c>
      <c r="N450" s="98" t="s">
        <v>181</v>
      </c>
      <c r="O450" s="98" t="s">
        <v>182</v>
      </c>
      <c r="P450" s="98" t="s">
        <v>183</v>
      </c>
      <c r="Q450" s="1940"/>
    </row>
    <row r="451" spans="2:18" x14ac:dyDescent="0.35">
      <c r="B451" s="758">
        <v>1</v>
      </c>
      <c r="C451" s="63" t="s">
        <v>269</v>
      </c>
      <c r="D451" s="200"/>
      <c r="E451" s="177"/>
      <c r="F451" s="19"/>
      <c r="G451" s="19"/>
      <c r="H451" s="19"/>
      <c r="I451" s="19"/>
      <c r="J451" s="19"/>
      <c r="K451" s="19"/>
      <c r="L451" s="19"/>
      <c r="M451" s="19"/>
      <c r="N451" s="19"/>
      <c r="O451" s="19"/>
      <c r="P451" s="19"/>
      <c r="Q451" s="19"/>
    </row>
    <row r="452" spans="2:18" x14ac:dyDescent="0.35">
      <c r="B452" s="74">
        <v>1.1000000000000001</v>
      </c>
      <c r="C452" s="697" t="s">
        <v>1202</v>
      </c>
      <c r="D452" s="219"/>
      <c r="E452" s="657">
        <v>3.34215E-2</v>
      </c>
      <c r="F452" s="676">
        <v>4.0342500000000003E-2</v>
      </c>
      <c r="G452" s="676">
        <v>2.9440000000000001E-2</v>
      </c>
      <c r="H452" s="676">
        <v>1.0718999999999999E-2</v>
      </c>
      <c r="I452" s="676">
        <v>2.1651299999999998E-2</v>
      </c>
      <c r="J452" s="676">
        <v>1.7959300000000001E-2</v>
      </c>
      <c r="K452" s="676">
        <v>2.5111900000000003E-2</v>
      </c>
      <c r="L452" s="676">
        <v>2.1098700000000001E-2</v>
      </c>
      <c r="M452" s="676">
        <v>1.9731800000000001E-2</v>
      </c>
      <c r="N452" s="676">
        <v>1.5745800000000001E-2</v>
      </c>
      <c r="O452" s="676">
        <v>1.33139E-2</v>
      </c>
      <c r="P452" s="676">
        <v>1.4530399999999999E-2</v>
      </c>
      <c r="Q452" s="658">
        <f t="shared" ref="Q452:Q461" si="96">SUM(E452:P452)</f>
        <v>0.26306609999999997</v>
      </c>
    </row>
    <row r="453" spans="2:18" x14ac:dyDescent="0.35">
      <c r="B453" s="74">
        <v>1.2</v>
      </c>
      <c r="C453" s="61" t="s">
        <v>237</v>
      </c>
      <c r="D453" s="219"/>
      <c r="E453" s="177"/>
      <c r="F453" s="19"/>
      <c r="G453" s="19"/>
      <c r="H453" s="19"/>
      <c r="I453" s="19"/>
      <c r="J453" s="19"/>
      <c r="K453" s="19"/>
      <c r="L453" s="19"/>
      <c r="M453" s="19"/>
      <c r="N453" s="19"/>
      <c r="O453" s="19"/>
      <c r="P453" s="19"/>
      <c r="Q453" s="658">
        <f t="shared" si="96"/>
        <v>0</v>
      </c>
    </row>
    <row r="454" spans="2:18" x14ac:dyDescent="0.35">
      <c r="B454" s="758">
        <v>2</v>
      </c>
      <c r="C454" s="63" t="s">
        <v>271</v>
      </c>
      <c r="D454" s="200"/>
      <c r="E454" s="177"/>
      <c r="F454" s="19"/>
      <c r="G454" s="19"/>
      <c r="H454" s="19"/>
      <c r="I454" s="19"/>
      <c r="J454" s="19"/>
      <c r="K454" s="19"/>
      <c r="L454" s="19"/>
      <c r="M454" s="19"/>
      <c r="N454" s="19"/>
      <c r="O454" s="19"/>
      <c r="P454" s="19"/>
      <c r="Q454" s="658">
        <f t="shared" si="96"/>
        <v>0</v>
      </c>
    </row>
    <row r="455" spans="2:18" x14ac:dyDescent="0.35">
      <c r="B455" s="74">
        <v>2.1</v>
      </c>
      <c r="C455" s="61" t="s">
        <v>235</v>
      </c>
      <c r="D455" s="219"/>
      <c r="E455" s="177"/>
      <c r="F455" s="19"/>
      <c r="G455" s="19"/>
      <c r="H455" s="19"/>
      <c r="I455" s="19"/>
      <c r="J455" s="19"/>
      <c r="K455" s="19"/>
      <c r="L455" s="19"/>
      <c r="M455" s="19"/>
      <c r="N455" s="19"/>
      <c r="O455" s="19"/>
      <c r="P455" s="19"/>
      <c r="Q455" s="658">
        <f t="shared" si="96"/>
        <v>0</v>
      </c>
    </row>
    <row r="456" spans="2:18" x14ac:dyDescent="0.35">
      <c r="B456" s="74">
        <v>2.2000000000000002</v>
      </c>
      <c r="C456" s="61" t="s">
        <v>237</v>
      </c>
      <c r="D456" s="219"/>
      <c r="E456" s="177"/>
      <c r="F456" s="19"/>
      <c r="G456" s="19"/>
      <c r="H456" s="19"/>
      <c r="I456" s="19"/>
      <c r="J456" s="19"/>
      <c r="K456" s="19"/>
      <c r="L456" s="19"/>
      <c r="M456" s="19"/>
      <c r="N456" s="19"/>
      <c r="O456" s="19"/>
      <c r="P456" s="19"/>
      <c r="Q456" s="658">
        <f t="shared" si="96"/>
        <v>0</v>
      </c>
    </row>
    <row r="457" spans="2:18" x14ac:dyDescent="0.35">
      <c r="B457" s="758">
        <v>3</v>
      </c>
      <c r="C457" s="63" t="s">
        <v>272</v>
      </c>
      <c r="D457" s="200"/>
      <c r="E457" s="177"/>
      <c r="F457" s="19"/>
      <c r="G457" s="19"/>
      <c r="H457" s="19"/>
      <c r="I457" s="19"/>
      <c r="J457" s="19"/>
      <c r="K457" s="19"/>
      <c r="L457" s="19"/>
      <c r="M457" s="19"/>
      <c r="N457" s="19"/>
      <c r="O457" s="19"/>
      <c r="P457" s="19"/>
      <c r="Q457" s="658">
        <f t="shared" si="96"/>
        <v>0</v>
      </c>
    </row>
    <row r="458" spans="2:18" x14ac:dyDescent="0.4">
      <c r="B458" s="74">
        <v>3.1</v>
      </c>
      <c r="C458" s="107" t="s">
        <v>1208</v>
      </c>
      <c r="D458" s="754">
        <v>4.57</v>
      </c>
      <c r="E458" s="657">
        <v>1.4557</v>
      </c>
      <c r="F458" s="676">
        <v>1.87175</v>
      </c>
      <c r="G458" s="676">
        <v>1.84365</v>
      </c>
      <c r="H458" s="676">
        <v>1.907</v>
      </c>
      <c r="I458" s="676">
        <v>2.1106500000000001</v>
      </c>
      <c r="J458" s="676">
        <v>1.9612499999999999</v>
      </c>
      <c r="K458" s="676">
        <v>2.2191000000000001</v>
      </c>
      <c r="L458" s="676">
        <v>1.81735</v>
      </c>
      <c r="M458" s="676">
        <v>2.0081000000000002</v>
      </c>
      <c r="N458" s="676">
        <v>2.1073</v>
      </c>
      <c r="O458" s="676">
        <v>2.0430000000000001</v>
      </c>
      <c r="P458" s="676">
        <v>2.2120000000000002</v>
      </c>
      <c r="Q458" s="658">
        <f t="shared" si="96"/>
        <v>23.556849999999997</v>
      </c>
    </row>
    <row r="459" spans="2:18" ht="27.75" x14ac:dyDescent="0.35">
      <c r="B459" s="74">
        <v>3.2</v>
      </c>
      <c r="C459" s="61" t="s">
        <v>1230</v>
      </c>
      <c r="D459" s="754">
        <v>5</v>
      </c>
      <c r="E459" s="657">
        <v>1.5517110000000001</v>
      </c>
      <c r="F459" s="676">
        <v>1.7201341299999999</v>
      </c>
      <c r="G459" s="676">
        <v>1.6546700000000001</v>
      </c>
      <c r="H459" s="676">
        <v>0.67716699999999996</v>
      </c>
      <c r="I459" s="676">
        <v>0.34419</v>
      </c>
      <c r="J459" s="676">
        <v>1.2581929999999999</v>
      </c>
      <c r="K459" s="676">
        <v>1.4499420000000001</v>
      </c>
      <c r="L459" s="676">
        <v>1.599596</v>
      </c>
      <c r="M459" s="676">
        <v>1.753153</v>
      </c>
      <c r="N459" s="676">
        <v>1.657484</v>
      </c>
      <c r="O459" s="676">
        <v>1.5375865800000001</v>
      </c>
      <c r="P459" s="676">
        <v>1.6075120000000001</v>
      </c>
      <c r="Q459" s="658">
        <f t="shared" si="96"/>
        <v>16.811338710000001</v>
      </c>
    </row>
    <row r="460" spans="2:18" x14ac:dyDescent="0.35">
      <c r="B460" s="74">
        <v>3.3000000000000003</v>
      </c>
      <c r="C460" s="61" t="s">
        <v>1207</v>
      </c>
      <c r="D460" s="219"/>
      <c r="E460" s="657">
        <v>-0.52049800000000002</v>
      </c>
      <c r="F460" s="676">
        <v>-0.66628500000000002</v>
      </c>
      <c r="G460" s="676">
        <v>-0.64375899999999997</v>
      </c>
      <c r="H460" s="676">
        <v>0.30095</v>
      </c>
      <c r="I460" s="676">
        <v>0.81219200000000003</v>
      </c>
      <c r="J460" s="676">
        <v>0.28924299999999997</v>
      </c>
      <c r="K460" s="676">
        <v>8.6199999999999999E-2</v>
      </c>
      <c r="L460" s="676">
        <v>0.18329999999999999</v>
      </c>
      <c r="M460" s="676">
        <v>9.6019999999999994E-2</v>
      </c>
      <c r="N460" s="676">
        <v>2.9745000000000001E-2</v>
      </c>
      <c r="O460" s="676">
        <v>1.324E-2</v>
      </c>
      <c r="P460" s="676">
        <v>0.164963</v>
      </c>
      <c r="Q460" s="658">
        <f t="shared" si="96"/>
        <v>0.14531099999999991</v>
      </c>
    </row>
    <row r="461" spans="2:18" x14ac:dyDescent="0.35">
      <c r="B461" s="74">
        <v>3.4</v>
      </c>
      <c r="C461" s="61" t="s">
        <v>1204</v>
      </c>
      <c r="D461" s="219"/>
      <c r="E461" s="676">
        <f t="shared" ref="E461:P461" si="97">+E163</f>
        <v>0.24886018516979913</v>
      </c>
      <c r="F461" s="676">
        <f t="shared" si="97"/>
        <v>9.674118522189934E-2</v>
      </c>
      <c r="G461" s="676">
        <f t="shared" si="97"/>
        <v>6.3345398840339406E-2</v>
      </c>
      <c r="H461" s="676">
        <f t="shared" si="97"/>
        <v>3.9693872261265195E-2</v>
      </c>
      <c r="I461" s="676">
        <f t="shared" si="97"/>
        <v>0.14457680347179158</v>
      </c>
      <c r="J461" s="676">
        <f t="shared" si="97"/>
        <v>-8.5693857733664114E-2</v>
      </c>
      <c r="K461" s="676">
        <f t="shared" si="97"/>
        <v>1.8317016689124443E-3</v>
      </c>
      <c r="L461" s="676">
        <f t="shared" si="97"/>
        <v>-1.4952186099349785E-2</v>
      </c>
      <c r="M461" s="676">
        <f t="shared" si="97"/>
        <v>-0.14933358108386585</v>
      </c>
      <c r="N461" s="676">
        <f t="shared" si="97"/>
        <v>-4.2261606010703723E-2</v>
      </c>
      <c r="O461" s="676">
        <f t="shared" si="97"/>
        <v>-2.5318378204890912E-2</v>
      </c>
      <c r="P461" s="676">
        <f t="shared" si="97"/>
        <v>-6.1869537142271724E-3</v>
      </c>
      <c r="Q461" s="658">
        <f t="shared" si="96"/>
        <v>0.27130258378730554</v>
      </c>
    </row>
    <row r="462" spans="2:18" x14ac:dyDescent="0.35">
      <c r="B462" s="758">
        <v>4</v>
      </c>
      <c r="C462" s="22" t="s">
        <v>312</v>
      </c>
      <c r="D462" s="59"/>
      <c r="E462" s="677">
        <f t="shared" ref="E462:Q462" si="98">SUM(E451:E461)</f>
        <v>2.7691946851697993</v>
      </c>
      <c r="F462" s="677">
        <f t="shared" si="98"/>
        <v>3.062682815221899</v>
      </c>
      <c r="G462" s="677">
        <f t="shared" si="98"/>
        <v>2.947346398840339</v>
      </c>
      <c r="H462" s="677">
        <f t="shared" si="98"/>
        <v>2.9355298722612648</v>
      </c>
      <c r="I462" s="677">
        <f t="shared" si="98"/>
        <v>3.4332601034717918</v>
      </c>
      <c r="J462" s="677">
        <f t="shared" si="98"/>
        <v>3.4409514422663356</v>
      </c>
      <c r="K462" s="677">
        <f t="shared" si="98"/>
        <v>3.7821856016689126</v>
      </c>
      <c r="L462" s="677">
        <f t="shared" si="98"/>
        <v>3.6063925139006501</v>
      </c>
      <c r="M462" s="677">
        <f t="shared" si="98"/>
        <v>3.727671218916135</v>
      </c>
      <c r="N462" s="677">
        <f t="shared" si="98"/>
        <v>3.7680131939892965</v>
      </c>
      <c r="O462" s="677">
        <f t="shared" si="98"/>
        <v>3.5818221017951095</v>
      </c>
      <c r="P462" s="677">
        <f t="shared" si="98"/>
        <v>3.9928184462857734</v>
      </c>
      <c r="Q462" s="677">
        <f t="shared" si="98"/>
        <v>41.047868393787304</v>
      </c>
      <c r="R462" s="660"/>
    </row>
    <row r="464" spans="2:18" x14ac:dyDescent="0.35">
      <c r="B464" s="49" t="s">
        <v>1245</v>
      </c>
      <c r="C464" s="99"/>
      <c r="D464" s="179"/>
      <c r="E464" s="11"/>
      <c r="F464" s="12"/>
      <c r="G464" s="11"/>
      <c r="H464" s="11"/>
      <c r="I464" s="11"/>
    </row>
    <row r="465" spans="2:18" x14ac:dyDescent="0.35">
      <c r="B465" s="49"/>
      <c r="C465" s="99"/>
      <c r="D465" s="179"/>
      <c r="E465" s="11"/>
      <c r="F465" s="12"/>
      <c r="G465" s="11"/>
      <c r="H465" s="11"/>
      <c r="I465" s="11"/>
    </row>
    <row r="466" spans="2:18" ht="27.6" customHeight="1" x14ac:dyDescent="0.35">
      <c r="B466" s="1980" t="s">
        <v>1</v>
      </c>
      <c r="C466" s="1980" t="s">
        <v>111</v>
      </c>
      <c r="D466" s="1938" t="s">
        <v>322</v>
      </c>
      <c r="E466" s="1940" t="s">
        <v>186</v>
      </c>
      <c r="F466" s="1940"/>
      <c r="G466" s="1940"/>
      <c r="H466" s="1940"/>
      <c r="I466" s="1940"/>
      <c r="J466" s="1940"/>
      <c r="K466" s="1940" t="s">
        <v>187</v>
      </c>
      <c r="L466" s="1940"/>
      <c r="M466" s="1940"/>
      <c r="N466" s="1940"/>
      <c r="O466" s="1940"/>
      <c r="P466" s="1940"/>
      <c r="Q466" s="1940" t="s">
        <v>164</v>
      </c>
    </row>
    <row r="467" spans="2:18" x14ac:dyDescent="0.35">
      <c r="B467" s="1981"/>
      <c r="C467" s="1981"/>
      <c r="D467" s="1983"/>
      <c r="E467" s="98" t="s">
        <v>172</v>
      </c>
      <c r="F467" s="98" t="s">
        <v>173</v>
      </c>
      <c r="G467" s="98" t="s">
        <v>174</v>
      </c>
      <c r="H467" s="98" t="s">
        <v>175</v>
      </c>
      <c r="I467" s="98" t="s">
        <v>176</v>
      </c>
      <c r="J467" s="98" t="s">
        <v>177</v>
      </c>
      <c r="K467" s="98" t="s">
        <v>178</v>
      </c>
      <c r="L467" s="98" t="s">
        <v>179</v>
      </c>
      <c r="M467" s="98" t="s">
        <v>180</v>
      </c>
      <c r="N467" s="98" t="s">
        <v>181</v>
      </c>
      <c r="O467" s="98" t="s">
        <v>182</v>
      </c>
      <c r="P467" s="98" t="s">
        <v>183</v>
      </c>
      <c r="Q467" s="1940"/>
    </row>
    <row r="468" spans="2:18" x14ac:dyDescent="0.35">
      <c r="B468" s="758">
        <v>1</v>
      </c>
      <c r="C468" s="63" t="s">
        <v>269</v>
      </c>
      <c r="D468" s="200"/>
      <c r="E468" s="177"/>
      <c r="F468" s="19"/>
      <c r="G468" s="19"/>
      <c r="H468" s="19"/>
      <c r="I468" s="19"/>
      <c r="J468" s="19"/>
      <c r="K468" s="19"/>
      <c r="L468" s="19"/>
      <c r="M468" s="19"/>
      <c r="N468" s="19"/>
      <c r="O468" s="19"/>
      <c r="P468" s="19"/>
      <c r="Q468" s="19"/>
    </row>
    <row r="469" spans="2:18" x14ac:dyDescent="0.35">
      <c r="B469" s="74">
        <v>1.1000000000000001</v>
      </c>
      <c r="C469" s="697" t="s">
        <v>1202</v>
      </c>
      <c r="D469" s="219"/>
      <c r="E469" s="657">
        <v>1.1566700000000001E-2</v>
      </c>
      <c r="F469" s="676">
        <v>2.50038E-2</v>
      </c>
      <c r="G469" s="676">
        <v>2.0235E-2</v>
      </c>
      <c r="H469" s="676">
        <v>5.8172299999999996E-3</v>
      </c>
      <c r="I469" s="676">
        <v>1.2233520000000001E-2</v>
      </c>
      <c r="J469" s="676">
        <v>1.084591E-2</v>
      </c>
      <c r="K469" s="676">
        <v>1.1921540000000001E-2</v>
      </c>
      <c r="L469" s="676">
        <v>1.1137319999999999E-2</v>
      </c>
      <c r="M469" s="676">
        <v>6.1681999999999996E-3</v>
      </c>
      <c r="N469" s="676">
        <v>3.3132600000000002E-3</v>
      </c>
      <c r="O469" s="676">
        <v>1.91595E-3</v>
      </c>
      <c r="P469" s="676">
        <v>3.9996900000000002E-3</v>
      </c>
      <c r="Q469" s="658">
        <f t="shared" ref="Q469:Q479" si="99">SUM(E469:P469)</f>
        <v>0.12415811999999998</v>
      </c>
    </row>
    <row r="470" spans="2:18" x14ac:dyDescent="0.35">
      <c r="B470" s="74">
        <v>1.2</v>
      </c>
      <c r="C470" s="61" t="s">
        <v>237</v>
      </c>
      <c r="D470" s="219"/>
      <c r="E470" s="177"/>
      <c r="F470" s="19"/>
      <c r="G470" s="19"/>
      <c r="H470" s="19"/>
      <c r="I470" s="19"/>
      <c r="J470" s="19"/>
      <c r="K470" s="19"/>
      <c r="L470" s="19"/>
      <c r="M470" s="19"/>
      <c r="N470" s="19"/>
      <c r="O470" s="19"/>
      <c r="P470" s="19"/>
      <c r="Q470" s="658">
        <f t="shared" si="99"/>
        <v>0</v>
      </c>
    </row>
    <row r="471" spans="2:18" x14ac:dyDescent="0.35">
      <c r="B471" s="758">
        <v>2</v>
      </c>
      <c r="C471" s="63" t="s">
        <v>271</v>
      </c>
      <c r="D471" s="200"/>
      <c r="E471" s="177"/>
      <c r="F471" s="19"/>
      <c r="G471" s="19"/>
      <c r="H471" s="19"/>
      <c r="I471" s="19"/>
      <c r="J471" s="19"/>
      <c r="K471" s="19"/>
      <c r="L471" s="19"/>
      <c r="M471" s="19"/>
      <c r="N471" s="19"/>
      <c r="O471" s="19"/>
      <c r="P471" s="19"/>
      <c r="Q471" s="658">
        <f t="shared" si="99"/>
        <v>0</v>
      </c>
    </row>
    <row r="472" spans="2:18" x14ac:dyDescent="0.35">
      <c r="B472" s="74">
        <v>2.1</v>
      </c>
      <c r="C472" s="61" t="s">
        <v>235</v>
      </c>
      <c r="D472" s="219"/>
      <c r="E472" s="177"/>
      <c r="F472" s="19"/>
      <c r="G472" s="19"/>
      <c r="H472" s="19"/>
      <c r="I472" s="19"/>
      <c r="J472" s="19"/>
      <c r="K472" s="19"/>
      <c r="L472" s="19"/>
      <c r="M472" s="19"/>
      <c r="N472" s="19"/>
      <c r="O472" s="19"/>
      <c r="P472" s="19"/>
      <c r="Q472" s="658">
        <f t="shared" si="99"/>
        <v>0</v>
      </c>
    </row>
    <row r="473" spans="2:18" x14ac:dyDescent="0.35">
      <c r="B473" s="74">
        <v>2.2000000000000002</v>
      </c>
      <c r="C473" s="61" t="s">
        <v>237</v>
      </c>
      <c r="D473" s="219"/>
      <c r="E473" s="177"/>
      <c r="F473" s="19"/>
      <c r="G473" s="19"/>
      <c r="H473" s="19"/>
      <c r="I473" s="19"/>
      <c r="J473" s="19"/>
      <c r="K473" s="19"/>
      <c r="L473" s="19"/>
      <c r="M473" s="19"/>
      <c r="N473" s="19"/>
      <c r="O473" s="19"/>
      <c r="P473" s="19"/>
      <c r="Q473" s="658">
        <f t="shared" si="99"/>
        <v>0</v>
      </c>
    </row>
    <row r="474" spans="2:18" x14ac:dyDescent="0.35">
      <c r="B474" s="758">
        <v>3</v>
      </c>
      <c r="C474" s="63" t="s">
        <v>272</v>
      </c>
      <c r="D474" s="200"/>
      <c r="E474" s="177"/>
      <c r="F474" s="19"/>
      <c r="G474" s="19"/>
      <c r="H474" s="19"/>
      <c r="I474" s="19"/>
      <c r="J474" s="19"/>
      <c r="K474" s="19"/>
      <c r="L474" s="19"/>
      <c r="M474" s="19"/>
      <c r="N474" s="19"/>
      <c r="O474" s="19"/>
      <c r="P474" s="19"/>
      <c r="Q474" s="658">
        <f t="shared" si="99"/>
        <v>0</v>
      </c>
    </row>
    <row r="475" spans="2:18" x14ac:dyDescent="0.4">
      <c r="B475" s="74">
        <v>3.1</v>
      </c>
      <c r="C475" s="107" t="s">
        <v>1208</v>
      </c>
      <c r="D475" s="219">
        <f>+Assum!B72</f>
        <v>3</v>
      </c>
      <c r="E475" s="657">
        <v>2.16</v>
      </c>
      <c r="F475" s="676">
        <v>1.6080000000000001</v>
      </c>
      <c r="G475" s="676">
        <v>1.1546449999999999</v>
      </c>
      <c r="H475" s="676">
        <v>0</v>
      </c>
      <c r="I475" s="676"/>
      <c r="J475" s="676"/>
      <c r="K475" s="676"/>
      <c r="L475" s="676"/>
      <c r="M475" s="676"/>
      <c r="N475" s="676">
        <v>0.63239999999999996</v>
      </c>
      <c r="O475" s="676">
        <v>0.62880000000000003</v>
      </c>
      <c r="P475" s="676">
        <v>0.74399999999999999</v>
      </c>
      <c r="Q475" s="658">
        <f t="shared" si="99"/>
        <v>6.9278449999999996</v>
      </c>
    </row>
    <row r="476" spans="2:18" ht="27.75" x14ac:dyDescent="0.35">
      <c r="B476" s="74">
        <v>3.2</v>
      </c>
      <c r="C476" s="61" t="s">
        <v>1230</v>
      </c>
      <c r="D476" s="219">
        <f>+Assum!B73</f>
        <v>3</v>
      </c>
      <c r="E476" s="657">
        <v>1.5697840000000001</v>
      </c>
      <c r="F476" s="676">
        <v>1.673395</v>
      </c>
      <c r="G476" s="676">
        <v>1.403124</v>
      </c>
      <c r="H476" s="676">
        <v>0.76211700000000004</v>
      </c>
      <c r="I476" s="676">
        <v>1.437697</v>
      </c>
      <c r="J476" s="676">
        <v>1.6148149999999999</v>
      </c>
      <c r="K476" s="676">
        <v>1.442402</v>
      </c>
      <c r="L476" s="676">
        <v>1.5728580000000001</v>
      </c>
      <c r="M476" s="676">
        <v>1.7328479999999999</v>
      </c>
      <c r="N476" s="676">
        <v>1.610849</v>
      </c>
      <c r="O476" s="676">
        <v>1.432844</v>
      </c>
      <c r="P476" s="676">
        <v>1.6125910000000001</v>
      </c>
      <c r="Q476" s="658">
        <f t="shared" si="99"/>
        <v>17.865324000000001</v>
      </c>
    </row>
    <row r="477" spans="2:18" x14ac:dyDescent="0.35">
      <c r="B477" s="74">
        <v>3.3</v>
      </c>
      <c r="C477" s="10" t="s">
        <v>1232</v>
      </c>
      <c r="D477" s="219">
        <f>+Assum!B74</f>
        <v>7</v>
      </c>
      <c r="E477" s="177"/>
      <c r="F477" s="19"/>
      <c r="G477" s="19"/>
      <c r="H477" s="19"/>
      <c r="I477" s="676">
        <v>5.2080000000000002</v>
      </c>
      <c r="J477" s="676">
        <v>4.9139999999999997</v>
      </c>
      <c r="K477" s="676">
        <v>5.0209999999999999</v>
      </c>
      <c r="L477" s="676">
        <v>4.319</v>
      </c>
      <c r="M477" s="676">
        <v>4.2</v>
      </c>
      <c r="N477" s="676">
        <v>4.6074000000000002</v>
      </c>
      <c r="O477" s="676">
        <v>2.3519999999999999</v>
      </c>
      <c r="P477" s="676">
        <v>5.2080000000000002</v>
      </c>
      <c r="Q477" s="658">
        <f t="shared" si="99"/>
        <v>35.8294</v>
      </c>
    </row>
    <row r="478" spans="2:18" x14ac:dyDescent="0.35">
      <c r="B478" s="74">
        <v>3.4</v>
      </c>
      <c r="C478" s="61" t="s">
        <v>1207</v>
      </c>
      <c r="D478" s="219"/>
      <c r="E478" s="657">
        <v>0.37320999999999999</v>
      </c>
      <c r="F478" s="676">
        <v>1.6451</v>
      </c>
      <c r="G478" s="676">
        <v>3.98895</v>
      </c>
      <c r="H478" s="676">
        <v>6.3391929999999999</v>
      </c>
      <c r="I478" s="676">
        <v>0.37958500000000001</v>
      </c>
      <c r="J478" s="676">
        <v>0.52044299999999999</v>
      </c>
      <c r="K478" s="676">
        <v>1.1369750000000001</v>
      </c>
      <c r="L478" s="676">
        <v>1.6031329999999999</v>
      </c>
      <c r="M478" s="676">
        <v>2.1325059999999998</v>
      </c>
      <c r="N478" s="676">
        <v>0.416105</v>
      </c>
      <c r="O478" s="676">
        <v>2.6797279999999999</v>
      </c>
      <c r="P478" s="676">
        <v>1.11931</v>
      </c>
      <c r="Q478" s="658">
        <f t="shared" si="99"/>
        <v>22.334238000000003</v>
      </c>
    </row>
    <row r="479" spans="2:18" x14ac:dyDescent="0.35">
      <c r="B479" s="74">
        <v>3.5</v>
      </c>
      <c r="C479" s="61" t="s">
        <v>1204</v>
      </c>
      <c r="D479" s="219"/>
      <c r="E479" s="676">
        <f t="shared" ref="E479:P479" si="100">+E190</f>
        <v>0.14076299192044672</v>
      </c>
      <c r="F479" s="676">
        <f t="shared" si="100"/>
        <v>0.15143335697277216</v>
      </c>
      <c r="G479" s="676">
        <f t="shared" si="100"/>
        <v>0.1511730654650929</v>
      </c>
      <c r="H479" s="676">
        <f t="shared" si="100"/>
        <v>-3.6987131903429393E-2</v>
      </c>
      <c r="I479" s="676">
        <f t="shared" si="100"/>
        <v>-0.24162731928084291</v>
      </c>
      <c r="J479" s="676">
        <f t="shared" si="100"/>
        <v>4.497241189222656E-2</v>
      </c>
      <c r="K479" s="676">
        <f t="shared" si="100"/>
        <v>0.14366207784554863</v>
      </c>
      <c r="L479" s="676">
        <f t="shared" si="100"/>
        <v>0.11351013706843105</v>
      </c>
      <c r="M479" s="676">
        <f t="shared" si="100"/>
        <v>-5.8721694052158213E-2</v>
      </c>
      <c r="N479" s="676">
        <f t="shared" si="100"/>
        <v>-0.10534429927760591</v>
      </c>
      <c r="O479" s="676">
        <f t="shared" si="100"/>
        <v>5.7367175257732939E-2</v>
      </c>
      <c r="P479" s="676">
        <f t="shared" si="100"/>
        <v>-2.2409018623900323E-2</v>
      </c>
      <c r="Q479" s="658">
        <f t="shared" si="99"/>
        <v>0.33779175328431421</v>
      </c>
    </row>
    <row r="480" spans="2:18" x14ac:dyDescent="0.35">
      <c r="B480" s="758">
        <v>4</v>
      </c>
      <c r="C480" s="22" t="s">
        <v>312</v>
      </c>
      <c r="D480" s="59"/>
      <c r="E480" s="677">
        <f t="shared" ref="E480:Q480" si="101">SUM(E467:E479)</f>
        <v>4.2553236919204469</v>
      </c>
      <c r="F480" s="677">
        <f t="shared" si="101"/>
        <v>5.1029321569727726</v>
      </c>
      <c r="G480" s="677">
        <f t="shared" si="101"/>
        <v>6.7181270654650929</v>
      </c>
      <c r="H480" s="677">
        <f t="shared" si="101"/>
        <v>7.0701400980965703</v>
      </c>
      <c r="I480" s="677">
        <f t="shared" si="101"/>
        <v>6.7958882007191574</v>
      </c>
      <c r="J480" s="677">
        <f t="shared" si="101"/>
        <v>7.1050763218922262</v>
      </c>
      <c r="K480" s="677">
        <f t="shared" si="101"/>
        <v>7.755960617845548</v>
      </c>
      <c r="L480" s="677">
        <f t="shared" si="101"/>
        <v>7.6196384570684312</v>
      </c>
      <c r="M480" s="677">
        <f t="shared" si="101"/>
        <v>8.0128005059478422</v>
      </c>
      <c r="N480" s="677">
        <f t="shared" si="101"/>
        <v>7.1647229607223943</v>
      </c>
      <c r="O480" s="677">
        <f t="shared" si="101"/>
        <v>7.1526551252577333</v>
      </c>
      <c r="P480" s="677">
        <f t="shared" si="101"/>
        <v>8.6654916713761008</v>
      </c>
      <c r="Q480" s="677">
        <f t="shared" si="101"/>
        <v>83.418756873284309</v>
      </c>
      <c r="R480" s="660"/>
    </row>
    <row r="481" spans="2:18" x14ac:dyDescent="0.35">
      <c r="B481" s="49"/>
      <c r="C481" s="16"/>
      <c r="D481" s="120"/>
      <c r="E481" s="769"/>
      <c r="F481" s="769"/>
      <c r="G481" s="769"/>
      <c r="H481" s="769"/>
      <c r="I481" s="769"/>
      <c r="J481" s="769"/>
      <c r="K481" s="769"/>
      <c r="L481" s="769"/>
      <c r="M481" s="769"/>
      <c r="N481" s="769"/>
      <c r="O481" s="769"/>
      <c r="P481" s="769"/>
      <c r="Q481" s="769"/>
    </row>
    <row r="482" spans="2:18" x14ac:dyDescent="0.35">
      <c r="B482" s="49" t="s">
        <v>1246</v>
      </c>
      <c r="C482" s="16"/>
      <c r="D482" s="120"/>
      <c r="E482" s="769"/>
      <c r="F482" s="769"/>
      <c r="G482" s="769"/>
      <c r="H482" s="769"/>
      <c r="I482" s="769"/>
      <c r="J482" s="769"/>
      <c r="K482" s="769"/>
      <c r="L482" s="769"/>
      <c r="M482" s="769"/>
      <c r="N482" s="769"/>
      <c r="O482" s="769"/>
      <c r="P482" s="769"/>
      <c r="Q482" s="769"/>
    </row>
    <row r="483" spans="2:18" x14ac:dyDescent="0.35">
      <c r="B483" s="49"/>
      <c r="C483" s="99"/>
      <c r="D483" s="179"/>
      <c r="E483" s="57">
        <v>30</v>
      </c>
      <c r="F483" s="770">
        <v>31</v>
      </c>
      <c r="G483" s="57">
        <v>30</v>
      </c>
      <c r="H483" s="57">
        <v>31</v>
      </c>
      <c r="I483" s="57">
        <v>31</v>
      </c>
      <c r="J483" s="57">
        <v>30</v>
      </c>
      <c r="K483" s="57">
        <v>31</v>
      </c>
      <c r="L483" s="57">
        <v>30</v>
      </c>
      <c r="M483" s="57">
        <v>31</v>
      </c>
      <c r="N483" s="57">
        <v>31</v>
      </c>
      <c r="O483" s="57">
        <v>28</v>
      </c>
      <c r="P483" s="57">
        <v>31</v>
      </c>
    </row>
    <row r="484" spans="2:18" ht="27" x14ac:dyDescent="0.35">
      <c r="B484" s="756" t="s">
        <v>1</v>
      </c>
      <c r="C484" s="178" t="s">
        <v>111</v>
      </c>
      <c r="D484" s="98" t="s">
        <v>322</v>
      </c>
      <c r="E484" s="98" t="s">
        <v>172</v>
      </c>
      <c r="F484" s="98" t="s">
        <v>173</v>
      </c>
      <c r="G484" s="98" t="s">
        <v>174</v>
      </c>
      <c r="H484" s="98" t="s">
        <v>175</v>
      </c>
      <c r="I484" s="98" t="s">
        <v>176</v>
      </c>
      <c r="J484" s="98" t="s">
        <v>177</v>
      </c>
      <c r="K484" s="98" t="s">
        <v>178</v>
      </c>
      <c r="L484" s="98" t="s">
        <v>179</v>
      </c>
      <c r="M484" s="98" t="s">
        <v>180</v>
      </c>
      <c r="N484" s="98" t="s">
        <v>181</v>
      </c>
      <c r="O484" s="98" t="s">
        <v>182</v>
      </c>
      <c r="P484" s="98" t="s">
        <v>183</v>
      </c>
      <c r="Q484" s="98" t="s">
        <v>164</v>
      </c>
    </row>
    <row r="485" spans="2:18" x14ac:dyDescent="0.35">
      <c r="B485" s="758">
        <v>1</v>
      </c>
      <c r="C485" s="63" t="s">
        <v>269</v>
      </c>
      <c r="D485" s="200"/>
      <c r="E485" s="177"/>
      <c r="F485" s="19"/>
      <c r="G485" s="19"/>
      <c r="H485" s="19"/>
      <c r="I485" s="19"/>
      <c r="J485" s="19"/>
      <c r="K485" s="19"/>
      <c r="L485" s="19"/>
      <c r="M485" s="19"/>
      <c r="N485" s="19"/>
      <c r="O485" s="19"/>
      <c r="P485" s="19"/>
      <c r="Q485" s="19"/>
    </row>
    <row r="486" spans="2:18" x14ac:dyDescent="0.35">
      <c r="B486" s="74">
        <v>1.1000000000000001</v>
      </c>
      <c r="C486" s="697" t="s">
        <v>1202</v>
      </c>
      <c r="D486" s="219"/>
      <c r="E486" s="688">
        <f t="shared" ref="E486:P486" si="102">+E469</f>
        <v>1.1566700000000001E-2</v>
      </c>
      <c r="F486" s="688">
        <f t="shared" si="102"/>
        <v>2.50038E-2</v>
      </c>
      <c r="G486" s="688">
        <f t="shared" si="102"/>
        <v>2.0235E-2</v>
      </c>
      <c r="H486" s="688">
        <f t="shared" si="102"/>
        <v>5.8172299999999996E-3</v>
      </c>
      <c r="I486" s="688">
        <f t="shared" si="102"/>
        <v>1.2233520000000001E-2</v>
      </c>
      <c r="J486" s="688">
        <f t="shared" si="102"/>
        <v>1.084591E-2</v>
      </c>
      <c r="K486" s="688">
        <f t="shared" si="102"/>
        <v>1.1921540000000001E-2</v>
      </c>
      <c r="L486" s="688">
        <f t="shared" si="102"/>
        <v>1.1137319999999999E-2</v>
      </c>
      <c r="M486" s="688">
        <f t="shared" si="102"/>
        <v>6.1681999999999996E-3</v>
      </c>
      <c r="N486" s="688">
        <f t="shared" si="102"/>
        <v>3.3132600000000002E-3</v>
      </c>
      <c r="O486" s="688">
        <f t="shared" si="102"/>
        <v>1.91595E-3</v>
      </c>
      <c r="P486" s="688">
        <f t="shared" si="102"/>
        <v>3.9996900000000002E-3</v>
      </c>
      <c r="Q486" s="658">
        <f t="shared" ref="Q486:Q496" si="103">SUM(E486:P486)</f>
        <v>0.12415811999999998</v>
      </c>
    </row>
    <row r="487" spans="2:18" x14ac:dyDescent="0.35">
      <c r="B487" s="74">
        <v>1.2</v>
      </c>
      <c r="C487" s="61" t="s">
        <v>237</v>
      </c>
      <c r="D487" s="219"/>
      <c r="E487" s="177"/>
      <c r="F487" s="19"/>
      <c r="G487" s="19"/>
      <c r="H487" s="19"/>
      <c r="I487" s="19"/>
      <c r="J487" s="19"/>
      <c r="K487" s="19"/>
      <c r="L487" s="19"/>
      <c r="M487" s="19"/>
      <c r="N487" s="19"/>
      <c r="O487" s="19"/>
      <c r="P487" s="19"/>
      <c r="Q487" s="658">
        <f t="shared" si="103"/>
        <v>0</v>
      </c>
    </row>
    <row r="488" spans="2:18" x14ac:dyDescent="0.35">
      <c r="B488" s="758">
        <v>2</v>
      </c>
      <c r="C488" s="63" t="s">
        <v>271</v>
      </c>
      <c r="D488" s="200"/>
      <c r="E488" s="177"/>
      <c r="F488" s="19"/>
      <c r="G488" s="19"/>
      <c r="H488" s="19"/>
      <c r="I488" s="19"/>
      <c r="J488" s="19"/>
      <c r="K488" s="19"/>
      <c r="L488" s="19"/>
      <c r="M488" s="19"/>
      <c r="N488" s="19"/>
      <c r="O488" s="19"/>
      <c r="P488" s="19"/>
      <c r="Q488" s="658">
        <f t="shared" si="103"/>
        <v>0</v>
      </c>
    </row>
    <row r="489" spans="2:18" ht="27.75" x14ac:dyDescent="0.35">
      <c r="B489" s="74">
        <v>2.1</v>
      </c>
      <c r="C489" s="61" t="s">
        <v>1230</v>
      </c>
      <c r="D489" s="219">
        <f>+Assum!B78</f>
        <v>3</v>
      </c>
      <c r="E489" s="773">
        <f t="shared" ref="E489:P489" si="104">+E476/$D$476*$D$489</f>
        <v>1.5697840000000001</v>
      </c>
      <c r="F489" s="773">
        <f t="shared" si="104"/>
        <v>1.6733949999999997</v>
      </c>
      <c r="G489" s="773">
        <f t="shared" si="104"/>
        <v>1.403124</v>
      </c>
      <c r="H489" s="773">
        <f t="shared" si="104"/>
        <v>0.76211700000000004</v>
      </c>
      <c r="I489" s="773">
        <f t="shared" si="104"/>
        <v>1.437697</v>
      </c>
      <c r="J489" s="773">
        <f t="shared" si="104"/>
        <v>1.6148149999999997</v>
      </c>
      <c r="K489" s="773">
        <f t="shared" si="104"/>
        <v>1.442402</v>
      </c>
      <c r="L489" s="773">
        <f t="shared" si="104"/>
        <v>1.5728580000000001</v>
      </c>
      <c r="M489" s="773">
        <f t="shared" si="104"/>
        <v>1.7328480000000002</v>
      </c>
      <c r="N489" s="773">
        <f t="shared" si="104"/>
        <v>1.610849</v>
      </c>
      <c r="O489" s="773">
        <f t="shared" si="104"/>
        <v>1.432844</v>
      </c>
      <c r="P489" s="773">
        <f t="shared" si="104"/>
        <v>1.6125910000000001</v>
      </c>
      <c r="Q489" s="658">
        <f>SUM(E489:P489)</f>
        <v>17.865324000000001</v>
      </c>
      <c r="R489" s="772"/>
    </row>
    <row r="490" spans="2:18" x14ac:dyDescent="0.35">
      <c r="B490" s="74">
        <v>2.2000000000000002</v>
      </c>
      <c r="C490" s="61" t="s">
        <v>237</v>
      </c>
      <c r="D490" s="219"/>
      <c r="E490" s="177"/>
      <c r="F490" s="19"/>
      <c r="G490" s="19"/>
      <c r="H490" s="19"/>
      <c r="I490" s="19"/>
      <c r="J490" s="19"/>
      <c r="K490" s="19"/>
      <c r="L490" s="19"/>
      <c r="M490" s="19"/>
      <c r="N490" s="19"/>
      <c r="O490" s="19"/>
      <c r="P490" s="19"/>
      <c r="Q490" s="658">
        <f t="shared" si="103"/>
        <v>0</v>
      </c>
    </row>
    <row r="491" spans="2:18" x14ac:dyDescent="0.35">
      <c r="B491" s="758">
        <v>3</v>
      </c>
      <c r="C491" s="63" t="s">
        <v>272</v>
      </c>
      <c r="D491" s="200"/>
      <c r="E491" s="177"/>
      <c r="F491" s="19"/>
      <c r="G491" s="19"/>
      <c r="H491" s="19"/>
      <c r="I491" s="19"/>
      <c r="J491" s="19"/>
      <c r="K491" s="19"/>
      <c r="L491" s="19"/>
      <c r="M491" s="19"/>
      <c r="N491" s="19"/>
      <c r="O491" s="19"/>
      <c r="P491" s="19"/>
      <c r="Q491" s="658">
        <f t="shared" si="103"/>
        <v>0</v>
      </c>
    </row>
    <row r="492" spans="2:18" x14ac:dyDescent="0.4">
      <c r="B492" s="74">
        <v>3.1</v>
      </c>
      <c r="C492" s="722" t="s">
        <v>1208</v>
      </c>
      <c r="D492" s="219">
        <f>+Assum!B77</f>
        <v>2</v>
      </c>
      <c r="E492" s="773">
        <f t="shared" ref="E492:K492" si="105">+$D$492*E483*24/1000*$R$492</f>
        <v>1.224</v>
      </c>
      <c r="F492" s="773">
        <f t="shared" si="105"/>
        <v>1.2647999999999999</v>
      </c>
      <c r="G492" s="773">
        <f t="shared" si="105"/>
        <v>1.224</v>
      </c>
      <c r="H492" s="773">
        <f t="shared" si="105"/>
        <v>1.2647999999999999</v>
      </c>
      <c r="I492" s="773">
        <f t="shared" si="105"/>
        <v>1.2647999999999999</v>
      </c>
      <c r="J492" s="773">
        <f t="shared" si="105"/>
        <v>1.224</v>
      </c>
      <c r="K492" s="773">
        <f t="shared" si="105"/>
        <v>1.2647999999999999</v>
      </c>
      <c r="L492" s="19"/>
      <c r="M492" s="19"/>
      <c r="N492" s="19"/>
      <c r="O492" s="19"/>
      <c r="P492" s="19"/>
      <c r="Q492" s="658">
        <f t="shared" si="103"/>
        <v>8.7311999999999994</v>
      </c>
      <c r="R492" s="772">
        <f>+Assum!Q77</f>
        <v>0.85</v>
      </c>
    </row>
    <row r="493" spans="2:18" x14ac:dyDescent="0.35">
      <c r="B493" s="74">
        <v>3.2</v>
      </c>
      <c r="C493" s="19" t="s">
        <v>1232</v>
      </c>
      <c r="D493" s="219">
        <f>+Assum!B75</f>
        <v>7</v>
      </c>
      <c r="E493" s="773">
        <f>+$D$493*E483*24/1000*$R$493</f>
        <v>5.04</v>
      </c>
      <c r="F493" s="773">
        <f>+$D$493*F483*24/1000*$R$493</f>
        <v>5.2080000000000002</v>
      </c>
      <c r="G493" s="773">
        <f>+$D$493*G483*24/1000*$R$493</f>
        <v>5.04</v>
      </c>
      <c r="H493" s="19"/>
      <c r="I493" s="19"/>
      <c r="J493" s="19"/>
      <c r="K493" s="19"/>
      <c r="L493" s="19"/>
      <c r="M493" s="19"/>
      <c r="N493" s="19"/>
      <c r="O493" s="19"/>
      <c r="P493" s="19"/>
      <c r="Q493" s="658">
        <f t="shared" si="103"/>
        <v>15.288</v>
      </c>
      <c r="R493" s="772">
        <f>+Assum!Q75</f>
        <v>1</v>
      </c>
    </row>
    <row r="494" spans="2:18" x14ac:dyDescent="0.35">
      <c r="B494" s="74">
        <v>3.3</v>
      </c>
      <c r="C494" s="152" t="s">
        <v>1596</v>
      </c>
      <c r="D494" s="219">
        <v>3</v>
      </c>
      <c r="E494" s="773"/>
      <c r="F494" s="773"/>
      <c r="G494" s="773"/>
      <c r="H494" s="19"/>
      <c r="I494" s="773">
        <f>+$D494*I$483*24/1000*$R493</f>
        <v>2.2320000000000002</v>
      </c>
      <c r="J494" s="773">
        <f t="shared" ref="J494:P496" si="106">+$D494*J$483*24/1000*$R493</f>
        <v>2.16</v>
      </c>
      <c r="K494" s="773">
        <f t="shared" si="106"/>
        <v>2.2320000000000002</v>
      </c>
      <c r="L494" s="773">
        <f t="shared" si="106"/>
        <v>2.16</v>
      </c>
      <c r="M494" s="773">
        <f t="shared" si="106"/>
        <v>2.2320000000000002</v>
      </c>
      <c r="N494" s="773">
        <f t="shared" si="106"/>
        <v>2.2320000000000002</v>
      </c>
      <c r="O494" s="773">
        <f t="shared" si="106"/>
        <v>2.016</v>
      </c>
      <c r="P494" s="773">
        <f t="shared" si="106"/>
        <v>2.2320000000000002</v>
      </c>
      <c r="Q494" s="658">
        <f t="shared" si="103"/>
        <v>17.496000000000002</v>
      </c>
      <c r="R494" s="772">
        <f>+Assum!Q79</f>
        <v>0.9</v>
      </c>
    </row>
    <row r="495" spans="2:18" x14ac:dyDescent="0.35">
      <c r="B495" s="74">
        <v>3.4</v>
      </c>
      <c r="C495" s="152" t="s">
        <v>1596</v>
      </c>
      <c r="D495" s="219">
        <v>2</v>
      </c>
      <c r="E495" s="773"/>
      <c r="F495" s="773"/>
      <c r="G495" s="773"/>
      <c r="H495" s="19"/>
      <c r="I495" s="19"/>
      <c r="J495" s="19"/>
      <c r="K495" s="19"/>
      <c r="L495" s="773">
        <f>+$D495*L$483*24/1000*$R494</f>
        <v>1.296</v>
      </c>
      <c r="M495" s="773">
        <f t="shared" si="106"/>
        <v>1.3391999999999999</v>
      </c>
      <c r="N495" s="773">
        <f t="shared" si="106"/>
        <v>1.3391999999999999</v>
      </c>
      <c r="O495" s="773">
        <f t="shared" si="106"/>
        <v>1.2096</v>
      </c>
      <c r="P495" s="773">
        <f t="shared" si="106"/>
        <v>1.3391999999999999</v>
      </c>
      <c r="Q495" s="658">
        <f t="shared" si="103"/>
        <v>6.5232000000000001</v>
      </c>
      <c r="R495" s="772">
        <f>+Assum!Q80</f>
        <v>0.9</v>
      </c>
    </row>
    <row r="496" spans="2:18" x14ac:dyDescent="0.35">
      <c r="B496" s="74">
        <v>3.5</v>
      </c>
      <c r="C496" s="152" t="s">
        <v>1597</v>
      </c>
      <c r="D496" s="219">
        <v>7</v>
      </c>
      <c r="E496" s="773"/>
      <c r="F496" s="773"/>
      <c r="G496" s="773"/>
      <c r="H496" s="19"/>
      <c r="I496" s="19"/>
      <c r="J496" s="773">
        <f>+$D496*J$483*24/1000*$R495</f>
        <v>4.5360000000000005</v>
      </c>
      <c r="K496" s="773">
        <f>+$D496*K$483*24/1000*$R495</f>
        <v>4.6872000000000007</v>
      </c>
      <c r="L496" s="773">
        <f>+$D496*L$483*24/1000*$R495</f>
        <v>4.5360000000000005</v>
      </c>
      <c r="M496" s="773">
        <f t="shared" si="106"/>
        <v>4.6872000000000007</v>
      </c>
      <c r="N496" s="773">
        <f t="shared" si="106"/>
        <v>4.6872000000000007</v>
      </c>
      <c r="O496" s="773">
        <f t="shared" si="106"/>
        <v>4.2336</v>
      </c>
      <c r="P496" s="773">
        <f t="shared" si="106"/>
        <v>4.6872000000000007</v>
      </c>
      <c r="Q496" s="658">
        <f t="shared" si="103"/>
        <v>32.054400000000001</v>
      </c>
      <c r="R496" s="772">
        <f>+Assum!Q81</f>
        <v>0.85</v>
      </c>
    </row>
    <row r="497" spans="2:18" x14ac:dyDescent="0.35">
      <c r="B497" s="74"/>
      <c r="C497" s="19"/>
      <c r="D497" s="58"/>
      <c r="E497" s="19"/>
      <c r="F497" s="19"/>
      <c r="G497" s="19"/>
      <c r="H497" s="19"/>
      <c r="I497" s="19"/>
      <c r="J497" s="19"/>
      <c r="K497" s="19"/>
      <c r="L497" s="19"/>
      <c r="M497" s="19"/>
      <c r="N497" s="19"/>
      <c r="O497" s="19"/>
      <c r="P497" s="19"/>
      <c r="Q497" s="19"/>
    </row>
    <row r="498" spans="2:18" x14ac:dyDescent="0.35">
      <c r="B498" s="758">
        <v>4</v>
      </c>
      <c r="C498" s="22" t="s">
        <v>312</v>
      </c>
      <c r="D498" s="59"/>
      <c r="E498" s="677">
        <f t="shared" ref="E498:Q498" si="107">SUM(E486:E496)</f>
        <v>7.8453507</v>
      </c>
      <c r="F498" s="677">
        <f t="shared" si="107"/>
        <v>8.1711987999999991</v>
      </c>
      <c r="G498" s="677">
        <f t="shared" si="107"/>
        <v>7.6873589999999998</v>
      </c>
      <c r="H498" s="677">
        <f t="shared" si="107"/>
        <v>2.03273423</v>
      </c>
      <c r="I498" s="677">
        <f t="shared" si="107"/>
        <v>4.94673052</v>
      </c>
      <c r="J498" s="677">
        <f t="shared" si="107"/>
        <v>9.5456609100000005</v>
      </c>
      <c r="K498" s="677">
        <f t="shared" si="107"/>
        <v>9.6383235400000018</v>
      </c>
      <c r="L498" s="677">
        <f t="shared" si="107"/>
        <v>9.5759953200000005</v>
      </c>
      <c r="M498" s="677">
        <f t="shared" si="107"/>
        <v>9.9974162</v>
      </c>
      <c r="N498" s="677">
        <f t="shared" si="107"/>
        <v>9.8725622600000005</v>
      </c>
      <c r="O498" s="677">
        <f t="shared" si="107"/>
        <v>8.8939599499999993</v>
      </c>
      <c r="P498" s="677">
        <f t="shared" si="107"/>
        <v>9.8749906900000006</v>
      </c>
      <c r="Q498" s="677">
        <f t="shared" si="107"/>
        <v>98.082282120000002</v>
      </c>
    </row>
    <row r="500" spans="2:18" x14ac:dyDescent="0.35">
      <c r="B500" s="49" t="s">
        <v>190</v>
      </c>
      <c r="C500" s="99"/>
      <c r="D500" s="179"/>
      <c r="E500" s="11"/>
      <c r="F500" s="12"/>
      <c r="G500" s="11"/>
      <c r="H500" s="11"/>
      <c r="I500" s="11"/>
    </row>
    <row r="501" spans="2:18" x14ac:dyDescent="0.35">
      <c r="B501" s="49"/>
      <c r="C501" s="99"/>
      <c r="D501" s="179"/>
      <c r="E501" s="57">
        <v>30</v>
      </c>
      <c r="F501" s="770">
        <v>31</v>
      </c>
      <c r="G501" s="57">
        <v>30</v>
      </c>
      <c r="H501" s="57">
        <v>31</v>
      </c>
      <c r="I501" s="57">
        <v>31</v>
      </c>
      <c r="J501" s="57">
        <v>30</v>
      </c>
      <c r="K501" s="57">
        <v>31</v>
      </c>
      <c r="L501" s="57">
        <v>30</v>
      </c>
      <c r="M501" s="57">
        <v>31</v>
      </c>
      <c r="N501" s="57">
        <v>31</v>
      </c>
      <c r="O501" s="57">
        <v>28</v>
      </c>
      <c r="P501" s="57">
        <v>31</v>
      </c>
    </row>
    <row r="502" spans="2:18" ht="27" x14ac:dyDescent="0.35">
      <c r="B502" s="756" t="s">
        <v>1</v>
      </c>
      <c r="C502" s="178" t="s">
        <v>111</v>
      </c>
      <c r="D502" s="98" t="s">
        <v>322</v>
      </c>
      <c r="E502" s="98" t="s">
        <v>172</v>
      </c>
      <c r="F502" s="98" t="s">
        <v>173</v>
      </c>
      <c r="G502" s="98" t="s">
        <v>174</v>
      </c>
      <c r="H502" s="98" t="s">
        <v>175</v>
      </c>
      <c r="I502" s="98" t="s">
        <v>176</v>
      </c>
      <c r="J502" s="98" t="s">
        <v>177</v>
      </c>
      <c r="K502" s="98" t="s">
        <v>178</v>
      </c>
      <c r="L502" s="98" t="s">
        <v>179</v>
      </c>
      <c r="M502" s="98" t="s">
        <v>180</v>
      </c>
      <c r="N502" s="98" t="s">
        <v>181</v>
      </c>
      <c r="O502" s="98" t="s">
        <v>182</v>
      </c>
      <c r="P502" s="98" t="s">
        <v>183</v>
      </c>
      <c r="Q502" s="98" t="s">
        <v>164</v>
      </c>
    </row>
    <row r="503" spans="2:18" x14ac:dyDescent="0.35">
      <c r="B503" s="758">
        <v>1</v>
      </c>
      <c r="C503" s="63" t="s">
        <v>269</v>
      </c>
      <c r="D503" s="200"/>
      <c r="E503" s="177"/>
      <c r="F503" s="19"/>
      <c r="G503" s="19"/>
      <c r="H503" s="19"/>
      <c r="I503" s="19"/>
      <c r="J503" s="19"/>
      <c r="K503" s="19"/>
      <c r="L503" s="19"/>
      <c r="M503" s="19"/>
      <c r="N503" s="19"/>
      <c r="O503" s="19"/>
      <c r="P503" s="19"/>
      <c r="Q503" s="19"/>
    </row>
    <row r="504" spans="2:18" x14ac:dyDescent="0.35">
      <c r="B504" s="74">
        <v>1.1000000000000001</v>
      </c>
      <c r="C504" s="697" t="s">
        <v>1202</v>
      </c>
      <c r="D504" s="219"/>
      <c r="E504" s="688">
        <f t="shared" ref="E504:P504" si="108">+E237</f>
        <v>0</v>
      </c>
      <c r="F504" s="688">
        <f t="shared" si="108"/>
        <v>0</v>
      </c>
      <c r="G504" s="688">
        <f t="shared" si="108"/>
        <v>0</v>
      </c>
      <c r="H504" s="688">
        <f t="shared" si="108"/>
        <v>0</v>
      </c>
      <c r="I504" s="688">
        <f t="shared" si="108"/>
        <v>0</v>
      </c>
      <c r="J504" s="688">
        <f t="shared" si="108"/>
        <v>0</v>
      </c>
      <c r="K504" s="688">
        <f t="shared" si="108"/>
        <v>0</v>
      </c>
      <c r="L504" s="688">
        <f t="shared" si="108"/>
        <v>0</v>
      </c>
      <c r="M504" s="688">
        <f t="shared" si="108"/>
        <v>0</v>
      </c>
      <c r="N504" s="688">
        <f t="shared" si="108"/>
        <v>0</v>
      </c>
      <c r="O504" s="688">
        <f t="shared" si="108"/>
        <v>0</v>
      </c>
      <c r="P504" s="688">
        <f t="shared" si="108"/>
        <v>0</v>
      </c>
      <c r="Q504" s="658">
        <f>SUM(E504:P504)</f>
        <v>0</v>
      </c>
    </row>
    <row r="505" spans="2:18" x14ac:dyDescent="0.35">
      <c r="B505" s="74">
        <v>1.2</v>
      </c>
      <c r="C505" s="61" t="s">
        <v>237</v>
      </c>
      <c r="D505" s="219"/>
      <c r="E505" s="177"/>
      <c r="F505" s="19"/>
      <c r="G505" s="19"/>
      <c r="H505" s="19"/>
      <c r="I505" s="19"/>
      <c r="J505" s="19"/>
      <c r="K505" s="19"/>
      <c r="L505" s="19"/>
      <c r="M505" s="19"/>
      <c r="N505" s="19"/>
      <c r="O505" s="19"/>
      <c r="P505" s="19"/>
      <c r="Q505" s="658">
        <f>SUM(E505:P505)</f>
        <v>0</v>
      </c>
    </row>
    <row r="506" spans="2:18" x14ac:dyDescent="0.35">
      <c r="B506" s="758">
        <v>2</v>
      </c>
      <c r="C506" s="63" t="s">
        <v>271</v>
      </c>
      <c r="D506" s="200"/>
      <c r="E506" s="177"/>
      <c r="F506" s="19"/>
      <c r="G506" s="19"/>
      <c r="H506" s="19"/>
      <c r="I506" s="19"/>
      <c r="J506" s="19"/>
      <c r="K506" s="19"/>
      <c r="L506" s="19"/>
      <c r="M506" s="19"/>
      <c r="N506" s="19"/>
      <c r="O506" s="19"/>
      <c r="P506" s="19"/>
      <c r="Q506" s="658">
        <f>SUM(E506:P506)</f>
        <v>0</v>
      </c>
    </row>
    <row r="507" spans="2:18" ht="27.75" x14ac:dyDescent="0.35">
      <c r="B507" s="74">
        <v>2.1</v>
      </c>
      <c r="C507" s="61" t="s">
        <v>1230</v>
      </c>
      <c r="D507" s="219">
        <f>+Assum!B78</f>
        <v>3</v>
      </c>
      <c r="E507" s="773">
        <f>+E489</f>
        <v>1.5697840000000001</v>
      </c>
      <c r="F507" s="773">
        <f t="shared" ref="F507:P507" si="109">+F489</f>
        <v>1.6733949999999997</v>
      </c>
      <c r="G507" s="773">
        <f t="shared" si="109"/>
        <v>1.403124</v>
      </c>
      <c r="H507" s="773">
        <f t="shared" si="109"/>
        <v>0.76211700000000004</v>
      </c>
      <c r="I507" s="773">
        <f t="shared" si="109"/>
        <v>1.437697</v>
      </c>
      <c r="J507" s="773">
        <f t="shared" si="109"/>
        <v>1.6148149999999997</v>
      </c>
      <c r="K507" s="773">
        <f t="shared" si="109"/>
        <v>1.442402</v>
      </c>
      <c r="L507" s="773">
        <f t="shared" si="109"/>
        <v>1.5728580000000001</v>
      </c>
      <c r="M507" s="773">
        <f t="shared" si="109"/>
        <v>1.7328480000000002</v>
      </c>
      <c r="N507" s="773">
        <f t="shared" si="109"/>
        <v>1.610849</v>
      </c>
      <c r="O507" s="773">
        <f t="shared" si="109"/>
        <v>1.432844</v>
      </c>
      <c r="P507" s="773">
        <f t="shared" si="109"/>
        <v>1.6125910000000001</v>
      </c>
      <c r="Q507" s="658">
        <f>SUM(E507:P507)</f>
        <v>17.865324000000001</v>
      </c>
      <c r="R507" s="772"/>
    </row>
    <row r="508" spans="2:18" x14ac:dyDescent="0.35">
      <c r="B508" s="74">
        <v>2.2000000000000002</v>
      </c>
      <c r="C508" s="61" t="s">
        <v>237</v>
      </c>
      <c r="D508" s="219"/>
      <c r="E508" s="177"/>
      <c r="F508" s="19"/>
      <c r="G508" s="19"/>
      <c r="H508" s="19"/>
      <c r="I508" s="19"/>
      <c r="J508" s="19"/>
      <c r="K508" s="19"/>
      <c r="L508" s="19"/>
      <c r="M508" s="19"/>
      <c r="N508" s="19"/>
      <c r="O508" s="19"/>
      <c r="P508" s="19"/>
      <c r="Q508" s="658">
        <f t="shared" ref="Q508:Q514" si="110">SUM(E508:P508)</f>
        <v>0</v>
      </c>
    </row>
    <row r="509" spans="2:18" x14ac:dyDescent="0.35">
      <c r="B509" s="758">
        <v>3</v>
      </c>
      <c r="C509" s="63" t="s">
        <v>272</v>
      </c>
      <c r="D509" s="200"/>
      <c r="E509" s="177"/>
      <c r="F509" s="19"/>
      <c r="G509" s="19"/>
      <c r="H509" s="19"/>
      <c r="I509" s="19"/>
      <c r="J509" s="19"/>
      <c r="K509" s="19"/>
      <c r="L509" s="19"/>
      <c r="M509" s="19"/>
      <c r="N509" s="19"/>
      <c r="O509" s="19"/>
      <c r="P509" s="19"/>
      <c r="Q509" s="658">
        <f t="shared" si="110"/>
        <v>0</v>
      </c>
    </row>
    <row r="510" spans="2:18" x14ac:dyDescent="0.4">
      <c r="B510" s="74">
        <v>3.1</v>
      </c>
      <c r="C510" s="722" t="s">
        <v>1208</v>
      </c>
      <c r="D510" s="219">
        <v>0</v>
      </c>
      <c r="E510" s="773">
        <f t="shared" ref="E510:P510" si="111">+$D$510*E501*24/1000*$R$492</f>
        <v>0</v>
      </c>
      <c r="F510" s="773">
        <f t="shared" si="111"/>
        <v>0</v>
      </c>
      <c r="G510" s="773">
        <f t="shared" si="111"/>
        <v>0</v>
      </c>
      <c r="H510" s="773">
        <f t="shared" si="111"/>
        <v>0</v>
      </c>
      <c r="I510" s="773">
        <f t="shared" si="111"/>
        <v>0</v>
      </c>
      <c r="J510" s="773">
        <f t="shared" si="111"/>
        <v>0</v>
      </c>
      <c r="K510" s="773">
        <f t="shared" si="111"/>
        <v>0</v>
      </c>
      <c r="L510" s="773">
        <f t="shared" si="111"/>
        <v>0</v>
      </c>
      <c r="M510" s="773">
        <f t="shared" si="111"/>
        <v>0</v>
      </c>
      <c r="N510" s="773">
        <f t="shared" si="111"/>
        <v>0</v>
      </c>
      <c r="O510" s="773">
        <f t="shared" si="111"/>
        <v>0</v>
      </c>
      <c r="P510" s="773">
        <f t="shared" si="111"/>
        <v>0</v>
      </c>
      <c r="Q510" s="658">
        <f t="shared" si="110"/>
        <v>0</v>
      </c>
      <c r="R510" s="772"/>
    </row>
    <row r="511" spans="2:18" x14ac:dyDescent="0.35">
      <c r="B511" s="74">
        <v>3.2</v>
      </c>
      <c r="C511" s="19" t="s">
        <v>1232</v>
      </c>
      <c r="D511" s="219">
        <v>0</v>
      </c>
      <c r="E511" s="773">
        <f t="shared" ref="E511:P511" si="112">+$D$511*E501*24/1000*$R$493</f>
        <v>0</v>
      </c>
      <c r="F511" s="773">
        <f t="shared" si="112"/>
        <v>0</v>
      </c>
      <c r="G511" s="773">
        <f t="shared" si="112"/>
        <v>0</v>
      </c>
      <c r="H511" s="773">
        <f t="shared" si="112"/>
        <v>0</v>
      </c>
      <c r="I511" s="773">
        <f t="shared" si="112"/>
        <v>0</v>
      </c>
      <c r="J511" s="773">
        <f t="shared" si="112"/>
        <v>0</v>
      </c>
      <c r="K511" s="773">
        <f t="shared" si="112"/>
        <v>0</v>
      </c>
      <c r="L511" s="773">
        <f t="shared" si="112"/>
        <v>0</v>
      </c>
      <c r="M511" s="773">
        <f t="shared" si="112"/>
        <v>0</v>
      </c>
      <c r="N511" s="773">
        <f t="shared" si="112"/>
        <v>0</v>
      </c>
      <c r="O511" s="773">
        <f t="shared" si="112"/>
        <v>0</v>
      </c>
      <c r="P511" s="773">
        <f t="shared" si="112"/>
        <v>0</v>
      </c>
      <c r="Q511" s="658">
        <f t="shared" si="110"/>
        <v>0</v>
      </c>
      <c r="R511" s="772"/>
    </row>
    <row r="512" spans="2:18" x14ac:dyDescent="0.35">
      <c r="B512" s="74">
        <v>3.3</v>
      </c>
      <c r="C512" s="152" t="s">
        <v>1596</v>
      </c>
      <c r="D512" s="219">
        <f>+Assum!B79</f>
        <v>3</v>
      </c>
      <c r="E512" s="773">
        <f>+$D$512*E501*24/1000*$R$512</f>
        <v>1.9440000000000002</v>
      </c>
      <c r="F512" s="773">
        <f>+$D$512*F501*24/1000*$R$512</f>
        <v>2.0088000000000004</v>
      </c>
      <c r="G512" s="773">
        <f>+$D$512*G501*24/1000*$R$512</f>
        <v>1.9440000000000002</v>
      </c>
      <c r="H512" s="773">
        <f>+$D$512*H501*24/1000*$R$512</f>
        <v>2.0088000000000004</v>
      </c>
      <c r="I512" s="773"/>
      <c r="J512" s="773"/>
      <c r="K512" s="773"/>
      <c r="L512" s="773"/>
      <c r="M512" s="773"/>
      <c r="N512" s="773"/>
      <c r="O512" s="773"/>
      <c r="P512" s="773"/>
      <c r="Q512" s="658">
        <f t="shared" si="110"/>
        <v>7.9056000000000015</v>
      </c>
      <c r="R512" s="772">
        <f>+Assum!Q79</f>
        <v>0.9</v>
      </c>
    </row>
    <row r="513" spans="2:18" x14ac:dyDescent="0.35">
      <c r="B513" s="74">
        <v>3.4</v>
      </c>
      <c r="C513" s="152" t="s">
        <v>1596</v>
      </c>
      <c r="D513" s="219">
        <f>+Assum!B80</f>
        <v>2</v>
      </c>
      <c r="E513" s="773">
        <f t="shared" ref="E513:K513" si="113">+$D$513*E501*24/1000*$R$512</f>
        <v>1.296</v>
      </c>
      <c r="F513" s="773">
        <f t="shared" si="113"/>
        <v>1.3391999999999999</v>
      </c>
      <c r="G513" s="773">
        <f t="shared" si="113"/>
        <v>1.296</v>
      </c>
      <c r="H513" s="773">
        <f t="shared" si="113"/>
        <v>1.3391999999999999</v>
      </c>
      <c r="I513" s="773">
        <f t="shared" si="113"/>
        <v>1.3391999999999999</v>
      </c>
      <c r="J513" s="773">
        <f t="shared" si="113"/>
        <v>1.296</v>
      </c>
      <c r="K513" s="773">
        <f t="shared" si="113"/>
        <v>1.3391999999999999</v>
      </c>
      <c r="L513" s="773"/>
      <c r="M513" s="773"/>
      <c r="N513" s="773"/>
      <c r="O513" s="773"/>
      <c r="P513" s="773"/>
      <c r="Q513" s="658">
        <f t="shared" si="110"/>
        <v>9.2448000000000015</v>
      </c>
      <c r="R513" s="772">
        <f>+Assum!Q80</f>
        <v>0.9</v>
      </c>
    </row>
    <row r="514" spans="2:18" x14ac:dyDescent="0.35">
      <c r="B514" s="74">
        <v>3.5</v>
      </c>
      <c r="C514" s="152" t="s">
        <v>1597</v>
      </c>
      <c r="D514" s="219">
        <f>+Assum!B81</f>
        <v>7</v>
      </c>
      <c r="E514" s="773">
        <f>+$D$514*E501*24/1000*$R$514</f>
        <v>4.2839999999999998</v>
      </c>
      <c r="F514" s="773">
        <f>+$D$514*F501*24/1000*$R$514</f>
        <v>4.4268000000000001</v>
      </c>
      <c r="G514" s="773">
        <f>+$D$514*G501*24/1000*$R$514</f>
        <v>4.2839999999999998</v>
      </c>
      <c r="H514" s="773">
        <f>+$D$514*H501*24/1000*$R$514</f>
        <v>4.4268000000000001</v>
      </c>
      <c r="I514" s="773">
        <f>+$D$514*I501*24/1000*$R$514</f>
        <v>4.4268000000000001</v>
      </c>
      <c r="J514" s="773"/>
      <c r="K514" s="773"/>
      <c r="L514" s="773"/>
      <c r="M514" s="773"/>
      <c r="N514" s="773"/>
      <c r="O514" s="773"/>
      <c r="P514" s="773"/>
      <c r="Q514" s="658">
        <f t="shared" si="110"/>
        <v>21.848399999999998</v>
      </c>
      <c r="R514" s="772">
        <f>+Assum!Q81</f>
        <v>0.85</v>
      </c>
    </row>
    <row r="515" spans="2:18" x14ac:dyDescent="0.35">
      <c r="B515" s="74"/>
      <c r="C515" s="19"/>
      <c r="D515" s="58"/>
      <c r="E515" s="19"/>
      <c r="F515" s="19"/>
      <c r="G515" s="19"/>
      <c r="H515" s="19"/>
      <c r="I515" s="19"/>
      <c r="J515" s="19"/>
      <c r="K515" s="19"/>
      <c r="L515" s="19"/>
      <c r="M515" s="19"/>
      <c r="N515" s="19"/>
      <c r="O515" s="19"/>
      <c r="P515" s="19"/>
      <c r="Q515" s="19"/>
    </row>
    <row r="516" spans="2:18" x14ac:dyDescent="0.35">
      <c r="B516" s="758">
        <v>4</v>
      </c>
      <c r="C516" s="22" t="s">
        <v>312</v>
      </c>
      <c r="D516" s="59"/>
      <c r="E516" s="677">
        <f t="shared" ref="E516:Q516" si="114">SUM(E504:E514)</f>
        <v>9.0937839999999994</v>
      </c>
      <c r="F516" s="677">
        <f t="shared" si="114"/>
        <v>9.4481950000000001</v>
      </c>
      <c r="G516" s="677">
        <f t="shared" si="114"/>
        <v>8.9271239999999992</v>
      </c>
      <c r="H516" s="677">
        <f t="shared" si="114"/>
        <v>8.5369170000000008</v>
      </c>
      <c r="I516" s="677">
        <f t="shared" si="114"/>
        <v>7.203697</v>
      </c>
      <c r="J516" s="677">
        <f t="shared" si="114"/>
        <v>2.9108149999999995</v>
      </c>
      <c r="K516" s="677">
        <f t="shared" si="114"/>
        <v>2.7816019999999999</v>
      </c>
      <c r="L516" s="677">
        <f t="shared" si="114"/>
        <v>1.5728580000000001</v>
      </c>
      <c r="M516" s="677">
        <f t="shared" si="114"/>
        <v>1.7328480000000002</v>
      </c>
      <c r="N516" s="677">
        <f t="shared" si="114"/>
        <v>1.610849</v>
      </c>
      <c r="O516" s="677">
        <f t="shared" si="114"/>
        <v>1.432844</v>
      </c>
      <c r="P516" s="677">
        <f t="shared" si="114"/>
        <v>1.6125910000000001</v>
      </c>
      <c r="Q516" s="677">
        <f t="shared" si="114"/>
        <v>56.864124000000004</v>
      </c>
    </row>
    <row r="517" spans="2:18" x14ac:dyDescent="0.35">
      <c r="B517" s="49"/>
      <c r="C517" s="16"/>
      <c r="D517" s="120"/>
      <c r="E517" s="769"/>
      <c r="F517" s="769"/>
      <c r="G517" s="769"/>
      <c r="H517" s="769"/>
      <c r="I517" s="769"/>
      <c r="J517" s="769"/>
      <c r="K517" s="769"/>
      <c r="L517" s="769"/>
      <c r="M517" s="769"/>
      <c r="N517" s="769"/>
      <c r="O517" s="769"/>
      <c r="P517" s="769"/>
      <c r="Q517" s="769"/>
    </row>
    <row r="518" spans="2:18" x14ac:dyDescent="0.35">
      <c r="B518" s="49" t="s">
        <v>191</v>
      </c>
      <c r="C518" s="16"/>
      <c r="D518" s="120"/>
      <c r="E518" s="769"/>
      <c r="F518" s="769"/>
      <c r="G518" s="769"/>
      <c r="H518" s="769"/>
      <c r="I518" s="769"/>
      <c r="J518" s="769"/>
      <c r="K518" s="769"/>
      <c r="L518" s="769"/>
      <c r="M518" s="769"/>
      <c r="N518" s="769"/>
      <c r="O518" s="769"/>
      <c r="P518" s="769"/>
      <c r="Q518" s="769"/>
    </row>
    <row r="519" spans="2:18" x14ac:dyDescent="0.35">
      <c r="B519" s="49"/>
      <c r="C519" s="99"/>
      <c r="D519" s="179"/>
      <c r="E519" s="11"/>
      <c r="F519" s="12"/>
      <c r="G519" s="11"/>
      <c r="H519" s="11"/>
      <c r="I519" s="11"/>
    </row>
    <row r="520" spans="2:18" ht="27" x14ac:dyDescent="0.35">
      <c r="B520" s="756" t="s">
        <v>1</v>
      </c>
      <c r="C520" s="178" t="s">
        <v>111</v>
      </c>
      <c r="D520" s="98" t="s">
        <v>322</v>
      </c>
      <c r="E520" s="98" t="s">
        <v>172</v>
      </c>
      <c r="F520" s="98" t="s">
        <v>173</v>
      </c>
      <c r="G520" s="98" t="s">
        <v>174</v>
      </c>
      <c r="H520" s="98" t="s">
        <v>175</v>
      </c>
      <c r="I520" s="98" t="s">
        <v>176</v>
      </c>
      <c r="J520" s="98" t="s">
        <v>177</v>
      </c>
      <c r="K520" s="98" t="s">
        <v>178</v>
      </c>
      <c r="L520" s="98" t="s">
        <v>179</v>
      </c>
      <c r="M520" s="98" t="s">
        <v>180</v>
      </c>
      <c r="N520" s="98" t="s">
        <v>181</v>
      </c>
      <c r="O520" s="98" t="s">
        <v>182</v>
      </c>
      <c r="P520" s="98" t="s">
        <v>183</v>
      </c>
      <c r="Q520" s="98" t="s">
        <v>164</v>
      </c>
    </row>
    <row r="521" spans="2:18" x14ac:dyDescent="0.35">
      <c r="B521" s="758">
        <v>1</v>
      </c>
      <c r="C521" s="63" t="s">
        <v>269</v>
      </c>
      <c r="D521" s="200"/>
      <c r="E521" s="177"/>
      <c r="F521" s="19"/>
      <c r="G521" s="19"/>
      <c r="H521" s="19"/>
      <c r="I521" s="19"/>
      <c r="J521" s="19"/>
      <c r="K521" s="19"/>
      <c r="L521" s="19"/>
      <c r="M521" s="19"/>
      <c r="N521" s="19"/>
      <c r="O521" s="19"/>
      <c r="P521" s="19"/>
      <c r="Q521" s="19"/>
    </row>
    <row r="522" spans="2:18" x14ac:dyDescent="0.35">
      <c r="B522" s="74">
        <v>1.1000000000000001</v>
      </c>
      <c r="C522" s="697" t="s">
        <v>1202</v>
      </c>
      <c r="D522" s="219"/>
      <c r="E522" s="657">
        <f>+E266</f>
        <v>0</v>
      </c>
      <c r="F522" s="657">
        <f t="shared" ref="F522:P522" si="115">+F266</f>
        <v>0</v>
      </c>
      <c r="G522" s="657">
        <f t="shared" si="115"/>
        <v>0</v>
      </c>
      <c r="H522" s="657">
        <f t="shared" si="115"/>
        <v>0</v>
      </c>
      <c r="I522" s="657">
        <f t="shared" si="115"/>
        <v>0</v>
      </c>
      <c r="J522" s="657">
        <f t="shared" si="115"/>
        <v>0</v>
      </c>
      <c r="K522" s="657">
        <f t="shared" si="115"/>
        <v>0</v>
      </c>
      <c r="L522" s="657">
        <f t="shared" si="115"/>
        <v>0</v>
      </c>
      <c r="M522" s="657">
        <f t="shared" si="115"/>
        <v>0</v>
      </c>
      <c r="N522" s="657">
        <f t="shared" si="115"/>
        <v>0</v>
      </c>
      <c r="O522" s="657">
        <f t="shared" si="115"/>
        <v>0</v>
      </c>
      <c r="P522" s="657">
        <f t="shared" si="115"/>
        <v>0</v>
      </c>
      <c r="Q522" s="1216">
        <f>SUM(E522:P522)</f>
        <v>0</v>
      </c>
    </row>
    <row r="523" spans="2:18" x14ac:dyDescent="0.35">
      <c r="B523" s="74">
        <v>1.2</v>
      </c>
      <c r="C523" s="61" t="s">
        <v>237</v>
      </c>
      <c r="D523" s="219"/>
      <c r="E523" s="657"/>
      <c r="F523" s="676"/>
      <c r="G523" s="676"/>
      <c r="H523" s="676"/>
      <c r="I523" s="676"/>
      <c r="J523" s="676"/>
      <c r="K523" s="676"/>
      <c r="L523" s="676"/>
      <c r="M523" s="676"/>
      <c r="N523" s="676"/>
      <c r="O523" s="676"/>
      <c r="P523" s="676"/>
      <c r="Q523" s="1216">
        <f>SUM(E523:P523)</f>
        <v>0</v>
      </c>
    </row>
    <row r="524" spans="2:18" x14ac:dyDescent="0.35">
      <c r="B524" s="758">
        <v>2</v>
      </c>
      <c r="C524" s="63" t="s">
        <v>271</v>
      </c>
      <c r="D524" s="200"/>
      <c r="E524" s="657"/>
      <c r="F524" s="676"/>
      <c r="G524" s="676"/>
      <c r="H524" s="676"/>
      <c r="I524" s="676"/>
      <c r="J524" s="676"/>
      <c r="K524" s="676"/>
      <c r="L524" s="676"/>
      <c r="M524" s="676"/>
      <c r="N524" s="676"/>
      <c r="O524" s="676"/>
      <c r="P524" s="676"/>
      <c r="Q524" s="1216">
        <f>SUM(E524:P524)</f>
        <v>0</v>
      </c>
    </row>
    <row r="525" spans="2:18" ht="27.75" x14ac:dyDescent="0.35">
      <c r="B525" s="74">
        <v>2.1</v>
      </c>
      <c r="C525" s="61" t="s">
        <v>1230</v>
      </c>
      <c r="D525" s="219">
        <f>+Assum!B78</f>
        <v>3</v>
      </c>
      <c r="E525" s="657">
        <f>+E507</f>
        <v>1.5697840000000001</v>
      </c>
      <c r="F525" s="657">
        <f t="shared" ref="F525:P525" si="116">+F507</f>
        <v>1.6733949999999997</v>
      </c>
      <c r="G525" s="657">
        <f t="shared" si="116"/>
        <v>1.403124</v>
      </c>
      <c r="H525" s="657">
        <f t="shared" si="116"/>
        <v>0.76211700000000004</v>
      </c>
      <c r="I525" s="657">
        <f t="shared" si="116"/>
        <v>1.437697</v>
      </c>
      <c r="J525" s="657">
        <f t="shared" si="116"/>
        <v>1.6148149999999997</v>
      </c>
      <c r="K525" s="657">
        <f t="shared" si="116"/>
        <v>1.442402</v>
      </c>
      <c r="L525" s="657">
        <f t="shared" si="116"/>
        <v>1.5728580000000001</v>
      </c>
      <c r="M525" s="657">
        <f t="shared" si="116"/>
        <v>1.7328480000000002</v>
      </c>
      <c r="N525" s="657">
        <f t="shared" si="116"/>
        <v>1.610849</v>
      </c>
      <c r="O525" s="657">
        <f t="shared" si="116"/>
        <v>1.432844</v>
      </c>
      <c r="P525" s="657">
        <f t="shared" si="116"/>
        <v>1.6125910000000001</v>
      </c>
      <c r="Q525" s="1216">
        <f>SUM(E525:P525)</f>
        <v>17.865324000000001</v>
      </c>
    </row>
    <row r="526" spans="2:18" x14ac:dyDescent="0.35">
      <c r="B526" s="74">
        <v>2.2000000000000002</v>
      </c>
      <c r="C526" s="61" t="s">
        <v>237</v>
      </c>
      <c r="D526" s="219"/>
      <c r="E526" s="657"/>
      <c r="F526" s="676"/>
      <c r="G526" s="676"/>
      <c r="H526" s="676"/>
      <c r="I526" s="676"/>
      <c r="J526" s="676"/>
      <c r="K526" s="676"/>
      <c r="L526" s="676"/>
      <c r="M526" s="676"/>
      <c r="N526" s="676"/>
      <c r="O526" s="676"/>
      <c r="P526" s="676"/>
      <c r="Q526" s="1216">
        <f t="shared" ref="Q526:Q532" si="117">SUM(E526:P526)</f>
        <v>0</v>
      </c>
    </row>
    <row r="527" spans="2:18" x14ac:dyDescent="0.35">
      <c r="B527" s="758">
        <v>3</v>
      </c>
      <c r="C527" s="63" t="s">
        <v>272</v>
      </c>
      <c r="D527" s="200"/>
      <c r="E527" s="657"/>
      <c r="F527" s="676"/>
      <c r="G527" s="676"/>
      <c r="H527" s="676"/>
      <c r="I527" s="676"/>
      <c r="J527" s="676"/>
      <c r="K527" s="676"/>
      <c r="L527" s="676"/>
      <c r="M527" s="676"/>
      <c r="N527" s="676"/>
      <c r="O527" s="676"/>
      <c r="P527" s="676"/>
      <c r="Q527" s="1216">
        <f t="shared" si="117"/>
        <v>0</v>
      </c>
    </row>
    <row r="528" spans="2:18" x14ac:dyDescent="0.4">
      <c r="B528" s="74">
        <v>3.1</v>
      </c>
      <c r="C528" s="722" t="s">
        <v>1208</v>
      </c>
      <c r="D528" s="219">
        <v>0</v>
      </c>
      <c r="E528" s="657"/>
      <c r="F528" s="657"/>
      <c r="G528" s="657"/>
      <c r="H528" s="657"/>
      <c r="I528" s="657"/>
      <c r="J528" s="657"/>
      <c r="K528" s="657"/>
      <c r="L528" s="657"/>
      <c r="M528" s="657"/>
      <c r="N528" s="657"/>
      <c r="O528" s="657"/>
      <c r="P528" s="657"/>
      <c r="Q528" s="1216">
        <f t="shared" si="117"/>
        <v>0</v>
      </c>
    </row>
    <row r="529" spans="2:17" x14ac:dyDescent="0.35">
      <c r="B529" s="74">
        <v>3.2</v>
      </c>
      <c r="C529" s="19" t="s">
        <v>1232</v>
      </c>
      <c r="D529" s="219">
        <v>0</v>
      </c>
      <c r="E529" s="657"/>
      <c r="F529" s="657"/>
      <c r="G529" s="657"/>
      <c r="H529" s="657"/>
      <c r="I529" s="657"/>
      <c r="J529" s="657"/>
      <c r="K529" s="657"/>
      <c r="L529" s="657"/>
      <c r="M529" s="657"/>
      <c r="N529" s="657"/>
      <c r="O529" s="657"/>
      <c r="P529" s="657"/>
      <c r="Q529" s="1216">
        <f t="shared" si="117"/>
        <v>0</v>
      </c>
    </row>
    <row r="530" spans="2:17" x14ac:dyDescent="0.35">
      <c r="B530" s="74">
        <v>3.3</v>
      </c>
      <c r="C530" s="152" t="s">
        <v>1596</v>
      </c>
      <c r="D530" s="219">
        <f>+Assum!B97</f>
        <v>0</v>
      </c>
      <c r="E530" s="657"/>
      <c r="F530" s="657"/>
      <c r="G530" s="657"/>
      <c r="H530" s="657"/>
      <c r="I530" s="657"/>
      <c r="J530" s="657"/>
      <c r="K530" s="657"/>
      <c r="L530" s="657"/>
      <c r="M530" s="657"/>
      <c r="N530" s="657"/>
      <c r="O530" s="657"/>
      <c r="P530" s="657"/>
      <c r="Q530" s="1216">
        <f t="shared" si="117"/>
        <v>0</v>
      </c>
    </row>
    <row r="531" spans="2:17" x14ac:dyDescent="0.35">
      <c r="B531" s="74">
        <v>3.4</v>
      </c>
      <c r="C531" s="152" t="s">
        <v>1596</v>
      </c>
      <c r="D531" s="219">
        <f>+Assum!B98</f>
        <v>0</v>
      </c>
      <c r="E531" s="657"/>
      <c r="F531" s="657"/>
      <c r="G531" s="657"/>
      <c r="H531" s="657"/>
      <c r="I531" s="657"/>
      <c r="J531" s="657"/>
      <c r="K531" s="657"/>
      <c r="L531" s="657"/>
      <c r="M531" s="657"/>
      <c r="N531" s="657"/>
      <c r="O531" s="657"/>
      <c r="P531" s="657"/>
      <c r="Q531" s="1216">
        <f t="shared" si="117"/>
        <v>0</v>
      </c>
    </row>
    <row r="532" spans="2:17" x14ac:dyDescent="0.35">
      <c r="B532" s="74">
        <v>3.5</v>
      </c>
      <c r="C532" s="152" t="s">
        <v>1597</v>
      </c>
      <c r="D532" s="219">
        <f>+Assum!B99</f>
        <v>0</v>
      </c>
      <c r="E532" s="657"/>
      <c r="F532" s="657"/>
      <c r="G532" s="657"/>
      <c r="H532" s="657"/>
      <c r="I532" s="657"/>
      <c r="J532" s="657"/>
      <c r="K532" s="657"/>
      <c r="L532" s="657"/>
      <c r="M532" s="657"/>
      <c r="N532" s="657"/>
      <c r="O532" s="657"/>
      <c r="P532" s="657"/>
      <c r="Q532" s="1216">
        <f t="shared" si="117"/>
        <v>0</v>
      </c>
    </row>
    <row r="533" spans="2:17" x14ac:dyDescent="0.35">
      <c r="B533" s="74"/>
      <c r="C533" s="19"/>
      <c r="D533" s="58"/>
      <c r="E533" s="676"/>
      <c r="F533" s="676"/>
      <c r="G533" s="676"/>
      <c r="H533" s="676"/>
      <c r="I533" s="676"/>
      <c r="J533" s="676"/>
      <c r="K533" s="676"/>
      <c r="L533" s="676"/>
      <c r="M533" s="676"/>
      <c r="N533" s="676"/>
      <c r="O533" s="676"/>
      <c r="P533" s="676"/>
      <c r="Q533" s="676"/>
    </row>
    <row r="534" spans="2:17" x14ac:dyDescent="0.35">
      <c r="B534" s="758">
        <v>4</v>
      </c>
      <c r="C534" s="22" t="s">
        <v>312</v>
      </c>
      <c r="D534" s="59"/>
      <c r="E534" s="677">
        <f t="shared" ref="E534:Q534" si="118">SUM(E522:E532)</f>
        <v>1.5697840000000001</v>
      </c>
      <c r="F534" s="677">
        <f t="shared" si="118"/>
        <v>1.6733949999999997</v>
      </c>
      <c r="G534" s="677">
        <f t="shared" si="118"/>
        <v>1.403124</v>
      </c>
      <c r="H534" s="677">
        <f t="shared" si="118"/>
        <v>0.76211700000000004</v>
      </c>
      <c r="I534" s="677">
        <f t="shared" si="118"/>
        <v>1.437697</v>
      </c>
      <c r="J534" s="677">
        <f t="shared" si="118"/>
        <v>1.6148149999999997</v>
      </c>
      <c r="K534" s="677">
        <f t="shared" si="118"/>
        <v>1.442402</v>
      </c>
      <c r="L534" s="677">
        <f t="shared" si="118"/>
        <v>1.5728580000000001</v>
      </c>
      <c r="M534" s="677">
        <f t="shared" si="118"/>
        <v>1.7328480000000002</v>
      </c>
      <c r="N534" s="677">
        <f t="shared" si="118"/>
        <v>1.610849</v>
      </c>
      <c r="O534" s="677">
        <f t="shared" si="118"/>
        <v>1.432844</v>
      </c>
      <c r="P534" s="677">
        <f t="shared" si="118"/>
        <v>1.6125910000000001</v>
      </c>
      <c r="Q534" s="677">
        <f t="shared" si="118"/>
        <v>17.865324000000001</v>
      </c>
    </row>
    <row r="535" spans="2:17" x14ac:dyDescent="0.35">
      <c r="B535" s="49"/>
      <c r="C535" s="16"/>
      <c r="D535" s="120"/>
      <c r="E535" s="769"/>
      <c r="F535" s="769"/>
      <c r="G535" s="769"/>
      <c r="H535" s="769"/>
      <c r="I535" s="769"/>
      <c r="J535" s="769"/>
      <c r="K535" s="769"/>
      <c r="L535" s="769"/>
      <c r="M535" s="769"/>
      <c r="N535" s="769"/>
      <c r="O535" s="769"/>
      <c r="P535" s="769"/>
      <c r="Q535" s="769"/>
    </row>
    <row r="536" spans="2:17" x14ac:dyDescent="0.35">
      <c r="B536" s="49" t="s">
        <v>192</v>
      </c>
      <c r="C536" s="16"/>
      <c r="D536" s="120"/>
      <c r="E536" s="769"/>
      <c r="F536" s="769"/>
      <c r="G536" s="769"/>
      <c r="H536" s="769"/>
      <c r="I536" s="769"/>
      <c r="J536" s="769"/>
      <c r="K536" s="769"/>
      <c r="L536" s="769"/>
      <c r="M536" s="769"/>
      <c r="N536" s="769"/>
      <c r="O536" s="769"/>
      <c r="P536" s="769"/>
      <c r="Q536" s="769"/>
    </row>
    <row r="537" spans="2:17" x14ac:dyDescent="0.35">
      <c r="B537" s="49"/>
      <c r="C537" s="99"/>
      <c r="D537" s="179"/>
      <c r="E537" s="11"/>
      <c r="F537" s="12"/>
      <c r="G537" s="11"/>
      <c r="H537" s="11"/>
      <c r="I537" s="11"/>
    </row>
    <row r="538" spans="2:17" ht="27" x14ac:dyDescent="0.35">
      <c r="B538" s="756" t="s">
        <v>1</v>
      </c>
      <c r="C538" s="178" t="s">
        <v>111</v>
      </c>
      <c r="D538" s="98" t="s">
        <v>322</v>
      </c>
      <c r="E538" s="98" t="s">
        <v>172</v>
      </c>
      <c r="F538" s="98" t="s">
        <v>173</v>
      </c>
      <c r="G538" s="98" t="s">
        <v>174</v>
      </c>
      <c r="H538" s="98" t="s">
        <v>175</v>
      </c>
      <c r="I538" s="98" t="s">
        <v>176</v>
      </c>
      <c r="J538" s="98" t="s">
        <v>177</v>
      </c>
      <c r="K538" s="98" t="s">
        <v>178</v>
      </c>
      <c r="L538" s="98" t="s">
        <v>179</v>
      </c>
      <c r="M538" s="98" t="s">
        <v>180</v>
      </c>
      <c r="N538" s="98" t="s">
        <v>181</v>
      </c>
      <c r="O538" s="98" t="s">
        <v>182</v>
      </c>
      <c r="P538" s="98" t="s">
        <v>183</v>
      </c>
      <c r="Q538" s="98" t="s">
        <v>164</v>
      </c>
    </row>
    <row r="539" spans="2:17" x14ac:dyDescent="0.35">
      <c r="B539" s="758">
        <v>1</v>
      </c>
      <c r="C539" s="63" t="s">
        <v>269</v>
      </c>
      <c r="D539" s="200"/>
      <c r="E539" s="177"/>
      <c r="F539" s="19"/>
      <c r="G539" s="19"/>
      <c r="H539" s="19"/>
      <c r="I539" s="19"/>
      <c r="J539" s="19"/>
      <c r="K539" s="19"/>
      <c r="L539" s="19"/>
      <c r="M539" s="19"/>
      <c r="N539" s="19"/>
      <c r="O539" s="19"/>
      <c r="P539" s="19"/>
      <c r="Q539" s="19"/>
    </row>
    <row r="540" spans="2:17" x14ac:dyDescent="0.35">
      <c r="B540" s="74">
        <v>1.1000000000000001</v>
      </c>
      <c r="C540" s="697" t="s">
        <v>1202</v>
      </c>
      <c r="D540" s="219"/>
      <c r="E540" s="177"/>
      <c r="F540" s="19"/>
      <c r="G540" s="19"/>
      <c r="H540" s="19"/>
      <c r="I540" s="19"/>
      <c r="J540" s="19"/>
      <c r="K540" s="19"/>
      <c r="L540" s="19"/>
      <c r="M540" s="19"/>
      <c r="N540" s="19"/>
      <c r="O540" s="19"/>
      <c r="P540" s="19"/>
      <c r="Q540" s="19"/>
    </row>
    <row r="541" spans="2:17" x14ac:dyDescent="0.35">
      <c r="B541" s="74">
        <v>1.2</v>
      </c>
      <c r="C541" s="61" t="s">
        <v>237</v>
      </c>
      <c r="D541" s="219"/>
      <c r="E541" s="177"/>
      <c r="F541" s="19"/>
      <c r="G541" s="19"/>
      <c r="H541" s="19"/>
      <c r="I541" s="19"/>
      <c r="J541" s="19"/>
      <c r="K541" s="19"/>
      <c r="L541" s="19"/>
      <c r="M541" s="19"/>
      <c r="N541" s="19"/>
      <c r="O541" s="19"/>
      <c r="P541" s="19"/>
      <c r="Q541" s="19"/>
    </row>
    <row r="542" spans="2:17" x14ac:dyDescent="0.35">
      <c r="B542" s="74">
        <v>1.3</v>
      </c>
      <c r="C542" s="61" t="s">
        <v>270</v>
      </c>
      <c r="D542" s="219"/>
      <c r="E542" s="177"/>
      <c r="F542" s="19"/>
      <c r="G542" s="19"/>
      <c r="H542" s="19"/>
      <c r="I542" s="19"/>
      <c r="J542" s="19"/>
      <c r="K542" s="19"/>
      <c r="L542" s="19"/>
      <c r="M542" s="19"/>
      <c r="N542" s="19"/>
      <c r="O542" s="19"/>
      <c r="P542" s="19"/>
      <c r="Q542" s="19"/>
    </row>
    <row r="543" spans="2:17" x14ac:dyDescent="0.35">
      <c r="B543" s="758">
        <v>2</v>
      </c>
      <c r="C543" s="63" t="s">
        <v>271</v>
      </c>
      <c r="D543" s="200"/>
      <c r="E543" s="177"/>
      <c r="F543" s="19"/>
      <c r="G543" s="19"/>
      <c r="H543" s="19"/>
      <c r="I543" s="19"/>
      <c r="J543" s="19"/>
      <c r="K543" s="19"/>
      <c r="L543" s="19"/>
      <c r="M543" s="19"/>
      <c r="N543" s="19"/>
      <c r="O543" s="19"/>
      <c r="P543" s="19"/>
      <c r="Q543" s="19"/>
    </row>
    <row r="544" spans="2:17" ht="27.75" x14ac:dyDescent="0.35">
      <c r="B544" s="74">
        <v>2.1</v>
      </c>
      <c r="C544" s="61" t="s">
        <v>1230</v>
      </c>
      <c r="D544" s="219">
        <f>+D525</f>
        <v>3</v>
      </c>
      <c r="E544" s="673">
        <f t="shared" ref="E544:N544" si="119">+E525</f>
        <v>1.5697840000000001</v>
      </c>
      <c r="F544" s="673">
        <f t="shared" si="119"/>
        <v>1.6733949999999997</v>
      </c>
      <c r="G544" s="673">
        <f t="shared" si="119"/>
        <v>1.403124</v>
      </c>
      <c r="H544" s="673">
        <f t="shared" si="119"/>
        <v>0.76211700000000004</v>
      </c>
      <c r="I544" s="673">
        <f t="shared" si="119"/>
        <v>1.437697</v>
      </c>
      <c r="J544" s="673">
        <f t="shared" si="119"/>
        <v>1.6148149999999997</v>
      </c>
      <c r="K544" s="673">
        <f t="shared" si="119"/>
        <v>1.442402</v>
      </c>
      <c r="L544" s="673">
        <f t="shared" si="119"/>
        <v>1.5728580000000001</v>
      </c>
      <c r="M544" s="673">
        <f t="shared" si="119"/>
        <v>1.7328480000000002</v>
      </c>
      <c r="N544" s="673">
        <f t="shared" si="119"/>
        <v>1.610849</v>
      </c>
      <c r="O544" s="673"/>
      <c r="P544" s="673"/>
      <c r="Q544" s="658">
        <f>SUM(E544:P544)</f>
        <v>14.819889</v>
      </c>
    </row>
    <row r="545" spans="2:17" x14ac:dyDescent="0.35">
      <c r="B545" s="74">
        <v>2.2000000000000002</v>
      </c>
      <c r="C545" s="61" t="s">
        <v>237</v>
      </c>
      <c r="D545" s="219"/>
      <c r="E545" s="177"/>
      <c r="F545" s="19"/>
      <c r="G545" s="19"/>
      <c r="H545" s="19"/>
      <c r="I545" s="19"/>
      <c r="J545" s="19"/>
      <c r="K545" s="19"/>
      <c r="L545" s="19"/>
      <c r="M545" s="19"/>
      <c r="N545" s="19"/>
      <c r="O545" s="19"/>
      <c r="P545" s="19"/>
      <c r="Q545" s="19"/>
    </row>
    <row r="546" spans="2:17" x14ac:dyDescent="0.35">
      <c r="B546" s="758">
        <v>3</v>
      </c>
      <c r="C546" s="63" t="s">
        <v>272</v>
      </c>
      <c r="D546" s="200"/>
      <c r="E546" s="177"/>
      <c r="F546" s="19"/>
      <c r="G546" s="19"/>
      <c r="H546" s="19"/>
      <c r="I546" s="19"/>
      <c r="J546" s="19"/>
      <c r="K546" s="19"/>
      <c r="L546" s="19"/>
      <c r="M546" s="19"/>
      <c r="N546" s="19"/>
      <c r="O546" s="19"/>
      <c r="P546" s="19"/>
      <c r="Q546" s="19"/>
    </row>
    <row r="547" spans="2:17" x14ac:dyDescent="0.35">
      <c r="B547" s="74">
        <v>3.1</v>
      </c>
      <c r="C547" s="61" t="s">
        <v>235</v>
      </c>
      <c r="D547" s="219"/>
      <c r="E547" s="177"/>
      <c r="F547" s="19"/>
      <c r="G547" s="19"/>
      <c r="H547" s="19"/>
      <c r="I547" s="19"/>
      <c r="J547" s="19"/>
      <c r="K547" s="19"/>
      <c r="L547" s="19"/>
      <c r="M547" s="19"/>
      <c r="N547" s="19"/>
      <c r="O547" s="19"/>
      <c r="P547" s="19"/>
      <c r="Q547" s="19"/>
    </row>
    <row r="548" spans="2:17" x14ac:dyDescent="0.35">
      <c r="B548" s="74">
        <v>3.2</v>
      </c>
      <c r="C548" s="61" t="s">
        <v>237</v>
      </c>
      <c r="D548" s="219"/>
      <c r="E548" s="177"/>
      <c r="F548" s="19"/>
      <c r="G548" s="19"/>
      <c r="H548" s="19"/>
      <c r="I548" s="19"/>
      <c r="J548" s="19"/>
      <c r="K548" s="19"/>
      <c r="L548" s="19"/>
      <c r="M548" s="19"/>
      <c r="N548" s="19"/>
      <c r="O548" s="19"/>
      <c r="P548" s="19"/>
      <c r="Q548" s="19"/>
    </row>
    <row r="549" spans="2:17" x14ac:dyDescent="0.35">
      <c r="B549" s="74">
        <v>3.3000000000000003</v>
      </c>
      <c r="C549" s="61" t="s">
        <v>270</v>
      </c>
      <c r="D549" s="219"/>
      <c r="E549" s="177"/>
      <c r="F549" s="19"/>
      <c r="G549" s="19"/>
      <c r="H549" s="19"/>
      <c r="I549" s="19"/>
      <c r="J549" s="19"/>
      <c r="K549" s="19"/>
      <c r="L549" s="19"/>
      <c r="M549" s="19"/>
      <c r="N549" s="19"/>
      <c r="O549" s="19"/>
      <c r="P549" s="19"/>
      <c r="Q549" s="19"/>
    </row>
    <row r="550" spans="2:17" x14ac:dyDescent="0.35">
      <c r="B550" s="758">
        <v>4</v>
      </c>
      <c r="C550" s="22" t="s">
        <v>312</v>
      </c>
      <c r="D550" s="59"/>
      <c r="E550" s="177"/>
      <c r="F550" s="19"/>
      <c r="G550" s="19"/>
      <c r="H550" s="19"/>
      <c r="I550" s="19"/>
      <c r="J550" s="19"/>
      <c r="K550" s="19"/>
      <c r="L550" s="19"/>
      <c r="M550" s="19"/>
      <c r="N550" s="19"/>
      <c r="O550" s="19"/>
      <c r="P550" s="19"/>
      <c r="Q550" s="19"/>
    </row>
    <row r="551" spans="2:17" x14ac:dyDescent="0.35">
      <c r="B551" s="758">
        <v>5</v>
      </c>
      <c r="C551" s="22" t="s">
        <v>315</v>
      </c>
      <c r="D551" s="59"/>
      <c r="E551" s="177"/>
      <c r="F551" s="19"/>
      <c r="G551" s="19"/>
      <c r="H551" s="19"/>
      <c r="I551" s="19"/>
      <c r="J551" s="19"/>
      <c r="K551" s="19"/>
      <c r="L551" s="19"/>
      <c r="M551" s="19"/>
      <c r="N551" s="19"/>
      <c r="O551" s="19"/>
      <c r="P551" s="19"/>
      <c r="Q551" s="19"/>
    </row>
    <row r="553" spans="2:17" x14ac:dyDescent="0.35">
      <c r="B553" s="49" t="s">
        <v>193</v>
      </c>
      <c r="C553" s="99"/>
      <c r="D553" s="179"/>
      <c r="E553" s="11"/>
      <c r="F553" s="12"/>
      <c r="G553" s="11"/>
      <c r="H553" s="11"/>
      <c r="I553" s="11"/>
    </row>
    <row r="554" spans="2:17" x14ac:dyDescent="0.35">
      <c r="B554" s="49"/>
      <c r="C554" s="99"/>
      <c r="D554" s="179"/>
      <c r="E554" s="11"/>
      <c r="F554" s="12"/>
      <c r="G554" s="11"/>
      <c r="H554" s="11"/>
      <c r="I554" s="11"/>
    </row>
    <row r="555" spans="2:17" ht="27" x14ac:dyDescent="0.35">
      <c r="B555" s="756" t="s">
        <v>1</v>
      </c>
      <c r="C555" s="178" t="s">
        <v>111</v>
      </c>
      <c r="D555" s="98" t="s">
        <v>322</v>
      </c>
      <c r="E555" s="98" t="s">
        <v>172</v>
      </c>
      <c r="F555" s="98" t="s">
        <v>173</v>
      </c>
      <c r="G555" s="98" t="s">
        <v>174</v>
      </c>
      <c r="H555" s="98" t="s">
        <v>175</v>
      </c>
      <c r="I555" s="98" t="s">
        <v>176</v>
      </c>
      <c r="J555" s="98" t="s">
        <v>177</v>
      </c>
      <c r="K555" s="98" t="s">
        <v>178</v>
      </c>
      <c r="L555" s="98" t="s">
        <v>179</v>
      </c>
      <c r="M555" s="98" t="s">
        <v>180</v>
      </c>
      <c r="N555" s="98" t="s">
        <v>181</v>
      </c>
      <c r="O555" s="98" t="s">
        <v>182</v>
      </c>
      <c r="P555" s="98" t="s">
        <v>183</v>
      </c>
      <c r="Q555" s="98" t="s">
        <v>164</v>
      </c>
    </row>
    <row r="556" spans="2:17" x14ac:dyDescent="0.35">
      <c r="B556" s="758">
        <v>1</v>
      </c>
      <c r="C556" s="63" t="s">
        <v>269</v>
      </c>
      <c r="D556" s="200"/>
      <c r="E556" s="177"/>
      <c r="F556" s="19"/>
      <c r="G556" s="19"/>
      <c r="H556" s="19"/>
      <c r="I556" s="19"/>
      <c r="J556" s="19"/>
      <c r="K556" s="19"/>
      <c r="L556" s="19"/>
      <c r="M556" s="19"/>
      <c r="N556" s="19"/>
      <c r="O556" s="19"/>
      <c r="P556" s="19"/>
      <c r="Q556" s="19"/>
    </row>
    <row r="557" spans="2:17" x14ac:dyDescent="0.35">
      <c r="B557" s="74">
        <v>1.1000000000000001</v>
      </c>
      <c r="C557" s="61" t="s">
        <v>235</v>
      </c>
      <c r="D557" s="219"/>
      <c r="E557" s="177"/>
      <c r="F557" s="19"/>
      <c r="G557" s="19"/>
      <c r="H557" s="19"/>
      <c r="I557" s="19"/>
      <c r="J557" s="19"/>
      <c r="K557" s="19"/>
      <c r="L557" s="19"/>
      <c r="M557" s="19"/>
      <c r="N557" s="19"/>
      <c r="O557" s="19"/>
      <c r="P557" s="19"/>
      <c r="Q557" s="19"/>
    </row>
    <row r="558" spans="2:17" x14ac:dyDescent="0.35">
      <c r="B558" s="74">
        <v>1.2</v>
      </c>
      <c r="C558" s="61" t="s">
        <v>237</v>
      </c>
      <c r="D558" s="219"/>
      <c r="E558" s="177"/>
      <c r="F558" s="19"/>
      <c r="G558" s="19"/>
      <c r="H558" s="19"/>
      <c r="I558" s="19"/>
      <c r="J558" s="19"/>
      <c r="K558" s="19"/>
      <c r="L558" s="19"/>
      <c r="M558" s="19"/>
      <c r="N558" s="19"/>
      <c r="O558" s="19"/>
      <c r="P558" s="19"/>
      <c r="Q558" s="19"/>
    </row>
    <row r="559" spans="2:17" x14ac:dyDescent="0.35">
      <c r="B559" s="74">
        <v>1.3</v>
      </c>
      <c r="C559" s="61" t="s">
        <v>270</v>
      </c>
      <c r="D559" s="219"/>
      <c r="E559" s="177"/>
      <c r="F559" s="19"/>
      <c r="G559" s="19"/>
      <c r="H559" s="19"/>
      <c r="I559" s="19"/>
      <c r="J559" s="19"/>
      <c r="K559" s="19"/>
      <c r="L559" s="19"/>
      <c r="M559" s="19"/>
      <c r="N559" s="19"/>
      <c r="O559" s="19"/>
      <c r="P559" s="19"/>
      <c r="Q559" s="19"/>
    </row>
    <row r="560" spans="2:17" x14ac:dyDescent="0.35">
      <c r="B560" s="758">
        <v>2</v>
      </c>
      <c r="C560" s="63" t="s">
        <v>271</v>
      </c>
      <c r="D560" s="200"/>
      <c r="E560" s="177"/>
      <c r="F560" s="19"/>
      <c r="G560" s="19"/>
      <c r="H560" s="19"/>
      <c r="I560" s="19"/>
      <c r="J560" s="19"/>
      <c r="K560" s="19"/>
      <c r="L560" s="19"/>
      <c r="M560" s="19"/>
      <c r="N560" s="19"/>
      <c r="O560" s="19"/>
      <c r="P560" s="19"/>
      <c r="Q560" s="19"/>
    </row>
    <row r="561" spans="2:17" x14ac:dyDescent="0.35">
      <c r="B561" s="74">
        <v>2.1</v>
      </c>
      <c r="C561" s="61" t="s">
        <v>235</v>
      </c>
      <c r="D561" s="219"/>
      <c r="E561" s="177"/>
      <c r="F561" s="19"/>
      <c r="G561" s="19"/>
      <c r="H561" s="19"/>
      <c r="I561" s="19"/>
      <c r="J561" s="19"/>
      <c r="K561" s="19"/>
      <c r="L561" s="19"/>
      <c r="M561" s="19"/>
      <c r="N561" s="19"/>
      <c r="O561" s="19"/>
      <c r="P561" s="19"/>
      <c r="Q561" s="19"/>
    </row>
    <row r="562" spans="2:17" x14ac:dyDescent="0.35">
      <c r="B562" s="74">
        <v>2.2000000000000002</v>
      </c>
      <c r="C562" s="61" t="s">
        <v>237</v>
      </c>
      <c r="D562" s="219"/>
      <c r="E562" s="177"/>
      <c r="F562" s="19"/>
      <c r="G562" s="19"/>
      <c r="H562" s="19"/>
      <c r="I562" s="19"/>
      <c r="J562" s="19"/>
      <c r="K562" s="19"/>
      <c r="L562" s="19"/>
      <c r="M562" s="19"/>
      <c r="N562" s="19"/>
      <c r="O562" s="19"/>
      <c r="P562" s="19"/>
      <c r="Q562" s="19"/>
    </row>
    <row r="563" spans="2:17" x14ac:dyDescent="0.35">
      <c r="B563" s="758">
        <v>3</v>
      </c>
      <c r="C563" s="63" t="s">
        <v>272</v>
      </c>
      <c r="D563" s="200"/>
      <c r="E563" s="177"/>
      <c r="F563" s="19"/>
      <c r="G563" s="19"/>
      <c r="H563" s="19"/>
      <c r="I563" s="19"/>
      <c r="J563" s="19"/>
      <c r="K563" s="19"/>
      <c r="L563" s="19"/>
      <c r="M563" s="19"/>
      <c r="N563" s="19"/>
      <c r="O563" s="19"/>
      <c r="P563" s="19"/>
      <c r="Q563" s="19"/>
    </row>
    <row r="564" spans="2:17" x14ac:dyDescent="0.35">
      <c r="B564" s="74">
        <v>3.1</v>
      </c>
      <c r="C564" s="61" t="s">
        <v>235</v>
      </c>
      <c r="D564" s="219"/>
      <c r="E564" s="177"/>
      <c r="F564" s="19"/>
      <c r="G564" s="19"/>
      <c r="H564" s="19"/>
      <c r="I564" s="19"/>
      <c r="J564" s="19"/>
      <c r="K564" s="19"/>
      <c r="L564" s="19"/>
      <c r="M564" s="19"/>
      <c r="N564" s="19"/>
      <c r="O564" s="19"/>
      <c r="P564" s="19"/>
      <c r="Q564" s="19"/>
    </row>
    <row r="565" spans="2:17" x14ac:dyDescent="0.35">
      <c r="B565" s="74">
        <v>3.2</v>
      </c>
      <c r="C565" s="61" t="s">
        <v>237</v>
      </c>
      <c r="D565" s="219"/>
      <c r="E565" s="177"/>
      <c r="F565" s="19"/>
      <c r="G565" s="19"/>
      <c r="H565" s="19"/>
      <c r="I565" s="19"/>
      <c r="J565" s="19"/>
      <c r="K565" s="19"/>
      <c r="L565" s="19"/>
      <c r="M565" s="19"/>
      <c r="N565" s="19"/>
      <c r="O565" s="19"/>
      <c r="P565" s="19"/>
      <c r="Q565" s="19"/>
    </row>
    <row r="566" spans="2:17" x14ac:dyDescent="0.35">
      <c r="B566" s="74">
        <v>3.3000000000000003</v>
      </c>
      <c r="C566" s="61" t="s">
        <v>270</v>
      </c>
      <c r="D566" s="219"/>
      <c r="E566" s="177"/>
      <c r="F566" s="19"/>
      <c r="G566" s="19"/>
      <c r="H566" s="19"/>
      <c r="I566" s="19"/>
      <c r="J566" s="19"/>
      <c r="K566" s="19"/>
      <c r="L566" s="19"/>
      <c r="M566" s="19"/>
      <c r="N566" s="19"/>
      <c r="O566" s="19"/>
      <c r="P566" s="19"/>
      <c r="Q566" s="19"/>
    </row>
    <row r="567" spans="2:17" x14ac:dyDescent="0.35">
      <c r="B567" s="758">
        <v>4</v>
      </c>
      <c r="C567" s="22" t="s">
        <v>312</v>
      </c>
      <c r="D567" s="59"/>
      <c r="E567" s="177"/>
      <c r="F567" s="19"/>
      <c r="G567" s="19"/>
      <c r="H567" s="19"/>
      <c r="I567" s="19"/>
      <c r="J567" s="19"/>
      <c r="K567" s="19"/>
      <c r="L567" s="19"/>
      <c r="M567" s="19"/>
      <c r="N567" s="19"/>
      <c r="O567" s="19"/>
      <c r="P567" s="19"/>
      <c r="Q567" s="19"/>
    </row>
    <row r="569" spans="2:17" x14ac:dyDescent="0.35">
      <c r="B569" s="49" t="s">
        <v>317</v>
      </c>
      <c r="C569" s="16"/>
    </row>
    <row r="570" spans="2:17" x14ac:dyDescent="0.35">
      <c r="B570" s="173">
        <v>1</v>
      </c>
      <c r="C570" s="10" t="s">
        <v>323</v>
      </c>
    </row>
  </sheetData>
  <mergeCells count="51">
    <mergeCell ref="B397:B398"/>
    <mergeCell ref="C397:C398"/>
    <mergeCell ref="D397:D398"/>
    <mergeCell ref="E397:J397"/>
    <mergeCell ref="Q363:Q364"/>
    <mergeCell ref="B380:B381"/>
    <mergeCell ref="C380:C381"/>
    <mergeCell ref="D380:D381"/>
    <mergeCell ref="E380:J380"/>
    <mergeCell ref="K380:P380"/>
    <mergeCell ref="Q380:Q381"/>
    <mergeCell ref="K397:P397"/>
    <mergeCell ref="Q397:Q398"/>
    <mergeCell ref="B414:B415"/>
    <mergeCell ref="C414:C415"/>
    <mergeCell ref="D414:D415"/>
    <mergeCell ref="E414:J414"/>
    <mergeCell ref="K414:P414"/>
    <mergeCell ref="D449:D450"/>
    <mergeCell ref="E449:J449"/>
    <mergeCell ref="K449:P449"/>
    <mergeCell ref="Q449:Q450"/>
    <mergeCell ref="K340:O340"/>
    <mergeCell ref="D341:I341"/>
    <mergeCell ref="D363:D364"/>
    <mergeCell ref="E363:J363"/>
    <mergeCell ref="K363:P363"/>
    <mergeCell ref="Q414:Q415"/>
    <mergeCell ref="Q466:Q467"/>
    <mergeCell ref="B340:B341"/>
    <mergeCell ref="C340:C341"/>
    <mergeCell ref="B466:B467"/>
    <mergeCell ref="C466:C467"/>
    <mergeCell ref="D466:D467"/>
    <mergeCell ref="E466:J466"/>
    <mergeCell ref="K466:P466"/>
    <mergeCell ref="B431:B432"/>
    <mergeCell ref="C431:C432"/>
    <mergeCell ref="D431:D432"/>
    <mergeCell ref="E431:J431"/>
    <mergeCell ref="K431:P431"/>
    <mergeCell ref="Q431:Q432"/>
    <mergeCell ref="B449:B450"/>
    <mergeCell ref="C449:C450"/>
    <mergeCell ref="E14:J32"/>
    <mergeCell ref="B3:Q3"/>
    <mergeCell ref="B4:Q4"/>
    <mergeCell ref="B5:Q5"/>
    <mergeCell ref="E365:J376"/>
    <mergeCell ref="B363:B364"/>
    <mergeCell ref="C363:C364"/>
  </mergeCells>
  <pageMargins left="0.35433070866141736" right="0.19685039370078741" top="0.47244094488188981" bottom="0.31496062992125984" header="0.23622047244094491" footer="0.23622047244094491"/>
  <pageSetup paperSize="9" scale="40" fitToHeight="2" orientation="landscape" r:id="rId1"/>
  <headerFooter alignWithMargins="0">
    <oddHeader>&amp;F</oddHeader>
  </headerFooter>
  <rowBreaks count="7" manualBreakCount="7">
    <brk id="85" max="16" man="1"/>
    <brk id="164" max="16" man="1"/>
    <brk id="250" max="16" man="1"/>
    <brk id="335" max="16" man="1"/>
    <brk id="357" max="16" man="1"/>
    <brk id="446" max="16" man="1"/>
    <brk id="534"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116"/>
  <sheetViews>
    <sheetView showGridLines="0" view="pageBreakPreview" topLeftCell="B7" zoomScale="80" zoomScaleNormal="80" zoomScaleSheetLayoutView="90" workbookViewId="0">
      <selection activeCell="K11" sqref="K11"/>
    </sheetView>
  </sheetViews>
  <sheetFormatPr defaultColWidth="8.6640625" defaultRowHeight="13.9" x14ac:dyDescent="0.4"/>
  <cols>
    <col min="1" max="1" width="8.6640625" style="107"/>
    <col min="2" max="2" width="7.33203125" style="107" bestFit="1" customWidth="1"/>
    <col min="3" max="3" width="33.53125" style="107" customWidth="1"/>
    <col min="4" max="9" width="11.6640625" style="107" bestFit="1" customWidth="1"/>
    <col min="10" max="10" width="15.86328125" style="107" customWidth="1"/>
    <col min="11" max="15" width="11.6640625" style="107" bestFit="1" customWidth="1"/>
    <col min="16" max="16" width="11.46484375" style="107" bestFit="1" customWidth="1"/>
    <col min="17" max="17" width="12.6640625" style="107" customWidth="1"/>
    <col min="18" max="16384" width="8.6640625" style="107"/>
  </cols>
  <sheetData>
    <row r="2" spans="2:16" x14ac:dyDescent="0.4">
      <c r="B2" s="51"/>
      <c r="C2" s="51"/>
      <c r="D2" s="51"/>
      <c r="E2" s="51"/>
      <c r="F2" s="51"/>
      <c r="G2" s="51"/>
      <c r="H2" s="51"/>
      <c r="I2" s="51"/>
      <c r="J2" s="51"/>
      <c r="K2" s="51"/>
      <c r="L2" s="51"/>
      <c r="M2" s="51"/>
      <c r="N2" s="51"/>
    </row>
    <row r="3" spans="2:16" x14ac:dyDescent="0.4">
      <c r="B3" s="1937" t="str">
        <f>Index!B2</f>
        <v>Nidar Utilities Panvel LLP</v>
      </c>
      <c r="C3" s="1937"/>
      <c r="D3" s="1937"/>
      <c r="E3" s="1937"/>
      <c r="F3" s="1937"/>
      <c r="G3" s="1937"/>
      <c r="H3" s="1937"/>
      <c r="I3" s="1937"/>
      <c r="J3" s="1937"/>
      <c r="K3" s="1937"/>
      <c r="L3" s="1937"/>
      <c r="M3" s="1937"/>
      <c r="N3" s="1937"/>
      <c r="O3" s="1937"/>
      <c r="P3" s="1937"/>
    </row>
    <row r="4" spans="2:16" x14ac:dyDescent="0.4">
      <c r="B4" s="1875" t="s">
        <v>276</v>
      </c>
      <c r="C4" s="1875"/>
      <c r="D4" s="1875"/>
      <c r="E4" s="1875"/>
      <c r="F4" s="1875"/>
      <c r="G4" s="1875"/>
      <c r="H4" s="1875"/>
      <c r="I4" s="1875"/>
      <c r="J4" s="1875"/>
      <c r="K4" s="1875"/>
      <c r="L4" s="1875"/>
      <c r="M4" s="1875"/>
      <c r="N4" s="1875"/>
      <c r="O4" s="1875"/>
      <c r="P4" s="1875"/>
    </row>
    <row r="5" spans="2:16" x14ac:dyDescent="0.4">
      <c r="B5" s="1875" t="s">
        <v>324</v>
      </c>
      <c r="C5" s="1875"/>
      <c r="D5" s="1875"/>
      <c r="E5" s="1875"/>
      <c r="F5" s="1875"/>
      <c r="G5" s="1875"/>
      <c r="H5" s="1875"/>
      <c r="I5" s="1875"/>
      <c r="J5" s="1875"/>
      <c r="K5" s="1875"/>
      <c r="L5" s="1875"/>
      <c r="M5" s="1875"/>
      <c r="N5" s="1875"/>
      <c r="O5" s="1875"/>
      <c r="P5" s="1875"/>
    </row>
    <row r="6" spans="2:16" x14ac:dyDescent="0.4">
      <c r="B6" s="108"/>
      <c r="C6" s="108"/>
      <c r="D6" s="108"/>
      <c r="E6" s="108"/>
      <c r="F6" s="108"/>
      <c r="G6" s="108"/>
      <c r="H6" s="108"/>
      <c r="I6" s="108"/>
      <c r="J6" s="108"/>
      <c r="K6" s="108"/>
      <c r="L6" s="108"/>
      <c r="M6" s="108"/>
      <c r="N6" s="108"/>
    </row>
    <row r="7" spans="2:16" x14ac:dyDescent="0.4">
      <c r="B7" s="108"/>
      <c r="C7" s="108"/>
      <c r="D7" s="108"/>
      <c r="E7" s="108"/>
      <c r="F7" s="108"/>
      <c r="G7" s="108"/>
      <c r="H7" s="108"/>
      <c r="I7" s="108"/>
      <c r="J7" s="108"/>
      <c r="K7" s="108"/>
      <c r="L7" s="108"/>
      <c r="M7" s="108"/>
      <c r="N7" s="108"/>
    </row>
    <row r="8" spans="2:16" x14ac:dyDescent="0.4">
      <c r="B8" s="108"/>
      <c r="C8" s="108"/>
      <c r="D8" s="108"/>
      <c r="E8" s="108"/>
      <c r="F8" s="108"/>
      <c r="G8" s="108"/>
      <c r="H8" s="108"/>
      <c r="I8" s="108"/>
      <c r="J8" s="108"/>
      <c r="K8" s="108"/>
      <c r="L8" s="108"/>
      <c r="M8" s="108"/>
      <c r="P8" s="53" t="s">
        <v>110</v>
      </c>
    </row>
    <row r="9" spans="2:16" s="10" customFormat="1" ht="15" customHeight="1" x14ac:dyDescent="0.35">
      <c r="B9" s="1938" t="s">
        <v>1</v>
      </c>
      <c r="C9" s="1984" t="s">
        <v>111</v>
      </c>
      <c r="D9" s="98" t="s">
        <v>196</v>
      </c>
      <c r="E9" s="98" t="s">
        <v>197</v>
      </c>
      <c r="F9" s="98" t="s">
        <v>198</v>
      </c>
      <c r="G9" s="98" t="s">
        <v>199</v>
      </c>
      <c r="H9" s="358" t="s">
        <v>112</v>
      </c>
      <c r="I9" s="358" t="s">
        <v>113</v>
      </c>
      <c r="J9" s="358" t="s">
        <v>114</v>
      </c>
      <c r="K9" s="1934" t="s">
        <v>1019</v>
      </c>
      <c r="L9" s="1935"/>
      <c r="M9" s="1935"/>
      <c r="N9" s="1935"/>
      <c r="O9" s="1936"/>
      <c r="P9" s="1941" t="s">
        <v>116</v>
      </c>
    </row>
    <row r="10" spans="2:16" s="10" customFormat="1" ht="27" x14ac:dyDescent="0.35">
      <c r="B10" s="1939"/>
      <c r="C10" s="1984"/>
      <c r="D10" s="1934" t="s">
        <v>117</v>
      </c>
      <c r="E10" s="1935"/>
      <c r="F10" s="1935"/>
      <c r="G10" s="1935"/>
      <c r="H10" s="1935"/>
      <c r="I10" s="1936"/>
      <c r="J10" s="217" t="s">
        <v>121</v>
      </c>
      <c r="K10" s="217" t="s">
        <v>123</v>
      </c>
      <c r="L10" s="217" t="s">
        <v>124</v>
      </c>
      <c r="M10" s="217" t="s">
        <v>125</v>
      </c>
      <c r="N10" s="217" t="s">
        <v>126</v>
      </c>
      <c r="O10" s="217" t="s">
        <v>127</v>
      </c>
      <c r="P10" s="1941"/>
    </row>
    <row r="11" spans="2:16" x14ac:dyDescent="0.4">
      <c r="B11" s="168">
        <v>1</v>
      </c>
      <c r="C11" s="46" t="s">
        <v>154</v>
      </c>
      <c r="D11" s="564">
        <v>0.91071400000000002</v>
      </c>
      <c r="E11" s="564">
        <v>2.4552548000000001</v>
      </c>
      <c r="F11" s="564">
        <v>0.40523419999999999</v>
      </c>
      <c r="G11" s="564">
        <f>+Recon!N79</f>
        <v>0.67052683400000002</v>
      </c>
      <c r="H11" s="564">
        <f>+Recon!Q79</f>
        <v>1.247478358</v>
      </c>
      <c r="I11" s="564">
        <f>+Recon!T79</f>
        <v>1.825815781</v>
      </c>
      <c r="J11" s="564">
        <f>+Recon!W79</f>
        <v>3.7389622</v>
      </c>
      <c r="K11" s="564">
        <f>+Assum!L43</f>
        <v>3.42</v>
      </c>
      <c r="L11" s="564">
        <f>+Assum!M43</f>
        <v>4.55</v>
      </c>
      <c r="M11" s="564">
        <f>+Assum!N43</f>
        <v>5.51</v>
      </c>
      <c r="N11" s="564">
        <f>+Assum!O43</f>
        <v>6.4</v>
      </c>
      <c r="O11" s="564">
        <f>+Assum!P43</f>
        <v>7.33</v>
      </c>
      <c r="P11" s="2"/>
    </row>
    <row r="12" spans="2:16" x14ac:dyDescent="0.4">
      <c r="B12" s="168">
        <v>2</v>
      </c>
      <c r="C12" s="46" t="s">
        <v>325</v>
      </c>
      <c r="D12" s="564">
        <v>5.0124999999999996E-2</v>
      </c>
      <c r="E12" s="564">
        <v>0.13397500000000001</v>
      </c>
      <c r="F12" s="564">
        <v>9.4439999999999996E-2</v>
      </c>
      <c r="G12" s="564">
        <f>SUM(Recon!N76:N78)</f>
        <v>5.9357601999999995E-2</v>
      </c>
      <c r="H12" s="564">
        <f>+SUM(Recon!Q76:Q78)</f>
        <v>6.4282559000000003E-2</v>
      </c>
      <c r="I12" s="564">
        <f>SUM(Recon!T76:T78)</f>
        <v>3.5238630999999999E-2</v>
      </c>
      <c r="J12" s="564">
        <f>+Recon!W76+Recon!W77+Recon!W78</f>
        <v>1.5324399999999998E-2</v>
      </c>
      <c r="K12" s="564">
        <f>+Assum!L44</f>
        <v>1.24</v>
      </c>
      <c r="L12" s="564">
        <f>+Assum!M44</f>
        <v>1.42</v>
      </c>
      <c r="M12" s="564">
        <f>+Assum!N44</f>
        <v>1.82</v>
      </c>
      <c r="N12" s="564">
        <f>+Assum!O44</f>
        <v>2.25</v>
      </c>
      <c r="O12" s="564">
        <f>+Assum!P44</f>
        <v>2.73</v>
      </c>
      <c r="P12" s="2"/>
    </row>
    <row r="13" spans="2:16" x14ac:dyDescent="0.4">
      <c r="B13" s="168">
        <v>3</v>
      </c>
      <c r="C13" s="46" t="s">
        <v>1239</v>
      </c>
      <c r="D13" s="564"/>
      <c r="E13" s="564"/>
      <c r="F13" s="564"/>
      <c r="G13" s="564"/>
      <c r="H13" s="564"/>
      <c r="I13" s="564"/>
      <c r="J13" s="564"/>
      <c r="K13" s="564">
        <f>+Assum!L45</f>
        <v>0.35</v>
      </c>
      <c r="L13" s="564">
        <f>+Assum!M45</f>
        <v>0.42</v>
      </c>
      <c r="M13" s="564">
        <f>+Assum!N45</f>
        <v>0.48</v>
      </c>
      <c r="N13" s="564">
        <f>+Assum!O45</f>
        <v>0.52</v>
      </c>
      <c r="O13" s="564">
        <f>+Assum!P45</f>
        <v>0.56000000000000005</v>
      </c>
      <c r="P13" s="2"/>
    </row>
    <row r="14" spans="2:16" x14ac:dyDescent="0.4">
      <c r="B14" s="168">
        <v>4</v>
      </c>
      <c r="C14" s="46" t="s">
        <v>1465</v>
      </c>
      <c r="D14" s="564"/>
      <c r="E14" s="564"/>
      <c r="F14" s="564"/>
      <c r="G14" s="564"/>
      <c r="H14" s="564"/>
      <c r="I14" s="564"/>
      <c r="J14" s="564"/>
      <c r="K14" s="564">
        <f>SUM(E37:P37)</f>
        <v>4.5832504865660697</v>
      </c>
      <c r="L14" s="564">
        <f>SUM(E57:P57)</f>
        <v>6.7609473123219734</v>
      </c>
      <c r="M14" s="564">
        <f>SUM(E77:P77)</f>
        <v>7.5778379534246536</v>
      </c>
      <c r="N14" s="564">
        <f>SUM(E97:P97)</f>
        <v>9.0241270775523343</v>
      </c>
      <c r="O14" s="564">
        <f>SUM(E116:P116)</f>
        <v>8.2058030538796789</v>
      </c>
      <c r="P14" s="2"/>
    </row>
    <row r="16" spans="2:16" x14ac:dyDescent="0.4">
      <c r="B16" s="10" t="s">
        <v>148</v>
      </c>
    </row>
    <row r="20" spans="3:16" x14ac:dyDescent="0.4">
      <c r="C20" s="1398" t="s">
        <v>871</v>
      </c>
      <c r="E20" s="1373">
        <v>30</v>
      </c>
      <c r="F20" s="1373">
        <v>31</v>
      </c>
      <c r="G20" s="1373">
        <v>30</v>
      </c>
      <c r="H20" s="1373">
        <v>31</v>
      </c>
      <c r="I20" s="1373">
        <v>31</v>
      </c>
      <c r="J20" s="1373">
        <v>30</v>
      </c>
      <c r="K20" s="1373">
        <v>31</v>
      </c>
      <c r="L20" s="1373">
        <v>30</v>
      </c>
      <c r="M20" s="1373">
        <v>31</v>
      </c>
      <c r="N20" s="1373">
        <v>31</v>
      </c>
      <c r="O20" s="1373">
        <v>28</v>
      </c>
      <c r="P20" s="1373">
        <v>31</v>
      </c>
    </row>
    <row r="21" spans="3:16" x14ac:dyDescent="0.4">
      <c r="C21" s="1379" t="s">
        <v>1586</v>
      </c>
      <c r="D21" s="1380"/>
      <c r="E21" s="1381">
        <v>45748</v>
      </c>
      <c r="F21" s="1381">
        <v>45778</v>
      </c>
      <c r="G21" s="1381">
        <v>45809</v>
      </c>
      <c r="H21" s="1381">
        <v>45839</v>
      </c>
      <c r="I21" s="1381">
        <v>45870</v>
      </c>
      <c r="J21" s="1381">
        <v>45901</v>
      </c>
      <c r="K21" s="1381">
        <v>45931</v>
      </c>
      <c r="L21" s="1381">
        <v>45962</v>
      </c>
      <c r="M21" s="1381">
        <v>45992</v>
      </c>
      <c r="N21" s="1381">
        <v>46023</v>
      </c>
      <c r="O21" s="1381">
        <v>46054</v>
      </c>
      <c r="P21" s="1381">
        <v>46082</v>
      </c>
    </row>
    <row r="22" spans="3:16" x14ac:dyDescent="0.4">
      <c r="C22" s="1325" t="s">
        <v>1587</v>
      </c>
      <c r="D22" s="364" t="s">
        <v>1170</v>
      </c>
      <c r="E22" s="1316">
        <f>+Assum!$B$78</f>
        <v>3</v>
      </c>
      <c r="F22" s="1316">
        <f>+Assum!$B$78</f>
        <v>3</v>
      </c>
      <c r="G22" s="1316">
        <f>+Assum!$B$78</f>
        <v>3</v>
      </c>
      <c r="H22" s="1316">
        <f>+Assum!$B$78</f>
        <v>3</v>
      </c>
      <c r="I22" s="1316">
        <f>+Assum!$B$78</f>
        <v>3</v>
      </c>
      <c r="J22" s="1316">
        <f>+Assum!$B$78</f>
        <v>3</v>
      </c>
      <c r="K22" s="1316">
        <f>+Assum!$B$78</f>
        <v>3</v>
      </c>
      <c r="L22" s="1316">
        <f>+Assum!$B$78</f>
        <v>3</v>
      </c>
      <c r="M22" s="1316">
        <f>+Assum!$B$78</f>
        <v>3</v>
      </c>
      <c r="N22" s="1316">
        <f>+Assum!$B$78</f>
        <v>3</v>
      </c>
      <c r="O22" s="1316">
        <f>+Assum!$B$78</f>
        <v>3</v>
      </c>
      <c r="P22" s="1316">
        <v>3</v>
      </c>
    </row>
    <row r="23" spans="3:16" x14ac:dyDescent="0.4">
      <c r="C23" s="1314" t="s">
        <v>1588</v>
      </c>
      <c r="D23" s="364" t="s">
        <v>1170</v>
      </c>
      <c r="E23" s="1316">
        <f>+Assum!$B$77</f>
        <v>2</v>
      </c>
      <c r="F23" s="1316">
        <f>+Assum!$B$77</f>
        <v>2</v>
      </c>
      <c r="G23" s="1316">
        <f>+Assum!$B$77</f>
        <v>2</v>
      </c>
      <c r="H23" s="1316">
        <f>+Assum!$B$77</f>
        <v>2</v>
      </c>
      <c r="I23" s="1316">
        <f>+Assum!$B$77</f>
        <v>2</v>
      </c>
      <c r="J23" s="1316">
        <f>+Assum!$B$77</f>
        <v>2</v>
      </c>
      <c r="K23" s="1316">
        <f>+Assum!$B$77</f>
        <v>2</v>
      </c>
      <c r="L23" s="1316"/>
      <c r="M23" s="1316"/>
      <c r="N23" s="1316"/>
      <c r="O23" s="1316"/>
      <c r="P23" s="1316"/>
    </row>
    <row r="24" spans="3:16" x14ac:dyDescent="0.4">
      <c r="C24" s="1314" t="s">
        <v>1589</v>
      </c>
      <c r="D24" s="364" t="s">
        <v>1170</v>
      </c>
      <c r="E24" s="1316">
        <f>+Assum!$B$75</f>
        <v>7</v>
      </c>
      <c r="F24" s="1316">
        <f>+Assum!$B$75</f>
        <v>7</v>
      </c>
      <c r="G24" s="1316">
        <f>+Assum!$B$75</f>
        <v>7</v>
      </c>
      <c r="H24" s="1316"/>
      <c r="I24" s="1316"/>
      <c r="J24" s="1316"/>
      <c r="K24" s="1316"/>
      <c r="L24" s="1316"/>
      <c r="M24" s="1316"/>
      <c r="N24" s="1316"/>
      <c r="O24" s="1316"/>
      <c r="P24" s="1316"/>
    </row>
    <row r="25" spans="3:16" x14ac:dyDescent="0.4">
      <c r="C25" s="1314" t="s">
        <v>1594</v>
      </c>
      <c r="D25" s="364" t="s">
        <v>1170</v>
      </c>
      <c r="E25" s="1316"/>
      <c r="F25" s="1316"/>
      <c r="G25" s="1316"/>
      <c r="H25" s="1316"/>
      <c r="I25" s="1316">
        <f>+Assum!$B$79</f>
        <v>3</v>
      </c>
      <c r="J25" s="1316">
        <f>+Assum!$B$79</f>
        <v>3</v>
      </c>
      <c r="K25" s="1316">
        <f>+Assum!$B$79</f>
        <v>3</v>
      </c>
      <c r="L25" s="1316">
        <f>+Assum!$B$79</f>
        <v>3</v>
      </c>
      <c r="M25" s="1316">
        <f>+Assum!$B$79</f>
        <v>3</v>
      </c>
      <c r="N25" s="1316">
        <f>+Assum!$B$79</f>
        <v>3</v>
      </c>
      <c r="O25" s="1316">
        <f>+Assum!$B$79</f>
        <v>3</v>
      </c>
      <c r="P25" s="1316">
        <v>3</v>
      </c>
    </row>
    <row r="26" spans="3:16" x14ac:dyDescent="0.4">
      <c r="C26" s="1314" t="s">
        <v>1594</v>
      </c>
      <c r="D26" s="364" t="s">
        <v>1170</v>
      </c>
      <c r="E26" s="1316"/>
      <c r="F26" s="1316"/>
      <c r="G26" s="1316"/>
      <c r="H26" s="1316"/>
      <c r="I26" s="1316"/>
      <c r="J26" s="1316"/>
      <c r="K26" s="1316"/>
      <c r="L26" s="1316">
        <f>+Assum!$B$80</f>
        <v>2</v>
      </c>
      <c r="M26" s="1316">
        <f>+Assum!$B$80</f>
        <v>2</v>
      </c>
      <c r="N26" s="1316">
        <f>+Assum!$B$80</f>
        <v>2</v>
      </c>
      <c r="O26" s="1316">
        <f>+Assum!$B$80</f>
        <v>2</v>
      </c>
      <c r="P26" s="1316">
        <f>+Assum!$B$80</f>
        <v>2</v>
      </c>
    </row>
    <row r="27" spans="3:16" x14ac:dyDescent="0.4">
      <c r="C27" s="1314" t="s">
        <v>1595</v>
      </c>
      <c r="D27" s="364" t="s">
        <v>1170</v>
      </c>
      <c r="E27" s="1316"/>
      <c r="F27" s="1316"/>
      <c r="G27" s="1316"/>
      <c r="H27" s="1316"/>
      <c r="I27" s="1316"/>
      <c r="J27" s="1316">
        <f>+Assum!$B$81</f>
        <v>7</v>
      </c>
      <c r="K27" s="1316">
        <f>+Assum!$B$81</f>
        <v>7</v>
      </c>
      <c r="L27" s="1316">
        <f>+Assum!$B$81</f>
        <v>7</v>
      </c>
      <c r="M27" s="1316">
        <f>+Assum!$B$81</f>
        <v>7</v>
      </c>
      <c r="N27" s="1316">
        <f>+Assum!$B$81</f>
        <v>7</v>
      </c>
      <c r="O27" s="1316">
        <f>+Assum!$B$81</f>
        <v>7</v>
      </c>
      <c r="P27" s="1316">
        <f>+Assum!$B$81</f>
        <v>7</v>
      </c>
    </row>
    <row r="28" spans="3:16" x14ac:dyDescent="0.4">
      <c r="C28" s="208" t="s">
        <v>1590</v>
      </c>
      <c r="D28" s="364" t="s">
        <v>1170</v>
      </c>
      <c r="E28" s="1342">
        <f>+'F2.1'!E219/(E20*24/1000*85%)</f>
        <v>4.2257733967469315</v>
      </c>
      <c r="F28" s="1342">
        <f>+'F2.1'!F219/(F20*24/1000*85%)</f>
        <v>4.3504464166450996</v>
      </c>
      <c r="G28" s="1342">
        <f>+'F2.1'!G219/(G20*24/1000*85%)</f>
        <v>4.4490586000605292</v>
      </c>
      <c r="H28" s="1342">
        <f>+'F2.1'!H219/(H20*24/1000*85%)</f>
        <v>16.205903720342317</v>
      </c>
      <c r="I28" s="1342">
        <f>+'F2.1'!I219/(I20*24/1000*85%)</f>
        <v>11.597726950353435</v>
      </c>
      <c r="J28" s="1342">
        <f>+'F2.1'!J219/(J20*24/1000*85%)</f>
        <v>3.8698043075623754</v>
      </c>
      <c r="K28" s="1342">
        <f>+'F2.1'!K219/(K20*24/1000*85%)</f>
        <v>5.2809210709406145</v>
      </c>
      <c r="L28" s="1342">
        <f>+'F2.1'!L219/(L20*24/1000*85%)</f>
        <v>4.8256720944080138</v>
      </c>
      <c r="M28" s="1342">
        <f>+'F2.1'!M219/(M20*24/1000*85%)</f>
        <v>4.4999490624615772</v>
      </c>
      <c r="N28" s="1342">
        <f>+'F2.1'!N219/(N20*24/1000*85%)</f>
        <v>5.6175640609920787</v>
      </c>
      <c r="O28" s="1342">
        <f>+'F2.1'!O219/(O20*24/1000*85%)</f>
        <v>5.7680322443296124</v>
      </c>
      <c r="P28" s="1342">
        <f>+'F2.1'!P219/(P20*24/1000*85%)</f>
        <v>5.9223453478559183</v>
      </c>
    </row>
    <row r="29" spans="3:16" x14ac:dyDescent="0.4">
      <c r="C29" s="207" t="s">
        <v>1591</v>
      </c>
      <c r="D29" s="365" t="s">
        <v>1170</v>
      </c>
      <c r="E29" s="1382">
        <f t="shared" ref="E29:P29" si="0">SUM(E22:E28)</f>
        <v>16.225773396746931</v>
      </c>
      <c r="F29" s="1382">
        <f t="shared" si="0"/>
        <v>16.350446416645099</v>
      </c>
      <c r="G29" s="1382">
        <f t="shared" si="0"/>
        <v>16.449058600060528</v>
      </c>
      <c r="H29" s="1382">
        <f t="shared" si="0"/>
        <v>21.205903720342317</v>
      </c>
      <c r="I29" s="1382">
        <f t="shared" si="0"/>
        <v>19.597726950353433</v>
      </c>
      <c r="J29" s="1382">
        <f t="shared" si="0"/>
        <v>18.869804307562376</v>
      </c>
      <c r="K29" s="1382">
        <f t="shared" si="0"/>
        <v>20.280921070940614</v>
      </c>
      <c r="L29" s="1382">
        <f t="shared" si="0"/>
        <v>19.825672094408013</v>
      </c>
      <c r="M29" s="1382">
        <f t="shared" si="0"/>
        <v>19.499949062461578</v>
      </c>
      <c r="N29" s="1382">
        <f t="shared" si="0"/>
        <v>20.61756406099208</v>
      </c>
      <c r="O29" s="1382">
        <f t="shared" si="0"/>
        <v>20.768032244329611</v>
      </c>
      <c r="P29" s="1382">
        <f t="shared" si="0"/>
        <v>20.922345347855916</v>
      </c>
    </row>
    <row r="30" spans="3:16" x14ac:dyDescent="0.4">
      <c r="C30" s="208"/>
      <c r="D30" s="1383"/>
      <c r="E30" s="208"/>
      <c r="F30" s="208"/>
      <c r="G30" s="208"/>
      <c r="H30" s="208"/>
      <c r="I30" s="208"/>
      <c r="J30" s="208"/>
      <c r="K30" s="208"/>
      <c r="L30" s="208"/>
      <c r="M30" s="208"/>
      <c r="N30" s="208"/>
      <c r="O30" s="208"/>
      <c r="P30" s="208"/>
    </row>
    <row r="31" spans="3:16" x14ac:dyDescent="0.4">
      <c r="C31" s="208" t="s">
        <v>1592</v>
      </c>
      <c r="D31" s="365" t="s">
        <v>1170</v>
      </c>
      <c r="E31" s="208">
        <v>10.73</v>
      </c>
      <c r="F31" s="208">
        <v>10.73</v>
      </c>
      <c r="G31" s="208">
        <v>10.73</v>
      </c>
      <c r="H31" s="208">
        <v>10.73</v>
      </c>
      <c r="I31" s="208">
        <v>10.73</v>
      </c>
      <c r="J31" s="208">
        <v>10.73</v>
      </c>
      <c r="K31" s="208">
        <v>10.73</v>
      </c>
      <c r="L31" s="208">
        <v>10.73</v>
      </c>
      <c r="M31" s="208">
        <v>10.73</v>
      </c>
      <c r="N31" s="208">
        <v>10.73</v>
      </c>
      <c r="O31" s="208">
        <v>10.73</v>
      </c>
      <c r="P31" s="208">
        <v>10.73</v>
      </c>
    </row>
    <row r="32" spans="3:16" x14ac:dyDescent="0.4">
      <c r="C32" s="208"/>
      <c r="D32" s="1383"/>
      <c r="E32" s="208"/>
      <c r="F32" s="208"/>
      <c r="G32" s="208"/>
      <c r="H32" s="208"/>
      <c r="I32" s="208"/>
      <c r="J32" s="208"/>
      <c r="K32" s="208"/>
      <c r="L32" s="208"/>
      <c r="M32" s="208"/>
      <c r="N32" s="208"/>
      <c r="O32" s="208"/>
      <c r="P32" s="208"/>
    </row>
    <row r="33" spans="3:16" x14ac:dyDescent="0.4">
      <c r="C33" s="208" t="s">
        <v>1593</v>
      </c>
      <c r="D33" s="365" t="s">
        <v>1170</v>
      </c>
      <c r="E33" s="1342">
        <f>+E29-E31</f>
        <v>5.4957733967469302</v>
      </c>
      <c r="F33" s="1342">
        <f t="shared" ref="F33:P33" si="1">+F29-F31</f>
        <v>5.6204464166450983</v>
      </c>
      <c r="G33" s="1342">
        <f t="shared" si="1"/>
        <v>5.7190586000605279</v>
      </c>
      <c r="H33" s="1342">
        <f t="shared" si="1"/>
        <v>10.475903720342316</v>
      </c>
      <c r="I33" s="1342">
        <f t="shared" si="1"/>
        <v>8.8677269503534326</v>
      </c>
      <c r="J33" s="1342">
        <f t="shared" si="1"/>
        <v>8.1398043075623754</v>
      </c>
      <c r="K33" s="1342">
        <f t="shared" si="1"/>
        <v>9.550921070940614</v>
      </c>
      <c r="L33" s="1342">
        <f t="shared" si="1"/>
        <v>9.0956720944080125</v>
      </c>
      <c r="M33" s="1342">
        <f t="shared" si="1"/>
        <v>8.7699490624615777</v>
      </c>
      <c r="N33" s="1342">
        <f t="shared" si="1"/>
        <v>9.8875640609920801</v>
      </c>
      <c r="O33" s="1342">
        <f t="shared" si="1"/>
        <v>10.03803224432961</v>
      </c>
      <c r="P33" s="1342">
        <f t="shared" si="1"/>
        <v>10.192345347855916</v>
      </c>
    </row>
    <row r="34" spans="3:16" x14ac:dyDescent="0.4">
      <c r="C34" s="1384"/>
      <c r="D34" s="1385"/>
      <c r="E34" s="1386"/>
      <c r="F34" s="1386"/>
      <c r="G34" s="1386"/>
      <c r="H34" s="1386"/>
      <c r="I34" s="1386"/>
      <c r="J34" s="1386"/>
      <c r="K34" s="1386"/>
      <c r="L34" s="1386"/>
      <c r="M34" s="1386"/>
      <c r="N34" s="1386"/>
      <c r="O34" s="1386"/>
      <c r="P34" s="1386"/>
    </row>
    <row r="35" spans="3:16" x14ac:dyDescent="0.4">
      <c r="C35" s="207" t="s">
        <v>1593</v>
      </c>
      <c r="D35" s="1387" t="s">
        <v>236</v>
      </c>
      <c r="E35" s="1382">
        <f>IF(E33&lt;0,0,E33*85%*E20*24/1000)</f>
        <v>3.3634133188091209</v>
      </c>
      <c r="F35" s="1382">
        <f t="shared" ref="F35:P35" si="2">IF(F33&lt;0,0,F33*85%*F20*24/1000)</f>
        <v>3.5543703138863596</v>
      </c>
      <c r="G35" s="1382">
        <f t="shared" si="2"/>
        <v>3.5000638632370427</v>
      </c>
      <c r="H35" s="1382">
        <f t="shared" si="2"/>
        <v>6.6249615127444796</v>
      </c>
      <c r="I35" s="1382">
        <f t="shared" si="2"/>
        <v>5.6079505234035105</v>
      </c>
      <c r="J35" s="1382">
        <f t="shared" si="2"/>
        <v>4.981560236228173</v>
      </c>
      <c r="K35" s="1382">
        <f t="shared" si="2"/>
        <v>6.0400024852628444</v>
      </c>
      <c r="L35" s="1382">
        <f t="shared" si="2"/>
        <v>5.5665513217777027</v>
      </c>
      <c r="M35" s="1382">
        <f t="shared" si="2"/>
        <v>5.5461157871007014</v>
      </c>
      <c r="N35" s="1382">
        <f t="shared" si="2"/>
        <v>6.2528955121713903</v>
      </c>
      <c r="O35" s="1382">
        <f t="shared" si="2"/>
        <v>5.7337240179610731</v>
      </c>
      <c r="P35" s="1382">
        <f t="shared" si="2"/>
        <v>6.4456391979840815</v>
      </c>
    </row>
    <row r="37" spans="3:16" ht="14.25" x14ac:dyDescent="0.45">
      <c r="C37" s="1311" t="s">
        <v>1465</v>
      </c>
      <c r="D37" s="1388" t="s">
        <v>1218</v>
      </c>
      <c r="E37" s="1232">
        <f>+E35*Assum!$L$46/10</f>
        <v>0.24384746561366125</v>
      </c>
      <c r="F37" s="1232">
        <f>+F35*Assum!$L$46/10</f>
        <v>0.25769184775676107</v>
      </c>
      <c r="G37" s="1232">
        <f>+G35*Assum!$L$46/10</f>
        <v>0.25375463008468557</v>
      </c>
      <c r="H37" s="1232">
        <f>+H35*Assum!$L$46/10</f>
        <v>0.48030970967397479</v>
      </c>
      <c r="I37" s="1232">
        <f>+I35*Assum!$L$46/10</f>
        <v>0.40657641294675451</v>
      </c>
      <c r="J37" s="1232">
        <f>+J35*Assum!$L$46/10</f>
        <v>0.36116311712654253</v>
      </c>
      <c r="K37" s="1232">
        <f>+K35*Assum!$L$46/10</f>
        <v>0.43790018018155619</v>
      </c>
      <c r="L37" s="1232">
        <f>+L35*Assum!$L$46/10</f>
        <v>0.40357497082888349</v>
      </c>
      <c r="M37" s="1232">
        <f>+M35*Assum!$L$46/10</f>
        <v>0.40209339456480081</v>
      </c>
      <c r="N37" s="1232">
        <f>+N35*Assum!$L$46/10</f>
        <v>0.45333492463242581</v>
      </c>
      <c r="O37" s="1232">
        <f>+O35*Assum!$L$46/10</f>
        <v>0.4156949913021778</v>
      </c>
      <c r="P37" s="1232">
        <f>+P35*Assum!$L$46/10</f>
        <v>0.46730884185384591</v>
      </c>
    </row>
    <row r="40" spans="3:16" x14ac:dyDescent="0.4">
      <c r="C40" s="1398" t="s">
        <v>872</v>
      </c>
      <c r="E40" s="1373">
        <v>30</v>
      </c>
      <c r="F40" s="1373">
        <v>31</v>
      </c>
      <c r="G40" s="1373">
        <v>30</v>
      </c>
      <c r="H40" s="1373">
        <v>31</v>
      </c>
      <c r="I40" s="1373">
        <v>31</v>
      </c>
      <c r="J40" s="1373">
        <v>30</v>
      </c>
      <c r="K40" s="1373">
        <v>31</v>
      </c>
      <c r="L40" s="1373">
        <v>30</v>
      </c>
      <c r="M40" s="1373">
        <v>31</v>
      </c>
      <c r="N40" s="1373">
        <v>31</v>
      </c>
      <c r="O40" s="1373">
        <v>28</v>
      </c>
      <c r="P40" s="1373">
        <v>31</v>
      </c>
    </row>
    <row r="41" spans="3:16" x14ac:dyDescent="0.4">
      <c r="C41" s="1379" t="s">
        <v>1586</v>
      </c>
      <c r="D41" s="1380"/>
      <c r="E41" s="1381">
        <v>46113</v>
      </c>
      <c r="F41" s="1381">
        <v>46143</v>
      </c>
      <c r="G41" s="1381">
        <v>46174</v>
      </c>
      <c r="H41" s="1381">
        <v>46204</v>
      </c>
      <c r="I41" s="1381">
        <v>46235</v>
      </c>
      <c r="J41" s="1381">
        <v>46266</v>
      </c>
      <c r="K41" s="1381">
        <v>46296</v>
      </c>
      <c r="L41" s="1381">
        <v>46327</v>
      </c>
      <c r="M41" s="1381">
        <v>46357</v>
      </c>
      <c r="N41" s="1381">
        <v>46388</v>
      </c>
      <c r="O41" s="1381">
        <v>46419</v>
      </c>
      <c r="P41" s="1381">
        <v>46447</v>
      </c>
    </row>
    <row r="42" spans="3:16" ht="27.75" x14ac:dyDescent="0.4">
      <c r="C42" s="1325" t="s">
        <v>1587</v>
      </c>
      <c r="D42" s="364" t="s">
        <v>1170</v>
      </c>
      <c r="E42" s="1316">
        <f>+Assum!$B$78</f>
        <v>3</v>
      </c>
      <c r="F42" s="1316">
        <f>+Assum!$B$78</f>
        <v>3</v>
      </c>
      <c r="G42" s="1316">
        <f>+Assum!$B$78</f>
        <v>3</v>
      </c>
      <c r="H42" s="1316">
        <f>+Assum!$B$78</f>
        <v>3</v>
      </c>
      <c r="I42" s="1316">
        <f>+Assum!$B$78</f>
        <v>3</v>
      </c>
      <c r="J42" s="1316">
        <f>+Assum!$B$78</f>
        <v>3</v>
      </c>
      <c r="K42" s="1316">
        <f>+Assum!$B$78</f>
        <v>3</v>
      </c>
      <c r="L42" s="1316">
        <f>+Assum!$B$78</f>
        <v>3</v>
      </c>
      <c r="M42" s="1316">
        <f>+Assum!$B$78</f>
        <v>3</v>
      </c>
      <c r="N42" s="1316">
        <f>+Assum!$B$78</f>
        <v>3</v>
      </c>
      <c r="O42" s="1316">
        <f>+Assum!$B$78</f>
        <v>3</v>
      </c>
      <c r="P42" s="1316">
        <v>3</v>
      </c>
    </row>
    <row r="43" spans="3:16" x14ac:dyDescent="0.4">
      <c r="C43" s="1314" t="s">
        <v>1588</v>
      </c>
      <c r="D43" s="364" t="s">
        <v>1170</v>
      </c>
      <c r="E43" s="1316"/>
      <c r="F43" s="1316"/>
      <c r="G43" s="1316"/>
      <c r="H43" s="1316"/>
      <c r="I43" s="1316"/>
      <c r="J43" s="1316"/>
      <c r="K43" s="1316"/>
      <c r="L43" s="1316"/>
      <c r="M43" s="1316"/>
      <c r="N43" s="1316"/>
      <c r="O43" s="1316"/>
      <c r="P43" s="1316"/>
    </row>
    <row r="44" spans="3:16" x14ac:dyDescent="0.4">
      <c r="C44" s="1314" t="s">
        <v>1589</v>
      </c>
      <c r="D44" s="364" t="s">
        <v>1170</v>
      </c>
      <c r="E44" s="1316">
        <f>+Assum!$B$75</f>
        <v>7</v>
      </c>
      <c r="F44" s="1316">
        <f>+Assum!$B$75</f>
        <v>7</v>
      </c>
      <c r="G44" s="1316">
        <f>+Assum!$B$75</f>
        <v>7</v>
      </c>
      <c r="H44" s="1316"/>
      <c r="I44" s="1316"/>
      <c r="J44" s="1316"/>
      <c r="K44" s="1316"/>
      <c r="L44" s="1316"/>
      <c r="M44" s="1316"/>
      <c r="N44" s="1316"/>
      <c r="O44" s="1316"/>
      <c r="P44" s="1316"/>
    </row>
    <row r="45" spans="3:16" x14ac:dyDescent="0.4">
      <c r="C45" s="1314" t="s">
        <v>1594</v>
      </c>
      <c r="D45" s="364" t="s">
        <v>1170</v>
      </c>
      <c r="E45" s="1316">
        <f>+Assum!$B$79</f>
        <v>3</v>
      </c>
      <c r="F45" s="1316">
        <f>+Assum!$B$79</f>
        <v>3</v>
      </c>
      <c r="G45" s="1316">
        <f>+Assum!$B$79</f>
        <v>3</v>
      </c>
      <c r="H45" s="1316">
        <f>+Assum!$B$79</f>
        <v>3</v>
      </c>
      <c r="I45" s="1316"/>
      <c r="J45" s="1316"/>
      <c r="K45" s="1316"/>
      <c r="L45" s="1316"/>
      <c r="M45" s="1316"/>
      <c r="N45" s="1316"/>
      <c r="O45" s="1316"/>
      <c r="P45" s="1316">
        <v>3</v>
      </c>
    </row>
    <row r="46" spans="3:16" x14ac:dyDescent="0.4">
      <c r="C46" s="1314" t="s">
        <v>1594</v>
      </c>
      <c r="D46" s="364" t="s">
        <v>1170</v>
      </c>
      <c r="E46" s="1316">
        <f>+Assum!$B$80</f>
        <v>2</v>
      </c>
      <c r="F46" s="1316">
        <f>+Assum!$B$80</f>
        <v>2</v>
      </c>
      <c r="G46" s="1316">
        <f>+Assum!$B$80</f>
        <v>2</v>
      </c>
      <c r="H46" s="1316">
        <f>+Assum!$B$80</f>
        <v>2</v>
      </c>
      <c r="I46" s="1316">
        <f>+Assum!$B$80</f>
        <v>2</v>
      </c>
      <c r="J46" s="1316">
        <f>+Assum!$B$80</f>
        <v>2</v>
      </c>
      <c r="K46" s="1316">
        <f>+Assum!$B$80</f>
        <v>2</v>
      </c>
      <c r="L46" s="1316"/>
      <c r="M46" s="1316"/>
      <c r="N46" s="1316"/>
      <c r="O46" s="1316"/>
      <c r="P46" s="1316">
        <f>+Assum!$B$80</f>
        <v>2</v>
      </c>
    </row>
    <row r="47" spans="3:16" x14ac:dyDescent="0.4">
      <c r="C47" s="1314" t="s">
        <v>1595</v>
      </c>
      <c r="D47" s="364" t="s">
        <v>1170</v>
      </c>
      <c r="E47" s="1316">
        <f>+Assum!$B$81</f>
        <v>7</v>
      </c>
      <c r="F47" s="1316">
        <f>+Assum!$B$81</f>
        <v>7</v>
      </c>
      <c r="G47" s="1316">
        <f>+Assum!$B$81</f>
        <v>7</v>
      </c>
      <c r="H47" s="1316">
        <f>+Assum!$B$81</f>
        <v>7</v>
      </c>
      <c r="I47" s="1316">
        <f>+Assum!$B$81</f>
        <v>7</v>
      </c>
      <c r="J47" s="1316">
        <f>+Assum!$B$81</f>
        <v>7</v>
      </c>
      <c r="K47" s="1316"/>
      <c r="L47" s="1316"/>
      <c r="M47" s="1316"/>
      <c r="N47" s="1316"/>
      <c r="O47" s="1316"/>
      <c r="P47" s="1316">
        <f>+Assum!$B$81</f>
        <v>7</v>
      </c>
    </row>
    <row r="48" spans="3:16" x14ac:dyDescent="0.4">
      <c r="C48" s="208" t="s">
        <v>1590</v>
      </c>
      <c r="D48" s="364" t="s">
        <v>1170</v>
      </c>
      <c r="E48" s="1342">
        <f>+'F2.1'!E248/(E40*24/1000*85%)</f>
        <v>8.129056096734617</v>
      </c>
      <c r="F48" s="1342">
        <f>+'F2.1'!F248/(F40*24/1000*85%)</f>
        <v>8.2985658790966248</v>
      </c>
      <c r="G48" s="1342">
        <f>+'F2.1'!G248/(G40*24/1000*85%)</f>
        <v>8.3458946372260687</v>
      </c>
      <c r="H48" s="1342">
        <f>+'F2.1'!H248/(H40*24/1000*85%)</f>
        <v>10.222613082513053</v>
      </c>
      <c r="I48" s="1342">
        <f>+'F2.1'!I248/(I40*24/1000*85%)</f>
        <v>12.320724927988451</v>
      </c>
      <c r="J48" s="1342">
        <f>+'F2.1'!J248/(J40*24/1000*85%)</f>
        <v>19.013511808247564</v>
      </c>
      <c r="K48" s="1342">
        <f>+'F2.1'!K248/(K40*24/1000*85%)</f>
        <v>20.431902919934007</v>
      </c>
      <c r="L48" s="1342">
        <f>+'F2.1'!L248/(L40*24/1000*85%)</f>
        <v>22.202024153967809</v>
      </c>
      <c r="M48" s="1342">
        <f>+'F2.1'!M248/(M40*24/1000*85%)</f>
        <v>21.843970763214806</v>
      </c>
      <c r="N48" s="1342">
        <f>+'F2.1'!N248/(N40*24/1000*85%)</f>
        <v>23.079590872244875</v>
      </c>
      <c r="O48" s="1342">
        <f>+'F2.1'!O248/(O40*24/1000*85%)</f>
        <v>23.248950232930884</v>
      </c>
      <c r="P48" s="1316">
        <f>+Assum!$B$81</f>
        <v>7</v>
      </c>
    </row>
    <row r="49" spans="3:16" x14ac:dyDescent="0.4">
      <c r="C49" s="207" t="s">
        <v>1591</v>
      </c>
      <c r="D49" s="365" t="s">
        <v>1170</v>
      </c>
      <c r="E49" s="1382">
        <f t="shared" ref="E49:P49" si="3">SUM(E42:E48)</f>
        <v>30.129056096734615</v>
      </c>
      <c r="F49" s="1382">
        <f t="shared" si="3"/>
        <v>30.298565879096625</v>
      </c>
      <c r="G49" s="1382">
        <f t="shared" si="3"/>
        <v>30.345894637226067</v>
      </c>
      <c r="H49" s="1382">
        <f t="shared" si="3"/>
        <v>25.222613082513053</v>
      </c>
      <c r="I49" s="1382">
        <f t="shared" si="3"/>
        <v>24.320724927988451</v>
      </c>
      <c r="J49" s="1382">
        <f t="shared" si="3"/>
        <v>31.013511808247564</v>
      </c>
      <c r="K49" s="1382">
        <f t="shared" si="3"/>
        <v>25.431902919934007</v>
      </c>
      <c r="L49" s="1382">
        <f t="shared" si="3"/>
        <v>25.202024153967809</v>
      </c>
      <c r="M49" s="1382">
        <f t="shared" si="3"/>
        <v>24.843970763214806</v>
      </c>
      <c r="N49" s="1382">
        <f t="shared" si="3"/>
        <v>26.079590872244875</v>
      </c>
      <c r="O49" s="1382">
        <f t="shared" si="3"/>
        <v>26.248950232930884</v>
      </c>
      <c r="P49" s="1382">
        <f t="shared" si="3"/>
        <v>22</v>
      </c>
    </row>
    <row r="50" spans="3:16" x14ac:dyDescent="0.4">
      <c r="C50" s="208"/>
      <c r="D50" s="1383"/>
      <c r="E50" s="208"/>
      <c r="F50" s="208"/>
      <c r="G50" s="208"/>
      <c r="H50" s="208"/>
      <c r="I50" s="208"/>
      <c r="J50" s="208"/>
      <c r="K50" s="208"/>
      <c r="L50" s="208"/>
      <c r="M50" s="208"/>
      <c r="N50" s="208"/>
      <c r="O50" s="208"/>
      <c r="P50" s="208"/>
    </row>
    <row r="51" spans="3:16" x14ac:dyDescent="0.4">
      <c r="C51" s="208" t="s">
        <v>1592</v>
      </c>
      <c r="D51" s="365" t="s">
        <v>1170</v>
      </c>
      <c r="E51" s="208">
        <v>12.77</v>
      </c>
      <c r="F51" s="208">
        <v>12.77</v>
      </c>
      <c r="G51" s="208">
        <v>12.77</v>
      </c>
      <c r="H51" s="208">
        <v>12.77</v>
      </c>
      <c r="I51" s="208">
        <v>12.77</v>
      </c>
      <c r="J51" s="208">
        <v>12.77</v>
      </c>
      <c r="K51" s="208">
        <v>12.77</v>
      </c>
      <c r="L51" s="208">
        <v>12.77</v>
      </c>
      <c r="M51" s="208">
        <v>12.77</v>
      </c>
      <c r="N51" s="208">
        <v>12.77</v>
      </c>
      <c r="O51" s="208">
        <v>12.77</v>
      </c>
      <c r="P51" s="208">
        <v>12.77</v>
      </c>
    </row>
    <row r="52" spans="3:16" x14ac:dyDescent="0.4">
      <c r="C52" s="208"/>
      <c r="D52" s="1383"/>
      <c r="E52" s="208"/>
      <c r="F52" s="208"/>
      <c r="G52" s="208"/>
      <c r="H52" s="208"/>
      <c r="I52" s="208"/>
      <c r="J52" s="208"/>
      <c r="K52" s="208"/>
      <c r="L52" s="208"/>
      <c r="M52" s="208"/>
      <c r="N52" s="208"/>
      <c r="O52" s="208"/>
      <c r="P52" s="208"/>
    </row>
    <row r="53" spans="3:16" x14ac:dyDescent="0.4">
      <c r="C53" s="208" t="s">
        <v>1593</v>
      </c>
      <c r="D53" s="365" t="s">
        <v>1170</v>
      </c>
      <c r="E53" s="1342">
        <f>+E49-E51</f>
        <v>17.359056096734616</v>
      </c>
      <c r="F53" s="1342">
        <f t="shared" ref="F53:P53" si="4">+F49-F51</f>
        <v>17.528565879096625</v>
      </c>
      <c r="G53" s="1342">
        <f t="shared" si="4"/>
        <v>17.575894637226067</v>
      </c>
      <c r="H53" s="1342">
        <f t="shared" si="4"/>
        <v>12.452613082513054</v>
      </c>
      <c r="I53" s="1342">
        <f t="shared" si="4"/>
        <v>11.550724927988451</v>
      </c>
      <c r="J53" s="1342">
        <f t="shared" si="4"/>
        <v>18.243511808247565</v>
      </c>
      <c r="K53" s="1342">
        <f t="shared" si="4"/>
        <v>12.661902919934008</v>
      </c>
      <c r="L53" s="1342">
        <f t="shared" si="4"/>
        <v>12.432024153967809</v>
      </c>
      <c r="M53" s="1342">
        <f t="shared" si="4"/>
        <v>12.073970763214806</v>
      </c>
      <c r="N53" s="1342">
        <f t="shared" si="4"/>
        <v>13.309590872244875</v>
      </c>
      <c r="O53" s="1342">
        <f t="shared" si="4"/>
        <v>13.478950232930885</v>
      </c>
      <c r="P53" s="1342">
        <f t="shared" si="4"/>
        <v>9.23</v>
      </c>
    </row>
    <row r="54" spans="3:16" x14ac:dyDescent="0.4">
      <c r="C54" s="1384"/>
      <c r="D54" s="1385"/>
      <c r="E54" s="1386"/>
      <c r="F54" s="1386"/>
      <c r="G54" s="1386"/>
      <c r="H54" s="1386"/>
      <c r="I54" s="1386"/>
      <c r="J54" s="1386"/>
      <c r="K54" s="1386"/>
      <c r="L54" s="1386"/>
      <c r="M54" s="1386"/>
      <c r="N54" s="1386"/>
      <c r="O54" s="1386"/>
      <c r="P54" s="1386"/>
    </row>
    <row r="55" spans="3:16" x14ac:dyDescent="0.4">
      <c r="C55" s="207" t="s">
        <v>1593</v>
      </c>
      <c r="D55" s="1387" t="s">
        <v>236</v>
      </c>
      <c r="E55" s="1382">
        <f>IF(E53&lt;0,0,E53*85%*E40*24/1000)</f>
        <v>10.623742331201585</v>
      </c>
      <c r="F55" s="1382">
        <f t="shared" ref="F55:P55" si="5">IF(F53&lt;0,0,F53*85%*F40*24/1000)</f>
        <v>11.085065061940703</v>
      </c>
      <c r="G55" s="1382">
        <f t="shared" si="5"/>
        <v>10.756447517982354</v>
      </c>
      <c r="H55" s="1382">
        <f t="shared" si="5"/>
        <v>7.875032513381254</v>
      </c>
      <c r="I55" s="1382">
        <f t="shared" si="5"/>
        <v>7.3046784444598973</v>
      </c>
      <c r="J55" s="1382">
        <f t="shared" si="5"/>
        <v>11.165029226647508</v>
      </c>
      <c r="K55" s="1382">
        <f t="shared" si="5"/>
        <v>8.0073874065662665</v>
      </c>
      <c r="L55" s="1382">
        <f t="shared" si="5"/>
        <v>7.6083987822282984</v>
      </c>
      <c r="M55" s="1382">
        <f t="shared" si="5"/>
        <v>7.6355791106570434</v>
      </c>
      <c r="N55" s="1382">
        <f t="shared" si="5"/>
        <v>8.4169852676076591</v>
      </c>
      <c r="O55" s="1382">
        <f t="shared" si="5"/>
        <v>7.699176373050121</v>
      </c>
      <c r="P55" s="1382">
        <f t="shared" si="5"/>
        <v>5.8370520000000008</v>
      </c>
    </row>
    <row r="57" spans="3:16" ht="14.25" x14ac:dyDescent="0.45">
      <c r="C57" s="1311" t="s">
        <v>1465</v>
      </c>
      <c r="D57" s="1388" t="s">
        <v>1218</v>
      </c>
      <c r="E57" s="1232">
        <f>+E55*Assum!$M$46/10</f>
        <v>0.69054325152810303</v>
      </c>
      <c r="F57" s="1232">
        <f>+F55*Assum!$M$46/10</f>
        <v>0.7205292290261458</v>
      </c>
      <c r="G57" s="1232">
        <f>+G55*Assum!$M$46/10</f>
        <v>0.69916908866885297</v>
      </c>
      <c r="H57" s="1232">
        <f>+H55*Assum!$M$46/10</f>
        <v>0.51187711336978148</v>
      </c>
      <c r="I57" s="1232">
        <f>+I55*Assum!$M$46/10</f>
        <v>0.47480409888989328</v>
      </c>
      <c r="J57" s="1232">
        <f>+J55*Assum!$M$46/10</f>
        <v>0.72572689973208804</v>
      </c>
      <c r="K57" s="1232">
        <f>+K55*Assum!$M$46/10</f>
        <v>0.5204801814268073</v>
      </c>
      <c r="L57" s="1232">
        <f>+L55*Assum!$M$46/10</f>
        <v>0.49454592084483939</v>
      </c>
      <c r="M57" s="1232">
        <f>+M55*Assum!$M$46/10</f>
        <v>0.49631264219270782</v>
      </c>
      <c r="N57" s="1232">
        <f>+N55*Assum!$M$46/10</f>
        <v>0.54710404239449795</v>
      </c>
      <c r="O57" s="1232">
        <f>+O55*Assum!$M$46/10</f>
        <v>0.50044646424825789</v>
      </c>
      <c r="P57" s="1232">
        <f>+P55*Assum!$M$46/10</f>
        <v>0.37940838000000005</v>
      </c>
    </row>
    <row r="60" spans="3:16" x14ac:dyDescent="0.4">
      <c r="C60" s="1398" t="s">
        <v>873</v>
      </c>
      <c r="E60" s="1373">
        <v>30</v>
      </c>
      <c r="F60" s="1373">
        <v>31</v>
      </c>
      <c r="G60" s="1373">
        <v>30</v>
      </c>
      <c r="H60" s="1373">
        <v>31</v>
      </c>
      <c r="I60" s="1373">
        <v>31</v>
      </c>
      <c r="J60" s="1373">
        <v>30</v>
      </c>
      <c r="K60" s="1373">
        <v>31</v>
      </c>
      <c r="L60" s="1373">
        <v>30</v>
      </c>
      <c r="M60" s="1373">
        <v>31</v>
      </c>
      <c r="N60" s="1373">
        <v>31</v>
      </c>
      <c r="O60" s="1373">
        <v>29</v>
      </c>
      <c r="P60" s="1373">
        <v>31</v>
      </c>
    </row>
    <row r="61" spans="3:16" x14ac:dyDescent="0.4">
      <c r="C61" s="1379" t="s">
        <v>1586</v>
      </c>
      <c r="D61" s="1380"/>
      <c r="E61" s="1381">
        <v>46478</v>
      </c>
      <c r="F61" s="1381">
        <v>46508</v>
      </c>
      <c r="G61" s="1381">
        <v>46539</v>
      </c>
      <c r="H61" s="1381">
        <v>46569</v>
      </c>
      <c r="I61" s="1381">
        <v>46600</v>
      </c>
      <c r="J61" s="1381">
        <v>46631</v>
      </c>
      <c r="K61" s="1381">
        <v>46661</v>
      </c>
      <c r="L61" s="1381">
        <v>46692</v>
      </c>
      <c r="M61" s="1381">
        <v>46722</v>
      </c>
      <c r="N61" s="1381">
        <v>46753</v>
      </c>
      <c r="O61" s="1381">
        <v>46784</v>
      </c>
      <c r="P61" s="1381">
        <v>46813</v>
      </c>
    </row>
    <row r="62" spans="3:16" ht="27.75" x14ac:dyDescent="0.4">
      <c r="C62" s="1325" t="s">
        <v>1587</v>
      </c>
      <c r="D62" s="364" t="s">
        <v>1170</v>
      </c>
      <c r="E62" s="1316">
        <f>+Assum!$B$78</f>
        <v>3</v>
      </c>
      <c r="F62" s="1316">
        <f>+Assum!$B$78</f>
        <v>3</v>
      </c>
      <c r="G62" s="1316">
        <f>+Assum!$B$78</f>
        <v>3</v>
      </c>
      <c r="H62" s="1316">
        <f>+Assum!$B$78</f>
        <v>3</v>
      </c>
      <c r="I62" s="1316">
        <f>+Assum!$B$78</f>
        <v>3</v>
      </c>
      <c r="J62" s="1316">
        <f>+Assum!$B$78</f>
        <v>3</v>
      </c>
      <c r="K62" s="1316">
        <f>+Assum!$B$78</f>
        <v>3</v>
      </c>
      <c r="L62" s="1316">
        <f>+Assum!$B$78</f>
        <v>3</v>
      </c>
      <c r="M62" s="1316">
        <f>+Assum!$B$78</f>
        <v>3</v>
      </c>
      <c r="N62" s="1316">
        <f>+Assum!$B$78</f>
        <v>3</v>
      </c>
      <c r="O62" s="1316">
        <f>+Assum!$B$78</f>
        <v>3</v>
      </c>
      <c r="P62" s="1316">
        <v>3</v>
      </c>
    </row>
    <row r="63" spans="3:16" x14ac:dyDescent="0.4">
      <c r="C63" s="1314" t="s">
        <v>1588</v>
      </c>
      <c r="D63" s="364" t="s">
        <v>1170</v>
      </c>
      <c r="E63" s="1316"/>
      <c r="F63" s="1316"/>
      <c r="G63" s="1316"/>
      <c r="H63" s="1316"/>
      <c r="I63" s="1316"/>
      <c r="J63" s="1316"/>
      <c r="K63" s="1316"/>
      <c r="L63" s="1316"/>
      <c r="M63" s="1316"/>
      <c r="N63" s="1316"/>
      <c r="O63" s="1316"/>
      <c r="P63" s="1316"/>
    </row>
    <row r="64" spans="3:16" x14ac:dyDescent="0.4">
      <c r="C64" s="1314" t="s">
        <v>1589</v>
      </c>
      <c r="D64" s="364" t="s">
        <v>1170</v>
      </c>
      <c r="E64" s="1316"/>
      <c r="F64" s="1316"/>
      <c r="G64" s="1316"/>
      <c r="H64" s="1316"/>
      <c r="I64" s="1316"/>
      <c r="J64" s="1316"/>
      <c r="K64" s="1316"/>
      <c r="L64" s="1316"/>
      <c r="M64" s="1316"/>
      <c r="N64" s="1316"/>
      <c r="O64" s="1316"/>
      <c r="P64" s="1316"/>
    </row>
    <row r="65" spans="3:16" x14ac:dyDescent="0.4">
      <c r="C65" s="1314" t="s">
        <v>1594</v>
      </c>
      <c r="D65" s="364" t="s">
        <v>1170</v>
      </c>
      <c r="E65" s="1316"/>
      <c r="F65" s="1316"/>
      <c r="G65" s="1316"/>
      <c r="H65" s="1316"/>
      <c r="I65" s="1316"/>
      <c r="J65" s="1316"/>
      <c r="K65" s="1316"/>
      <c r="L65" s="1316"/>
      <c r="M65" s="1316"/>
      <c r="N65" s="1316"/>
      <c r="O65" s="1316"/>
      <c r="P65" s="1316"/>
    </row>
    <row r="66" spans="3:16" x14ac:dyDescent="0.4">
      <c r="C66" s="1314" t="s">
        <v>1594</v>
      </c>
      <c r="D66" s="364" t="s">
        <v>1170</v>
      </c>
      <c r="E66" s="1316"/>
      <c r="F66" s="1316"/>
      <c r="G66" s="1316"/>
      <c r="H66" s="1316"/>
      <c r="I66" s="1316"/>
      <c r="J66" s="1316"/>
      <c r="K66" s="1316"/>
      <c r="L66" s="1316"/>
      <c r="M66" s="1316"/>
      <c r="N66" s="1316"/>
      <c r="O66" s="1316"/>
      <c r="P66" s="1316"/>
    </row>
    <row r="67" spans="3:16" x14ac:dyDescent="0.4">
      <c r="C67" s="1314" t="s">
        <v>1595</v>
      </c>
      <c r="D67" s="364" t="s">
        <v>1170</v>
      </c>
      <c r="E67" s="1316"/>
      <c r="F67" s="1316"/>
      <c r="G67" s="1316"/>
      <c r="H67" s="1316"/>
      <c r="I67" s="1316"/>
      <c r="J67" s="1316"/>
      <c r="K67" s="1316"/>
      <c r="L67" s="1316"/>
      <c r="M67" s="1316"/>
      <c r="N67" s="1316"/>
      <c r="O67" s="1316"/>
      <c r="P67" s="1316"/>
    </row>
    <row r="68" spans="3:16" x14ac:dyDescent="0.4">
      <c r="C68" s="208" t="s">
        <v>1590</v>
      </c>
      <c r="D68" s="364" t="s">
        <v>1170</v>
      </c>
      <c r="E68" s="1342">
        <f>+'F2.1'!E275/(E60*24/1000*85%)</f>
        <v>24.613175354608106</v>
      </c>
      <c r="F68" s="1342">
        <f>+'F2.1'!F275/(F60*24/1000*85%)</f>
        <v>24.782633337590845</v>
      </c>
      <c r="G68" s="1342">
        <f>+'F2.1'!G275/(G60*24/1000*85%)</f>
        <v>24.830025363003841</v>
      </c>
      <c r="H68" s="1342">
        <f>+'F2.1'!H275/(H60*24/1000*85%)</f>
        <v>27.683524669524502</v>
      </c>
      <c r="I68" s="1342">
        <f>+'F2.1'!I275/(I60*24/1000*85%)</f>
        <v>26.605168010099217</v>
      </c>
      <c r="J68" s="1342">
        <f>+'F2.1'!J275/(J60*24/1000*85%)</f>
        <v>26.297942907035509</v>
      </c>
      <c r="K68" s="1342">
        <f>+'F2.1'!K275/(K60*24/1000*85%)</f>
        <v>28.693058763415525</v>
      </c>
      <c r="L68" s="1342">
        <f>+'F2.1'!L275/(L60*24/1000*85%)</f>
        <v>28.345544996188877</v>
      </c>
      <c r="M68" s="1342">
        <f>+'F2.1'!M275/(M60*24/1000*85%)</f>
        <v>27.987530458050696</v>
      </c>
      <c r="N68" s="1342">
        <f>+'F2.1'!N275/(N60*24/1000*85%)</f>
        <v>30.199879019251263</v>
      </c>
      <c r="O68" s="1342">
        <f>+'F2.1'!O275/(O60*24/1000*85%)</f>
        <v>29.32199719158919</v>
      </c>
      <c r="P68" s="1342">
        <f>+'F2.1'!P275/(P60*24/1000*85%)</f>
        <v>30.561907038460063</v>
      </c>
    </row>
    <row r="69" spans="3:16" x14ac:dyDescent="0.4">
      <c r="C69" s="207" t="s">
        <v>1591</v>
      </c>
      <c r="D69" s="365" t="s">
        <v>1170</v>
      </c>
      <c r="E69" s="1382">
        <f t="shared" ref="E69:P69" si="6">SUM(E62:E68)</f>
        <v>27.613175354608106</v>
      </c>
      <c r="F69" s="1382">
        <f t="shared" si="6"/>
        <v>27.782633337590845</v>
      </c>
      <c r="G69" s="1382">
        <f t="shared" si="6"/>
        <v>27.830025363003841</v>
      </c>
      <c r="H69" s="1382">
        <f t="shared" si="6"/>
        <v>30.683524669524502</v>
      </c>
      <c r="I69" s="1382">
        <f t="shared" si="6"/>
        <v>29.605168010099217</v>
      </c>
      <c r="J69" s="1382">
        <f t="shared" si="6"/>
        <v>29.297942907035509</v>
      </c>
      <c r="K69" s="1382">
        <f t="shared" si="6"/>
        <v>31.693058763415525</v>
      </c>
      <c r="L69" s="1382">
        <f t="shared" si="6"/>
        <v>31.345544996188877</v>
      </c>
      <c r="M69" s="1382">
        <f t="shared" si="6"/>
        <v>30.987530458050696</v>
      </c>
      <c r="N69" s="1382">
        <f t="shared" si="6"/>
        <v>33.199879019251263</v>
      </c>
      <c r="O69" s="1382">
        <f t="shared" si="6"/>
        <v>32.32199719158919</v>
      </c>
      <c r="P69" s="1382">
        <f t="shared" si="6"/>
        <v>33.561907038460063</v>
      </c>
    </row>
    <row r="70" spans="3:16" x14ac:dyDescent="0.4">
      <c r="C70" s="208"/>
      <c r="D70" s="1383"/>
      <c r="E70" s="208"/>
      <c r="F70" s="208"/>
      <c r="G70" s="208"/>
      <c r="H70" s="208"/>
      <c r="I70" s="208"/>
      <c r="J70" s="208"/>
      <c r="K70" s="208"/>
      <c r="L70" s="208"/>
      <c r="M70" s="208"/>
      <c r="N70" s="208"/>
      <c r="O70" s="208"/>
      <c r="P70" s="208"/>
    </row>
    <row r="71" spans="3:16" x14ac:dyDescent="0.4">
      <c r="C71" s="208" t="s">
        <v>1592</v>
      </c>
      <c r="D71" s="365" t="s">
        <v>1170</v>
      </c>
      <c r="E71" s="208">
        <v>15.18</v>
      </c>
      <c r="F71" s="208">
        <v>15.18</v>
      </c>
      <c r="G71" s="208">
        <v>15.18</v>
      </c>
      <c r="H71" s="208">
        <v>15.18</v>
      </c>
      <c r="I71" s="208">
        <v>15.18</v>
      </c>
      <c r="J71" s="208">
        <v>15.18</v>
      </c>
      <c r="K71" s="208">
        <v>15.18</v>
      </c>
      <c r="L71" s="208">
        <v>15.18</v>
      </c>
      <c r="M71" s="208">
        <v>15.18</v>
      </c>
      <c r="N71" s="208">
        <v>15.18</v>
      </c>
      <c r="O71" s="208">
        <v>15.18</v>
      </c>
      <c r="P71" s="208">
        <v>15.18</v>
      </c>
    </row>
    <row r="72" spans="3:16" x14ac:dyDescent="0.4">
      <c r="C72" s="208"/>
      <c r="D72" s="1383"/>
      <c r="E72" s="208"/>
      <c r="F72" s="208"/>
      <c r="G72" s="208"/>
      <c r="H72" s="208"/>
      <c r="I72" s="208"/>
      <c r="J72" s="208"/>
      <c r="K72" s="208"/>
      <c r="L72" s="208"/>
      <c r="M72" s="208"/>
      <c r="N72" s="208"/>
      <c r="O72" s="208"/>
      <c r="P72" s="208"/>
    </row>
    <row r="73" spans="3:16" x14ac:dyDescent="0.4">
      <c r="C73" s="208" t="s">
        <v>1593</v>
      </c>
      <c r="D73" s="365" t="s">
        <v>1170</v>
      </c>
      <c r="E73" s="1342">
        <f>+E69-E71</f>
        <v>12.433175354608107</v>
      </c>
      <c r="F73" s="1342">
        <f t="shared" ref="F73:P73" si="7">+F69-F71</f>
        <v>12.602633337590845</v>
      </c>
      <c r="G73" s="1342">
        <f t="shared" si="7"/>
        <v>12.650025363003842</v>
      </c>
      <c r="H73" s="1342">
        <f t="shared" si="7"/>
        <v>15.503524669524502</v>
      </c>
      <c r="I73" s="1342">
        <f t="shared" si="7"/>
        <v>14.425168010099217</v>
      </c>
      <c r="J73" s="1342">
        <f t="shared" si="7"/>
        <v>14.117942907035509</v>
      </c>
      <c r="K73" s="1342">
        <f t="shared" si="7"/>
        <v>16.513058763415525</v>
      </c>
      <c r="L73" s="1342">
        <f t="shared" si="7"/>
        <v>16.165544996188878</v>
      </c>
      <c r="M73" s="1342">
        <f t="shared" si="7"/>
        <v>15.807530458050696</v>
      </c>
      <c r="N73" s="1342">
        <f t="shared" si="7"/>
        <v>18.019879019251263</v>
      </c>
      <c r="O73" s="1342">
        <f t="shared" si="7"/>
        <v>17.141997191589191</v>
      </c>
      <c r="P73" s="1342">
        <f t="shared" si="7"/>
        <v>18.381907038460064</v>
      </c>
    </row>
    <row r="74" spans="3:16" x14ac:dyDescent="0.4">
      <c r="C74" s="1384"/>
      <c r="D74" s="1385"/>
      <c r="E74" s="1386"/>
      <c r="F74" s="1386"/>
      <c r="G74" s="1386"/>
      <c r="H74" s="1386"/>
      <c r="I74" s="1386"/>
      <c r="J74" s="1386"/>
      <c r="K74" s="1386"/>
      <c r="L74" s="1386"/>
      <c r="M74" s="1386"/>
      <c r="N74" s="1386"/>
      <c r="O74" s="1386"/>
      <c r="P74" s="1386"/>
    </row>
    <row r="75" spans="3:16" x14ac:dyDescent="0.4">
      <c r="C75" s="207" t="s">
        <v>1593</v>
      </c>
      <c r="D75" s="1387" t="s">
        <v>236</v>
      </c>
      <c r="E75" s="1382">
        <f>IF(E73&lt;0,0,E73*85%*E60*24/1000)</f>
        <v>7.6091033170201605</v>
      </c>
      <c r="F75" s="1382">
        <f t="shared" ref="F75:P75" si="8">IF(F73&lt;0,0,F73*85%*F60*24/1000)</f>
        <v>7.9699053226924494</v>
      </c>
      <c r="G75" s="1382">
        <f t="shared" si="8"/>
        <v>7.7418155221583511</v>
      </c>
      <c r="H75" s="1382">
        <f t="shared" si="8"/>
        <v>9.8044290010072945</v>
      </c>
      <c r="I75" s="1382">
        <f t="shared" si="8"/>
        <v>9.1224762495867449</v>
      </c>
      <c r="J75" s="1382">
        <f t="shared" si="8"/>
        <v>8.640181059105732</v>
      </c>
      <c r="K75" s="1382">
        <f t="shared" si="8"/>
        <v>10.442858361983978</v>
      </c>
      <c r="L75" s="1382">
        <f t="shared" si="8"/>
        <v>9.8933135376675931</v>
      </c>
      <c r="M75" s="1382">
        <f t="shared" si="8"/>
        <v>9.9966822616712605</v>
      </c>
      <c r="N75" s="1382">
        <f t="shared" si="8"/>
        <v>11.395771491774498</v>
      </c>
      <c r="O75" s="1382">
        <f t="shared" si="8"/>
        <v>10.141205538544163</v>
      </c>
      <c r="P75" s="1382">
        <f t="shared" si="8"/>
        <v>11.624718011122145</v>
      </c>
    </row>
    <row r="77" spans="3:16" ht="14.25" x14ac:dyDescent="0.45">
      <c r="C77" s="1311" t="s">
        <v>1465</v>
      </c>
      <c r="D77" s="1388" t="s">
        <v>1218</v>
      </c>
      <c r="E77" s="1232">
        <f>+E75*Assum!$N$46/10</f>
        <v>0.50410309475258575</v>
      </c>
      <c r="F77" s="1232">
        <f>+F75*Assum!$N$46/10</f>
        <v>0.5280062276283749</v>
      </c>
      <c r="G77" s="1232">
        <f>+G75*Assum!$N$46/10</f>
        <v>0.51289527834299087</v>
      </c>
      <c r="H77" s="1232">
        <f>+H75*Assum!$N$46/10</f>
        <v>0.64954342131673337</v>
      </c>
      <c r="I77" s="1232">
        <f>+I75*Assum!$N$46/10</f>
        <v>0.60436405153512196</v>
      </c>
      <c r="J77" s="1232">
        <f>+J75*Assum!$N$46/10</f>
        <v>0.57241199516575481</v>
      </c>
      <c r="K77" s="1232">
        <f>+K75*Assum!$N$46/10</f>
        <v>0.69183936648143862</v>
      </c>
      <c r="L77" s="1232">
        <f>+L75*Assum!$N$46/10</f>
        <v>0.65543202187047811</v>
      </c>
      <c r="M77" s="1232">
        <f>+M75*Assum!$N$46/10</f>
        <v>0.66228019983572106</v>
      </c>
      <c r="N77" s="1232">
        <f>+N75*Assum!$N$46/10</f>
        <v>0.75496986133006061</v>
      </c>
      <c r="O77" s="1232">
        <f>+O75*Assum!$N$46/10</f>
        <v>0.6718548669285509</v>
      </c>
      <c r="P77" s="1232">
        <f>+P75*Assum!$N$46/10</f>
        <v>0.77013756823684221</v>
      </c>
    </row>
    <row r="80" spans="3:16" x14ac:dyDescent="0.4">
      <c r="C80" s="1398" t="s">
        <v>874</v>
      </c>
      <c r="E80" s="1373">
        <v>30</v>
      </c>
      <c r="F80" s="1373">
        <v>31</v>
      </c>
      <c r="G80" s="1373">
        <v>30</v>
      </c>
      <c r="H80" s="1373">
        <v>31</v>
      </c>
      <c r="I80" s="1373">
        <v>31</v>
      </c>
      <c r="J80" s="1373">
        <v>30</v>
      </c>
      <c r="K80" s="1373">
        <v>31</v>
      </c>
      <c r="L80" s="1373">
        <v>30</v>
      </c>
      <c r="M80" s="1373">
        <v>31</v>
      </c>
      <c r="N80" s="1373">
        <v>31</v>
      </c>
      <c r="O80" s="1373">
        <v>28</v>
      </c>
      <c r="P80" s="1373">
        <v>31</v>
      </c>
    </row>
    <row r="81" spans="3:16" x14ac:dyDescent="0.4">
      <c r="C81" s="1379" t="s">
        <v>1586</v>
      </c>
      <c r="D81" s="1380"/>
      <c r="E81" s="1381">
        <v>46844</v>
      </c>
      <c r="F81" s="1381">
        <v>46874</v>
      </c>
      <c r="G81" s="1381">
        <v>46905</v>
      </c>
      <c r="H81" s="1381">
        <v>46935</v>
      </c>
      <c r="I81" s="1381">
        <v>46966</v>
      </c>
      <c r="J81" s="1381">
        <v>46997</v>
      </c>
      <c r="K81" s="1381">
        <v>47027</v>
      </c>
      <c r="L81" s="1381">
        <v>47058</v>
      </c>
      <c r="M81" s="1381">
        <v>47088</v>
      </c>
      <c r="N81" s="1381">
        <v>47119</v>
      </c>
      <c r="O81" s="1381">
        <v>47150</v>
      </c>
      <c r="P81" s="1381">
        <v>47178</v>
      </c>
    </row>
    <row r="82" spans="3:16" ht="27.75" x14ac:dyDescent="0.4">
      <c r="C82" s="1325" t="s">
        <v>1587</v>
      </c>
      <c r="D82" s="364" t="s">
        <v>1170</v>
      </c>
      <c r="E82" s="1316">
        <f>+Assum!$B$78</f>
        <v>3</v>
      </c>
      <c r="F82" s="1316">
        <f>+Assum!$B$78</f>
        <v>3</v>
      </c>
      <c r="G82" s="1316">
        <f>+Assum!$B$78</f>
        <v>3</v>
      </c>
      <c r="H82" s="1316">
        <f>+Assum!$B$78</f>
        <v>3</v>
      </c>
      <c r="I82" s="1316">
        <f>+Assum!$B$78</f>
        <v>3</v>
      </c>
      <c r="J82" s="1316">
        <f>+Assum!$B$78</f>
        <v>3</v>
      </c>
      <c r="K82" s="1316">
        <f>+Assum!$B$78</f>
        <v>3</v>
      </c>
      <c r="L82" s="1316">
        <f>+Assum!$B$78</f>
        <v>3</v>
      </c>
      <c r="M82" s="1316">
        <f>+Assum!$B$78</f>
        <v>3</v>
      </c>
      <c r="N82" s="1316">
        <f>+Assum!$B$78</f>
        <v>3</v>
      </c>
      <c r="O82" s="1316"/>
      <c r="P82" s="1316"/>
    </row>
    <row r="83" spans="3:16" x14ac:dyDescent="0.4">
      <c r="C83" s="1314" t="s">
        <v>1588</v>
      </c>
      <c r="D83" s="364" t="s">
        <v>1170</v>
      </c>
      <c r="E83" s="1316"/>
      <c r="F83" s="1316"/>
      <c r="G83" s="1316"/>
      <c r="H83" s="1316"/>
      <c r="I83" s="1316"/>
      <c r="J83" s="1316"/>
      <c r="K83" s="1316"/>
      <c r="L83" s="1316"/>
      <c r="M83" s="1316"/>
      <c r="N83" s="1316"/>
      <c r="O83" s="1316"/>
      <c r="P83" s="1316"/>
    </row>
    <row r="84" spans="3:16" x14ac:dyDescent="0.4">
      <c r="C84" s="1314" t="s">
        <v>1589</v>
      </c>
      <c r="D84" s="364" t="s">
        <v>1170</v>
      </c>
      <c r="E84" s="1316"/>
      <c r="F84" s="1316"/>
      <c r="G84" s="1316"/>
      <c r="H84" s="1316"/>
      <c r="I84" s="1316"/>
      <c r="J84" s="1316"/>
      <c r="K84" s="1316"/>
      <c r="L84" s="1316"/>
      <c r="M84" s="1316"/>
      <c r="N84" s="1316"/>
      <c r="O84" s="1316"/>
      <c r="P84" s="1316"/>
    </row>
    <row r="85" spans="3:16" x14ac:dyDescent="0.4">
      <c r="C85" s="1314" t="s">
        <v>1594</v>
      </c>
      <c r="D85" s="364" t="s">
        <v>1170</v>
      </c>
      <c r="E85" s="1316"/>
      <c r="F85" s="1316"/>
      <c r="G85" s="1316"/>
      <c r="H85" s="1316"/>
      <c r="I85" s="1316"/>
      <c r="J85" s="1316"/>
      <c r="K85" s="1316"/>
      <c r="L85" s="1316"/>
      <c r="M85" s="1316"/>
      <c r="N85" s="1316"/>
      <c r="O85" s="1316"/>
      <c r="P85" s="1316"/>
    </row>
    <row r="86" spans="3:16" x14ac:dyDescent="0.4">
      <c r="C86" s="1314" t="s">
        <v>1594</v>
      </c>
      <c r="D86" s="364" t="s">
        <v>1170</v>
      </c>
      <c r="E86" s="1316"/>
      <c r="F86" s="1316"/>
      <c r="G86" s="1316"/>
      <c r="H86" s="1316"/>
      <c r="I86" s="1316"/>
      <c r="J86" s="1316"/>
      <c r="K86" s="1316"/>
      <c r="L86" s="1316"/>
      <c r="M86" s="1316"/>
      <c r="N86" s="1316"/>
      <c r="O86" s="1316"/>
      <c r="P86" s="1316"/>
    </row>
    <row r="87" spans="3:16" x14ac:dyDescent="0.4">
      <c r="C87" s="1314" t="s">
        <v>1595</v>
      </c>
      <c r="D87" s="364" t="s">
        <v>1170</v>
      </c>
      <c r="E87" s="1316"/>
      <c r="F87" s="1316"/>
      <c r="G87" s="1316"/>
      <c r="H87" s="1316"/>
      <c r="I87" s="1316"/>
      <c r="J87" s="1316"/>
      <c r="K87" s="1316"/>
      <c r="L87" s="1316"/>
      <c r="M87" s="1316"/>
      <c r="N87" s="1316"/>
      <c r="O87" s="1316"/>
      <c r="P87" s="1316"/>
    </row>
    <row r="88" spans="3:16" x14ac:dyDescent="0.4">
      <c r="C88" s="208" t="s">
        <v>1590</v>
      </c>
      <c r="D88" s="364" t="s">
        <v>1170</v>
      </c>
      <c r="E88" s="1342">
        <f>'F2.1'!E302/(E80*24/1000*85%)</f>
        <v>32.320458792688505</v>
      </c>
      <c r="F88" s="1342">
        <f>'F2.1'!F302/(F80*24/1000*85%)</f>
        <v>32.579586505728415</v>
      </c>
      <c r="G88" s="1342">
        <f>'F2.1'!G302/(G80*24/1000*85%)</f>
        <v>32.524412000917962</v>
      </c>
      <c r="H88" s="1342">
        <f>'F2.1'!H302/(H80*24/1000*85%)</f>
        <v>34.335532759927965</v>
      </c>
      <c r="I88" s="1342">
        <f>'F2.1'!I302/(I80*24/1000*85%)</f>
        <v>33.257986038478947</v>
      </c>
      <c r="J88" s="1342">
        <f>'F2.1'!J302/(J80*24/1000*85%)</f>
        <v>32.968651462165894</v>
      </c>
      <c r="K88" s="1342">
        <f>'F2.1'!K302/(K80*24/1000*85%)</f>
        <v>34.415012454509764</v>
      </c>
      <c r="L88" s="1342">
        <f>'F2.1'!L302/(L80*24/1000*85%)</f>
        <v>34.047651120465211</v>
      </c>
      <c r="M88" s="1342">
        <f>'F2.1'!M302/(M80*24/1000*85%)</f>
        <v>33.624977099338757</v>
      </c>
      <c r="N88" s="1342">
        <f>'F2.1'!N302/(N80*24/1000*85%)</f>
        <v>34.879135997525076</v>
      </c>
      <c r="O88" s="1342">
        <f>'F2.1'!O302/(O80*24/1000*85%)</f>
        <v>37.594734681410415</v>
      </c>
      <c r="P88" s="1342">
        <f>'F2.1'!P302/(P80*24/1000*85%)</f>
        <v>37.905766794328031</v>
      </c>
    </row>
    <row r="89" spans="3:16" x14ac:dyDescent="0.4">
      <c r="C89" s="207" t="s">
        <v>1591</v>
      </c>
      <c r="D89" s="365" t="s">
        <v>1170</v>
      </c>
      <c r="E89" s="1382">
        <f t="shared" ref="E89:P89" si="9">SUM(E82:E88)</f>
        <v>35.320458792688505</v>
      </c>
      <c r="F89" s="1382">
        <f t="shared" si="9"/>
        <v>35.579586505728415</v>
      </c>
      <c r="G89" s="1382">
        <f t="shared" si="9"/>
        <v>35.524412000917962</v>
      </c>
      <c r="H89" s="1382">
        <f t="shared" si="9"/>
        <v>37.335532759927965</v>
      </c>
      <c r="I89" s="1382">
        <f t="shared" si="9"/>
        <v>36.257986038478947</v>
      </c>
      <c r="J89" s="1382">
        <f t="shared" si="9"/>
        <v>35.968651462165894</v>
      </c>
      <c r="K89" s="1382">
        <f t="shared" si="9"/>
        <v>37.415012454509764</v>
      </c>
      <c r="L89" s="1382">
        <f t="shared" si="9"/>
        <v>37.047651120465211</v>
      </c>
      <c r="M89" s="1382">
        <f t="shared" si="9"/>
        <v>36.624977099338757</v>
      </c>
      <c r="N89" s="1382">
        <f t="shared" si="9"/>
        <v>37.879135997525076</v>
      </c>
      <c r="O89" s="1382">
        <f t="shared" si="9"/>
        <v>37.594734681410415</v>
      </c>
      <c r="P89" s="1382">
        <f t="shared" si="9"/>
        <v>37.905766794328031</v>
      </c>
    </row>
    <row r="90" spans="3:16" x14ac:dyDescent="0.4">
      <c r="C90" s="208"/>
      <c r="D90" s="1383"/>
      <c r="E90" s="208"/>
      <c r="F90" s="208"/>
      <c r="G90" s="208"/>
      <c r="H90" s="208"/>
      <c r="I90" s="208"/>
      <c r="J90" s="208"/>
      <c r="K90" s="208"/>
      <c r="L90" s="208"/>
      <c r="M90" s="208"/>
      <c r="N90" s="208"/>
      <c r="O90" s="208"/>
      <c r="P90" s="208"/>
    </row>
    <row r="91" spans="3:16" x14ac:dyDescent="0.4">
      <c r="C91" s="208" t="s">
        <v>1592</v>
      </c>
      <c r="D91" s="365" t="s">
        <v>1170</v>
      </c>
      <c r="E91" s="208">
        <v>18.059999999999999</v>
      </c>
      <c r="F91" s="208">
        <v>18.059999999999999</v>
      </c>
      <c r="G91" s="208">
        <v>18.059999999999999</v>
      </c>
      <c r="H91" s="208">
        <v>18.059999999999999</v>
      </c>
      <c r="I91" s="208">
        <v>18.059999999999999</v>
      </c>
      <c r="J91" s="208">
        <v>18.059999999999999</v>
      </c>
      <c r="K91" s="208">
        <v>18.059999999999999</v>
      </c>
      <c r="L91" s="208">
        <v>18.059999999999999</v>
      </c>
      <c r="M91" s="208">
        <v>18.059999999999999</v>
      </c>
      <c r="N91" s="208">
        <v>18.059999999999999</v>
      </c>
      <c r="O91" s="208">
        <v>18.059999999999999</v>
      </c>
      <c r="P91" s="208">
        <v>18.059999999999999</v>
      </c>
    </row>
    <row r="92" spans="3:16" x14ac:dyDescent="0.4">
      <c r="C92" s="208"/>
      <c r="D92" s="1383"/>
      <c r="E92" s="208"/>
      <c r="F92" s="208"/>
      <c r="G92" s="208"/>
      <c r="H92" s="208"/>
      <c r="I92" s="208"/>
      <c r="J92" s="208"/>
      <c r="K92" s="208"/>
      <c r="L92" s="208"/>
      <c r="M92" s="208"/>
      <c r="N92" s="208"/>
      <c r="O92" s="208"/>
      <c r="P92" s="208"/>
    </row>
    <row r="93" spans="3:16" x14ac:dyDescent="0.4">
      <c r="C93" s="208" t="s">
        <v>1593</v>
      </c>
      <c r="D93" s="365" t="s">
        <v>1170</v>
      </c>
      <c r="E93" s="1342">
        <f>+E89-E91</f>
        <v>17.260458792688507</v>
      </c>
      <c r="F93" s="1342">
        <f t="shared" ref="F93:P93" si="10">+F89-F91</f>
        <v>17.519586505728416</v>
      </c>
      <c r="G93" s="1342">
        <f t="shared" si="10"/>
        <v>17.464412000917964</v>
      </c>
      <c r="H93" s="1342">
        <f t="shared" si="10"/>
        <v>19.275532759927966</v>
      </c>
      <c r="I93" s="1342">
        <f t="shared" si="10"/>
        <v>18.197986038478948</v>
      </c>
      <c r="J93" s="1342">
        <f t="shared" si="10"/>
        <v>17.908651462165896</v>
      </c>
      <c r="K93" s="1342">
        <f t="shared" si="10"/>
        <v>19.355012454509765</v>
      </c>
      <c r="L93" s="1342">
        <f t="shared" si="10"/>
        <v>18.987651120465213</v>
      </c>
      <c r="M93" s="1342">
        <f t="shared" si="10"/>
        <v>18.564977099338758</v>
      </c>
      <c r="N93" s="1342">
        <f t="shared" si="10"/>
        <v>19.819135997525077</v>
      </c>
      <c r="O93" s="1342">
        <f t="shared" si="10"/>
        <v>19.534734681410416</v>
      </c>
      <c r="P93" s="1342">
        <f t="shared" si="10"/>
        <v>19.845766794328032</v>
      </c>
    </row>
    <row r="94" spans="3:16" x14ac:dyDescent="0.4">
      <c r="C94" s="1384"/>
      <c r="D94" s="1385"/>
      <c r="E94" s="1386"/>
      <c r="F94" s="1386"/>
      <c r="G94" s="1386"/>
      <c r="H94" s="1386"/>
      <c r="I94" s="1386"/>
      <c r="J94" s="1386"/>
      <c r="K94" s="1386"/>
      <c r="L94" s="1386"/>
      <c r="M94" s="1386"/>
      <c r="N94" s="1386"/>
      <c r="O94" s="1386"/>
      <c r="P94" s="1386"/>
    </row>
    <row r="95" spans="3:16" x14ac:dyDescent="0.4">
      <c r="C95" s="207" t="s">
        <v>1593</v>
      </c>
      <c r="D95" s="1387" t="s">
        <v>236</v>
      </c>
      <c r="E95" s="1382">
        <f>IF(E93&lt;0,0,E93*85%*E80*24/1000)</f>
        <v>10.563400781125365</v>
      </c>
      <c r="F95" s="1382">
        <f t="shared" ref="F95:P95" si="11">IF(F93&lt;0,0,F93*85%*F80*24/1000)</f>
        <v>11.079386506222651</v>
      </c>
      <c r="G95" s="1382">
        <f t="shared" si="11"/>
        <v>10.688220144561793</v>
      </c>
      <c r="H95" s="1382">
        <f t="shared" si="11"/>
        <v>12.189846917378445</v>
      </c>
      <c r="I95" s="1382">
        <f t="shared" si="11"/>
        <v>11.508406370734086</v>
      </c>
      <c r="J95" s="1382">
        <f t="shared" si="11"/>
        <v>10.960094694845527</v>
      </c>
      <c r="K95" s="1382">
        <f t="shared" si="11"/>
        <v>12.240109876231974</v>
      </c>
      <c r="L95" s="1382">
        <f t="shared" si="11"/>
        <v>11.620442485724711</v>
      </c>
      <c r="M95" s="1382">
        <f t="shared" si="11"/>
        <v>11.74049151762183</v>
      </c>
      <c r="N95" s="1382">
        <f t="shared" si="11"/>
        <v>12.533621604834861</v>
      </c>
      <c r="O95" s="1382">
        <f t="shared" si="11"/>
        <v>11.158240450021628</v>
      </c>
      <c r="P95" s="1382">
        <f t="shared" si="11"/>
        <v>12.550462920733047</v>
      </c>
    </row>
    <row r="97" spans="3:16" ht="14.25" x14ac:dyDescent="0.45">
      <c r="C97" s="1311" t="s">
        <v>1465</v>
      </c>
      <c r="D97" s="1388" t="s">
        <v>1218</v>
      </c>
      <c r="E97" s="1232">
        <f>+E95*Assum!$O$46/10</f>
        <v>0.68662105077314872</v>
      </c>
      <c r="F97" s="1232">
        <f>+F95*Assum!$O$46/10</f>
        <v>0.72016012290447229</v>
      </c>
      <c r="G97" s="1232">
        <f>+G95*Assum!$O$46/10</f>
        <v>0.69473430939651659</v>
      </c>
      <c r="H97" s="1232">
        <f>+H95*Assum!$O$46/10</f>
        <v>0.79234004962959892</v>
      </c>
      <c r="I97" s="1232">
        <f>+I95*Assum!$O$46/10</f>
        <v>0.74804641409771555</v>
      </c>
      <c r="J97" s="1232">
        <f>+J95*Assum!$O$46/10</f>
        <v>0.71240615516495931</v>
      </c>
      <c r="K97" s="1232">
        <f>+K95*Assum!$O$46/10</f>
        <v>0.79560714195507842</v>
      </c>
      <c r="L97" s="1232">
        <f>+L95*Assum!$O$46/10</f>
        <v>0.75532876157210627</v>
      </c>
      <c r="M97" s="1232">
        <f>+M95*Assum!$O$46/10</f>
        <v>0.763131948645419</v>
      </c>
      <c r="N97" s="1232">
        <f>+N95*Assum!$O$46/10</f>
        <v>0.81468540431426606</v>
      </c>
      <c r="O97" s="1232">
        <f>+O95*Assum!$O$46/10</f>
        <v>0.72528562925140583</v>
      </c>
      <c r="P97" s="1232">
        <f>+P95*Assum!$O$46/10</f>
        <v>0.81578008984764805</v>
      </c>
    </row>
    <row r="99" spans="3:16" x14ac:dyDescent="0.4">
      <c r="C99" s="1398" t="s">
        <v>875</v>
      </c>
      <c r="E99" s="1373">
        <v>30</v>
      </c>
      <c r="F99" s="1373">
        <v>31</v>
      </c>
      <c r="G99" s="1373">
        <v>30</v>
      </c>
      <c r="H99" s="1373">
        <v>31</v>
      </c>
      <c r="I99" s="1373">
        <v>31</v>
      </c>
      <c r="J99" s="1373">
        <v>30</v>
      </c>
      <c r="K99" s="1373">
        <v>31</v>
      </c>
      <c r="L99" s="1373">
        <v>30</v>
      </c>
      <c r="M99" s="1373">
        <v>31</v>
      </c>
      <c r="N99" s="1373">
        <v>31</v>
      </c>
      <c r="O99" s="1373">
        <v>28</v>
      </c>
      <c r="P99" s="1373">
        <v>31</v>
      </c>
    </row>
    <row r="100" spans="3:16" x14ac:dyDescent="0.4">
      <c r="C100" s="1379" t="s">
        <v>1586</v>
      </c>
      <c r="D100" s="1380"/>
      <c r="E100" s="1381">
        <v>46844</v>
      </c>
      <c r="F100" s="1381">
        <v>46874</v>
      </c>
      <c r="G100" s="1381">
        <v>46905</v>
      </c>
      <c r="H100" s="1381">
        <v>46935</v>
      </c>
      <c r="I100" s="1381">
        <v>46966</v>
      </c>
      <c r="J100" s="1381">
        <v>46997</v>
      </c>
      <c r="K100" s="1381">
        <v>47027</v>
      </c>
      <c r="L100" s="1381">
        <v>47058</v>
      </c>
      <c r="M100" s="1381">
        <v>47088</v>
      </c>
      <c r="N100" s="1381">
        <v>47119</v>
      </c>
      <c r="O100" s="1381">
        <v>47150</v>
      </c>
      <c r="P100" s="1381">
        <v>47178</v>
      </c>
    </row>
    <row r="101" spans="3:16" ht="27.75" x14ac:dyDescent="0.4">
      <c r="C101" s="1325" t="s">
        <v>1587</v>
      </c>
      <c r="D101" s="364" t="s">
        <v>1170</v>
      </c>
      <c r="E101" s="1316"/>
      <c r="F101" s="1316"/>
      <c r="G101" s="1316"/>
      <c r="H101" s="1316"/>
      <c r="I101" s="1316"/>
      <c r="J101" s="1316"/>
      <c r="K101" s="1316"/>
      <c r="L101" s="1316"/>
      <c r="M101" s="1316"/>
      <c r="N101" s="1316"/>
      <c r="O101" s="1316"/>
      <c r="P101" s="1316"/>
    </row>
    <row r="102" spans="3:16" x14ac:dyDescent="0.4">
      <c r="C102" s="1314" t="s">
        <v>1588</v>
      </c>
      <c r="D102" s="364" t="s">
        <v>1170</v>
      </c>
      <c r="E102" s="1316"/>
      <c r="F102" s="1316"/>
      <c r="G102" s="1316"/>
      <c r="H102" s="1316"/>
      <c r="I102" s="1316"/>
      <c r="J102" s="1316"/>
      <c r="K102" s="1316"/>
      <c r="L102" s="1316"/>
      <c r="M102" s="1316"/>
      <c r="N102" s="1316"/>
      <c r="O102" s="1316"/>
      <c r="P102" s="1316"/>
    </row>
    <row r="103" spans="3:16" x14ac:dyDescent="0.4">
      <c r="C103" s="1314" t="s">
        <v>1589</v>
      </c>
      <c r="D103" s="364" t="s">
        <v>1170</v>
      </c>
      <c r="E103" s="1316"/>
      <c r="F103" s="1316"/>
      <c r="G103" s="1316"/>
      <c r="H103" s="1316"/>
      <c r="I103" s="1316"/>
      <c r="J103" s="1316"/>
      <c r="K103" s="1316"/>
      <c r="L103" s="1316"/>
      <c r="M103" s="1316"/>
      <c r="N103" s="1316"/>
      <c r="O103" s="1316"/>
      <c r="P103" s="1316"/>
    </row>
    <row r="104" spans="3:16" x14ac:dyDescent="0.4">
      <c r="C104" s="1314" t="s">
        <v>1594</v>
      </c>
      <c r="D104" s="364" t="s">
        <v>1170</v>
      </c>
      <c r="E104" s="1316"/>
      <c r="F104" s="1316"/>
      <c r="G104" s="1316"/>
      <c r="H104" s="1316"/>
      <c r="I104" s="1316"/>
      <c r="J104" s="1316"/>
      <c r="K104" s="1316"/>
      <c r="L104" s="1316"/>
      <c r="M104" s="1316"/>
      <c r="N104" s="1316"/>
      <c r="O104" s="1316"/>
      <c r="P104" s="1316"/>
    </row>
    <row r="105" spans="3:16" x14ac:dyDescent="0.4">
      <c r="C105" s="1314" t="s">
        <v>1594</v>
      </c>
      <c r="D105" s="364" t="s">
        <v>1170</v>
      </c>
      <c r="E105" s="1316"/>
      <c r="F105" s="1316"/>
      <c r="G105" s="1316"/>
      <c r="H105" s="1316"/>
      <c r="I105" s="1316"/>
      <c r="J105" s="1316"/>
      <c r="K105" s="1316"/>
      <c r="L105" s="1316"/>
      <c r="M105" s="1316"/>
      <c r="N105" s="1316"/>
      <c r="O105" s="1316"/>
      <c r="P105" s="1316"/>
    </row>
    <row r="106" spans="3:16" x14ac:dyDescent="0.4">
      <c r="C106" s="1314" t="s">
        <v>1595</v>
      </c>
      <c r="D106" s="364" t="s">
        <v>1170</v>
      </c>
      <c r="E106" s="1316"/>
      <c r="F106" s="1316"/>
      <c r="G106" s="1316"/>
      <c r="H106" s="1316"/>
      <c r="I106" s="1316"/>
      <c r="J106" s="1316"/>
      <c r="K106" s="1316"/>
      <c r="L106" s="1316"/>
      <c r="M106" s="1316"/>
      <c r="N106" s="1316"/>
      <c r="O106" s="1316"/>
      <c r="P106" s="1316"/>
    </row>
    <row r="107" spans="3:16" x14ac:dyDescent="0.4">
      <c r="C107" s="208" t="s">
        <v>1590</v>
      </c>
      <c r="D107" s="364" t="s">
        <v>1170</v>
      </c>
      <c r="E107" s="1342">
        <f>'F2.1'!E329/(E99*24/1000*85%)</f>
        <v>37.807878429238841</v>
      </c>
      <c r="F107" s="1342">
        <f>'F2.1'!F329/(F99*24/1000*85%)</f>
        <v>38.148031462792709</v>
      </c>
      <c r="G107" s="1342">
        <f>'F2.1'!G329/(G99*24/1000*85%)</f>
        <v>37.739525501454601</v>
      </c>
      <c r="H107" s="1342">
        <f>'F2.1'!H329/(H99*24/1000*85%)</f>
        <v>38.462929087342147</v>
      </c>
      <c r="I107" s="1342">
        <f>'F2.1'!I329/(I99*24/1000*85%)</f>
        <v>38.453663850486329</v>
      </c>
      <c r="J107" s="1342">
        <f>'F2.1'!J329/(J99*24/1000*85%)</f>
        <v>38.529502037477592</v>
      </c>
      <c r="K107" s="1342">
        <f>'F2.1'!K329/(K99*24/1000*85%)</f>
        <v>39.617889585749182</v>
      </c>
      <c r="L107" s="1342">
        <f>'F2.1'!L329/(L99*24/1000*85%)</f>
        <v>39.53973573712932</v>
      </c>
      <c r="M107" s="1342">
        <f>'F2.1'!M329/(M99*24/1000*85%)</f>
        <v>39.287198344160494</v>
      </c>
      <c r="N107" s="1342">
        <f>'F2.1'!N329/(N99*24/1000*85%)</f>
        <v>40.348223682182734</v>
      </c>
      <c r="O107" s="1342">
        <f>'F2.1'!O329/(O99*24/1000*85%)</f>
        <v>40.516588015617828</v>
      </c>
      <c r="P107" s="1342">
        <f>'F2.1'!P329/(P99*24/1000*85%)</f>
        <v>40.827555865702195</v>
      </c>
    </row>
    <row r="108" spans="3:16" x14ac:dyDescent="0.4">
      <c r="C108" s="207" t="s">
        <v>1591</v>
      </c>
      <c r="D108" s="365" t="s">
        <v>1170</v>
      </c>
      <c r="E108" s="1382">
        <f t="shared" ref="E108:P108" si="12">SUM(E101:E107)</f>
        <v>37.807878429238841</v>
      </c>
      <c r="F108" s="1382">
        <f t="shared" si="12"/>
        <v>38.148031462792709</v>
      </c>
      <c r="G108" s="1382">
        <f t="shared" si="12"/>
        <v>37.739525501454601</v>
      </c>
      <c r="H108" s="1382">
        <f t="shared" si="12"/>
        <v>38.462929087342147</v>
      </c>
      <c r="I108" s="1382">
        <f t="shared" si="12"/>
        <v>38.453663850486329</v>
      </c>
      <c r="J108" s="1382">
        <f t="shared" si="12"/>
        <v>38.529502037477592</v>
      </c>
      <c r="K108" s="1382">
        <f t="shared" si="12"/>
        <v>39.617889585749182</v>
      </c>
      <c r="L108" s="1382">
        <f t="shared" si="12"/>
        <v>39.53973573712932</v>
      </c>
      <c r="M108" s="1382">
        <f t="shared" si="12"/>
        <v>39.287198344160494</v>
      </c>
      <c r="N108" s="1382">
        <f t="shared" si="12"/>
        <v>40.348223682182734</v>
      </c>
      <c r="O108" s="1382">
        <f t="shared" si="12"/>
        <v>40.516588015617828</v>
      </c>
      <c r="P108" s="1382">
        <f t="shared" si="12"/>
        <v>40.827555865702195</v>
      </c>
    </row>
    <row r="109" spans="3:16" x14ac:dyDescent="0.4">
      <c r="C109" s="208"/>
      <c r="D109" s="1383"/>
      <c r="E109" s="208"/>
      <c r="F109" s="208"/>
      <c r="G109" s="208"/>
      <c r="H109" s="208"/>
      <c r="I109" s="208"/>
      <c r="J109" s="208"/>
      <c r="K109" s="208"/>
      <c r="L109" s="208"/>
      <c r="M109" s="208"/>
      <c r="N109" s="208"/>
      <c r="O109" s="208"/>
      <c r="P109" s="208"/>
    </row>
    <row r="110" spans="3:16" x14ac:dyDescent="0.4">
      <c r="C110" s="208" t="s">
        <v>1592</v>
      </c>
      <c r="D110" s="365" t="s">
        <v>1170</v>
      </c>
      <c r="E110" s="208">
        <v>21.47</v>
      </c>
      <c r="F110" s="208">
        <v>21.47</v>
      </c>
      <c r="G110" s="208">
        <v>21.47</v>
      </c>
      <c r="H110" s="208">
        <v>21.47</v>
      </c>
      <c r="I110" s="208">
        <v>21.47</v>
      </c>
      <c r="J110" s="208">
        <v>21.47</v>
      </c>
      <c r="K110" s="208">
        <v>21.47</v>
      </c>
      <c r="L110" s="208">
        <v>21.47</v>
      </c>
      <c r="M110" s="208">
        <v>21.47</v>
      </c>
      <c r="N110" s="208">
        <v>21.47</v>
      </c>
      <c r="O110" s="208">
        <v>21.47</v>
      </c>
      <c r="P110" s="208">
        <v>21.47</v>
      </c>
    </row>
    <row r="111" spans="3:16" x14ac:dyDescent="0.4">
      <c r="C111" s="208"/>
      <c r="D111" s="1383"/>
      <c r="E111" s="208"/>
      <c r="F111" s="208"/>
      <c r="G111" s="208"/>
      <c r="H111" s="208"/>
      <c r="I111" s="208"/>
      <c r="J111" s="208"/>
      <c r="K111" s="208"/>
      <c r="L111" s="208"/>
      <c r="M111" s="208"/>
      <c r="N111" s="208"/>
      <c r="O111" s="208"/>
      <c r="P111" s="208"/>
    </row>
    <row r="112" spans="3:16" x14ac:dyDescent="0.4">
      <c r="C112" s="208" t="s">
        <v>1593</v>
      </c>
      <c r="D112" s="365" t="s">
        <v>1170</v>
      </c>
      <c r="E112" s="1342">
        <f>+E108-E110</f>
        <v>16.337878429238842</v>
      </c>
      <c r="F112" s="1342">
        <f t="shared" ref="F112:P112" si="13">+F108-F110</f>
        <v>16.67803146279271</v>
      </c>
      <c r="G112" s="1342">
        <f t="shared" si="13"/>
        <v>16.269525501454602</v>
      </c>
      <c r="H112" s="1342">
        <f t="shared" si="13"/>
        <v>16.992929087342148</v>
      </c>
      <c r="I112" s="1342">
        <f t="shared" si="13"/>
        <v>16.98366385048633</v>
      </c>
      <c r="J112" s="1342">
        <f t="shared" si="13"/>
        <v>17.059502037477593</v>
      </c>
      <c r="K112" s="1342">
        <f t="shared" si="13"/>
        <v>18.147889585749184</v>
      </c>
      <c r="L112" s="1342">
        <f t="shared" si="13"/>
        <v>18.069735737129321</v>
      </c>
      <c r="M112" s="1342">
        <f t="shared" si="13"/>
        <v>17.817198344160495</v>
      </c>
      <c r="N112" s="1342">
        <f t="shared" si="13"/>
        <v>18.878223682182735</v>
      </c>
      <c r="O112" s="1342">
        <f t="shared" si="13"/>
        <v>19.046588015617829</v>
      </c>
      <c r="P112" s="1342">
        <f t="shared" si="13"/>
        <v>19.357555865702196</v>
      </c>
    </row>
    <row r="113" spans="3:16" x14ac:dyDescent="0.4">
      <c r="C113" s="1384"/>
      <c r="D113" s="1385"/>
      <c r="E113" s="1386"/>
      <c r="F113" s="1386"/>
      <c r="G113" s="1386"/>
      <c r="H113" s="1386"/>
      <c r="I113" s="1386"/>
      <c r="J113" s="1386"/>
      <c r="K113" s="1386"/>
      <c r="L113" s="1386"/>
      <c r="M113" s="1386"/>
      <c r="N113" s="1386"/>
      <c r="O113" s="1386"/>
      <c r="P113" s="1386"/>
    </row>
    <row r="114" spans="3:16" x14ac:dyDescent="0.4">
      <c r="C114" s="207" t="s">
        <v>1593</v>
      </c>
      <c r="D114" s="1387" t="s">
        <v>236</v>
      </c>
      <c r="E114" s="1382">
        <f>IF(E112&lt;0,0,E112*85%*E99*24/1000)</f>
        <v>9.9987815986941708</v>
      </c>
      <c r="F114" s="1382">
        <f t="shared" ref="F114:P114" si="14">IF(F112&lt;0,0,F112*85%*F99*24/1000)</f>
        <v>10.547187097070109</v>
      </c>
      <c r="G114" s="1382">
        <f t="shared" si="14"/>
        <v>9.9569496068902161</v>
      </c>
      <c r="H114" s="1382">
        <f t="shared" si="14"/>
        <v>10.746328354835173</v>
      </c>
      <c r="I114" s="1382">
        <f t="shared" si="14"/>
        <v>10.740469019047556</v>
      </c>
      <c r="J114" s="1382">
        <f t="shared" si="14"/>
        <v>10.440415246936286</v>
      </c>
      <c r="K114" s="1382">
        <f t="shared" si="14"/>
        <v>11.476725374027783</v>
      </c>
      <c r="L114" s="1382">
        <f t="shared" si="14"/>
        <v>11.058678271123144</v>
      </c>
      <c r="M114" s="1382">
        <f t="shared" si="14"/>
        <v>11.267596232847097</v>
      </c>
      <c r="N114" s="1382">
        <f t="shared" si="14"/>
        <v>11.938588656612362</v>
      </c>
      <c r="O114" s="1382">
        <f t="shared" si="14"/>
        <v>10.879411074520904</v>
      </c>
      <c r="P114" s="1382">
        <f t="shared" si="14"/>
        <v>12.24171832947007</v>
      </c>
    </row>
    <row r="116" spans="3:16" ht="14.25" x14ac:dyDescent="0.45">
      <c r="C116" s="1311" t="s">
        <v>1465</v>
      </c>
      <c r="D116" s="1388" t="s">
        <v>1218</v>
      </c>
      <c r="E116" s="1232">
        <f>+E114*Assum!$P$46/10</f>
        <v>0.62492384991838568</v>
      </c>
      <c r="F116" s="1232">
        <f>+F114*Assum!$P$46/10</f>
        <v>0.65919919356688184</v>
      </c>
      <c r="G116" s="1232">
        <f>+G114*Assum!$P$46/10</f>
        <v>0.62230935043063851</v>
      </c>
      <c r="H116" s="1232">
        <f>+H114*Assum!$P$46/10</f>
        <v>0.67164552217719831</v>
      </c>
      <c r="I116" s="1232">
        <f>+I114*Assum!$P$46/10</f>
        <v>0.67127931369047222</v>
      </c>
      <c r="J116" s="1232">
        <f>+J114*Assum!$P$46/10</f>
        <v>0.65252595293351789</v>
      </c>
      <c r="K116" s="1232">
        <f>+K114*Assum!$P$46/10</f>
        <v>0.71729533587673644</v>
      </c>
      <c r="L116" s="1232">
        <f>+L114*Assum!$P$46/10</f>
        <v>0.6911673919451965</v>
      </c>
      <c r="M116" s="1232">
        <f>+M114*Assum!$P$46/10</f>
        <v>0.70422476455294358</v>
      </c>
      <c r="N116" s="1232">
        <f>+N114*Assum!$P$46/10</f>
        <v>0.74616179103827263</v>
      </c>
      <c r="O116" s="1232">
        <f>+O114*Assum!$P$46/10</f>
        <v>0.67996319215755652</v>
      </c>
      <c r="P116" s="1232">
        <f>+P114*Assum!$P$46/10</f>
        <v>0.76510739559187935</v>
      </c>
    </row>
  </sheetData>
  <mergeCells count="8">
    <mergeCell ref="B3:P3"/>
    <mergeCell ref="B4:P4"/>
    <mergeCell ref="B5:P5"/>
    <mergeCell ref="P9:P10"/>
    <mergeCell ref="B9:B10"/>
    <mergeCell ref="C9:C10"/>
    <mergeCell ref="K9:O9"/>
    <mergeCell ref="D10:I10"/>
  </mergeCells>
  <pageMargins left="0.7" right="0.7" top="0.75" bottom="0.75" header="0.3" footer="0.3"/>
  <pageSetup paperSize="9"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47E3-A5F0-4CDD-A944-373A7DCC4F26}">
  <dimension ref="A1:O16"/>
  <sheetViews>
    <sheetView showGridLines="0" view="pageBreakPreview" zoomScale="80" zoomScaleNormal="100" zoomScaleSheetLayoutView="80" workbookViewId="0">
      <selection activeCell="H34" sqref="H34"/>
    </sheetView>
  </sheetViews>
  <sheetFormatPr defaultRowHeight="12.75" x14ac:dyDescent="0.35"/>
  <cols>
    <col min="3" max="3" width="25.46484375" bestFit="1" customWidth="1"/>
    <col min="4" max="8" width="26" customWidth="1"/>
    <col min="9" max="9" width="32.46484375" customWidth="1"/>
  </cols>
  <sheetData>
    <row r="1" spans="1:15" ht="13.9" x14ac:dyDescent="0.4">
      <c r="A1" s="107"/>
      <c r="B1" s="107"/>
      <c r="C1" s="107"/>
      <c r="D1" s="107"/>
      <c r="E1" s="107"/>
      <c r="F1" s="107"/>
      <c r="G1" s="107"/>
      <c r="H1" s="107"/>
      <c r="I1" s="107"/>
      <c r="J1" s="107"/>
      <c r="K1" s="107"/>
      <c r="L1" s="107"/>
      <c r="M1" s="107"/>
      <c r="N1" s="107"/>
      <c r="O1" s="107"/>
    </row>
    <row r="2" spans="1:15" ht="13.9" x14ac:dyDescent="0.4">
      <c r="A2" s="107"/>
      <c r="B2" s="1937" t="str">
        <f>Index!B2</f>
        <v>Nidar Utilities Panvel LLP</v>
      </c>
      <c r="C2" s="1937"/>
      <c r="D2" s="1937"/>
      <c r="E2" s="1937"/>
      <c r="F2" s="1937"/>
      <c r="G2" s="1937"/>
      <c r="H2" s="1937"/>
      <c r="I2" s="1937"/>
      <c r="J2" s="107"/>
      <c r="K2" s="107"/>
      <c r="L2" s="107"/>
      <c r="M2" s="107"/>
      <c r="N2" s="107"/>
      <c r="O2" s="107"/>
    </row>
    <row r="3" spans="1:15" ht="13.9" x14ac:dyDescent="0.4">
      <c r="A3" s="107"/>
      <c r="B3" s="1875" t="s">
        <v>276</v>
      </c>
      <c r="C3" s="1875"/>
      <c r="D3" s="1875"/>
      <c r="E3" s="1875"/>
      <c r="F3" s="1875"/>
      <c r="G3" s="1875"/>
      <c r="H3" s="1875"/>
      <c r="I3" s="1875"/>
      <c r="J3" s="107"/>
      <c r="K3" s="107"/>
      <c r="L3" s="107"/>
      <c r="M3" s="107"/>
      <c r="N3" s="107"/>
      <c r="O3" s="107"/>
    </row>
    <row r="4" spans="1:15" ht="13.9" x14ac:dyDescent="0.4">
      <c r="A4" s="107"/>
      <c r="B4" s="1875" t="s">
        <v>326</v>
      </c>
      <c r="C4" s="1875"/>
      <c r="D4" s="1875"/>
      <c r="E4" s="1875"/>
      <c r="F4" s="1875"/>
      <c r="G4" s="1875"/>
      <c r="H4" s="1875"/>
      <c r="I4" s="1875"/>
      <c r="J4" s="107"/>
      <c r="K4" s="107"/>
      <c r="L4" s="107"/>
      <c r="M4" s="107"/>
      <c r="N4" s="107"/>
      <c r="O4" s="107"/>
    </row>
    <row r="5" spans="1:15" ht="13.9" x14ac:dyDescent="0.4">
      <c r="A5" s="107"/>
      <c r="B5" s="108"/>
      <c r="C5" s="107"/>
      <c r="D5" s="108"/>
      <c r="E5" s="108"/>
      <c r="F5" s="108"/>
      <c r="G5" s="108"/>
      <c r="H5" s="108"/>
      <c r="J5" s="107"/>
      <c r="K5" s="107"/>
      <c r="L5" s="107"/>
      <c r="M5" s="107"/>
      <c r="N5" s="107"/>
      <c r="O5" s="107"/>
    </row>
    <row r="6" spans="1:15" ht="13.9" x14ac:dyDescent="0.4">
      <c r="A6" s="107"/>
      <c r="B6" s="108"/>
      <c r="C6" s="107"/>
      <c r="D6" s="108"/>
      <c r="E6" s="108"/>
      <c r="F6" s="108"/>
      <c r="G6" s="108"/>
      <c r="H6" s="108"/>
      <c r="I6" s="108"/>
      <c r="J6" s="107"/>
      <c r="K6" s="107"/>
      <c r="L6" s="107"/>
      <c r="M6" s="107"/>
      <c r="N6" s="107"/>
      <c r="O6" s="107"/>
    </row>
    <row r="7" spans="1:15" ht="13.9" x14ac:dyDescent="0.4">
      <c r="A7" s="107"/>
      <c r="B7" s="108"/>
      <c r="C7" s="107"/>
      <c r="D7" s="108"/>
      <c r="E7" s="108"/>
      <c r="F7" s="108"/>
      <c r="G7" s="108"/>
      <c r="H7" s="108"/>
      <c r="I7" s="108"/>
      <c r="J7" s="107"/>
      <c r="K7" s="107"/>
      <c r="L7" s="107"/>
      <c r="M7" s="107"/>
      <c r="N7" s="107"/>
      <c r="O7" s="107"/>
    </row>
    <row r="8" spans="1:15" ht="13.9" x14ac:dyDescent="0.4">
      <c r="A8" s="107"/>
      <c r="B8" s="108"/>
      <c r="C8" s="108"/>
      <c r="D8" s="107"/>
      <c r="E8" s="107"/>
      <c r="F8" s="107"/>
      <c r="G8" s="107"/>
      <c r="H8" s="107"/>
      <c r="I8" s="53"/>
    </row>
    <row r="9" spans="1:15" ht="13.9" x14ac:dyDescent="0.35">
      <c r="A9" s="10"/>
      <c r="B9" s="1940" t="s">
        <v>1</v>
      </c>
      <c r="C9" s="1984" t="s">
        <v>111</v>
      </c>
      <c r="D9" s="1941" t="s">
        <v>115</v>
      </c>
      <c r="E9" s="1941"/>
      <c r="F9" s="1941"/>
      <c r="G9" s="1941"/>
      <c r="H9" s="1941"/>
      <c r="I9" s="1936" t="s">
        <v>116</v>
      </c>
    </row>
    <row r="10" spans="1:15" ht="13.9" x14ac:dyDescent="0.35">
      <c r="A10" s="10"/>
      <c r="B10" s="1940"/>
      <c r="C10" s="1984"/>
      <c r="D10" s="217" t="s">
        <v>123</v>
      </c>
      <c r="E10" s="217" t="s">
        <v>124</v>
      </c>
      <c r="F10" s="217" t="s">
        <v>125</v>
      </c>
      <c r="G10" s="217" t="s">
        <v>126</v>
      </c>
      <c r="H10" s="217" t="s">
        <v>127</v>
      </c>
      <c r="I10" s="1936"/>
    </row>
    <row r="11" spans="1:15" ht="13.9" x14ac:dyDescent="0.35">
      <c r="A11" s="10"/>
      <c r="B11" s="1986"/>
      <c r="C11" s="1987"/>
      <c r="D11" s="217" t="s">
        <v>135</v>
      </c>
      <c r="E11" s="217" t="s">
        <v>135</v>
      </c>
      <c r="F11" s="217" t="s">
        <v>135</v>
      </c>
      <c r="G11" s="217" t="s">
        <v>135</v>
      </c>
      <c r="H11" s="217" t="s">
        <v>135</v>
      </c>
      <c r="I11" s="1985"/>
    </row>
    <row r="12" spans="1:15" ht="13.9" x14ac:dyDescent="0.4">
      <c r="A12" s="107"/>
      <c r="B12" s="168">
        <v>1</v>
      </c>
      <c r="C12" s="46" t="s">
        <v>327</v>
      </c>
      <c r="D12" s="767">
        <f>+(1-(1-D13)*D14)</f>
        <v>4.3526500642194765E-3</v>
      </c>
      <c r="E12" s="767">
        <f>+(1-(1-E13)*E14)</f>
        <v>4.3526500642194765E-3</v>
      </c>
      <c r="F12" s="767">
        <f>+(1-(1-F13)*F14)</f>
        <v>4.3526500642194765E-3</v>
      </c>
      <c r="G12" s="767">
        <f>+(1-(1-G13)*G14)</f>
        <v>4.3526500642194765E-3</v>
      </c>
      <c r="H12" s="767">
        <f>+(1-(1-H13)*H14)</f>
        <v>4.3526500642194765E-3</v>
      </c>
      <c r="I12" s="765"/>
    </row>
    <row r="13" spans="1:15" ht="13.9" x14ac:dyDescent="0.4">
      <c r="A13" s="107"/>
      <c r="B13" s="168">
        <v>2</v>
      </c>
      <c r="C13" s="46" t="s">
        <v>1240</v>
      </c>
      <c r="D13" s="766">
        <f>+Assum!L40</f>
        <v>4.3526500642195069E-3</v>
      </c>
      <c r="E13" s="766">
        <f>+Assum!M40</f>
        <v>4.3526500642195069E-3</v>
      </c>
      <c r="F13" s="766">
        <f>+Assum!N40</f>
        <v>4.3526500642195069E-3</v>
      </c>
      <c r="G13" s="766">
        <f>+Assum!O40</f>
        <v>4.3526500642195069E-3</v>
      </c>
      <c r="H13" s="766">
        <f>+Assum!P40</f>
        <v>4.3526500642195069E-3</v>
      </c>
      <c r="I13" s="1"/>
    </row>
    <row r="14" spans="1:15" ht="13.9" x14ac:dyDescent="0.4">
      <c r="A14" s="107"/>
      <c r="B14" s="168">
        <v>3</v>
      </c>
      <c r="C14" s="46" t="s">
        <v>772</v>
      </c>
      <c r="D14" s="766">
        <f>+Assum!L41</f>
        <v>1</v>
      </c>
      <c r="E14" s="766">
        <f>+Assum!M41</f>
        <v>1</v>
      </c>
      <c r="F14" s="766">
        <f>+Assum!N41</f>
        <v>1</v>
      </c>
      <c r="G14" s="766">
        <f>+Assum!O41</f>
        <v>1</v>
      </c>
      <c r="H14" s="766">
        <f>+Assum!P41</f>
        <v>1</v>
      </c>
      <c r="I14" s="1"/>
    </row>
    <row r="15" spans="1:15" ht="13.9" x14ac:dyDescent="0.4">
      <c r="A15" s="107"/>
      <c r="B15" s="107"/>
      <c r="C15" s="107"/>
      <c r="D15" s="107"/>
      <c r="E15" s="107"/>
      <c r="F15" s="107"/>
      <c r="G15" s="107"/>
      <c r="H15" s="107"/>
      <c r="I15" s="107"/>
    </row>
    <row r="16" spans="1:15" ht="13.9" x14ac:dyDescent="0.4">
      <c r="A16" s="107"/>
      <c r="B16" s="10" t="s">
        <v>328</v>
      </c>
      <c r="C16" s="107"/>
      <c r="D16" s="107"/>
      <c r="E16" s="107"/>
      <c r="F16" s="107"/>
      <c r="G16" s="107"/>
      <c r="H16" s="107"/>
      <c r="I16" s="107"/>
    </row>
  </sheetData>
  <mergeCells count="7">
    <mergeCell ref="B2:I2"/>
    <mergeCell ref="B3:I3"/>
    <mergeCell ref="B4:I4"/>
    <mergeCell ref="I9:I11"/>
    <mergeCell ref="B9:B11"/>
    <mergeCell ref="C9:C11"/>
    <mergeCell ref="D9:H9"/>
  </mergeCells>
  <pageMargins left="0.7" right="0.7" top="0.75" bottom="0.75" header="0.3" footer="0.3"/>
  <pageSetup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F6F7-67BC-40A0-9EC8-9C90375612DA}">
  <dimension ref="D4:G102"/>
  <sheetViews>
    <sheetView showGridLines="0" workbookViewId="0">
      <selection activeCell="C90" sqref="B90:P113"/>
    </sheetView>
  </sheetViews>
  <sheetFormatPr defaultColWidth="9.1328125" defaultRowHeight="11.25" x14ac:dyDescent="0.3"/>
  <cols>
    <col min="1" max="3" width="9.1328125" style="978"/>
    <col min="4" max="4" width="13.6640625" style="978" customWidth="1"/>
    <col min="5" max="5" width="12.1328125" style="978" customWidth="1"/>
    <col min="6" max="6" width="14.46484375" style="1228" bestFit="1" customWidth="1"/>
    <col min="7" max="7" width="20.1328125" style="978" bestFit="1" customWidth="1"/>
    <col min="8" max="16384" width="9.1328125" style="978"/>
  </cols>
  <sheetData>
    <row r="4" spans="4:7" x14ac:dyDescent="0.3">
      <c r="D4" s="977" t="s">
        <v>1387</v>
      </c>
      <c r="E4" s="977" t="s">
        <v>1388</v>
      </c>
      <c r="F4" s="977" t="s">
        <v>1389</v>
      </c>
      <c r="G4" s="977" t="s">
        <v>1390</v>
      </c>
    </row>
    <row r="5" spans="4:7" x14ac:dyDescent="0.3">
      <c r="D5" s="979">
        <v>43191</v>
      </c>
      <c r="E5" s="979">
        <f>+D6-1</f>
        <v>43220</v>
      </c>
      <c r="F5" s="1224">
        <v>8.1500000000000003E-2</v>
      </c>
      <c r="G5" s="980">
        <f t="shared" ref="G5:G17" si="0">+E5-D5+1</f>
        <v>30</v>
      </c>
    </row>
    <row r="6" spans="4:7" x14ac:dyDescent="0.3">
      <c r="D6" s="979">
        <f>EDATE(D5,1)</f>
        <v>43221</v>
      </c>
      <c r="E6" s="979">
        <f t="shared" ref="E6:E16" si="1">+D7-1</f>
        <v>43251</v>
      </c>
      <c r="F6" s="1224">
        <v>8.1500000000000003E-2</v>
      </c>
      <c r="G6" s="980">
        <f t="shared" si="0"/>
        <v>31</v>
      </c>
    </row>
    <row r="7" spans="4:7" x14ac:dyDescent="0.3">
      <c r="D7" s="979">
        <f>EDATE(D6,1)</f>
        <v>43252</v>
      </c>
      <c r="E7" s="979">
        <f t="shared" si="1"/>
        <v>43281</v>
      </c>
      <c r="F7" s="1224">
        <v>8.2500000000000004E-2</v>
      </c>
      <c r="G7" s="980">
        <f t="shared" si="0"/>
        <v>30</v>
      </c>
    </row>
    <row r="8" spans="4:7" x14ac:dyDescent="0.3">
      <c r="D8" s="979">
        <f t="shared" ref="D8:D17" si="2">EDATE(D7,1)</f>
        <v>43282</v>
      </c>
      <c r="E8" s="979">
        <f t="shared" si="1"/>
        <v>43312</v>
      </c>
      <c r="F8" s="1224">
        <v>8.2500000000000004E-2</v>
      </c>
      <c r="G8" s="980">
        <f t="shared" si="0"/>
        <v>31</v>
      </c>
    </row>
    <row r="9" spans="4:7" x14ac:dyDescent="0.3">
      <c r="D9" s="979">
        <f t="shared" si="2"/>
        <v>43313</v>
      </c>
      <c r="E9" s="979">
        <f t="shared" si="1"/>
        <v>43343</v>
      </c>
      <c r="F9" s="1224">
        <v>8.2500000000000004E-2</v>
      </c>
      <c r="G9" s="980">
        <f t="shared" si="0"/>
        <v>31</v>
      </c>
    </row>
    <row r="10" spans="4:7" x14ac:dyDescent="0.3">
      <c r="D10" s="979">
        <f t="shared" si="2"/>
        <v>43344</v>
      </c>
      <c r="E10" s="979">
        <f t="shared" si="1"/>
        <v>43373</v>
      </c>
      <c r="F10" s="1224">
        <v>8.4500000000000006E-2</v>
      </c>
      <c r="G10" s="980">
        <f t="shared" si="0"/>
        <v>30</v>
      </c>
    </row>
    <row r="11" spans="4:7" x14ac:dyDescent="0.3">
      <c r="D11" s="979">
        <v>43374</v>
      </c>
      <c r="E11" s="979">
        <f t="shared" si="1"/>
        <v>43404</v>
      </c>
      <c r="F11" s="1224">
        <v>8.5000000000000006E-2</v>
      </c>
      <c r="G11" s="980">
        <f t="shared" si="0"/>
        <v>31</v>
      </c>
    </row>
    <row r="12" spans="4:7" x14ac:dyDescent="0.3">
      <c r="D12" s="979">
        <f t="shared" si="2"/>
        <v>43405</v>
      </c>
      <c r="E12" s="979">
        <v>43443</v>
      </c>
      <c r="F12" s="1224">
        <v>8.5000000000000006E-2</v>
      </c>
      <c r="G12" s="980">
        <f t="shared" si="0"/>
        <v>39</v>
      </c>
    </row>
    <row r="13" spans="4:7" x14ac:dyDescent="0.3">
      <c r="D13" s="979">
        <f>+E12+1</f>
        <v>43444</v>
      </c>
      <c r="E13" s="979">
        <f t="shared" si="1"/>
        <v>43474</v>
      </c>
      <c r="F13" s="1224">
        <v>8.5500000000000007E-2</v>
      </c>
      <c r="G13" s="980">
        <f t="shared" si="0"/>
        <v>31</v>
      </c>
    </row>
    <row r="14" spans="4:7" x14ac:dyDescent="0.3">
      <c r="D14" s="979">
        <f t="shared" si="2"/>
        <v>43475</v>
      </c>
      <c r="E14" s="979">
        <f t="shared" si="1"/>
        <v>43505</v>
      </c>
      <c r="F14" s="1224">
        <v>8.5500000000000007E-2</v>
      </c>
      <c r="G14" s="980">
        <f t="shared" si="0"/>
        <v>31</v>
      </c>
    </row>
    <row r="15" spans="4:7" x14ac:dyDescent="0.3">
      <c r="D15" s="979">
        <f t="shared" si="2"/>
        <v>43506</v>
      </c>
      <c r="E15" s="979">
        <f t="shared" si="1"/>
        <v>43533</v>
      </c>
      <c r="F15" s="1224">
        <v>8.5500000000000007E-2</v>
      </c>
      <c r="G15" s="980">
        <f t="shared" si="0"/>
        <v>28</v>
      </c>
    </row>
    <row r="16" spans="4:7" x14ac:dyDescent="0.3">
      <c r="D16" s="979">
        <f t="shared" si="2"/>
        <v>43534</v>
      </c>
      <c r="E16" s="979">
        <f t="shared" si="1"/>
        <v>43564</v>
      </c>
      <c r="F16" s="1224">
        <v>8.5500000000000007E-2</v>
      </c>
      <c r="G16" s="980">
        <f t="shared" si="0"/>
        <v>31</v>
      </c>
    </row>
    <row r="17" spans="4:7" x14ac:dyDescent="0.3">
      <c r="D17" s="979">
        <f t="shared" si="2"/>
        <v>43565</v>
      </c>
      <c r="E17" s="979">
        <v>43555</v>
      </c>
      <c r="F17" s="1224">
        <v>8.5500000000000007E-2</v>
      </c>
      <c r="G17" s="980">
        <f t="shared" si="0"/>
        <v>-9</v>
      </c>
    </row>
    <row r="18" spans="4:7" x14ac:dyDescent="0.3">
      <c r="D18" s="981" t="s">
        <v>164</v>
      </c>
      <c r="E18" s="981"/>
      <c r="F18" s="1225">
        <f>+SUMPRODUCT(F5:F17,G5:G17)/G18</f>
        <v>8.3897260273972624E-2</v>
      </c>
      <c r="G18" s="982">
        <f>SUM(G5:G17)</f>
        <v>365</v>
      </c>
    </row>
    <row r="19" spans="4:7" x14ac:dyDescent="0.3">
      <c r="D19" s="979">
        <v>43556</v>
      </c>
      <c r="E19" s="979">
        <f>+D20-1</f>
        <v>43564</v>
      </c>
      <c r="F19" s="1224">
        <v>8.5500000000000007E-2</v>
      </c>
      <c r="G19" s="980">
        <f>+E19-D19+1</f>
        <v>9</v>
      </c>
    </row>
    <row r="20" spans="4:7" x14ac:dyDescent="0.3">
      <c r="D20" s="979">
        <v>43565</v>
      </c>
      <c r="E20" s="979">
        <f t="shared" ref="E20:E30" si="3">+D21-1</f>
        <v>43594</v>
      </c>
      <c r="F20" s="1224">
        <v>8.5000000000000006E-2</v>
      </c>
      <c r="G20" s="980">
        <f t="shared" ref="G20:G31" si="4">+E20-D20+1</f>
        <v>30</v>
      </c>
    </row>
    <row r="21" spans="4:7" x14ac:dyDescent="0.3">
      <c r="D21" s="979">
        <v>43595</v>
      </c>
      <c r="E21" s="979">
        <f t="shared" si="3"/>
        <v>43625</v>
      </c>
      <c r="F21" s="1224">
        <v>8.4500000000000006E-2</v>
      </c>
      <c r="G21" s="980">
        <f t="shared" si="4"/>
        <v>31</v>
      </c>
    </row>
    <row r="22" spans="4:7" x14ac:dyDescent="0.3">
      <c r="D22" s="979">
        <v>43626</v>
      </c>
      <c r="E22" s="979">
        <f t="shared" si="3"/>
        <v>43655</v>
      </c>
      <c r="F22" s="1224">
        <v>8.4500000000000006E-2</v>
      </c>
      <c r="G22" s="980">
        <f t="shared" si="4"/>
        <v>30</v>
      </c>
    </row>
    <row r="23" spans="4:7" x14ac:dyDescent="0.3">
      <c r="D23" s="979">
        <v>43656</v>
      </c>
      <c r="E23" s="979">
        <f t="shared" si="3"/>
        <v>43686</v>
      </c>
      <c r="F23" s="1224">
        <v>8.4000000000000005E-2</v>
      </c>
      <c r="G23" s="980">
        <f t="shared" si="4"/>
        <v>31</v>
      </c>
    </row>
    <row r="24" spans="4:7" x14ac:dyDescent="0.3">
      <c r="D24" s="979">
        <v>43687</v>
      </c>
      <c r="E24" s="979">
        <f t="shared" si="3"/>
        <v>43717</v>
      </c>
      <c r="F24" s="1224">
        <v>8.2500000000000004E-2</v>
      </c>
      <c r="G24" s="980">
        <f t="shared" si="4"/>
        <v>31</v>
      </c>
    </row>
    <row r="25" spans="4:7" x14ac:dyDescent="0.3">
      <c r="D25" s="979">
        <v>43718</v>
      </c>
      <c r="E25" s="979">
        <f t="shared" si="3"/>
        <v>43747</v>
      </c>
      <c r="F25" s="1224">
        <v>8.1500000000000003E-2</v>
      </c>
      <c r="G25" s="980">
        <f t="shared" si="4"/>
        <v>30</v>
      </c>
    </row>
    <row r="26" spans="4:7" x14ac:dyDescent="0.3">
      <c r="D26" s="979">
        <v>43748</v>
      </c>
      <c r="E26" s="979">
        <f t="shared" si="3"/>
        <v>43778</v>
      </c>
      <c r="F26" s="1224">
        <v>8.0500000000000002E-2</v>
      </c>
      <c r="G26" s="980">
        <f t="shared" si="4"/>
        <v>31</v>
      </c>
    </row>
    <row r="27" spans="4:7" x14ac:dyDescent="0.3">
      <c r="D27" s="979">
        <v>43779</v>
      </c>
      <c r="E27" s="979">
        <f t="shared" si="3"/>
        <v>43808</v>
      </c>
      <c r="F27" s="1224">
        <v>0.08</v>
      </c>
      <c r="G27" s="980">
        <f t="shared" si="4"/>
        <v>30</v>
      </c>
    </row>
    <row r="28" spans="4:7" x14ac:dyDescent="0.3">
      <c r="D28" s="979">
        <v>43809</v>
      </c>
      <c r="E28" s="979">
        <f t="shared" si="3"/>
        <v>43839</v>
      </c>
      <c r="F28" s="1224">
        <v>7.9000000000000001E-2</v>
      </c>
      <c r="G28" s="980">
        <f t="shared" si="4"/>
        <v>31</v>
      </c>
    </row>
    <row r="29" spans="4:7" x14ac:dyDescent="0.3">
      <c r="D29" s="979">
        <v>43840</v>
      </c>
      <c r="E29" s="979">
        <f t="shared" si="3"/>
        <v>43870</v>
      </c>
      <c r="F29" s="1224">
        <v>7.9000000000000001E-2</v>
      </c>
      <c r="G29" s="980">
        <f t="shared" si="4"/>
        <v>31</v>
      </c>
    </row>
    <row r="30" spans="4:7" x14ac:dyDescent="0.3">
      <c r="D30" s="979">
        <v>43871</v>
      </c>
      <c r="E30" s="979">
        <f t="shared" si="3"/>
        <v>43899</v>
      </c>
      <c r="F30" s="1224">
        <v>7.85E-2</v>
      </c>
      <c r="G30" s="980">
        <f t="shared" si="4"/>
        <v>29</v>
      </c>
    </row>
    <row r="31" spans="4:7" x14ac:dyDescent="0.3">
      <c r="D31" s="979">
        <v>43900</v>
      </c>
      <c r="E31" s="979">
        <v>43921</v>
      </c>
      <c r="F31" s="1224">
        <v>7.7499999999999999E-2</v>
      </c>
      <c r="G31" s="980">
        <f t="shared" si="4"/>
        <v>22</v>
      </c>
    </row>
    <row r="32" spans="4:7" x14ac:dyDescent="0.3">
      <c r="D32" s="981" t="s">
        <v>164</v>
      </c>
      <c r="E32" s="981"/>
      <c r="F32" s="1225">
        <f>+SUMPRODUCT(F19:F31,G19:G31)/G32</f>
        <v>8.1572404371584681E-2</v>
      </c>
      <c r="G32" s="982">
        <f>SUM(G19:G31)</f>
        <v>366</v>
      </c>
    </row>
    <row r="33" spans="4:7" x14ac:dyDescent="0.3">
      <c r="D33" s="983">
        <f>E31+1</f>
        <v>43922</v>
      </c>
      <c r="E33" s="983">
        <f>D34-1</f>
        <v>43930</v>
      </c>
      <c r="F33" s="1226">
        <v>7.7499999999999999E-2</v>
      </c>
      <c r="G33" s="984">
        <f t="shared" ref="G33:G45" si="5">+E33-D33+1</f>
        <v>9</v>
      </c>
    </row>
    <row r="34" spans="4:7" x14ac:dyDescent="0.3">
      <c r="D34" s="983">
        <v>43931</v>
      </c>
      <c r="E34" s="983">
        <f t="shared" ref="E34:E44" si="6">D35-1</f>
        <v>43960</v>
      </c>
      <c r="F34" s="1226">
        <v>7.3999999999999996E-2</v>
      </c>
      <c r="G34" s="984">
        <f t="shared" si="5"/>
        <v>30</v>
      </c>
    </row>
    <row r="35" spans="4:7" x14ac:dyDescent="0.3">
      <c r="D35" s="983">
        <v>43961</v>
      </c>
      <c r="E35" s="983">
        <f t="shared" si="6"/>
        <v>43991</v>
      </c>
      <c r="F35" s="1226">
        <v>7.2499999999999995E-2</v>
      </c>
      <c r="G35" s="984">
        <f t="shared" si="5"/>
        <v>31</v>
      </c>
    </row>
    <row r="36" spans="4:7" x14ac:dyDescent="0.3">
      <c r="D36" s="983">
        <v>43992</v>
      </c>
      <c r="E36" s="983">
        <f t="shared" si="6"/>
        <v>44021</v>
      </c>
      <c r="F36" s="1226">
        <v>7.0000000000000007E-2</v>
      </c>
      <c r="G36" s="984">
        <f t="shared" si="5"/>
        <v>30</v>
      </c>
    </row>
    <row r="37" spans="4:7" x14ac:dyDescent="0.3">
      <c r="D37" s="983">
        <v>44022</v>
      </c>
      <c r="E37" s="983">
        <f t="shared" si="6"/>
        <v>44052</v>
      </c>
      <c r="F37" s="1226">
        <v>7.0000000000000007E-2</v>
      </c>
      <c r="G37" s="984">
        <f t="shared" si="5"/>
        <v>31</v>
      </c>
    </row>
    <row r="38" spans="4:7" x14ac:dyDescent="0.3">
      <c r="D38" s="983">
        <v>44053</v>
      </c>
      <c r="E38" s="983">
        <f t="shared" si="6"/>
        <v>44083</v>
      </c>
      <c r="F38" s="1226">
        <v>7.0000000000000007E-2</v>
      </c>
      <c r="G38" s="984">
        <f t="shared" si="5"/>
        <v>31</v>
      </c>
    </row>
    <row r="39" spans="4:7" x14ac:dyDescent="0.3">
      <c r="D39" s="983">
        <v>44084</v>
      </c>
      <c r="E39" s="983">
        <f t="shared" si="6"/>
        <v>44113</v>
      </c>
      <c r="F39" s="1226">
        <v>7.0000000000000007E-2</v>
      </c>
      <c r="G39" s="984">
        <f t="shared" si="5"/>
        <v>30</v>
      </c>
    </row>
    <row r="40" spans="4:7" x14ac:dyDescent="0.3">
      <c r="D40" s="983">
        <v>44114</v>
      </c>
      <c r="E40" s="983">
        <f t="shared" si="6"/>
        <v>44144</v>
      </c>
      <c r="F40" s="1226">
        <v>7.0000000000000007E-2</v>
      </c>
      <c r="G40" s="984">
        <f t="shared" si="5"/>
        <v>31</v>
      </c>
    </row>
    <row r="41" spans="4:7" x14ac:dyDescent="0.3">
      <c r="D41" s="983">
        <v>44145</v>
      </c>
      <c r="E41" s="983">
        <f t="shared" si="6"/>
        <v>44174</v>
      </c>
      <c r="F41" s="1226">
        <v>7.0000000000000007E-2</v>
      </c>
      <c r="G41" s="984">
        <f t="shared" si="5"/>
        <v>30</v>
      </c>
    </row>
    <row r="42" spans="4:7" x14ac:dyDescent="0.3">
      <c r="D42" s="983">
        <v>44175</v>
      </c>
      <c r="E42" s="983">
        <f t="shared" si="6"/>
        <v>44205</v>
      </c>
      <c r="F42" s="1226">
        <v>7.0000000000000007E-2</v>
      </c>
      <c r="G42" s="984">
        <f t="shared" si="5"/>
        <v>31</v>
      </c>
    </row>
    <row r="43" spans="4:7" x14ac:dyDescent="0.3">
      <c r="D43" s="983">
        <v>44206</v>
      </c>
      <c r="E43" s="983">
        <f t="shared" si="6"/>
        <v>44236</v>
      </c>
      <c r="F43" s="1226">
        <v>7.0000000000000007E-2</v>
      </c>
      <c r="G43" s="984">
        <f t="shared" si="5"/>
        <v>31</v>
      </c>
    </row>
    <row r="44" spans="4:7" x14ac:dyDescent="0.3">
      <c r="D44" s="983">
        <v>44237</v>
      </c>
      <c r="E44" s="983">
        <f t="shared" si="6"/>
        <v>44264</v>
      </c>
      <c r="F44" s="1226">
        <v>7.0000000000000007E-2</v>
      </c>
      <c r="G44" s="984">
        <f t="shared" si="5"/>
        <v>28</v>
      </c>
    </row>
    <row r="45" spans="4:7" x14ac:dyDescent="0.3">
      <c r="D45" s="983">
        <v>44265</v>
      </c>
      <c r="E45" s="983">
        <v>44286</v>
      </c>
      <c r="F45" s="1226">
        <v>7.0000000000000007E-2</v>
      </c>
      <c r="G45" s="984">
        <f t="shared" si="5"/>
        <v>22</v>
      </c>
    </row>
    <row r="46" spans="4:7" x14ac:dyDescent="0.3">
      <c r="D46" s="985" t="s">
        <v>164</v>
      </c>
      <c r="E46" s="985"/>
      <c r="F46" s="1227">
        <f>+SUMPRODUCT(F33:F45,G33:G45)/G46</f>
        <v>7.0726027397260277E-2</v>
      </c>
      <c r="G46" s="986">
        <f>SUM(G33:G45)</f>
        <v>365</v>
      </c>
    </row>
    <row r="47" spans="4:7" x14ac:dyDescent="0.3">
      <c r="D47" s="983">
        <f>E45+1</f>
        <v>44287</v>
      </c>
      <c r="E47" s="983">
        <f>D48-1</f>
        <v>44295</v>
      </c>
      <c r="F47" s="1226">
        <f>F45</f>
        <v>7.0000000000000007E-2</v>
      </c>
      <c r="G47" s="984">
        <f t="shared" ref="G47:G60" si="7">+E47-D47+1</f>
        <v>9</v>
      </c>
    </row>
    <row r="48" spans="4:7" x14ac:dyDescent="0.3">
      <c r="D48" s="983">
        <v>44296</v>
      </c>
      <c r="E48" s="983">
        <f t="shared" ref="E48:E59" si="8">D49-1</f>
        <v>44300</v>
      </c>
      <c r="F48" s="1226">
        <v>7.0000000000000007E-2</v>
      </c>
      <c r="G48" s="984">
        <f t="shared" si="7"/>
        <v>5</v>
      </c>
    </row>
    <row r="49" spans="4:7" x14ac:dyDescent="0.3">
      <c r="D49" s="983">
        <v>44301</v>
      </c>
      <c r="E49" s="983">
        <f t="shared" si="8"/>
        <v>44330</v>
      </c>
      <c r="F49" s="1226">
        <v>7.0000000000000007E-2</v>
      </c>
      <c r="G49" s="984">
        <f t="shared" si="7"/>
        <v>30</v>
      </c>
    </row>
    <row r="50" spans="4:7" x14ac:dyDescent="0.3">
      <c r="D50" s="983">
        <f>EDATE(D49,1)</f>
        <v>44331</v>
      </c>
      <c r="E50" s="983">
        <f t="shared" si="8"/>
        <v>44361</v>
      </c>
      <c r="F50" s="1226">
        <v>7.0000000000000007E-2</v>
      </c>
      <c r="G50" s="984">
        <f t="shared" si="7"/>
        <v>31</v>
      </c>
    </row>
    <row r="51" spans="4:7" x14ac:dyDescent="0.3">
      <c r="D51" s="983">
        <f t="shared" ref="D51:D60" si="9">EDATE(D50,1)</f>
        <v>44362</v>
      </c>
      <c r="E51" s="983">
        <f t="shared" si="8"/>
        <v>44391</v>
      </c>
      <c r="F51" s="1226">
        <v>7.0000000000000007E-2</v>
      </c>
      <c r="G51" s="984">
        <f t="shared" si="7"/>
        <v>30</v>
      </c>
    </row>
    <row r="52" spans="4:7" x14ac:dyDescent="0.3">
      <c r="D52" s="983">
        <f t="shared" si="9"/>
        <v>44392</v>
      </c>
      <c r="E52" s="983">
        <f t="shared" si="8"/>
        <v>44422</v>
      </c>
      <c r="F52" s="1226">
        <v>7.0000000000000007E-2</v>
      </c>
      <c r="G52" s="984">
        <f t="shared" si="7"/>
        <v>31</v>
      </c>
    </row>
    <row r="53" spans="4:7" x14ac:dyDescent="0.3">
      <c r="D53" s="983">
        <f t="shared" si="9"/>
        <v>44423</v>
      </c>
      <c r="E53" s="983">
        <f t="shared" si="8"/>
        <v>44453</v>
      </c>
      <c r="F53" s="1226">
        <v>7.0000000000000007E-2</v>
      </c>
      <c r="G53" s="984">
        <f t="shared" si="7"/>
        <v>31</v>
      </c>
    </row>
    <row r="54" spans="4:7" x14ac:dyDescent="0.3">
      <c r="D54" s="983">
        <f t="shared" si="9"/>
        <v>44454</v>
      </c>
      <c r="E54" s="983">
        <f t="shared" si="8"/>
        <v>44483</v>
      </c>
      <c r="F54" s="1226">
        <v>7.0000000000000007E-2</v>
      </c>
      <c r="G54" s="984">
        <f t="shared" si="7"/>
        <v>30</v>
      </c>
    </row>
    <row r="55" spans="4:7" x14ac:dyDescent="0.3">
      <c r="D55" s="983">
        <f t="shared" si="9"/>
        <v>44484</v>
      </c>
      <c r="E55" s="983">
        <f t="shared" si="8"/>
        <v>44514</v>
      </c>
      <c r="F55" s="1226">
        <v>7.0000000000000007E-2</v>
      </c>
      <c r="G55" s="984">
        <f t="shared" si="7"/>
        <v>31</v>
      </c>
    </row>
    <row r="56" spans="4:7" x14ac:dyDescent="0.3">
      <c r="D56" s="983">
        <f t="shared" si="9"/>
        <v>44515</v>
      </c>
      <c r="E56" s="983">
        <f t="shared" si="8"/>
        <v>44544</v>
      </c>
      <c r="F56" s="1226">
        <v>7.0000000000000007E-2</v>
      </c>
      <c r="G56" s="984">
        <f t="shared" si="7"/>
        <v>30</v>
      </c>
    </row>
    <row r="57" spans="4:7" x14ac:dyDescent="0.3">
      <c r="D57" s="983">
        <f t="shared" si="9"/>
        <v>44545</v>
      </c>
      <c r="E57" s="983">
        <f t="shared" si="8"/>
        <v>44575</v>
      </c>
      <c r="F57" s="1226">
        <v>7.0000000000000007E-2</v>
      </c>
      <c r="G57" s="984">
        <f t="shared" si="7"/>
        <v>31</v>
      </c>
    </row>
    <row r="58" spans="4:7" x14ac:dyDescent="0.3">
      <c r="D58" s="983">
        <f t="shared" si="9"/>
        <v>44576</v>
      </c>
      <c r="E58" s="983">
        <f t="shared" si="8"/>
        <v>44606</v>
      </c>
      <c r="F58" s="1226">
        <v>7.0000000000000007E-2</v>
      </c>
      <c r="G58" s="984">
        <f t="shared" si="7"/>
        <v>31</v>
      </c>
    </row>
    <row r="59" spans="4:7" x14ac:dyDescent="0.3">
      <c r="D59" s="983">
        <f t="shared" si="9"/>
        <v>44607</v>
      </c>
      <c r="E59" s="983">
        <f t="shared" si="8"/>
        <v>44634</v>
      </c>
      <c r="F59" s="1226">
        <v>7.0000000000000007E-2</v>
      </c>
      <c r="G59" s="984">
        <f t="shared" si="7"/>
        <v>28</v>
      </c>
    </row>
    <row r="60" spans="4:7" x14ac:dyDescent="0.3">
      <c r="D60" s="983">
        <f t="shared" si="9"/>
        <v>44635</v>
      </c>
      <c r="E60" s="983">
        <v>44651</v>
      </c>
      <c r="F60" s="1226">
        <v>7.0000000000000007E-2</v>
      </c>
      <c r="G60" s="984">
        <f t="shared" si="7"/>
        <v>17</v>
      </c>
    </row>
    <row r="61" spans="4:7" x14ac:dyDescent="0.3">
      <c r="D61" s="985" t="s">
        <v>164</v>
      </c>
      <c r="E61" s="985"/>
      <c r="F61" s="1227">
        <f>+SUMPRODUCT(F47:F60,G47:G60)/G61</f>
        <v>7.0000000000000007E-2</v>
      </c>
      <c r="G61" s="986">
        <f>SUM(G47:G60)</f>
        <v>365</v>
      </c>
    </row>
    <row r="62" spans="4:7" x14ac:dyDescent="0.3">
      <c r="D62" s="983">
        <f>E60+1</f>
        <v>44652</v>
      </c>
      <c r="E62" s="983">
        <f>D63-1</f>
        <v>44665</v>
      </c>
      <c r="F62" s="1226">
        <f>F60</f>
        <v>7.0000000000000007E-2</v>
      </c>
      <c r="G62" s="984">
        <f t="shared" ref="G62:G74" si="10">+E62-D62+1</f>
        <v>14</v>
      </c>
    </row>
    <row r="63" spans="4:7" x14ac:dyDescent="0.3">
      <c r="D63" s="983">
        <v>44666</v>
      </c>
      <c r="E63" s="983">
        <f t="shared" ref="E63:E73" si="11">D64-1</f>
        <v>44695</v>
      </c>
      <c r="F63" s="1226">
        <v>7.0999999999999994E-2</v>
      </c>
      <c r="G63" s="984">
        <f t="shared" si="10"/>
        <v>30</v>
      </c>
    </row>
    <row r="64" spans="4:7" x14ac:dyDescent="0.3">
      <c r="D64" s="983">
        <f>EDATE(D63,1)</f>
        <v>44696</v>
      </c>
      <c r="E64" s="983">
        <f t="shared" si="11"/>
        <v>44726</v>
      </c>
      <c r="F64" s="1226">
        <v>7.1999999999999995E-2</v>
      </c>
      <c r="G64" s="984">
        <f t="shared" si="10"/>
        <v>31</v>
      </c>
    </row>
    <row r="65" spans="4:7" x14ac:dyDescent="0.3">
      <c r="D65" s="983">
        <f t="shared" ref="D65:D74" si="12">EDATE(D64,1)</f>
        <v>44727</v>
      </c>
      <c r="E65" s="983">
        <f t="shared" si="11"/>
        <v>44756</v>
      </c>
      <c r="F65" s="1226">
        <v>7.3999999999999996E-2</v>
      </c>
      <c r="G65" s="984">
        <f t="shared" si="10"/>
        <v>30</v>
      </c>
    </row>
    <row r="66" spans="4:7" x14ac:dyDescent="0.3">
      <c r="D66" s="983">
        <f t="shared" si="12"/>
        <v>44757</v>
      </c>
      <c r="E66" s="983">
        <f t="shared" si="11"/>
        <v>44787</v>
      </c>
      <c r="F66" s="1226">
        <v>7.4999999999999997E-2</v>
      </c>
      <c r="G66" s="984">
        <f t="shared" si="10"/>
        <v>31</v>
      </c>
    </row>
    <row r="67" spans="4:7" x14ac:dyDescent="0.3">
      <c r="D67" s="983">
        <f t="shared" si="12"/>
        <v>44788</v>
      </c>
      <c r="E67" s="983">
        <f t="shared" si="11"/>
        <v>44818</v>
      </c>
      <c r="F67" s="1226">
        <v>7.6999999999999999E-2</v>
      </c>
      <c r="G67" s="984">
        <f t="shared" si="10"/>
        <v>31</v>
      </c>
    </row>
    <row r="68" spans="4:7" x14ac:dyDescent="0.3">
      <c r="D68" s="983">
        <f t="shared" si="12"/>
        <v>44819</v>
      </c>
      <c r="E68" s="983">
        <f t="shared" si="11"/>
        <v>44848</v>
      </c>
      <c r="F68" s="1226">
        <v>7.6999999999999999E-2</v>
      </c>
      <c r="G68" s="984">
        <f t="shared" si="10"/>
        <v>30</v>
      </c>
    </row>
    <row r="69" spans="4:7" x14ac:dyDescent="0.3">
      <c r="D69" s="983">
        <f t="shared" si="12"/>
        <v>44849</v>
      </c>
      <c r="E69" s="983">
        <f t="shared" si="11"/>
        <v>44879</v>
      </c>
      <c r="F69" s="1226">
        <v>7.9500000000000001E-2</v>
      </c>
      <c r="G69" s="984">
        <f t="shared" si="10"/>
        <v>31</v>
      </c>
    </row>
    <row r="70" spans="4:7" x14ac:dyDescent="0.3">
      <c r="D70" s="983">
        <f t="shared" si="12"/>
        <v>44880</v>
      </c>
      <c r="E70" s="983">
        <f t="shared" si="11"/>
        <v>44909</v>
      </c>
      <c r="F70" s="1226">
        <v>8.0500000000000002E-2</v>
      </c>
      <c r="G70" s="984">
        <f t="shared" si="10"/>
        <v>30</v>
      </c>
    </row>
    <row r="71" spans="4:7" x14ac:dyDescent="0.3">
      <c r="D71" s="983">
        <f t="shared" si="12"/>
        <v>44910</v>
      </c>
      <c r="E71" s="983">
        <f t="shared" si="11"/>
        <v>44940</v>
      </c>
      <c r="F71" s="1226">
        <v>8.3000000000000004E-2</v>
      </c>
      <c r="G71" s="984">
        <f t="shared" si="10"/>
        <v>31</v>
      </c>
    </row>
    <row r="72" spans="4:7" x14ac:dyDescent="0.3">
      <c r="D72" s="983">
        <f t="shared" si="12"/>
        <v>44941</v>
      </c>
      <c r="E72" s="983">
        <f t="shared" si="11"/>
        <v>44971</v>
      </c>
      <c r="F72" s="1226">
        <v>8.4000000000000005E-2</v>
      </c>
      <c r="G72" s="984">
        <f t="shared" si="10"/>
        <v>31</v>
      </c>
    </row>
    <row r="73" spans="4:7" x14ac:dyDescent="0.3">
      <c r="D73" s="983">
        <f t="shared" si="12"/>
        <v>44972</v>
      </c>
      <c r="E73" s="983">
        <f t="shared" si="11"/>
        <v>44999</v>
      </c>
      <c r="F73" s="1226">
        <v>8.5000000000000006E-2</v>
      </c>
      <c r="G73" s="984">
        <f t="shared" si="10"/>
        <v>28</v>
      </c>
    </row>
    <row r="74" spans="4:7" x14ac:dyDescent="0.3">
      <c r="D74" s="983">
        <f t="shared" si="12"/>
        <v>45000</v>
      </c>
      <c r="E74" s="983">
        <v>45016</v>
      </c>
      <c r="F74" s="1226">
        <v>8.5000000000000006E-2</v>
      </c>
      <c r="G74" s="984">
        <f t="shared" si="10"/>
        <v>17</v>
      </c>
    </row>
    <row r="75" spans="4:7" x14ac:dyDescent="0.3">
      <c r="D75" s="985" t="s">
        <v>164</v>
      </c>
      <c r="E75" s="985"/>
      <c r="F75" s="1227">
        <f>+SUMPRODUCT(F62:F74,G62:G74)/G75</f>
        <v>7.7987671232876712E-2</v>
      </c>
      <c r="G75" s="986">
        <f>SUM(G62:G74)</f>
        <v>365</v>
      </c>
    </row>
    <row r="76" spans="4:7" x14ac:dyDescent="0.3">
      <c r="D76" s="983">
        <f>E74+1</f>
        <v>45017</v>
      </c>
      <c r="E76" s="983">
        <f>D77-1</f>
        <v>45030</v>
      </c>
      <c r="F76" s="1226">
        <f>F74</f>
        <v>8.5000000000000006E-2</v>
      </c>
      <c r="G76" s="984">
        <f t="shared" ref="G76:G88" si="13">+E76-D76+1</f>
        <v>14</v>
      </c>
    </row>
    <row r="77" spans="4:7" x14ac:dyDescent="0.3">
      <c r="D77" s="983">
        <v>45031</v>
      </c>
      <c r="E77" s="983">
        <f t="shared" ref="E77:E87" si="14">D78-1</f>
        <v>45060</v>
      </c>
      <c r="F77" s="1226">
        <v>8.5000000000000006E-2</v>
      </c>
      <c r="G77" s="984">
        <f t="shared" si="13"/>
        <v>30</v>
      </c>
    </row>
    <row r="78" spans="4:7" x14ac:dyDescent="0.3">
      <c r="D78" s="983">
        <f>EDATE(D77,1)</f>
        <v>45061</v>
      </c>
      <c r="E78" s="983">
        <f t="shared" si="14"/>
        <v>45091</v>
      </c>
      <c r="F78" s="1226">
        <v>8.5000000000000006E-2</v>
      </c>
      <c r="G78" s="984">
        <f t="shared" si="13"/>
        <v>31</v>
      </c>
    </row>
    <row r="79" spans="4:7" x14ac:dyDescent="0.3">
      <c r="D79" s="983">
        <f t="shared" ref="D79:D88" si="15">EDATE(D78,1)</f>
        <v>45092</v>
      </c>
      <c r="E79" s="983">
        <f t="shared" si="14"/>
        <v>45121</v>
      </c>
      <c r="F79" s="1226">
        <v>8.5000000000000006E-2</v>
      </c>
      <c r="G79" s="984">
        <f t="shared" si="13"/>
        <v>30</v>
      </c>
    </row>
    <row r="80" spans="4:7" x14ac:dyDescent="0.3">
      <c r="D80" s="983">
        <f t="shared" si="15"/>
        <v>45122</v>
      </c>
      <c r="E80" s="983">
        <f t="shared" si="14"/>
        <v>45152</v>
      </c>
      <c r="F80" s="1226">
        <v>8.5500000000000007E-2</v>
      </c>
      <c r="G80" s="984">
        <f t="shared" si="13"/>
        <v>31</v>
      </c>
    </row>
    <row r="81" spans="4:7" x14ac:dyDescent="0.3">
      <c r="D81" s="983">
        <f t="shared" si="15"/>
        <v>45153</v>
      </c>
      <c r="E81" s="983">
        <f t="shared" si="14"/>
        <v>45183</v>
      </c>
      <c r="F81" s="1226">
        <v>8.5500000000000007E-2</v>
      </c>
      <c r="G81" s="984">
        <f t="shared" si="13"/>
        <v>31</v>
      </c>
    </row>
    <row r="82" spans="4:7" x14ac:dyDescent="0.3">
      <c r="D82" s="983">
        <f t="shared" si="15"/>
        <v>45184</v>
      </c>
      <c r="E82" s="983">
        <f t="shared" si="14"/>
        <v>45213</v>
      </c>
      <c r="F82" s="1226">
        <v>8.5500000000000007E-2</v>
      </c>
      <c r="G82" s="984">
        <f t="shared" si="13"/>
        <v>30</v>
      </c>
    </row>
    <row r="83" spans="4:7" x14ac:dyDescent="0.3">
      <c r="D83" s="983">
        <f t="shared" si="15"/>
        <v>45214</v>
      </c>
      <c r="E83" s="983">
        <f t="shared" si="14"/>
        <v>45244</v>
      </c>
      <c r="F83" s="1226">
        <v>8.5500000000000007E-2</v>
      </c>
      <c r="G83" s="984">
        <f t="shared" si="13"/>
        <v>31</v>
      </c>
    </row>
    <row r="84" spans="4:7" x14ac:dyDescent="0.3">
      <c r="D84" s="983">
        <f t="shared" si="15"/>
        <v>45245</v>
      </c>
      <c r="E84" s="983">
        <f t="shared" si="14"/>
        <v>45274</v>
      </c>
      <c r="F84" s="1226">
        <v>8.5500000000000007E-2</v>
      </c>
      <c r="G84" s="984">
        <f t="shared" si="13"/>
        <v>30</v>
      </c>
    </row>
    <row r="85" spans="4:7" x14ac:dyDescent="0.3">
      <c r="D85" s="983">
        <f t="shared" si="15"/>
        <v>45275</v>
      </c>
      <c r="E85" s="983">
        <f t="shared" si="14"/>
        <v>45305</v>
      </c>
      <c r="F85" s="1226">
        <v>8.5500000000000007E-2</v>
      </c>
      <c r="G85" s="984">
        <f t="shared" si="13"/>
        <v>31</v>
      </c>
    </row>
    <row r="86" spans="4:7" x14ac:dyDescent="0.3">
      <c r="D86" s="983">
        <f t="shared" si="15"/>
        <v>45306</v>
      </c>
      <c r="E86" s="983">
        <f t="shared" si="14"/>
        <v>45336</v>
      </c>
      <c r="F86" s="1226">
        <v>8.5500000000000007E-2</v>
      </c>
      <c r="G86" s="984">
        <f t="shared" si="13"/>
        <v>31</v>
      </c>
    </row>
    <row r="87" spans="4:7" x14ac:dyDescent="0.3">
      <c r="D87" s="983">
        <f t="shared" si="15"/>
        <v>45337</v>
      </c>
      <c r="E87" s="983">
        <f t="shared" si="14"/>
        <v>45365</v>
      </c>
      <c r="F87" s="1226">
        <v>8.5500000000000007E-2</v>
      </c>
      <c r="G87" s="984">
        <f t="shared" si="13"/>
        <v>29</v>
      </c>
    </row>
    <row r="88" spans="4:7" x14ac:dyDescent="0.3">
      <c r="D88" s="983">
        <f t="shared" si="15"/>
        <v>45366</v>
      </c>
      <c r="E88" s="983">
        <v>45382</v>
      </c>
      <c r="F88" s="1226">
        <v>8.5500000000000007E-2</v>
      </c>
      <c r="G88" s="984">
        <f t="shared" si="13"/>
        <v>17</v>
      </c>
    </row>
    <row r="89" spans="4:7" x14ac:dyDescent="0.3">
      <c r="D89" s="985" t="s">
        <v>164</v>
      </c>
      <c r="E89" s="985"/>
      <c r="F89" s="1227">
        <f>+SUMPRODUCT(F76:F88,G76:G88)/G89</f>
        <v>8.5356557377049211E-2</v>
      </c>
      <c r="G89" s="986">
        <f>SUM(G76:G88)</f>
        <v>366</v>
      </c>
    </row>
    <row r="90" spans="4:7" x14ac:dyDescent="0.3">
      <c r="D90" s="983">
        <f>+E88+1</f>
        <v>45383</v>
      </c>
      <c r="E90" s="983">
        <f t="shared" ref="E90:E100" si="16">D91-1</f>
        <v>45396</v>
      </c>
      <c r="F90" s="1226">
        <v>8.5500000000000007E-2</v>
      </c>
      <c r="G90" s="984">
        <f t="shared" ref="G90:G101" si="17">+E90-D90+1</f>
        <v>14</v>
      </c>
    </row>
    <row r="91" spans="4:7" x14ac:dyDescent="0.3">
      <c r="D91" s="983">
        <v>45397</v>
      </c>
      <c r="E91" s="983">
        <f t="shared" si="16"/>
        <v>45426</v>
      </c>
      <c r="F91" s="1226">
        <v>8.5500000000000007E-2</v>
      </c>
      <c r="G91" s="984">
        <f t="shared" si="17"/>
        <v>30</v>
      </c>
    </row>
    <row r="92" spans="4:7" x14ac:dyDescent="0.3">
      <c r="D92" s="983">
        <f t="shared" ref="D92:D101" si="18">EDATE(D91,1)</f>
        <v>45427</v>
      </c>
      <c r="E92" s="983">
        <f t="shared" si="16"/>
        <v>45457</v>
      </c>
      <c r="F92" s="1226">
        <v>8.5500000000000007E-2</v>
      </c>
      <c r="G92" s="984">
        <f t="shared" si="17"/>
        <v>31</v>
      </c>
    </row>
    <row r="93" spans="4:7" x14ac:dyDescent="0.3">
      <c r="D93" s="983">
        <f t="shared" si="18"/>
        <v>45458</v>
      </c>
      <c r="E93" s="983">
        <f t="shared" si="16"/>
        <v>45487</v>
      </c>
      <c r="F93" s="1226">
        <v>8.6499999999999994E-2</v>
      </c>
      <c r="G93" s="984">
        <f t="shared" si="17"/>
        <v>30</v>
      </c>
    </row>
    <row r="94" spans="4:7" x14ac:dyDescent="0.3">
      <c r="D94" s="983">
        <f t="shared" si="18"/>
        <v>45488</v>
      </c>
      <c r="E94" s="983">
        <f t="shared" si="16"/>
        <v>45518</v>
      </c>
      <c r="F94" s="1226">
        <v>8.7499999999999994E-2</v>
      </c>
      <c r="G94" s="984">
        <f t="shared" si="17"/>
        <v>31</v>
      </c>
    </row>
    <row r="95" spans="4:7" x14ac:dyDescent="0.3">
      <c r="D95" s="983">
        <f t="shared" si="18"/>
        <v>45519</v>
      </c>
      <c r="E95" s="983">
        <f t="shared" si="16"/>
        <v>45549</v>
      </c>
      <c r="F95" s="1226">
        <v>8.8499999999999995E-2</v>
      </c>
      <c r="G95" s="984">
        <f t="shared" si="17"/>
        <v>31</v>
      </c>
    </row>
    <row r="96" spans="4:7" x14ac:dyDescent="0.3">
      <c r="D96" s="983">
        <f t="shared" si="18"/>
        <v>45550</v>
      </c>
      <c r="E96" s="983">
        <f t="shared" si="16"/>
        <v>45579</v>
      </c>
      <c r="F96" s="1226">
        <v>8.8499999999999995E-2</v>
      </c>
      <c r="G96" s="984">
        <f t="shared" si="17"/>
        <v>30</v>
      </c>
    </row>
    <row r="97" spans="4:7" x14ac:dyDescent="0.3">
      <c r="D97" s="983">
        <f t="shared" si="18"/>
        <v>45580</v>
      </c>
      <c r="E97" s="983">
        <f t="shared" si="16"/>
        <v>45610</v>
      </c>
      <c r="F97" s="1226">
        <v>8.8499999999999995E-2</v>
      </c>
      <c r="G97" s="984">
        <f t="shared" si="17"/>
        <v>31</v>
      </c>
    </row>
    <row r="98" spans="4:7" x14ac:dyDescent="0.3">
      <c r="D98" s="983">
        <f t="shared" si="18"/>
        <v>45611</v>
      </c>
      <c r="E98" s="983">
        <f t="shared" si="16"/>
        <v>45640</v>
      </c>
      <c r="F98" s="1226">
        <v>8.8999999999999996E-2</v>
      </c>
      <c r="G98" s="984">
        <f t="shared" si="17"/>
        <v>30</v>
      </c>
    </row>
    <row r="99" spans="4:7" x14ac:dyDescent="0.3">
      <c r="D99" s="983">
        <f t="shared" si="18"/>
        <v>45641</v>
      </c>
      <c r="E99" s="983">
        <f t="shared" si="16"/>
        <v>45671</v>
      </c>
      <c r="F99" s="1226">
        <v>8.8999999999999996E-2</v>
      </c>
      <c r="G99" s="984">
        <f t="shared" si="17"/>
        <v>31</v>
      </c>
    </row>
    <row r="100" spans="4:7" x14ac:dyDescent="0.3">
      <c r="D100" s="983">
        <f t="shared" si="18"/>
        <v>45672</v>
      </c>
      <c r="E100" s="983">
        <f t="shared" si="16"/>
        <v>45702</v>
      </c>
      <c r="F100" s="1226">
        <v>8.8999999999999996E-2</v>
      </c>
      <c r="G100" s="984">
        <f t="shared" si="17"/>
        <v>31</v>
      </c>
    </row>
    <row r="101" spans="4:7" x14ac:dyDescent="0.3">
      <c r="D101" s="983">
        <f t="shared" si="18"/>
        <v>45703</v>
      </c>
      <c r="E101" s="983">
        <v>45747</v>
      </c>
      <c r="F101" s="1226">
        <v>8.8999999999999996E-2</v>
      </c>
      <c r="G101" s="984">
        <f t="shared" si="17"/>
        <v>45</v>
      </c>
    </row>
    <row r="102" spans="4:7" x14ac:dyDescent="0.3">
      <c r="D102" s="985" t="s">
        <v>164</v>
      </c>
      <c r="E102" s="985"/>
      <c r="F102" s="1227">
        <f>+SUMPRODUCT(F90:F101,G90:G101)/G102</f>
        <v>8.7821917808219199E-2</v>
      </c>
      <c r="G102" s="986">
        <f>SUM(G90:G101)</f>
        <v>365</v>
      </c>
    </row>
  </sheetData>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Q70"/>
  <sheetViews>
    <sheetView showGridLines="0" view="pageBreakPreview" topLeftCell="B1" zoomScale="60" workbookViewId="0">
      <selection activeCell="K29" activeCellId="1" sqref="K16 K29"/>
    </sheetView>
  </sheetViews>
  <sheetFormatPr defaultColWidth="9.33203125" defaultRowHeight="13.9" x14ac:dyDescent="0.4"/>
  <cols>
    <col min="1" max="1" width="4.33203125" style="1" customWidth="1"/>
    <col min="2" max="2" width="6.33203125" style="1" customWidth="1"/>
    <col min="3" max="3" width="40.53125" style="1" bestFit="1" customWidth="1"/>
    <col min="4" max="9" width="17.53125" style="1" customWidth="1"/>
    <col min="10" max="11" width="15.6640625" style="1" customWidth="1"/>
    <col min="12" max="12" width="19.33203125" style="1" customWidth="1"/>
    <col min="13" max="13" width="15.6640625" style="1" customWidth="1"/>
    <col min="14" max="16" width="18.6640625" style="1" customWidth="1"/>
    <col min="17" max="17" width="14.53125" style="1" customWidth="1"/>
    <col min="18" max="16384" width="9.33203125" style="1"/>
  </cols>
  <sheetData>
    <row r="1" spans="2:17" x14ac:dyDescent="0.4">
      <c r="B1" s="32"/>
    </row>
    <row r="2" spans="2:17" x14ac:dyDescent="0.4">
      <c r="B2" s="1875" t="str">
        <f>Index!B2</f>
        <v>Nidar Utilities Panvel LLP</v>
      </c>
      <c r="C2" s="1899"/>
      <c r="D2" s="1899"/>
      <c r="E2" s="1899"/>
      <c r="F2" s="1899"/>
      <c r="G2" s="1899"/>
      <c r="H2" s="1899"/>
      <c r="I2" s="1899"/>
      <c r="J2" s="1899"/>
      <c r="K2" s="1899"/>
      <c r="L2" s="1899"/>
      <c r="M2" s="1899"/>
      <c r="N2" s="1899"/>
      <c r="O2" s="1899"/>
      <c r="P2" s="1899"/>
    </row>
    <row r="3" spans="2:17" x14ac:dyDescent="0.4">
      <c r="B3" s="1875" t="s">
        <v>329</v>
      </c>
      <c r="C3" s="1875"/>
      <c r="D3" s="1875"/>
      <c r="E3" s="1875"/>
      <c r="F3" s="1875"/>
      <c r="G3" s="1875"/>
      <c r="H3" s="1875"/>
      <c r="I3" s="1875"/>
      <c r="J3" s="1875"/>
      <c r="K3" s="1875"/>
      <c r="L3" s="1875"/>
      <c r="M3" s="1875"/>
      <c r="N3" s="1875"/>
      <c r="O3" s="1875"/>
      <c r="P3" s="1875"/>
    </row>
    <row r="4" spans="2:17" x14ac:dyDescent="0.4">
      <c r="B4" s="1875" t="s">
        <v>330</v>
      </c>
      <c r="C4" s="1899"/>
      <c r="D4" s="1899"/>
      <c r="E4" s="1899"/>
      <c r="F4" s="1899"/>
      <c r="G4" s="1899"/>
      <c r="H4" s="1899"/>
      <c r="I4" s="1899"/>
      <c r="J4" s="1899"/>
      <c r="K4" s="1899"/>
      <c r="L4" s="1899"/>
      <c r="M4" s="1899"/>
      <c r="N4" s="1899"/>
      <c r="O4" s="1899"/>
      <c r="P4" s="1899"/>
    </row>
    <row r="5" spans="2:17" x14ac:dyDescent="0.4">
      <c r="B5" s="53"/>
      <c r="C5" s="190"/>
      <c r="D5" s="190"/>
      <c r="E5" s="190"/>
      <c r="F5" s="190"/>
      <c r="G5" s="190"/>
      <c r="H5" s="190"/>
      <c r="I5" s="190"/>
      <c r="J5" s="190"/>
      <c r="K5" s="190"/>
      <c r="L5" s="190"/>
      <c r="M5" s="190"/>
      <c r="N5" s="190"/>
      <c r="O5" s="190"/>
      <c r="P5" s="190"/>
    </row>
    <row r="6" spans="2:17" x14ac:dyDescent="0.4">
      <c r="B6" s="53"/>
      <c r="C6" s="190"/>
      <c r="D6" s="190"/>
      <c r="E6" s="190"/>
      <c r="F6" s="190"/>
      <c r="G6" s="190"/>
      <c r="H6" s="190"/>
      <c r="I6" s="190"/>
      <c r="J6" s="190"/>
      <c r="K6" s="190"/>
      <c r="L6" s="190"/>
      <c r="M6" s="190"/>
      <c r="N6" s="190"/>
      <c r="O6" s="190"/>
      <c r="P6" s="190"/>
    </row>
    <row r="7" spans="2:17" x14ac:dyDescent="0.4">
      <c r="B7" s="16" t="s">
        <v>109</v>
      </c>
      <c r="C7" s="38"/>
      <c r="D7" s="38"/>
      <c r="E7" s="38"/>
      <c r="F7" s="38"/>
      <c r="G7" s="38"/>
      <c r="H7" s="38"/>
      <c r="I7" s="38"/>
      <c r="J7" s="38"/>
      <c r="K7" s="38"/>
      <c r="L7" s="38"/>
      <c r="M7" s="38"/>
      <c r="N7" s="38"/>
      <c r="O7" s="38"/>
      <c r="P7" s="38"/>
    </row>
    <row r="8" spans="2:17" x14ac:dyDescent="0.4">
      <c r="Q8" s="15" t="s">
        <v>110</v>
      </c>
    </row>
    <row r="9" spans="2:17" s="10" customFormat="1" x14ac:dyDescent="0.35">
      <c r="B9" s="1938" t="s">
        <v>1</v>
      </c>
      <c r="C9" s="1984" t="s">
        <v>111</v>
      </c>
      <c r="D9" s="1984" t="s">
        <v>3</v>
      </c>
      <c r="E9" s="98" t="s">
        <v>196</v>
      </c>
      <c r="F9" s="98" t="s">
        <v>197</v>
      </c>
      <c r="G9" s="98" t="s">
        <v>198</v>
      </c>
      <c r="H9" s="98" t="s">
        <v>199</v>
      </c>
      <c r="I9" s="362" t="s">
        <v>112</v>
      </c>
      <c r="J9" s="362" t="s">
        <v>113</v>
      </c>
      <c r="K9" s="362" t="s">
        <v>114</v>
      </c>
      <c r="L9" s="1934" t="s">
        <v>1019</v>
      </c>
      <c r="M9" s="1935"/>
      <c r="N9" s="1935"/>
      <c r="O9" s="1935"/>
      <c r="P9" s="1936"/>
      <c r="Q9" s="1941" t="s">
        <v>116</v>
      </c>
    </row>
    <row r="10" spans="2:17" s="10" customFormat="1" ht="27" x14ac:dyDescent="0.35">
      <c r="B10" s="1939"/>
      <c r="C10" s="1984"/>
      <c r="D10" s="1984"/>
      <c r="E10" s="1934" t="s">
        <v>117</v>
      </c>
      <c r="F10" s="1935"/>
      <c r="G10" s="1935"/>
      <c r="H10" s="1935"/>
      <c r="I10" s="1935"/>
      <c r="J10" s="1936"/>
      <c r="K10" s="217" t="s">
        <v>121</v>
      </c>
      <c r="L10" s="217" t="s">
        <v>123</v>
      </c>
      <c r="M10" s="217" t="s">
        <v>124</v>
      </c>
      <c r="N10" s="217" t="s">
        <v>125</v>
      </c>
      <c r="O10" s="217" t="s">
        <v>126</v>
      </c>
      <c r="P10" s="217" t="s">
        <v>127</v>
      </c>
      <c r="Q10" s="1941"/>
    </row>
    <row r="11" spans="2:17" s="51" customFormat="1" x14ac:dyDescent="0.35">
      <c r="B11" s="89">
        <v>1</v>
      </c>
      <c r="C11" s="86" t="s">
        <v>335</v>
      </c>
      <c r="D11" s="249" t="s">
        <v>27</v>
      </c>
      <c r="E11" s="90"/>
      <c r="F11" s="86"/>
      <c r="G11" s="86"/>
      <c r="H11" s="90"/>
      <c r="I11" s="90"/>
      <c r="J11" s="86"/>
      <c r="K11" s="86"/>
      <c r="L11" s="86"/>
      <c r="M11" s="86"/>
      <c r="N11" s="91"/>
      <c r="O11" s="91"/>
      <c r="P11" s="91"/>
      <c r="Q11" s="91"/>
    </row>
    <row r="12" spans="2:17" s="51" customFormat="1" x14ac:dyDescent="0.35">
      <c r="B12" s="89">
        <f>B11+1</f>
        <v>2</v>
      </c>
      <c r="C12" s="52" t="s">
        <v>28</v>
      </c>
      <c r="D12" s="249" t="s">
        <v>29</v>
      </c>
      <c r="E12" s="1525">
        <f>+'F3.2'!D38</f>
        <v>1.12468356</v>
      </c>
      <c r="F12" s="1525">
        <f>+'F3.2'!E38</f>
        <v>1.8066443819781108</v>
      </c>
      <c r="G12" s="1525">
        <f>+'F3.2'!F38</f>
        <v>1.9516352699999997</v>
      </c>
      <c r="H12" s="1525">
        <f>+'F3.2'!G38</f>
        <v>2.139203300000001</v>
      </c>
      <c r="I12" s="1525">
        <f>+'F3.2'!H38</f>
        <v>2.4746886221063322</v>
      </c>
      <c r="J12" s="1525">
        <f>+'F3.2'!I38</f>
        <v>1.4250082301000004</v>
      </c>
      <c r="K12" s="1525">
        <f>+'F3.2'!J38</f>
        <v>2.8580511186499997</v>
      </c>
      <c r="L12" s="1525">
        <f>+K12*(1+Assum!L48)</f>
        <v>3.143856230515</v>
      </c>
      <c r="M12" s="1525">
        <f>+L12*(1+Assum!M48)</f>
        <v>3.4582418535665003</v>
      </c>
      <c r="N12" s="1525">
        <f>+M12*(1+Assum!N48)</f>
        <v>3.8040660389231506</v>
      </c>
      <c r="O12" s="1525">
        <f>+N12*(1+Assum!O48)</f>
        <v>4.1844726428154662</v>
      </c>
      <c r="P12" s="793">
        <f>+O12*(1+Assum!P48)</f>
        <v>4.6029199070970135</v>
      </c>
      <c r="Q12" s="1988"/>
    </row>
    <row r="13" spans="2:17" s="51" customFormat="1" x14ac:dyDescent="0.35">
      <c r="B13" s="89">
        <f>B12+1</f>
        <v>3</v>
      </c>
      <c r="C13" s="52" t="s">
        <v>337</v>
      </c>
      <c r="D13" s="249" t="s">
        <v>31</v>
      </c>
      <c r="E13" s="1525">
        <f>+'F3.3'!D44</f>
        <v>0.51184692779999996</v>
      </c>
      <c r="F13" s="1525">
        <f>+'F3.3'!E44</f>
        <v>1.0387296777000001</v>
      </c>
      <c r="G13" s="1525">
        <f>+'F3.3'!F44</f>
        <v>0.91339222325000013</v>
      </c>
      <c r="H13" s="1525">
        <f>+'F3.3'!G44</f>
        <v>1.2195016268500001</v>
      </c>
      <c r="I13" s="1525">
        <f>+'F3.3'!H44</f>
        <v>1.4319210249500003</v>
      </c>
      <c r="J13" s="1525">
        <f>+'F3.3'!I44</f>
        <v>1.6712900385999996</v>
      </c>
      <c r="K13" s="1525">
        <f>+'F3.3'!J44</f>
        <v>1.9923188623000001</v>
      </c>
      <c r="L13" s="1525">
        <f>+K13*(1+Assum!L49)</f>
        <v>2.0923431995482695</v>
      </c>
      <c r="M13" s="1525">
        <f>+L13*(1+Assum!M49)</f>
        <v>2.1973892570800109</v>
      </c>
      <c r="N13" s="1525">
        <f>+M13*(1+Assum!N49)</f>
        <v>2.3077091502833307</v>
      </c>
      <c r="O13" s="1525">
        <f>+N13*(1+Assum!O49)</f>
        <v>2.4235676519954423</v>
      </c>
      <c r="P13" s="793">
        <f>+O13*(1+Assum!P49)</f>
        <v>2.5452428279697017</v>
      </c>
      <c r="Q13" s="1989"/>
    </row>
    <row r="14" spans="2:17" s="51" customFormat="1" x14ac:dyDescent="0.35">
      <c r="B14" s="89">
        <f>B13+1</f>
        <v>4</v>
      </c>
      <c r="C14" s="52" t="s">
        <v>336</v>
      </c>
      <c r="D14" s="249" t="s">
        <v>33</v>
      </c>
      <c r="E14" s="1525">
        <f>+'F3.4'!D21</f>
        <v>0</v>
      </c>
      <c r="F14" s="1525">
        <f>+'F3.4'!E21</f>
        <v>1.7327774100000002E-2</v>
      </c>
      <c r="G14" s="1525">
        <f>+'F3.4'!F21</f>
        <v>4.8047870000000005E-3</v>
      </c>
      <c r="H14" s="1525">
        <f>+'F3.4'!G21</f>
        <v>4.505619625E-2</v>
      </c>
      <c r="I14" s="1525">
        <f>+'F3.4'!H21</f>
        <v>7.4882944500000007E-2</v>
      </c>
      <c r="J14" s="1525">
        <f>+'F3.4'!I21</f>
        <v>6.843336500000001E-2</v>
      </c>
      <c r="K14" s="1525">
        <f>+'F3.4'!J21</f>
        <v>5.5290755000000004E-2</v>
      </c>
      <c r="L14" s="1525">
        <f>+K14*(1+Assum!L50)</f>
        <v>5.806662648798408E-2</v>
      </c>
      <c r="M14" s="1525">
        <f>+L14*(1+Assum!M50)</f>
        <v>6.0981860560505169E-2</v>
      </c>
      <c r="N14" s="1525">
        <f>+M14*(1+Assum!N50)</f>
        <v>6.4043453913935178E-2</v>
      </c>
      <c r="O14" s="1525">
        <f>+N14*(1+Assum!O50)</f>
        <v>6.725875451367766E-2</v>
      </c>
      <c r="P14" s="793">
        <f>+O14*(1+Assum!P50)</f>
        <v>7.0635479229624085E-2</v>
      </c>
      <c r="Q14" s="1990"/>
    </row>
    <row r="15" spans="2:17" s="51" customFormat="1" x14ac:dyDescent="0.35">
      <c r="B15" s="89">
        <v>5</v>
      </c>
      <c r="C15" s="52" t="s">
        <v>338</v>
      </c>
      <c r="D15" s="90"/>
      <c r="E15" s="1525"/>
      <c r="F15" s="1526"/>
      <c r="G15" s="1526"/>
      <c r="H15" s="1525"/>
      <c r="I15" s="1525"/>
      <c r="J15" s="1526"/>
      <c r="K15" s="1526"/>
      <c r="L15" s="1525"/>
      <c r="M15" s="1525"/>
      <c r="N15" s="1526"/>
      <c r="O15" s="1526"/>
      <c r="P15" s="52"/>
      <c r="Q15" s="52"/>
    </row>
    <row r="16" spans="2:17" s="39" customFormat="1" ht="30.6" customHeight="1" x14ac:dyDescent="0.35">
      <c r="B16" s="89">
        <v>6</v>
      </c>
      <c r="C16" s="92" t="s">
        <v>339</v>
      </c>
      <c r="D16" s="93"/>
      <c r="E16" s="1527">
        <f>SUM(E12:E15)</f>
        <v>1.6365304878</v>
      </c>
      <c r="F16" s="1527">
        <f t="shared" ref="F16:P16" si="0">SUM(F12:F15)</f>
        <v>2.8627018337781109</v>
      </c>
      <c r="G16" s="1527">
        <f t="shared" si="0"/>
        <v>2.8698322802499998</v>
      </c>
      <c r="H16" s="1527">
        <f t="shared" si="0"/>
        <v>3.4037611231000011</v>
      </c>
      <c r="I16" s="1527">
        <f t="shared" si="0"/>
        <v>3.9814925915563326</v>
      </c>
      <c r="J16" s="1527">
        <f t="shared" si="0"/>
        <v>3.1647316337000002</v>
      </c>
      <c r="K16" s="1527">
        <f t="shared" si="0"/>
        <v>4.9056607359499997</v>
      </c>
      <c r="L16" s="1527">
        <f t="shared" si="0"/>
        <v>5.2942660565512538</v>
      </c>
      <c r="M16" s="1527">
        <f t="shared" si="0"/>
        <v>5.7166129712070166</v>
      </c>
      <c r="N16" s="1527">
        <f t="shared" si="0"/>
        <v>6.175818643120417</v>
      </c>
      <c r="O16" s="1527">
        <f t="shared" si="0"/>
        <v>6.675299049324587</v>
      </c>
      <c r="P16" s="794">
        <f t="shared" si="0"/>
        <v>7.2187982142963394</v>
      </c>
      <c r="Q16" s="94"/>
    </row>
    <row r="17" spans="2:17" s="39" customFormat="1" x14ac:dyDescent="0.35">
      <c r="B17" s="108"/>
      <c r="C17" s="170"/>
      <c r="D17" s="171"/>
      <c r="E17" s="171"/>
      <c r="F17" s="171"/>
      <c r="G17" s="171"/>
      <c r="H17" s="171"/>
      <c r="I17" s="171"/>
      <c r="J17" s="83"/>
      <c r="K17" s="83"/>
      <c r="L17" s="83"/>
      <c r="M17" s="83"/>
      <c r="N17" s="83"/>
      <c r="O17" s="83"/>
      <c r="P17" s="83"/>
    </row>
    <row r="18" spans="2:17" x14ac:dyDescent="0.4">
      <c r="B18" s="10" t="s">
        <v>148</v>
      </c>
    </row>
    <row r="20" spans="2:17" x14ac:dyDescent="0.4">
      <c r="B20" s="16" t="s">
        <v>149</v>
      </c>
    </row>
    <row r="21" spans="2:17" x14ac:dyDescent="0.4">
      <c r="Q21" s="15" t="s">
        <v>110</v>
      </c>
    </row>
    <row r="22" spans="2:17" s="10" customFormat="1" x14ac:dyDescent="0.35">
      <c r="B22" s="1938" t="s">
        <v>1</v>
      </c>
      <c r="C22" s="1984" t="s">
        <v>111</v>
      </c>
      <c r="D22" s="1984" t="s">
        <v>3</v>
      </c>
      <c r="E22" s="98" t="s">
        <v>196</v>
      </c>
      <c r="F22" s="98" t="s">
        <v>197</v>
      </c>
      <c r="G22" s="98" t="s">
        <v>198</v>
      </c>
      <c r="H22" s="98" t="s">
        <v>199</v>
      </c>
      <c r="I22" s="362" t="s">
        <v>112</v>
      </c>
      <c r="J22" s="362" t="s">
        <v>113</v>
      </c>
      <c r="K22" s="362" t="s">
        <v>114</v>
      </c>
      <c r="L22" s="1934" t="s">
        <v>1019</v>
      </c>
      <c r="M22" s="1935"/>
      <c r="N22" s="1935"/>
      <c r="O22" s="1935"/>
      <c r="P22" s="1936"/>
      <c r="Q22" s="1941" t="s">
        <v>116</v>
      </c>
    </row>
    <row r="23" spans="2:17" s="10" customFormat="1" ht="27" x14ac:dyDescent="0.35">
      <c r="B23" s="1939"/>
      <c r="C23" s="1984"/>
      <c r="D23" s="1984"/>
      <c r="E23" s="1934" t="s">
        <v>117</v>
      </c>
      <c r="F23" s="1935"/>
      <c r="G23" s="1935"/>
      <c r="H23" s="1935"/>
      <c r="I23" s="1935"/>
      <c r="J23" s="1936"/>
      <c r="K23" s="217" t="s">
        <v>121</v>
      </c>
      <c r="L23" s="217" t="s">
        <v>123</v>
      </c>
      <c r="M23" s="217" t="s">
        <v>124</v>
      </c>
      <c r="N23" s="217" t="s">
        <v>125</v>
      </c>
      <c r="O23" s="217" t="s">
        <v>126</v>
      </c>
      <c r="P23" s="217" t="s">
        <v>127</v>
      </c>
      <c r="Q23" s="1941"/>
    </row>
    <row r="24" spans="2:17" s="51" customFormat="1" x14ac:dyDescent="0.35">
      <c r="B24" s="89">
        <v>1</v>
      </c>
      <c r="C24" s="86" t="s">
        <v>335</v>
      </c>
      <c r="D24" s="249" t="s">
        <v>27</v>
      </c>
      <c r="E24" s="90"/>
      <c r="F24" s="90"/>
      <c r="G24" s="90"/>
      <c r="H24" s="90"/>
      <c r="I24" s="90"/>
      <c r="J24" s="86"/>
      <c r="K24" s="86"/>
      <c r="L24" s="86"/>
      <c r="M24" s="86"/>
      <c r="N24" s="91"/>
      <c r="O24" s="91"/>
      <c r="P24" s="91"/>
      <c r="Q24" s="91"/>
    </row>
    <row r="25" spans="2:17" s="51" customFormat="1" x14ac:dyDescent="0.35">
      <c r="B25" s="89">
        <f>B24+1</f>
        <v>2</v>
      </c>
      <c r="C25" s="52" t="s">
        <v>28</v>
      </c>
      <c r="D25" s="249" t="s">
        <v>29</v>
      </c>
      <c r="E25" s="1525">
        <f>+'F3.2'!D72</f>
        <v>0.60559883999999997</v>
      </c>
      <c r="F25" s="1525">
        <f>+'F3.2'!E72</f>
        <v>0.97280851337282881</v>
      </c>
      <c r="G25" s="1525">
        <f>+'F3.2'!F72</f>
        <v>1.0508805299999997</v>
      </c>
      <c r="H25" s="1525">
        <f>+'F3.2'!G72</f>
        <v>1.1518787000000004</v>
      </c>
      <c r="I25" s="1525">
        <f>+'F3.2'!H72</f>
        <v>1.3325246426726403</v>
      </c>
      <c r="J25" s="1525">
        <f>+'F3.2'!I72</f>
        <v>0.76731212390000014</v>
      </c>
      <c r="K25" s="1525">
        <f>+'F3.2'!J72</f>
        <v>1.5389506023499997</v>
      </c>
      <c r="L25" s="1525">
        <f>+K25*(1+Assum!L48)</f>
        <v>1.6928456625849999</v>
      </c>
      <c r="M25" s="1525">
        <f>+L25*(1+Assum!M48)</f>
        <v>1.8621302288435</v>
      </c>
      <c r="N25" s="1525">
        <f>+M25*(1+Assum!N48)</f>
        <v>2.0483432517278501</v>
      </c>
      <c r="O25" s="1525">
        <f>+N25*(1+Assum!O48)</f>
        <v>2.2531775769006352</v>
      </c>
      <c r="P25" s="793">
        <f>+O25*(1+Assum!P48)</f>
        <v>2.4784953345906988</v>
      </c>
      <c r="Q25" s="282"/>
    </row>
    <row r="26" spans="2:17" s="51" customFormat="1" x14ac:dyDescent="0.35">
      <c r="B26" s="89">
        <f>B25+1</f>
        <v>3</v>
      </c>
      <c r="C26" s="52" t="s">
        <v>337</v>
      </c>
      <c r="D26" s="249" t="s">
        <v>31</v>
      </c>
      <c r="E26" s="1525">
        <f>+'F3.3'!D84</f>
        <v>0.27560988419999993</v>
      </c>
      <c r="F26" s="1525">
        <f>+'F3.3'!E84</f>
        <v>0.55931598029999996</v>
      </c>
      <c r="G26" s="1525">
        <f>+'F3.3'!F84</f>
        <v>0.49182658175000005</v>
      </c>
      <c r="H26" s="1525">
        <f>+'F3.3'!G84</f>
        <v>0.65665472214999987</v>
      </c>
      <c r="I26" s="1525">
        <f>+'F3.3'!H84</f>
        <v>0.77103439805000007</v>
      </c>
      <c r="J26" s="1525">
        <f>+'F3.3'!I84</f>
        <v>0.89992540539999977</v>
      </c>
      <c r="K26" s="1525">
        <f>+'F3.3'!J84</f>
        <v>1.0727870796999999</v>
      </c>
      <c r="L26" s="1525">
        <f>+K26*(1+Assum!L49)</f>
        <v>1.1266463382182987</v>
      </c>
      <c r="M26" s="1525">
        <f>+L26*(1+Assum!M49)</f>
        <v>1.1832095999661594</v>
      </c>
      <c r="N26" s="1525">
        <f>+M26*(1+Assum!N49)</f>
        <v>1.2426126193833316</v>
      </c>
      <c r="O26" s="1525">
        <f>+N26*(1+Assum!O49)</f>
        <v>1.3049979664590841</v>
      </c>
      <c r="P26" s="793">
        <f>+O26*(1+Assum!P49)</f>
        <v>1.3705153689067622</v>
      </c>
      <c r="Q26" s="283"/>
    </row>
    <row r="27" spans="2:17" s="51" customFormat="1" x14ac:dyDescent="0.35">
      <c r="B27" s="89">
        <f>B26+1</f>
        <v>4</v>
      </c>
      <c r="C27" s="52" t="s">
        <v>336</v>
      </c>
      <c r="D27" s="249" t="s">
        <v>33</v>
      </c>
      <c r="E27" s="1525">
        <f>+'F3.4'!D39</f>
        <v>0</v>
      </c>
      <c r="F27" s="1525">
        <f>+'F3.4'!E39</f>
        <v>9.3303398999999999E-3</v>
      </c>
      <c r="G27" s="1525">
        <f>+'F3.4'!F39</f>
        <v>2.5871929999999998E-3</v>
      </c>
      <c r="H27" s="1525">
        <f>+'F3.4'!G39</f>
        <v>2.4261028749999997E-2</v>
      </c>
      <c r="I27" s="1525">
        <f>+'F3.4'!H39</f>
        <v>4.03215855E-2</v>
      </c>
      <c r="J27" s="1525">
        <f>+'F3.4'!I39</f>
        <v>3.6848735000000001E-2</v>
      </c>
      <c r="K27" s="1525">
        <f>+'F3.4'!J39</f>
        <v>2.9771945000000001E-2</v>
      </c>
      <c r="L27" s="1525">
        <f>+K27*(1+Assum!L50)</f>
        <v>3.1266645031991426E-2</v>
      </c>
      <c r="M27" s="1525">
        <f>+L27*(1+Assum!M50)</f>
        <v>3.2836386455656633E-2</v>
      </c>
      <c r="N27" s="1525">
        <f>+M27*(1+Assum!N50)</f>
        <v>3.4484936722888174E-2</v>
      </c>
      <c r="O27" s="1525">
        <f>+N27*(1+Assum!O50)</f>
        <v>3.6216252430441818E-2</v>
      </c>
      <c r="P27" s="793">
        <f>+O27*(1+Assum!P50)</f>
        <v>3.803448881595143E-2</v>
      </c>
      <c r="Q27" s="284"/>
    </row>
    <row r="28" spans="2:17" s="51" customFormat="1" x14ac:dyDescent="0.35">
      <c r="B28" s="89">
        <v>5</v>
      </c>
      <c r="C28" s="52" t="s">
        <v>338</v>
      </c>
      <c r="D28" s="90"/>
      <c r="E28" s="1528"/>
      <c r="F28" s="1526"/>
      <c r="G28" s="1529"/>
      <c r="H28" s="1528"/>
      <c r="I28" s="1528"/>
      <c r="J28" s="1526"/>
      <c r="K28" s="1529"/>
      <c r="L28" s="1528"/>
      <c r="M28" s="1528"/>
      <c r="N28" s="1526"/>
      <c r="O28" s="1526"/>
      <c r="P28" s="52"/>
      <c r="Q28" s="52"/>
    </row>
    <row r="29" spans="2:17" s="39" customFormat="1" ht="30.6" customHeight="1" x14ac:dyDescent="0.35">
      <c r="B29" s="89">
        <v>6</v>
      </c>
      <c r="C29" s="92" t="s">
        <v>339</v>
      </c>
      <c r="D29" s="93"/>
      <c r="E29" s="1527">
        <f t="shared" ref="E29:P29" si="1">SUM(E25:E28)</f>
        <v>0.88120872419999996</v>
      </c>
      <c r="F29" s="1527">
        <f t="shared" si="1"/>
        <v>1.5414548335728289</v>
      </c>
      <c r="G29" s="1527">
        <f t="shared" si="1"/>
        <v>1.5452943047499998</v>
      </c>
      <c r="H29" s="1527">
        <f t="shared" si="1"/>
        <v>1.8327944509000003</v>
      </c>
      <c r="I29" s="1527">
        <f t="shared" si="1"/>
        <v>2.1438806262226402</v>
      </c>
      <c r="J29" s="1527">
        <f t="shared" si="1"/>
        <v>1.7040862642999999</v>
      </c>
      <c r="K29" s="1527">
        <f t="shared" si="1"/>
        <v>2.6415096270499991</v>
      </c>
      <c r="L29" s="1527">
        <f t="shared" si="1"/>
        <v>2.85075864583529</v>
      </c>
      <c r="M29" s="1527">
        <f t="shared" si="1"/>
        <v>3.0781762152653158</v>
      </c>
      <c r="N29" s="1527">
        <f t="shared" si="1"/>
        <v>3.3254408078340698</v>
      </c>
      <c r="O29" s="1527">
        <f t="shared" si="1"/>
        <v>3.5943917957901612</v>
      </c>
      <c r="P29" s="794">
        <f t="shared" si="1"/>
        <v>3.8870451923134124</v>
      </c>
      <c r="Q29" s="94"/>
    </row>
    <row r="30" spans="2:17" s="39" customFormat="1" x14ac:dyDescent="0.35">
      <c r="B30" s="108"/>
      <c r="C30" s="170"/>
      <c r="D30" s="171"/>
      <c r="E30" s="171"/>
      <c r="F30" s="171"/>
      <c r="G30" s="171"/>
      <c r="H30" s="171"/>
      <c r="I30" s="171"/>
      <c r="J30" s="83"/>
      <c r="K30" s="83"/>
      <c r="L30" s="83"/>
      <c r="M30" s="83"/>
      <c r="N30" s="83"/>
      <c r="O30" s="83"/>
      <c r="P30" s="83"/>
    </row>
    <row r="31" spans="2:17" x14ac:dyDescent="0.4">
      <c r="B31" s="10" t="s">
        <v>148</v>
      </c>
    </row>
    <row r="34" spans="3:16" x14ac:dyDescent="0.4">
      <c r="E34" s="924">
        <f>+E12+E25</f>
        <v>1.7302824000000001</v>
      </c>
      <c r="F34" s="924">
        <f t="shared" ref="F34:K34" si="2">+F12+F25</f>
        <v>2.7794528953509396</v>
      </c>
      <c r="G34" s="924">
        <f t="shared" si="2"/>
        <v>3.0025157999999994</v>
      </c>
      <c r="H34" s="924">
        <f t="shared" si="2"/>
        <v>3.2910820000000012</v>
      </c>
      <c r="I34" s="924">
        <f t="shared" si="2"/>
        <v>3.8072132647789725</v>
      </c>
      <c r="J34" s="924">
        <f t="shared" si="2"/>
        <v>2.1923203540000005</v>
      </c>
      <c r="K34" s="924">
        <f t="shared" si="2"/>
        <v>4.3970017209999996</v>
      </c>
      <c r="L34" s="1211">
        <f>(K34/F34)^(1/5)-1</f>
        <v>9.6072958955270682E-2</v>
      </c>
      <c r="M34" s="1211"/>
    </row>
    <row r="35" spans="3:16" x14ac:dyDescent="0.4">
      <c r="E35" s="924">
        <f t="shared" ref="E35:K36" si="3">+E13+E26</f>
        <v>0.78745681199999984</v>
      </c>
      <c r="F35" s="924">
        <f t="shared" si="3"/>
        <v>1.5980456580000002</v>
      </c>
      <c r="G35" s="924">
        <f t="shared" si="3"/>
        <v>1.4052188050000001</v>
      </c>
      <c r="H35" s="924">
        <f t="shared" si="3"/>
        <v>1.8761563489999999</v>
      </c>
      <c r="I35" s="924">
        <f t="shared" si="3"/>
        <v>2.2029554230000006</v>
      </c>
      <c r="J35" s="924">
        <f t="shared" si="3"/>
        <v>2.5712154439999995</v>
      </c>
      <c r="K35" s="924">
        <f t="shared" si="3"/>
        <v>3.0651059419999998</v>
      </c>
      <c r="L35" s="1211">
        <f>(K35/F35)^(1/5)-1</f>
        <v>0.13912468009020773</v>
      </c>
    </row>
    <row r="36" spans="3:16" x14ac:dyDescent="0.4">
      <c r="E36" s="924">
        <f t="shared" si="3"/>
        <v>0</v>
      </c>
      <c r="F36" s="924">
        <f t="shared" si="3"/>
        <v>2.6658114000000004E-2</v>
      </c>
      <c r="G36" s="924">
        <f t="shared" si="3"/>
        <v>7.3919800000000003E-3</v>
      </c>
      <c r="H36" s="924">
        <f t="shared" si="3"/>
        <v>6.9317224999999996E-2</v>
      </c>
      <c r="I36" s="924">
        <f t="shared" si="3"/>
        <v>0.11520453</v>
      </c>
      <c r="J36" s="924">
        <f t="shared" si="3"/>
        <v>0.10528210000000002</v>
      </c>
      <c r="K36" s="924">
        <f t="shared" si="3"/>
        <v>8.5062700000000005E-2</v>
      </c>
      <c r="L36" s="1211">
        <f>(K36/F36)^(1/5)-1</f>
        <v>0.26119415274098001</v>
      </c>
    </row>
    <row r="38" spans="3:16" x14ac:dyDescent="0.4">
      <c r="G38" s="925"/>
      <c r="H38" s="925"/>
      <c r="I38" s="925"/>
      <c r="J38" s="925"/>
    </row>
    <row r="39" spans="3:16" x14ac:dyDescent="0.4">
      <c r="C39" s="6" t="s">
        <v>1667</v>
      </c>
      <c r="E39" s="560">
        <f>+E12</f>
        <v>1.12468356</v>
      </c>
      <c r="F39" s="560">
        <f t="shared" ref="F39:P39" si="4">+F12</f>
        <v>1.8066443819781108</v>
      </c>
      <c r="G39" s="560">
        <f t="shared" si="4"/>
        <v>1.9516352699999997</v>
      </c>
      <c r="H39" s="560">
        <f t="shared" si="4"/>
        <v>2.139203300000001</v>
      </c>
      <c r="I39" s="560">
        <f t="shared" si="4"/>
        <v>2.4746886221063322</v>
      </c>
      <c r="J39" s="560">
        <f t="shared" si="4"/>
        <v>1.4250082301000004</v>
      </c>
      <c r="K39" s="560">
        <f t="shared" si="4"/>
        <v>2.8580511186499997</v>
      </c>
      <c r="L39" s="560">
        <f t="shared" si="4"/>
        <v>3.143856230515</v>
      </c>
      <c r="M39" s="560">
        <f t="shared" si="4"/>
        <v>3.4582418535665003</v>
      </c>
      <c r="N39" s="560">
        <f t="shared" si="4"/>
        <v>3.8040660389231506</v>
      </c>
      <c r="O39" s="560">
        <f t="shared" si="4"/>
        <v>4.1844726428154662</v>
      </c>
      <c r="P39" s="560">
        <f t="shared" si="4"/>
        <v>4.6029199070970135</v>
      </c>
    </row>
    <row r="40" spans="3:16" ht="15.4" x14ac:dyDescent="0.4">
      <c r="C40" s="25" t="s">
        <v>1147</v>
      </c>
      <c r="E40" s="617"/>
      <c r="F40" s="617">
        <f>+F39*'F3.2'!E159</f>
        <v>0.24740435571163963</v>
      </c>
      <c r="G40" s="617">
        <f>+G39*'F3.2'!F159</f>
        <v>0.38616341956561112</v>
      </c>
      <c r="H40" s="617">
        <f>+H39*'F3.2'!G159</f>
        <v>0.35819666826052649</v>
      </c>
      <c r="I40" s="617">
        <f>+I39*'F3.2'!H159</f>
        <v>0.464221934062092</v>
      </c>
      <c r="J40" s="617">
        <f>+J39*'F3.2'!I159</f>
        <v>0.23796088731396159</v>
      </c>
      <c r="K40" s="617">
        <f>+K39*'F3.2'!J159</f>
        <v>0.91409080739716886</v>
      </c>
      <c r="L40" s="617">
        <f>+L39*'F3.2'!K159</f>
        <v>1.4951776955378362</v>
      </c>
      <c r="M40" s="617">
        <f>+M39*'F3.2'!L159</f>
        <v>1.8119967924417009</v>
      </c>
      <c r="N40" s="617">
        <f>+N39*'F3.2'!M159</f>
        <v>2.1461415364863172</v>
      </c>
      <c r="O40" s="617">
        <f>+O39*'F3.2'!N159</f>
        <v>2.4813176057491368</v>
      </c>
      <c r="P40" s="617">
        <f>+P39*'F3.2'!O159</f>
        <v>2.7294493663240509</v>
      </c>
    </row>
    <row r="41" spans="3:16" ht="15.4" x14ac:dyDescent="0.4">
      <c r="C41" s="25" t="s">
        <v>1148</v>
      </c>
      <c r="E41" s="617"/>
      <c r="F41" s="617">
        <f>+F39*'F3.2'!E160</f>
        <v>1.5592400262664712</v>
      </c>
      <c r="G41" s="617">
        <f>+G39*'F3.2'!F160</f>
        <v>1.5654718504343885</v>
      </c>
      <c r="H41" s="617">
        <f>+H39*'F3.2'!G160</f>
        <v>1.7810066317394746</v>
      </c>
      <c r="I41" s="617">
        <f>+I39*'F3.2'!H160</f>
        <v>2.0104666880442403</v>
      </c>
      <c r="J41" s="617">
        <f>+J39*'F3.2'!I160</f>
        <v>1.1870473427860389</v>
      </c>
      <c r="K41" s="617">
        <f>+K39*'F3.2'!J160</f>
        <v>1.9439603112528308</v>
      </c>
      <c r="L41" s="617">
        <f>+L39*'F3.2'!K160</f>
        <v>1.648678534977164</v>
      </c>
      <c r="M41" s="617">
        <f>+M39*'F3.2'!L160</f>
        <v>1.6462450611247992</v>
      </c>
      <c r="N41" s="617">
        <f>+N39*'F3.2'!M160</f>
        <v>1.6579245024368334</v>
      </c>
      <c r="O41" s="617">
        <f>+O39*'F3.2'!N160</f>
        <v>1.7031550370663293</v>
      </c>
      <c r="P41" s="617">
        <f>+P39*'F3.2'!O160</f>
        <v>1.8734705407729624</v>
      </c>
    </row>
    <row r="43" spans="3:16" x14ac:dyDescent="0.4">
      <c r="C43" s="6" t="s">
        <v>1668</v>
      </c>
      <c r="E43" s="924">
        <f>+E13</f>
        <v>0.51184692779999996</v>
      </c>
      <c r="F43" s="924">
        <f t="shared" ref="F43:P43" si="5">+F13</f>
        <v>1.0387296777000001</v>
      </c>
      <c r="G43" s="924">
        <f t="shared" si="5"/>
        <v>0.91339222325000013</v>
      </c>
      <c r="H43" s="924">
        <f t="shared" si="5"/>
        <v>1.2195016268500001</v>
      </c>
      <c r="I43" s="924">
        <f t="shared" si="5"/>
        <v>1.4319210249500003</v>
      </c>
      <c r="J43" s="924">
        <f t="shared" si="5"/>
        <v>1.6712900385999996</v>
      </c>
      <c r="K43" s="924">
        <f t="shared" si="5"/>
        <v>1.9923188623000001</v>
      </c>
      <c r="L43" s="924">
        <f t="shared" si="5"/>
        <v>2.0923431995482695</v>
      </c>
      <c r="M43" s="924">
        <f t="shared" si="5"/>
        <v>2.1973892570800109</v>
      </c>
      <c r="N43" s="924">
        <f t="shared" si="5"/>
        <v>2.3077091502833307</v>
      </c>
      <c r="O43" s="924">
        <f t="shared" si="5"/>
        <v>2.4235676519954423</v>
      </c>
      <c r="P43" s="924">
        <f t="shared" si="5"/>
        <v>2.5452428279697017</v>
      </c>
    </row>
    <row r="44" spans="3:16" ht="15.4" x14ac:dyDescent="0.4">
      <c r="C44" s="25" t="s">
        <v>1147</v>
      </c>
      <c r="F44" s="617">
        <f>+F43*'F3.2'!E159</f>
        <v>0.14224506451488317</v>
      </c>
      <c r="G44" s="617">
        <f>+G43*'F3.2'!F159</f>
        <v>0.18072980630999572</v>
      </c>
      <c r="H44" s="617">
        <f>+H43*'F3.2'!G159</f>
        <v>0.2041981796101201</v>
      </c>
      <c r="I44" s="617">
        <f>+I43*'F3.2'!H159</f>
        <v>0.26861122716145103</v>
      </c>
      <c r="J44" s="617">
        <f>+J43*'F3.2'!I159</f>
        <v>0.279087272721458</v>
      </c>
      <c r="K44" s="617">
        <f>+K43*'F3.2'!J159</f>
        <v>0.63720356348722029</v>
      </c>
      <c r="L44" s="617">
        <f>+L43*'F3.2'!K159</f>
        <v>0.99509158625309413</v>
      </c>
      <c r="M44" s="617">
        <f>+M43*'F3.2'!L159</f>
        <v>1.1513544899899137</v>
      </c>
      <c r="N44" s="617">
        <f>+N43*'F3.2'!M159</f>
        <v>1.301941241523398</v>
      </c>
      <c r="O44" s="617">
        <f>+O43*'F3.2'!N159</f>
        <v>1.4371323693430076</v>
      </c>
      <c r="P44" s="617">
        <f>+P43*'F3.2'!O159</f>
        <v>1.5092835774160074</v>
      </c>
    </row>
    <row r="45" spans="3:16" ht="15.4" x14ac:dyDescent="0.4">
      <c r="C45" s="25" t="s">
        <v>1148</v>
      </c>
      <c r="F45" s="617">
        <f>+F43*'F3.2'!E160</f>
        <v>0.89648461318511696</v>
      </c>
      <c r="G45" s="617">
        <f>+G43*'F3.2'!F160</f>
        <v>0.73266241694000434</v>
      </c>
      <c r="H45" s="617">
        <f>+H43*'F3.2'!G160</f>
        <v>1.0153034472398801</v>
      </c>
      <c r="I45" s="617">
        <f>+I43*'F3.2'!H160</f>
        <v>1.1633097977885494</v>
      </c>
      <c r="J45" s="617">
        <f>+J43*'F3.2'!I160</f>
        <v>1.3922027658785416</v>
      </c>
      <c r="K45" s="617">
        <f>+K43*'F3.2'!J160</f>
        <v>1.3551152988127797</v>
      </c>
      <c r="L45" s="617">
        <f>+L43*'F3.2'!K160</f>
        <v>1.0972516132951755</v>
      </c>
      <c r="M45" s="617">
        <f>+M43*'F3.2'!L160</f>
        <v>1.0460347670900969</v>
      </c>
      <c r="N45" s="617">
        <f>+N43*'F3.2'!M160</f>
        <v>1.0057679087599327</v>
      </c>
      <c r="O45" s="617">
        <f>+O43*'F3.2'!N160</f>
        <v>0.98643528265243452</v>
      </c>
      <c r="P45" s="617">
        <f>+P43*'F3.2'!O160</f>
        <v>1.0359592505536941</v>
      </c>
    </row>
    <row r="47" spans="3:16" x14ac:dyDescent="0.4">
      <c r="C47" s="6" t="s">
        <v>1669</v>
      </c>
      <c r="E47" s="924">
        <f>+E14</f>
        <v>0</v>
      </c>
      <c r="F47" s="924">
        <f t="shared" ref="F47:P47" si="6">+F14</f>
        <v>1.7327774100000002E-2</v>
      </c>
      <c r="G47" s="924">
        <f t="shared" si="6"/>
        <v>4.8047870000000005E-3</v>
      </c>
      <c r="H47" s="924">
        <f t="shared" si="6"/>
        <v>4.505619625E-2</v>
      </c>
      <c r="I47" s="924">
        <f t="shared" si="6"/>
        <v>7.4882944500000007E-2</v>
      </c>
      <c r="J47" s="924">
        <f t="shared" si="6"/>
        <v>6.843336500000001E-2</v>
      </c>
      <c r="K47" s="924">
        <f t="shared" si="6"/>
        <v>5.5290755000000004E-2</v>
      </c>
      <c r="L47" s="924">
        <f t="shared" si="6"/>
        <v>5.806662648798408E-2</v>
      </c>
      <c r="M47" s="924">
        <f t="shared" si="6"/>
        <v>6.0981860560505169E-2</v>
      </c>
      <c r="N47" s="924">
        <f t="shared" si="6"/>
        <v>6.4043453913935178E-2</v>
      </c>
      <c r="O47" s="924">
        <f t="shared" si="6"/>
        <v>6.725875451367766E-2</v>
      </c>
      <c r="P47" s="924">
        <f t="shared" si="6"/>
        <v>7.0635479229624085E-2</v>
      </c>
    </row>
    <row r="48" spans="3:16" ht="15.4" x14ac:dyDescent="0.4">
      <c r="C48" s="25" t="s">
        <v>1147</v>
      </c>
      <c r="F48" s="560">
        <f>+F47*Assum!E137</f>
        <v>1.0771959679923549E-2</v>
      </c>
      <c r="G48" s="560">
        <f>+G47*Assum!F137</f>
        <v>2.7903084188804707E-3</v>
      </c>
      <c r="H48" s="560">
        <f>+H47*Assum!G137</f>
        <v>2.6152375905615751E-2</v>
      </c>
      <c r="I48" s="560">
        <f>+I47*Assum!H137</f>
        <v>4.3466194641402452E-2</v>
      </c>
      <c r="J48" s="560">
        <f>+J47*Assum!I137</f>
        <v>3.9750962893405996E-2</v>
      </c>
      <c r="K48" s="560">
        <f>+K47*Assum!J137</f>
        <v>3.211913679817361E-2</v>
      </c>
      <c r="L48" s="560">
        <f>+L47*Assum!K137</f>
        <v>3.3731677557595506E-2</v>
      </c>
      <c r="M48" s="560">
        <f>+M47*Assum!L137</f>
        <v>3.5425175900564446E-2</v>
      </c>
      <c r="N48" s="560">
        <f>+N47*Assum!M137</f>
        <v>3.7203696301293242E-2</v>
      </c>
      <c r="O48" s="560">
        <f>+O47*Assum!N137</f>
        <v>3.9071507290858828E-2</v>
      </c>
      <c r="P48" s="560">
        <f>+P47*Assum!O137</f>
        <v>4.1033091701873962E-2</v>
      </c>
    </row>
    <row r="49" spans="3:16" ht="15.4" x14ac:dyDescent="0.4">
      <c r="C49" s="25" t="s">
        <v>1148</v>
      </c>
      <c r="F49" s="560">
        <f>+F47*Assum!P137</f>
        <v>6.5558144200764511E-3</v>
      </c>
      <c r="G49" s="560">
        <f>+G47*Assum!Q137</f>
        <v>2.0144785811195306E-3</v>
      </c>
      <c r="H49" s="560">
        <f>+H47*Assum!R137</f>
        <v>1.8903820344384249E-2</v>
      </c>
      <c r="I49" s="560">
        <f>+I47*Assum!S137</f>
        <v>3.1416749858597548E-2</v>
      </c>
      <c r="J49" s="560">
        <f>+J47*Assum!T137</f>
        <v>2.8682402106594004E-2</v>
      </c>
      <c r="K49" s="560">
        <f>+K47*Assum!U137</f>
        <v>2.3171618201826394E-2</v>
      </c>
      <c r="L49" s="560">
        <f>+L47*Assum!V137</f>
        <v>2.4334948930388567E-2</v>
      </c>
      <c r="M49" s="560">
        <f>+M47*Assum!W137</f>
        <v>2.5556684659940716E-2</v>
      </c>
      <c r="N49" s="560">
        <f>+N47*Assum!X137</f>
        <v>2.6839757612641933E-2</v>
      </c>
      <c r="O49" s="560">
        <f>+O47*Assum!Y137</f>
        <v>2.8187247222818828E-2</v>
      </c>
      <c r="P49" s="560">
        <f>+P47*Assum!Z137</f>
        <v>2.9602387527750119E-2</v>
      </c>
    </row>
    <row r="51" spans="3:16" x14ac:dyDescent="0.4">
      <c r="C51" s="6" t="s">
        <v>1670</v>
      </c>
      <c r="E51" s="1449">
        <f>+E39+E43+E47</f>
        <v>1.6365304878</v>
      </c>
      <c r="F51" s="1449">
        <f t="shared" ref="F51:P51" si="7">+F39+F43+F47</f>
        <v>2.8627018337781109</v>
      </c>
      <c r="G51" s="1449">
        <f t="shared" si="7"/>
        <v>2.8698322802499998</v>
      </c>
      <c r="H51" s="1449">
        <f t="shared" si="7"/>
        <v>3.4037611231000011</v>
      </c>
      <c r="I51" s="1449">
        <f t="shared" si="7"/>
        <v>3.9814925915563326</v>
      </c>
      <c r="J51" s="1449">
        <f t="shared" si="7"/>
        <v>3.1647316337000002</v>
      </c>
      <c r="K51" s="1449">
        <f t="shared" si="7"/>
        <v>4.9056607359499997</v>
      </c>
      <c r="L51" s="1449">
        <f t="shared" si="7"/>
        <v>5.2942660565512538</v>
      </c>
      <c r="M51" s="1449">
        <f t="shared" si="7"/>
        <v>5.7166129712070166</v>
      </c>
      <c r="N51" s="1449">
        <f t="shared" si="7"/>
        <v>6.175818643120417</v>
      </c>
      <c r="O51" s="1449">
        <f t="shared" si="7"/>
        <v>6.675299049324587</v>
      </c>
      <c r="P51" s="1449">
        <f t="shared" si="7"/>
        <v>7.2187982142963394</v>
      </c>
    </row>
    <row r="52" spans="3:16" ht="15.4" x14ac:dyDescent="0.4">
      <c r="C52" s="25" t="s">
        <v>1147</v>
      </c>
      <c r="E52" s="560">
        <f t="shared" ref="E52:P53" si="8">+E40+E44+E48</f>
        <v>0</v>
      </c>
      <c r="F52" s="560">
        <f t="shared" si="8"/>
        <v>0.40042137990644638</v>
      </c>
      <c r="G52" s="560">
        <f t="shared" si="8"/>
        <v>0.56968353429448737</v>
      </c>
      <c r="H52" s="560">
        <f t="shared" si="8"/>
        <v>0.58854722377626234</v>
      </c>
      <c r="I52" s="560">
        <f t="shared" si="8"/>
        <v>0.77629935586494547</v>
      </c>
      <c r="J52" s="560">
        <f t="shared" si="8"/>
        <v>0.5567991229288255</v>
      </c>
      <c r="K52" s="560">
        <f t="shared" si="8"/>
        <v>1.5834135076825628</v>
      </c>
      <c r="L52" s="560">
        <f t="shared" si="8"/>
        <v>2.5240009593485255</v>
      </c>
      <c r="M52" s="560">
        <f t="shared" si="8"/>
        <v>2.9987764583321788</v>
      </c>
      <c r="N52" s="560">
        <f t="shared" si="8"/>
        <v>3.4852864743110086</v>
      </c>
      <c r="O52" s="560">
        <f t="shared" si="8"/>
        <v>3.9575214823830036</v>
      </c>
      <c r="P52" s="560">
        <f t="shared" si="8"/>
        <v>4.2797660354419325</v>
      </c>
    </row>
    <row r="53" spans="3:16" ht="15.4" x14ac:dyDescent="0.4">
      <c r="C53" s="25" t="s">
        <v>1148</v>
      </c>
      <c r="E53" s="560">
        <f t="shared" si="8"/>
        <v>0</v>
      </c>
      <c r="F53" s="560">
        <f t="shared" si="8"/>
        <v>2.4622804538716645</v>
      </c>
      <c r="G53" s="560">
        <f t="shared" si="8"/>
        <v>2.3001487459555126</v>
      </c>
      <c r="H53" s="560">
        <f t="shared" si="8"/>
        <v>2.815213899323739</v>
      </c>
      <c r="I53" s="560">
        <f t="shared" si="8"/>
        <v>3.2051932356913873</v>
      </c>
      <c r="J53" s="560">
        <f t="shared" si="8"/>
        <v>2.6079325107711746</v>
      </c>
      <c r="K53" s="560">
        <f t="shared" si="8"/>
        <v>3.3222472282674369</v>
      </c>
      <c r="L53" s="560">
        <f t="shared" si="8"/>
        <v>2.7702650972027283</v>
      </c>
      <c r="M53" s="560">
        <f t="shared" si="8"/>
        <v>2.7178365128748365</v>
      </c>
      <c r="N53" s="560">
        <f t="shared" si="8"/>
        <v>2.6905321688094079</v>
      </c>
      <c r="O53" s="560">
        <f t="shared" si="8"/>
        <v>2.7177775669415825</v>
      </c>
      <c r="P53" s="560">
        <f t="shared" si="8"/>
        <v>2.9390321788544065</v>
      </c>
    </row>
    <row r="54" spans="3:16" ht="15.4" x14ac:dyDescent="0.4">
      <c r="C54" s="25"/>
      <c r="E54" s="560"/>
      <c r="F54" s="560"/>
      <c r="G54" s="560"/>
      <c r="H54" s="560"/>
      <c r="I54" s="560"/>
      <c r="J54" s="560"/>
      <c r="K54" s="560"/>
      <c r="L54" s="560"/>
      <c r="M54" s="560"/>
      <c r="N54" s="560"/>
      <c r="O54" s="560"/>
      <c r="P54" s="560"/>
    </row>
    <row r="56" spans="3:16" x14ac:dyDescent="0.4">
      <c r="C56" s="6" t="s">
        <v>1671</v>
      </c>
      <c r="E56" s="560">
        <f>+E25</f>
        <v>0.60559883999999997</v>
      </c>
      <c r="F56" s="560">
        <f t="shared" ref="F56:P56" si="9">+F25</f>
        <v>0.97280851337282881</v>
      </c>
      <c r="G56" s="560">
        <f t="shared" si="9"/>
        <v>1.0508805299999997</v>
      </c>
      <c r="H56" s="560">
        <f t="shared" si="9"/>
        <v>1.1518787000000004</v>
      </c>
      <c r="I56" s="560">
        <f t="shared" si="9"/>
        <v>1.3325246426726403</v>
      </c>
      <c r="J56" s="560">
        <f t="shared" si="9"/>
        <v>0.76731212390000014</v>
      </c>
      <c r="K56" s="560">
        <f t="shared" si="9"/>
        <v>1.5389506023499997</v>
      </c>
      <c r="L56" s="560">
        <f t="shared" si="9"/>
        <v>1.6928456625849999</v>
      </c>
      <c r="M56" s="560">
        <f t="shared" si="9"/>
        <v>1.8621302288435</v>
      </c>
      <c r="N56" s="560">
        <f t="shared" si="9"/>
        <v>2.0483432517278501</v>
      </c>
      <c r="O56" s="560">
        <f t="shared" si="9"/>
        <v>2.2531775769006352</v>
      </c>
      <c r="P56" s="560">
        <f t="shared" si="9"/>
        <v>2.4784953345906988</v>
      </c>
    </row>
    <row r="57" spans="3:16" ht="15.4" x14ac:dyDescent="0.4">
      <c r="C57" s="25" t="s">
        <v>1147</v>
      </c>
      <c r="F57" s="617">
        <f>+F56*'F3.2'!E159</f>
        <v>0.13321772999857517</v>
      </c>
      <c r="G57" s="617">
        <f>+G56*'F3.2'!F159</f>
        <v>0.20793414899686752</v>
      </c>
      <c r="H57" s="617">
        <f>+H56*'F3.2'!G159</f>
        <v>0.19287512906336038</v>
      </c>
      <c r="I57" s="617">
        <f>+I56*'F3.2'!H159</f>
        <v>0.24996565680266492</v>
      </c>
      <c r="J57" s="617">
        <f>+J56*'F3.2'!I159</f>
        <v>0.12813278547674853</v>
      </c>
      <c r="K57" s="617">
        <f>+K56*'F3.2'!J159</f>
        <v>0.4922027424446293</v>
      </c>
      <c r="L57" s="617">
        <f>+L56*'F3.2'!K159</f>
        <v>0.80509568221268102</v>
      </c>
      <c r="M57" s="617">
        <f>+M56*'F3.2'!L159</f>
        <v>0.97569058054553115</v>
      </c>
      <c r="N57" s="617">
        <f>+N56*'F3.2'!M159</f>
        <v>1.1556146734926322</v>
      </c>
      <c r="O57" s="617">
        <f>+O56*'F3.2'!N159</f>
        <v>1.3360940954033811</v>
      </c>
      <c r="P57" s="617">
        <f>+P56*'F3.2'!O159</f>
        <v>1.4697035049437193</v>
      </c>
    </row>
    <row r="58" spans="3:16" ht="15.4" x14ac:dyDescent="0.4">
      <c r="C58" s="25" t="s">
        <v>1148</v>
      </c>
      <c r="F58" s="617">
        <f>+F56*'F3.2'!E160</f>
        <v>0.83959078337425364</v>
      </c>
      <c r="G58" s="617">
        <f>+G56*'F3.2'!F160</f>
        <v>0.84294638100313213</v>
      </c>
      <c r="H58" s="617">
        <f>+H56*'F3.2'!G160</f>
        <v>0.95900357093664002</v>
      </c>
      <c r="I58" s="617">
        <f>+I56*'F3.2'!H160</f>
        <v>1.0825589858699753</v>
      </c>
      <c r="J58" s="617">
        <f>+J56*'F3.2'!I160</f>
        <v>0.63917933842325159</v>
      </c>
      <c r="K58" s="617">
        <f>+K56*'F3.2'!J160</f>
        <v>1.0467478599053703</v>
      </c>
      <c r="L58" s="617">
        <f>+L56*'F3.2'!K160</f>
        <v>0.887749980372319</v>
      </c>
      <c r="M58" s="617">
        <f>+M56*'F3.2'!L160</f>
        <v>0.88643964829796873</v>
      </c>
      <c r="N58" s="617">
        <f>+N56*'F3.2'!M160</f>
        <v>0.8927285782352179</v>
      </c>
      <c r="O58" s="617">
        <f>+O56*'F3.2'!N160</f>
        <v>0.91708348149725405</v>
      </c>
      <c r="P58" s="617">
        <f>+P56*'F3.2'!O160</f>
        <v>1.0087918296469796</v>
      </c>
    </row>
    <row r="60" spans="3:16" x14ac:dyDescent="0.4">
      <c r="C60" s="6" t="s">
        <v>1672</v>
      </c>
      <c r="E60" s="924">
        <f>+E26</f>
        <v>0.27560988419999993</v>
      </c>
      <c r="F60" s="924">
        <f t="shared" ref="F60:P60" si="10">+F26</f>
        <v>0.55931598029999996</v>
      </c>
      <c r="G60" s="924">
        <f t="shared" si="10"/>
        <v>0.49182658175000005</v>
      </c>
      <c r="H60" s="924">
        <f t="shared" si="10"/>
        <v>0.65665472214999987</v>
      </c>
      <c r="I60" s="924">
        <f t="shared" si="10"/>
        <v>0.77103439805000007</v>
      </c>
      <c r="J60" s="924">
        <f t="shared" si="10"/>
        <v>0.89992540539999977</v>
      </c>
      <c r="K60" s="924">
        <f t="shared" si="10"/>
        <v>1.0727870796999999</v>
      </c>
      <c r="L60" s="924">
        <f t="shared" si="10"/>
        <v>1.1266463382182987</v>
      </c>
      <c r="M60" s="924">
        <f t="shared" si="10"/>
        <v>1.1832095999661594</v>
      </c>
      <c r="N60" s="924">
        <f t="shared" si="10"/>
        <v>1.2426126193833316</v>
      </c>
      <c r="O60" s="924">
        <f t="shared" si="10"/>
        <v>1.3049979664590841</v>
      </c>
      <c r="P60" s="924">
        <f t="shared" si="10"/>
        <v>1.3705153689067622</v>
      </c>
    </row>
    <row r="61" spans="3:16" ht="15.4" x14ac:dyDescent="0.4">
      <c r="C61" s="25" t="s">
        <v>1147</v>
      </c>
      <c r="F61" s="617">
        <f>+F60*'F3.2'!E159</f>
        <v>7.6593496277244766E-2</v>
      </c>
      <c r="G61" s="617">
        <f>+G60*'F3.2'!F159</f>
        <v>9.7316049551536152E-2</v>
      </c>
      <c r="H61" s="617">
        <f>+H60*'F3.2'!G159</f>
        <v>0.10995286594391079</v>
      </c>
      <c r="I61" s="617">
        <f>+I60*'F3.2'!H159</f>
        <v>0.14463681462539668</v>
      </c>
      <c r="J61" s="617">
        <f>+J60*'F3.2'!I159</f>
        <v>0.15027776223463124</v>
      </c>
      <c r="K61" s="617">
        <f>+K60*'F3.2'!J159</f>
        <v>0.34310961110850313</v>
      </c>
      <c r="L61" s="617">
        <f>+L60*'F3.2'!K159</f>
        <v>0.53581854644397364</v>
      </c>
      <c r="M61" s="617">
        <f>+M60*'F3.2'!L159</f>
        <v>0.61996010999456874</v>
      </c>
      <c r="N61" s="617">
        <f>+N60*'F3.2'!M159</f>
        <v>0.70104528389721399</v>
      </c>
      <c r="O61" s="617">
        <f>+O60*'F3.2'!N159</f>
        <v>0.77384050656931169</v>
      </c>
      <c r="P61" s="617">
        <f>+P60*'F3.2'!O159</f>
        <v>0.81269115707015771</v>
      </c>
    </row>
    <row r="62" spans="3:16" ht="15.4" x14ac:dyDescent="0.4">
      <c r="C62" s="25" t="s">
        <v>1148</v>
      </c>
      <c r="F62" s="617">
        <f>+F60*'F3.2'!E160</f>
        <v>0.48272248402275519</v>
      </c>
      <c r="G62" s="617">
        <f>+G60*'F3.2'!F160</f>
        <v>0.39451053219846388</v>
      </c>
      <c r="H62" s="617">
        <f>+H60*'F3.2'!G160</f>
        <v>0.54670185620608913</v>
      </c>
      <c r="I62" s="617">
        <f>+I60*'F3.2'!H160</f>
        <v>0.62639758342460339</v>
      </c>
      <c r="J62" s="617">
        <f>+J60*'F3.2'!I160</f>
        <v>0.74964764316536858</v>
      </c>
      <c r="K62" s="617">
        <f>+K60*'F3.2'!J160</f>
        <v>0.72967746859149663</v>
      </c>
      <c r="L62" s="617">
        <f>+L60*'F3.2'!K160</f>
        <v>0.5908277917743251</v>
      </c>
      <c r="M62" s="617">
        <f>+M60*'F3.2'!L160</f>
        <v>0.56324948997159052</v>
      </c>
      <c r="N62" s="617">
        <f>+N60*'F3.2'!M160</f>
        <v>0.54156733548611757</v>
      </c>
      <c r="O62" s="617">
        <f>+O60*'F3.2'!N160</f>
        <v>0.53115745988977237</v>
      </c>
      <c r="P62" s="617">
        <f>+P60*'F3.2'!O160</f>
        <v>0.55782421183660436</v>
      </c>
    </row>
    <row r="64" spans="3:16" x14ac:dyDescent="0.4">
      <c r="C64" s="6" t="s">
        <v>1673</v>
      </c>
      <c r="E64" s="924">
        <f>+E27</f>
        <v>0</v>
      </c>
      <c r="F64" s="924">
        <f t="shared" ref="F64:P64" si="11">+F27</f>
        <v>9.3303398999999999E-3</v>
      </c>
      <c r="G64" s="924">
        <f t="shared" si="11"/>
        <v>2.5871929999999998E-3</v>
      </c>
      <c r="H64" s="924">
        <f t="shared" si="11"/>
        <v>2.4261028749999997E-2</v>
      </c>
      <c r="I64" s="924">
        <f t="shared" si="11"/>
        <v>4.03215855E-2</v>
      </c>
      <c r="J64" s="924">
        <f t="shared" si="11"/>
        <v>3.6848735000000001E-2</v>
      </c>
      <c r="K64" s="924">
        <f t="shared" si="11"/>
        <v>2.9771945000000001E-2</v>
      </c>
      <c r="L64" s="924">
        <f t="shared" si="11"/>
        <v>3.1266645031991426E-2</v>
      </c>
      <c r="M64" s="924">
        <f t="shared" si="11"/>
        <v>3.2836386455656633E-2</v>
      </c>
      <c r="N64" s="924">
        <f t="shared" si="11"/>
        <v>3.4484936722888174E-2</v>
      </c>
      <c r="O64" s="924">
        <f t="shared" si="11"/>
        <v>3.6216252430441818E-2</v>
      </c>
      <c r="P64" s="924">
        <f t="shared" si="11"/>
        <v>3.803448881595143E-2</v>
      </c>
    </row>
    <row r="65" spans="3:16" ht="15.4" x14ac:dyDescent="0.4">
      <c r="C65" s="25" t="s">
        <v>1147</v>
      </c>
      <c r="F65" s="617">
        <f>+F64*Assum!E138</f>
        <v>1.5807043491109867E-3</v>
      </c>
      <c r="G65" s="617">
        <f>+G64*Assum!F138</f>
        <v>4.467607122860236E-4</v>
      </c>
      <c r="H65" s="617">
        <f>+H64*Assum!G138</f>
        <v>3.7679757378365031E-3</v>
      </c>
      <c r="I65" s="617">
        <f>+I64*Assum!H138</f>
        <v>4.4221901353819161E-3</v>
      </c>
      <c r="J65" s="617">
        <f>+J64*Assum!I138</f>
        <v>4.3792356119369607E-3</v>
      </c>
      <c r="K65" s="617">
        <f>+K64*Assum!J138</f>
        <v>3.6127700968941593E-3</v>
      </c>
      <c r="L65" s="617">
        <f>+L64*Assum!K138</f>
        <v>3.7941491629714802E-3</v>
      </c>
      <c r="M65" s="617">
        <f>+M64*Assum!L138</f>
        <v>3.984634362217741E-3</v>
      </c>
      <c r="N65" s="617">
        <f>+N64*Assum!M138</f>
        <v>4.1846828679059315E-3</v>
      </c>
      <c r="O65" s="617">
        <f>+O64*Assum!N138</f>
        <v>4.3947748056860454E-3</v>
      </c>
      <c r="P65" s="617">
        <f>+P64*Assum!O138</f>
        <v>4.6154144059088065E-3</v>
      </c>
    </row>
    <row r="66" spans="3:16" ht="15.4" x14ac:dyDescent="0.4">
      <c r="C66" s="25" t="s">
        <v>1148</v>
      </c>
      <c r="F66" s="617">
        <f>+F64*Assum!P138</f>
        <v>7.7496355508890136E-3</v>
      </c>
      <c r="G66" s="617">
        <f>+G64*Assum!Q138</f>
        <v>2.1404322877139762E-3</v>
      </c>
      <c r="H66" s="617">
        <f>+H64*Assum!R138</f>
        <v>2.0493053012163493E-2</v>
      </c>
      <c r="I66" s="617">
        <f>+I64*Assum!S138</f>
        <v>3.5899395364618072E-2</v>
      </c>
      <c r="J66" s="617">
        <f>+J64*Assum!T138</f>
        <v>3.2469499388063032E-2</v>
      </c>
      <c r="K66" s="617">
        <f>+K64*Assum!U138</f>
        <v>2.6159174903105847E-2</v>
      </c>
      <c r="L66" s="617">
        <f>+L64*Assum!V138</f>
        <v>2.7472495869019949E-2</v>
      </c>
      <c r="M66" s="617">
        <f>+M64*Assum!W138</f>
        <v>2.8851752093438897E-2</v>
      </c>
      <c r="N66" s="617">
        <f>+N64*Assum!X138</f>
        <v>3.0300253854982247E-2</v>
      </c>
      <c r="O66" s="617">
        <f>+O64*Assum!Y138</f>
        <v>3.1821477624755776E-2</v>
      </c>
      <c r="P66" s="617">
        <f>+P64*Assum!Z138</f>
        <v>3.3419074410042632E-2</v>
      </c>
    </row>
    <row r="68" spans="3:16" x14ac:dyDescent="0.4">
      <c r="C68" s="6" t="s">
        <v>1674</v>
      </c>
      <c r="E68" s="1449">
        <f>+E56+E60+E64</f>
        <v>0.88120872419999996</v>
      </c>
      <c r="F68" s="1449">
        <f t="shared" ref="F68:P68" si="12">+F56+F60+F64</f>
        <v>1.5414548335728289</v>
      </c>
      <c r="G68" s="1449">
        <f t="shared" si="12"/>
        <v>1.5452943047499998</v>
      </c>
      <c r="H68" s="1449">
        <f t="shared" si="12"/>
        <v>1.8327944509000003</v>
      </c>
      <c r="I68" s="1449">
        <f t="shared" si="12"/>
        <v>2.1438806262226402</v>
      </c>
      <c r="J68" s="1449">
        <f t="shared" si="12"/>
        <v>1.7040862642999999</v>
      </c>
      <c r="K68" s="1449">
        <f t="shared" si="12"/>
        <v>2.6415096270499991</v>
      </c>
      <c r="L68" s="1449">
        <f t="shared" si="12"/>
        <v>2.85075864583529</v>
      </c>
      <c r="M68" s="1449">
        <f t="shared" si="12"/>
        <v>3.0781762152653158</v>
      </c>
      <c r="N68" s="1449">
        <f t="shared" si="12"/>
        <v>3.3254408078340698</v>
      </c>
      <c r="O68" s="1449">
        <f t="shared" si="12"/>
        <v>3.5943917957901612</v>
      </c>
      <c r="P68" s="1449">
        <f t="shared" si="12"/>
        <v>3.8870451923134124</v>
      </c>
    </row>
    <row r="69" spans="3:16" ht="15.4" x14ac:dyDescent="0.4">
      <c r="C69" s="25" t="s">
        <v>1147</v>
      </c>
      <c r="E69" s="560">
        <f t="shared" ref="E69:P69" si="13">+E57+E61+E65</f>
        <v>0</v>
      </c>
      <c r="F69" s="560">
        <f t="shared" si="13"/>
        <v>0.21139193062493092</v>
      </c>
      <c r="G69" s="560">
        <f t="shared" si="13"/>
        <v>0.30569695926068968</v>
      </c>
      <c r="H69" s="560">
        <f t="shared" si="13"/>
        <v>0.30659597074510769</v>
      </c>
      <c r="I69" s="560">
        <f t="shared" si="13"/>
        <v>0.39902466156344352</v>
      </c>
      <c r="J69" s="560">
        <f t="shared" si="13"/>
        <v>0.28278978332331672</v>
      </c>
      <c r="K69" s="560">
        <f t="shared" si="13"/>
        <v>0.83892512365002658</v>
      </c>
      <c r="L69" s="560">
        <f t="shared" si="13"/>
        <v>1.344708377819626</v>
      </c>
      <c r="M69" s="560">
        <f t="shared" si="13"/>
        <v>1.5996353249023174</v>
      </c>
      <c r="N69" s="560">
        <f t="shared" si="13"/>
        <v>1.8608446402577521</v>
      </c>
      <c r="O69" s="560">
        <f t="shared" si="13"/>
        <v>2.1143293767783788</v>
      </c>
      <c r="P69" s="560">
        <f t="shared" si="13"/>
        <v>2.287010076419786</v>
      </c>
    </row>
    <row r="70" spans="3:16" ht="15.4" x14ac:dyDescent="0.4">
      <c r="C70" s="25" t="s">
        <v>1148</v>
      </c>
      <c r="E70" s="560">
        <f t="shared" ref="E70:P70" si="14">+E58+E62+E66</f>
        <v>0</v>
      </c>
      <c r="F70" s="560">
        <f t="shared" si="14"/>
        <v>1.3300629029478979</v>
      </c>
      <c r="G70" s="560">
        <f t="shared" si="14"/>
        <v>1.2395973454893099</v>
      </c>
      <c r="H70" s="560">
        <f t="shared" si="14"/>
        <v>1.5261984801548925</v>
      </c>
      <c r="I70" s="560">
        <f t="shared" si="14"/>
        <v>1.7448559646591968</v>
      </c>
      <c r="J70" s="560">
        <f t="shared" si="14"/>
        <v>1.421296480976683</v>
      </c>
      <c r="K70" s="560">
        <f t="shared" si="14"/>
        <v>1.8025845033999728</v>
      </c>
      <c r="L70" s="560">
        <f t="shared" si="14"/>
        <v>1.506050268015664</v>
      </c>
      <c r="M70" s="560">
        <f t="shared" si="14"/>
        <v>1.478540890362998</v>
      </c>
      <c r="N70" s="560">
        <f t="shared" si="14"/>
        <v>1.4645961675763177</v>
      </c>
      <c r="O70" s="560">
        <f t="shared" si="14"/>
        <v>1.4800624190117821</v>
      </c>
      <c r="P70" s="560">
        <f t="shared" si="14"/>
        <v>1.6000351158936266</v>
      </c>
    </row>
  </sheetData>
  <mergeCells count="16">
    <mergeCell ref="B2:P2"/>
    <mergeCell ref="B3:P3"/>
    <mergeCell ref="B4:P4"/>
    <mergeCell ref="Q12:Q14"/>
    <mergeCell ref="B22:B23"/>
    <mergeCell ref="C22:C23"/>
    <mergeCell ref="D22:D23"/>
    <mergeCell ref="Q9:Q10"/>
    <mergeCell ref="B9:B10"/>
    <mergeCell ref="C9:C10"/>
    <mergeCell ref="D9:D10"/>
    <mergeCell ref="L9:P9"/>
    <mergeCell ref="E10:J10"/>
    <mergeCell ref="Q22:Q23"/>
    <mergeCell ref="L22:P22"/>
    <mergeCell ref="E23:J23"/>
  </mergeCells>
  <pageMargins left="1.0236220472440944" right="0.23622047244094491" top="0.98425196850393704" bottom="0.98425196850393704" header="0.23622047244094491" footer="0.23622047244094491"/>
  <pageSetup paperSize="9" scale="46" orientation="landscape" r:id="rId1"/>
  <headerFooter alignWithMargins="0">
    <oddHeader>&amp;F</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N171"/>
  <sheetViews>
    <sheetView showGridLines="0" topLeftCell="A91" zoomScale="70" zoomScaleNormal="70" zoomScaleSheetLayoutView="80" workbookViewId="0">
      <selection activeCell="D103" sqref="D103:H107"/>
    </sheetView>
  </sheetViews>
  <sheetFormatPr defaultColWidth="9.33203125" defaultRowHeight="13.9" x14ac:dyDescent="0.4"/>
  <cols>
    <col min="1" max="1" width="9.33203125" style="1"/>
    <col min="2" max="2" width="7.33203125" style="1" customWidth="1"/>
    <col min="3" max="3" width="42.33203125" style="1" customWidth="1"/>
    <col min="4" max="4" width="13.33203125" style="1" customWidth="1"/>
    <col min="5" max="8" width="14.6640625" style="1" customWidth="1"/>
    <col min="9" max="13" width="13.6640625" style="1" customWidth="1"/>
    <col min="14" max="14" width="16.86328125" style="1" customWidth="1"/>
    <col min="15" max="18" width="13.6640625" style="1" customWidth="1"/>
    <col min="19" max="16384" width="9.33203125" style="1"/>
  </cols>
  <sheetData>
    <row r="1" spans="2:11" x14ac:dyDescent="0.4">
      <c r="B1" s="1937" t="str">
        <f>Index!B2</f>
        <v>Nidar Utilities Panvel LLP</v>
      </c>
      <c r="C1" s="1937"/>
      <c r="D1" s="1937"/>
      <c r="E1" s="1937"/>
      <c r="F1" s="1937"/>
      <c r="G1" s="1937"/>
      <c r="H1" s="1937"/>
      <c r="I1" s="1937"/>
      <c r="J1" s="1937"/>
      <c r="K1" s="1937"/>
    </row>
    <row r="2" spans="2:11" x14ac:dyDescent="0.4">
      <c r="B2" s="1875" t="s">
        <v>340</v>
      </c>
      <c r="C2" s="1875"/>
      <c r="D2" s="1875"/>
      <c r="E2" s="1875"/>
      <c r="F2" s="1875"/>
      <c r="G2" s="1875"/>
      <c r="H2" s="1875"/>
      <c r="I2" s="1875"/>
      <c r="J2" s="1875"/>
      <c r="K2" s="1875"/>
    </row>
    <row r="3" spans="2:11" x14ac:dyDescent="0.4">
      <c r="B3" s="1875" t="s">
        <v>341</v>
      </c>
      <c r="C3" s="1875"/>
      <c r="D3" s="1875"/>
      <c r="E3" s="1875"/>
      <c r="F3" s="1875"/>
      <c r="G3" s="1875"/>
      <c r="H3" s="1875"/>
      <c r="I3" s="1875"/>
      <c r="J3" s="1875"/>
      <c r="K3" s="1875"/>
    </row>
    <row r="4" spans="2:11" x14ac:dyDescent="0.4">
      <c r="B4" s="53"/>
      <c r="C4" s="53"/>
      <c r="D4" s="53"/>
      <c r="E4" s="53"/>
      <c r="F4" s="53"/>
      <c r="G4" s="53"/>
      <c r="H4" s="53"/>
      <c r="I4" s="53"/>
      <c r="J4" s="53"/>
      <c r="K4" s="53"/>
    </row>
    <row r="5" spans="2:11" x14ac:dyDescent="0.4">
      <c r="B5" s="269" t="s">
        <v>342</v>
      </c>
      <c r="C5" s="53"/>
      <c r="D5" s="53"/>
      <c r="E5" s="53"/>
      <c r="F5" s="53"/>
      <c r="G5" s="53"/>
      <c r="H5" s="53"/>
      <c r="I5" s="53"/>
      <c r="J5" s="53"/>
      <c r="K5" s="53"/>
    </row>
    <row r="6" spans="2:11" x14ac:dyDescent="0.4">
      <c r="B6" s="53"/>
      <c r="C6" s="53"/>
      <c r="D6" s="53"/>
      <c r="E6" s="53"/>
      <c r="F6" s="53"/>
      <c r="G6" s="53"/>
      <c r="H6" s="53"/>
      <c r="I6" s="53"/>
      <c r="J6" s="53"/>
      <c r="K6" s="53"/>
    </row>
    <row r="7" spans="2:11" x14ac:dyDescent="0.4">
      <c r="B7" s="16" t="s">
        <v>109</v>
      </c>
      <c r="C7" s="53"/>
      <c r="D7" s="53"/>
      <c r="E7" s="53"/>
      <c r="F7" s="53"/>
      <c r="G7" s="53"/>
      <c r="H7" s="53"/>
      <c r="I7" s="53"/>
      <c r="J7" s="53"/>
      <c r="K7" s="53"/>
    </row>
    <row r="8" spans="2:11" x14ac:dyDescent="0.4">
      <c r="B8" s="16"/>
      <c r="C8" s="53"/>
      <c r="D8" s="53"/>
      <c r="E8" s="53"/>
      <c r="F8" s="53"/>
      <c r="G8" s="53"/>
      <c r="H8" s="53"/>
      <c r="I8" s="15" t="s">
        <v>110</v>
      </c>
      <c r="J8" s="53"/>
      <c r="K8" s="53"/>
    </row>
    <row r="9" spans="2:11" x14ac:dyDescent="0.4">
      <c r="B9" s="1991" t="s">
        <v>1</v>
      </c>
      <c r="C9" s="1991" t="s">
        <v>111</v>
      </c>
      <c r="D9" s="1992" t="s">
        <v>343</v>
      </c>
      <c r="E9" s="1993"/>
      <c r="F9" s="1992" t="s">
        <v>344</v>
      </c>
      <c r="G9" s="1993"/>
      <c r="H9" s="1992" t="s">
        <v>345</v>
      </c>
      <c r="I9" s="1994"/>
    </row>
    <row r="10" spans="2:11" ht="27" x14ac:dyDescent="0.4">
      <c r="B10" s="1991"/>
      <c r="C10" s="1991"/>
      <c r="D10" s="278" t="s">
        <v>346</v>
      </c>
      <c r="E10" s="122" t="s">
        <v>347</v>
      </c>
      <c r="F10" s="278" t="s">
        <v>346</v>
      </c>
      <c r="G10" s="122" t="s">
        <v>347</v>
      </c>
      <c r="H10" s="122" t="s">
        <v>346</v>
      </c>
      <c r="I10" s="122" t="s">
        <v>347</v>
      </c>
    </row>
    <row r="11" spans="2:11" x14ac:dyDescent="0.4">
      <c r="B11" s="1991"/>
      <c r="C11" s="1991"/>
      <c r="D11" s="122" t="s">
        <v>128</v>
      </c>
      <c r="E11" s="122" t="s">
        <v>129</v>
      </c>
      <c r="F11" s="122" t="s">
        <v>130</v>
      </c>
      <c r="G11" s="122" t="s">
        <v>131</v>
      </c>
      <c r="H11" s="122" t="s">
        <v>132</v>
      </c>
      <c r="I11" s="122" t="s">
        <v>133</v>
      </c>
    </row>
    <row r="12" spans="2:11" x14ac:dyDescent="0.4">
      <c r="B12" s="89">
        <v>1</v>
      </c>
      <c r="C12" s="52" t="s">
        <v>348</v>
      </c>
      <c r="D12" s="86"/>
      <c r="E12" s="987">
        <f>+'F3'!I12</f>
        <v>2.4746886221063322</v>
      </c>
      <c r="F12" s="86"/>
      <c r="G12" s="987">
        <f>+'F3'!J12</f>
        <v>1.4250082301000004</v>
      </c>
      <c r="H12" s="86"/>
      <c r="I12" s="987">
        <f>+'F3'!K12</f>
        <v>2.8580511186499997</v>
      </c>
    </row>
    <row r="13" spans="2:11" x14ac:dyDescent="0.4">
      <c r="B13" s="89">
        <f>B12+1</f>
        <v>2</v>
      </c>
      <c r="C13" s="275" t="s">
        <v>349</v>
      </c>
      <c r="D13" s="86"/>
      <c r="E13" s="987">
        <f>+'F3'!I13</f>
        <v>1.4319210249500003</v>
      </c>
      <c r="F13" s="86"/>
      <c r="G13" s="987">
        <f>+'F3'!J13</f>
        <v>1.6712900385999996</v>
      </c>
      <c r="H13" s="86"/>
      <c r="I13" s="987">
        <f>+'F3'!K13</f>
        <v>1.9923188623000001</v>
      </c>
    </row>
    <row r="14" spans="2:11" x14ac:dyDescent="0.4">
      <c r="B14" s="89">
        <f>B13+1</f>
        <v>3</v>
      </c>
      <c r="C14" s="52" t="s">
        <v>350</v>
      </c>
      <c r="D14" s="86"/>
      <c r="E14" s="987">
        <f>+'F3'!I14</f>
        <v>7.4882944500000007E-2</v>
      </c>
      <c r="F14" s="86"/>
      <c r="G14" s="987">
        <f>+'F3'!J14</f>
        <v>6.843336500000001E-2</v>
      </c>
      <c r="H14" s="86"/>
      <c r="I14" s="987">
        <f>+'F3'!K14</f>
        <v>5.5290755000000004E-2</v>
      </c>
    </row>
    <row r="15" spans="2:11" x14ac:dyDescent="0.4">
      <c r="B15" s="54">
        <f>B14+1</f>
        <v>4</v>
      </c>
      <c r="C15" s="35" t="s">
        <v>351</v>
      </c>
      <c r="D15" s="988">
        <f t="shared" ref="D15:I15" si="0">SUM(D12:D14)</f>
        <v>0</v>
      </c>
      <c r="E15" s="988">
        <f t="shared" si="0"/>
        <v>3.9814925915563326</v>
      </c>
      <c r="F15" s="988">
        <f t="shared" si="0"/>
        <v>0</v>
      </c>
      <c r="G15" s="988">
        <f t="shared" si="0"/>
        <v>3.1647316337000002</v>
      </c>
      <c r="H15" s="988">
        <f t="shared" si="0"/>
        <v>0</v>
      </c>
      <c r="I15" s="988">
        <f t="shared" si="0"/>
        <v>4.9056607359499997</v>
      </c>
    </row>
    <row r="16" spans="2:11" x14ac:dyDescent="0.4">
      <c r="B16" s="54">
        <f>B15+1</f>
        <v>5</v>
      </c>
      <c r="C16" s="35" t="s">
        <v>352</v>
      </c>
      <c r="D16" s="2"/>
      <c r="E16" s="2"/>
      <c r="F16" s="2"/>
      <c r="G16" s="2"/>
      <c r="H16" s="2"/>
      <c r="I16" s="2"/>
    </row>
    <row r="17" spans="2:14" x14ac:dyDescent="0.4">
      <c r="B17" s="54">
        <f>B16+1</f>
        <v>6</v>
      </c>
      <c r="C17" s="55" t="s">
        <v>353</v>
      </c>
      <c r="D17" s="988">
        <f t="shared" ref="D17:I17" si="1">+D15+D16</f>
        <v>0</v>
      </c>
      <c r="E17" s="988">
        <f t="shared" si="1"/>
        <v>3.9814925915563326</v>
      </c>
      <c r="F17" s="988">
        <f t="shared" si="1"/>
        <v>0</v>
      </c>
      <c r="G17" s="988">
        <f t="shared" si="1"/>
        <v>3.1647316337000002</v>
      </c>
      <c r="H17" s="988">
        <f t="shared" si="1"/>
        <v>0</v>
      </c>
      <c r="I17" s="988">
        <f t="shared" si="1"/>
        <v>4.9056607359499997</v>
      </c>
    </row>
    <row r="18" spans="2:14" x14ac:dyDescent="0.4">
      <c r="B18" s="16"/>
      <c r="C18" s="53"/>
      <c r="D18" s="53"/>
      <c r="E18" s="53"/>
      <c r="F18" s="53"/>
      <c r="G18" s="53"/>
      <c r="H18" s="53"/>
      <c r="I18" s="53"/>
      <c r="J18" s="53"/>
      <c r="K18" s="53"/>
    </row>
    <row r="19" spans="2:14" x14ac:dyDescent="0.4">
      <c r="B19" s="6" t="s">
        <v>354</v>
      </c>
      <c r="D19" s="53"/>
      <c r="E19" s="53"/>
      <c r="F19" s="53"/>
      <c r="G19" s="53"/>
      <c r="H19" s="53"/>
      <c r="I19" s="53"/>
      <c r="J19" s="53"/>
      <c r="K19" s="53"/>
    </row>
    <row r="20" spans="2:14" x14ac:dyDescent="0.4">
      <c r="B20" s="1">
        <v>1</v>
      </c>
      <c r="C20" s="1" t="s">
        <v>355</v>
      </c>
      <c r="D20" s="53"/>
      <c r="E20" s="53"/>
      <c r="F20" s="53"/>
      <c r="G20" s="53"/>
      <c r="H20" s="53"/>
      <c r="I20" s="53"/>
      <c r="J20" s="53"/>
      <c r="K20" s="53"/>
    </row>
    <row r="21" spans="2:14" x14ac:dyDescent="0.4">
      <c r="B21" s="1">
        <v>2</v>
      </c>
      <c r="C21" s="1" t="s">
        <v>356</v>
      </c>
      <c r="D21" s="53"/>
      <c r="E21" s="53"/>
      <c r="F21" s="53"/>
      <c r="G21" s="53"/>
      <c r="H21" s="53"/>
      <c r="I21" s="53"/>
      <c r="J21" s="53"/>
      <c r="K21" s="53"/>
    </row>
    <row r="22" spans="2:14" x14ac:dyDescent="0.4">
      <c r="B22" s="1">
        <v>3</v>
      </c>
      <c r="C22" s="1" t="s">
        <v>357</v>
      </c>
      <c r="D22" s="53"/>
      <c r="E22" s="53"/>
      <c r="F22" s="53"/>
      <c r="G22" s="53"/>
      <c r="H22" s="53"/>
      <c r="I22" s="53"/>
      <c r="J22" s="53"/>
      <c r="K22" s="53"/>
    </row>
    <row r="23" spans="2:14" x14ac:dyDescent="0.4">
      <c r="D23" s="53"/>
      <c r="E23" s="53"/>
      <c r="F23" s="53"/>
      <c r="G23" s="53"/>
      <c r="H23" s="53"/>
      <c r="I23" s="53"/>
      <c r="J23" s="53"/>
      <c r="K23" s="53"/>
    </row>
    <row r="24" spans="2:14" x14ac:dyDescent="0.4">
      <c r="B24" s="1995" t="s">
        <v>338</v>
      </c>
      <c r="C24" s="1995"/>
      <c r="D24" s="1995"/>
      <c r="E24" s="1995"/>
      <c r="F24" s="1995"/>
      <c r="G24" s="1995"/>
      <c r="H24" s="1995"/>
    </row>
    <row r="25" spans="2:14" x14ac:dyDescent="0.4">
      <c r="N25" s="15" t="s">
        <v>110</v>
      </c>
    </row>
    <row r="26" spans="2:14" x14ac:dyDescent="0.4">
      <c r="B26" s="1991" t="s">
        <v>1</v>
      </c>
      <c r="C26" s="1991" t="s">
        <v>111</v>
      </c>
      <c r="D26" s="1992" t="s">
        <v>112</v>
      </c>
      <c r="E26" s="1994"/>
      <c r="F26" s="1993"/>
      <c r="G26" s="1992" t="s">
        <v>113</v>
      </c>
      <c r="H26" s="1994"/>
      <c r="I26" s="1993"/>
      <c r="J26" s="1992" t="s">
        <v>114</v>
      </c>
      <c r="K26" s="1994"/>
      <c r="L26" s="1994"/>
      <c r="M26" s="1994"/>
      <c r="N26" s="1993"/>
    </row>
    <row r="27" spans="2:14" ht="27" x14ac:dyDescent="0.4">
      <c r="B27" s="1991"/>
      <c r="C27" s="1996"/>
      <c r="D27" s="278" t="s">
        <v>358</v>
      </c>
      <c r="E27" s="122" t="s">
        <v>117</v>
      </c>
      <c r="F27" s="122" t="s">
        <v>118</v>
      </c>
      <c r="G27" s="278" t="s">
        <v>358</v>
      </c>
      <c r="H27" s="122" t="s">
        <v>117</v>
      </c>
      <c r="I27" s="122" t="s">
        <v>118</v>
      </c>
      <c r="J27" s="122" t="s">
        <v>358</v>
      </c>
      <c r="K27" s="122" t="s">
        <v>119</v>
      </c>
      <c r="L27" s="122" t="s">
        <v>120</v>
      </c>
      <c r="M27" s="122" t="s">
        <v>121</v>
      </c>
      <c r="N27" s="122" t="s">
        <v>122</v>
      </c>
    </row>
    <row r="28" spans="2:14" x14ac:dyDescent="0.4">
      <c r="B28" s="1991"/>
      <c r="C28" s="1996"/>
      <c r="D28" s="122" t="s">
        <v>128</v>
      </c>
      <c r="E28" s="122" t="s">
        <v>129</v>
      </c>
      <c r="F28" s="122" t="s">
        <v>359</v>
      </c>
      <c r="G28" s="122" t="s">
        <v>130</v>
      </c>
      <c r="H28" s="122" t="s">
        <v>131</v>
      </c>
      <c r="I28" s="122" t="s">
        <v>360</v>
      </c>
      <c r="J28" s="122" t="s">
        <v>132</v>
      </c>
      <c r="K28" s="122" t="s">
        <v>133</v>
      </c>
      <c r="L28" s="122" t="s">
        <v>332</v>
      </c>
      <c r="M28" s="122" t="s">
        <v>361</v>
      </c>
      <c r="N28" s="122" t="s">
        <v>134</v>
      </c>
    </row>
    <row r="29" spans="2:14" x14ac:dyDescent="0.4">
      <c r="B29" s="89">
        <v>1</v>
      </c>
      <c r="C29" s="2" t="s">
        <v>362</v>
      </c>
      <c r="D29" s="2"/>
      <c r="E29" s="2"/>
      <c r="F29" s="2"/>
      <c r="G29" s="2"/>
      <c r="H29" s="2"/>
      <c r="I29" s="2"/>
      <c r="J29" s="2"/>
      <c r="K29" s="2"/>
      <c r="L29" s="2"/>
      <c r="M29" s="2"/>
      <c r="N29" s="2"/>
    </row>
    <row r="30" spans="2:14" ht="15" customHeight="1" x14ac:dyDescent="0.4">
      <c r="B30" s="149">
        <v>2</v>
      </c>
      <c r="C30" s="2" t="s">
        <v>363</v>
      </c>
      <c r="D30" s="2"/>
      <c r="E30" s="2"/>
      <c r="F30" s="2"/>
      <c r="G30" s="2"/>
      <c r="H30" s="2"/>
      <c r="I30" s="2"/>
      <c r="J30" s="2"/>
      <c r="K30" s="2"/>
      <c r="L30" s="2"/>
      <c r="M30" s="2"/>
      <c r="N30" s="2"/>
    </row>
    <row r="31" spans="2:14" x14ac:dyDescent="0.4">
      <c r="B31" s="149">
        <v>3</v>
      </c>
      <c r="C31" s="2" t="s">
        <v>364</v>
      </c>
      <c r="D31" s="2"/>
      <c r="E31" s="2"/>
      <c r="F31" s="2"/>
      <c r="G31" s="2"/>
      <c r="H31" s="2"/>
      <c r="I31" s="2"/>
      <c r="J31" s="2"/>
      <c r="K31" s="2"/>
      <c r="L31" s="2"/>
      <c r="M31" s="2"/>
      <c r="N31" s="2"/>
    </row>
    <row r="32" spans="2:14" x14ac:dyDescent="0.4">
      <c r="B32" s="149" t="s">
        <v>365</v>
      </c>
      <c r="C32" s="2"/>
      <c r="D32" s="2"/>
      <c r="E32" s="2"/>
      <c r="F32" s="2"/>
      <c r="G32" s="2"/>
      <c r="H32" s="2"/>
      <c r="I32" s="2"/>
      <c r="J32" s="2"/>
      <c r="K32" s="2"/>
      <c r="L32" s="2"/>
      <c r="M32" s="2"/>
      <c r="N32" s="2"/>
    </row>
    <row r="34" spans="2:9" x14ac:dyDescent="0.4">
      <c r="B34" s="1" t="s">
        <v>366</v>
      </c>
    </row>
    <row r="35" spans="2:9" x14ac:dyDescent="0.4">
      <c r="B35" s="31"/>
    </row>
    <row r="36" spans="2:9" x14ac:dyDescent="0.4">
      <c r="B36" s="31"/>
    </row>
    <row r="37" spans="2:9" x14ac:dyDescent="0.4">
      <c r="B37" s="16" t="s">
        <v>149</v>
      </c>
    </row>
    <row r="38" spans="2:9" x14ac:dyDescent="0.4">
      <c r="B38" s="16"/>
      <c r="I38" s="15" t="s">
        <v>110</v>
      </c>
    </row>
    <row r="39" spans="2:9" x14ac:dyDescent="0.4">
      <c r="B39" s="1991" t="s">
        <v>1</v>
      </c>
      <c r="C39" s="1991" t="s">
        <v>111</v>
      </c>
      <c r="D39" s="1992" t="s">
        <v>343</v>
      </c>
      <c r="E39" s="1993"/>
      <c r="F39" s="1992" t="s">
        <v>344</v>
      </c>
      <c r="G39" s="1993"/>
      <c r="H39" s="1992" t="s">
        <v>345</v>
      </c>
      <c r="I39" s="1994"/>
    </row>
    <row r="40" spans="2:9" ht="27" x14ac:dyDescent="0.4">
      <c r="B40" s="1991"/>
      <c r="C40" s="1991"/>
      <c r="D40" s="278" t="s">
        <v>346</v>
      </c>
      <c r="E40" s="122" t="s">
        <v>347</v>
      </c>
      <c r="F40" s="278" t="s">
        <v>346</v>
      </c>
      <c r="G40" s="122" t="s">
        <v>347</v>
      </c>
      <c r="H40" s="122" t="s">
        <v>346</v>
      </c>
      <c r="I40" s="122" t="s">
        <v>347</v>
      </c>
    </row>
    <row r="41" spans="2:9" x14ac:dyDescent="0.4">
      <c r="B41" s="1991"/>
      <c r="C41" s="1991"/>
      <c r="D41" s="122" t="s">
        <v>128</v>
      </c>
      <c r="E41" s="122" t="s">
        <v>129</v>
      </c>
      <c r="F41" s="122" t="s">
        <v>130</v>
      </c>
      <c r="G41" s="122" t="s">
        <v>131</v>
      </c>
      <c r="H41" s="122" t="s">
        <v>132</v>
      </c>
      <c r="I41" s="122" t="s">
        <v>133</v>
      </c>
    </row>
    <row r="42" spans="2:9" x14ac:dyDescent="0.4">
      <c r="B42" s="89">
        <v>1</v>
      </c>
      <c r="C42" s="52" t="s">
        <v>348</v>
      </c>
      <c r="D42" s="86"/>
      <c r="E42" s="987">
        <f>+'F3'!I25</f>
        <v>1.3325246426726403</v>
      </c>
      <c r="F42" s="86"/>
      <c r="G42" s="987">
        <f>+'F3'!J25</f>
        <v>0.76731212390000014</v>
      </c>
      <c r="H42" s="86"/>
      <c r="I42" s="987">
        <f>+'F3'!K25</f>
        <v>1.5389506023499997</v>
      </c>
    </row>
    <row r="43" spans="2:9" x14ac:dyDescent="0.4">
      <c r="B43" s="89">
        <f>B42+1</f>
        <v>2</v>
      </c>
      <c r="C43" s="275" t="s">
        <v>349</v>
      </c>
      <c r="D43" s="86"/>
      <c r="E43" s="987">
        <f>+'F3'!I26</f>
        <v>0.77103439805000007</v>
      </c>
      <c r="F43" s="86"/>
      <c r="G43" s="987">
        <f>+'F3'!J26</f>
        <v>0.89992540539999977</v>
      </c>
      <c r="H43" s="86"/>
      <c r="I43" s="987">
        <f>+'F3'!K26</f>
        <v>1.0727870796999999</v>
      </c>
    </row>
    <row r="44" spans="2:9" x14ac:dyDescent="0.4">
      <c r="B44" s="89">
        <f>B43+1</f>
        <v>3</v>
      </c>
      <c r="C44" s="52" t="s">
        <v>350</v>
      </c>
      <c r="D44" s="86"/>
      <c r="E44" s="987">
        <f>+'F3'!I27</f>
        <v>4.03215855E-2</v>
      </c>
      <c r="F44" s="86"/>
      <c r="G44" s="987">
        <f>+'F3'!J27</f>
        <v>3.6848735000000001E-2</v>
      </c>
      <c r="H44" s="86"/>
      <c r="I44" s="987">
        <f>+'F3'!K27</f>
        <v>2.9771945000000001E-2</v>
      </c>
    </row>
    <row r="45" spans="2:9" x14ac:dyDescent="0.4">
      <c r="B45" s="54">
        <f>B44+1</f>
        <v>4</v>
      </c>
      <c r="C45" s="56" t="s">
        <v>351</v>
      </c>
      <c r="D45" s="988">
        <f t="shared" ref="D45:I45" si="2">SUM(D42:D44)</f>
        <v>0</v>
      </c>
      <c r="E45" s="988">
        <f t="shared" si="2"/>
        <v>2.1438806262226402</v>
      </c>
      <c r="F45" s="988">
        <f t="shared" si="2"/>
        <v>0</v>
      </c>
      <c r="G45" s="988">
        <f t="shared" si="2"/>
        <v>1.7040862642999999</v>
      </c>
      <c r="H45" s="988">
        <f t="shared" si="2"/>
        <v>0</v>
      </c>
      <c r="I45" s="988">
        <f t="shared" si="2"/>
        <v>2.6415096270499991</v>
      </c>
    </row>
    <row r="46" spans="2:9" x14ac:dyDescent="0.4">
      <c r="B46" s="54">
        <f>B45+1</f>
        <v>5</v>
      </c>
      <c r="C46" s="35" t="s">
        <v>352</v>
      </c>
      <c r="D46" s="2"/>
      <c r="E46" s="2"/>
      <c r="F46" s="2"/>
      <c r="G46" s="2"/>
      <c r="H46" s="2"/>
      <c r="I46" s="2"/>
    </row>
    <row r="47" spans="2:9" ht="27.4" x14ac:dyDescent="0.4">
      <c r="B47" s="54">
        <f>B46+1</f>
        <v>6</v>
      </c>
      <c r="C47" s="989" t="s">
        <v>353</v>
      </c>
      <c r="D47" s="988">
        <f t="shared" ref="D47:I47" si="3">+D45+D46</f>
        <v>0</v>
      </c>
      <c r="E47" s="988">
        <f t="shared" si="3"/>
        <v>2.1438806262226402</v>
      </c>
      <c r="F47" s="988">
        <f t="shared" si="3"/>
        <v>0</v>
      </c>
      <c r="G47" s="988">
        <f t="shared" si="3"/>
        <v>1.7040862642999999</v>
      </c>
      <c r="H47" s="988">
        <f t="shared" si="3"/>
        <v>0</v>
      </c>
      <c r="I47" s="988">
        <f t="shared" si="3"/>
        <v>2.6415096270499991</v>
      </c>
    </row>
    <row r="48" spans="2:9" x14ac:dyDescent="0.4">
      <c r="B48" s="16"/>
    </row>
    <row r="49" spans="2:14" x14ac:dyDescent="0.4">
      <c r="B49" s="6" t="s">
        <v>354</v>
      </c>
      <c r="D49" s="53"/>
      <c r="E49" s="53"/>
      <c r="F49" s="53"/>
      <c r="G49" s="53"/>
      <c r="H49" s="53"/>
      <c r="I49" s="53"/>
      <c r="J49" s="53"/>
      <c r="K49" s="53"/>
    </row>
    <row r="50" spans="2:14" x14ac:dyDescent="0.4">
      <c r="B50" s="1">
        <v>1</v>
      </c>
      <c r="C50" s="1" t="s">
        <v>355</v>
      </c>
      <c r="D50" s="53"/>
      <c r="E50" s="53"/>
      <c r="F50" s="53"/>
      <c r="G50" s="53"/>
      <c r="H50" s="53"/>
      <c r="I50" s="53"/>
      <c r="J50" s="53"/>
      <c r="K50" s="53"/>
    </row>
    <row r="51" spans="2:14" x14ac:dyDescent="0.4">
      <c r="B51" s="1">
        <v>2</v>
      </c>
      <c r="C51" s="1" t="s">
        <v>356</v>
      </c>
      <c r="D51" s="53"/>
      <c r="E51" s="53"/>
      <c r="F51" s="53"/>
      <c r="G51" s="53"/>
      <c r="H51" s="53"/>
      <c r="I51" s="53"/>
      <c r="J51" s="53"/>
      <c r="K51" s="53"/>
    </row>
    <row r="52" spans="2:14" x14ac:dyDescent="0.4">
      <c r="B52" s="1">
        <v>3</v>
      </c>
      <c r="C52" s="1" t="s">
        <v>357</v>
      </c>
      <c r="D52" s="53"/>
      <c r="E52" s="53"/>
      <c r="F52" s="53"/>
      <c r="G52" s="53"/>
      <c r="H52" s="53"/>
      <c r="I52" s="53"/>
      <c r="J52" s="53"/>
      <c r="K52" s="53"/>
    </row>
    <row r="53" spans="2:14" x14ac:dyDescent="0.4">
      <c r="D53" s="53"/>
      <c r="E53" s="53"/>
      <c r="F53" s="53"/>
      <c r="G53" s="53"/>
      <c r="H53" s="53"/>
      <c r="I53" s="53"/>
      <c r="J53" s="53"/>
      <c r="K53" s="53"/>
    </row>
    <row r="54" spans="2:14" x14ac:dyDescent="0.4">
      <c r="B54" s="1995" t="s">
        <v>338</v>
      </c>
      <c r="C54" s="1995"/>
      <c r="D54" s="1995"/>
      <c r="E54" s="1995"/>
      <c r="F54" s="1995"/>
      <c r="G54" s="1995"/>
      <c r="H54" s="1995"/>
      <c r="I54" s="53"/>
      <c r="J54" s="53"/>
      <c r="K54" s="53"/>
    </row>
    <row r="55" spans="2:14" x14ac:dyDescent="0.4">
      <c r="B55" s="53"/>
      <c r="C55" s="6"/>
      <c r="N55" s="15" t="s">
        <v>110</v>
      </c>
    </row>
    <row r="56" spans="2:14" x14ac:dyDescent="0.4">
      <c r="B56" s="1991" t="s">
        <v>1</v>
      </c>
      <c r="C56" s="1991" t="s">
        <v>111</v>
      </c>
      <c r="D56" s="1992" t="s">
        <v>112</v>
      </c>
      <c r="E56" s="1994"/>
      <c r="F56" s="1993"/>
      <c r="G56" s="1992" t="s">
        <v>113</v>
      </c>
      <c r="H56" s="1994"/>
      <c r="I56" s="1993"/>
      <c r="J56" s="1992" t="s">
        <v>114</v>
      </c>
      <c r="K56" s="1994"/>
      <c r="L56" s="1994"/>
      <c r="M56" s="1994"/>
      <c r="N56" s="1993"/>
    </row>
    <row r="57" spans="2:14" ht="27" x14ac:dyDescent="0.4">
      <c r="B57" s="1991"/>
      <c r="C57" s="1996"/>
      <c r="D57" s="278" t="s">
        <v>358</v>
      </c>
      <c r="E57" s="122" t="s">
        <v>117</v>
      </c>
      <c r="F57" s="122" t="s">
        <v>118</v>
      </c>
      <c r="G57" s="278" t="s">
        <v>358</v>
      </c>
      <c r="H57" s="122" t="s">
        <v>117</v>
      </c>
      <c r="I57" s="122" t="s">
        <v>118</v>
      </c>
      <c r="J57" s="122" t="s">
        <v>358</v>
      </c>
      <c r="K57" s="122" t="s">
        <v>119</v>
      </c>
      <c r="L57" s="122" t="s">
        <v>120</v>
      </c>
      <c r="M57" s="122" t="s">
        <v>121</v>
      </c>
      <c r="N57" s="122" t="s">
        <v>122</v>
      </c>
    </row>
    <row r="58" spans="2:14" x14ac:dyDescent="0.4">
      <c r="B58" s="1991"/>
      <c r="C58" s="1996"/>
      <c r="D58" s="122" t="s">
        <v>128</v>
      </c>
      <c r="E58" s="122" t="s">
        <v>129</v>
      </c>
      <c r="F58" s="122" t="s">
        <v>359</v>
      </c>
      <c r="G58" s="122" t="s">
        <v>130</v>
      </c>
      <c r="H58" s="122" t="s">
        <v>131</v>
      </c>
      <c r="I58" s="122" t="s">
        <v>360</v>
      </c>
      <c r="J58" s="122" t="s">
        <v>132</v>
      </c>
      <c r="K58" s="122" t="s">
        <v>133</v>
      </c>
      <c r="L58" s="122" t="s">
        <v>332</v>
      </c>
      <c r="M58" s="122" t="s">
        <v>361</v>
      </c>
      <c r="N58" s="122" t="s">
        <v>134</v>
      </c>
    </row>
    <row r="59" spans="2:14" x14ac:dyDescent="0.4">
      <c r="B59" s="89">
        <v>1</v>
      </c>
      <c r="C59" s="2" t="s">
        <v>362</v>
      </c>
      <c r="D59" s="2"/>
      <c r="E59" s="2"/>
      <c r="F59" s="2"/>
      <c r="G59" s="2"/>
      <c r="H59" s="2"/>
      <c r="I59" s="2"/>
      <c r="J59" s="2"/>
      <c r="K59" s="2"/>
      <c r="L59" s="2"/>
      <c r="M59" s="2"/>
      <c r="N59" s="2"/>
    </row>
    <row r="60" spans="2:14" x14ac:dyDescent="0.4">
      <c r="B60" s="149">
        <v>2</v>
      </c>
      <c r="C60" s="2" t="s">
        <v>363</v>
      </c>
      <c r="D60" s="2"/>
      <c r="E60" s="2"/>
      <c r="F60" s="2"/>
      <c r="G60" s="2"/>
      <c r="H60" s="2"/>
      <c r="I60" s="2"/>
      <c r="J60" s="2"/>
      <c r="K60" s="2"/>
      <c r="L60" s="2"/>
      <c r="M60" s="2"/>
      <c r="N60" s="2"/>
    </row>
    <row r="61" spans="2:14" x14ac:dyDescent="0.4">
      <c r="B61" s="149">
        <v>3</v>
      </c>
      <c r="C61" s="2" t="s">
        <v>364</v>
      </c>
      <c r="D61" s="2"/>
      <c r="E61" s="2"/>
      <c r="F61" s="2"/>
      <c r="G61" s="2"/>
      <c r="H61" s="2"/>
      <c r="I61" s="2"/>
      <c r="J61" s="2"/>
      <c r="K61" s="2"/>
      <c r="L61" s="2"/>
      <c r="M61" s="2"/>
      <c r="N61" s="2"/>
    </row>
    <row r="62" spans="2:14" x14ac:dyDescent="0.4">
      <c r="B62" s="149" t="s">
        <v>365</v>
      </c>
      <c r="C62" s="2"/>
      <c r="D62" s="2"/>
      <c r="E62" s="2"/>
      <c r="F62" s="2"/>
      <c r="G62" s="2"/>
      <c r="H62" s="2"/>
      <c r="I62" s="2"/>
      <c r="J62" s="2"/>
      <c r="K62" s="2"/>
      <c r="L62" s="2"/>
      <c r="M62" s="2"/>
      <c r="N62" s="2"/>
    </row>
    <row r="63" spans="2:14" x14ac:dyDescent="0.4">
      <c r="B63" s="53"/>
      <c r="C63" s="6"/>
    </row>
    <row r="64" spans="2:14" x14ac:dyDescent="0.4">
      <c r="B64" s="1" t="s">
        <v>367</v>
      </c>
      <c r="C64" s="6"/>
    </row>
    <row r="65" spans="2:8" x14ac:dyDescent="0.4">
      <c r="B65" s="53"/>
      <c r="C65" s="6"/>
    </row>
    <row r="66" spans="2:8" x14ac:dyDescent="0.4">
      <c r="B66" s="269" t="s">
        <v>368</v>
      </c>
      <c r="C66" s="6"/>
    </row>
    <row r="67" spans="2:8" x14ac:dyDescent="0.4">
      <c r="B67" s="53"/>
      <c r="C67" s="6"/>
    </row>
    <row r="68" spans="2:8" x14ac:dyDescent="0.4">
      <c r="B68" s="16" t="s">
        <v>109</v>
      </c>
      <c r="C68" s="6"/>
    </row>
    <row r="69" spans="2:8" x14ac:dyDescent="0.4">
      <c r="B69" s="53"/>
      <c r="C69" s="6"/>
      <c r="H69" s="15" t="s">
        <v>110</v>
      </c>
    </row>
    <row r="70" spans="2:8" x14ac:dyDescent="0.4">
      <c r="B70" s="1991" t="s">
        <v>1</v>
      </c>
      <c r="C70" s="1991" t="s">
        <v>111</v>
      </c>
      <c r="D70" s="216" t="s">
        <v>123</v>
      </c>
      <c r="E70" s="216" t="s">
        <v>124</v>
      </c>
      <c r="F70" s="216" t="s">
        <v>125</v>
      </c>
      <c r="G70" s="216" t="s">
        <v>126</v>
      </c>
      <c r="H70" s="216" t="s">
        <v>127</v>
      </c>
    </row>
    <row r="71" spans="2:8" x14ac:dyDescent="0.4">
      <c r="B71" s="1991"/>
      <c r="C71" s="1996"/>
      <c r="D71" s="216" t="s">
        <v>135</v>
      </c>
      <c r="E71" s="216" t="s">
        <v>135</v>
      </c>
      <c r="F71" s="216" t="s">
        <v>135</v>
      </c>
      <c r="G71" s="216" t="s">
        <v>135</v>
      </c>
      <c r="H71" s="216" t="s">
        <v>135</v>
      </c>
    </row>
    <row r="72" spans="2:8" ht="27.75" x14ac:dyDescent="0.4">
      <c r="B72" s="89">
        <v>1</v>
      </c>
      <c r="C72" s="263" t="s">
        <v>369</v>
      </c>
      <c r="D72" s="2"/>
      <c r="E72" s="2"/>
      <c r="F72" s="2"/>
      <c r="G72" s="2"/>
      <c r="H72" s="2"/>
    </row>
    <row r="73" spans="2:8" x14ac:dyDescent="0.4">
      <c r="B73" s="89">
        <v>2</v>
      </c>
      <c r="C73" s="2" t="s">
        <v>370</v>
      </c>
      <c r="D73" s="2"/>
      <c r="E73" s="2"/>
      <c r="F73" s="2"/>
      <c r="G73" s="2"/>
      <c r="H73" s="2"/>
    </row>
    <row r="74" spans="2:8" x14ac:dyDescent="0.4">
      <c r="B74" s="264">
        <v>3</v>
      </c>
      <c r="C74" s="3" t="s">
        <v>371</v>
      </c>
      <c r="D74" s="2"/>
      <c r="E74" s="2"/>
      <c r="F74" s="2"/>
      <c r="G74" s="2"/>
      <c r="H74" s="2"/>
    </row>
    <row r="75" spans="2:8" x14ac:dyDescent="0.4">
      <c r="B75" s="53"/>
      <c r="C75" s="6"/>
    </row>
    <row r="76" spans="2:8" x14ac:dyDescent="0.4">
      <c r="B76" s="83" t="s">
        <v>372</v>
      </c>
      <c r="C76" s="6"/>
    </row>
    <row r="77" spans="2:8" x14ac:dyDescent="0.4">
      <c r="B77" s="83"/>
      <c r="C77" s="6"/>
    </row>
    <row r="78" spans="2:8" x14ac:dyDescent="0.4">
      <c r="B78" s="1995" t="s">
        <v>338</v>
      </c>
      <c r="C78" s="1995"/>
      <c r="D78" s="1995"/>
      <c r="E78" s="1995"/>
      <c r="F78" s="1995"/>
      <c r="G78" s="1995"/>
      <c r="H78" s="1995"/>
    </row>
    <row r="79" spans="2:8" x14ac:dyDescent="0.4">
      <c r="B79" s="53"/>
      <c r="C79" s="6"/>
      <c r="H79" s="15" t="s">
        <v>110</v>
      </c>
    </row>
    <row r="80" spans="2:8" x14ac:dyDescent="0.4">
      <c r="B80" s="1991" t="s">
        <v>1</v>
      </c>
      <c r="C80" s="1991" t="s">
        <v>111</v>
      </c>
      <c r="D80" s="216" t="s">
        <v>123</v>
      </c>
      <c r="E80" s="216" t="s">
        <v>124</v>
      </c>
      <c r="F80" s="216" t="s">
        <v>125</v>
      </c>
      <c r="G80" s="216" t="s">
        <v>126</v>
      </c>
      <c r="H80" s="216" t="s">
        <v>127</v>
      </c>
    </row>
    <row r="81" spans="2:8" x14ac:dyDescent="0.4">
      <c r="B81" s="1991"/>
      <c r="C81" s="1996"/>
      <c r="D81" s="216" t="s">
        <v>135</v>
      </c>
      <c r="E81" s="216" t="s">
        <v>135</v>
      </c>
      <c r="F81" s="216" t="s">
        <v>135</v>
      </c>
      <c r="G81" s="216" t="s">
        <v>135</v>
      </c>
      <c r="H81" s="216" t="s">
        <v>135</v>
      </c>
    </row>
    <row r="82" spans="2:8" x14ac:dyDescent="0.4">
      <c r="B82" s="89">
        <v>1</v>
      </c>
      <c r="C82" s="2" t="s">
        <v>362</v>
      </c>
      <c r="D82" s="2"/>
      <c r="E82" s="2"/>
      <c r="F82" s="2"/>
      <c r="G82" s="2"/>
      <c r="H82" s="2"/>
    </row>
    <row r="83" spans="2:8" x14ac:dyDescent="0.4">
      <c r="B83" s="149">
        <v>2</v>
      </c>
      <c r="C83" s="2" t="s">
        <v>363</v>
      </c>
      <c r="D83" s="2"/>
      <c r="E83" s="2"/>
      <c r="F83" s="2"/>
      <c r="G83" s="2"/>
      <c r="H83" s="2"/>
    </row>
    <row r="84" spans="2:8" x14ac:dyDescent="0.4">
      <c r="B84" s="149">
        <v>3</v>
      </c>
      <c r="C84" s="2" t="s">
        <v>364</v>
      </c>
      <c r="D84" s="2"/>
      <c r="E84" s="2"/>
      <c r="F84" s="2"/>
      <c r="G84" s="2"/>
      <c r="H84" s="2"/>
    </row>
    <row r="85" spans="2:8" x14ac:dyDescent="0.4">
      <c r="B85" s="149" t="s">
        <v>365</v>
      </c>
      <c r="C85" s="2"/>
      <c r="D85" s="2"/>
      <c r="E85" s="2"/>
      <c r="F85" s="2"/>
      <c r="G85" s="2"/>
      <c r="H85" s="2"/>
    </row>
    <row r="86" spans="2:8" x14ac:dyDescent="0.4">
      <c r="B86" s="31"/>
    </row>
    <row r="87" spans="2:8" x14ac:dyDescent="0.4">
      <c r="B87" s="1" t="s">
        <v>367</v>
      </c>
      <c r="C87" s="6"/>
    </row>
    <row r="88" spans="2:8" x14ac:dyDescent="0.4">
      <c r="B88" s="53"/>
      <c r="C88" s="6"/>
    </row>
    <row r="89" spans="2:8" x14ac:dyDescent="0.4">
      <c r="B89" s="16" t="s">
        <v>149</v>
      </c>
      <c r="C89" s="6"/>
    </row>
    <row r="90" spans="2:8" x14ac:dyDescent="0.4">
      <c r="B90" s="53"/>
      <c r="C90" s="6"/>
      <c r="H90" s="15" t="s">
        <v>110</v>
      </c>
    </row>
    <row r="91" spans="2:8" x14ac:dyDescent="0.4">
      <c r="B91" s="1991" t="s">
        <v>1</v>
      </c>
      <c r="C91" s="1991" t="s">
        <v>111</v>
      </c>
      <c r="D91" s="216" t="s">
        <v>123</v>
      </c>
      <c r="E91" s="216" t="s">
        <v>124</v>
      </c>
      <c r="F91" s="216" t="s">
        <v>125</v>
      </c>
      <c r="G91" s="216" t="s">
        <v>126</v>
      </c>
      <c r="H91" s="216" t="s">
        <v>127</v>
      </c>
    </row>
    <row r="92" spans="2:8" x14ac:dyDescent="0.4">
      <c r="B92" s="1991"/>
      <c r="C92" s="1996"/>
      <c r="D92" s="216" t="s">
        <v>135</v>
      </c>
      <c r="E92" s="216" t="s">
        <v>135</v>
      </c>
      <c r="F92" s="216" t="s">
        <v>135</v>
      </c>
      <c r="G92" s="216" t="s">
        <v>135</v>
      </c>
      <c r="H92" s="216" t="s">
        <v>135</v>
      </c>
    </row>
    <row r="93" spans="2:8" ht="41.65" x14ac:dyDescent="0.4">
      <c r="B93" s="89">
        <v>1</v>
      </c>
      <c r="C93" s="263" t="s">
        <v>373</v>
      </c>
      <c r="D93" s="2"/>
      <c r="E93" s="2"/>
      <c r="F93" s="2"/>
      <c r="G93" s="2"/>
      <c r="H93" s="2"/>
    </row>
    <row r="94" spans="2:8" x14ac:dyDescent="0.4">
      <c r="B94" s="89">
        <v>2</v>
      </c>
      <c r="C94" s="2" t="s">
        <v>374</v>
      </c>
      <c r="D94" s="2"/>
      <c r="E94" s="2"/>
      <c r="F94" s="2"/>
      <c r="G94" s="2"/>
      <c r="H94" s="2"/>
    </row>
    <row r="95" spans="2:8" x14ac:dyDescent="0.4">
      <c r="B95" s="264">
        <v>3</v>
      </c>
      <c r="C95" s="3" t="s">
        <v>371</v>
      </c>
      <c r="D95" s="2"/>
      <c r="E95" s="2"/>
      <c r="F95" s="2"/>
      <c r="G95" s="2"/>
      <c r="H95" s="2"/>
    </row>
    <row r="96" spans="2:8" x14ac:dyDescent="0.4">
      <c r="B96" s="53"/>
      <c r="C96" s="6"/>
    </row>
    <row r="97" spans="2:8" x14ac:dyDescent="0.4">
      <c r="B97" s="83" t="s">
        <v>375</v>
      </c>
      <c r="C97" s="6"/>
    </row>
    <row r="98" spans="2:8" x14ac:dyDescent="0.4">
      <c r="B98" s="83"/>
      <c r="C98" s="6"/>
    </row>
    <row r="99" spans="2:8" x14ac:dyDescent="0.4">
      <c r="B99" s="1995" t="s">
        <v>338</v>
      </c>
      <c r="C99" s="1995"/>
      <c r="D99" s="1995"/>
      <c r="E99" s="1995"/>
      <c r="F99" s="1995"/>
      <c r="G99" s="1995"/>
      <c r="H99" s="1995"/>
    </row>
    <row r="100" spans="2:8" x14ac:dyDescent="0.4">
      <c r="B100" s="53"/>
      <c r="C100" s="6"/>
      <c r="H100" s="15" t="s">
        <v>110</v>
      </c>
    </row>
    <row r="101" spans="2:8" x14ac:dyDescent="0.4">
      <c r="B101" s="1991" t="s">
        <v>1</v>
      </c>
      <c r="C101" s="1991" t="s">
        <v>111</v>
      </c>
      <c r="D101" s="216" t="s">
        <v>123</v>
      </c>
      <c r="E101" s="216" t="s">
        <v>124</v>
      </c>
      <c r="F101" s="216" t="s">
        <v>125</v>
      </c>
      <c r="G101" s="216" t="s">
        <v>126</v>
      </c>
      <c r="H101" s="216" t="s">
        <v>127</v>
      </c>
    </row>
    <row r="102" spans="2:8" x14ac:dyDescent="0.4">
      <c r="B102" s="1991"/>
      <c r="C102" s="1996"/>
      <c r="D102" s="216" t="s">
        <v>135</v>
      </c>
      <c r="E102" s="216" t="s">
        <v>135</v>
      </c>
      <c r="F102" s="216" t="s">
        <v>135</v>
      </c>
      <c r="G102" s="216" t="s">
        <v>135</v>
      </c>
      <c r="H102" s="216" t="s">
        <v>135</v>
      </c>
    </row>
    <row r="103" spans="2:8" x14ac:dyDescent="0.4">
      <c r="B103" s="89">
        <v>1</v>
      </c>
      <c r="C103" s="2" t="s">
        <v>362</v>
      </c>
      <c r="D103" s="2"/>
      <c r="E103" s="2"/>
      <c r="F103" s="2"/>
      <c r="G103" s="2"/>
      <c r="H103" s="2"/>
    </row>
    <row r="104" spans="2:8" x14ac:dyDescent="0.4">
      <c r="B104" s="149">
        <v>2</v>
      </c>
      <c r="C104" s="2" t="s">
        <v>363</v>
      </c>
      <c r="D104" s="2"/>
      <c r="E104" s="2"/>
      <c r="F104" s="2"/>
      <c r="G104" s="2"/>
      <c r="H104" s="2"/>
    </row>
    <row r="105" spans="2:8" x14ac:dyDescent="0.4">
      <c r="B105" s="149">
        <v>3</v>
      </c>
      <c r="C105" s="2" t="s">
        <v>364</v>
      </c>
      <c r="D105" s="2"/>
      <c r="E105" s="2"/>
      <c r="F105" s="2"/>
      <c r="G105" s="2"/>
      <c r="H105" s="2"/>
    </row>
    <row r="106" spans="2:8" x14ac:dyDescent="0.4">
      <c r="B106" s="149" t="s">
        <v>365</v>
      </c>
      <c r="C106" s="2"/>
      <c r="D106" s="2"/>
      <c r="E106" s="2"/>
      <c r="F106" s="2"/>
      <c r="G106" s="2"/>
      <c r="H106" s="2"/>
    </row>
    <row r="107" spans="2:8" x14ac:dyDescent="0.4">
      <c r="B107" s="53"/>
      <c r="C107" s="6"/>
    </row>
    <row r="108" spans="2:8" x14ac:dyDescent="0.4">
      <c r="B108" s="1" t="s">
        <v>367</v>
      </c>
      <c r="C108" s="6"/>
    </row>
    <row r="109" spans="2:8" x14ac:dyDescent="0.4">
      <c r="B109" s="53"/>
      <c r="C109" s="6"/>
    </row>
    <row r="110" spans="2:8" x14ac:dyDescent="0.4">
      <c r="B110" s="53"/>
      <c r="C110" s="6"/>
    </row>
    <row r="111" spans="2:8" x14ac:dyDescent="0.4">
      <c r="B111" s="53"/>
      <c r="C111" s="6"/>
    </row>
    <row r="112" spans="2:8" x14ac:dyDescent="0.4">
      <c r="B112" s="53"/>
      <c r="C112" s="6"/>
    </row>
    <row r="113" spans="2:3" x14ac:dyDescent="0.4">
      <c r="B113" s="53"/>
      <c r="C113" s="6"/>
    </row>
    <row r="114" spans="2:3" x14ac:dyDescent="0.4">
      <c r="B114" s="53"/>
      <c r="C114" s="6"/>
    </row>
    <row r="115" spans="2:3" x14ac:dyDescent="0.4">
      <c r="B115" s="53"/>
      <c r="C115" s="6"/>
    </row>
    <row r="116" spans="2:3" x14ac:dyDescent="0.4">
      <c r="B116" s="53"/>
      <c r="C116" s="6"/>
    </row>
    <row r="117" spans="2:3" x14ac:dyDescent="0.4">
      <c r="B117" s="53"/>
      <c r="C117" s="6"/>
    </row>
    <row r="118" spans="2:3" x14ac:dyDescent="0.4">
      <c r="B118" s="53"/>
      <c r="C118" s="6"/>
    </row>
    <row r="119" spans="2:3" x14ac:dyDescent="0.4">
      <c r="B119" s="53"/>
      <c r="C119" s="6"/>
    </row>
    <row r="120" spans="2:3" x14ac:dyDescent="0.4">
      <c r="B120" s="53"/>
      <c r="C120" s="6"/>
    </row>
    <row r="121" spans="2:3" x14ac:dyDescent="0.4">
      <c r="B121" s="53"/>
      <c r="C121" s="6"/>
    </row>
    <row r="122" spans="2:3" x14ac:dyDescent="0.4">
      <c r="B122" s="53"/>
      <c r="C122" s="6"/>
    </row>
    <row r="123" spans="2:3" x14ac:dyDescent="0.4">
      <c r="B123" s="53"/>
      <c r="C123" s="6"/>
    </row>
    <row r="124" spans="2:3" x14ac:dyDescent="0.4">
      <c r="B124" s="53"/>
      <c r="C124" s="6"/>
    </row>
    <row r="125" spans="2:3" x14ac:dyDescent="0.4">
      <c r="B125" s="53"/>
      <c r="C125" s="6"/>
    </row>
    <row r="126" spans="2:3" x14ac:dyDescent="0.4">
      <c r="B126" s="53"/>
      <c r="C126" s="6"/>
    </row>
    <row r="127" spans="2:3" x14ac:dyDescent="0.4">
      <c r="B127" s="53"/>
      <c r="C127" s="6"/>
    </row>
    <row r="128" spans="2:3" x14ac:dyDescent="0.4">
      <c r="B128" s="53"/>
      <c r="C128" s="6"/>
    </row>
    <row r="129" spans="2:3" x14ac:dyDescent="0.4">
      <c r="B129" s="53"/>
      <c r="C129" s="6"/>
    </row>
    <row r="130" spans="2:3" x14ac:dyDescent="0.4">
      <c r="B130" s="53"/>
      <c r="C130" s="6"/>
    </row>
    <row r="131" spans="2:3" x14ac:dyDescent="0.4">
      <c r="B131" s="53"/>
      <c r="C131" s="6"/>
    </row>
    <row r="132" spans="2:3" x14ac:dyDescent="0.4">
      <c r="B132" s="53"/>
      <c r="C132" s="6"/>
    </row>
    <row r="133" spans="2:3" x14ac:dyDescent="0.4">
      <c r="B133" s="53"/>
      <c r="C133" s="6"/>
    </row>
    <row r="134" spans="2:3" x14ac:dyDescent="0.4">
      <c r="B134" s="53"/>
      <c r="C134" s="6"/>
    </row>
    <row r="135" spans="2:3" x14ac:dyDescent="0.4">
      <c r="B135" s="53"/>
      <c r="C135" s="6"/>
    </row>
    <row r="136" spans="2:3" x14ac:dyDescent="0.4">
      <c r="B136" s="53"/>
      <c r="C136" s="6"/>
    </row>
    <row r="137" spans="2:3" x14ac:dyDescent="0.4">
      <c r="B137" s="53"/>
      <c r="C137" s="6"/>
    </row>
    <row r="138" spans="2:3" x14ac:dyDescent="0.4">
      <c r="B138" s="53"/>
      <c r="C138" s="6"/>
    </row>
    <row r="139" spans="2:3" x14ac:dyDescent="0.4">
      <c r="B139" s="53"/>
      <c r="C139" s="6"/>
    </row>
    <row r="140" spans="2:3" x14ac:dyDescent="0.4">
      <c r="B140" s="53"/>
      <c r="C140" s="6"/>
    </row>
    <row r="141" spans="2:3" x14ac:dyDescent="0.4">
      <c r="B141" s="53"/>
      <c r="C141" s="6"/>
    </row>
    <row r="142" spans="2:3" x14ac:dyDescent="0.4">
      <c r="B142" s="53"/>
      <c r="C142" s="6"/>
    </row>
    <row r="143" spans="2:3" x14ac:dyDescent="0.4">
      <c r="B143" s="53"/>
      <c r="C143" s="6"/>
    </row>
    <row r="144" spans="2:3" x14ac:dyDescent="0.4">
      <c r="B144" s="53"/>
      <c r="C144" s="6"/>
    </row>
    <row r="145" spans="2:3" x14ac:dyDescent="0.4">
      <c r="B145" s="53"/>
      <c r="C145" s="6"/>
    </row>
    <row r="146" spans="2:3" x14ac:dyDescent="0.4">
      <c r="B146" s="53"/>
      <c r="C146" s="6"/>
    </row>
    <row r="147" spans="2:3" x14ac:dyDescent="0.4">
      <c r="B147" s="53"/>
      <c r="C147" s="6"/>
    </row>
    <row r="148" spans="2:3" x14ac:dyDescent="0.4">
      <c r="B148" s="53"/>
      <c r="C148" s="6"/>
    </row>
    <row r="149" spans="2:3" x14ac:dyDescent="0.4">
      <c r="B149" s="53"/>
      <c r="C149" s="6"/>
    </row>
    <row r="150" spans="2:3" x14ac:dyDescent="0.4">
      <c r="B150" s="53"/>
      <c r="C150" s="6"/>
    </row>
    <row r="151" spans="2:3" x14ac:dyDescent="0.4">
      <c r="B151" s="53"/>
      <c r="C151" s="6"/>
    </row>
    <row r="152" spans="2:3" x14ac:dyDescent="0.4">
      <c r="B152" s="53"/>
      <c r="C152" s="6"/>
    </row>
    <row r="153" spans="2:3" x14ac:dyDescent="0.4">
      <c r="B153" s="53"/>
      <c r="C153" s="6"/>
    </row>
    <row r="154" spans="2:3" x14ac:dyDescent="0.4">
      <c r="B154" s="53"/>
      <c r="C154" s="6"/>
    </row>
    <row r="155" spans="2:3" x14ac:dyDescent="0.4">
      <c r="B155" s="53"/>
      <c r="C155" s="6"/>
    </row>
    <row r="156" spans="2:3" x14ac:dyDescent="0.4">
      <c r="B156" s="53"/>
      <c r="C156" s="6"/>
    </row>
    <row r="157" spans="2:3" x14ac:dyDescent="0.4">
      <c r="C157" s="6"/>
    </row>
    <row r="158" spans="2:3" x14ac:dyDescent="0.4">
      <c r="B158" s="53"/>
      <c r="C158" s="6"/>
    </row>
    <row r="159" spans="2:3" x14ac:dyDescent="0.4">
      <c r="B159" s="53"/>
      <c r="C159" s="6"/>
    </row>
    <row r="160" spans="2:3" x14ac:dyDescent="0.4">
      <c r="B160" s="53"/>
      <c r="C160" s="6"/>
    </row>
    <row r="161" spans="2:3" x14ac:dyDescent="0.4">
      <c r="B161" s="53"/>
      <c r="C161" s="6"/>
    </row>
    <row r="162" spans="2:3" x14ac:dyDescent="0.4">
      <c r="B162" s="53"/>
      <c r="C162" s="6"/>
    </row>
    <row r="163" spans="2:3" x14ac:dyDescent="0.4">
      <c r="B163" s="53"/>
      <c r="C163" s="6"/>
    </row>
    <row r="164" spans="2:3" x14ac:dyDescent="0.4">
      <c r="B164" s="53"/>
      <c r="C164" s="6"/>
    </row>
    <row r="165" spans="2:3" x14ac:dyDescent="0.4">
      <c r="B165" s="53"/>
      <c r="C165" s="6"/>
    </row>
    <row r="166" spans="2:3" x14ac:dyDescent="0.4">
      <c r="B166" s="53"/>
      <c r="C166" s="6"/>
    </row>
    <row r="167" spans="2:3" x14ac:dyDescent="0.4">
      <c r="B167" s="53"/>
      <c r="C167" s="6"/>
    </row>
    <row r="168" spans="2:3" x14ac:dyDescent="0.4">
      <c r="B168" s="53"/>
      <c r="C168" s="6"/>
    </row>
    <row r="169" spans="2:3" x14ac:dyDescent="0.4">
      <c r="B169" s="53"/>
      <c r="C169" s="6"/>
    </row>
    <row r="170" spans="2:3" x14ac:dyDescent="0.4">
      <c r="B170" s="53"/>
      <c r="C170" s="6"/>
    </row>
    <row r="171" spans="2:3" x14ac:dyDescent="0.4">
      <c r="B171" s="53"/>
      <c r="C171" s="6"/>
    </row>
  </sheetData>
  <mergeCells count="35">
    <mergeCell ref="C91:C92"/>
    <mergeCell ref="G56:I56"/>
    <mergeCell ref="B101:B102"/>
    <mergeCell ref="C101:C102"/>
    <mergeCell ref="B70:B71"/>
    <mergeCell ref="C70:C71"/>
    <mergeCell ref="B78:H78"/>
    <mergeCell ref="B99:H99"/>
    <mergeCell ref="B80:B81"/>
    <mergeCell ref="C80:C81"/>
    <mergeCell ref="B91:B92"/>
    <mergeCell ref="B56:B58"/>
    <mergeCell ref="C56:C58"/>
    <mergeCell ref="D56:F56"/>
    <mergeCell ref="J56:N56"/>
    <mergeCell ref="J26:N26"/>
    <mergeCell ref="D26:F26"/>
    <mergeCell ref="B24:H24"/>
    <mergeCell ref="B26:B28"/>
    <mergeCell ref="C26:C28"/>
    <mergeCell ref="G26:I26"/>
    <mergeCell ref="B39:B41"/>
    <mergeCell ref="C39:C41"/>
    <mergeCell ref="B54:H54"/>
    <mergeCell ref="D39:E39"/>
    <mergeCell ref="F39:G39"/>
    <mergeCell ref="H39:I39"/>
    <mergeCell ref="B1:K1"/>
    <mergeCell ref="B2:K2"/>
    <mergeCell ref="B3:K3"/>
    <mergeCell ref="B9:B11"/>
    <mergeCell ref="C9:C11"/>
    <mergeCell ref="D9:E9"/>
    <mergeCell ref="F9:G9"/>
    <mergeCell ref="H9:I9"/>
  </mergeCells>
  <pageMargins left="0.70866141732283472" right="0.70866141732283472" top="0.74803149606299213" bottom="0.74803149606299213" header="0.31496062992125984" footer="0.31496062992125984"/>
  <pageSetup scale="3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O165"/>
  <sheetViews>
    <sheetView showGridLines="0" view="pageBreakPreview" topLeftCell="A79" zoomScale="80" zoomScaleNormal="60" zoomScaleSheetLayoutView="80" workbookViewId="0">
      <selection activeCell="G104" sqref="G104"/>
    </sheetView>
  </sheetViews>
  <sheetFormatPr defaultColWidth="9.33203125" defaultRowHeight="15.4" x14ac:dyDescent="0.35"/>
  <cols>
    <col min="1" max="1" width="6.6640625" style="25" customWidth="1"/>
    <col min="2" max="2" width="7" style="25" customWidth="1"/>
    <col min="3" max="3" width="41.53125" style="25" bestFit="1" customWidth="1"/>
    <col min="4" max="4" width="11.6640625" style="895" bestFit="1" customWidth="1"/>
    <col min="5" max="9" width="11.86328125" style="895" bestFit="1" customWidth="1"/>
    <col min="10" max="10" width="14.46484375" style="895" bestFit="1" customWidth="1"/>
    <col min="11" max="12" width="12" style="25" bestFit="1" customWidth="1"/>
    <col min="13" max="15" width="12.53125" style="25" customWidth="1"/>
    <col min="16" max="16384" width="9.33203125" style="25"/>
  </cols>
  <sheetData>
    <row r="2" spans="2:11" x14ac:dyDescent="0.35">
      <c r="B2" s="1898" t="s">
        <v>106</v>
      </c>
      <c r="C2" s="1898"/>
      <c r="D2" s="1898"/>
      <c r="E2" s="1898"/>
      <c r="F2" s="1898"/>
      <c r="G2" s="1898"/>
      <c r="H2" s="1898"/>
      <c r="I2" s="1898"/>
      <c r="J2" s="1898"/>
      <c r="K2" s="1898"/>
    </row>
    <row r="3" spans="2:11" s="891" customFormat="1" x14ac:dyDescent="0.45">
      <c r="B3" s="2000" t="s">
        <v>340</v>
      </c>
      <c r="C3" s="2000"/>
      <c r="D3" s="2000"/>
      <c r="E3" s="2000"/>
      <c r="F3" s="2000"/>
      <c r="G3" s="2000"/>
      <c r="H3" s="2000"/>
      <c r="I3" s="2000"/>
      <c r="J3" s="2000"/>
      <c r="K3" s="2000"/>
    </row>
    <row r="4" spans="2:11" s="891" customFormat="1" x14ac:dyDescent="0.45">
      <c r="B4" s="2000" t="s">
        <v>376</v>
      </c>
      <c r="C4" s="2000"/>
      <c r="D4" s="2000"/>
      <c r="E4" s="2000"/>
      <c r="F4" s="2000"/>
      <c r="G4" s="2000"/>
      <c r="H4" s="2000"/>
      <c r="I4" s="2000"/>
      <c r="J4" s="2000"/>
      <c r="K4" s="2000"/>
    </row>
    <row r="5" spans="2:11" s="891" customFormat="1" x14ac:dyDescent="0.45">
      <c r="C5" s="892"/>
      <c r="D5" s="890"/>
      <c r="E5" s="890"/>
      <c r="F5" s="890"/>
      <c r="G5" s="890"/>
      <c r="H5" s="890"/>
      <c r="I5" s="890"/>
      <c r="J5" s="893"/>
    </row>
    <row r="6" spans="2:11" s="891" customFormat="1" x14ac:dyDescent="0.45">
      <c r="C6" s="892"/>
      <c r="D6" s="890"/>
      <c r="E6" s="890"/>
      <c r="F6" s="890"/>
      <c r="G6" s="890"/>
      <c r="H6" s="890"/>
      <c r="I6" s="890"/>
      <c r="J6" s="893"/>
    </row>
    <row r="7" spans="2:11" x14ac:dyDescent="0.35">
      <c r="B7" s="894" t="s">
        <v>109</v>
      </c>
    </row>
    <row r="8" spans="2:11" x14ac:dyDescent="0.35">
      <c r="B8" s="894"/>
    </row>
    <row r="9" spans="2:11" x14ac:dyDescent="0.35">
      <c r="J9" s="896" t="s">
        <v>110</v>
      </c>
    </row>
    <row r="10" spans="2:11" x14ac:dyDescent="0.35">
      <c r="B10" s="1902" t="s">
        <v>214</v>
      </c>
      <c r="C10" s="1902" t="s">
        <v>111</v>
      </c>
      <c r="D10" s="897" t="s">
        <v>196</v>
      </c>
      <c r="E10" s="897" t="s">
        <v>197</v>
      </c>
      <c r="F10" s="897" t="s">
        <v>198</v>
      </c>
      <c r="G10" s="897" t="s">
        <v>199</v>
      </c>
      <c r="H10" s="898" t="s">
        <v>112</v>
      </c>
      <c r="I10" s="898" t="s">
        <v>113</v>
      </c>
      <c r="J10" s="898" t="s">
        <v>114</v>
      </c>
      <c r="K10" s="899"/>
    </row>
    <row r="11" spans="2:11" ht="30" x14ac:dyDescent="0.35">
      <c r="B11" s="1903"/>
      <c r="C11" s="1903"/>
      <c r="D11" s="1997" t="s">
        <v>117</v>
      </c>
      <c r="E11" s="1998"/>
      <c r="F11" s="1998"/>
      <c r="G11" s="1998"/>
      <c r="H11" s="1998"/>
      <c r="I11" s="1999"/>
      <c r="J11" s="897" t="s">
        <v>121</v>
      </c>
      <c r="K11" s="897"/>
    </row>
    <row r="12" spans="2:11" x14ac:dyDescent="0.45">
      <c r="B12" s="71">
        <v>1</v>
      </c>
      <c r="C12" s="900" t="s">
        <v>377</v>
      </c>
      <c r="D12" s="901"/>
      <c r="E12" s="901"/>
      <c r="F12" s="901"/>
      <c r="G12" s="901"/>
      <c r="H12" s="901"/>
      <c r="I12" s="901"/>
      <c r="J12" s="71"/>
      <c r="K12" s="70"/>
    </row>
    <row r="13" spans="2:11" x14ac:dyDescent="0.45">
      <c r="B13" s="71">
        <v>2</v>
      </c>
      <c r="C13" s="900" t="s">
        <v>378</v>
      </c>
      <c r="D13" s="901"/>
      <c r="E13" s="901"/>
      <c r="F13" s="901"/>
      <c r="G13" s="901"/>
      <c r="H13" s="901"/>
      <c r="I13" s="901"/>
      <c r="J13" s="71"/>
      <c r="K13" s="70"/>
    </row>
    <row r="14" spans="2:11" x14ac:dyDescent="0.35">
      <c r="B14" s="71">
        <v>3</v>
      </c>
      <c r="C14" s="70" t="s">
        <v>379</v>
      </c>
      <c r="D14" s="71"/>
      <c r="E14" s="71"/>
      <c r="F14" s="71"/>
      <c r="G14" s="71"/>
      <c r="H14" s="71"/>
      <c r="I14" s="71"/>
      <c r="J14" s="71"/>
      <c r="K14" s="70"/>
    </row>
    <row r="15" spans="2:11" x14ac:dyDescent="0.45">
      <c r="B15" s="71">
        <v>4</v>
      </c>
      <c r="C15" s="900" t="s">
        <v>380</v>
      </c>
      <c r="D15" s="901"/>
      <c r="E15" s="901"/>
      <c r="F15" s="901"/>
      <c r="G15" s="901"/>
      <c r="H15" s="901"/>
      <c r="I15" s="901"/>
      <c r="J15" s="71"/>
      <c r="K15" s="70"/>
    </row>
    <row r="16" spans="2:11" x14ac:dyDescent="0.45">
      <c r="B16" s="71">
        <v>5</v>
      </c>
      <c r="C16" s="900" t="s">
        <v>381</v>
      </c>
      <c r="D16" s="901"/>
      <c r="E16" s="901"/>
      <c r="F16" s="901"/>
      <c r="G16" s="901"/>
      <c r="H16" s="901"/>
      <c r="I16" s="901"/>
      <c r="J16" s="71"/>
      <c r="K16" s="70"/>
    </row>
    <row r="17" spans="2:11" x14ac:dyDescent="0.35">
      <c r="B17" s="71">
        <v>6</v>
      </c>
      <c r="C17" s="70" t="s">
        <v>382</v>
      </c>
      <c r="D17" s="71"/>
      <c r="E17" s="71"/>
      <c r="F17" s="71"/>
      <c r="G17" s="71"/>
      <c r="H17" s="71"/>
      <c r="I17" s="71"/>
      <c r="J17" s="71"/>
      <c r="K17" s="70"/>
    </row>
    <row r="18" spans="2:11" x14ac:dyDescent="0.45">
      <c r="B18" s="71">
        <v>7</v>
      </c>
      <c r="C18" s="900" t="s">
        <v>1251</v>
      </c>
      <c r="D18" s="901"/>
      <c r="E18" s="901"/>
      <c r="F18" s="901"/>
      <c r="G18" s="901"/>
      <c r="H18" s="901"/>
      <c r="I18" s="901"/>
      <c r="J18" s="71"/>
      <c r="K18" s="70"/>
    </row>
    <row r="19" spans="2:11" x14ac:dyDescent="0.45">
      <c r="B19" s="71">
        <v>8</v>
      </c>
      <c r="C19" s="900" t="s">
        <v>383</v>
      </c>
      <c r="D19" s="901"/>
      <c r="E19" s="901"/>
      <c r="F19" s="901"/>
      <c r="G19" s="901"/>
      <c r="H19" s="901"/>
      <c r="I19" s="901"/>
      <c r="J19" s="71"/>
      <c r="K19" s="70"/>
    </row>
    <row r="20" spans="2:11" x14ac:dyDescent="0.45">
      <c r="B20" s="71">
        <v>9</v>
      </c>
      <c r="C20" s="900" t="s">
        <v>1252</v>
      </c>
      <c r="D20" s="901"/>
      <c r="E20" s="901"/>
      <c r="F20" s="901"/>
      <c r="G20" s="901"/>
      <c r="H20" s="901"/>
      <c r="I20" s="901"/>
      <c r="J20" s="71"/>
      <c r="K20" s="70"/>
    </row>
    <row r="21" spans="2:11" x14ac:dyDescent="0.45">
      <c r="B21" s="71">
        <v>10</v>
      </c>
      <c r="C21" s="900" t="s">
        <v>384</v>
      </c>
      <c r="D21" s="901"/>
      <c r="E21" s="901"/>
      <c r="F21" s="901"/>
      <c r="G21" s="901"/>
      <c r="H21" s="901"/>
      <c r="I21" s="901"/>
      <c r="J21" s="901"/>
      <c r="K21" s="70"/>
    </row>
    <row r="22" spans="2:11" x14ac:dyDescent="0.45">
      <c r="B22" s="71">
        <v>11</v>
      </c>
      <c r="C22" s="900" t="s">
        <v>385</v>
      </c>
      <c r="D22" s="901"/>
      <c r="E22" s="901"/>
      <c r="F22" s="901"/>
      <c r="G22" s="901"/>
      <c r="H22" s="901"/>
      <c r="I22" s="901"/>
      <c r="J22" s="901"/>
      <c r="K22" s="70"/>
    </row>
    <row r="23" spans="2:11" x14ac:dyDescent="0.45">
      <c r="B23" s="71">
        <v>12</v>
      </c>
      <c r="C23" s="900" t="s">
        <v>386</v>
      </c>
      <c r="D23" s="901"/>
      <c r="E23" s="901"/>
      <c r="F23" s="901"/>
      <c r="G23" s="901"/>
      <c r="H23" s="901"/>
      <c r="I23" s="901"/>
      <c r="J23" s="901"/>
      <c r="K23" s="70"/>
    </row>
    <row r="24" spans="2:11" x14ac:dyDescent="0.45">
      <c r="B24" s="71">
        <v>13</v>
      </c>
      <c r="C24" s="900" t="s">
        <v>1253</v>
      </c>
      <c r="D24" s="901"/>
      <c r="E24" s="901"/>
      <c r="F24" s="901"/>
      <c r="G24" s="901"/>
      <c r="H24" s="901"/>
      <c r="I24" s="901"/>
      <c r="J24" s="901"/>
      <c r="K24" s="70"/>
    </row>
    <row r="25" spans="2:11" x14ac:dyDescent="0.45">
      <c r="B25" s="71">
        <v>14</v>
      </c>
      <c r="C25" s="900" t="s">
        <v>387</v>
      </c>
      <c r="D25" s="901"/>
      <c r="E25" s="901"/>
      <c r="F25" s="901"/>
      <c r="G25" s="901"/>
      <c r="H25" s="901"/>
      <c r="I25" s="901"/>
      <c r="J25" s="901"/>
      <c r="K25" s="70"/>
    </row>
    <row r="26" spans="2:11" x14ac:dyDescent="0.45">
      <c r="B26" s="71">
        <v>15</v>
      </c>
      <c r="C26" s="900" t="s">
        <v>388</v>
      </c>
      <c r="D26" s="901"/>
      <c r="E26" s="901"/>
      <c r="F26" s="901"/>
      <c r="G26" s="901"/>
      <c r="H26" s="901"/>
      <c r="I26" s="901"/>
      <c r="J26" s="71"/>
      <c r="K26" s="70"/>
    </row>
    <row r="27" spans="2:11" x14ac:dyDescent="0.45">
      <c r="B27" s="71">
        <v>16</v>
      </c>
      <c r="C27" s="900" t="s">
        <v>389</v>
      </c>
      <c r="D27" s="901"/>
      <c r="E27" s="901"/>
      <c r="F27" s="901"/>
      <c r="G27" s="901"/>
      <c r="H27" s="901"/>
      <c r="I27" s="901"/>
      <c r="J27" s="902"/>
      <c r="K27" s="70"/>
    </row>
    <row r="28" spans="2:11" x14ac:dyDescent="0.4">
      <c r="B28" s="71">
        <v>17</v>
      </c>
      <c r="C28" s="903" t="s">
        <v>390</v>
      </c>
      <c r="D28" s="901"/>
      <c r="E28" s="901"/>
      <c r="F28" s="901"/>
      <c r="G28" s="901"/>
      <c r="H28" s="901"/>
      <c r="I28" s="901"/>
      <c r="J28" s="902"/>
      <c r="K28" s="70"/>
    </row>
    <row r="29" spans="2:11" x14ac:dyDescent="0.45">
      <c r="B29" s="71">
        <v>18</v>
      </c>
      <c r="C29" s="900" t="s">
        <v>391</v>
      </c>
      <c r="D29" s="901"/>
      <c r="E29" s="901"/>
      <c r="F29" s="901"/>
      <c r="G29" s="901"/>
      <c r="H29" s="901"/>
      <c r="I29" s="901"/>
      <c r="J29" s="902"/>
      <c r="K29" s="70"/>
    </row>
    <row r="30" spans="2:11" x14ac:dyDescent="0.45">
      <c r="B30" s="71">
        <f>+B29+0.1</f>
        <v>18.100000000000001</v>
      </c>
      <c r="C30" s="900" t="s">
        <v>392</v>
      </c>
      <c r="D30" s="901"/>
      <c r="E30" s="901"/>
      <c r="F30" s="901"/>
      <c r="G30" s="901"/>
      <c r="H30" s="901"/>
      <c r="I30" s="901"/>
      <c r="J30" s="902"/>
      <c r="K30" s="70"/>
    </row>
    <row r="31" spans="2:11" x14ac:dyDescent="0.45">
      <c r="B31" s="71">
        <f>+B30+0.1</f>
        <v>18.200000000000003</v>
      </c>
      <c r="C31" s="900" t="s">
        <v>393</v>
      </c>
      <c r="D31" s="901"/>
      <c r="E31" s="901"/>
      <c r="F31" s="901"/>
      <c r="G31" s="901"/>
      <c r="H31" s="901"/>
      <c r="I31" s="901"/>
      <c r="J31" s="902"/>
      <c r="K31" s="70"/>
    </row>
    <row r="32" spans="2:11" x14ac:dyDescent="0.45">
      <c r="B32" s="71">
        <f>+B31+0.1</f>
        <v>18.300000000000004</v>
      </c>
      <c r="C32" s="900" t="s">
        <v>1254</v>
      </c>
      <c r="D32" s="901"/>
      <c r="E32" s="901"/>
      <c r="F32" s="901"/>
      <c r="G32" s="901"/>
      <c r="H32" s="901"/>
      <c r="I32" s="901"/>
      <c r="J32" s="902"/>
      <c r="K32" s="70"/>
    </row>
    <row r="33" spans="2:11" x14ac:dyDescent="0.45">
      <c r="B33" s="71">
        <f>+B32+0.1</f>
        <v>18.400000000000006</v>
      </c>
      <c r="C33" s="900" t="s">
        <v>394</v>
      </c>
      <c r="D33" s="901"/>
      <c r="E33" s="901"/>
      <c r="F33" s="901"/>
      <c r="G33" s="901"/>
      <c r="H33" s="901"/>
      <c r="I33" s="901"/>
      <c r="J33" s="71"/>
      <c r="K33" s="70"/>
    </row>
    <row r="34" spans="2:11" x14ac:dyDescent="0.45">
      <c r="B34" s="71">
        <v>19</v>
      </c>
      <c r="C34" s="900" t="s">
        <v>1255</v>
      </c>
      <c r="D34" s="901"/>
      <c r="E34" s="901"/>
      <c r="F34" s="901"/>
      <c r="G34" s="901"/>
      <c r="H34" s="901"/>
      <c r="I34" s="901"/>
      <c r="J34" s="71"/>
      <c r="K34" s="70"/>
    </row>
    <row r="35" spans="2:11" x14ac:dyDescent="0.4">
      <c r="B35" s="904">
        <v>20</v>
      </c>
      <c r="C35" s="903" t="s">
        <v>395</v>
      </c>
      <c r="D35" s="905">
        <f>Assum!$E$91*D102</f>
        <v>2.6760273800000003</v>
      </c>
      <c r="E35" s="905">
        <f>Assum!$E$91*E102</f>
        <v>2.4731609083999997</v>
      </c>
      <c r="F35" s="905">
        <f>Assum!$F$91*F102</f>
        <v>2.6336438699999998</v>
      </c>
      <c r="G35" s="905">
        <f>Assum!$F$91*G102</f>
        <v>2.8993421600000007</v>
      </c>
      <c r="H35" s="905">
        <f>Assum!$F$91*H102</f>
        <v>2.9373131450000001</v>
      </c>
      <c r="I35" s="905">
        <f>Assum!$F$91*I102</f>
        <v>3.2260145151000001</v>
      </c>
      <c r="J35" s="905">
        <f>Assum!$F$91*J102</f>
        <v>4.1702284136500003</v>
      </c>
      <c r="K35" s="906"/>
    </row>
    <row r="36" spans="2:11" x14ac:dyDescent="0.45">
      <c r="B36" s="71">
        <v>21</v>
      </c>
      <c r="C36" s="900" t="s">
        <v>396</v>
      </c>
      <c r="D36" s="907">
        <f>Assum!$E$91*D103</f>
        <v>1.3196188200000001</v>
      </c>
      <c r="E36" s="907">
        <f>Assum!$E$91*E103</f>
        <v>0.221167895</v>
      </c>
      <c r="F36" s="907">
        <f>Assum!$F$91*F103</f>
        <v>0.23955048000000001</v>
      </c>
      <c r="G36" s="907">
        <f>Assum!$F$91*G103</f>
        <v>0.25357721999999999</v>
      </c>
      <c r="H36" s="907">
        <f>Assum!$F$91*H103</f>
        <v>0</v>
      </c>
      <c r="I36" s="907">
        <f>Assum!$F$91*I103</f>
        <v>1.223794585</v>
      </c>
      <c r="J36" s="907">
        <f>Assum!$F$91*J103</f>
        <v>1.1985500800000002</v>
      </c>
      <c r="K36" s="70"/>
    </row>
    <row r="37" spans="2:11" x14ac:dyDescent="0.45">
      <c r="B37" s="904">
        <v>22</v>
      </c>
      <c r="C37" s="900" t="s">
        <v>1256</v>
      </c>
      <c r="D37" s="907">
        <f>Assum!$E$91*D104</f>
        <v>0.23172499999999999</v>
      </c>
      <c r="E37" s="907">
        <f>Assum!$E$91*E104</f>
        <v>0.44534863142188891</v>
      </c>
      <c r="F37" s="907">
        <f>Assum!$F$91*F104</f>
        <v>0.44245812000000001</v>
      </c>
      <c r="G37" s="907">
        <f>Assum!$F$91*G104</f>
        <v>0.50656164000000004</v>
      </c>
      <c r="H37" s="907">
        <f>Assum!$F$91*H104</f>
        <v>0.4626245228936679</v>
      </c>
      <c r="I37" s="907">
        <f>Assum!$F$91*I104</f>
        <v>0.57721169999999999</v>
      </c>
      <c r="J37" s="907">
        <f>Assum!$F$91*J104</f>
        <v>0.113627215</v>
      </c>
      <c r="K37" s="70"/>
    </row>
    <row r="38" spans="2:11" x14ac:dyDescent="0.4">
      <c r="B38" s="70">
        <v>23</v>
      </c>
      <c r="C38" s="906" t="s">
        <v>397</v>
      </c>
      <c r="D38" s="905">
        <f>Assum!$E$91*D105</f>
        <v>1.12468356</v>
      </c>
      <c r="E38" s="905">
        <f>Assum!$E$91*E105</f>
        <v>1.8066443819781108</v>
      </c>
      <c r="F38" s="905">
        <f>Assum!$F$91*F105</f>
        <v>1.9516352699999997</v>
      </c>
      <c r="G38" s="905">
        <f>Assum!$F$91*G105</f>
        <v>2.139203300000001</v>
      </c>
      <c r="H38" s="905">
        <f>Assum!$F$91*H105</f>
        <v>2.4746886221063322</v>
      </c>
      <c r="I38" s="905">
        <f>Assum!$F$91*I105</f>
        <v>1.4250082301000004</v>
      </c>
      <c r="J38" s="905">
        <f>Assum!$F$91*J105</f>
        <v>2.8580511186499997</v>
      </c>
      <c r="K38" s="70"/>
    </row>
    <row r="39" spans="2:11" x14ac:dyDescent="0.35">
      <c r="B39" s="908"/>
    </row>
    <row r="40" spans="2:11" x14ac:dyDescent="0.35">
      <c r="B40" s="908"/>
    </row>
    <row r="41" spans="2:11" x14ac:dyDescent="0.35">
      <c r="B41" s="908"/>
    </row>
    <row r="42" spans="2:11" x14ac:dyDescent="0.35">
      <c r="B42" s="894" t="s">
        <v>149</v>
      </c>
    </row>
    <row r="44" spans="2:11" x14ac:dyDescent="0.35">
      <c r="B44" s="1902" t="s">
        <v>214</v>
      </c>
      <c r="C44" s="1902" t="s">
        <v>111</v>
      </c>
      <c r="D44" s="897" t="s">
        <v>196</v>
      </c>
      <c r="E44" s="897" t="s">
        <v>197</v>
      </c>
      <c r="F44" s="897" t="s">
        <v>198</v>
      </c>
      <c r="G44" s="897" t="s">
        <v>199</v>
      </c>
      <c r="H44" s="898" t="s">
        <v>112</v>
      </c>
      <c r="I44" s="898" t="s">
        <v>113</v>
      </c>
      <c r="J44" s="898" t="s">
        <v>114</v>
      </c>
      <c r="K44" s="899"/>
    </row>
    <row r="45" spans="2:11" ht="30" x14ac:dyDescent="0.35">
      <c r="B45" s="1903"/>
      <c r="C45" s="1903"/>
      <c r="D45" s="1997" t="s">
        <v>117</v>
      </c>
      <c r="E45" s="1998"/>
      <c r="F45" s="1998"/>
      <c r="G45" s="1998"/>
      <c r="H45" s="1998"/>
      <c r="I45" s="1999"/>
      <c r="J45" s="897" t="s">
        <v>121</v>
      </c>
      <c r="K45" s="897"/>
    </row>
    <row r="46" spans="2:11" x14ac:dyDescent="0.45">
      <c r="B46" s="71">
        <v>1</v>
      </c>
      <c r="C46" s="900" t="s">
        <v>377</v>
      </c>
      <c r="D46" s="901"/>
      <c r="E46" s="901"/>
      <c r="F46" s="901"/>
      <c r="G46" s="901"/>
      <c r="H46" s="901"/>
      <c r="I46" s="901"/>
      <c r="J46" s="71"/>
      <c r="K46" s="70"/>
    </row>
    <row r="47" spans="2:11" x14ac:dyDescent="0.45">
      <c r="B47" s="71">
        <v>2</v>
      </c>
      <c r="C47" s="900" t="s">
        <v>378</v>
      </c>
      <c r="D47" s="901"/>
      <c r="E47" s="901"/>
      <c r="F47" s="901"/>
      <c r="G47" s="901"/>
      <c r="H47" s="901"/>
      <c r="I47" s="901"/>
      <c r="J47" s="71"/>
      <c r="K47" s="70"/>
    </row>
    <row r="48" spans="2:11" x14ac:dyDescent="0.35">
      <c r="B48" s="71">
        <v>3</v>
      </c>
      <c r="C48" s="70" t="s">
        <v>379</v>
      </c>
      <c r="D48" s="71"/>
      <c r="E48" s="71"/>
      <c r="F48" s="71"/>
      <c r="G48" s="71"/>
      <c r="H48" s="71"/>
      <c r="I48" s="71"/>
      <c r="J48" s="71"/>
      <c r="K48" s="70"/>
    </row>
    <row r="49" spans="2:11" x14ac:dyDescent="0.45">
      <c r="B49" s="71">
        <v>4</v>
      </c>
      <c r="C49" s="900" t="s">
        <v>380</v>
      </c>
      <c r="D49" s="901"/>
      <c r="E49" s="901"/>
      <c r="F49" s="901"/>
      <c r="G49" s="901"/>
      <c r="H49" s="901"/>
      <c r="I49" s="901"/>
      <c r="J49" s="71"/>
      <c r="K49" s="70"/>
    </row>
    <row r="50" spans="2:11" x14ac:dyDescent="0.45">
      <c r="B50" s="71">
        <v>5</v>
      </c>
      <c r="C50" s="900" t="s">
        <v>381</v>
      </c>
      <c r="D50" s="901"/>
      <c r="E50" s="901"/>
      <c r="F50" s="901"/>
      <c r="G50" s="901"/>
      <c r="H50" s="901"/>
      <c r="I50" s="901"/>
      <c r="J50" s="71"/>
      <c r="K50" s="70"/>
    </row>
    <row r="51" spans="2:11" x14ac:dyDescent="0.35">
      <c r="B51" s="71">
        <v>6</v>
      </c>
      <c r="C51" s="70" t="s">
        <v>382</v>
      </c>
      <c r="D51" s="71"/>
      <c r="E51" s="71"/>
      <c r="F51" s="71"/>
      <c r="G51" s="71"/>
      <c r="H51" s="71"/>
      <c r="I51" s="71"/>
      <c r="J51" s="71"/>
      <c r="K51" s="70"/>
    </row>
    <row r="52" spans="2:11" x14ac:dyDescent="0.45">
      <c r="B52" s="71">
        <v>7</v>
      </c>
      <c r="C52" s="900" t="s">
        <v>1251</v>
      </c>
      <c r="D52" s="901"/>
      <c r="E52" s="901"/>
      <c r="F52" s="901"/>
      <c r="G52" s="901"/>
      <c r="H52" s="901"/>
      <c r="I52" s="901"/>
      <c r="J52" s="71"/>
      <c r="K52" s="70"/>
    </row>
    <row r="53" spans="2:11" x14ac:dyDescent="0.45">
      <c r="B53" s="71">
        <v>8</v>
      </c>
      <c r="C53" s="900" t="s">
        <v>383</v>
      </c>
      <c r="D53" s="901"/>
      <c r="E53" s="901"/>
      <c r="F53" s="901"/>
      <c r="G53" s="901"/>
      <c r="H53" s="901"/>
      <c r="I53" s="901"/>
      <c r="J53" s="71"/>
      <c r="K53" s="70"/>
    </row>
    <row r="54" spans="2:11" x14ac:dyDescent="0.45">
      <c r="B54" s="71">
        <v>9</v>
      </c>
      <c r="C54" s="900" t="s">
        <v>1252</v>
      </c>
      <c r="D54" s="901"/>
      <c r="E54" s="901"/>
      <c r="F54" s="901"/>
      <c r="G54" s="901"/>
      <c r="H54" s="901"/>
      <c r="I54" s="901"/>
      <c r="J54" s="71"/>
      <c r="K54" s="70"/>
    </row>
    <row r="55" spans="2:11" x14ac:dyDescent="0.45">
      <c r="B55" s="71">
        <v>10</v>
      </c>
      <c r="C55" s="900" t="s">
        <v>384</v>
      </c>
      <c r="D55" s="901"/>
      <c r="E55" s="901"/>
      <c r="F55" s="901"/>
      <c r="G55" s="901"/>
      <c r="H55" s="901"/>
      <c r="I55" s="901"/>
      <c r="J55" s="901"/>
      <c r="K55" s="70"/>
    </row>
    <row r="56" spans="2:11" x14ac:dyDescent="0.45">
      <c r="B56" s="71">
        <v>11</v>
      </c>
      <c r="C56" s="900" t="s">
        <v>385</v>
      </c>
      <c r="D56" s="901"/>
      <c r="E56" s="901"/>
      <c r="F56" s="901"/>
      <c r="G56" s="901"/>
      <c r="H56" s="901"/>
      <c r="I56" s="901"/>
      <c r="J56" s="901"/>
      <c r="K56" s="70"/>
    </row>
    <row r="57" spans="2:11" x14ac:dyDescent="0.45">
      <c r="B57" s="71">
        <v>12</v>
      </c>
      <c r="C57" s="900" t="s">
        <v>386</v>
      </c>
      <c r="D57" s="901"/>
      <c r="E57" s="901"/>
      <c r="F57" s="901"/>
      <c r="G57" s="901"/>
      <c r="H57" s="901"/>
      <c r="I57" s="901"/>
      <c r="J57" s="901"/>
      <c r="K57" s="70"/>
    </row>
    <row r="58" spans="2:11" x14ac:dyDescent="0.45">
      <c r="B58" s="71">
        <v>13</v>
      </c>
      <c r="C58" s="900" t="s">
        <v>1253</v>
      </c>
      <c r="D58" s="901"/>
      <c r="E58" s="901"/>
      <c r="F58" s="901"/>
      <c r="G58" s="901"/>
      <c r="H58" s="901"/>
      <c r="I58" s="901"/>
      <c r="J58" s="901"/>
      <c r="K58" s="70"/>
    </row>
    <row r="59" spans="2:11" x14ac:dyDescent="0.45">
      <c r="B59" s="71">
        <v>14</v>
      </c>
      <c r="C59" s="900" t="s">
        <v>387</v>
      </c>
      <c r="D59" s="901"/>
      <c r="E59" s="901"/>
      <c r="F59" s="901"/>
      <c r="G59" s="901"/>
      <c r="H59" s="901"/>
      <c r="I59" s="901"/>
      <c r="J59" s="901"/>
      <c r="K59" s="70"/>
    </row>
    <row r="60" spans="2:11" x14ac:dyDescent="0.45">
      <c r="B60" s="71">
        <v>15</v>
      </c>
      <c r="C60" s="900" t="s">
        <v>388</v>
      </c>
      <c r="D60" s="901"/>
      <c r="E60" s="901"/>
      <c r="F60" s="901"/>
      <c r="G60" s="901"/>
      <c r="H60" s="901"/>
      <c r="I60" s="901"/>
      <c r="J60" s="71"/>
      <c r="K60" s="70"/>
    </row>
    <row r="61" spans="2:11" x14ac:dyDescent="0.45">
      <c r="B61" s="71">
        <v>16</v>
      </c>
      <c r="C61" s="900" t="s">
        <v>389</v>
      </c>
      <c r="D61" s="901"/>
      <c r="E61" s="901"/>
      <c r="F61" s="901"/>
      <c r="G61" s="901"/>
      <c r="H61" s="901"/>
      <c r="I61" s="901"/>
      <c r="J61" s="902"/>
      <c r="K61" s="70"/>
    </row>
    <row r="62" spans="2:11" x14ac:dyDescent="0.4">
      <c r="B62" s="71">
        <v>17</v>
      </c>
      <c r="C62" s="903" t="s">
        <v>390</v>
      </c>
      <c r="D62" s="901"/>
      <c r="E62" s="901"/>
      <c r="F62" s="901"/>
      <c r="G62" s="901"/>
      <c r="H62" s="901"/>
      <c r="I62" s="901"/>
      <c r="J62" s="902"/>
      <c r="K62" s="70"/>
    </row>
    <row r="63" spans="2:11" x14ac:dyDescent="0.45">
      <c r="B63" s="71">
        <v>18</v>
      </c>
      <c r="C63" s="900" t="s">
        <v>391</v>
      </c>
      <c r="D63" s="901"/>
      <c r="E63" s="901"/>
      <c r="F63" s="901"/>
      <c r="G63" s="901"/>
      <c r="H63" s="901"/>
      <c r="I63" s="901"/>
      <c r="J63" s="902"/>
      <c r="K63" s="70"/>
    </row>
    <row r="64" spans="2:11" x14ac:dyDescent="0.45">
      <c r="B64" s="71">
        <f>+B63+0.1</f>
        <v>18.100000000000001</v>
      </c>
      <c r="C64" s="900" t="s">
        <v>392</v>
      </c>
      <c r="D64" s="901"/>
      <c r="E64" s="901"/>
      <c r="F64" s="901"/>
      <c r="G64" s="901"/>
      <c r="H64" s="901"/>
      <c r="I64" s="901"/>
      <c r="J64" s="902"/>
      <c r="K64" s="70"/>
    </row>
    <row r="65" spans="2:11" x14ac:dyDescent="0.45">
      <c r="B65" s="71">
        <f>+B64+0.1</f>
        <v>18.200000000000003</v>
      </c>
      <c r="C65" s="900" t="s">
        <v>393</v>
      </c>
      <c r="D65" s="901"/>
      <c r="E65" s="901"/>
      <c r="F65" s="901"/>
      <c r="G65" s="901"/>
      <c r="H65" s="901"/>
      <c r="I65" s="901"/>
      <c r="J65" s="902"/>
      <c r="K65" s="70"/>
    </row>
    <row r="66" spans="2:11" x14ac:dyDescent="0.45">
      <c r="B66" s="71">
        <f>+B65+0.1</f>
        <v>18.300000000000004</v>
      </c>
      <c r="C66" s="900" t="s">
        <v>1254</v>
      </c>
      <c r="D66" s="901"/>
      <c r="E66" s="901"/>
      <c r="F66" s="901"/>
      <c r="G66" s="901"/>
      <c r="H66" s="901"/>
      <c r="I66" s="901"/>
      <c r="J66" s="902"/>
      <c r="K66" s="70"/>
    </row>
    <row r="67" spans="2:11" x14ac:dyDescent="0.45">
      <c r="B67" s="71">
        <f>+B66+0.1</f>
        <v>18.400000000000006</v>
      </c>
      <c r="C67" s="900" t="s">
        <v>394</v>
      </c>
      <c r="D67" s="901"/>
      <c r="E67" s="901"/>
      <c r="F67" s="901"/>
      <c r="G67" s="901"/>
      <c r="H67" s="901"/>
      <c r="I67" s="901"/>
      <c r="J67" s="71"/>
      <c r="K67" s="70"/>
    </row>
    <row r="68" spans="2:11" x14ac:dyDescent="0.45">
      <c r="B68" s="71">
        <v>19</v>
      </c>
      <c r="C68" s="900" t="s">
        <v>1255</v>
      </c>
      <c r="D68" s="901"/>
      <c r="E68" s="901"/>
      <c r="F68" s="901"/>
      <c r="G68" s="901"/>
      <c r="H68" s="901"/>
      <c r="I68" s="901"/>
      <c r="J68" s="71"/>
      <c r="K68" s="70"/>
    </row>
    <row r="69" spans="2:11" x14ac:dyDescent="0.4">
      <c r="B69" s="904">
        <v>20</v>
      </c>
      <c r="C69" s="903" t="s">
        <v>395</v>
      </c>
      <c r="D69" s="909">
        <f>(1-Assum!$E$91)*D102</f>
        <v>1.44093782</v>
      </c>
      <c r="E69" s="909">
        <f>(1-Assum!$E$91)*E102</f>
        <v>1.3317020275999996</v>
      </c>
      <c r="F69" s="909">
        <f>(1-Assum!$F$91)*F102</f>
        <v>1.4181159299999997</v>
      </c>
      <c r="G69" s="909">
        <f>(1-Assum!$F$91)*G102</f>
        <v>1.5611842400000002</v>
      </c>
      <c r="H69" s="909">
        <f>(1-Assum!$F$91)*H102</f>
        <v>1.581630155</v>
      </c>
      <c r="I69" s="909">
        <f>(1-Assum!$F$91)*I102</f>
        <v>1.7370847388999999</v>
      </c>
      <c r="J69" s="909">
        <f>(1-Assum!$F$91)*J102</f>
        <v>2.24550760735</v>
      </c>
      <c r="K69" s="906"/>
    </row>
    <row r="70" spans="2:11" x14ac:dyDescent="0.45">
      <c r="B70" s="71">
        <v>21</v>
      </c>
      <c r="C70" s="900" t="s">
        <v>396</v>
      </c>
      <c r="D70" s="910">
        <f>(1-Assum!$E$91)*D103</f>
        <v>0.71056397999999998</v>
      </c>
      <c r="E70" s="910">
        <f>(1-Assum!$E$91)*E103</f>
        <v>0.119090405</v>
      </c>
      <c r="F70" s="910">
        <f>(1-Assum!$F$91)*F103</f>
        <v>0.12898872</v>
      </c>
      <c r="G70" s="910">
        <f>(1-Assum!$F$91)*G103</f>
        <v>0.13654158</v>
      </c>
      <c r="H70" s="910">
        <f>(1-Assum!$F$91)*H103</f>
        <v>0</v>
      </c>
      <c r="I70" s="910">
        <f>(1-Assum!$F$91)*I103</f>
        <v>0.65896631500000002</v>
      </c>
      <c r="J70" s="910">
        <f>(1-Assum!$F$91)*J103</f>
        <v>0.64537312000000002</v>
      </c>
      <c r="K70" s="70"/>
    </row>
    <row r="71" spans="2:11" x14ac:dyDescent="0.45">
      <c r="B71" s="904">
        <v>22</v>
      </c>
      <c r="C71" s="900" t="s">
        <v>1256</v>
      </c>
      <c r="D71" s="910">
        <f>(1-Assum!$E$91)*D104</f>
        <v>0.12477499999999998</v>
      </c>
      <c r="E71" s="910">
        <f>(1-Assum!$E$91)*E104</f>
        <v>0.23980310922717091</v>
      </c>
      <c r="F71" s="910">
        <f>(1-Assum!$F$91)*F104</f>
        <v>0.23824667999999999</v>
      </c>
      <c r="G71" s="910">
        <f>(1-Assum!$F$91)*G104</f>
        <v>0.27276395999999997</v>
      </c>
      <c r="H71" s="910">
        <f>(1-Assum!$F$91)*H104</f>
        <v>0.24910551232735961</v>
      </c>
      <c r="I71" s="910">
        <f>(1-Assum!$F$91)*I104</f>
        <v>0.31080629999999998</v>
      </c>
      <c r="J71" s="910">
        <f>(1-Assum!$F$91)*J104</f>
        <v>6.1183884999999993E-2</v>
      </c>
      <c r="K71" s="70"/>
    </row>
    <row r="72" spans="2:11" x14ac:dyDescent="0.35">
      <c r="B72" s="70">
        <v>23</v>
      </c>
      <c r="C72" s="906" t="s">
        <v>397</v>
      </c>
      <c r="D72" s="909">
        <f>(1-Assum!$E$91)*D105</f>
        <v>0.60559883999999997</v>
      </c>
      <c r="E72" s="909">
        <f>(1-Assum!$E$91)*E105</f>
        <v>0.97280851337282881</v>
      </c>
      <c r="F72" s="909">
        <f>(1-Assum!$F$91)*F105</f>
        <v>1.0508805299999997</v>
      </c>
      <c r="G72" s="909">
        <f>(1-Assum!$F$91)*G105</f>
        <v>1.1518787000000004</v>
      </c>
      <c r="H72" s="909">
        <f>(1-Assum!$F$91)*H105</f>
        <v>1.3325246426726403</v>
      </c>
      <c r="I72" s="909">
        <f>(1-Assum!$F$91)*I105</f>
        <v>0.76731212390000014</v>
      </c>
      <c r="J72" s="909">
        <f>(1-Assum!$F$91)*J105</f>
        <v>1.5389506023499997</v>
      </c>
      <c r="K72" s="70"/>
    </row>
    <row r="73" spans="2:11" x14ac:dyDescent="0.35">
      <c r="C73" s="894"/>
    </row>
    <row r="74" spans="2:11" x14ac:dyDescent="0.35">
      <c r="B74" s="894" t="s">
        <v>1250</v>
      </c>
    </row>
    <row r="75" spans="2:11" x14ac:dyDescent="0.35">
      <c r="B75" s="894"/>
    </row>
    <row r="76" spans="2:11" x14ac:dyDescent="0.35">
      <c r="J76" s="896" t="s">
        <v>110</v>
      </c>
    </row>
    <row r="77" spans="2:11" x14ac:dyDescent="0.35">
      <c r="B77" s="1902" t="s">
        <v>214</v>
      </c>
      <c r="C77" s="1902" t="s">
        <v>111</v>
      </c>
      <c r="D77" s="897" t="s">
        <v>196</v>
      </c>
      <c r="E77" s="897" t="s">
        <v>197</v>
      </c>
      <c r="F77" s="897" t="s">
        <v>198</v>
      </c>
      <c r="G77" s="897" t="s">
        <v>199</v>
      </c>
      <c r="H77" s="898" t="s">
        <v>112</v>
      </c>
      <c r="I77" s="898" t="s">
        <v>113</v>
      </c>
      <c r="J77" s="898" t="s">
        <v>114</v>
      </c>
      <c r="K77" s="899"/>
    </row>
    <row r="78" spans="2:11" ht="30" x14ac:dyDescent="0.35">
      <c r="B78" s="1903"/>
      <c r="C78" s="1903"/>
      <c r="D78" s="1997" t="s">
        <v>117</v>
      </c>
      <c r="E78" s="1998"/>
      <c r="F78" s="1998"/>
      <c r="G78" s="1998"/>
      <c r="H78" s="1998"/>
      <c r="I78" s="1999"/>
      <c r="J78" s="897" t="s">
        <v>121</v>
      </c>
      <c r="K78" s="897"/>
    </row>
    <row r="79" spans="2:11" x14ac:dyDescent="0.45">
      <c r="B79" s="71">
        <v>1</v>
      </c>
      <c r="C79" s="900" t="s">
        <v>377</v>
      </c>
      <c r="D79" s="1514">
        <v>3.224936</v>
      </c>
      <c r="E79" s="1514">
        <v>3.1110848999999998</v>
      </c>
      <c r="F79" s="1514">
        <v>3.1166898000000001</v>
      </c>
      <c r="G79" s="1515">
        <v>2.8975295000000001</v>
      </c>
      <c r="H79" s="1515">
        <v>3.0183157999999999</v>
      </c>
      <c r="I79" s="1515">
        <v>3.8366731999999999</v>
      </c>
      <c r="J79" s="1515">
        <v>4.0802640999999999</v>
      </c>
      <c r="K79" s="70"/>
    </row>
    <row r="80" spans="2:11" x14ac:dyDescent="0.45">
      <c r="B80" s="71">
        <v>2</v>
      </c>
      <c r="C80" s="900" t="s">
        <v>378</v>
      </c>
      <c r="D80" s="1514"/>
      <c r="E80" s="1514"/>
      <c r="F80" s="1514"/>
      <c r="G80" s="1515"/>
      <c r="H80" s="1515"/>
      <c r="I80" s="1515"/>
      <c r="J80" s="1515"/>
      <c r="K80" s="70"/>
    </row>
    <row r="81" spans="2:11" x14ac:dyDescent="0.35">
      <c r="B81" s="71">
        <v>3</v>
      </c>
      <c r="C81" s="70" t="s">
        <v>379</v>
      </c>
      <c r="D81" s="1514"/>
      <c r="E81" s="1514"/>
      <c r="F81" s="1514"/>
      <c r="G81" s="1515"/>
      <c r="H81" s="1515"/>
      <c r="I81" s="1515"/>
      <c r="J81" s="1515"/>
      <c r="K81" s="70"/>
    </row>
    <row r="82" spans="2:11" x14ac:dyDescent="0.45">
      <c r="B82" s="71">
        <v>4</v>
      </c>
      <c r="C82" s="900" t="s">
        <v>380</v>
      </c>
      <c r="D82" s="1514"/>
      <c r="E82" s="1514"/>
      <c r="F82" s="1514"/>
      <c r="G82" s="1515"/>
      <c r="H82" s="1515"/>
      <c r="I82" s="1515"/>
      <c r="J82" s="1515"/>
      <c r="K82" s="70"/>
    </row>
    <row r="83" spans="2:11" x14ac:dyDescent="0.45">
      <c r="B83" s="71">
        <v>5</v>
      </c>
      <c r="C83" s="900" t="s">
        <v>381</v>
      </c>
      <c r="D83" s="1514">
        <v>7.2634199999999996E-2</v>
      </c>
      <c r="E83" s="1514">
        <v>4.5927999999999997E-2</v>
      </c>
      <c r="F83" s="1514"/>
      <c r="G83" s="1515">
        <v>1.8338500000000001E-2</v>
      </c>
      <c r="H83" s="1515">
        <v>5.6512800000000002E-2</v>
      </c>
      <c r="I83" s="1515">
        <v>2.95524E-2</v>
      </c>
      <c r="J83" s="1515"/>
      <c r="K83" s="70"/>
    </row>
    <row r="84" spans="2:11" x14ac:dyDescent="0.35">
      <c r="B84" s="71">
        <v>6</v>
      </c>
      <c r="C84" s="70" t="s">
        <v>382</v>
      </c>
      <c r="D84" s="1514">
        <v>6.7832999999999999E-3</v>
      </c>
      <c r="E84" s="1514">
        <v>0.16507910000000001</v>
      </c>
      <c r="F84" s="1514">
        <v>7.3635000000000006E-2</v>
      </c>
      <c r="G84" s="1515">
        <v>5.0099499999999998E-2</v>
      </c>
      <c r="H84" s="1515">
        <v>0.11931170000000001</v>
      </c>
      <c r="I84" s="1515">
        <v>0.1170957</v>
      </c>
      <c r="J84" s="1515">
        <v>3.2450699999999999E-2</v>
      </c>
      <c r="K84" s="70"/>
    </row>
    <row r="85" spans="2:11" x14ac:dyDescent="0.45">
      <c r="B85" s="71">
        <v>7</v>
      </c>
      <c r="C85" s="900" t="s">
        <v>1251</v>
      </c>
      <c r="D85" s="1514">
        <v>0.1800554</v>
      </c>
      <c r="E85" s="1514">
        <v>0.21205623600000001</v>
      </c>
      <c r="F85" s="1514"/>
      <c r="G85" s="1515">
        <v>2.2002399999999998E-2</v>
      </c>
      <c r="H85" s="1515">
        <v>2.3002000000000002E-2</v>
      </c>
      <c r="I85" s="1515">
        <v>0.13717000000000001</v>
      </c>
      <c r="J85" s="1515">
        <v>4.9282100000000002E-2</v>
      </c>
      <c r="K85" s="70"/>
    </row>
    <row r="86" spans="2:11" x14ac:dyDescent="0.45">
      <c r="B86" s="71">
        <v>8</v>
      </c>
      <c r="C86" s="900" t="s">
        <v>383</v>
      </c>
      <c r="D86" s="1514"/>
      <c r="E86" s="1514"/>
      <c r="F86" s="1514"/>
      <c r="G86" s="1515"/>
      <c r="H86" s="1515"/>
      <c r="I86" s="1515"/>
      <c r="J86" s="1515"/>
      <c r="K86" s="70"/>
    </row>
    <row r="87" spans="2:11" x14ac:dyDescent="0.45">
      <c r="B87" s="71">
        <v>9</v>
      </c>
      <c r="C87" s="900" t="s">
        <v>1252</v>
      </c>
      <c r="D87" s="1514">
        <v>0.38565050000000001</v>
      </c>
      <c r="E87" s="1514"/>
      <c r="F87" s="1514">
        <v>0.40720919999999999</v>
      </c>
      <c r="G87" s="1515">
        <v>0.85985160000000005</v>
      </c>
      <c r="H87" s="1515">
        <v>0.75937840000000001</v>
      </c>
      <c r="I87" s="1515"/>
      <c r="J87" s="1515">
        <v>0.87815989999999999</v>
      </c>
      <c r="K87" s="70"/>
    </row>
    <row r="88" spans="2:11" x14ac:dyDescent="0.45">
      <c r="B88" s="71">
        <v>10</v>
      </c>
      <c r="C88" s="900" t="s">
        <v>384</v>
      </c>
      <c r="D88" s="1514">
        <v>3.1017000000000002E-3</v>
      </c>
      <c r="E88" s="1514">
        <v>1.8201599999999998E-2</v>
      </c>
      <c r="F88" s="1514">
        <v>3.7623000000000001E-3</v>
      </c>
      <c r="G88" s="1515">
        <v>1.9441300000000002E-2</v>
      </c>
      <c r="H88" s="1515">
        <v>7.1511999999999999E-3</v>
      </c>
      <c r="I88" s="1515"/>
      <c r="J88" s="1515">
        <v>1.8E-3</v>
      </c>
      <c r="K88" s="70"/>
    </row>
    <row r="89" spans="2:11" x14ac:dyDescent="0.45">
      <c r="B89" s="71">
        <v>11</v>
      </c>
      <c r="C89" s="900" t="s">
        <v>385</v>
      </c>
      <c r="D89" s="1514"/>
      <c r="E89" s="1514"/>
      <c r="F89" s="1514"/>
      <c r="G89" s="1515"/>
      <c r="H89" s="1515"/>
      <c r="I89" s="1515"/>
      <c r="J89" s="1515"/>
      <c r="K89" s="70"/>
    </row>
    <row r="90" spans="2:11" x14ac:dyDescent="0.45">
      <c r="B90" s="71">
        <v>12</v>
      </c>
      <c r="C90" s="900" t="s">
        <v>386</v>
      </c>
      <c r="D90" s="1514">
        <v>1.14275E-2</v>
      </c>
      <c r="E90" s="1514">
        <v>8.8573000000000002E-3</v>
      </c>
      <c r="F90" s="1514">
        <v>0.1710863</v>
      </c>
      <c r="G90" s="1515">
        <v>0.35962689999999997</v>
      </c>
      <c r="H90" s="1515">
        <v>0.40240609999999999</v>
      </c>
      <c r="I90" s="1515">
        <v>0.37722830000000002</v>
      </c>
      <c r="J90" s="1515">
        <v>1.08862E-2</v>
      </c>
      <c r="K90" s="70"/>
    </row>
    <row r="91" spans="2:11" x14ac:dyDescent="0.45">
      <c r="B91" s="71">
        <v>13</v>
      </c>
      <c r="C91" s="900" t="s">
        <v>1253</v>
      </c>
      <c r="D91" s="1514">
        <v>3.1095299999999999E-2</v>
      </c>
      <c r="E91" s="1514">
        <v>8.0943000000000005E-3</v>
      </c>
      <c r="F91" s="1514">
        <v>2.3623700000000001E-2</v>
      </c>
      <c r="G91" s="1515">
        <v>3.00547E-2</v>
      </c>
      <c r="H91" s="1515">
        <v>3.1909699999999999E-2</v>
      </c>
      <c r="I91" s="1515">
        <v>5.7977399999999998E-2</v>
      </c>
      <c r="J91" s="1515"/>
      <c r="K91" s="70"/>
    </row>
    <row r="92" spans="2:11" x14ac:dyDescent="0.45">
      <c r="B92" s="71">
        <v>14</v>
      </c>
      <c r="C92" s="900" t="s">
        <v>387</v>
      </c>
      <c r="D92" s="1514"/>
      <c r="E92" s="1514"/>
      <c r="F92" s="1514"/>
      <c r="G92" s="1515"/>
      <c r="H92" s="1515"/>
      <c r="I92" s="1515"/>
      <c r="J92" s="1515"/>
      <c r="K92" s="70"/>
    </row>
    <row r="93" spans="2:11" x14ac:dyDescent="0.45">
      <c r="B93" s="71">
        <v>15</v>
      </c>
      <c r="C93" s="900" t="s">
        <v>388</v>
      </c>
      <c r="D93" s="1514"/>
      <c r="E93" s="1514"/>
      <c r="F93" s="1514"/>
      <c r="G93" s="1515"/>
      <c r="H93" s="1515"/>
      <c r="I93" s="1515"/>
      <c r="J93" s="1515"/>
      <c r="K93" s="70"/>
    </row>
    <row r="94" spans="2:11" x14ac:dyDescent="0.45">
      <c r="B94" s="71">
        <v>16</v>
      </c>
      <c r="C94" s="900" t="s">
        <v>389</v>
      </c>
      <c r="D94" s="1514"/>
      <c r="E94" s="1514"/>
      <c r="F94" s="1514"/>
      <c r="G94" s="1515"/>
      <c r="H94" s="1515"/>
      <c r="I94" s="1515"/>
      <c r="J94" s="1516"/>
      <c r="K94" s="70"/>
    </row>
    <row r="95" spans="2:11" x14ac:dyDescent="0.4">
      <c r="B95" s="71">
        <v>17</v>
      </c>
      <c r="C95" s="903" t="s">
        <v>390</v>
      </c>
      <c r="D95" s="1517">
        <f t="shared" ref="D95:J95" si="0">SUM(D79:D94)</f>
        <v>3.9156839000000003</v>
      </c>
      <c r="E95" s="1517">
        <f t="shared" si="0"/>
        <v>3.5693014359999995</v>
      </c>
      <c r="F95" s="1517">
        <f t="shared" si="0"/>
        <v>3.7960062999999997</v>
      </c>
      <c r="G95" s="1518">
        <f t="shared" si="0"/>
        <v>4.2569444000000001</v>
      </c>
      <c r="H95" s="1518">
        <f t="shared" si="0"/>
        <v>4.4179877000000003</v>
      </c>
      <c r="I95" s="1518">
        <f t="shared" si="0"/>
        <v>4.5556970000000003</v>
      </c>
      <c r="J95" s="1518">
        <f t="shared" si="0"/>
        <v>5.0528430000000002</v>
      </c>
      <c r="K95" s="70"/>
    </row>
    <row r="96" spans="2:11" x14ac:dyDescent="0.45">
      <c r="B96" s="71">
        <v>18</v>
      </c>
      <c r="C96" s="900" t="s">
        <v>391</v>
      </c>
      <c r="D96" s="1514"/>
      <c r="E96" s="1514"/>
      <c r="F96" s="1514"/>
      <c r="G96" s="1515"/>
      <c r="H96" s="1515"/>
      <c r="I96" s="1515"/>
      <c r="J96" s="1516"/>
      <c r="K96" s="70"/>
    </row>
    <row r="97" spans="2:11" x14ac:dyDescent="0.45">
      <c r="B97" s="71">
        <f>+B96+0.1</f>
        <v>18.100000000000001</v>
      </c>
      <c r="C97" s="900" t="s">
        <v>392</v>
      </c>
      <c r="D97" s="1514">
        <v>0.13979949999999999</v>
      </c>
      <c r="E97" s="1514">
        <v>0.1555916</v>
      </c>
      <c r="F97" s="1514">
        <v>0.15382979999999999</v>
      </c>
      <c r="G97" s="1515">
        <v>0.1518408</v>
      </c>
      <c r="H97" s="1515">
        <v>0.15724850000000001</v>
      </c>
      <c r="I97" s="1515">
        <v>0.22767319999999999</v>
      </c>
      <c r="J97" s="1516">
        <v>0.24838209999999999</v>
      </c>
      <c r="K97" s="70"/>
    </row>
    <row r="98" spans="2:11" x14ac:dyDescent="0.45">
      <c r="B98" s="71">
        <f>+B97+0.1</f>
        <v>18.200000000000003</v>
      </c>
      <c r="C98" s="900" t="s">
        <v>393</v>
      </c>
      <c r="D98" s="1519"/>
      <c r="E98" s="1519"/>
      <c r="F98" s="1519"/>
      <c r="G98" s="1515"/>
      <c r="H98" s="1515"/>
      <c r="I98" s="1515"/>
      <c r="J98" s="1516"/>
      <c r="K98" s="70"/>
    </row>
    <row r="99" spans="2:11" x14ac:dyDescent="0.45">
      <c r="B99" s="71">
        <f>+B98+0.1</f>
        <v>18.300000000000004</v>
      </c>
      <c r="C99" s="900" t="s">
        <v>1254</v>
      </c>
      <c r="D99" s="1514"/>
      <c r="E99" s="1514">
        <v>1.3962E-2</v>
      </c>
      <c r="F99" s="1514">
        <v>1.3962E-2</v>
      </c>
      <c r="G99" s="1515">
        <v>2.2543299999999999E-2</v>
      </c>
      <c r="H99" s="1515">
        <v>2.1313700000000001E-2</v>
      </c>
      <c r="I99" s="1515">
        <v>2.8218400000000001E-2</v>
      </c>
      <c r="J99" s="1516">
        <v>5.2095599999999999E-2</v>
      </c>
      <c r="K99" s="70"/>
    </row>
    <row r="100" spans="2:11" x14ac:dyDescent="0.45">
      <c r="B100" s="71">
        <f>+B99+0.1</f>
        <v>18.400000000000006</v>
      </c>
      <c r="C100" s="900" t="s">
        <v>394</v>
      </c>
      <c r="D100" s="1514">
        <v>5.4370700000000001E-2</v>
      </c>
      <c r="E100" s="1514">
        <v>5.8442800000000003E-2</v>
      </c>
      <c r="F100" s="1514">
        <v>8.0508499999999997E-2</v>
      </c>
      <c r="G100" s="1758">
        <v>2.2031100000000001E-2</v>
      </c>
      <c r="H100" s="1758">
        <v>-8.4810899999999995E-2</v>
      </c>
      <c r="I100" s="1758">
        <v>0.14134955400000002</v>
      </c>
      <c r="J100" s="1758">
        <v>1.052104621</v>
      </c>
      <c r="K100" s="70"/>
    </row>
    <row r="101" spans="2:11" x14ac:dyDescent="0.45">
      <c r="B101" s="71">
        <v>19</v>
      </c>
      <c r="C101" s="900" t="s">
        <v>1255</v>
      </c>
      <c r="D101" s="1514">
        <v>7.1111000000000004E-3</v>
      </c>
      <c r="E101" s="1514">
        <v>7.5650999999999999E-3</v>
      </c>
      <c r="F101" s="1514">
        <v>7.4532000000000001E-3</v>
      </c>
      <c r="G101" s="1758">
        <v>7.1668000000000001E-3</v>
      </c>
      <c r="H101" s="1758">
        <v>7.2043000000000003E-3</v>
      </c>
      <c r="I101" s="1758">
        <v>1.0161099999999999E-2</v>
      </c>
      <c r="J101" s="1758">
        <v>1.0310700000000001E-2</v>
      </c>
      <c r="K101" s="70"/>
    </row>
    <row r="102" spans="2:11" x14ac:dyDescent="0.4">
      <c r="B102" s="904">
        <v>20</v>
      </c>
      <c r="C102" s="903" t="s">
        <v>395</v>
      </c>
      <c r="D102" s="1520">
        <f t="shared" ref="D102:J102" si="1">SUM(D95:D101)</f>
        <v>4.1169652000000001</v>
      </c>
      <c r="E102" s="1520">
        <f t="shared" si="1"/>
        <v>3.8048629359999993</v>
      </c>
      <c r="F102" s="1520">
        <f t="shared" si="1"/>
        <v>4.0517597999999992</v>
      </c>
      <c r="G102" s="1759">
        <f t="shared" si="1"/>
        <v>4.4605264000000009</v>
      </c>
      <c r="H102" s="1759">
        <f t="shared" si="1"/>
        <v>4.5189433000000001</v>
      </c>
      <c r="I102" s="1759">
        <f t="shared" si="1"/>
        <v>4.9630992540000003</v>
      </c>
      <c r="J102" s="1759">
        <f t="shared" si="1"/>
        <v>6.4157360209999998</v>
      </c>
      <c r="K102" s="906"/>
    </row>
    <row r="103" spans="2:11" x14ac:dyDescent="0.45">
      <c r="B103" s="71">
        <v>21</v>
      </c>
      <c r="C103" s="900" t="s">
        <v>396</v>
      </c>
      <c r="D103" s="1521">
        <v>2.0301828</v>
      </c>
      <c r="E103" s="1521">
        <v>0.34025830000000001</v>
      </c>
      <c r="F103" s="1521">
        <v>0.36853920000000001</v>
      </c>
      <c r="G103" s="1758">
        <v>0.39011879999999999</v>
      </c>
      <c r="H103" s="1758">
        <v>0</v>
      </c>
      <c r="I103" s="1758">
        <v>1.8827609000000001</v>
      </c>
      <c r="J103" s="1758">
        <v>1.8439232000000001</v>
      </c>
      <c r="K103" s="70"/>
    </row>
    <row r="104" spans="2:11" x14ac:dyDescent="0.45">
      <c r="B104" s="904">
        <v>22</v>
      </c>
      <c r="C104" s="900" t="s">
        <v>1256</v>
      </c>
      <c r="D104" s="1522">
        <f>35.65/100</f>
        <v>0.35649999999999998</v>
      </c>
      <c r="E104" s="1522">
        <v>0.68515174064905981</v>
      </c>
      <c r="F104" s="1522">
        <v>0.6807048</v>
      </c>
      <c r="G104" s="1758">
        <v>0.77932559999999995</v>
      </c>
      <c r="H104" s="1758">
        <v>0.71173003522102751</v>
      </c>
      <c r="I104" s="1758">
        <v>0.88801799999999997</v>
      </c>
      <c r="J104" s="1758">
        <f>1748111/10^7</f>
        <v>0.1748111</v>
      </c>
      <c r="K104" s="70"/>
    </row>
    <row r="105" spans="2:11" x14ac:dyDescent="0.35">
      <c r="B105" s="25">
        <v>23</v>
      </c>
      <c r="C105" s="906" t="s">
        <v>397</v>
      </c>
      <c r="D105" s="1523">
        <f t="shared" ref="D105:J105" si="2">D102-D103-D104</f>
        <v>1.7302824000000001</v>
      </c>
      <c r="E105" s="1523">
        <f t="shared" si="2"/>
        <v>2.7794528953509396</v>
      </c>
      <c r="F105" s="1523">
        <f t="shared" si="2"/>
        <v>3.0025157999999994</v>
      </c>
      <c r="G105" s="1524">
        <f t="shared" si="2"/>
        <v>3.2910820000000012</v>
      </c>
      <c r="H105" s="1524">
        <f t="shared" si="2"/>
        <v>3.8072132647789725</v>
      </c>
      <c r="I105" s="1524">
        <f t="shared" si="2"/>
        <v>2.1923203540000005</v>
      </c>
      <c r="J105" s="1524">
        <f t="shared" si="2"/>
        <v>4.3970017209999996</v>
      </c>
    </row>
    <row r="106" spans="2:11" x14ac:dyDescent="0.35">
      <c r="B106" s="359"/>
      <c r="C106" s="894"/>
      <c r="D106" s="911">
        <f>+D105-D38-D72</f>
        <v>0</v>
      </c>
      <c r="E106" s="911">
        <f t="shared" ref="E106:J106" si="3">+E105-E38-E72</f>
        <v>0</v>
      </c>
      <c r="F106" s="911">
        <f t="shared" si="3"/>
        <v>0</v>
      </c>
      <c r="G106" s="911">
        <f t="shared" si="3"/>
        <v>0</v>
      </c>
      <c r="H106" s="911">
        <f t="shared" si="3"/>
        <v>0</v>
      </c>
      <c r="I106" s="911">
        <f t="shared" si="3"/>
        <v>0</v>
      </c>
      <c r="J106" s="911">
        <f t="shared" si="3"/>
        <v>0</v>
      </c>
    </row>
    <row r="107" spans="2:11" x14ac:dyDescent="0.35">
      <c r="B107" s="894" t="s">
        <v>398</v>
      </c>
    </row>
    <row r="108" spans="2:11" x14ac:dyDescent="0.35">
      <c r="B108" s="894"/>
    </row>
    <row r="109" spans="2:11" x14ac:dyDescent="0.35">
      <c r="B109" s="894" t="s">
        <v>1275</v>
      </c>
    </row>
    <row r="110" spans="2:11" x14ac:dyDescent="0.35">
      <c r="J110" s="894" t="s">
        <v>399</v>
      </c>
    </row>
    <row r="111" spans="2:11" x14ac:dyDescent="0.35">
      <c r="B111" s="1902" t="s">
        <v>214</v>
      </c>
      <c r="C111" s="1902" t="s">
        <v>111</v>
      </c>
      <c r="D111" s="897" t="s">
        <v>196</v>
      </c>
      <c r="E111" s="897" t="s">
        <v>197</v>
      </c>
      <c r="F111" s="897" t="s">
        <v>198</v>
      </c>
      <c r="G111" s="897" t="s">
        <v>199</v>
      </c>
      <c r="H111" s="898" t="s">
        <v>112</v>
      </c>
      <c r="I111" s="898" t="s">
        <v>113</v>
      </c>
      <c r="J111" s="898" t="s">
        <v>114</v>
      </c>
      <c r="K111" s="899"/>
    </row>
    <row r="112" spans="2:11" ht="30" x14ac:dyDescent="0.35">
      <c r="B112" s="1903"/>
      <c r="C112" s="1903"/>
      <c r="D112" s="1997" t="s">
        <v>117</v>
      </c>
      <c r="E112" s="1998"/>
      <c r="F112" s="1998"/>
      <c r="G112" s="1998"/>
      <c r="H112" s="1998"/>
      <c r="I112" s="1999"/>
      <c r="J112" s="897" t="s">
        <v>1751</v>
      </c>
      <c r="K112" s="897"/>
    </row>
    <row r="113" spans="2:11" x14ac:dyDescent="0.35">
      <c r="B113" s="70"/>
      <c r="C113" s="70"/>
      <c r="D113" s="71"/>
      <c r="E113" s="71"/>
      <c r="F113" s="71"/>
      <c r="G113" s="71"/>
      <c r="H113" s="71"/>
      <c r="I113" s="71"/>
      <c r="J113" s="71"/>
      <c r="K113" s="70"/>
    </row>
    <row r="114" spans="2:11" x14ac:dyDescent="0.35">
      <c r="B114" s="904" t="s">
        <v>226</v>
      </c>
      <c r="C114" s="906" t="s">
        <v>400</v>
      </c>
      <c r="D114" s="904"/>
      <c r="E114" s="904"/>
      <c r="F114" s="904"/>
      <c r="G114" s="904"/>
      <c r="H114" s="904"/>
      <c r="I114" s="904"/>
      <c r="J114" s="71"/>
      <c r="K114" s="70"/>
    </row>
    <row r="115" spans="2:11" x14ac:dyDescent="0.35">
      <c r="B115" s="912">
        <v>1</v>
      </c>
      <c r="C115" s="913" t="s">
        <v>401</v>
      </c>
      <c r="D115" s="71">
        <f t="shared" ref="D115:J115" si="4">+SUM(D122:D125)</f>
        <v>3</v>
      </c>
      <c r="E115" s="71">
        <f t="shared" si="4"/>
        <v>6</v>
      </c>
      <c r="F115" s="71">
        <f t="shared" si="4"/>
        <v>5</v>
      </c>
      <c r="G115" s="71">
        <f t="shared" si="4"/>
        <v>5</v>
      </c>
      <c r="H115" s="71">
        <f t="shared" si="4"/>
        <v>5</v>
      </c>
      <c r="I115" s="71">
        <f t="shared" si="4"/>
        <v>5</v>
      </c>
      <c r="J115" s="71">
        <f t="shared" si="4"/>
        <v>5</v>
      </c>
      <c r="K115" s="71"/>
    </row>
    <row r="116" spans="2:11" x14ac:dyDescent="0.35">
      <c r="B116" s="912">
        <v>2</v>
      </c>
      <c r="C116" s="913" t="s">
        <v>402</v>
      </c>
      <c r="D116" s="71">
        <f t="shared" ref="D116:J116" si="5">+SUM(D128:D131)</f>
        <v>3</v>
      </c>
      <c r="E116" s="71">
        <f t="shared" si="5"/>
        <v>4</v>
      </c>
      <c r="F116" s="71">
        <f t="shared" si="5"/>
        <v>4</v>
      </c>
      <c r="G116" s="71">
        <f t="shared" si="5"/>
        <v>4</v>
      </c>
      <c r="H116" s="71">
        <f t="shared" si="5"/>
        <v>3</v>
      </c>
      <c r="I116" s="71">
        <f t="shared" si="5"/>
        <v>3</v>
      </c>
      <c r="J116" s="71">
        <f t="shared" si="5"/>
        <v>4</v>
      </c>
      <c r="K116" s="71"/>
    </row>
    <row r="117" spans="2:11" x14ac:dyDescent="0.35">
      <c r="B117" s="912">
        <v>3</v>
      </c>
      <c r="C117" s="913" t="s">
        <v>403</v>
      </c>
      <c r="D117" s="71">
        <f t="shared" ref="D117:J117" si="6">+SUM(D134:D137)</f>
        <v>0</v>
      </c>
      <c r="E117" s="71">
        <f t="shared" si="6"/>
        <v>0</v>
      </c>
      <c r="F117" s="71">
        <f t="shared" si="6"/>
        <v>0</v>
      </c>
      <c r="G117" s="71">
        <f t="shared" si="6"/>
        <v>0</v>
      </c>
      <c r="H117" s="71">
        <f t="shared" si="6"/>
        <v>0</v>
      </c>
      <c r="I117" s="71">
        <f t="shared" si="6"/>
        <v>0</v>
      </c>
      <c r="J117" s="71">
        <f t="shared" si="6"/>
        <v>0</v>
      </c>
      <c r="K117" s="71"/>
    </row>
    <row r="118" spans="2:11" x14ac:dyDescent="0.35">
      <c r="B118" s="912">
        <v>4</v>
      </c>
      <c r="C118" s="913" t="s">
        <v>404</v>
      </c>
      <c r="D118" s="71">
        <f t="shared" ref="D118:J118" si="7">+SUM(D140:D143)</f>
        <v>1</v>
      </c>
      <c r="E118" s="71">
        <f t="shared" si="7"/>
        <v>1</v>
      </c>
      <c r="F118" s="71">
        <f t="shared" si="7"/>
        <v>1</v>
      </c>
      <c r="G118" s="71">
        <f t="shared" si="7"/>
        <v>1</v>
      </c>
      <c r="H118" s="71">
        <f t="shared" si="7"/>
        <v>1</v>
      </c>
      <c r="I118" s="71">
        <f t="shared" si="7"/>
        <v>1</v>
      </c>
      <c r="J118" s="71">
        <f t="shared" si="7"/>
        <v>1</v>
      </c>
      <c r="K118" s="71"/>
    </row>
    <row r="119" spans="2:11" x14ac:dyDescent="0.35">
      <c r="B119" s="912"/>
      <c r="C119" s="913"/>
      <c r="D119" s="70"/>
      <c r="E119" s="70"/>
      <c r="F119" s="70"/>
      <c r="G119" s="70"/>
      <c r="H119" s="70"/>
      <c r="I119" s="70"/>
      <c r="J119" s="70"/>
      <c r="K119" s="70"/>
    </row>
    <row r="120" spans="2:11" x14ac:dyDescent="0.35">
      <c r="B120" s="914" t="s">
        <v>228</v>
      </c>
      <c r="C120" s="915" t="s">
        <v>405</v>
      </c>
      <c r="D120" s="70"/>
      <c r="E120" s="70"/>
      <c r="F120" s="70"/>
      <c r="G120" s="70"/>
      <c r="H120" s="70"/>
      <c r="I120" s="70"/>
      <c r="J120" s="70"/>
      <c r="K120" s="70"/>
    </row>
    <row r="121" spans="2:11" x14ac:dyDescent="0.35">
      <c r="B121" s="912">
        <v>5</v>
      </c>
      <c r="C121" s="915" t="s">
        <v>401</v>
      </c>
      <c r="D121" s="70"/>
      <c r="E121" s="70"/>
      <c r="F121" s="70"/>
      <c r="G121" s="70"/>
      <c r="H121" s="70"/>
      <c r="I121" s="70"/>
      <c r="J121" s="70"/>
      <c r="K121" s="70"/>
    </row>
    <row r="122" spans="2:11" x14ac:dyDescent="0.35">
      <c r="B122" s="912">
        <f>+B121+0.1</f>
        <v>5.0999999999999996</v>
      </c>
      <c r="C122" s="913" t="s">
        <v>406</v>
      </c>
      <c r="D122" s="71">
        <v>1</v>
      </c>
      <c r="E122" s="71">
        <v>2</v>
      </c>
      <c r="F122" s="71">
        <v>2</v>
      </c>
      <c r="G122" s="71">
        <v>2</v>
      </c>
      <c r="H122" s="71">
        <v>2</v>
      </c>
      <c r="I122" s="71">
        <v>2</v>
      </c>
      <c r="J122" s="71">
        <v>2</v>
      </c>
      <c r="K122" s="71"/>
    </row>
    <row r="123" spans="2:11" x14ac:dyDescent="0.35">
      <c r="B123" s="912">
        <f>+B122+0.1</f>
        <v>5.1999999999999993</v>
      </c>
      <c r="C123" s="913" t="s">
        <v>407</v>
      </c>
      <c r="D123" s="71">
        <v>1</v>
      </c>
      <c r="E123" s="71">
        <v>2</v>
      </c>
      <c r="F123" s="71">
        <v>2</v>
      </c>
      <c r="G123" s="71">
        <v>2</v>
      </c>
      <c r="H123" s="71">
        <v>2</v>
      </c>
      <c r="I123" s="71">
        <v>2</v>
      </c>
      <c r="J123" s="71">
        <v>2</v>
      </c>
      <c r="K123" s="71"/>
    </row>
    <row r="124" spans="2:11" x14ac:dyDescent="0.35">
      <c r="B124" s="912">
        <f>+B123+0.1</f>
        <v>5.2999999999999989</v>
      </c>
      <c r="C124" s="913" t="s">
        <v>408</v>
      </c>
      <c r="D124" s="71">
        <v>1</v>
      </c>
      <c r="E124" s="71">
        <v>2</v>
      </c>
      <c r="F124" s="71">
        <v>1</v>
      </c>
      <c r="G124" s="71">
        <v>1</v>
      </c>
      <c r="H124" s="71">
        <v>1</v>
      </c>
      <c r="I124" s="71">
        <v>1</v>
      </c>
      <c r="J124" s="71">
        <v>1</v>
      </c>
      <c r="K124" s="71"/>
    </row>
    <row r="125" spans="2:11" x14ac:dyDescent="0.35">
      <c r="B125" s="912">
        <f>+B124+0.1</f>
        <v>5.3999999999999986</v>
      </c>
      <c r="C125" s="913" t="s">
        <v>409</v>
      </c>
      <c r="D125" s="71">
        <f>0</f>
        <v>0</v>
      </c>
      <c r="E125" s="71">
        <f>0</f>
        <v>0</v>
      </c>
      <c r="F125" s="71">
        <f>0</f>
        <v>0</v>
      </c>
      <c r="G125" s="71">
        <f>0</f>
        <v>0</v>
      </c>
      <c r="H125" s="71">
        <f>0</f>
        <v>0</v>
      </c>
      <c r="I125" s="71">
        <f>0</f>
        <v>0</v>
      </c>
      <c r="J125" s="71">
        <f>0</f>
        <v>0</v>
      </c>
      <c r="K125" s="71"/>
    </row>
    <row r="126" spans="2:11" x14ac:dyDescent="0.35">
      <c r="B126" s="912"/>
      <c r="C126" s="913"/>
      <c r="D126" s="70"/>
      <c r="E126" s="70"/>
      <c r="F126" s="70"/>
      <c r="G126" s="70"/>
      <c r="H126" s="70"/>
      <c r="I126" s="70"/>
      <c r="J126" s="70"/>
      <c r="K126" s="70"/>
    </row>
    <row r="127" spans="2:11" x14ac:dyDescent="0.35">
      <c r="B127" s="912">
        <v>6</v>
      </c>
      <c r="C127" s="915" t="s">
        <v>402</v>
      </c>
      <c r="D127" s="70"/>
      <c r="E127" s="70"/>
      <c r="F127" s="70"/>
      <c r="G127" s="70"/>
      <c r="H127" s="70"/>
      <c r="I127" s="70"/>
      <c r="J127" s="70"/>
      <c r="K127" s="70"/>
    </row>
    <row r="128" spans="2:11" x14ac:dyDescent="0.35">
      <c r="B128" s="912">
        <f>+B127+0.1</f>
        <v>6.1</v>
      </c>
      <c r="C128" s="913" t="s">
        <v>406</v>
      </c>
      <c r="D128" s="71">
        <f>2</f>
        <v>2</v>
      </c>
      <c r="E128" s="71">
        <f>2</f>
        <v>2</v>
      </c>
      <c r="F128" s="71">
        <f>2</f>
        <v>2</v>
      </c>
      <c r="G128" s="71">
        <f>2</f>
        <v>2</v>
      </c>
      <c r="H128" s="71">
        <f>2</f>
        <v>2</v>
      </c>
      <c r="I128" s="71">
        <f>2</f>
        <v>2</v>
      </c>
      <c r="J128" s="71">
        <f>2</f>
        <v>2</v>
      </c>
      <c r="K128" s="71"/>
    </row>
    <row r="129" spans="2:11" x14ac:dyDescent="0.35">
      <c r="B129" s="912">
        <f>+B128+0.1</f>
        <v>6.1999999999999993</v>
      </c>
      <c r="C129" s="913" t="s">
        <v>407</v>
      </c>
      <c r="D129" s="71">
        <f>0</f>
        <v>0</v>
      </c>
      <c r="E129" s="71">
        <f>0</f>
        <v>0</v>
      </c>
      <c r="F129" s="71">
        <f>0</f>
        <v>0</v>
      </c>
      <c r="G129" s="71">
        <f>0</f>
        <v>0</v>
      </c>
      <c r="H129" s="71">
        <f>0</f>
        <v>0</v>
      </c>
      <c r="I129" s="71">
        <f>0</f>
        <v>0</v>
      </c>
      <c r="J129" s="71">
        <f>0</f>
        <v>0</v>
      </c>
      <c r="K129" s="71"/>
    </row>
    <row r="130" spans="2:11" x14ac:dyDescent="0.35">
      <c r="B130" s="912">
        <f>+B129+0.1</f>
        <v>6.2999999999999989</v>
      </c>
      <c r="C130" s="913" t="s">
        <v>408</v>
      </c>
      <c r="D130" s="71">
        <v>1</v>
      </c>
      <c r="E130" s="71">
        <v>2</v>
      </c>
      <c r="F130" s="71">
        <v>2</v>
      </c>
      <c r="G130" s="71">
        <v>2</v>
      </c>
      <c r="H130" s="71">
        <v>1</v>
      </c>
      <c r="I130" s="71">
        <v>1</v>
      </c>
      <c r="J130" s="71">
        <v>2</v>
      </c>
      <c r="K130" s="71"/>
    </row>
    <row r="131" spans="2:11" x14ac:dyDescent="0.45">
      <c r="B131" s="912">
        <f>+B130+0.1</f>
        <v>6.3999999999999986</v>
      </c>
      <c r="C131" s="913" t="s">
        <v>409</v>
      </c>
      <c r="D131" s="916">
        <f>0</f>
        <v>0</v>
      </c>
      <c r="E131" s="916">
        <f>0</f>
        <v>0</v>
      </c>
      <c r="F131" s="916">
        <f>0</f>
        <v>0</v>
      </c>
      <c r="G131" s="916">
        <f>0</f>
        <v>0</v>
      </c>
      <c r="H131" s="916">
        <f>0</f>
        <v>0</v>
      </c>
      <c r="I131" s="916">
        <f>0</f>
        <v>0</v>
      </c>
      <c r="J131" s="916">
        <f>0</f>
        <v>0</v>
      </c>
      <c r="K131" s="916"/>
    </row>
    <row r="132" spans="2:11" x14ac:dyDescent="0.45">
      <c r="B132" s="912"/>
      <c r="C132" s="913"/>
      <c r="D132" s="900"/>
      <c r="E132" s="70"/>
      <c r="F132" s="70"/>
      <c r="G132" s="70"/>
      <c r="H132" s="70"/>
      <c r="I132" s="70"/>
      <c r="J132" s="70"/>
      <c r="K132" s="70"/>
    </row>
    <row r="133" spans="2:11" x14ac:dyDescent="0.45">
      <c r="B133" s="912">
        <v>7</v>
      </c>
      <c r="C133" s="915" t="s">
        <v>403</v>
      </c>
      <c r="D133" s="900"/>
      <c r="E133" s="70"/>
      <c r="F133" s="70"/>
      <c r="G133" s="70"/>
      <c r="H133" s="70"/>
      <c r="I133" s="70"/>
      <c r="J133" s="70"/>
      <c r="K133" s="70"/>
    </row>
    <row r="134" spans="2:11" x14ac:dyDescent="0.35">
      <c r="B134" s="912">
        <f>+B133+0.1</f>
        <v>7.1</v>
      </c>
      <c r="C134" s="913" t="s">
        <v>406</v>
      </c>
      <c r="D134" s="917">
        <f>0</f>
        <v>0</v>
      </c>
      <c r="E134" s="917">
        <f>0</f>
        <v>0</v>
      </c>
      <c r="F134" s="917">
        <f>0</f>
        <v>0</v>
      </c>
      <c r="G134" s="917">
        <f>0</f>
        <v>0</v>
      </c>
      <c r="H134" s="917">
        <f>0</f>
        <v>0</v>
      </c>
      <c r="I134" s="917">
        <f>0</f>
        <v>0</v>
      </c>
      <c r="J134" s="917">
        <f>0</f>
        <v>0</v>
      </c>
      <c r="K134" s="917"/>
    </row>
    <row r="135" spans="2:11" x14ac:dyDescent="0.35">
      <c r="B135" s="912">
        <f>+B134+0.1</f>
        <v>7.1999999999999993</v>
      </c>
      <c r="C135" s="913" t="s">
        <v>407</v>
      </c>
      <c r="D135" s="917">
        <f>0</f>
        <v>0</v>
      </c>
      <c r="E135" s="917">
        <f>0</f>
        <v>0</v>
      </c>
      <c r="F135" s="917">
        <f>0</f>
        <v>0</v>
      </c>
      <c r="G135" s="917">
        <f>0</f>
        <v>0</v>
      </c>
      <c r="H135" s="917">
        <f>0</f>
        <v>0</v>
      </c>
      <c r="I135" s="917">
        <f>0</f>
        <v>0</v>
      </c>
      <c r="J135" s="917">
        <f>0</f>
        <v>0</v>
      </c>
      <c r="K135" s="917"/>
    </row>
    <row r="136" spans="2:11" x14ac:dyDescent="0.35">
      <c r="B136" s="912">
        <f>+B135+0.1</f>
        <v>7.2999999999999989</v>
      </c>
      <c r="C136" s="913" t="s">
        <v>408</v>
      </c>
      <c r="D136" s="917">
        <f>0</f>
        <v>0</v>
      </c>
      <c r="E136" s="917">
        <f>0</f>
        <v>0</v>
      </c>
      <c r="F136" s="917">
        <f>0</f>
        <v>0</v>
      </c>
      <c r="G136" s="917">
        <f>0</f>
        <v>0</v>
      </c>
      <c r="H136" s="917">
        <f>0</f>
        <v>0</v>
      </c>
      <c r="I136" s="917">
        <f>0</f>
        <v>0</v>
      </c>
      <c r="J136" s="917">
        <f>0</f>
        <v>0</v>
      </c>
      <c r="K136" s="917"/>
    </row>
    <row r="137" spans="2:11" x14ac:dyDescent="0.35">
      <c r="B137" s="912">
        <f>+B136+0.1</f>
        <v>7.3999999999999986</v>
      </c>
      <c r="C137" s="913" t="s">
        <v>409</v>
      </c>
      <c r="D137" s="917">
        <f>0</f>
        <v>0</v>
      </c>
      <c r="E137" s="917">
        <f>0</f>
        <v>0</v>
      </c>
      <c r="F137" s="917">
        <f>0</f>
        <v>0</v>
      </c>
      <c r="G137" s="917">
        <f>0</f>
        <v>0</v>
      </c>
      <c r="H137" s="917">
        <f>0</f>
        <v>0</v>
      </c>
      <c r="I137" s="917">
        <f>0</f>
        <v>0</v>
      </c>
      <c r="J137" s="917">
        <f>0</f>
        <v>0</v>
      </c>
      <c r="K137" s="917"/>
    </row>
    <row r="138" spans="2:11" x14ac:dyDescent="0.35">
      <c r="B138" s="912"/>
      <c r="C138" s="913"/>
      <c r="D138" s="901"/>
      <c r="E138" s="71"/>
      <c r="F138" s="71"/>
      <c r="G138" s="71"/>
      <c r="H138" s="71"/>
      <c r="I138" s="71"/>
      <c r="J138" s="71"/>
      <c r="K138" s="71"/>
    </row>
    <row r="139" spans="2:11" x14ac:dyDescent="0.35">
      <c r="B139" s="912">
        <v>8</v>
      </c>
      <c r="C139" s="915" t="s">
        <v>410</v>
      </c>
      <c r="D139" s="71"/>
      <c r="E139" s="71"/>
      <c r="F139" s="71"/>
      <c r="G139" s="71"/>
      <c r="H139" s="71"/>
      <c r="I139" s="71"/>
      <c r="J139" s="71"/>
      <c r="K139" s="71"/>
    </row>
    <row r="140" spans="2:11" x14ac:dyDescent="0.35">
      <c r="B140" s="912">
        <f>+B139+0.1</f>
        <v>8.1</v>
      </c>
      <c r="C140" s="913" t="s">
        <v>406</v>
      </c>
      <c r="D140" s="917">
        <f>0</f>
        <v>0</v>
      </c>
      <c r="E140" s="917">
        <f>0</f>
        <v>0</v>
      </c>
      <c r="F140" s="917">
        <f>0</f>
        <v>0</v>
      </c>
      <c r="G140" s="917">
        <f>0</f>
        <v>0</v>
      </c>
      <c r="H140" s="917">
        <f>0</f>
        <v>0</v>
      </c>
      <c r="I140" s="917">
        <f>0</f>
        <v>0</v>
      </c>
      <c r="J140" s="917">
        <f>0</f>
        <v>0</v>
      </c>
      <c r="K140" s="917"/>
    </row>
    <row r="141" spans="2:11" x14ac:dyDescent="0.35">
      <c r="B141" s="912">
        <f>+B140+0.1</f>
        <v>8.1999999999999993</v>
      </c>
      <c r="C141" s="913" t="s">
        <v>407</v>
      </c>
      <c r="D141" s="917">
        <v>1</v>
      </c>
      <c r="E141" s="917">
        <v>1</v>
      </c>
      <c r="F141" s="917">
        <v>1</v>
      </c>
      <c r="G141" s="917">
        <v>1</v>
      </c>
      <c r="H141" s="917">
        <v>1</v>
      </c>
      <c r="I141" s="917">
        <v>1</v>
      </c>
      <c r="J141" s="917">
        <v>1</v>
      </c>
      <c r="K141" s="917"/>
    </row>
    <row r="142" spans="2:11" x14ac:dyDescent="0.35">
      <c r="B142" s="912">
        <f>+B141+0.1</f>
        <v>8.2999999999999989</v>
      </c>
      <c r="C142" s="913" t="s">
        <v>408</v>
      </c>
      <c r="D142" s="917">
        <f>0</f>
        <v>0</v>
      </c>
      <c r="E142" s="917">
        <f>0</f>
        <v>0</v>
      </c>
      <c r="F142" s="917">
        <f>0</f>
        <v>0</v>
      </c>
      <c r="G142" s="917">
        <f>0</f>
        <v>0</v>
      </c>
      <c r="H142" s="917">
        <f>0</f>
        <v>0</v>
      </c>
      <c r="I142" s="917">
        <f>0</f>
        <v>0</v>
      </c>
      <c r="J142" s="917">
        <f>0</f>
        <v>0</v>
      </c>
      <c r="K142" s="917"/>
    </row>
    <row r="143" spans="2:11" x14ac:dyDescent="0.35">
      <c r="B143" s="912">
        <f>+B142+0.1</f>
        <v>8.3999999999999986</v>
      </c>
      <c r="C143" s="913" t="s">
        <v>409</v>
      </c>
      <c r="D143" s="917">
        <f>0</f>
        <v>0</v>
      </c>
      <c r="E143" s="917">
        <f>0</f>
        <v>0</v>
      </c>
      <c r="F143" s="917">
        <f>0</f>
        <v>0</v>
      </c>
      <c r="G143" s="917">
        <f>0</f>
        <v>0</v>
      </c>
      <c r="H143" s="917">
        <f>0</f>
        <v>0</v>
      </c>
      <c r="I143" s="917">
        <f>0</f>
        <v>0</v>
      </c>
      <c r="J143" s="917">
        <f>0</f>
        <v>0</v>
      </c>
      <c r="K143" s="917"/>
    </row>
    <row r="144" spans="2:11" x14ac:dyDescent="0.45">
      <c r="B144" s="918"/>
      <c r="C144" s="919" t="s">
        <v>411</v>
      </c>
      <c r="D144" s="920">
        <f t="shared" ref="D144:J144" si="8">SUM(D122:D143)</f>
        <v>7</v>
      </c>
      <c r="E144" s="920">
        <f t="shared" si="8"/>
        <v>11</v>
      </c>
      <c r="F144" s="920">
        <f t="shared" si="8"/>
        <v>10</v>
      </c>
      <c r="G144" s="920">
        <f t="shared" si="8"/>
        <v>10</v>
      </c>
      <c r="H144" s="920">
        <f t="shared" si="8"/>
        <v>9</v>
      </c>
      <c r="I144" s="920">
        <f t="shared" si="8"/>
        <v>9</v>
      </c>
      <c r="J144" s="920">
        <f t="shared" si="8"/>
        <v>10</v>
      </c>
      <c r="K144" s="921"/>
    </row>
    <row r="147" spans="3:15" x14ac:dyDescent="0.35">
      <c r="D147" s="897" t="s">
        <v>196</v>
      </c>
      <c r="E147" s="897" t="s">
        <v>197</v>
      </c>
      <c r="F147" s="897" t="s">
        <v>198</v>
      </c>
      <c r="G147" s="897" t="s">
        <v>199</v>
      </c>
      <c r="H147" s="898" t="s">
        <v>112</v>
      </c>
      <c r="I147" s="898" t="s">
        <v>113</v>
      </c>
      <c r="J147" s="898" t="s">
        <v>114</v>
      </c>
      <c r="K147" s="898" t="s">
        <v>123</v>
      </c>
      <c r="L147" s="898" t="s">
        <v>124</v>
      </c>
      <c r="M147" s="898" t="s">
        <v>125</v>
      </c>
      <c r="N147" s="898" t="s">
        <v>126</v>
      </c>
      <c r="O147" s="898" t="s">
        <v>127</v>
      </c>
    </row>
    <row r="148" spans="3:15" x14ac:dyDescent="0.35">
      <c r="C148" s="894" t="s">
        <v>1650</v>
      </c>
      <c r="D148" s="1422"/>
      <c r="E148" s="1422">
        <f t="shared" ref="E148:K148" si="9">+E149+E150</f>
        <v>4471.5</v>
      </c>
      <c r="F148" s="1422">
        <f t="shared" si="9"/>
        <v>9752.7833333333328</v>
      </c>
      <c r="G148" s="911">
        <f t="shared" si="9"/>
        <v>19731.975000000002</v>
      </c>
      <c r="H148" s="911">
        <f t="shared" si="9"/>
        <v>23556.941666666669</v>
      </c>
      <c r="I148" s="911">
        <f t="shared" si="9"/>
        <v>26462.799999999999</v>
      </c>
      <c r="J148" s="911">
        <f t="shared" si="9"/>
        <v>34140</v>
      </c>
      <c r="K148" s="911">
        <f t="shared" si="9"/>
        <v>44280</v>
      </c>
      <c r="L148" s="911">
        <f>+L149+L150</f>
        <v>48780</v>
      </c>
      <c r="M148" s="911">
        <f>+M149+M150</f>
        <v>53280</v>
      </c>
      <c r="N148" s="911">
        <f>+N149+N150</f>
        <v>58280</v>
      </c>
      <c r="O148" s="911">
        <f>+O149+O150</f>
        <v>58280</v>
      </c>
    </row>
    <row r="149" spans="3:15" x14ac:dyDescent="0.35">
      <c r="C149" s="25" t="s">
        <v>1147</v>
      </c>
      <c r="D149" s="1422"/>
      <c r="E149" s="1422">
        <v>612.33333333333337</v>
      </c>
      <c r="F149" s="911">
        <v>1929.75</v>
      </c>
      <c r="G149" s="911">
        <v>3304</v>
      </c>
      <c r="H149" s="911">
        <v>4419</v>
      </c>
      <c r="I149" s="911">
        <v>4419</v>
      </c>
      <c r="J149" s="911">
        <v>10919</v>
      </c>
      <c r="K149" s="1423">
        <f>+'F13.1'!K35</f>
        <v>21059</v>
      </c>
      <c r="L149" s="1423">
        <f>+'F13.2'!K65</f>
        <v>25559</v>
      </c>
      <c r="M149" s="1423">
        <f>+'F13.3'!K65</f>
        <v>30059</v>
      </c>
      <c r="N149" s="1423">
        <f>+'F13.4'!K65</f>
        <v>34559</v>
      </c>
      <c r="O149" s="1423">
        <f>+'F13.5'!K65</f>
        <v>34559</v>
      </c>
    </row>
    <row r="150" spans="3:15" x14ac:dyDescent="0.35">
      <c r="C150" s="25" t="s">
        <v>1148</v>
      </c>
      <c r="D150" s="1422"/>
      <c r="E150" s="1422">
        <v>3859.1666666666665</v>
      </c>
      <c r="F150" s="911">
        <v>7823.0333333333328</v>
      </c>
      <c r="G150" s="911">
        <v>16427.975000000002</v>
      </c>
      <c r="H150" s="911">
        <v>19137.941666666669</v>
      </c>
      <c r="I150" s="911">
        <v>22043.8</v>
      </c>
      <c r="J150" s="911">
        <v>23221</v>
      </c>
      <c r="K150" s="1423">
        <f>+J150</f>
        <v>23221</v>
      </c>
      <c r="L150" s="1423">
        <f>+K150</f>
        <v>23221</v>
      </c>
      <c r="M150" s="1423">
        <f>+L150</f>
        <v>23221</v>
      </c>
      <c r="N150" s="1423">
        <f>+M150+500</f>
        <v>23721</v>
      </c>
      <c r="O150" s="1423">
        <f>+N150</f>
        <v>23721</v>
      </c>
    </row>
    <row r="153" spans="3:15" x14ac:dyDescent="0.35">
      <c r="C153" s="894" t="s">
        <v>1649</v>
      </c>
      <c r="E153" s="1424">
        <f t="shared" ref="E153:O153" si="10">+E154+E155</f>
        <v>440</v>
      </c>
      <c r="F153" s="1424">
        <f t="shared" si="10"/>
        <v>781</v>
      </c>
      <c r="G153" s="1424">
        <f t="shared" si="10"/>
        <v>1412</v>
      </c>
      <c r="H153" s="1424">
        <f t="shared" si="10"/>
        <v>1958</v>
      </c>
      <c r="I153" s="1424">
        <f t="shared" si="10"/>
        <v>2250</v>
      </c>
      <c r="J153" s="1424">
        <f t="shared" si="10"/>
        <v>2345</v>
      </c>
      <c r="K153" s="1424">
        <f t="shared" si="10"/>
        <v>2405</v>
      </c>
      <c r="L153" s="1424">
        <f t="shared" si="10"/>
        <v>2556</v>
      </c>
      <c r="M153" s="1424">
        <f t="shared" si="10"/>
        <v>2791</v>
      </c>
      <c r="N153" s="1424">
        <f t="shared" si="10"/>
        <v>3132</v>
      </c>
      <c r="O153" s="1424">
        <f t="shared" si="10"/>
        <v>3457</v>
      </c>
    </row>
    <row r="154" spans="3:15" x14ac:dyDescent="0.35">
      <c r="C154" s="25" t="s">
        <v>1147</v>
      </c>
      <c r="D154" s="1422"/>
      <c r="E154" s="1424">
        <v>2</v>
      </c>
      <c r="F154" s="1424">
        <v>4</v>
      </c>
      <c r="G154" s="1424">
        <v>4</v>
      </c>
      <c r="H154" s="1424">
        <v>3</v>
      </c>
      <c r="I154" s="1424">
        <v>3</v>
      </c>
      <c r="J154" s="1424">
        <v>4</v>
      </c>
      <c r="K154" s="1425">
        <f>+'F13.1'!C35</f>
        <v>4</v>
      </c>
      <c r="L154" s="1425">
        <f>+'F13.2'!C65</f>
        <v>5</v>
      </c>
      <c r="M154" s="1425">
        <f>+'F13.3'!C65</f>
        <v>6</v>
      </c>
      <c r="N154" s="1425">
        <f>+'F13.4'!C65</f>
        <v>6</v>
      </c>
      <c r="O154" s="1425">
        <f>+'F13.5'!C65</f>
        <v>6</v>
      </c>
    </row>
    <row r="155" spans="3:15" x14ac:dyDescent="0.35">
      <c r="C155" s="25" t="s">
        <v>1148</v>
      </c>
      <c r="E155" s="1424">
        <v>438</v>
      </c>
      <c r="F155" s="1424">
        <v>777</v>
      </c>
      <c r="G155" s="1424">
        <v>1408</v>
      </c>
      <c r="H155" s="1424">
        <v>1955</v>
      </c>
      <c r="I155" s="1424">
        <v>2247</v>
      </c>
      <c r="J155" s="1424">
        <v>2341</v>
      </c>
      <c r="K155" s="1425">
        <f>+'F13.1'!C70</f>
        <v>2401</v>
      </c>
      <c r="L155" s="1425">
        <f>+'F13.2'!C124</f>
        <v>2551</v>
      </c>
      <c r="M155" s="1425">
        <f>+'F13.3'!C124</f>
        <v>2785</v>
      </c>
      <c r="N155" s="1425">
        <f>+'F13.4'!C124</f>
        <v>3126</v>
      </c>
      <c r="O155" s="1425">
        <f>+'F13.5'!C124</f>
        <v>3451</v>
      </c>
    </row>
    <row r="158" spans="3:15" x14ac:dyDescent="0.35">
      <c r="C158" s="894" t="s">
        <v>1650</v>
      </c>
    </row>
    <row r="159" spans="3:15" x14ac:dyDescent="0.35">
      <c r="C159" s="25" t="s">
        <v>1147</v>
      </c>
      <c r="E159" s="1422">
        <f>+E149/E148</f>
        <v>0.13694136941369414</v>
      </c>
      <c r="F159" s="1422">
        <f t="shared" ref="F159:O159" si="11">+F149/F148</f>
        <v>0.19786659193016695</v>
      </c>
      <c r="G159" s="1422">
        <f t="shared" si="11"/>
        <v>0.16744395834679496</v>
      </c>
      <c r="H159" s="1422">
        <f t="shared" si="11"/>
        <v>0.18758801811072673</v>
      </c>
      <c r="I159" s="1422">
        <f t="shared" si="11"/>
        <v>0.16698913191347856</v>
      </c>
      <c r="J159" s="1422">
        <f t="shared" si="11"/>
        <v>0.31983011130638545</v>
      </c>
      <c r="K159" s="1422">
        <f t="shared" si="11"/>
        <v>0.47558717253839206</v>
      </c>
      <c r="L159" s="1422">
        <f t="shared" si="11"/>
        <v>0.52396473964739643</v>
      </c>
      <c r="M159" s="1422">
        <f t="shared" si="11"/>
        <v>0.56417042042042043</v>
      </c>
      <c r="N159" s="1422">
        <f t="shared" si="11"/>
        <v>0.59298215511324637</v>
      </c>
      <c r="O159" s="1422">
        <f t="shared" si="11"/>
        <v>0.59298215511324637</v>
      </c>
    </row>
    <row r="160" spans="3:15" x14ac:dyDescent="0.35">
      <c r="C160" s="25" t="s">
        <v>1148</v>
      </c>
      <c r="E160" s="1422">
        <f>+E150/E148</f>
        <v>0.86305863058630583</v>
      </c>
      <c r="F160" s="1422">
        <f t="shared" ref="F160:O160" si="12">+F150/F148</f>
        <v>0.80213340806983302</v>
      </c>
      <c r="G160" s="1422">
        <f t="shared" si="12"/>
        <v>0.83255604165320507</v>
      </c>
      <c r="H160" s="1422">
        <f t="shared" si="12"/>
        <v>0.81241198188927333</v>
      </c>
      <c r="I160" s="1422">
        <f t="shared" si="12"/>
        <v>0.83301086808652147</v>
      </c>
      <c r="J160" s="1422">
        <f t="shared" si="12"/>
        <v>0.6801698886936145</v>
      </c>
      <c r="K160" s="1422">
        <f t="shared" si="12"/>
        <v>0.524412827461608</v>
      </c>
      <c r="L160" s="1422">
        <f t="shared" si="12"/>
        <v>0.47603526035260352</v>
      </c>
      <c r="M160" s="1422">
        <f t="shared" si="12"/>
        <v>0.43582957957957957</v>
      </c>
      <c r="N160" s="1422">
        <f t="shared" si="12"/>
        <v>0.40701784488675358</v>
      </c>
      <c r="O160" s="1422">
        <f t="shared" si="12"/>
        <v>0.40701784488675358</v>
      </c>
    </row>
    <row r="163" spans="3:15" x14ac:dyDescent="0.35">
      <c r="C163" s="894" t="s">
        <v>1649</v>
      </c>
    </row>
    <row r="164" spans="3:15" x14ac:dyDescent="0.35">
      <c r="C164" s="25" t="s">
        <v>1147</v>
      </c>
      <c r="E164" s="1422">
        <f>+E154/E153</f>
        <v>4.5454545454545452E-3</v>
      </c>
      <c r="F164" s="1422">
        <f t="shared" ref="F164:O164" si="13">+F154/F153</f>
        <v>5.1216389244558257E-3</v>
      </c>
      <c r="G164" s="1422">
        <f t="shared" si="13"/>
        <v>2.8328611898016999E-3</v>
      </c>
      <c r="H164" s="1422">
        <f t="shared" si="13"/>
        <v>1.5321756894790602E-3</v>
      </c>
      <c r="I164" s="1422">
        <f t="shared" si="13"/>
        <v>1.3333333333333333E-3</v>
      </c>
      <c r="J164" s="1422">
        <f t="shared" si="13"/>
        <v>1.7057569296375266E-3</v>
      </c>
      <c r="K164" s="1422">
        <f t="shared" si="13"/>
        <v>1.6632016632016633E-3</v>
      </c>
      <c r="L164" s="1422">
        <f t="shared" si="13"/>
        <v>1.9561815336463224E-3</v>
      </c>
      <c r="M164" s="1422">
        <f t="shared" si="13"/>
        <v>2.149767108563239E-3</v>
      </c>
      <c r="N164" s="1422">
        <f t="shared" si="13"/>
        <v>1.9157088122605363E-3</v>
      </c>
      <c r="O164" s="1422">
        <f t="shared" si="13"/>
        <v>1.7356089094590686E-3</v>
      </c>
    </row>
    <row r="165" spans="3:15" x14ac:dyDescent="0.35">
      <c r="C165" s="25" t="s">
        <v>1148</v>
      </c>
      <c r="E165" s="1422">
        <f>+E155/E153</f>
        <v>0.99545454545454548</v>
      </c>
      <c r="F165" s="1422">
        <f t="shared" ref="F165:O165" si="14">+F155/F153</f>
        <v>0.99487836107554417</v>
      </c>
      <c r="G165" s="1422">
        <f t="shared" si="14"/>
        <v>0.99716713881019825</v>
      </c>
      <c r="H165" s="1422">
        <f t="shared" si="14"/>
        <v>0.99846782431052095</v>
      </c>
      <c r="I165" s="1422">
        <f t="shared" si="14"/>
        <v>0.9986666666666667</v>
      </c>
      <c r="J165" s="1422">
        <f t="shared" si="14"/>
        <v>0.99829424307036252</v>
      </c>
      <c r="K165" s="1422">
        <f t="shared" si="14"/>
        <v>0.99833679833679834</v>
      </c>
      <c r="L165" s="1422">
        <f t="shared" si="14"/>
        <v>0.9980438184663537</v>
      </c>
      <c r="M165" s="1422">
        <f t="shared" si="14"/>
        <v>0.99785023289143671</v>
      </c>
      <c r="N165" s="1422">
        <f t="shared" si="14"/>
        <v>0.99808429118773945</v>
      </c>
      <c r="O165" s="1422">
        <f t="shared" si="14"/>
        <v>0.99826439109054088</v>
      </c>
    </row>
  </sheetData>
  <mergeCells count="15">
    <mergeCell ref="C77:C78"/>
    <mergeCell ref="D78:I78"/>
    <mergeCell ref="D112:I112"/>
    <mergeCell ref="D11:I11"/>
    <mergeCell ref="B2:K2"/>
    <mergeCell ref="B3:K3"/>
    <mergeCell ref="B4:K4"/>
    <mergeCell ref="D45:I45"/>
    <mergeCell ref="B10:B11"/>
    <mergeCell ref="C10:C11"/>
    <mergeCell ref="B44:B45"/>
    <mergeCell ref="C44:C45"/>
    <mergeCell ref="B111:B112"/>
    <mergeCell ref="C111:C112"/>
    <mergeCell ref="B77:B78"/>
  </mergeCells>
  <pageMargins left="0.74803149606299213" right="0.74803149606299213" top="0.98425196850393704" bottom="0.98425196850393704" header="0.51181102362204722" footer="0.51181102362204722"/>
  <pageSetup paperSize="9" scale="63" fitToHeight="3" orientation="landscape" r:id="rId1"/>
  <headerFooter alignWithMargins="0"/>
  <rowBreaks count="3" manualBreakCount="3">
    <brk id="40" min="1" max="8" man="1"/>
    <brk id="73" min="1" max="10" man="1"/>
    <brk id="105" min="1"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L125"/>
  <sheetViews>
    <sheetView showGridLines="0" view="pageBreakPreview" topLeftCell="A87" zoomScale="60" zoomScaleNormal="60" workbookViewId="0">
      <selection activeCell="K120" sqref="K120"/>
    </sheetView>
  </sheetViews>
  <sheetFormatPr defaultColWidth="9.33203125" defaultRowHeight="13.9" x14ac:dyDescent="0.35"/>
  <cols>
    <col min="1" max="1" width="6.6640625" style="10" customWidth="1"/>
    <col min="2" max="2" width="7" style="10" customWidth="1"/>
    <col min="3" max="3" width="49.19921875" style="10" bestFit="1" customWidth="1"/>
    <col min="4" max="10" width="17.86328125" style="10" customWidth="1"/>
    <col min="11" max="16384" width="9.33203125" style="10"/>
  </cols>
  <sheetData>
    <row r="2" spans="2:10" x14ac:dyDescent="0.35">
      <c r="B2" s="1937" t="s">
        <v>412</v>
      </c>
      <c r="C2" s="1937"/>
      <c r="D2" s="1937"/>
      <c r="E2" s="1937"/>
      <c r="F2" s="1937"/>
      <c r="G2" s="1937"/>
      <c r="H2" s="1937"/>
      <c r="I2" s="1937"/>
      <c r="J2" s="1937"/>
    </row>
    <row r="3" spans="2:10" s="1" customFormat="1" x14ac:dyDescent="0.4">
      <c r="B3" s="1875" t="s">
        <v>340</v>
      </c>
      <c r="C3" s="1875"/>
      <c r="D3" s="1875"/>
      <c r="E3" s="1875"/>
      <c r="F3" s="1875"/>
      <c r="G3" s="1875"/>
      <c r="H3" s="1875"/>
      <c r="I3" s="1875"/>
      <c r="J3" s="1875"/>
    </row>
    <row r="4" spans="2:10" s="1" customFormat="1" x14ac:dyDescent="0.4">
      <c r="B4" s="1875" t="s">
        <v>413</v>
      </c>
      <c r="C4" s="1875"/>
      <c r="D4" s="1875"/>
      <c r="E4" s="1875"/>
      <c r="F4" s="1875"/>
      <c r="G4" s="1875"/>
      <c r="H4" s="1875"/>
      <c r="I4" s="1875"/>
      <c r="J4" s="1875"/>
    </row>
    <row r="6" spans="2:10" x14ac:dyDescent="0.35">
      <c r="B6" s="16" t="s">
        <v>109</v>
      </c>
    </row>
    <row r="8" spans="2:10" x14ac:dyDescent="0.35">
      <c r="J8" s="15" t="s">
        <v>110</v>
      </c>
    </row>
    <row r="9" spans="2:10" x14ac:dyDescent="0.35">
      <c r="B9" s="2003" t="s">
        <v>214</v>
      </c>
      <c r="C9" s="2003" t="s">
        <v>111</v>
      </c>
      <c r="D9" s="98" t="s">
        <v>196</v>
      </c>
      <c r="E9" s="98" t="s">
        <v>197</v>
      </c>
      <c r="F9" s="98" t="s">
        <v>198</v>
      </c>
      <c r="G9" s="98" t="s">
        <v>199</v>
      </c>
      <c r="H9" s="358" t="s">
        <v>112</v>
      </c>
      <c r="I9" s="358" t="s">
        <v>113</v>
      </c>
      <c r="J9" s="358" t="s">
        <v>114</v>
      </c>
    </row>
    <row r="10" spans="2:10" ht="27" x14ac:dyDescent="0.35">
      <c r="B10" s="2004"/>
      <c r="C10" s="2004"/>
      <c r="D10" s="1934" t="s">
        <v>117</v>
      </c>
      <c r="E10" s="1935"/>
      <c r="F10" s="1935"/>
      <c r="G10" s="1935"/>
      <c r="H10" s="1935"/>
      <c r="I10" s="1936"/>
      <c r="J10" s="98" t="s">
        <v>121</v>
      </c>
    </row>
    <row r="11" spans="2:10" x14ac:dyDescent="0.35">
      <c r="B11" s="435">
        <v>1</v>
      </c>
      <c r="C11" s="782" t="s">
        <v>414</v>
      </c>
      <c r="D11" s="23"/>
      <c r="E11" s="23"/>
      <c r="F11" s="23"/>
      <c r="G11" s="23"/>
      <c r="H11" s="19"/>
      <c r="I11" s="19"/>
      <c r="J11" s="19"/>
    </row>
    <row r="12" spans="2:10" x14ac:dyDescent="0.4">
      <c r="B12" s="435">
        <v>2</v>
      </c>
      <c r="C12" s="783" t="s">
        <v>415</v>
      </c>
      <c r="D12" s="21"/>
      <c r="E12" s="21"/>
      <c r="F12" s="21"/>
      <c r="G12" s="21"/>
      <c r="H12" s="19"/>
      <c r="I12" s="19"/>
      <c r="J12" s="19"/>
    </row>
    <row r="13" spans="2:10" x14ac:dyDescent="0.4">
      <c r="B13" s="435">
        <v>3</v>
      </c>
      <c r="C13" s="783" t="s">
        <v>416</v>
      </c>
      <c r="D13" s="21"/>
      <c r="E13" s="21"/>
      <c r="F13" s="21"/>
      <c r="G13" s="21"/>
      <c r="H13" s="19"/>
      <c r="I13" s="19"/>
      <c r="J13" s="19"/>
    </row>
    <row r="14" spans="2:10" x14ac:dyDescent="0.4">
      <c r="B14" s="435">
        <v>4</v>
      </c>
      <c r="C14" s="783" t="s">
        <v>417</v>
      </c>
      <c r="D14" s="21"/>
      <c r="E14" s="21"/>
      <c r="F14" s="21"/>
      <c r="G14" s="21"/>
      <c r="H14" s="19"/>
      <c r="I14" s="19"/>
      <c r="J14" s="19"/>
    </row>
    <row r="15" spans="2:10" x14ac:dyDescent="0.4">
      <c r="B15" s="435">
        <v>5</v>
      </c>
      <c r="C15" s="783" t="s">
        <v>418</v>
      </c>
      <c r="D15" s="21"/>
      <c r="E15" s="21"/>
      <c r="F15" s="21"/>
      <c r="G15" s="21"/>
      <c r="H15" s="19"/>
      <c r="I15" s="19"/>
      <c r="J15" s="19"/>
    </row>
    <row r="16" spans="2:10" x14ac:dyDescent="0.4">
      <c r="B16" s="435">
        <v>6</v>
      </c>
      <c r="C16" s="783" t="s">
        <v>419</v>
      </c>
      <c r="D16" s="21"/>
      <c r="E16" s="21"/>
      <c r="F16" s="21"/>
      <c r="G16" s="21"/>
      <c r="H16" s="19"/>
      <c r="I16" s="19"/>
      <c r="J16" s="19"/>
    </row>
    <row r="17" spans="2:10" x14ac:dyDescent="0.4">
      <c r="B17" s="435">
        <v>7</v>
      </c>
      <c r="C17" s="783" t="s">
        <v>420</v>
      </c>
      <c r="D17" s="21"/>
      <c r="E17" s="21"/>
      <c r="F17" s="21"/>
      <c r="G17" s="21"/>
      <c r="H17" s="19"/>
      <c r="I17" s="19"/>
      <c r="J17" s="19"/>
    </row>
    <row r="18" spans="2:10" x14ac:dyDescent="0.4">
      <c r="B18" s="435">
        <v>8</v>
      </c>
      <c r="C18" s="785" t="s">
        <v>421</v>
      </c>
      <c r="D18" s="95"/>
      <c r="E18" s="95"/>
      <c r="F18" s="95"/>
      <c r="G18" s="95"/>
      <c r="H18" s="19"/>
      <c r="I18" s="19"/>
      <c r="J18" s="19"/>
    </row>
    <row r="19" spans="2:10" x14ac:dyDescent="0.4">
      <c r="B19" s="435">
        <v>9</v>
      </c>
      <c r="C19" s="783" t="s">
        <v>422</v>
      </c>
      <c r="D19" s="21"/>
      <c r="E19" s="21"/>
      <c r="F19" s="21"/>
      <c r="G19" s="21"/>
      <c r="H19" s="19"/>
      <c r="I19" s="19"/>
      <c r="J19" s="19"/>
    </row>
    <row r="20" spans="2:10" x14ac:dyDescent="0.4">
      <c r="B20" s="435">
        <v>10</v>
      </c>
      <c r="C20" s="783" t="s">
        <v>423</v>
      </c>
      <c r="D20" s="21"/>
      <c r="E20" s="21"/>
      <c r="F20" s="21"/>
      <c r="G20" s="21"/>
      <c r="H20" s="19"/>
      <c r="I20" s="19"/>
      <c r="J20" s="19"/>
    </row>
    <row r="21" spans="2:10" x14ac:dyDescent="0.4">
      <c r="B21" s="435">
        <v>11</v>
      </c>
      <c r="C21" s="783" t="s">
        <v>424</v>
      </c>
      <c r="D21" s="21"/>
      <c r="E21" s="21"/>
      <c r="F21" s="21"/>
      <c r="G21" s="21"/>
      <c r="H21" s="19"/>
      <c r="I21" s="19"/>
      <c r="J21" s="19"/>
    </row>
    <row r="22" spans="2:10" x14ac:dyDescent="0.4">
      <c r="B22" s="435">
        <v>12</v>
      </c>
      <c r="C22" s="783" t="s">
        <v>1278</v>
      </c>
      <c r="D22" s="21"/>
      <c r="E22" s="21"/>
      <c r="F22" s="21"/>
      <c r="G22" s="21"/>
      <c r="H22" s="19"/>
      <c r="I22" s="19"/>
      <c r="J22" s="19"/>
    </row>
    <row r="23" spans="2:10" x14ac:dyDescent="0.4">
      <c r="B23" s="435">
        <v>13</v>
      </c>
      <c r="C23" s="783" t="s">
        <v>425</v>
      </c>
      <c r="D23" s="21"/>
      <c r="E23" s="21"/>
      <c r="F23" s="21"/>
      <c r="G23" s="21"/>
      <c r="H23" s="19"/>
      <c r="I23" s="19"/>
      <c r="J23" s="19"/>
    </row>
    <row r="24" spans="2:10" x14ac:dyDescent="0.4">
      <c r="B24" s="435">
        <v>14</v>
      </c>
      <c r="C24" s="783" t="s">
        <v>1279</v>
      </c>
      <c r="D24" s="21"/>
      <c r="E24" s="21"/>
      <c r="F24" s="21"/>
      <c r="G24" s="21"/>
      <c r="H24" s="19"/>
      <c r="I24" s="19"/>
      <c r="J24" s="19"/>
    </row>
    <row r="25" spans="2:10" x14ac:dyDescent="0.4">
      <c r="B25" s="435">
        <v>15</v>
      </c>
      <c r="C25" s="783" t="s">
        <v>426</v>
      </c>
      <c r="D25" s="21"/>
      <c r="E25" s="21"/>
      <c r="F25" s="21"/>
      <c r="G25" s="21"/>
      <c r="H25" s="19"/>
      <c r="I25" s="19"/>
      <c r="J25" s="19"/>
    </row>
    <row r="26" spans="2:10" x14ac:dyDescent="0.35">
      <c r="B26" s="435">
        <v>16</v>
      </c>
      <c r="C26" s="782" t="s">
        <v>427</v>
      </c>
      <c r="D26" s="23"/>
      <c r="E26" s="23"/>
      <c r="F26" s="23"/>
      <c r="G26" s="23"/>
      <c r="H26" s="19"/>
      <c r="I26" s="19"/>
      <c r="J26" s="19"/>
    </row>
    <row r="27" spans="2:10" x14ac:dyDescent="0.35">
      <c r="B27" s="435">
        <v>17</v>
      </c>
      <c r="C27" s="782" t="s">
        <v>428</v>
      </c>
      <c r="D27" s="23"/>
      <c r="E27" s="23"/>
      <c r="F27" s="23"/>
      <c r="G27" s="23"/>
      <c r="H27" s="19"/>
      <c r="I27" s="19"/>
      <c r="J27" s="19"/>
    </row>
    <row r="28" spans="2:10" x14ac:dyDescent="0.4">
      <c r="B28" s="435">
        <v>18</v>
      </c>
      <c r="C28" s="783" t="s">
        <v>429</v>
      </c>
      <c r="D28" s="21"/>
      <c r="E28" s="21"/>
      <c r="F28" s="21"/>
      <c r="G28" s="21"/>
      <c r="H28" s="19"/>
      <c r="I28" s="19"/>
      <c r="J28" s="19"/>
    </row>
    <row r="29" spans="2:10" x14ac:dyDescent="0.4">
      <c r="B29" s="435">
        <v>19</v>
      </c>
      <c r="C29" s="783" t="s">
        <v>430</v>
      </c>
      <c r="D29" s="21"/>
      <c r="E29" s="21"/>
      <c r="F29" s="21"/>
      <c r="G29" s="21"/>
      <c r="H29" s="19"/>
      <c r="I29" s="19"/>
      <c r="J29" s="19"/>
    </row>
    <row r="30" spans="2:10" x14ac:dyDescent="0.4">
      <c r="B30" s="435">
        <v>20</v>
      </c>
      <c r="C30" s="783" t="s">
        <v>1280</v>
      </c>
      <c r="D30" s="21"/>
      <c r="E30" s="21"/>
      <c r="F30" s="21"/>
      <c r="G30" s="21"/>
      <c r="H30" s="19"/>
      <c r="I30" s="19"/>
      <c r="J30" s="19"/>
    </row>
    <row r="31" spans="2:10" x14ac:dyDescent="0.4">
      <c r="B31" s="435">
        <v>21</v>
      </c>
      <c r="C31" s="783" t="s">
        <v>1281</v>
      </c>
      <c r="D31" s="21"/>
      <c r="E31" s="21"/>
      <c r="F31" s="21"/>
      <c r="G31" s="21"/>
      <c r="H31" s="19"/>
      <c r="I31" s="19"/>
      <c r="J31" s="19"/>
    </row>
    <row r="32" spans="2:10" x14ac:dyDescent="0.4">
      <c r="B32" s="435">
        <v>22</v>
      </c>
      <c r="C32" s="783" t="s">
        <v>431</v>
      </c>
      <c r="D32" s="21"/>
      <c r="E32" s="21"/>
      <c r="F32" s="21"/>
      <c r="G32" s="21"/>
      <c r="H32" s="19"/>
      <c r="I32" s="19"/>
      <c r="J32" s="19"/>
    </row>
    <row r="33" spans="2:10" x14ac:dyDescent="0.4">
      <c r="B33" s="435">
        <v>23</v>
      </c>
      <c r="C33" s="783" t="s">
        <v>432</v>
      </c>
      <c r="D33" s="21"/>
      <c r="E33" s="21"/>
      <c r="F33" s="21"/>
      <c r="G33" s="21"/>
      <c r="H33" s="19"/>
      <c r="I33" s="19"/>
      <c r="J33" s="19"/>
    </row>
    <row r="34" spans="2:10" x14ac:dyDescent="0.4">
      <c r="B34" s="435">
        <v>24</v>
      </c>
      <c r="C34" s="783" t="s">
        <v>433</v>
      </c>
      <c r="D34" s="21"/>
      <c r="E34" s="21"/>
      <c r="F34" s="21"/>
      <c r="G34" s="21"/>
      <c r="H34" s="19"/>
      <c r="I34" s="19"/>
      <c r="J34" s="19"/>
    </row>
    <row r="35" spans="2:10" x14ac:dyDescent="0.4">
      <c r="B35" s="435">
        <v>25</v>
      </c>
      <c r="C35" s="783" t="s">
        <v>434</v>
      </c>
      <c r="D35" s="21"/>
      <c r="E35" s="21"/>
      <c r="F35" s="21"/>
      <c r="G35" s="21"/>
      <c r="H35" s="19"/>
      <c r="I35" s="19"/>
      <c r="J35" s="19"/>
    </row>
    <row r="36" spans="2:10" x14ac:dyDescent="0.4">
      <c r="B36" s="435">
        <v>26</v>
      </c>
      <c r="C36" s="783" t="s">
        <v>435</v>
      </c>
      <c r="D36" s="21"/>
      <c r="E36" s="21"/>
      <c r="F36" s="21"/>
      <c r="G36" s="21"/>
      <c r="H36" s="19"/>
      <c r="I36" s="19"/>
      <c r="J36" s="19"/>
    </row>
    <row r="37" spans="2:10" x14ac:dyDescent="0.4">
      <c r="B37" s="435">
        <v>27</v>
      </c>
      <c r="C37" s="783" t="s">
        <v>436</v>
      </c>
      <c r="D37" s="21"/>
      <c r="E37" s="21"/>
      <c r="F37" s="21"/>
      <c r="G37" s="21"/>
      <c r="H37" s="19"/>
      <c r="I37" s="19"/>
      <c r="J37" s="19"/>
    </row>
    <row r="38" spans="2:10" x14ac:dyDescent="0.4">
      <c r="B38" s="435">
        <v>28</v>
      </c>
      <c r="C38" s="435" t="s">
        <v>1282</v>
      </c>
      <c r="D38" s="21"/>
      <c r="E38" s="21"/>
      <c r="F38" s="21"/>
      <c r="G38" s="21"/>
      <c r="H38" s="19"/>
      <c r="I38" s="19"/>
      <c r="J38" s="19"/>
    </row>
    <row r="39" spans="2:10" x14ac:dyDescent="0.35">
      <c r="B39" s="435">
        <v>29</v>
      </c>
      <c r="C39" s="435" t="s">
        <v>1283</v>
      </c>
      <c r="D39" s="20"/>
      <c r="E39" s="20"/>
      <c r="F39" s="20"/>
      <c r="G39" s="20"/>
      <c r="H39" s="22"/>
      <c r="I39" s="19"/>
      <c r="J39" s="19"/>
    </row>
    <row r="40" spans="2:10" x14ac:dyDescent="0.4">
      <c r="B40" s="435">
        <v>30</v>
      </c>
      <c r="C40" s="435" t="s">
        <v>965</v>
      </c>
      <c r="D40" s="2"/>
      <c r="E40" s="2"/>
      <c r="F40" s="2"/>
      <c r="G40" s="2"/>
      <c r="H40" s="19"/>
      <c r="I40" s="19"/>
      <c r="J40" s="19"/>
    </row>
    <row r="41" spans="2:10" x14ac:dyDescent="0.35">
      <c r="B41" s="435">
        <v>31</v>
      </c>
      <c r="C41" s="786" t="s">
        <v>437</v>
      </c>
      <c r="D41" s="417">
        <f>Assum!$E$91*D121</f>
        <v>0.85203950779999993</v>
      </c>
      <c r="E41" s="417">
        <f>Assum!$E$91*E121</f>
        <v>1.0389734277000002</v>
      </c>
      <c r="F41" s="417">
        <f>Assum!$F$91*F121</f>
        <v>0.91352612325000015</v>
      </c>
      <c r="G41" s="417">
        <f>Assum!$F$91*G121</f>
        <v>1.2661943242</v>
      </c>
      <c r="H41" s="417">
        <f>Assum!$F$91*H121</f>
        <v>1.4515469078500003</v>
      </c>
      <c r="I41" s="417">
        <f>Assum!$F$91*I121</f>
        <v>1.8354644528999997</v>
      </c>
      <c r="J41" s="417">
        <f>Assum!$F$91*J121</f>
        <v>1.9923591623000001</v>
      </c>
    </row>
    <row r="42" spans="2:10" x14ac:dyDescent="0.35">
      <c r="B42" s="435">
        <v>32</v>
      </c>
      <c r="C42" s="778" t="s">
        <v>396</v>
      </c>
      <c r="D42" s="787">
        <f>Assum!$E$91*D122</f>
        <v>0.29209257999999999</v>
      </c>
      <c r="E42" s="787">
        <f>Assum!$E$91*E122</f>
        <v>0</v>
      </c>
      <c r="F42" s="787">
        <f>Assum!$F$91*F122</f>
        <v>0</v>
      </c>
      <c r="G42" s="787">
        <f>Assum!$F$91*G122</f>
        <v>0</v>
      </c>
      <c r="H42" s="787">
        <f>Assum!$F$91*H122</f>
        <v>0</v>
      </c>
      <c r="I42" s="787">
        <f>Assum!$F$91*I122</f>
        <v>0.147630015</v>
      </c>
      <c r="J42" s="787">
        <f>Assum!$F$91*J122</f>
        <v>0</v>
      </c>
    </row>
    <row r="43" spans="2:10" x14ac:dyDescent="0.35">
      <c r="B43" s="435">
        <v>33</v>
      </c>
      <c r="C43" s="778" t="s">
        <v>1256</v>
      </c>
      <c r="D43" s="787">
        <f>Assum!$E$91*D123</f>
        <v>4.8099999999999997E-2</v>
      </c>
      <c r="E43" s="787">
        <f>Assum!$E$91*E123</f>
        <v>2.4375000000000002E-4</v>
      </c>
      <c r="F43" s="787">
        <f>Assum!$F$91*F123</f>
        <v>1.339E-4</v>
      </c>
      <c r="G43" s="787">
        <f>Assum!$F$91*G123</f>
        <v>4.6692697349999999E-2</v>
      </c>
      <c r="H43" s="787">
        <f>Assum!$F$91*H123</f>
        <v>1.9625882899999999E-2</v>
      </c>
      <c r="I43" s="787">
        <f>Assum!$F$91*I123</f>
        <v>1.6544399300000002E-2</v>
      </c>
      <c r="J43" s="787">
        <f>Assum!$F$91*J123</f>
        <v>4.0300000000000004E-5</v>
      </c>
    </row>
    <row r="44" spans="2:10" x14ac:dyDescent="0.35">
      <c r="B44" s="435">
        <v>34</v>
      </c>
      <c r="C44" s="419" t="s">
        <v>438</v>
      </c>
      <c r="D44" s="417">
        <f>+D41-D42-D43</f>
        <v>0.51184692779999996</v>
      </c>
      <c r="E44" s="417">
        <f t="shared" ref="E44:J44" si="0">+E41-E42-E43</f>
        <v>1.0387296777000001</v>
      </c>
      <c r="F44" s="417">
        <f t="shared" si="0"/>
        <v>0.91339222325000013</v>
      </c>
      <c r="G44" s="417">
        <f t="shared" si="0"/>
        <v>1.2195016268500001</v>
      </c>
      <c r="H44" s="417">
        <f t="shared" si="0"/>
        <v>1.4319210249500003</v>
      </c>
      <c r="I44" s="417">
        <f t="shared" si="0"/>
        <v>1.6712900385999996</v>
      </c>
      <c r="J44" s="417">
        <f t="shared" si="0"/>
        <v>1.9923188623000001</v>
      </c>
    </row>
    <row r="45" spans="2:10" x14ac:dyDescent="0.35">
      <c r="C45" s="16"/>
      <c r="D45" s="16"/>
      <c r="E45" s="16"/>
      <c r="F45" s="16"/>
      <c r="G45" s="16"/>
    </row>
    <row r="47" spans="2:10" x14ac:dyDescent="0.35">
      <c r="B47" s="16" t="s">
        <v>149</v>
      </c>
    </row>
    <row r="48" spans="2:10" x14ac:dyDescent="0.35">
      <c r="J48" s="15" t="s">
        <v>110</v>
      </c>
    </row>
    <row r="49" spans="2:10" x14ac:dyDescent="0.35">
      <c r="B49" s="2003" t="s">
        <v>214</v>
      </c>
      <c r="C49" s="2003" t="s">
        <v>111</v>
      </c>
      <c r="D49" s="98" t="s">
        <v>196</v>
      </c>
      <c r="E49" s="98" t="s">
        <v>197</v>
      </c>
      <c r="F49" s="98" t="s">
        <v>198</v>
      </c>
      <c r="G49" s="98" t="s">
        <v>199</v>
      </c>
      <c r="H49" s="358" t="s">
        <v>112</v>
      </c>
      <c r="I49" s="358" t="s">
        <v>113</v>
      </c>
      <c r="J49" s="358" t="s">
        <v>114</v>
      </c>
    </row>
    <row r="50" spans="2:10" ht="27" x14ac:dyDescent="0.35">
      <c r="B50" s="2004"/>
      <c r="C50" s="2004"/>
      <c r="D50" s="1934" t="s">
        <v>117</v>
      </c>
      <c r="E50" s="1935"/>
      <c r="F50" s="1935"/>
      <c r="G50" s="1935"/>
      <c r="H50" s="1935"/>
      <c r="I50" s="1936"/>
      <c r="J50" s="98" t="s">
        <v>121</v>
      </c>
    </row>
    <row r="51" spans="2:10" x14ac:dyDescent="0.35">
      <c r="B51" s="435">
        <v>1</v>
      </c>
      <c r="C51" s="782" t="s">
        <v>414</v>
      </c>
      <c r="D51" s="23"/>
      <c r="E51" s="23"/>
      <c r="F51" s="23"/>
      <c r="G51" s="23"/>
      <c r="H51" s="19"/>
      <c r="I51" s="19"/>
      <c r="J51" s="19"/>
    </row>
    <row r="52" spans="2:10" x14ac:dyDescent="0.4">
      <c r="B52" s="435">
        <v>2</v>
      </c>
      <c r="C52" s="783" t="s">
        <v>415</v>
      </c>
      <c r="D52" s="21"/>
      <c r="E52" s="21"/>
      <c r="F52" s="21"/>
      <c r="G52" s="21"/>
      <c r="H52" s="19"/>
      <c r="I52" s="19"/>
      <c r="J52" s="19"/>
    </row>
    <row r="53" spans="2:10" x14ac:dyDescent="0.4">
      <c r="B53" s="435">
        <v>3</v>
      </c>
      <c r="C53" s="783" t="s">
        <v>416</v>
      </c>
      <c r="D53" s="21"/>
      <c r="E53" s="21"/>
      <c r="F53" s="21"/>
      <c r="G53" s="21"/>
      <c r="H53" s="19"/>
      <c r="I53" s="19"/>
      <c r="J53" s="19"/>
    </row>
    <row r="54" spans="2:10" x14ac:dyDescent="0.4">
      <c r="B54" s="435">
        <v>4</v>
      </c>
      <c r="C54" s="783" t="s">
        <v>417</v>
      </c>
      <c r="D54" s="21"/>
      <c r="E54" s="21"/>
      <c r="F54" s="21"/>
      <c r="G54" s="21"/>
      <c r="H54" s="19"/>
      <c r="I54" s="19"/>
      <c r="J54" s="19"/>
    </row>
    <row r="55" spans="2:10" x14ac:dyDescent="0.4">
      <c r="B55" s="435">
        <v>5</v>
      </c>
      <c r="C55" s="783" t="s">
        <v>418</v>
      </c>
      <c r="D55" s="21"/>
      <c r="E55" s="21"/>
      <c r="F55" s="21"/>
      <c r="G55" s="21"/>
      <c r="H55" s="19"/>
      <c r="I55" s="19"/>
      <c r="J55" s="19"/>
    </row>
    <row r="56" spans="2:10" x14ac:dyDescent="0.4">
      <c r="B56" s="435">
        <v>6</v>
      </c>
      <c r="C56" s="783" t="s">
        <v>419</v>
      </c>
      <c r="D56" s="21"/>
      <c r="E56" s="21"/>
      <c r="F56" s="21"/>
      <c r="G56" s="21"/>
      <c r="H56" s="19"/>
      <c r="I56" s="19"/>
      <c r="J56" s="19"/>
    </row>
    <row r="57" spans="2:10" x14ac:dyDescent="0.4">
      <c r="B57" s="435">
        <v>7</v>
      </c>
      <c r="C57" s="783" t="s">
        <v>420</v>
      </c>
      <c r="D57" s="21"/>
      <c r="E57" s="21"/>
      <c r="F57" s="21"/>
      <c r="G57" s="21"/>
      <c r="H57" s="19"/>
      <c r="I57" s="19"/>
      <c r="J57" s="19"/>
    </row>
    <row r="58" spans="2:10" x14ac:dyDescent="0.4">
      <c r="B58" s="435">
        <v>8</v>
      </c>
      <c r="C58" s="785" t="s">
        <v>421</v>
      </c>
      <c r="D58" s="95"/>
      <c r="E58" s="95"/>
      <c r="F58" s="95"/>
      <c r="G58" s="95"/>
      <c r="H58" s="19"/>
      <c r="I58" s="19"/>
      <c r="J58" s="19"/>
    </row>
    <row r="59" spans="2:10" x14ac:dyDescent="0.4">
      <c r="B59" s="435">
        <v>9</v>
      </c>
      <c r="C59" s="783" t="s">
        <v>422</v>
      </c>
      <c r="D59" s="21"/>
      <c r="E59" s="21"/>
      <c r="F59" s="21"/>
      <c r="G59" s="21"/>
      <c r="H59" s="19"/>
      <c r="I59" s="19"/>
      <c r="J59" s="19"/>
    </row>
    <row r="60" spans="2:10" x14ac:dyDescent="0.4">
      <c r="B60" s="435">
        <v>10</v>
      </c>
      <c r="C60" s="783" t="s">
        <v>423</v>
      </c>
      <c r="D60" s="21"/>
      <c r="E60" s="21"/>
      <c r="F60" s="21"/>
      <c r="G60" s="21"/>
      <c r="H60" s="19"/>
      <c r="I60" s="19"/>
      <c r="J60" s="19"/>
    </row>
    <row r="61" spans="2:10" x14ac:dyDescent="0.4">
      <c r="B61" s="435">
        <v>11</v>
      </c>
      <c r="C61" s="783" t="s">
        <v>424</v>
      </c>
      <c r="D61" s="21"/>
      <c r="E61" s="21"/>
      <c r="F61" s="21"/>
      <c r="G61" s="21"/>
      <c r="H61" s="19"/>
      <c r="I61" s="19"/>
      <c r="J61" s="19"/>
    </row>
    <row r="62" spans="2:10" x14ac:dyDescent="0.4">
      <c r="B62" s="435">
        <v>12</v>
      </c>
      <c r="C62" s="783" t="s">
        <v>1278</v>
      </c>
      <c r="D62" s="21"/>
      <c r="E62" s="21"/>
      <c r="F62" s="21"/>
      <c r="G62" s="21"/>
      <c r="H62" s="19"/>
      <c r="I62" s="19"/>
      <c r="J62" s="19"/>
    </row>
    <row r="63" spans="2:10" x14ac:dyDescent="0.4">
      <c r="B63" s="435">
        <v>13</v>
      </c>
      <c r="C63" s="783" t="s">
        <v>425</v>
      </c>
      <c r="D63" s="21"/>
      <c r="E63" s="21"/>
      <c r="F63" s="21"/>
      <c r="G63" s="21"/>
      <c r="H63" s="19"/>
      <c r="I63" s="19"/>
      <c r="J63" s="19"/>
    </row>
    <row r="64" spans="2:10" x14ac:dyDescent="0.4">
      <c r="B64" s="435">
        <v>14</v>
      </c>
      <c r="C64" s="783" t="s">
        <v>1279</v>
      </c>
      <c r="D64" s="21"/>
      <c r="E64" s="21"/>
      <c r="F64" s="21"/>
      <c r="G64" s="21"/>
      <c r="H64" s="19"/>
      <c r="I64" s="19"/>
      <c r="J64" s="19"/>
    </row>
    <row r="65" spans="2:10" x14ac:dyDescent="0.4">
      <c r="B65" s="435">
        <v>15</v>
      </c>
      <c r="C65" s="783" t="s">
        <v>426</v>
      </c>
      <c r="D65" s="21"/>
      <c r="E65" s="21"/>
      <c r="F65" s="21"/>
      <c r="G65" s="21"/>
      <c r="H65" s="19"/>
      <c r="I65" s="19"/>
      <c r="J65" s="19"/>
    </row>
    <row r="66" spans="2:10" x14ac:dyDescent="0.35">
      <c r="B66" s="435">
        <v>16</v>
      </c>
      <c r="C66" s="782" t="s">
        <v>427</v>
      </c>
      <c r="D66" s="23"/>
      <c r="E66" s="23"/>
      <c r="F66" s="23"/>
      <c r="G66" s="23"/>
      <c r="H66" s="19"/>
      <c r="I66" s="19"/>
      <c r="J66" s="19"/>
    </row>
    <row r="67" spans="2:10" x14ac:dyDescent="0.35">
      <c r="B67" s="435">
        <v>17</v>
      </c>
      <c r="C67" s="782" t="s">
        <v>428</v>
      </c>
      <c r="D67" s="23"/>
      <c r="E67" s="23"/>
      <c r="F67" s="23"/>
      <c r="G67" s="23"/>
      <c r="H67" s="19"/>
      <c r="I67" s="19"/>
      <c r="J67" s="19"/>
    </row>
    <row r="68" spans="2:10" x14ac:dyDescent="0.4">
      <c r="B68" s="435">
        <v>18</v>
      </c>
      <c r="C68" s="783" t="s">
        <v>429</v>
      </c>
      <c r="D68" s="21"/>
      <c r="E68" s="21"/>
      <c r="F68" s="21"/>
      <c r="G68" s="21"/>
      <c r="H68" s="19"/>
      <c r="I68" s="19"/>
      <c r="J68" s="19"/>
    </row>
    <row r="69" spans="2:10" x14ac:dyDescent="0.4">
      <c r="B69" s="435">
        <v>19</v>
      </c>
      <c r="C69" s="783" t="s">
        <v>430</v>
      </c>
      <c r="D69" s="21"/>
      <c r="E69" s="21"/>
      <c r="F69" s="21"/>
      <c r="G69" s="21"/>
      <c r="H69" s="19"/>
      <c r="I69" s="19"/>
      <c r="J69" s="19"/>
    </row>
    <row r="70" spans="2:10" x14ac:dyDescent="0.4">
      <c r="B70" s="435">
        <v>20</v>
      </c>
      <c r="C70" s="783" t="s">
        <v>1280</v>
      </c>
      <c r="D70" s="21"/>
      <c r="E70" s="21"/>
      <c r="F70" s="21"/>
      <c r="G70" s="21"/>
      <c r="H70" s="19"/>
      <c r="I70" s="19"/>
      <c r="J70" s="19"/>
    </row>
    <row r="71" spans="2:10" x14ac:dyDescent="0.4">
      <c r="B71" s="435">
        <v>21</v>
      </c>
      <c r="C71" s="783" t="s">
        <v>1281</v>
      </c>
      <c r="D71" s="21"/>
      <c r="E71" s="21"/>
      <c r="F71" s="21"/>
      <c r="G71" s="21"/>
      <c r="H71" s="19"/>
      <c r="I71" s="19"/>
      <c r="J71" s="19"/>
    </row>
    <row r="72" spans="2:10" x14ac:dyDescent="0.4">
      <c r="B72" s="435">
        <v>22</v>
      </c>
      <c r="C72" s="783" t="s">
        <v>431</v>
      </c>
      <c r="D72" s="21"/>
      <c r="E72" s="21"/>
      <c r="F72" s="21"/>
      <c r="G72" s="21"/>
      <c r="H72" s="19"/>
      <c r="I72" s="19"/>
      <c r="J72" s="19"/>
    </row>
    <row r="73" spans="2:10" x14ac:dyDescent="0.4">
      <c r="B73" s="435">
        <v>23</v>
      </c>
      <c r="C73" s="783" t="s">
        <v>432</v>
      </c>
      <c r="D73" s="21"/>
      <c r="E73" s="21"/>
      <c r="F73" s="21"/>
      <c r="G73" s="21"/>
      <c r="H73" s="19"/>
      <c r="I73" s="19"/>
      <c r="J73" s="19"/>
    </row>
    <row r="74" spans="2:10" x14ac:dyDescent="0.4">
      <c r="B74" s="435">
        <v>24</v>
      </c>
      <c r="C74" s="783" t="s">
        <v>433</v>
      </c>
      <c r="D74" s="21"/>
      <c r="E74" s="21"/>
      <c r="F74" s="21"/>
      <c r="G74" s="21"/>
      <c r="H74" s="19"/>
      <c r="I74" s="19"/>
      <c r="J74" s="19"/>
    </row>
    <row r="75" spans="2:10" x14ac:dyDescent="0.4">
      <c r="B75" s="435">
        <v>25</v>
      </c>
      <c r="C75" s="783" t="s">
        <v>434</v>
      </c>
      <c r="D75" s="21"/>
      <c r="E75" s="21"/>
      <c r="F75" s="21"/>
      <c r="G75" s="21"/>
      <c r="H75" s="19"/>
      <c r="I75" s="19"/>
      <c r="J75" s="19"/>
    </row>
    <row r="76" spans="2:10" x14ac:dyDescent="0.4">
      <c r="B76" s="435">
        <v>26</v>
      </c>
      <c r="C76" s="783" t="s">
        <v>435</v>
      </c>
      <c r="D76" s="21"/>
      <c r="E76" s="21"/>
      <c r="F76" s="21"/>
      <c r="G76" s="21"/>
      <c r="H76" s="19"/>
      <c r="I76" s="19"/>
      <c r="J76" s="19"/>
    </row>
    <row r="77" spans="2:10" x14ac:dyDescent="0.4">
      <c r="B77" s="435">
        <v>27</v>
      </c>
      <c r="C77" s="783" t="s">
        <v>436</v>
      </c>
      <c r="D77" s="21"/>
      <c r="E77" s="21"/>
      <c r="F77" s="21"/>
      <c r="G77" s="21"/>
      <c r="H77" s="19"/>
      <c r="I77" s="19"/>
      <c r="J77" s="19"/>
    </row>
    <row r="78" spans="2:10" x14ac:dyDescent="0.4">
      <c r="B78" s="435">
        <v>28</v>
      </c>
      <c r="C78" s="435" t="s">
        <v>1282</v>
      </c>
      <c r="D78" s="21"/>
      <c r="E78" s="21"/>
      <c r="F78" s="21"/>
      <c r="G78" s="21"/>
      <c r="H78" s="19"/>
      <c r="I78" s="19"/>
      <c r="J78" s="19"/>
    </row>
    <row r="79" spans="2:10" x14ac:dyDescent="0.35">
      <c r="B79" s="435">
        <v>29</v>
      </c>
      <c r="C79" s="435" t="s">
        <v>1283</v>
      </c>
      <c r="D79" s="20"/>
      <c r="E79" s="20"/>
      <c r="F79" s="20"/>
      <c r="G79" s="20"/>
      <c r="H79" s="22"/>
      <c r="I79" s="19"/>
      <c r="J79" s="19"/>
    </row>
    <row r="80" spans="2:10" x14ac:dyDescent="0.4">
      <c r="B80" s="435">
        <v>30</v>
      </c>
      <c r="C80" s="435" t="s">
        <v>965</v>
      </c>
      <c r="D80" s="2"/>
      <c r="E80" s="2"/>
      <c r="F80" s="2"/>
      <c r="G80" s="2"/>
      <c r="H80" s="19"/>
      <c r="I80" s="19"/>
      <c r="J80" s="19"/>
    </row>
    <row r="81" spans="2:12" x14ac:dyDescent="0.35">
      <c r="B81" s="435">
        <v>31</v>
      </c>
      <c r="C81" s="786" t="s">
        <v>437</v>
      </c>
      <c r="D81" s="417">
        <f>(1-Assum!$E$91)*D121</f>
        <v>0.45879050419999989</v>
      </c>
      <c r="E81" s="417">
        <f>(1-Assum!$E$91)*E121</f>
        <v>0.55944723029999999</v>
      </c>
      <c r="F81" s="417">
        <f>(1-Assum!$F$91)*F121</f>
        <v>0.49189868175000007</v>
      </c>
      <c r="G81" s="417">
        <f>(1-Assum!$F$91)*G121</f>
        <v>0.68179694379999989</v>
      </c>
      <c r="H81" s="417">
        <f>(1-Assum!$F$91)*H121</f>
        <v>0.78160218115000002</v>
      </c>
      <c r="I81" s="417">
        <f>(1-Assum!$F$91)*I121</f>
        <v>0.98832701309999971</v>
      </c>
      <c r="J81" s="417">
        <f>(1-Assum!$F$91)*J121</f>
        <v>1.0728087796999999</v>
      </c>
    </row>
    <row r="82" spans="2:12" x14ac:dyDescent="0.35">
      <c r="B82" s="435">
        <v>32</v>
      </c>
      <c r="C82" s="778" t="s">
        <v>396</v>
      </c>
      <c r="D82" s="787">
        <f>(1-Assum!$E$91)*D122</f>
        <v>0.15728061999999998</v>
      </c>
      <c r="E82" s="787">
        <f>(1-Assum!$E$91)*E122</f>
        <v>0</v>
      </c>
      <c r="F82" s="787">
        <f>(1-Assum!$F$91)*F122</f>
        <v>0</v>
      </c>
      <c r="G82" s="787">
        <f>(1-Assum!$F$91)*G122</f>
        <v>0</v>
      </c>
      <c r="H82" s="787">
        <f>(1-Assum!$F$91)*H122</f>
        <v>0</v>
      </c>
      <c r="I82" s="787">
        <f>(1-Assum!$F$91)*I122</f>
        <v>7.9493084999999991E-2</v>
      </c>
      <c r="J82" s="787">
        <f>(1-Assum!$F$91)*J122</f>
        <v>0</v>
      </c>
    </row>
    <row r="83" spans="2:12" x14ac:dyDescent="0.35">
      <c r="B83" s="435">
        <v>33</v>
      </c>
      <c r="C83" s="778" t="s">
        <v>1256</v>
      </c>
      <c r="D83" s="787">
        <f>(1-Assum!$E$91)*D123</f>
        <v>2.5899999999999996E-2</v>
      </c>
      <c r="E83" s="787">
        <f>(1-Assum!$E$91)*E123</f>
        <v>1.3124999999999999E-4</v>
      </c>
      <c r="F83" s="787">
        <f>(1-Assum!$F$91)*F123</f>
        <v>7.2099999999999991E-5</v>
      </c>
      <c r="G83" s="787">
        <f>(1-Assum!$F$91)*G123</f>
        <v>2.5142221649999998E-2</v>
      </c>
      <c r="H83" s="787">
        <f>(1-Assum!$F$91)*H123</f>
        <v>1.0567783099999999E-2</v>
      </c>
      <c r="I83" s="787">
        <f>(1-Assum!$F$91)*I123</f>
        <v>8.9085226999999993E-3</v>
      </c>
      <c r="J83" s="787">
        <f>(1-Assum!$F$91)*J123</f>
        <v>2.1699999999999999E-5</v>
      </c>
    </row>
    <row r="84" spans="2:12" x14ac:dyDescent="0.35">
      <c r="B84" s="435">
        <v>34</v>
      </c>
      <c r="C84" s="419" t="s">
        <v>438</v>
      </c>
      <c r="D84" s="417">
        <f t="shared" ref="D84:J84" si="1">+D81-D82-D83</f>
        <v>0.27560988419999993</v>
      </c>
      <c r="E84" s="417">
        <f t="shared" si="1"/>
        <v>0.55931598029999996</v>
      </c>
      <c r="F84" s="417">
        <f t="shared" si="1"/>
        <v>0.49182658175000005</v>
      </c>
      <c r="G84" s="417">
        <f t="shared" si="1"/>
        <v>0.65665472214999987</v>
      </c>
      <c r="H84" s="417">
        <f t="shared" si="1"/>
        <v>0.77103439805000007</v>
      </c>
      <c r="I84" s="417">
        <f t="shared" si="1"/>
        <v>0.89992540539999977</v>
      </c>
      <c r="J84" s="417">
        <f t="shared" si="1"/>
        <v>1.0727870796999999</v>
      </c>
    </row>
    <row r="85" spans="2:12" x14ac:dyDescent="0.35">
      <c r="C85" s="16"/>
      <c r="D85" s="16"/>
      <c r="E85" s="16"/>
      <c r="F85" s="16"/>
      <c r="G85" s="16"/>
    </row>
    <row r="87" spans="2:12" x14ac:dyDescent="0.35">
      <c r="B87" s="436" t="s">
        <v>1276</v>
      </c>
      <c r="C87" s="376"/>
      <c r="D87" s="376"/>
      <c r="E87" s="376"/>
      <c r="F87" s="376"/>
      <c r="G87" s="376"/>
      <c r="H87" s="376"/>
    </row>
    <row r="88" spans="2:12" x14ac:dyDescent="0.35">
      <c r="B88" s="376"/>
      <c r="C88" s="376"/>
      <c r="D88" s="376"/>
      <c r="E88" s="376"/>
      <c r="F88" s="376"/>
      <c r="G88" s="404"/>
      <c r="J88" s="404" t="s">
        <v>110</v>
      </c>
    </row>
    <row r="89" spans="2:12" x14ac:dyDescent="0.35">
      <c r="B89" s="2001" t="s">
        <v>214</v>
      </c>
      <c r="C89" s="2001" t="s">
        <v>111</v>
      </c>
      <c r="D89" s="98" t="s">
        <v>196</v>
      </c>
      <c r="E89" s="98" t="s">
        <v>197</v>
      </c>
      <c r="F89" s="98" t="s">
        <v>198</v>
      </c>
      <c r="G89" s="98" t="s">
        <v>199</v>
      </c>
      <c r="H89" s="358" t="s">
        <v>112</v>
      </c>
      <c r="I89" s="358" t="s">
        <v>113</v>
      </c>
      <c r="J89" s="358" t="s">
        <v>114</v>
      </c>
    </row>
    <row r="90" spans="2:12" ht="27" x14ac:dyDescent="0.35">
      <c r="B90" s="2002"/>
      <c r="C90" s="2002"/>
      <c r="D90" s="1934" t="s">
        <v>117</v>
      </c>
      <c r="E90" s="1935"/>
      <c r="F90" s="1935"/>
      <c r="G90" s="1935"/>
      <c r="H90" s="1935"/>
      <c r="I90" s="1936"/>
      <c r="J90" s="98" t="s">
        <v>121</v>
      </c>
    </row>
    <row r="91" spans="2:12" x14ac:dyDescent="0.35">
      <c r="B91" s="435">
        <v>1</v>
      </c>
      <c r="C91" s="782" t="s">
        <v>414</v>
      </c>
      <c r="D91" s="1760"/>
      <c r="E91" s="1760"/>
      <c r="F91" s="1760"/>
      <c r="G91" s="880">
        <f>+Recon!N125</f>
        <v>4.3200000000000002E-2</v>
      </c>
      <c r="H91" s="880">
        <f>+Recon!Q125</f>
        <v>4.3200000000000002E-2</v>
      </c>
      <c r="I91" s="880">
        <f>+Recon!T125</f>
        <v>4.3200000000000002E-2</v>
      </c>
      <c r="J91" s="880">
        <f>+Recon!W125</f>
        <v>3.9600000000000003E-2</v>
      </c>
    </row>
    <row r="92" spans="2:12" x14ac:dyDescent="0.35">
      <c r="B92" s="435">
        <v>2</v>
      </c>
      <c r="C92" s="783" t="s">
        <v>415</v>
      </c>
      <c r="D92" s="1761">
        <f>+Recon!E121</f>
        <v>5.0760899999999998E-2</v>
      </c>
      <c r="E92" s="1761">
        <f>+Recon!H121</f>
        <v>9.7633000000000008E-3</v>
      </c>
      <c r="F92" s="1761">
        <f>+Recon!K121</f>
        <v>6.7838599999999999E-2</v>
      </c>
      <c r="G92" s="1761">
        <f>+Recon!N121</f>
        <v>6.7642400000000005E-2</v>
      </c>
      <c r="H92" s="1761">
        <f>+Recon!Q121</f>
        <v>7.5772400000000004E-2</v>
      </c>
      <c r="I92" s="1761">
        <f>+Recon!T121</f>
        <v>7.5597399999999995E-2</v>
      </c>
      <c r="J92" s="1761">
        <f>+Recon!W121</f>
        <v>0.1150687</v>
      </c>
      <c r="L92" s="660"/>
    </row>
    <row r="93" spans="2:12" x14ac:dyDescent="0.35">
      <c r="B93" s="435">
        <v>3</v>
      </c>
      <c r="C93" s="783" t="s">
        <v>416</v>
      </c>
      <c r="D93" s="1761">
        <f>+Recon!E117</f>
        <v>1.0799293E-2</v>
      </c>
      <c r="E93" s="1761">
        <f>+Recon!H117</f>
        <v>5.7953689999999999E-3</v>
      </c>
      <c r="F93" s="1761">
        <f>+Recon!K117</f>
        <v>2.8242870000000004E-3</v>
      </c>
      <c r="G93" s="1761">
        <f>+Recon!N117</f>
        <v>2.7528000000000001E-3</v>
      </c>
      <c r="H93" s="1761">
        <f>+Recon!Q117</f>
        <v>3.2160000000000001E-3</v>
      </c>
      <c r="I93" s="1761">
        <f>+Recon!T117</f>
        <v>3.2316290000000002E-3</v>
      </c>
      <c r="J93" s="1761">
        <f>+Recon!W117</f>
        <v>1.7764740000000001E-3</v>
      </c>
      <c r="L93" s="660"/>
    </row>
    <row r="94" spans="2:12" x14ac:dyDescent="0.35">
      <c r="B94" s="435">
        <v>4</v>
      </c>
      <c r="C94" s="783" t="s">
        <v>417</v>
      </c>
      <c r="D94" s="1761">
        <f>Recon!E115+Recon!E126+Recon!E127</f>
        <v>9.1440000000000007E-2</v>
      </c>
      <c r="E94" s="1761">
        <f>Recon!H115+Recon!H126+Recon!H127</f>
        <v>0.282447</v>
      </c>
      <c r="F94" s="1761">
        <f>Recon!K115+Recon!K126+Recon!K127</f>
        <v>3.2999999999999995E-2</v>
      </c>
      <c r="G94" s="1761">
        <f>Recon!N115+Recon!N126+Recon!N127</f>
        <v>4.19E-2</v>
      </c>
      <c r="H94" s="1761">
        <f>Recon!Q115+Recon!Q126+Recon!Q127</f>
        <v>0.02</v>
      </c>
      <c r="I94" s="1761">
        <f>Recon!T115+Recon!T126+Recon!T127</f>
        <v>0.02</v>
      </c>
      <c r="J94" s="1761">
        <f>Recon!W115+Recon!W126+Recon!W127</f>
        <v>0.02</v>
      </c>
      <c r="L94" s="660"/>
    </row>
    <row r="95" spans="2:12" x14ac:dyDescent="0.35">
      <c r="B95" s="435">
        <v>5</v>
      </c>
      <c r="C95" s="783" t="s">
        <v>418</v>
      </c>
      <c r="D95" s="1761">
        <f>Recon!E116+Recon!E129-D111</f>
        <v>0.53820775700000001</v>
      </c>
      <c r="E95" s="1761">
        <f>Recon!H116+Recon!H129-E111</f>
        <v>0.24254393200000013</v>
      </c>
      <c r="F95" s="1761">
        <f>Recon!K116+Recon!K129-F111</f>
        <v>0.28870929000000001</v>
      </c>
      <c r="G95" s="1761">
        <f>Recon!N116+Recon!N129-G111</f>
        <v>0.71596090999999973</v>
      </c>
      <c r="H95" s="1761">
        <f>Recon!Q116+Recon!Q129-H111</f>
        <v>0.85142178500000021</v>
      </c>
      <c r="I95" s="1761">
        <f>Recon!T116+Recon!T129-I111</f>
        <v>0.9329758170000001</v>
      </c>
      <c r="J95" s="1761">
        <f>Recon!W116+Recon!W129-J111</f>
        <v>1.287325031</v>
      </c>
      <c r="L95" s="660"/>
    </row>
    <row r="96" spans="2:12" x14ac:dyDescent="0.35">
      <c r="B96" s="435">
        <v>6</v>
      </c>
      <c r="C96" s="783" t="s">
        <v>419</v>
      </c>
      <c r="D96" s="1761">
        <f>Recon!E132</f>
        <v>1.4159520000000002E-2</v>
      </c>
      <c r="E96" s="1761">
        <f>Recon!H132</f>
        <v>6.6101290000000007E-2</v>
      </c>
      <c r="F96" s="1761">
        <f>Recon!K132</f>
        <v>7.6000000000000004E-5</v>
      </c>
      <c r="G96" s="1761">
        <f>Recon!N132</f>
        <v>6.4524999999999999E-3</v>
      </c>
      <c r="H96" s="1761">
        <f>Recon!Q132</f>
        <v>3.7014584999999996E-2</v>
      </c>
      <c r="I96" s="1761">
        <f>Recon!T132</f>
        <v>0.19989596099999998</v>
      </c>
      <c r="J96" s="1761">
        <f>Recon!W132</f>
        <v>2.4412195000000001E-2</v>
      </c>
      <c r="L96" s="660"/>
    </row>
    <row r="97" spans="2:12" x14ac:dyDescent="0.35">
      <c r="B97" s="435">
        <v>7</v>
      </c>
      <c r="C97" s="783" t="s">
        <v>420</v>
      </c>
      <c r="D97" s="1761">
        <f>Recon!E120</f>
        <v>3.7933508000000005E-2</v>
      </c>
      <c r="E97" s="1761">
        <f>Recon!H120</f>
        <v>8.3572591000000002E-2</v>
      </c>
      <c r="F97" s="1761">
        <f>Recon!K120</f>
        <v>8.5719000000000004E-2</v>
      </c>
      <c r="G97" s="1761">
        <f>Recon!N120</f>
        <v>9.6824999999999994E-2</v>
      </c>
      <c r="H97" s="1761">
        <f>Recon!Q120</f>
        <v>9.7749000000000003E-2</v>
      </c>
      <c r="I97" s="1761">
        <f>Recon!T120</f>
        <v>0.13251189999999999</v>
      </c>
      <c r="J97" s="1761">
        <f>Recon!W120</f>
        <v>0.11637160000000001</v>
      </c>
      <c r="L97" s="660"/>
    </row>
    <row r="98" spans="2:12" x14ac:dyDescent="0.35">
      <c r="B98" s="435">
        <v>8</v>
      </c>
      <c r="C98" s="785" t="s">
        <v>421</v>
      </c>
      <c r="D98" s="1761"/>
      <c r="E98" s="1761"/>
      <c r="F98" s="1761"/>
      <c r="G98" s="1761"/>
      <c r="H98" s="1761"/>
      <c r="I98" s="1761"/>
      <c r="J98" s="1761"/>
      <c r="L98" s="660"/>
    </row>
    <row r="99" spans="2:12" x14ac:dyDescent="0.35">
      <c r="B99" s="435">
        <v>9</v>
      </c>
      <c r="C99" s="783" t="s">
        <v>422</v>
      </c>
      <c r="D99" s="1761">
        <f>Recon!E131</f>
        <v>3.05968E-2</v>
      </c>
      <c r="E99" s="1761">
        <f>Recon!H131</f>
        <v>4.2000000000000003E-2</v>
      </c>
      <c r="F99" s="1761">
        <f>Recon!K131</f>
        <v>4.2000000000000003E-2</v>
      </c>
      <c r="G99" s="1761">
        <f>Recon!N131</f>
        <v>4.7615999999999999E-2</v>
      </c>
      <c r="H99" s="1761">
        <f>Recon!Q131</f>
        <v>5.26656E-2</v>
      </c>
      <c r="I99" s="1761">
        <f>Recon!T131</f>
        <v>5.5087200000000003E-2</v>
      </c>
      <c r="J99" s="1761">
        <f>Recon!W131</f>
        <v>6.55887E-2</v>
      </c>
      <c r="L99" s="660"/>
    </row>
    <row r="100" spans="2:12" x14ac:dyDescent="0.35">
      <c r="B100" s="435">
        <v>10</v>
      </c>
      <c r="C100" s="783" t="s">
        <v>423</v>
      </c>
      <c r="D100" s="1761"/>
      <c r="E100" s="1761"/>
      <c r="F100" s="1761">
        <f>Recon!K135</f>
        <v>2.5000000000000001E-2</v>
      </c>
      <c r="G100" s="1761">
        <f>Recon!N135</f>
        <v>2.7876700000000001E-2</v>
      </c>
      <c r="H100" s="1761">
        <f>Recon!Q135</f>
        <v>0.01</v>
      </c>
      <c r="I100" s="1761">
        <f>Recon!T135</f>
        <v>1.13484E-2</v>
      </c>
      <c r="J100" s="1761">
        <f>Recon!W135</f>
        <v>1.7259199999999999E-2</v>
      </c>
      <c r="L100" s="660"/>
    </row>
    <row r="101" spans="2:12" x14ac:dyDescent="0.35">
      <c r="B101" s="435">
        <v>11</v>
      </c>
      <c r="C101" s="783" t="s">
        <v>424</v>
      </c>
      <c r="D101" s="1761"/>
      <c r="E101" s="1761"/>
      <c r="F101" s="1761"/>
      <c r="G101" s="1761"/>
      <c r="H101" s="1761"/>
      <c r="I101" s="1761"/>
      <c r="J101" s="1761"/>
      <c r="L101" s="660"/>
    </row>
    <row r="102" spans="2:12" x14ac:dyDescent="0.35">
      <c r="B102" s="435">
        <v>12</v>
      </c>
      <c r="C102" s="783" t="s">
        <v>1278</v>
      </c>
      <c r="D102" s="1761">
        <f>Recon!E133</f>
        <v>3.7339999999999998E-2</v>
      </c>
      <c r="E102" s="1761">
        <f>Recon!H133</f>
        <v>3.725E-3</v>
      </c>
      <c r="F102" s="1761">
        <f>Recon!K133</f>
        <v>1.8500000000000001E-3</v>
      </c>
      <c r="G102" s="1761">
        <f>Recon!N133</f>
        <v>5.3664000000000003E-3</v>
      </c>
      <c r="H102" s="1761">
        <f>Recon!Q133</f>
        <v>4.5620000000000001E-3</v>
      </c>
      <c r="I102" s="1761">
        <f>Recon!T133</f>
        <v>5.4000000000000003E-3</v>
      </c>
      <c r="J102" s="1761">
        <f>Recon!W133</f>
        <v>7.2000000000000005E-4</v>
      </c>
      <c r="L102" s="660"/>
    </row>
    <row r="103" spans="2:12" x14ac:dyDescent="0.35">
      <c r="B103" s="435">
        <v>13</v>
      </c>
      <c r="C103" s="783" t="s">
        <v>425</v>
      </c>
      <c r="D103" s="1761">
        <f>Recon!E128</f>
        <v>9.3015000000000007E-3</v>
      </c>
      <c r="E103" s="1761">
        <f>Recon!H128</f>
        <v>1.3917000000000001E-3</v>
      </c>
      <c r="F103" s="1761">
        <f>Recon!K128</f>
        <v>1.8042740000000002E-3</v>
      </c>
      <c r="G103" s="1761">
        <f>Recon!N128</f>
        <v>2.3316999999999999E-3</v>
      </c>
      <c r="H103" s="1761">
        <f>Recon!Q128</f>
        <v>5.7478599999999996E-3</v>
      </c>
      <c r="I103" s="1761">
        <f>Recon!T128</f>
        <v>1.4341649999999999E-2</v>
      </c>
      <c r="J103" s="1761">
        <f>Recon!W128</f>
        <v>1.673958E-2</v>
      </c>
      <c r="L103" s="660"/>
    </row>
    <row r="104" spans="2:12" x14ac:dyDescent="0.35">
      <c r="B104" s="435">
        <v>14</v>
      </c>
      <c r="C104" s="783" t="s">
        <v>1279</v>
      </c>
      <c r="D104" s="1762">
        <f>Recon!E119</f>
        <v>3.2000000000000003E-4</v>
      </c>
      <c r="E104" s="1762">
        <f>Recon!H119</f>
        <v>1.495E-4</v>
      </c>
      <c r="F104" s="1762">
        <f>Recon!K119</f>
        <v>0</v>
      </c>
      <c r="G104" s="1762">
        <f>Recon!N119+Recon!N136</f>
        <v>1.2460000000000001E-2</v>
      </c>
      <c r="H104" s="1762">
        <f>Recon!Q119+Recon!Q136</f>
        <v>1.9000800000000002E-2</v>
      </c>
      <c r="I104" s="1762">
        <f>Recon!T119+Recon!T136</f>
        <v>6.9027000000000003E-3</v>
      </c>
      <c r="J104" s="1762">
        <f>Recon!W119+Recon!W136</f>
        <v>5.5227978000000004E-2</v>
      </c>
      <c r="L104" s="660"/>
    </row>
    <row r="105" spans="2:12" x14ac:dyDescent="0.35">
      <c r="B105" s="435">
        <v>15</v>
      </c>
      <c r="C105" s="783" t="s">
        <v>426</v>
      </c>
      <c r="D105" s="1761"/>
      <c r="E105" s="1761"/>
      <c r="F105" s="1761"/>
      <c r="G105" s="1761"/>
      <c r="H105" s="1761"/>
      <c r="I105" s="1761"/>
      <c r="J105" s="1761"/>
      <c r="L105" s="660"/>
    </row>
    <row r="106" spans="2:12" x14ac:dyDescent="0.35">
      <c r="B106" s="435">
        <v>16</v>
      </c>
      <c r="C106" s="782" t="s">
        <v>427</v>
      </c>
      <c r="D106" s="1761"/>
      <c r="E106" s="1761"/>
      <c r="F106" s="1761"/>
      <c r="G106" s="1761"/>
      <c r="H106" s="1761"/>
      <c r="I106" s="1761"/>
      <c r="J106" s="1761"/>
      <c r="L106" s="660"/>
    </row>
    <row r="107" spans="2:12" x14ac:dyDescent="0.35">
      <c r="B107" s="435">
        <v>17</v>
      </c>
      <c r="C107" s="782" t="s">
        <v>428</v>
      </c>
      <c r="D107" s="1761"/>
      <c r="E107" s="1762">
        <f>Recon!H83</f>
        <v>0.02</v>
      </c>
      <c r="F107" s="1762">
        <f>Recon!K83+Recon!K137</f>
        <v>3.7763000000000005E-2</v>
      </c>
      <c r="G107" s="1762">
        <f>Recon!N83+Recon!N137</f>
        <v>2.3941193999999999E-2</v>
      </c>
      <c r="H107" s="1762">
        <f>Recon!Q83+Recon!Q137</f>
        <v>3.3569599999999998E-2</v>
      </c>
      <c r="I107" s="1762">
        <f>Recon!T83+Recon!T137</f>
        <v>2.5054725E-2</v>
      </c>
      <c r="J107" s="1762">
        <f>Recon!W83+Recon!W137</f>
        <v>0.12976779999999999</v>
      </c>
      <c r="L107" s="660"/>
    </row>
    <row r="108" spans="2:12" x14ac:dyDescent="0.35">
      <c r="B108" s="435">
        <v>18</v>
      </c>
      <c r="C108" s="783" t="s">
        <v>429</v>
      </c>
      <c r="D108" s="1761"/>
      <c r="E108" s="1761"/>
      <c r="F108" s="1761"/>
      <c r="G108" s="1761"/>
      <c r="H108" s="1761"/>
      <c r="I108" s="1761"/>
      <c r="J108" s="1761"/>
      <c r="L108" s="660"/>
    </row>
    <row r="109" spans="2:12" x14ac:dyDescent="0.35">
      <c r="B109" s="435">
        <v>19</v>
      </c>
      <c r="C109" s="783" t="s">
        <v>430</v>
      </c>
      <c r="D109" s="1761"/>
      <c r="E109" s="1761"/>
      <c r="F109" s="1761"/>
      <c r="G109" s="1761"/>
      <c r="H109" s="1761"/>
      <c r="I109" s="1761"/>
      <c r="J109" s="1761"/>
      <c r="L109" s="660"/>
    </row>
    <row r="110" spans="2:12" x14ac:dyDescent="0.35">
      <c r="B110" s="435">
        <v>20</v>
      </c>
      <c r="C110" s="783" t="s">
        <v>1280</v>
      </c>
      <c r="D110" s="1761"/>
      <c r="E110" s="1761"/>
      <c r="F110" s="784">
        <f>Recon!K138</f>
        <v>2E-3</v>
      </c>
      <c r="G110" s="784">
        <f>Recon!N138+Recon!N134</f>
        <v>5.0889359000000002E-2</v>
      </c>
      <c r="H110" s="784">
        <f>Recon!Q138+Recon!Q134</f>
        <v>0.102131736</v>
      </c>
      <c r="I110" s="784">
        <f>Recon!T138+Recon!T134</f>
        <v>3.0134544999999999E-2</v>
      </c>
      <c r="J110" s="784">
        <f>Recon!W138+Recon!W134</f>
        <v>0</v>
      </c>
      <c r="L110" s="660"/>
    </row>
    <row r="111" spans="2:12" x14ac:dyDescent="0.35">
      <c r="B111" s="435">
        <v>21</v>
      </c>
      <c r="C111" s="783" t="s">
        <v>1281</v>
      </c>
      <c r="D111" s="1761">
        <f>3314699/10^7</f>
        <v>0.33146989999999998</v>
      </c>
      <c r="E111" s="1761">
        <f>6833617/10^7</f>
        <v>0.68336169999999996</v>
      </c>
      <c r="F111" s="1761">
        <f>5764648/10^7</f>
        <v>0.5764648</v>
      </c>
      <c r="G111" s="1761">
        <f>6413978/10^7</f>
        <v>0.64139780000000002</v>
      </c>
      <c r="H111" s="1761">
        <f>6591480/10^7</f>
        <v>0.65914799999999996</v>
      </c>
      <c r="I111" s="1761">
        <f>7731681/10^7</f>
        <v>0.77316810000000002</v>
      </c>
      <c r="J111" s="1761">
        <f>8245339/10^7</f>
        <v>0.82453390000000004</v>
      </c>
      <c r="L111" s="660"/>
    </row>
    <row r="112" spans="2:12" x14ac:dyDescent="0.35">
      <c r="B112" s="435">
        <v>22</v>
      </c>
      <c r="C112" s="783" t="s">
        <v>431</v>
      </c>
      <c r="D112" s="1761"/>
      <c r="E112" s="1761"/>
      <c r="F112" s="1761"/>
      <c r="G112" s="1761"/>
      <c r="H112" s="1761"/>
      <c r="I112" s="1761"/>
      <c r="J112" s="1761"/>
      <c r="L112" s="660"/>
    </row>
    <row r="113" spans="2:12" x14ac:dyDescent="0.35">
      <c r="B113" s="435">
        <v>23</v>
      </c>
      <c r="C113" s="783" t="s">
        <v>432</v>
      </c>
      <c r="D113" s="1761"/>
      <c r="E113" s="1761"/>
      <c r="F113" s="1761"/>
      <c r="G113" s="1761"/>
      <c r="H113" s="1761"/>
      <c r="I113" s="1761"/>
      <c r="J113" s="1761"/>
      <c r="L113" s="660"/>
    </row>
    <row r="114" spans="2:12" x14ac:dyDescent="0.35">
      <c r="B114" s="435">
        <v>24</v>
      </c>
      <c r="C114" s="783" t="s">
        <v>433</v>
      </c>
      <c r="D114" s="1761"/>
      <c r="E114" s="1761"/>
      <c r="F114" s="1761"/>
      <c r="G114" s="1761"/>
      <c r="H114" s="1761"/>
      <c r="I114" s="1761"/>
      <c r="J114" s="1761"/>
      <c r="L114" s="660"/>
    </row>
    <row r="115" spans="2:12" x14ac:dyDescent="0.35">
      <c r="B115" s="435">
        <v>25</v>
      </c>
      <c r="C115" s="783" t="s">
        <v>434</v>
      </c>
      <c r="D115" s="1761">
        <f>Recon!E118</f>
        <v>1.1151389999999999E-2</v>
      </c>
      <c r="E115" s="1761">
        <f>Recon!H118</f>
        <v>1.1425389999999999E-3</v>
      </c>
      <c r="F115" s="1761">
        <f>Recon!K118</f>
        <v>6.3585559999999996E-3</v>
      </c>
      <c r="G115" s="1761">
        <f>Recon!N118</f>
        <v>1.5251134E-2</v>
      </c>
      <c r="H115" s="1761">
        <f>Recon!Q118</f>
        <v>3.7376310999999995E-2</v>
      </c>
      <c r="I115" s="1761">
        <f>Recon!T118</f>
        <v>4.4779191999999995E-2</v>
      </c>
      <c r="J115" s="1761">
        <f>Recon!W118</f>
        <v>4.2797586999999998E-2</v>
      </c>
      <c r="L115" s="660"/>
    </row>
    <row r="116" spans="2:12" x14ac:dyDescent="0.35">
      <c r="B116" s="435">
        <v>26</v>
      </c>
      <c r="C116" s="783" t="s">
        <v>435</v>
      </c>
      <c r="D116" s="1761">
        <f>Recon!E130+Recon!E122</f>
        <v>0.10970273800000001</v>
      </c>
      <c r="E116" s="1761">
        <f>Recon!H130+Recon!H122</f>
        <v>1.4896681E-2</v>
      </c>
      <c r="F116" s="1761">
        <f>Recon!K130+Recon!K122</f>
        <v>0.11650274499999999</v>
      </c>
      <c r="G116" s="1761">
        <f>Recon!N130+Recon!N122</f>
        <v>5.6224108000000009E-2</v>
      </c>
      <c r="H116" s="1761">
        <f>Recon!Q130+Recon!Q122</f>
        <v>4.1107049E-2</v>
      </c>
      <c r="I116" s="1761">
        <f>Recon!T130+Recon!T122</f>
        <v>0.35102322699999994</v>
      </c>
      <c r="J116" s="1761">
        <f>Recon!W130+Recon!W122</f>
        <v>0.120565249</v>
      </c>
      <c r="L116" s="660"/>
    </row>
    <row r="117" spans="2:12" x14ac:dyDescent="0.35">
      <c r="B117" s="435">
        <v>27</v>
      </c>
      <c r="C117" s="783" t="s">
        <v>436</v>
      </c>
      <c r="D117" s="1761">
        <f>Recon!E123+Recon!E124</f>
        <v>3.2444706000000004E-2</v>
      </c>
      <c r="E117" s="1761">
        <f>Recon!H123+Recon!H124</f>
        <v>0.112093656</v>
      </c>
      <c r="F117" s="1761">
        <f>Recon!K123+Recon!K124</f>
        <v>0.11704745300000001</v>
      </c>
      <c r="G117" s="1761">
        <f>Recon!N123+Recon!N124</f>
        <v>8.8467206999999992E-2</v>
      </c>
      <c r="H117" s="1761">
        <f>Recon!Q123+Recon!Q124</f>
        <v>0.10500305900000001</v>
      </c>
      <c r="I117" s="1761">
        <f>Recon!T123+Recon!T124</f>
        <v>9.9139019999999994E-2</v>
      </c>
      <c r="J117" s="1761">
        <f>Recon!W123+Recon!W124</f>
        <v>0.187413948</v>
      </c>
      <c r="L117" s="660"/>
    </row>
    <row r="118" spans="2:12" x14ac:dyDescent="0.35">
      <c r="B118" s="435">
        <v>28</v>
      </c>
      <c r="C118" s="435" t="s">
        <v>1282</v>
      </c>
      <c r="D118" s="1761"/>
      <c r="E118" s="1761"/>
      <c r="F118" s="1761"/>
      <c r="G118" s="1761"/>
      <c r="H118" s="1761"/>
      <c r="I118" s="1761"/>
      <c r="J118" s="1761"/>
      <c r="L118" s="660"/>
    </row>
    <row r="119" spans="2:12" x14ac:dyDescent="0.35">
      <c r="B119" s="435">
        <v>29</v>
      </c>
      <c r="C119" s="435" t="s">
        <v>1283</v>
      </c>
      <c r="D119" s="1761"/>
      <c r="E119" s="1761"/>
      <c r="F119" s="1761"/>
      <c r="G119" s="1761"/>
      <c r="H119" s="1761"/>
      <c r="I119" s="1761"/>
      <c r="J119" s="1761"/>
      <c r="L119" s="660"/>
    </row>
    <row r="120" spans="2:12" x14ac:dyDescent="0.35">
      <c r="B120" s="435">
        <v>30</v>
      </c>
      <c r="C120" s="435" t="s">
        <v>965</v>
      </c>
      <c r="D120" s="1761">
        <f>Recon!E80+Recon!E81</f>
        <v>5.202E-3</v>
      </c>
      <c r="E120" s="1761">
        <f>Recon!H80+Recon!H81</f>
        <v>2.9436400000000001E-2</v>
      </c>
      <c r="F120" s="1761">
        <f>Recon!K80+Recon!K81</f>
        <v>4.6680000000000002E-4</v>
      </c>
      <c r="G120" s="1761">
        <f>Recon!N80+Recon!N81</f>
        <v>1.436056E-3</v>
      </c>
      <c r="H120" s="1761">
        <f>Recon!Q80+Recon!Q81</f>
        <v>3.4463304E-2</v>
      </c>
      <c r="I120" s="1761">
        <f>Recon!T80+Recon!T81</f>
        <v>0</v>
      </c>
      <c r="J120" s="1761">
        <f>Recon!W80+Recon!W81</f>
        <v>0</v>
      </c>
      <c r="L120" s="660"/>
    </row>
    <row r="121" spans="2:12" x14ac:dyDescent="0.35">
      <c r="B121" s="435">
        <v>31</v>
      </c>
      <c r="C121" s="786" t="s">
        <v>437</v>
      </c>
      <c r="D121" s="1763">
        <f t="shared" ref="D121:J121" si="2">SUM(D91:D120)</f>
        <v>1.3108300119999998</v>
      </c>
      <c r="E121" s="1763">
        <f t="shared" si="2"/>
        <v>1.5984206580000002</v>
      </c>
      <c r="F121" s="1763">
        <f t="shared" si="2"/>
        <v>1.4054248050000002</v>
      </c>
      <c r="G121" s="1763">
        <f t="shared" si="2"/>
        <v>1.9479912679999998</v>
      </c>
      <c r="H121" s="1763">
        <f t="shared" si="2"/>
        <v>2.2331490890000003</v>
      </c>
      <c r="I121" s="1763">
        <f t="shared" si="2"/>
        <v>2.8237914659999994</v>
      </c>
      <c r="J121" s="1763">
        <f t="shared" si="2"/>
        <v>3.065167942</v>
      </c>
      <c r="L121" s="660"/>
    </row>
    <row r="122" spans="2:12" x14ac:dyDescent="0.35">
      <c r="B122" s="435">
        <v>32</v>
      </c>
      <c r="C122" s="778" t="s">
        <v>396</v>
      </c>
      <c r="D122" s="1761">
        <v>0.44937319999999997</v>
      </c>
      <c r="E122" s="1761">
        <v>0</v>
      </c>
      <c r="F122" s="1761"/>
      <c r="G122" s="1761"/>
      <c r="H122" s="1761"/>
      <c r="I122" s="1760">
        <v>0.22712309999999999</v>
      </c>
      <c r="J122" s="1760"/>
      <c r="L122" s="660"/>
    </row>
    <row r="123" spans="2:12" x14ac:dyDescent="0.35">
      <c r="B123" s="435">
        <v>33</v>
      </c>
      <c r="C123" s="778" t="s">
        <v>1256</v>
      </c>
      <c r="D123" s="1761">
        <v>7.3999999999999996E-2</v>
      </c>
      <c r="E123" s="1761">
        <v>3.7500000000000001E-4</v>
      </c>
      <c r="F123" s="1761">
        <v>2.0599999999999999E-4</v>
      </c>
      <c r="G123" s="1761">
        <v>7.1834918999999997E-2</v>
      </c>
      <c r="H123" s="1761">
        <v>3.0193665999999997E-2</v>
      </c>
      <c r="I123" s="1760">
        <v>2.5452921999999999E-2</v>
      </c>
      <c r="J123" s="1760">
        <f>620/10^7</f>
        <v>6.2000000000000003E-5</v>
      </c>
      <c r="L123" s="660"/>
    </row>
    <row r="124" spans="2:12" x14ac:dyDescent="0.35">
      <c r="B124" s="435">
        <v>34</v>
      </c>
      <c r="C124" s="419" t="s">
        <v>438</v>
      </c>
      <c r="D124" s="1763">
        <f>+D121-D122-D123</f>
        <v>0.78745681199999995</v>
      </c>
      <c r="E124" s="1763">
        <f t="shared" ref="E124:J124" si="3">+E121-E122-E123</f>
        <v>1.5980456580000002</v>
      </c>
      <c r="F124" s="1763">
        <f t="shared" si="3"/>
        <v>1.4052188050000003</v>
      </c>
      <c r="G124" s="1763">
        <f t="shared" si="3"/>
        <v>1.8761563489999997</v>
      </c>
      <c r="H124" s="1763">
        <f t="shared" si="3"/>
        <v>2.2029554230000001</v>
      </c>
      <c r="I124" s="1763">
        <f t="shared" si="3"/>
        <v>2.5712154439999995</v>
      </c>
      <c r="J124" s="1763">
        <f t="shared" si="3"/>
        <v>3.0651059420000002</v>
      </c>
      <c r="L124" s="660"/>
    </row>
    <row r="125" spans="2:12" x14ac:dyDescent="0.35">
      <c r="D125" s="1751">
        <f>+D124-D44-D84</f>
        <v>0</v>
      </c>
      <c r="E125" s="1751">
        <f t="shared" ref="E125:J125" si="4">+E124-E44-E84</f>
        <v>0</v>
      </c>
      <c r="F125" s="1751">
        <f t="shared" si="4"/>
        <v>0</v>
      </c>
      <c r="G125" s="1751">
        <f t="shared" si="4"/>
        <v>0</v>
      </c>
      <c r="H125" s="1751">
        <f t="shared" si="4"/>
        <v>0</v>
      </c>
      <c r="I125" s="1751">
        <f t="shared" si="4"/>
        <v>0</v>
      </c>
      <c r="J125" s="1751">
        <f t="shared" si="4"/>
        <v>0</v>
      </c>
    </row>
  </sheetData>
  <mergeCells count="12">
    <mergeCell ref="B89:B90"/>
    <mergeCell ref="C89:C90"/>
    <mergeCell ref="D90:I90"/>
    <mergeCell ref="B2:J2"/>
    <mergeCell ref="B3:J3"/>
    <mergeCell ref="B4:J4"/>
    <mergeCell ref="D10:I10"/>
    <mergeCell ref="D50:I50"/>
    <mergeCell ref="B49:B50"/>
    <mergeCell ref="C49:C50"/>
    <mergeCell ref="B9:B10"/>
    <mergeCell ref="C9:C10"/>
  </mergeCells>
  <pageMargins left="0.74803149606299213" right="0.74803149606299213" top="0.98425196850393704" bottom="0.98425196850393704" header="0.51181102362204722" footer="0.51181102362204722"/>
  <pageSetup paperSize="9" scale="70" fitToHeight="2" orientation="landscape" r:id="rId1"/>
  <headerFooter alignWithMargins="0"/>
  <rowBreaks count="2" manualBreakCount="2">
    <brk id="46" min="1" max="9" man="1"/>
    <brk id="85" min="1"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J57"/>
  <sheetViews>
    <sheetView showGridLines="0" view="pageBreakPreview" topLeftCell="A20" zoomScale="60" zoomScaleNormal="70" workbookViewId="0">
      <selection activeCell="E52" sqref="E52:F52"/>
    </sheetView>
  </sheetViews>
  <sheetFormatPr defaultColWidth="9.33203125" defaultRowHeight="13.9" x14ac:dyDescent="0.35"/>
  <cols>
    <col min="1" max="1" width="6.6640625" style="10" customWidth="1"/>
    <col min="2" max="2" width="8.6640625" style="57" customWidth="1"/>
    <col min="3" max="3" width="35.6640625" style="10" customWidth="1"/>
    <col min="4" max="10" width="17.86328125" style="10" customWidth="1"/>
    <col min="11" max="16384" width="9.33203125" style="10"/>
  </cols>
  <sheetData>
    <row r="2" spans="2:10" x14ac:dyDescent="0.35">
      <c r="B2" s="1937" t="s">
        <v>106</v>
      </c>
      <c r="C2" s="1937"/>
      <c r="D2" s="1937"/>
      <c r="E2" s="1937"/>
      <c r="F2" s="1937"/>
      <c r="G2" s="1937"/>
      <c r="H2" s="1937"/>
      <c r="I2" s="1937"/>
      <c r="J2" s="1937"/>
    </row>
    <row r="3" spans="2:10" s="1" customFormat="1" x14ac:dyDescent="0.4">
      <c r="B3" s="1875" t="s">
        <v>340</v>
      </c>
      <c r="C3" s="1875"/>
      <c r="D3" s="1875"/>
      <c r="E3" s="1875"/>
      <c r="F3" s="1875"/>
      <c r="G3" s="1875"/>
      <c r="H3" s="1875"/>
      <c r="I3" s="1875"/>
      <c r="J3" s="1875"/>
    </row>
    <row r="4" spans="2:10" s="1" customFormat="1" x14ac:dyDescent="0.4">
      <c r="B4" s="1875" t="s">
        <v>439</v>
      </c>
      <c r="C4" s="1875"/>
      <c r="D4" s="1875"/>
      <c r="E4" s="1875"/>
      <c r="F4" s="1875"/>
      <c r="G4" s="1875"/>
      <c r="H4" s="1875"/>
      <c r="I4" s="1875"/>
      <c r="J4" s="1875"/>
    </row>
    <row r="5" spans="2:10" s="1" customFormat="1" x14ac:dyDescent="0.4">
      <c r="B5" s="39"/>
      <c r="C5" s="67"/>
      <c r="D5" s="67"/>
      <c r="E5" s="67"/>
      <c r="F5" s="67"/>
      <c r="G5" s="67"/>
      <c r="H5" s="67"/>
      <c r="I5" s="67"/>
      <c r="J5" s="67"/>
    </row>
    <row r="6" spans="2:10" x14ac:dyDescent="0.35">
      <c r="B6" s="16" t="s">
        <v>109</v>
      </c>
    </row>
    <row r="7" spans="2:10" x14ac:dyDescent="0.35">
      <c r="B7" s="10"/>
      <c r="J7" s="15" t="s">
        <v>110</v>
      </c>
    </row>
    <row r="8" spans="2:10" x14ac:dyDescent="0.35">
      <c r="B8" s="2003" t="s">
        <v>214</v>
      </c>
      <c r="C8" s="2003" t="s">
        <v>111</v>
      </c>
      <c r="D8" s="98" t="s">
        <v>196</v>
      </c>
      <c r="E8" s="98" t="s">
        <v>197</v>
      </c>
      <c r="F8" s="98" t="s">
        <v>198</v>
      </c>
      <c r="G8" s="98" t="s">
        <v>199</v>
      </c>
      <c r="H8" s="358" t="s">
        <v>112</v>
      </c>
      <c r="I8" s="358" t="s">
        <v>113</v>
      </c>
      <c r="J8" s="358" t="s">
        <v>114</v>
      </c>
    </row>
    <row r="9" spans="2:10" ht="27" x14ac:dyDescent="0.35">
      <c r="B9" s="2004"/>
      <c r="C9" s="2004"/>
      <c r="D9" s="1934" t="s">
        <v>117</v>
      </c>
      <c r="E9" s="1935"/>
      <c r="F9" s="1935"/>
      <c r="G9" s="1935"/>
      <c r="H9" s="1935"/>
      <c r="I9" s="1936"/>
      <c r="J9" s="98" t="s">
        <v>121</v>
      </c>
    </row>
    <row r="10" spans="2:10" x14ac:dyDescent="0.4">
      <c r="B10" s="58">
        <v>1</v>
      </c>
      <c r="C10" s="21" t="s">
        <v>440</v>
      </c>
      <c r="D10" s="21"/>
      <c r="E10" s="21"/>
      <c r="F10" s="21"/>
      <c r="G10" s="21"/>
      <c r="H10" s="21"/>
      <c r="I10" s="19"/>
      <c r="J10" s="19"/>
    </row>
    <row r="11" spans="2:10" x14ac:dyDescent="0.4">
      <c r="B11" s="58">
        <f>B10+1</f>
        <v>2</v>
      </c>
      <c r="C11" s="21" t="s">
        <v>441</v>
      </c>
      <c r="D11" s="21"/>
      <c r="E11" s="21"/>
      <c r="F11" s="21"/>
      <c r="G11" s="21"/>
      <c r="H11" s="21"/>
      <c r="I11" s="19"/>
      <c r="J11" s="19"/>
    </row>
    <row r="12" spans="2:10" x14ac:dyDescent="0.4">
      <c r="B12" s="58">
        <f t="shared" ref="B12:B21" si="0">B11+1</f>
        <v>3</v>
      </c>
      <c r="C12" s="21" t="s">
        <v>442</v>
      </c>
      <c r="D12" s="21"/>
      <c r="E12" s="21"/>
      <c r="F12" s="21"/>
      <c r="G12" s="21"/>
      <c r="H12" s="21"/>
      <c r="I12" s="19"/>
      <c r="J12" s="19"/>
    </row>
    <row r="13" spans="2:10" x14ac:dyDescent="0.4">
      <c r="B13" s="58">
        <f t="shared" si="0"/>
        <v>4</v>
      </c>
      <c r="C13" s="21" t="s">
        <v>443</v>
      </c>
      <c r="D13" s="21"/>
      <c r="E13" s="21"/>
      <c r="F13" s="21"/>
      <c r="G13" s="21"/>
      <c r="H13" s="21"/>
      <c r="I13" s="19"/>
      <c r="J13" s="19"/>
    </row>
    <row r="14" spans="2:10" x14ac:dyDescent="0.4">
      <c r="B14" s="58">
        <f t="shared" si="0"/>
        <v>5</v>
      </c>
      <c r="C14" s="21" t="s">
        <v>444</v>
      </c>
      <c r="D14" s="21"/>
      <c r="E14" s="21"/>
      <c r="F14" s="21"/>
      <c r="G14" s="21"/>
      <c r="H14" s="21"/>
      <c r="I14" s="19"/>
      <c r="J14" s="19"/>
    </row>
    <row r="15" spans="2:10" x14ac:dyDescent="0.4">
      <c r="B15" s="58">
        <f t="shared" si="0"/>
        <v>6</v>
      </c>
      <c r="C15" s="21" t="s">
        <v>445</v>
      </c>
      <c r="D15" s="21"/>
      <c r="E15" s="21"/>
      <c r="F15" s="21"/>
      <c r="G15" s="21"/>
      <c r="H15" s="21"/>
      <c r="I15" s="19"/>
      <c r="J15" s="19"/>
    </row>
    <row r="16" spans="2:10" x14ac:dyDescent="0.4">
      <c r="B16" s="58">
        <f t="shared" si="0"/>
        <v>7</v>
      </c>
      <c r="C16" s="21" t="s">
        <v>446</v>
      </c>
      <c r="D16" s="21"/>
      <c r="E16" s="21"/>
      <c r="F16" s="21"/>
      <c r="G16" s="21"/>
      <c r="H16" s="21"/>
      <c r="I16" s="19"/>
      <c r="J16" s="19"/>
    </row>
    <row r="17" spans="2:10" x14ac:dyDescent="0.4">
      <c r="B17" s="58">
        <f t="shared" si="0"/>
        <v>8</v>
      </c>
      <c r="C17" s="21" t="s">
        <v>447</v>
      </c>
      <c r="D17" s="21"/>
      <c r="E17" s="21"/>
      <c r="F17" s="21"/>
      <c r="G17" s="21"/>
      <c r="H17" s="21"/>
      <c r="I17" s="19"/>
      <c r="J17" s="19"/>
    </row>
    <row r="18" spans="2:10" x14ac:dyDescent="0.4">
      <c r="B18" s="58">
        <f t="shared" si="0"/>
        <v>9</v>
      </c>
      <c r="C18" s="21" t="s">
        <v>298</v>
      </c>
      <c r="D18" s="21"/>
      <c r="E18" s="21"/>
      <c r="F18" s="21"/>
      <c r="G18" s="21"/>
      <c r="H18" s="21"/>
      <c r="I18" s="22"/>
      <c r="J18" s="22"/>
    </row>
    <row r="19" spans="2:10" x14ac:dyDescent="0.35">
      <c r="B19" s="58">
        <f t="shared" si="0"/>
        <v>10</v>
      </c>
      <c r="C19" s="20" t="s">
        <v>448</v>
      </c>
      <c r="D19" s="790">
        <f>+Assum!$E$91*D54</f>
        <v>0</v>
      </c>
      <c r="E19" s="790">
        <f>+Assum!$E$91*E54</f>
        <v>1.7327774100000002E-2</v>
      </c>
      <c r="F19" s="790">
        <f>+Assum!$F$91*F54</f>
        <v>4.8047870000000005E-3</v>
      </c>
      <c r="G19" s="790">
        <f>+Assum!$F$91*G54</f>
        <v>4.505619625E-2</v>
      </c>
      <c r="H19" s="790">
        <f>+Assum!$F$91*H54</f>
        <v>7.4882944500000007E-2</v>
      </c>
      <c r="I19" s="790">
        <f>+Assum!$F$91*I54</f>
        <v>6.843336500000001E-2</v>
      </c>
      <c r="J19" s="790">
        <f>+Assum!$F$91*J54</f>
        <v>5.5290755000000004E-2</v>
      </c>
    </row>
    <row r="20" spans="2:10" x14ac:dyDescent="0.4">
      <c r="B20" s="58">
        <f t="shared" si="0"/>
        <v>11</v>
      </c>
      <c r="C20" s="96" t="s">
        <v>449</v>
      </c>
      <c r="D20" s="791">
        <f>+Assum!$E$91*D55</f>
        <v>0</v>
      </c>
      <c r="E20" s="791">
        <f>+Assum!$E$91*E55</f>
        <v>0</v>
      </c>
      <c r="F20" s="791">
        <f>+Assum!$F$91*F55</f>
        <v>0</v>
      </c>
      <c r="G20" s="791">
        <f>+Assum!$F$91*G55</f>
        <v>0</v>
      </c>
      <c r="H20" s="791">
        <f>+Assum!$F$91*H55</f>
        <v>0</v>
      </c>
      <c r="I20" s="791">
        <f>+Assum!$F$91*I55</f>
        <v>0</v>
      </c>
      <c r="J20" s="791">
        <f>+Assum!$F$91*J55</f>
        <v>0</v>
      </c>
    </row>
    <row r="21" spans="2:10" x14ac:dyDescent="0.35">
      <c r="B21" s="58">
        <f t="shared" si="0"/>
        <v>12</v>
      </c>
      <c r="C21" s="20" t="s">
        <v>450</v>
      </c>
      <c r="D21" s="792">
        <f>+D19-D20</f>
        <v>0</v>
      </c>
      <c r="E21" s="792">
        <f t="shared" ref="E21:J21" si="1">+E19-E20</f>
        <v>1.7327774100000002E-2</v>
      </c>
      <c r="F21" s="792">
        <f t="shared" si="1"/>
        <v>4.8047870000000005E-3</v>
      </c>
      <c r="G21" s="792">
        <f t="shared" si="1"/>
        <v>4.505619625E-2</v>
      </c>
      <c r="H21" s="792">
        <f t="shared" si="1"/>
        <v>7.4882944500000007E-2</v>
      </c>
      <c r="I21" s="792">
        <f t="shared" si="1"/>
        <v>6.843336500000001E-2</v>
      </c>
      <c r="J21" s="792">
        <f t="shared" si="1"/>
        <v>5.5290755000000004E-2</v>
      </c>
    </row>
    <row r="22" spans="2:10" x14ac:dyDescent="0.35">
      <c r="B22" s="10"/>
      <c r="C22" s="100"/>
      <c r="D22" s="100"/>
      <c r="E22" s="100"/>
      <c r="F22" s="100"/>
      <c r="G22" s="100"/>
      <c r="H22" s="100"/>
    </row>
    <row r="24" spans="2:10" x14ac:dyDescent="0.35">
      <c r="B24" s="16" t="s">
        <v>149</v>
      </c>
    </row>
    <row r="25" spans="2:10" x14ac:dyDescent="0.35">
      <c r="B25" s="10"/>
    </row>
    <row r="26" spans="2:10" x14ac:dyDescent="0.35">
      <c r="B26" s="2003" t="s">
        <v>214</v>
      </c>
      <c r="C26" s="2003" t="s">
        <v>111</v>
      </c>
      <c r="D26" s="98" t="s">
        <v>196</v>
      </c>
      <c r="E26" s="98" t="s">
        <v>197</v>
      </c>
      <c r="F26" s="98" t="s">
        <v>198</v>
      </c>
      <c r="G26" s="98" t="s">
        <v>199</v>
      </c>
      <c r="H26" s="358" t="s">
        <v>112</v>
      </c>
      <c r="I26" s="358" t="s">
        <v>113</v>
      </c>
      <c r="J26" s="358" t="s">
        <v>114</v>
      </c>
    </row>
    <row r="27" spans="2:10" ht="27" x14ac:dyDescent="0.35">
      <c r="B27" s="2004"/>
      <c r="C27" s="2004"/>
      <c r="D27" s="1934" t="s">
        <v>117</v>
      </c>
      <c r="E27" s="1935"/>
      <c r="F27" s="1935"/>
      <c r="G27" s="1935"/>
      <c r="H27" s="1935"/>
      <c r="I27" s="1936"/>
      <c r="J27" s="98" t="s">
        <v>121</v>
      </c>
    </row>
    <row r="28" spans="2:10" x14ac:dyDescent="0.4">
      <c r="B28" s="58">
        <v>1</v>
      </c>
      <c r="C28" s="21" t="s">
        <v>440</v>
      </c>
      <c r="D28" s="21"/>
      <c r="E28" s="21"/>
      <c r="F28" s="21"/>
      <c r="G28" s="21"/>
      <c r="H28" s="21"/>
      <c r="I28" s="19"/>
      <c r="J28" s="19"/>
    </row>
    <row r="29" spans="2:10" x14ac:dyDescent="0.4">
      <c r="B29" s="58">
        <f>B28+1</f>
        <v>2</v>
      </c>
      <c r="C29" s="21" t="s">
        <v>441</v>
      </c>
      <c r="D29" s="21"/>
      <c r="E29" s="21"/>
      <c r="F29" s="21"/>
      <c r="G29" s="21"/>
      <c r="H29" s="21"/>
      <c r="I29" s="19"/>
      <c r="J29" s="19"/>
    </row>
    <row r="30" spans="2:10" x14ac:dyDescent="0.4">
      <c r="B30" s="58">
        <f t="shared" ref="B30:B39" si="2">B29+1</f>
        <v>3</v>
      </c>
      <c r="C30" s="21" t="s">
        <v>442</v>
      </c>
      <c r="D30" s="21"/>
      <c r="E30" s="21"/>
      <c r="F30" s="21"/>
      <c r="G30" s="21"/>
      <c r="H30" s="21"/>
      <c r="I30" s="19"/>
      <c r="J30" s="19"/>
    </row>
    <row r="31" spans="2:10" x14ac:dyDescent="0.4">
      <c r="B31" s="58">
        <f t="shared" si="2"/>
        <v>4</v>
      </c>
      <c r="C31" s="21" t="s">
        <v>443</v>
      </c>
      <c r="D31" s="21"/>
      <c r="E31" s="21"/>
      <c r="F31" s="21"/>
      <c r="G31" s="21"/>
      <c r="H31" s="21"/>
      <c r="I31" s="19"/>
      <c r="J31" s="19"/>
    </row>
    <row r="32" spans="2:10" x14ac:dyDescent="0.4">
      <c r="B32" s="58">
        <f t="shared" si="2"/>
        <v>5</v>
      </c>
      <c r="C32" s="21" t="s">
        <v>444</v>
      </c>
      <c r="D32" s="21"/>
      <c r="E32" s="21"/>
      <c r="F32" s="21"/>
      <c r="G32" s="21"/>
      <c r="H32" s="21"/>
      <c r="I32" s="19"/>
      <c r="J32" s="19"/>
    </row>
    <row r="33" spans="2:10" x14ac:dyDescent="0.4">
      <c r="B33" s="58">
        <f t="shared" si="2"/>
        <v>6</v>
      </c>
      <c r="C33" s="21" t="s">
        <v>445</v>
      </c>
      <c r="D33" s="21"/>
      <c r="E33" s="21"/>
      <c r="F33" s="21"/>
      <c r="G33" s="21"/>
      <c r="H33" s="21"/>
      <c r="I33" s="19"/>
      <c r="J33" s="19"/>
    </row>
    <row r="34" spans="2:10" x14ac:dyDescent="0.4">
      <c r="B34" s="58">
        <f t="shared" si="2"/>
        <v>7</v>
      </c>
      <c r="C34" s="21" t="s">
        <v>446</v>
      </c>
      <c r="D34" s="21"/>
      <c r="E34" s="21"/>
      <c r="F34" s="21"/>
      <c r="G34" s="21"/>
      <c r="H34" s="21"/>
      <c r="I34" s="19"/>
      <c r="J34" s="19"/>
    </row>
    <row r="35" spans="2:10" x14ac:dyDescent="0.4">
      <c r="B35" s="58">
        <f t="shared" si="2"/>
        <v>8</v>
      </c>
      <c r="C35" s="21" t="s">
        <v>447</v>
      </c>
      <c r="D35" s="21"/>
      <c r="E35" s="21"/>
      <c r="F35" s="21"/>
      <c r="G35" s="21"/>
      <c r="H35" s="21"/>
      <c r="I35" s="19"/>
      <c r="J35" s="19"/>
    </row>
    <row r="36" spans="2:10" x14ac:dyDescent="0.4">
      <c r="B36" s="58">
        <f t="shared" si="2"/>
        <v>9</v>
      </c>
      <c r="C36" s="21" t="s">
        <v>298</v>
      </c>
      <c r="D36" s="21"/>
      <c r="E36" s="21"/>
      <c r="F36" s="21"/>
      <c r="G36" s="21"/>
      <c r="H36" s="21"/>
      <c r="I36" s="19"/>
      <c r="J36" s="19"/>
    </row>
    <row r="37" spans="2:10" x14ac:dyDescent="0.35">
      <c r="B37" s="58">
        <f t="shared" si="2"/>
        <v>10</v>
      </c>
      <c r="C37" s="20" t="s">
        <v>448</v>
      </c>
      <c r="D37" s="790">
        <f>+(1-Assum!$E$91)*D54</f>
        <v>0</v>
      </c>
      <c r="E37" s="790">
        <f>+(1-Assum!$E$91)*E54</f>
        <v>9.3303398999999999E-3</v>
      </c>
      <c r="F37" s="790">
        <f>+(1-Assum!$F$91)*F54</f>
        <v>2.5871929999999998E-3</v>
      </c>
      <c r="G37" s="790">
        <f>+(1-Assum!$F$91)*G54</f>
        <v>2.4261028749999997E-2</v>
      </c>
      <c r="H37" s="790">
        <f>+(1-Assum!$F$91)*H54</f>
        <v>4.03215855E-2</v>
      </c>
      <c r="I37" s="790">
        <f>+(1-Assum!$F$91)*I54</f>
        <v>3.6848735000000001E-2</v>
      </c>
      <c r="J37" s="790">
        <f>+(1-Assum!$F$91)*J54</f>
        <v>2.9771945000000001E-2</v>
      </c>
    </row>
    <row r="38" spans="2:10" x14ac:dyDescent="0.4">
      <c r="B38" s="58">
        <f t="shared" si="2"/>
        <v>11</v>
      </c>
      <c r="C38" s="96" t="s">
        <v>449</v>
      </c>
      <c r="D38" s="791">
        <f>+(1-Assum!$E$91)*D55</f>
        <v>0</v>
      </c>
      <c r="E38" s="791">
        <f>+(1-Assum!$E$91)*E55</f>
        <v>0</v>
      </c>
      <c r="F38" s="791">
        <f>+(1-Assum!$F$91)*F55</f>
        <v>0</v>
      </c>
      <c r="G38" s="791">
        <f>+(1-Assum!$F$91)*G55</f>
        <v>0</v>
      </c>
      <c r="H38" s="791">
        <f>+(1-Assum!$F$91)*H55</f>
        <v>0</v>
      </c>
      <c r="I38" s="791">
        <f>+(1-Assum!$F$91)*I55</f>
        <v>0</v>
      </c>
      <c r="J38" s="791">
        <f>+(1-Assum!$F$91)*J55</f>
        <v>0</v>
      </c>
    </row>
    <row r="39" spans="2:10" x14ac:dyDescent="0.35">
      <c r="B39" s="58">
        <f t="shared" si="2"/>
        <v>12</v>
      </c>
      <c r="C39" s="20" t="s">
        <v>450</v>
      </c>
      <c r="D39" s="792">
        <f t="shared" ref="D39:J39" si="3">+D37-D38</f>
        <v>0</v>
      </c>
      <c r="E39" s="792">
        <f t="shared" si="3"/>
        <v>9.3303398999999999E-3</v>
      </c>
      <c r="F39" s="792">
        <f t="shared" si="3"/>
        <v>2.5871929999999998E-3</v>
      </c>
      <c r="G39" s="792">
        <f t="shared" si="3"/>
        <v>2.4261028749999997E-2</v>
      </c>
      <c r="H39" s="792">
        <f t="shared" si="3"/>
        <v>4.03215855E-2</v>
      </c>
      <c r="I39" s="792">
        <f t="shared" si="3"/>
        <v>3.6848735000000001E-2</v>
      </c>
      <c r="J39" s="792">
        <f t="shared" si="3"/>
        <v>2.9771945000000001E-2</v>
      </c>
    </row>
    <row r="40" spans="2:10" x14ac:dyDescent="0.35">
      <c r="B40" s="10"/>
    </row>
    <row r="41" spans="2:10" x14ac:dyDescent="0.35">
      <c r="B41" s="436" t="s">
        <v>1276</v>
      </c>
      <c r="C41" s="376"/>
      <c r="D41" s="376"/>
      <c r="E41" s="376"/>
      <c r="F41" s="376"/>
      <c r="G41" s="376"/>
      <c r="H41" s="376"/>
    </row>
    <row r="42" spans="2:10" x14ac:dyDescent="0.35">
      <c r="B42" s="376"/>
      <c r="C42" s="376"/>
      <c r="D42" s="376"/>
      <c r="E42" s="376"/>
      <c r="F42" s="376"/>
      <c r="G42" s="404"/>
      <c r="J42" s="404" t="s">
        <v>110</v>
      </c>
    </row>
    <row r="43" spans="2:10" x14ac:dyDescent="0.35">
      <c r="B43" s="2001" t="s">
        <v>214</v>
      </c>
      <c r="C43" s="2001" t="s">
        <v>111</v>
      </c>
      <c r="D43" s="98" t="s">
        <v>196</v>
      </c>
      <c r="E43" s="98" t="s">
        <v>197</v>
      </c>
      <c r="F43" s="98" t="s">
        <v>198</v>
      </c>
      <c r="G43" s="98" t="s">
        <v>199</v>
      </c>
      <c r="H43" s="358" t="s">
        <v>112</v>
      </c>
      <c r="I43" s="358" t="s">
        <v>113</v>
      </c>
      <c r="J43" s="358" t="s">
        <v>114</v>
      </c>
    </row>
    <row r="44" spans="2:10" ht="27" x14ac:dyDescent="0.35">
      <c r="B44" s="2002"/>
      <c r="C44" s="2002"/>
      <c r="D44" s="1934" t="s">
        <v>117</v>
      </c>
      <c r="E44" s="1935"/>
      <c r="F44" s="1935"/>
      <c r="G44" s="1935"/>
      <c r="H44" s="1935"/>
      <c r="I44" s="1936"/>
      <c r="J44" s="98" t="s">
        <v>121</v>
      </c>
    </row>
    <row r="45" spans="2:10" x14ac:dyDescent="0.35">
      <c r="B45" s="382">
        <v>1</v>
      </c>
      <c r="C45" s="783" t="s">
        <v>440</v>
      </c>
      <c r="D45" s="788"/>
      <c r="E45" s="788"/>
      <c r="F45" s="788"/>
      <c r="G45" s="788"/>
      <c r="H45" s="788"/>
      <c r="I45" s="19"/>
      <c r="J45" s="19"/>
    </row>
    <row r="46" spans="2:10" x14ac:dyDescent="0.35">
      <c r="B46" s="382">
        <f>B45+1</f>
        <v>2</v>
      </c>
      <c r="C46" s="783" t="s">
        <v>441</v>
      </c>
      <c r="D46" s="788"/>
      <c r="E46" s="788"/>
      <c r="F46" s="788"/>
      <c r="G46" s="788"/>
      <c r="H46" s="788"/>
      <c r="I46" s="19"/>
      <c r="J46" s="19"/>
    </row>
    <row r="47" spans="2:10" x14ac:dyDescent="0.35">
      <c r="B47" s="382">
        <f t="shared" ref="B47:B56" si="4">B46+1</f>
        <v>3</v>
      </c>
      <c r="C47" s="783" t="s">
        <v>442</v>
      </c>
      <c r="D47" s="788"/>
      <c r="E47" s="788"/>
      <c r="F47" s="788"/>
      <c r="G47" s="788"/>
      <c r="H47" s="788"/>
      <c r="I47" s="19"/>
      <c r="J47" s="19"/>
    </row>
    <row r="48" spans="2:10" x14ac:dyDescent="0.35">
      <c r="B48" s="382">
        <f t="shared" si="4"/>
        <v>4</v>
      </c>
      <c r="C48" s="783" t="s">
        <v>444</v>
      </c>
      <c r="D48" s="788"/>
      <c r="E48" s="788"/>
      <c r="F48" s="788"/>
      <c r="G48" s="788"/>
      <c r="H48" s="788"/>
      <c r="I48" s="19"/>
      <c r="J48" s="19"/>
    </row>
    <row r="49" spans="2:10" x14ac:dyDescent="0.35">
      <c r="B49" s="382">
        <f t="shared" si="4"/>
        <v>5</v>
      </c>
      <c r="C49" s="783" t="s">
        <v>445</v>
      </c>
      <c r="D49" s="788"/>
      <c r="E49" s="788"/>
      <c r="F49" s="788"/>
      <c r="G49" s="788"/>
      <c r="H49" s="788"/>
      <c r="I49" s="19"/>
      <c r="J49" s="19"/>
    </row>
    <row r="50" spans="2:10" x14ac:dyDescent="0.35">
      <c r="B50" s="382">
        <f t="shared" si="4"/>
        <v>6</v>
      </c>
      <c r="C50" s="783" t="s">
        <v>446</v>
      </c>
      <c r="D50" s="788"/>
      <c r="E50" s="788"/>
      <c r="F50" s="788"/>
      <c r="G50" s="788"/>
      <c r="H50" s="788"/>
      <c r="I50" s="19"/>
      <c r="J50" s="19"/>
    </row>
    <row r="51" spans="2:10" x14ac:dyDescent="0.35">
      <c r="B51" s="382">
        <f t="shared" si="4"/>
        <v>7</v>
      </c>
      <c r="C51" s="783" t="s">
        <v>447</v>
      </c>
      <c r="D51" s="788"/>
      <c r="E51" s="788"/>
      <c r="F51" s="788"/>
      <c r="G51" s="788"/>
      <c r="H51" s="788"/>
      <c r="I51" s="19"/>
      <c r="J51" s="19"/>
    </row>
    <row r="52" spans="2:10" x14ac:dyDescent="0.35">
      <c r="B52" s="382">
        <f t="shared" si="4"/>
        <v>8</v>
      </c>
      <c r="C52" s="783" t="s">
        <v>926</v>
      </c>
      <c r="D52" s="788"/>
      <c r="E52" s="1111">
        <v>2.6658114E-2</v>
      </c>
      <c r="F52" s="1111">
        <v>7.3919800000000003E-3</v>
      </c>
      <c r="G52" s="788">
        <f>+Recon!N82</f>
        <v>6.9317224999999996E-2</v>
      </c>
      <c r="H52" s="788">
        <f>+Recon!Q82</f>
        <v>0.11520453</v>
      </c>
      <c r="I52" s="788">
        <f>+Recon!T82</f>
        <v>0.1052821</v>
      </c>
      <c r="J52" s="788">
        <f>+Recon!W82</f>
        <v>8.5062700000000005E-2</v>
      </c>
    </row>
    <row r="53" spans="2:10" x14ac:dyDescent="0.35">
      <c r="B53" s="382">
        <f t="shared" si="4"/>
        <v>9</v>
      </c>
      <c r="C53" s="783" t="s">
        <v>1284</v>
      </c>
      <c r="D53" s="788"/>
      <c r="E53" s="788"/>
      <c r="F53" s="788"/>
      <c r="G53" s="788"/>
      <c r="H53" s="788"/>
      <c r="I53" s="19"/>
      <c r="J53" s="19"/>
    </row>
    <row r="54" spans="2:10" x14ac:dyDescent="0.35">
      <c r="B54" s="382">
        <f t="shared" si="4"/>
        <v>10</v>
      </c>
      <c r="C54" s="786" t="s">
        <v>448</v>
      </c>
      <c r="D54" s="417">
        <f t="shared" ref="D54:J54" si="5">SUM(D45:D53)</f>
        <v>0</v>
      </c>
      <c r="E54" s="417">
        <f t="shared" si="5"/>
        <v>2.6658114E-2</v>
      </c>
      <c r="F54" s="417">
        <f t="shared" si="5"/>
        <v>7.3919800000000003E-3</v>
      </c>
      <c r="G54" s="417">
        <f t="shared" si="5"/>
        <v>6.9317224999999996E-2</v>
      </c>
      <c r="H54" s="417">
        <f t="shared" si="5"/>
        <v>0.11520453</v>
      </c>
      <c r="I54" s="417">
        <f t="shared" si="5"/>
        <v>0.1052821</v>
      </c>
      <c r="J54" s="417">
        <f t="shared" si="5"/>
        <v>8.5062700000000005E-2</v>
      </c>
    </row>
    <row r="55" spans="2:10" x14ac:dyDescent="0.35">
      <c r="B55" s="382">
        <f t="shared" si="4"/>
        <v>11</v>
      </c>
      <c r="C55" s="789" t="s">
        <v>449</v>
      </c>
      <c r="D55" s="788">
        <v>0</v>
      </c>
      <c r="E55" s="788">
        <v>0</v>
      </c>
      <c r="F55" s="788">
        <v>0</v>
      </c>
      <c r="G55" s="788">
        <v>0</v>
      </c>
      <c r="H55" s="788">
        <v>0</v>
      </c>
      <c r="I55" s="19"/>
      <c r="J55" s="19"/>
    </row>
    <row r="56" spans="2:10" x14ac:dyDescent="0.35">
      <c r="B56" s="382">
        <f t="shared" si="4"/>
        <v>12</v>
      </c>
      <c r="C56" s="786" t="s">
        <v>450</v>
      </c>
      <c r="D56" s="417">
        <f t="shared" ref="D56:J56" si="6">+D54-D55</f>
        <v>0</v>
      </c>
      <c r="E56" s="417">
        <f t="shared" si="6"/>
        <v>2.6658114E-2</v>
      </c>
      <c r="F56" s="417">
        <f t="shared" si="6"/>
        <v>7.3919800000000003E-3</v>
      </c>
      <c r="G56" s="417">
        <f t="shared" si="6"/>
        <v>6.9317224999999996E-2</v>
      </c>
      <c r="H56" s="417">
        <f t="shared" si="6"/>
        <v>0.11520453</v>
      </c>
      <c r="I56" s="417">
        <f t="shared" si="6"/>
        <v>0.1052821</v>
      </c>
      <c r="J56" s="417">
        <f t="shared" si="6"/>
        <v>8.5062700000000005E-2</v>
      </c>
    </row>
    <row r="57" spans="2:10" x14ac:dyDescent="0.35">
      <c r="D57" s="661">
        <f>+D56-D39-D21</f>
        <v>0</v>
      </c>
      <c r="E57" s="661">
        <f t="shared" ref="E57:J57" si="7">+E56-E39-E21</f>
        <v>0</v>
      </c>
      <c r="F57" s="661">
        <f t="shared" si="7"/>
        <v>0</v>
      </c>
      <c r="G57" s="661">
        <f t="shared" si="7"/>
        <v>0</v>
      </c>
      <c r="H57" s="661">
        <f t="shared" si="7"/>
        <v>0</v>
      </c>
      <c r="I57" s="661">
        <f t="shared" si="7"/>
        <v>0</v>
      </c>
      <c r="J57" s="661">
        <f t="shared" si="7"/>
        <v>0</v>
      </c>
    </row>
  </sheetData>
  <mergeCells count="12">
    <mergeCell ref="B43:B44"/>
    <mergeCell ref="C43:C44"/>
    <mergeCell ref="D44:I44"/>
    <mergeCell ref="B2:J2"/>
    <mergeCell ref="B3:J3"/>
    <mergeCell ref="B4:J4"/>
    <mergeCell ref="D9:I9"/>
    <mergeCell ref="D27:I27"/>
    <mergeCell ref="B26:B27"/>
    <mergeCell ref="C26:C27"/>
    <mergeCell ref="B8:B9"/>
    <mergeCell ref="C8:C9"/>
  </mergeCells>
  <pageMargins left="0.75" right="0.75" top="1" bottom="1" header="0.5" footer="0.5"/>
  <pageSetup paperSize="9" scale="5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A31E-C3C7-40E4-B0CB-EB76A2FFF64A}">
  <dimension ref="A1:AE159"/>
  <sheetViews>
    <sheetView showGridLines="0" zoomScaleNormal="100" workbookViewId="0">
      <selection activeCell="J100" sqref="J100"/>
    </sheetView>
  </sheetViews>
  <sheetFormatPr defaultColWidth="8.86328125" defaultRowHeight="13.15" x14ac:dyDescent="0.4"/>
  <cols>
    <col min="1" max="1" width="8.86328125" style="1426"/>
    <col min="2" max="2" width="29.46484375" style="1426" customWidth="1"/>
    <col min="3" max="3" width="26.19921875" style="1426" bestFit="1" customWidth="1"/>
    <col min="4" max="25" width="10.86328125" style="1426" bestFit="1" customWidth="1"/>
    <col min="26" max="26" width="8.33203125" style="1426" bestFit="1" customWidth="1"/>
    <col min="27" max="27" width="7.33203125" style="1426" bestFit="1" customWidth="1"/>
    <col min="28" max="28" width="11.46484375" style="1426" customWidth="1"/>
    <col min="29" max="29" width="5.33203125" style="1426" bestFit="1" customWidth="1"/>
    <col min="30" max="30" width="8.33203125" style="1426" bestFit="1" customWidth="1"/>
    <col min="31" max="31" width="6.33203125" style="1426" bestFit="1" customWidth="1"/>
    <col min="32" max="16384" width="8.86328125" style="1426"/>
  </cols>
  <sheetData>
    <row r="1" spans="2:23" x14ac:dyDescent="0.4">
      <c r="C1" s="2008" t="s">
        <v>1652</v>
      </c>
      <c r="D1" s="2008"/>
      <c r="E1" s="1433" t="s">
        <v>1147</v>
      </c>
      <c r="F1" s="1433" t="s">
        <v>1148</v>
      </c>
      <c r="G1" s="1432"/>
      <c r="H1" s="1433" t="s">
        <v>1657</v>
      </c>
      <c r="I1" s="1433" t="s">
        <v>905</v>
      </c>
    </row>
    <row r="2" spans="2:23" x14ac:dyDescent="0.4">
      <c r="D2" s="1426" t="s">
        <v>878</v>
      </c>
      <c r="E2" s="1431">
        <f>AVERAGE('F1.4'!F77:J77)</f>
        <v>0.81652540775424853</v>
      </c>
      <c r="F2" s="1431">
        <f>1-E2</f>
        <v>0.18347459224575147</v>
      </c>
      <c r="H2" s="1440">
        <v>0.9</v>
      </c>
      <c r="I2" s="1440">
        <f>1-H2</f>
        <v>9.9999999999999978E-2</v>
      </c>
      <c r="M2" s="1427"/>
      <c r="N2" s="1427"/>
    </row>
    <row r="4" spans="2:23" x14ac:dyDescent="0.4">
      <c r="B4" s="1444" t="s">
        <v>111</v>
      </c>
      <c r="C4" s="1444" t="s">
        <v>920</v>
      </c>
      <c r="D4" s="2006" t="s">
        <v>196</v>
      </c>
      <c r="E4" s="2006"/>
      <c r="F4" s="2006"/>
      <c r="G4" s="1445"/>
      <c r="H4" s="2007" t="s">
        <v>1654</v>
      </c>
      <c r="I4" s="2007"/>
      <c r="J4" s="2007"/>
      <c r="K4" s="2007"/>
      <c r="L4" s="1434"/>
      <c r="M4" s="2006" t="s">
        <v>1653</v>
      </c>
      <c r="N4" s="2006"/>
      <c r="O4" s="2006"/>
      <c r="Q4" s="2006" t="s">
        <v>1655</v>
      </c>
      <c r="R4" s="2006"/>
      <c r="S4" s="2006"/>
      <c r="U4" s="2006" t="s">
        <v>1656</v>
      </c>
      <c r="V4" s="2006"/>
      <c r="W4" s="2006"/>
    </row>
    <row r="5" spans="2:23" x14ac:dyDescent="0.4">
      <c r="B5" s="1446"/>
      <c r="C5" s="1446"/>
      <c r="D5" s="1446" t="s">
        <v>164</v>
      </c>
      <c r="E5" s="1446" t="s">
        <v>963</v>
      </c>
      <c r="F5" s="1446" t="s">
        <v>923</v>
      </c>
      <c r="G5" s="1446"/>
      <c r="H5" s="1446" t="s">
        <v>1651</v>
      </c>
      <c r="I5" s="1446" t="s">
        <v>1147</v>
      </c>
      <c r="J5" s="1446" t="s">
        <v>1148</v>
      </c>
      <c r="K5" s="1446" t="s">
        <v>827</v>
      </c>
      <c r="L5" s="1446"/>
      <c r="M5" s="1446" t="s">
        <v>1147</v>
      </c>
      <c r="N5" s="1446" t="s">
        <v>1148</v>
      </c>
      <c r="O5" s="1446" t="s">
        <v>164</v>
      </c>
      <c r="Q5" s="1446" t="s">
        <v>1147</v>
      </c>
      <c r="R5" s="1446" t="s">
        <v>1148</v>
      </c>
      <c r="S5" s="1446" t="s">
        <v>164</v>
      </c>
      <c r="U5" s="1446" t="s">
        <v>1147</v>
      </c>
      <c r="V5" s="1446" t="s">
        <v>1148</v>
      </c>
      <c r="W5" s="1446" t="s">
        <v>164</v>
      </c>
    </row>
    <row r="6" spans="2:23" x14ac:dyDescent="0.4">
      <c r="B6" s="1447" t="s">
        <v>1408</v>
      </c>
      <c r="C6" s="1448" t="s">
        <v>1409</v>
      </c>
      <c r="D6" s="1435">
        <f>+E6+F6</f>
        <v>11.562416499999999</v>
      </c>
      <c r="E6" s="1435">
        <f>+Capitalisation!J5</f>
        <v>11.562416499999999</v>
      </c>
      <c r="F6" s="1435">
        <f>+Capitalisation!K5</f>
        <v>0</v>
      </c>
      <c r="G6" s="1435"/>
      <c r="H6" s="1435">
        <f>115624164.914956/(10^7)</f>
        <v>11.562416491495618</v>
      </c>
      <c r="I6" s="1435">
        <f>0/(10^7)</f>
        <v>0</v>
      </c>
      <c r="J6" s="1435">
        <f>0/(10^7)</f>
        <v>0</v>
      </c>
      <c r="K6" s="1437">
        <f t="shared" ref="K6:K21" si="0">+H6+J6+I6</f>
        <v>11.562416491495618</v>
      </c>
      <c r="L6" s="1437"/>
      <c r="M6" s="1435">
        <f t="shared" ref="M6:M21" si="1">+I6+$H6*$E$2</f>
        <v>9.4410068403429079</v>
      </c>
      <c r="N6" s="1435">
        <f t="shared" ref="N6:N21" si="2">+J6+$H6*$F$2</f>
        <v>2.1214096511527107</v>
      </c>
      <c r="O6" s="1435">
        <f t="shared" ref="O6:O21" si="3">+M6+N6</f>
        <v>11.562416491495618</v>
      </c>
      <c r="Q6" s="1437">
        <f>+M6</f>
        <v>9.4410068403429079</v>
      </c>
      <c r="R6" s="1437">
        <f>+N6</f>
        <v>2.1214096511527107</v>
      </c>
      <c r="S6" s="1435">
        <f t="shared" ref="S6:S21" si="4">+Q6+R6</f>
        <v>11.562416491495618</v>
      </c>
      <c r="U6" s="1437"/>
      <c r="V6" s="1437"/>
      <c r="W6" s="1435">
        <f t="shared" ref="W6:W21" si="5">+U6+V6</f>
        <v>0</v>
      </c>
    </row>
    <row r="7" spans="2:23" x14ac:dyDescent="0.4">
      <c r="B7" s="1447" t="s">
        <v>924</v>
      </c>
      <c r="C7" s="1448" t="s">
        <v>440</v>
      </c>
      <c r="D7" s="1435">
        <f t="shared" ref="D7:D21" si="6">+E7+F7</f>
        <v>6.3377369999999997</v>
      </c>
      <c r="E7" s="1435">
        <f>+Capitalisation!J6</f>
        <v>6.3377369999999997</v>
      </c>
      <c r="F7" s="1435">
        <f>+Capitalisation!K6</f>
        <v>0</v>
      </c>
      <c r="G7" s="1435"/>
      <c r="H7" s="1435">
        <f>52980157.1039999/(10^7)</f>
        <v>5.2980157103999943</v>
      </c>
      <c r="I7" s="1435">
        <f>10397212.7932231/(10^7)</f>
        <v>1.0397212793223136</v>
      </c>
      <c r="J7" s="1435">
        <f>0/(10^7)</f>
        <v>0</v>
      </c>
      <c r="K7" s="1437">
        <f t="shared" si="0"/>
        <v>6.3377369897223081</v>
      </c>
      <c r="L7" s="1437"/>
      <c r="M7" s="1435">
        <f t="shared" si="1"/>
        <v>5.3656857175450838</v>
      </c>
      <c r="N7" s="1435">
        <f t="shared" si="2"/>
        <v>0.9720512721772242</v>
      </c>
      <c r="O7" s="1435">
        <f t="shared" si="3"/>
        <v>6.3377369897223081</v>
      </c>
      <c r="Q7" s="1437">
        <f t="shared" ref="Q7:Q12" si="7">+M7</f>
        <v>5.3656857175450838</v>
      </c>
      <c r="R7" s="1437">
        <f t="shared" ref="R7:R12" si="8">+N7</f>
        <v>0.9720512721772242</v>
      </c>
      <c r="S7" s="1435">
        <f t="shared" si="4"/>
        <v>6.3377369897223081</v>
      </c>
      <c r="U7" s="1437"/>
      <c r="V7" s="1437"/>
      <c r="W7" s="1435">
        <f t="shared" si="5"/>
        <v>0</v>
      </c>
    </row>
    <row r="8" spans="2:23" x14ac:dyDescent="0.4">
      <c r="B8" s="1447" t="s">
        <v>1411</v>
      </c>
      <c r="C8" s="1448" t="s">
        <v>440</v>
      </c>
      <c r="D8" s="1435">
        <f t="shared" si="6"/>
        <v>0.88347659999999995</v>
      </c>
      <c r="E8" s="1435">
        <f>+Capitalisation!J7</f>
        <v>0.88347659999999995</v>
      </c>
      <c r="F8" s="1435">
        <f>+Capitalisation!K7</f>
        <v>0</v>
      </c>
      <c r="G8" s="1435"/>
      <c r="H8" s="1435">
        <f>2208322.17405335/(10^7)</f>
        <v>0.22083221740533543</v>
      </c>
      <c r="I8" s="1435">
        <f>5156671.33673935/(10^7)</f>
        <v>0.51566713367393469</v>
      </c>
      <c r="J8" s="1435">
        <f>1469771.80360737/(10^7)</f>
        <v>0.1469771803607369</v>
      </c>
      <c r="K8" s="1437">
        <f t="shared" si="0"/>
        <v>0.88347653144000704</v>
      </c>
      <c r="L8" s="1437"/>
      <c r="M8" s="1435">
        <f t="shared" si="1"/>
        <v>0.69598225003610104</v>
      </c>
      <c r="N8" s="1435">
        <f t="shared" si="2"/>
        <v>0.18749428140390595</v>
      </c>
      <c r="O8" s="1435">
        <f t="shared" si="3"/>
        <v>0.88347653144000704</v>
      </c>
      <c r="Q8" s="1437">
        <f t="shared" si="7"/>
        <v>0.69598225003610104</v>
      </c>
      <c r="R8" s="1437">
        <f t="shared" si="8"/>
        <v>0.18749428140390595</v>
      </c>
      <c r="S8" s="1435">
        <f t="shared" si="4"/>
        <v>0.88347653144000704</v>
      </c>
      <c r="U8" s="1437"/>
      <c r="V8" s="1437"/>
      <c r="W8" s="1435">
        <f t="shared" si="5"/>
        <v>0</v>
      </c>
    </row>
    <row r="9" spans="2:23" x14ac:dyDescent="0.4">
      <c r="B9" s="1447" t="s">
        <v>925</v>
      </c>
      <c r="C9" s="1448" t="s">
        <v>440</v>
      </c>
      <c r="D9" s="1435">
        <f t="shared" si="6"/>
        <v>1.0977000000000001E-3</v>
      </c>
      <c r="E9" s="1435">
        <f>+Capitalisation!J8</f>
        <v>1.0977000000000001E-3</v>
      </c>
      <c r="F9" s="1435">
        <f>+Capitalisation!K8</f>
        <v>0</v>
      </c>
      <c r="G9" s="1435"/>
      <c r="H9" s="1435">
        <f>10976.515613679/(10^7)</f>
        <v>1.0976515613679019E-3</v>
      </c>
      <c r="I9" s="1435">
        <f>0/(10^7)</f>
        <v>0</v>
      </c>
      <c r="J9" s="1435">
        <f>0/(10^7)</f>
        <v>0</v>
      </c>
      <c r="K9" s="1437">
        <f t="shared" si="0"/>
        <v>1.0976515613679019E-3</v>
      </c>
      <c r="L9" s="1437"/>
      <c r="M9" s="1435">
        <f t="shared" si="1"/>
        <v>8.9626038871801368E-4</v>
      </c>
      <c r="N9" s="1435">
        <f t="shared" si="2"/>
        <v>2.0139117264988824E-4</v>
      </c>
      <c r="O9" s="1435">
        <f t="shared" si="3"/>
        <v>1.0976515613679019E-3</v>
      </c>
      <c r="Q9" s="1437">
        <f t="shared" si="7"/>
        <v>8.9626038871801368E-4</v>
      </c>
      <c r="R9" s="1437">
        <f t="shared" si="8"/>
        <v>2.0139117264988824E-4</v>
      </c>
      <c r="S9" s="1435">
        <f t="shared" si="4"/>
        <v>1.0976515613679019E-3</v>
      </c>
      <c r="U9" s="1437"/>
      <c r="V9" s="1437"/>
      <c r="W9" s="1435">
        <f t="shared" si="5"/>
        <v>0</v>
      </c>
    </row>
    <row r="10" spans="2:23" x14ac:dyDescent="0.4">
      <c r="B10" s="1447" t="s">
        <v>1412</v>
      </c>
      <c r="C10" s="1448" t="s">
        <v>440</v>
      </c>
      <c r="D10" s="1435">
        <f t="shared" si="6"/>
        <v>6.4779565999999997</v>
      </c>
      <c r="E10" s="1435">
        <f>+Capitalisation!J9</f>
        <v>6.4779565999999997</v>
      </c>
      <c r="F10" s="1435">
        <f>+Capitalisation!K9</f>
        <v>0</v>
      </c>
      <c r="G10" s="1435"/>
      <c r="H10" s="1435">
        <f>64779565.6881804/(10^7)</f>
        <v>6.4779565688180432</v>
      </c>
      <c r="I10" s="1435">
        <f>0/(10^7)</f>
        <v>0</v>
      </c>
      <c r="J10" s="1435">
        <f>0/(10^7)</f>
        <v>0</v>
      </c>
      <c r="K10" s="1437">
        <f t="shared" si="0"/>
        <v>6.4779565688180432</v>
      </c>
      <c r="L10" s="1437"/>
      <c r="M10" s="1435">
        <f t="shared" si="1"/>
        <v>5.2894161287684653</v>
      </c>
      <c r="N10" s="1435">
        <f t="shared" si="2"/>
        <v>1.1885404400495778</v>
      </c>
      <c r="O10" s="1435">
        <f t="shared" si="3"/>
        <v>6.4779565688180432</v>
      </c>
      <c r="Q10" s="1437">
        <f t="shared" si="7"/>
        <v>5.2894161287684653</v>
      </c>
      <c r="R10" s="1437">
        <f t="shared" si="8"/>
        <v>1.1885404400495778</v>
      </c>
      <c r="S10" s="1435">
        <f t="shared" si="4"/>
        <v>6.4779565688180432</v>
      </c>
      <c r="U10" s="1437"/>
      <c r="V10" s="1437"/>
      <c r="W10" s="1435">
        <f t="shared" si="5"/>
        <v>0</v>
      </c>
    </row>
    <row r="11" spans="2:23" x14ac:dyDescent="0.4">
      <c r="B11" s="1447" t="s">
        <v>1413</v>
      </c>
      <c r="C11" s="1448" t="s">
        <v>440</v>
      </c>
      <c r="D11" s="1435">
        <f t="shared" si="6"/>
        <v>0.35969390000000001</v>
      </c>
      <c r="E11" s="1435">
        <f>+Capitalisation!J10</f>
        <v>0.35969390000000001</v>
      </c>
      <c r="F11" s="1435">
        <f>+Capitalisation!K10</f>
        <v>0</v>
      </c>
      <c r="G11" s="1435"/>
      <c r="H11" s="1435">
        <f>1933727.13189149/(10^7)</f>
        <v>0.19337271318914873</v>
      </c>
      <c r="I11" s="1435">
        <f>695698.497836945/(10^7)</f>
        <v>6.956984978369446E-2</v>
      </c>
      <c r="J11" s="1435">
        <f>967513.211419186/(10^7)</f>
        <v>9.6751321141918645E-2</v>
      </c>
      <c r="K11" s="1437">
        <f t="shared" si="0"/>
        <v>0.35969388411476183</v>
      </c>
      <c r="L11" s="1437"/>
      <c r="M11" s="1435">
        <f t="shared" si="1"/>
        <v>0.22746358326900948</v>
      </c>
      <c r="N11" s="1435">
        <f t="shared" si="2"/>
        <v>0.13223030084575235</v>
      </c>
      <c r="O11" s="1435">
        <f t="shared" si="3"/>
        <v>0.35969388411476183</v>
      </c>
      <c r="Q11" s="1437">
        <f t="shared" si="7"/>
        <v>0.22746358326900948</v>
      </c>
      <c r="R11" s="1437">
        <f t="shared" si="8"/>
        <v>0.13223030084575235</v>
      </c>
      <c r="S11" s="1435">
        <f t="shared" si="4"/>
        <v>0.35969388411476183</v>
      </c>
      <c r="U11" s="1437"/>
      <c r="V11" s="1437"/>
      <c r="W11" s="1435">
        <f t="shared" si="5"/>
        <v>0</v>
      </c>
    </row>
    <row r="12" spans="2:23" x14ac:dyDescent="0.4">
      <c r="B12" s="1447" t="s">
        <v>1414</v>
      </c>
      <c r="C12" s="1448" t="s">
        <v>440</v>
      </c>
      <c r="D12" s="1435">
        <f t="shared" si="6"/>
        <v>2.4643600000000002E-2</v>
      </c>
      <c r="E12" s="1435">
        <f>+Capitalisation!J11</f>
        <v>2.4643600000000002E-2</v>
      </c>
      <c r="F12" s="1435">
        <f>+Capitalisation!K11</f>
        <v>0</v>
      </c>
      <c r="G12" s="1435"/>
      <c r="H12" s="1435">
        <f>218483.477914128/(10^7)</f>
        <v>2.1848347791412769E-2</v>
      </c>
      <c r="I12" s="1435">
        <f>19247.9121489885/(10^7)</f>
        <v>1.9247912148988478E-3</v>
      </c>
      <c r="J12" s="1435">
        <f>8704.98668807044/(10^7)</f>
        <v>8.7049866880704451E-4</v>
      </c>
      <c r="K12" s="1437">
        <f t="shared" si="0"/>
        <v>2.4643637675118662E-2</v>
      </c>
      <c r="L12" s="1437"/>
      <c r="M12" s="1435">
        <f t="shared" si="1"/>
        <v>1.9764522304038794E-2</v>
      </c>
      <c r="N12" s="1435">
        <f t="shared" si="2"/>
        <v>4.8791153710798672E-3</v>
      </c>
      <c r="O12" s="1435">
        <f t="shared" si="3"/>
        <v>2.4643637675118662E-2</v>
      </c>
      <c r="Q12" s="1437">
        <f t="shared" si="7"/>
        <v>1.9764522304038794E-2</v>
      </c>
      <c r="R12" s="1437">
        <f t="shared" si="8"/>
        <v>4.8791153710798672E-3</v>
      </c>
      <c r="S12" s="1435">
        <f t="shared" si="4"/>
        <v>2.4643637675118662E-2</v>
      </c>
      <c r="U12" s="1437"/>
      <c r="V12" s="1437"/>
      <c r="W12" s="1435">
        <f t="shared" si="5"/>
        <v>0</v>
      </c>
    </row>
    <row r="13" spans="2:23" x14ac:dyDescent="0.4">
      <c r="B13" s="1447" t="s">
        <v>915</v>
      </c>
      <c r="C13" s="1448" t="s">
        <v>915</v>
      </c>
      <c r="D13" s="1435">
        <f t="shared" si="6"/>
        <v>0.48908190000000001</v>
      </c>
      <c r="E13" s="1435">
        <f>+Capitalisation!J12</f>
        <v>0</v>
      </c>
      <c r="F13" s="1435">
        <f>+Capitalisation!K12</f>
        <v>0.48908190000000001</v>
      </c>
      <c r="G13" s="1435"/>
      <c r="H13" s="1435">
        <f>721148.300401693/(10^7)</f>
        <v>7.2114830040169289E-2</v>
      </c>
      <c r="I13" s="1435">
        <f>447076.339528431/(10^7)</f>
        <v>4.4707633952843079E-2</v>
      </c>
      <c r="J13" s="1435">
        <f>3722594.19199322/(10^7)</f>
        <v>0.37225941919932209</v>
      </c>
      <c r="K13" s="1437">
        <f t="shared" si="0"/>
        <v>0.48908188319233448</v>
      </c>
      <c r="L13" s="1437"/>
      <c r="M13" s="1435">
        <f t="shared" si="1"/>
        <v>0.10359122495652064</v>
      </c>
      <c r="N13" s="1435">
        <f t="shared" si="2"/>
        <v>0.3854906582358138</v>
      </c>
      <c r="O13" s="1435">
        <f t="shared" si="3"/>
        <v>0.48908188319233442</v>
      </c>
      <c r="Q13" s="1438"/>
      <c r="R13" s="1438"/>
      <c r="S13" s="1435">
        <f t="shared" si="4"/>
        <v>0</v>
      </c>
      <c r="U13" s="1437">
        <f>+M13</f>
        <v>0.10359122495652064</v>
      </c>
      <c r="V13" s="1437">
        <f>+N13</f>
        <v>0.3854906582358138</v>
      </c>
      <c r="W13" s="1435">
        <f t="shared" si="5"/>
        <v>0.48908188319233442</v>
      </c>
    </row>
    <row r="14" spans="2:23" x14ac:dyDescent="0.4">
      <c r="B14" s="1447" t="s">
        <v>1415</v>
      </c>
      <c r="C14" s="1448" t="s">
        <v>440</v>
      </c>
      <c r="D14" s="1435">
        <f t="shared" si="6"/>
        <v>24.815658899999999</v>
      </c>
      <c r="E14" s="1435">
        <f>+Capitalisation!J13</f>
        <v>24.815658899999999</v>
      </c>
      <c r="F14" s="1435">
        <f>+Capitalisation!K13</f>
        <v>0</v>
      </c>
      <c r="G14" s="1435"/>
      <c r="H14" s="1435">
        <f>94156506.6824618/(10^7)</f>
        <v>9.4156506682461814</v>
      </c>
      <c r="I14" s="1435">
        <f>73631077.3370791/(10^7)</f>
        <v>7.3631077337079063</v>
      </c>
      <c r="J14" s="1435">
        <f>80369004.7780419/(10^7)</f>
        <v>8.0369004778041884</v>
      </c>
      <c r="K14" s="1437">
        <f t="shared" si="0"/>
        <v>24.815658879758274</v>
      </c>
      <c r="L14" s="1437"/>
      <c r="M14" s="1435">
        <f t="shared" si="1"/>
        <v>15.051225734869181</v>
      </c>
      <c r="N14" s="1435">
        <f t="shared" si="2"/>
        <v>9.7644331448890931</v>
      </c>
      <c r="O14" s="1435">
        <f t="shared" si="3"/>
        <v>24.815658879758274</v>
      </c>
      <c r="Q14" s="1437">
        <f>+M14</f>
        <v>15.051225734869181</v>
      </c>
      <c r="R14" s="1437">
        <f>+N14</f>
        <v>9.7644331448890931</v>
      </c>
      <c r="S14" s="1435">
        <f t="shared" si="4"/>
        <v>24.815658879758274</v>
      </c>
      <c r="U14" s="1437"/>
      <c r="V14" s="1437"/>
      <c r="W14" s="1435">
        <f t="shared" si="5"/>
        <v>0</v>
      </c>
    </row>
    <row r="15" spans="2:23" x14ac:dyDescent="0.4">
      <c r="B15" s="1447" t="s">
        <v>445</v>
      </c>
      <c r="C15" s="1448" t="s">
        <v>879</v>
      </c>
      <c r="D15" s="1435">
        <f t="shared" si="6"/>
        <v>6.5979999999999997E-3</v>
      </c>
      <c r="E15" s="1435">
        <f>+Capitalisation!J14</f>
        <v>5.9382000000000002E-3</v>
      </c>
      <c r="F15" s="1435">
        <f>+Capitalisation!K14</f>
        <v>6.5979999999999977E-4</v>
      </c>
      <c r="G15" s="1435"/>
      <c r="H15" s="1435">
        <f>+D15</f>
        <v>6.5979999999999997E-3</v>
      </c>
      <c r="I15" s="1435">
        <f>0/(10^7)</f>
        <v>0</v>
      </c>
      <c r="J15" s="1435">
        <f>0/(10^7)</f>
        <v>0</v>
      </c>
      <c r="K15" s="1437">
        <f t="shared" si="0"/>
        <v>6.5979999999999997E-3</v>
      </c>
      <c r="L15" s="1437"/>
      <c r="M15" s="1435">
        <f t="shared" si="1"/>
        <v>5.3874346403625312E-3</v>
      </c>
      <c r="N15" s="1435">
        <f t="shared" si="2"/>
        <v>1.2105653596374681E-3</v>
      </c>
      <c r="O15" s="1435">
        <f t="shared" si="3"/>
        <v>6.5979999999999997E-3</v>
      </c>
      <c r="Q15" s="1437">
        <f>+$E15*$E$2</f>
        <v>4.8486911763262787E-3</v>
      </c>
      <c r="R15" s="1437">
        <f>+$E15*$F$2</f>
        <v>1.0895088236737213E-3</v>
      </c>
      <c r="S15" s="1435">
        <f t="shared" si="4"/>
        <v>5.9382000000000002E-3</v>
      </c>
      <c r="U15" s="1437">
        <f>+$F15*$E$2</f>
        <v>5.3874346403625295E-4</v>
      </c>
      <c r="V15" s="1437">
        <f>+$F15*$F$2</f>
        <v>1.2105653596374677E-4</v>
      </c>
      <c r="W15" s="1435">
        <f t="shared" si="5"/>
        <v>6.5979999999999967E-4</v>
      </c>
    </row>
    <row r="16" spans="2:23" x14ac:dyDescent="0.4">
      <c r="B16" s="1447" t="s">
        <v>1416</v>
      </c>
      <c r="C16" s="1448" t="s">
        <v>440</v>
      </c>
      <c r="D16" s="1435">
        <f t="shared" si="6"/>
        <v>5.0161201000000002</v>
      </c>
      <c r="E16" s="1435">
        <f>+Capitalisation!J15</f>
        <v>5.0161201000000002</v>
      </c>
      <c r="F16" s="1435">
        <f>+Capitalisation!K15</f>
        <v>0</v>
      </c>
      <c r="G16" s="1435"/>
      <c r="H16" s="1435">
        <f>41805205.2964398/(10^7)</f>
        <v>4.1805205296439842</v>
      </c>
      <c r="I16" s="1435">
        <f>4742040.14990507/(10^7)</f>
        <v>0.47420401499050746</v>
      </c>
      <c r="J16" s="1435">
        <f>3613954.59852103/(10^7)</f>
        <v>0.36139545985210264</v>
      </c>
      <c r="K16" s="1437">
        <f t="shared" si="0"/>
        <v>5.016120004486595</v>
      </c>
      <c r="L16" s="1437"/>
      <c r="M16" s="1435">
        <f t="shared" si="1"/>
        <v>3.8877052450830685</v>
      </c>
      <c r="N16" s="1435">
        <f t="shared" si="2"/>
        <v>1.1284147594035256</v>
      </c>
      <c r="O16" s="1435">
        <f t="shared" si="3"/>
        <v>5.0161200044865941</v>
      </c>
      <c r="Q16" s="1437">
        <f>+M16</f>
        <v>3.8877052450830685</v>
      </c>
      <c r="R16" s="1437">
        <f>+N16</f>
        <v>1.1284147594035256</v>
      </c>
      <c r="S16" s="1435">
        <f t="shared" si="4"/>
        <v>5.0161200044865941</v>
      </c>
      <c r="U16" s="1437"/>
      <c r="V16" s="1437"/>
      <c r="W16" s="1435">
        <f t="shared" si="5"/>
        <v>0</v>
      </c>
    </row>
    <row r="17" spans="2:31" x14ac:dyDescent="0.4">
      <c r="B17" s="1447" t="s">
        <v>1417</v>
      </c>
      <c r="C17" s="1448" t="s">
        <v>1269</v>
      </c>
      <c r="D17" s="1435">
        <f t="shared" si="6"/>
        <v>2.7142294999999997E-2</v>
      </c>
      <c r="E17" s="1435">
        <f>+Capitalisation!J16</f>
        <v>1.3571147499999998E-2</v>
      </c>
      <c r="F17" s="1435">
        <f>+Capitalisation!K16</f>
        <v>1.3571147499999998E-2</v>
      </c>
      <c r="G17" s="1435"/>
      <c r="H17" s="1437">
        <f>+D17</f>
        <v>2.7142294999999997E-2</v>
      </c>
      <c r="I17" s="1437"/>
      <c r="J17" s="1437"/>
      <c r="K17" s="1437">
        <f t="shared" si="0"/>
        <v>2.7142294999999997E-2</v>
      </c>
      <c r="L17" s="1437"/>
      <c r="M17" s="1435">
        <f t="shared" si="1"/>
        <v>2.2162373492261099E-2</v>
      </c>
      <c r="N17" s="1435">
        <f t="shared" si="2"/>
        <v>4.9799215077388978E-3</v>
      </c>
      <c r="O17" s="1435">
        <f t="shared" si="3"/>
        <v>2.7142294999999997E-2</v>
      </c>
      <c r="Q17" s="1437">
        <f>+$F17*$E$2</f>
        <v>1.108118674613055E-2</v>
      </c>
      <c r="R17" s="1437">
        <f>+$F17*$F$2</f>
        <v>2.4899607538694489E-3</v>
      </c>
      <c r="S17" s="1435">
        <f t="shared" si="4"/>
        <v>1.3571147499999998E-2</v>
      </c>
      <c r="U17" s="1437">
        <f>+$F17*$E$2</f>
        <v>1.108118674613055E-2</v>
      </c>
      <c r="V17" s="1437">
        <f>+$F17*$F$2</f>
        <v>2.4899607538694489E-3</v>
      </c>
      <c r="W17" s="1435">
        <f t="shared" si="5"/>
        <v>1.3571147499999998E-2</v>
      </c>
    </row>
    <row r="18" spans="2:31" x14ac:dyDescent="0.4">
      <c r="B18" s="1447" t="s">
        <v>1418</v>
      </c>
      <c r="C18" s="1448" t="s">
        <v>447</v>
      </c>
      <c r="D18" s="1435">
        <f t="shared" si="6"/>
        <v>5.3518200000000002E-2</v>
      </c>
      <c r="E18" s="1435">
        <f>+Capitalisation!J17</f>
        <v>2.6759100000000001E-2</v>
      </c>
      <c r="F18" s="1435">
        <f>+Capitalisation!K17</f>
        <v>2.6759100000000001E-2</v>
      </c>
      <c r="G18" s="1435"/>
      <c r="H18" s="1437">
        <f>+D18</f>
        <v>5.3518200000000002E-2</v>
      </c>
      <c r="I18" s="1437"/>
      <c r="J18" s="1437"/>
      <c r="K18" s="1437">
        <f t="shared" si="0"/>
        <v>5.3518200000000002E-2</v>
      </c>
      <c r="L18" s="1437"/>
      <c r="M18" s="1435">
        <f t="shared" si="1"/>
        <v>4.3698970077273427E-2</v>
      </c>
      <c r="N18" s="1435">
        <f t="shared" si="2"/>
        <v>9.8192299227265762E-3</v>
      </c>
      <c r="O18" s="1435">
        <f t="shared" si="3"/>
        <v>5.3518200000000002E-2</v>
      </c>
      <c r="Q18" s="1437">
        <f>+$F18*$E$2</f>
        <v>2.1849485038636714E-2</v>
      </c>
      <c r="R18" s="1437">
        <f>+$F18*$F$2</f>
        <v>4.9096149613632881E-3</v>
      </c>
      <c r="S18" s="1435">
        <f t="shared" si="4"/>
        <v>2.6759100000000001E-2</v>
      </c>
      <c r="U18" s="1437">
        <f>+$F18*$E$2</f>
        <v>2.1849485038636714E-2</v>
      </c>
      <c r="V18" s="1437">
        <f>+$F18*$F$2</f>
        <v>4.9096149613632881E-3</v>
      </c>
      <c r="W18" s="1435">
        <f t="shared" si="5"/>
        <v>2.6759100000000001E-2</v>
      </c>
    </row>
    <row r="19" spans="2:31" x14ac:dyDescent="0.4">
      <c r="B19" s="1447" t="s">
        <v>1419</v>
      </c>
      <c r="C19" s="1448" t="s">
        <v>447</v>
      </c>
      <c r="D19" s="1435">
        <f t="shared" si="6"/>
        <v>4.3617200000000002E-2</v>
      </c>
      <c r="E19" s="1435">
        <f>+Capitalisation!J18</f>
        <v>2.1808600000000001E-2</v>
      </c>
      <c r="F19" s="1435">
        <f>+Capitalisation!K18</f>
        <v>2.1808600000000001E-2</v>
      </c>
      <c r="G19" s="1435"/>
      <c r="H19" s="1437">
        <f>+D19</f>
        <v>4.3617200000000002E-2</v>
      </c>
      <c r="I19" s="1437"/>
      <c r="J19" s="1437"/>
      <c r="K19" s="1437">
        <f t="shared" si="0"/>
        <v>4.3617200000000002E-2</v>
      </c>
      <c r="L19" s="1437"/>
      <c r="M19" s="1435">
        <f t="shared" si="1"/>
        <v>3.5614552015098611E-2</v>
      </c>
      <c r="N19" s="1435">
        <f t="shared" si="2"/>
        <v>8.0026479849013912E-3</v>
      </c>
      <c r="O19" s="1435">
        <f t="shared" si="3"/>
        <v>4.3617200000000002E-2</v>
      </c>
      <c r="Q19" s="1437">
        <f>+$F19*$E$2</f>
        <v>1.7807276007549305E-2</v>
      </c>
      <c r="R19" s="1437">
        <f>+$F19*$F$2</f>
        <v>4.0013239924506956E-3</v>
      </c>
      <c r="S19" s="1435">
        <f t="shared" si="4"/>
        <v>2.1808600000000001E-2</v>
      </c>
      <c r="U19" s="1437">
        <f>+$F19*$E$2</f>
        <v>1.7807276007549305E-2</v>
      </c>
      <c r="V19" s="1437">
        <f>+$F19*$F$2</f>
        <v>4.0013239924506956E-3</v>
      </c>
      <c r="W19" s="1435">
        <f t="shared" si="5"/>
        <v>2.1808600000000001E-2</v>
      </c>
    </row>
    <row r="20" spans="2:31" x14ac:dyDescent="0.4">
      <c r="B20" s="1447" t="s">
        <v>1420</v>
      </c>
      <c r="C20" s="1448" t="s">
        <v>1270</v>
      </c>
      <c r="D20" s="1435">
        <f t="shared" si="6"/>
        <v>0.214033</v>
      </c>
      <c r="E20" s="1435">
        <f>+Capitalisation!J19</f>
        <v>0</v>
      </c>
      <c r="F20" s="1435">
        <f>+Capitalisation!K19</f>
        <v>0.214033</v>
      </c>
      <c r="G20" s="1435"/>
      <c r="H20" s="1437">
        <f>+D20</f>
        <v>0.214033</v>
      </c>
      <c r="I20" s="1437"/>
      <c r="J20" s="1437"/>
      <c r="K20" s="1437">
        <f t="shared" si="0"/>
        <v>0.214033</v>
      </c>
      <c r="L20" s="1437"/>
      <c r="M20" s="1435">
        <f t="shared" si="1"/>
        <v>0.17476338259786509</v>
      </c>
      <c r="N20" s="1435">
        <f t="shared" si="2"/>
        <v>3.9269617402134922E-2</v>
      </c>
      <c r="O20" s="1435">
        <f t="shared" si="3"/>
        <v>0.214033</v>
      </c>
      <c r="Q20" s="1437"/>
      <c r="R20" s="1437"/>
      <c r="S20" s="1435">
        <f t="shared" si="4"/>
        <v>0</v>
      </c>
      <c r="U20" s="1437">
        <f>+M20</f>
        <v>0.17476338259786509</v>
      </c>
      <c r="V20" s="1437">
        <f>+N20</f>
        <v>3.9269617402134922E-2</v>
      </c>
      <c r="W20" s="1435">
        <f t="shared" si="5"/>
        <v>0.214033</v>
      </c>
    </row>
    <row r="21" spans="2:31" x14ac:dyDescent="0.4">
      <c r="B21" s="1447" t="s">
        <v>935</v>
      </c>
      <c r="C21" s="1448" t="s">
        <v>1410</v>
      </c>
      <c r="D21" s="1435">
        <f t="shared" si="6"/>
        <v>3.4999999999999999E-6</v>
      </c>
      <c r="E21" s="1435">
        <f>+Capitalisation!J20</f>
        <v>3.4999999999999999E-6</v>
      </c>
      <c r="F21" s="1435">
        <f>+Capitalisation!K20</f>
        <v>0</v>
      </c>
      <c r="G21" s="1435"/>
      <c r="H21" s="1437">
        <f>+D21</f>
        <v>3.4999999999999999E-6</v>
      </c>
      <c r="I21" s="1437"/>
      <c r="J21" s="1437"/>
      <c r="K21" s="1437">
        <f t="shared" si="0"/>
        <v>3.4999999999999999E-6</v>
      </c>
      <c r="L21" s="1437"/>
      <c r="M21" s="1435">
        <f t="shared" si="1"/>
        <v>2.85783892713987E-6</v>
      </c>
      <c r="N21" s="1435">
        <f t="shared" si="2"/>
        <v>6.4216107286013009E-7</v>
      </c>
      <c r="O21" s="1435">
        <f t="shared" si="3"/>
        <v>3.4999999999999999E-6</v>
      </c>
      <c r="Q21" s="1437">
        <f>+M21</f>
        <v>2.85783892713987E-6</v>
      </c>
      <c r="R21" s="1437">
        <f>+N21</f>
        <v>6.4216107286013009E-7</v>
      </c>
      <c r="S21" s="1435">
        <f t="shared" si="4"/>
        <v>3.4999999999999999E-6</v>
      </c>
      <c r="U21" s="1437"/>
      <c r="V21" s="1437"/>
      <c r="W21" s="1435">
        <f t="shared" si="5"/>
        <v>0</v>
      </c>
    </row>
    <row r="22" spans="2:31" x14ac:dyDescent="0.4">
      <c r="B22" s="1438"/>
      <c r="C22" s="1438"/>
      <c r="D22" s="1438"/>
      <c r="E22" s="1438"/>
      <c r="F22" s="1438"/>
      <c r="G22" s="1438"/>
      <c r="H22" s="1438"/>
      <c r="I22" s="1437"/>
      <c r="J22" s="1437"/>
      <c r="K22" s="1437"/>
      <c r="L22" s="1437"/>
      <c r="M22" s="1438"/>
      <c r="N22" s="1438"/>
      <c r="O22" s="1438"/>
      <c r="Q22" s="1438"/>
      <c r="R22" s="1438"/>
      <c r="S22" s="1438"/>
      <c r="U22" s="1438"/>
      <c r="V22" s="1438"/>
      <c r="W22" s="1438"/>
    </row>
    <row r="23" spans="2:31" x14ac:dyDescent="0.4">
      <c r="B23" s="1441" t="s">
        <v>827</v>
      </c>
      <c r="C23" s="1438"/>
      <c r="D23" s="1439">
        <f>SUM(D6:D21)</f>
        <v>56.31279499499999</v>
      </c>
      <c r="E23" s="1439">
        <f>SUM(E6:E21)</f>
        <v>55.546881447500006</v>
      </c>
      <c r="F23" s="1439">
        <f>SUM(F6:F21)</f>
        <v>0.76591354750000007</v>
      </c>
      <c r="G23" s="1439"/>
      <c r="H23" s="1439">
        <f>SUM(H6:H21)</f>
        <v>37.788737923591249</v>
      </c>
      <c r="I23" s="1439">
        <f>SUM(I6:I21)</f>
        <v>9.5089024366460979</v>
      </c>
      <c r="J23" s="1439">
        <f>SUM(J6:J21)</f>
        <v>9.0151543570270753</v>
      </c>
      <c r="K23" s="1439">
        <f>SUM(K6:K21)</f>
        <v>56.312794717264424</v>
      </c>
      <c r="L23" s="1439"/>
      <c r="M23" s="1439">
        <f>SUM(M6:M21)</f>
        <v>40.364367078224888</v>
      </c>
      <c r="N23" s="1439">
        <f>SUM(N6:N21)</f>
        <v>15.948427639039544</v>
      </c>
      <c r="O23" s="1439">
        <f>SUM(O6:O21)</f>
        <v>56.312794717264424</v>
      </c>
      <c r="Q23" s="1439">
        <f>SUM(Q6:Q21)</f>
        <v>40.034735779414156</v>
      </c>
      <c r="R23" s="1439">
        <f>SUM(R6:R21)</f>
        <v>15.51214540715795</v>
      </c>
      <c r="S23" s="1439">
        <f>SUM(S6:S21)</f>
        <v>55.546881186572094</v>
      </c>
      <c r="U23" s="1439">
        <f>SUM(U6:U21)</f>
        <v>0.32963129881073855</v>
      </c>
      <c r="V23" s="1439">
        <f>SUM(V6:V21)</f>
        <v>0.43628223188159582</v>
      </c>
      <c r="W23" s="1439">
        <f>SUM(W6:W21)</f>
        <v>0.76591353069233448</v>
      </c>
    </row>
    <row r="24" spans="2:31" x14ac:dyDescent="0.4">
      <c r="O24" s="1428">
        <f>+O23-D23</f>
        <v>-2.7773556610100059E-7</v>
      </c>
      <c r="Q24" s="1430">
        <f>+Q23+U23-M23</f>
        <v>0</v>
      </c>
      <c r="R24" s="1430">
        <f>+R23+V23-N23</f>
        <v>0</v>
      </c>
      <c r="S24" s="1430">
        <f>+S23+W23-O23</f>
        <v>0</v>
      </c>
      <c r="Y24" s="2005" t="s">
        <v>1658</v>
      </c>
      <c r="Z24" s="2005"/>
      <c r="AA24" s="2005"/>
      <c r="AB24" s="2005"/>
      <c r="AC24" s="2005"/>
      <c r="AD24" s="2005"/>
      <c r="AE24" s="2005"/>
    </row>
    <row r="25" spans="2:31" x14ac:dyDescent="0.4">
      <c r="B25" s="1444" t="s">
        <v>111</v>
      </c>
      <c r="C25" s="1444" t="s">
        <v>920</v>
      </c>
      <c r="D25" s="2006" t="s">
        <v>197</v>
      </c>
      <c r="E25" s="2006"/>
      <c r="F25" s="2006"/>
      <c r="H25" s="2007" t="s">
        <v>1654</v>
      </c>
      <c r="I25" s="2007"/>
      <c r="J25" s="2007"/>
      <c r="K25" s="2007"/>
      <c r="L25" s="1434"/>
      <c r="M25" s="2006" t="s">
        <v>1653</v>
      </c>
      <c r="N25" s="2006"/>
      <c r="O25" s="2006"/>
      <c r="Q25" s="2006" t="s">
        <v>1655</v>
      </c>
      <c r="R25" s="2006"/>
      <c r="S25" s="2006"/>
      <c r="U25" s="2006" t="s">
        <v>1656</v>
      </c>
      <c r="V25" s="2006"/>
      <c r="W25" s="2006"/>
      <c r="Y25" s="2006" t="s">
        <v>1655</v>
      </c>
      <c r="Z25" s="2006"/>
      <c r="AA25" s="2006"/>
      <c r="AC25" s="2006" t="s">
        <v>1656</v>
      </c>
      <c r="AD25" s="2006"/>
      <c r="AE25" s="2006"/>
    </row>
    <row r="26" spans="2:31" x14ac:dyDescent="0.4">
      <c r="B26" s="1446"/>
      <c r="C26" s="1446"/>
      <c r="D26" s="1446" t="s">
        <v>164</v>
      </c>
      <c r="E26" s="1446" t="s">
        <v>963</v>
      </c>
      <c r="F26" s="1446" t="s">
        <v>923</v>
      </c>
      <c r="H26" s="1446" t="s">
        <v>1651</v>
      </c>
      <c r="I26" s="1446" t="s">
        <v>1147</v>
      </c>
      <c r="J26" s="1446" t="s">
        <v>1148</v>
      </c>
      <c r="K26" s="1446" t="s">
        <v>827</v>
      </c>
      <c r="L26" s="1446"/>
      <c r="M26" s="1446" t="s">
        <v>1147</v>
      </c>
      <c r="N26" s="1446" t="s">
        <v>1148</v>
      </c>
      <c r="O26" s="1446" t="s">
        <v>164</v>
      </c>
      <c r="Q26" s="1446" t="s">
        <v>1147</v>
      </c>
      <c r="R26" s="1446" t="s">
        <v>1148</v>
      </c>
      <c r="S26" s="1446" t="s">
        <v>164</v>
      </c>
      <c r="U26" s="1446" t="s">
        <v>1147</v>
      </c>
      <c r="V26" s="1446" t="s">
        <v>1148</v>
      </c>
      <c r="W26" s="1446" t="s">
        <v>164</v>
      </c>
      <c r="Y26" s="1446" t="s">
        <v>1147</v>
      </c>
      <c r="Z26" s="1446" t="s">
        <v>1148</v>
      </c>
      <c r="AA26" s="1446" t="s">
        <v>164</v>
      </c>
      <c r="AC26" s="1446" t="s">
        <v>1147</v>
      </c>
      <c r="AD26" s="1446" t="s">
        <v>1148</v>
      </c>
      <c r="AE26" s="1446" t="s">
        <v>164</v>
      </c>
    </row>
    <row r="27" spans="2:31" x14ac:dyDescent="0.4">
      <c r="B27" s="1447" t="s">
        <v>1408</v>
      </c>
      <c r="C27" s="1448" t="s">
        <v>1409</v>
      </c>
      <c r="D27" s="1435">
        <f>+E27+F27</f>
        <v>0</v>
      </c>
      <c r="E27" s="1435">
        <f>+Capitalisation!M5</f>
        <v>0</v>
      </c>
      <c r="F27" s="1435">
        <f>+Capitalisation!N5</f>
        <v>0</v>
      </c>
      <c r="H27" s="1438"/>
      <c r="I27" s="1438"/>
      <c r="J27" s="1438"/>
      <c r="K27" s="1437">
        <f t="shared" ref="K27:K44" si="9">+H27+J27+I27</f>
        <v>0</v>
      </c>
      <c r="L27" s="1437"/>
      <c r="M27" s="1435">
        <f t="shared" ref="M27:M35" si="10">+I27+$H27*$E$2</f>
        <v>0</v>
      </c>
      <c r="N27" s="1435">
        <f t="shared" ref="N27:N35" si="11">+J27+$H27*$F$2</f>
        <v>0</v>
      </c>
      <c r="O27" s="1435">
        <f t="shared" ref="O27:O42" si="12">+M27+N27</f>
        <v>0</v>
      </c>
      <c r="Q27" s="1437">
        <f>+M27</f>
        <v>0</v>
      </c>
      <c r="R27" s="1437">
        <f>+N27</f>
        <v>0</v>
      </c>
      <c r="S27" s="1435">
        <f t="shared" ref="S27:S42" si="13">+Q27+R27</f>
        <v>0</v>
      </c>
      <c r="U27" s="1437"/>
      <c r="V27" s="1437"/>
      <c r="W27" s="1435">
        <f t="shared" ref="W27:W42" si="14">+U27+V27</f>
        <v>0</v>
      </c>
      <c r="Y27" s="1442">
        <f>+Q6+Q27</f>
        <v>9.4410068403429079</v>
      </c>
      <c r="Z27" s="1442">
        <f t="shared" ref="Z27:Z43" si="15">+R6+R27</f>
        <v>2.1214096511527107</v>
      </c>
      <c r="AA27" s="1435">
        <f>+Y27+Z27</f>
        <v>11.562416491495618</v>
      </c>
      <c r="AC27" s="1442">
        <f>+U6+U27</f>
        <v>0</v>
      </c>
      <c r="AD27" s="1442">
        <f>+V6+V27</f>
        <v>0</v>
      </c>
      <c r="AE27" s="1435">
        <f>+AC27+AD27</f>
        <v>0</v>
      </c>
    </row>
    <row r="28" spans="2:31" x14ac:dyDescent="0.4">
      <c r="B28" s="1447" t="s">
        <v>924</v>
      </c>
      <c r="C28" s="1448" t="s">
        <v>440</v>
      </c>
      <c r="D28" s="1435">
        <f t="shared" ref="D28:D42" si="16">+E28+F28</f>
        <v>1.5729079601441263</v>
      </c>
      <c r="E28" s="1435">
        <f>+Capitalisation!M6</f>
        <v>1.5729079601441263</v>
      </c>
      <c r="F28" s="1435">
        <f>+Capitalisation!N6</f>
        <v>0</v>
      </c>
      <c r="H28" s="1436"/>
      <c r="I28" s="1436">
        <f>830141.4682034/(10^7)</f>
        <v>8.3014146820340043E-2</v>
      </c>
      <c r="J28" s="1436">
        <f>14898938.1332379/(10^7)</f>
        <v>1.489893813323786</v>
      </c>
      <c r="K28" s="1437">
        <f t="shared" si="9"/>
        <v>1.572907960144126</v>
      </c>
      <c r="L28" s="1437"/>
      <c r="M28" s="1435">
        <f t="shared" si="10"/>
        <v>8.3014146820340043E-2</v>
      </c>
      <c r="N28" s="1435">
        <f t="shared" si="11"/>
        <v>1.489893813323786</v>
      </c>
      <c r="O28" s="1435">
        <f t="shared" si="12"/>
        <v>1.572907960144126</v>
      </c>
      <c r="Q28" s="1437">
        <f t="shared" ref="Q28:Q33" si="17">+M28</f>
        <v>8.3014146820340043E-2</v>
      </c>
      <c r="R28" s="1437">
        <f t="shared" ref="R28:R33" si="18">+N28</f>
        <v>1.489893813323786</v>
      </c>
      <c r="S28" s="1435">
        <f t="shared" si="13"/>
        <v>1.572907960144126</v>
      </c>
      <c r="U28" s="1437"/>
      <c r="V28" s="1437"/>
      <c r="W28" s="1435">
        <f t="shared" si="14"/>
        <v>0</v>
      </c>
      <c r="Y28" s="1442">
        <f t="shared" ref="Y28:Y43" si="19">+Q7+Q28</f>
        <v>5.4486998643654241</v>
      </c>
      <c r="Z28" s="1442">
        <f t="shared" si="15"/>
        <v>2.4619450855010103</v>
      </c>
      <c r="AA28" s="1435">
        <f t="shared" ref="AA28:AA43" si="20">+Y28+Z28</f>
        <v>7.910644949866434</v>
      </c>
      <c r="AC28" s="1442">
        <f t="shared" ref="AC28:AC43" si="21">+U7+U28</f>
        <v>0</v>
      </c>
      <c r="AD28" s="1442">
        <f t="shared" ref="AD28:AD43" si="22">+V7+V28</f>
        <v>0</v>
      </c>
      <c r="AE28" s="1435">
        <f t="shared" ref="AE28:AE43" si="23">+AC28+AD28</f>
        <v>0</v>
      </c>
    </row>
    <row r="29" spans="2:31" x14ac:dyDescent="0.4">
      <c r="B29" s="1447" t="s">
        <v>1411</v>
      </c>
      <c r="C29" s="1448" t="s">
        <v>440</v>
      </c>
      <c r="D29" s="1435">
        <f t="shared" si="16"/>
        <v>0</v>
      </c>
      <c r="E29" s="1435">
        <f>+Capitalisation!M7</f>
        <v>0</v>
      </c>
      <c r="F29" s="1435">
        <f>+Capitalisation!N7</f>
        <v>0</v>
      </c>
      <c r="H29" s="1436"/>
      <c r="I29" s="1436"/>
      <c r="J29" s="1436"/>
      <c r="K29" s="1437">
        <f t="shared" si="9"/>
        <v>0</v>
      </c>
      <c r="L29" s="1437"/>
      <c r="M29" s="1435">
        <f t="shared" si="10"/>
        <v>0</v>
      </c>
      <c r="N29" s="1435">
        <f t="shared" si="11"/>
        <v>0</v>
      </c>
      <c r="O29" s="1435">
        <f t="shared" si="12"/>
        <v>0</v>
      </c>
      <c r="Q29" s="1437">
        <f t="shared" si="17"/>
        <v>0</v>
      </c>
      <c r="R29" s="1437">
        <f t="shared" si="18"/>
        <v>0</v>
      </c>
      <c r="S29" s="1435">
        <f t="shared" si="13"/>
        <v>0</v>
      </c>
      <c r="U29" s="1437"/>
      <c r="V29" s="1437"/>
      <c r="W29" s="1435">
        <f t="shared" si="14"/>
        <v>0</v>
      </c>
      <c r="Y29" s="1442">
        <f t="shared" si="19"/>
        <v>0.69598225003610104</v>
      </c>
      <c r="Z29" s="1442">
        <f t="shared" si="15"/>
        <v>0.18749428140390595</v>
      </c>
      <c r="AA29" s="1435">
        <f t="shared" si="20"/>
        <v>0.88347653144000704</v>
      </c>
      <c r="AC29" s="1442">
        <f t="shared" si="21"/>
        <v>0</v>
      </c>
      <c r="AD29" s="1442">
        <f t="shared" si="22"/>
        <v>0</v>
      </c>
      <c r="AE29" s="1435">
        <f t="shared" si="23"/>
        <v>0</v>
      </c>
    </row>
    <row r="30" spans="2:31" x14ac:dyDescent="0.4">
      <c r="B30" s="1447" t="s">
        <v>925</v>
      </c>
      <c r="C30" s="1448" t="s">
        <v>440</v>
      </c>
      <c r="D30" s="1435">
        <f t="shared" si="16"/>
        <v>0</v>
      </c>
      <c r="E30" s="1435">
        <f>+Capitalisation!M8</f>
        <v>0</v>
      </c>
      <c r="F30" s="1435">
        <f>+Capitalisation!N8</f>
        <v>0</v>
      </c>
      <c r="H30" s="1436"/>
      <c r="I30" s="1436"/>
      <c r="J30" s="1436"/>
      <c r="K30" s="1437">
        <f t="shared" si="9"/>
        <v>0</v>
      </c>
      <c r="L30" s="1437"/>
      <c r="M30" s="1435">
        <f t="shared" si="10"/>
        <v>0</v>
      </c>
      <c r="N30" s="1435">
        <f t="shared" si="11"/>
        <v>0</v>
      </c>
      <c r="O30" s="1435">
        <f t="shared" si="12"/>
        <v>0</v>
      </c>
      <c r="Q30" s="1437">
        <f t="shared" si="17"/>
        <v>0</v>
      </c>
      <c r="R30" s="1437">
        <f t="shared" si="18"/>
        <v>0</v>
      </c>
      <c r="S30" s="1435">
        <f t="shared" si="13"/>
        <v>0</v>
      </c>
      <c r="U30" s="1437"/>
      <c r="V30" s="1437"/>
      <c r="W30" s="1435">
        <f t="shared" si="14"/>
        <v>0</v>
      </c>
      <c r="Y30" s="1442">
        <f t="shared" si="19"/>
        <v>8.9626038871801368E-4</v>
      </c>
      <c r="Z30" s="1442">
        <f t="shared" si="15"/>
        <v>2.0139117264988824E-4</v>
      </c>
      <c r="AA30" s="1435">
        <f t="shared" si="20"/>
        <v>1.0976515613679019E-3</v>
      </c>
      <c r="AC30" s="1442">
        <f t="shared" si="21"/>
        <v>0</v>
      </c>
      <c r="AD30" s="1442">
        <f t="shared" si="22"/>
        <v>0</v>
      </c>
      <c r="AE30" s="1435">
        <f t="shared" si="23"/>
        <v>0</v>
      </c>
    </row>
    <row r="31" spans="2:31" x14ac:dyDescent="0.4">
      <c r="B31" s="1447" t="s">
        <v>1412</v>
      </c>
      <c r="C31" s="1448" t="s">
        <v>440</v>
      </c>
      <c r="D31" s="1435">
        <f t="shared" si="16"/>
        <v>0</v>
      </c>
      <c r="E31" s="1435">
        <f>+Capitalisation!M9</f>
        <v>0</v>
      </c>
      <c r="F31" s="1435">
        <f>+Capitalisation!N9</f>
        <v>0</v>
      </c>
      <c r="H31" s="1436"/>
      <c r="I31" s="1436"/>
      <c r="J31" s="1436"/>
      <c r="K31" s="1437">
        <f t="shared" si="9"/>
        <v>0</v>
      </c>
      <c r="L31" s="1437"/>
      <c r="M31" s="1435">
        <f t="shared" si="10"/>
        <v>0</v>
      </c>
      <c r="N31" s="1435">
        <f t="shared" si="11"/>
        <v>0</v>
      </c>
      <c r="O31" s="1435">
        <f t="shared" si="12"/>
        <v>0</v>
      </c>
      <c r="Q31" s="1437">
        <f t="shared" si="17"/>
        <v>0</v>
      </c>
      <c r="R31" s="1437">
        <f t="shared" si="18"/>
        <v>0</v>
      </c>
      <c r="S31" s="1435">
        <f t="shared" si="13"/>
        <v>0</v>
      </c>
      <c r="U31" s="1437"/>
      <c r="V31" s="1437"/>
      <c r="W31" s="1435">
        <f t="shared" si="14"/>
        <v>0</v>
      </c>
      <c r="Y31" s="1442">
        <f t="shared" si="19"/>
        <v>5.2894161287684653</v>
      </c>
      <c r="Z31" s="1442">
        <f t="shared" si="15"/>
        <v>1.1885404400495778</v>
      </c>
      <c r="AA31" s="1435">
        <f t="shared" si="20"/>
        <v>6.4779565688180432</v>
      </c>
      <c r="AC31" s="1442">
        <f t="shared" si="21"/>
        <v>0</v>
      </c>
      <c r="AD31" s="1442">
        <f t="shared" si="22"/>
        <v>0</v>
      </c>
      <c r="AE31" s="1435">
        <f t="shared" si="23"/>
        <v>0</v>
      </c>
    </row>
    <row r="32" spans="2:31" x14ac:dyDescent="0.4">
      <c r="B32" s="1447" t="s">
        <v>1413</v>
      </c>
      <c r="C32" s="1448" t="s">
        <v>440</v>
      </c>
      <c r="D32" s="1435">
        <f t="shared" si="16"/>
        <v>4.6113305463805751E-2</v>
      </c>
      <c r="E32" s="1435">
        <f>+Capitalisation!M10</f>
        <v>4.6113305463805751E-2</v>
      </c>
      <c r="F32" s="1435">
        <f>+Capitalisation!N10</f>
        <v>0</v>
      </c>
      <c r="H32" s="1436"/>
      <c r="I32" s="1436">
        <f>239533.794864622/(10^7)</f>
        <v>2.395337948646219E-2</v>
      </c>
      <c r="J32" s="1436">
        <f>221599.259773436/(10^7)</f>
        <v>2.2159925977343561E-2</v>
      </c>
      <c r="K32" s="1437">
        <f t="shared" si="9"/>
        <v>4.6113305463805751E-2</v>
      </c>
      <c r="L32" s="1437"/>
      <c r="M32" s="1435">
        <f t="shared" si="10"/>
        <v>2.395337948646219E-2</v>
      </c>
      <c r="N32" s="1435">
        <f t="shared" si="11"/>
        <v>2.2159925977343561E-2</v>
      </c>
      <c r="O32" s="1435">
        <f t="shared" si="12"/>
        <v>4.6113305463805751E-2</v>
      </c>
      <c r="Q32" s="1437">
        <f t="shared" si="17"/>
        <v>2.395337948646219E-2</v>
      </c>
      <c r="R32" s="1437">
        <f t="shared" si="18"/>
        <v>2.2159925977343561E-2</v>
      </c>
      <c r="S32" s="1435">
        <f t="shared" si="13"/>
        <v>4.6113305463805751E-2</v>
      </c>
      <c r="U32" s="1437"/>
      <c r="V32" s="1437"/>
      <c r="W32" s="1435">
        <f t="shared" si="14"/>
        <v>0</v>
      </c>
      <c r="Y32" s="1442">
        <f t="shared" si="19"/>
        <v>0.25141696275547165</v>
      </c>
      <c r="Z32" s="1442">
        <f t="shared" si="15"/>
        <v>0.15439022682309592</v>
      </c>
      <c r="AA32" s="1435">
        <f t="shared" si="20"/>
        <v>0.40580718957856754</v>
      </c>
      <c r="AC32" s="1442">
        <f t="shared" si="21"/>
        <v>0</v>
      </c>
      <c r="AD32" s="1442">
        <f t="shared" si="22"/>
        <v>0</v>
      </c>
      <c r="AE32" s="1435">
        <f t="shared" si="23"/>
        <v>0</v>
      </c>
    </row>
    <row r="33" spans="2:31" x14ac:dyDescent="0.4">
      <c r="B33" s="1447" t="s">
        <v>1414</v>
      </c>
      <c r="C33" s="1448" t="s">
        <v>440</v>
      </c>
      <c r="D33" s="1435">
        <f t="shared" si="16"/>
        <v>0</v>
      </c>
      <c r="E33" s="1435">
        <f>+Capitalisation!M11</f>
        <v>0</v>
      </c>
      <c r="F33" s="1435">
        <f>+Capitalisation!N11</f>
        <v>0</v>
      </c>
      <c r="H33" s="1436"/>
      <c r="I33" s="1436">
        <f>0/(10^7)</f>
        <v>0</v>
      </c>
      <c r="J33" s="1436">
        <f>0/(10^7)</f>
        <v>0</v>
      </c>
      <c r="K33" s="1437">
        <f t="shared" si="9"/>
        <v>0</v>
      </c>
      <c r="L33" s="1437"/>
      <c r="M33" s="1435">
        <f t="shared" si="10"/>
        <v>0</v>
      </c>
      <c r="N33" s="1435">
        <f t="shared" si="11"/>
        <v>0</v>
      </c>
      <c r="O33" s="1435">
        <f t="shared" si="12"/>
        <v>0</v>
      </c>
      <c r="Q33" s="1437">
        <f t="shared" si="17"/>
        <v>0</v>
      </c>
      <c r="R33" s="1437">
        <f t="shared" si="18"/>
        <v>0</v>
      </c>
      <c r="S33" s="1435">
        <f t="shared" si="13"/>
        <v>0</v>
      </c>
      <c r="U33" s="1437"/>
      <c r="V33" s="1437"/>
      <c r="W33" s="1435">
        <f t="shared" si="14"/>
        <v>0</v>
      </c>
      <c r="Y33" s="1442">
        <f t="shared" si="19"/>
        <v>1.9764522304038794E-2</v>
      </c>
      <c r="Z33" s="1442">
        <f t="shared" si="15"/>
        <v>4.8791153710798672E-3</v>
      </c>
      <c r="AA33" s="1435">
        <f t="shared" si="20"/>
        <v>2.4643637675118662E-2</v>
      </c>
      <c r="AC33" s="1442">
        <f t="shared" si="21"/>
        <v>0</v>
      </c>
      <c r="AD33" s="1442">
        <f t="shared" si="22"/>
        <v>0</v>
      </c>
      <c r="AE33" s="1435">
        <f t="shared" si="23"/>
        <v>0</v>
      </c>
    </row>
    <row r="34" spans="2:31" x14ac:dyDescent="0.4">
      <c r="B34" s="1447" t="s">
        <v>915</v>
      </c>
      <c r="C34" s="1448" t="s">
        <v>915</v>
      </c>
      <c r="D34" s="1435">
        <f t="shared" si="16"/>
        <v>1.2686292989234327</v>
      </c>
      <c r="E34" s="1435">
        <f>+Capitalisation!M12</f>
        <v>0</v>
      </c>
      <c r="F34" s="1435">
        <f>+Capitalisation!N12</f>
        <v>1.2686292989234327</v>
      </c>
      <c r="H34" s="1436">
        <f>184339.941637706/(10^7)</f>
        <v>1.8433994163770624E-2</v>
      </c>
      <c r="I34" s="1436">
        <f>0/(10^7)</f>
        <v>0</v>
      </c>
      <c r="J34" s="1436">
        <f>12501953.0475966/(10^7)</f>
        <v>1.2501953047596619</v>
      </c>
      <c r="K34" s="1437">
        <f t="shared" si="9"/>
        <v>1.2686292989234325</v>
      </c>
      <c r="L34" s="1437"/>
      <c r="M34" s="1435">
        <f t="shared" si="10"/>
        <v>1.5051824601112247E-2</v>
      </c>
      <c r="N34" s="1435">
        <f t="shared" si="11"/>
        <v>1.2535774743223203</v>
      </c>
      <c r="O34" s="1435">
        <f t="shared" si="12"/>
        <v>1.2686292989234325</v>
      </c>
      <c r="Q34" s="1438"/>
      <c r="R34" s="1438"/>
      <c r="S34" s="1435">
        <f t="shared" si="13"/>
        <v>0</v>
      </c>
      <c r="U34" s="1437">
        <f>+M34</f>
        <v>1.5051824601112247E-2</v>
      </c>
      <c r="V34" s="1437">
        <f>+N34</f>
        <v>1.2535774743223203</v>
      </c>
      <c r="W34" s="1435">
        <f t="shared" si="14"/>
        <v>1.2686292989234325</v>
      </c>
      <c r="Y34" s="1442">
        <f t="shared" si="19"/>
        <v>0</v>
      </c>
      <c r="Z34" s="1442">
        <f t="shared" si="15"/>
        <v>0</v>
      </c>
      <c r="AA34" s="1435">
        <f t="shared" si="20"/>
        <v>0</v>
      </c>
      <c r="AC34" s="1442">
        <f t="shared" si="21"/>
        <v>0.11864304955763288</v>
      </c>
      <c r="AD34" s="1442">
        <f t="shared" si="22"/>
        <v>1.639068132558134</v>
      </c>
      <c r="AE34" s="1435">
        <f t="shared" si="23"/>
        <v>1.7577111821157669</v>
      </c>
    </row>
    <row r="35" spans="2:31" x14ac:dyDescent="0.4">
      <c r="B35" s="1447" t="s">
        <v>1415</v>
      </c>
      <c r="C35" s="1448" t="s">
        <v>440</v>
      </c>
      <c r="D35" s="1435">
        <f t="shared" si="16"/>
        <v>9.7965003063688787</v>
      </c>
      <c r="E35" s="1435">
        <f>+Capitalisation!M13</f>
        <v>9.7965003063688787</v>
      </c>
      <c r="F35" s="1435">
        <f>+Capitalisation!N13</f>
        <v>0</v>
      </c>
      <c r="H35" s="1436">
        <f>1887188.53619556/(10^7)</f>
        <v>0.18871885361955551</v>
      </c>
      <c r="I35" s="1436">
        <f>13531847.0411613/(10^7)</f>
        <v>1.3531847041161327</v>
      </c>
      <c r="J35" s="1436">
        <f>82545967.4113319/(10^7)</f>
        <v>8.2545967411331915</v>
      </c>
      <c r="K35" s="1437">
        <f t="shared" si="9"/>
        <v>9.7965002988688799</v>
      </c>
      <c r="L35" s="1437"/>
      <c r="M35" s="1435">
        <f t="shared" si="10"/>
        <v>1.5072784430187545</v>
      </c>
      <c r="N35" s="1435">
        <f t="shared" si="11"/>
        <v>8.2892218558501245</v>
      </c>
      <c r="O35" s="1435">
        <f t="shared" si="12"/>
        <v>9.7965002988688781</v>
      </c>
      <c r="Q35" s="1437">
        <f>+M35</f>
        <v>1.5072784430187545</v>
      </c>
      <c r="R35" s="1437">
        <f>+N35</f>
        <v>8.2892218558501245</v>
      </c>
      <c r="S35" s="1435">
        <f t="shared" si="13"/>
        <v>9.7965002988688781</v>
      </c>
      <c r="U35" s="1437"/>
      <c r="V35" s="1437"/>
      <c r="W35" s="1435">
        <f t="shared" si="14"/>
        <v>0</v>
      </c>
      <c r="Y35" s="1442">
        <f t="shared" si="19"/>
        <v>16.558504177887936</v>
      </c>
      <c r="Z35" s="1442">
        <f t="shared" si="15"/>
        <v>18.053655000739219</v>
      </c>
      <c r="AA35" s="1435">
        <f t="shared" si="20"/>
        <v>34.612159178627152</v>
      </c>
      <c r="AC35" s="1442">
        <f t="shared" si="21"/>
        <v>0</v>
      </c>
      <c r="AD35" s="1442">
        <f t="shared" si="22"/>
        <v>0</v>
      </c>
      <c r="AE35" s="1435">
        <f t="shared" si="23"/>
        <v>0</v>
      </c>
    </row>
    <row r="36" spans="2:31" x14ac:dyDescent="0.4">
      <c r="B36" s="1447" t="s">
        <v>445</v>
      </c>
      <c r="C36" s="1448" t="s">
        <v>879</v>
      </c>
      <c r="D36" s="1435">
        <f t="shared" si="16"/>
        <v>0</v>
      </c>
      <c r="E36" s="1435">
        <f>+Capitalisation!M14</f>
        <v>0</v>
      </c>
      <c r="F36" s="1435">
        <f>+Capitalisation!N14</f>
        <v>0</v>
      </c>
      <c r="H36" s="1436"/>
      <c r="I36" s="1436"/>
      <c r="J36" s="1436"/>
      <c r="K36" s="1437">
        <f t="shared" si="9"/>
        <v>0</v>
      </c>
      <c r="L36" s="1437"/>
      <c r="M36" s="1435"/>
      <c r="N36" s="1435"/>
      <c r="O36" s="1435">
        <f t="shared" si="12"/>
        <v>0</v>
      </c>
      <c r="Q36" s="1437"/>
      <c r="R36" s="1437"/>
      <c r="S36" s="1435">
        <f t="shared" si="13"/>
        <v>0</v>
      </c>
      <c r="U36" s="1437"/>
      <c r="V36" s="1437"/>
      <c r="W36" s="1435">
        <f t="shared" si="14"/>
        <v>0</v>
      </c>
      <c r="Y36" s="1442">
        <f t="shared" si="19"/>
        <v>4.8486911763262787E-3</v>
      </c>
      <c r="Z36" s="1442">
        <f t="shared" si="15"/>
        <v>1.0895088236737213E-3</v>
      </c>
      <c r="AA36" s="1435">
        <f t="shared" si="20"/>
        <v>5.9382000000000002E-3</v>
      </c>
      <c r="AC36" s="1442">
        <f t="shared" si="21"/>
        <v>5.3874346403625295E-4</v>
      </c>
      <c r="AD36" s="1442">
        <f t="shared" si="22"/>
        <v>1.2105653596374677E-4</v>
      </c>
      <c r="AE36" s="1435">
        <f t="shared" si="23"/>
        <v>6.5979999999999967E-4</v>
      </c>
    </row>
    <row r="37" spans="2:31" x14ac:dyDescent="0.4">
      <c r="B37" s="1447" t="s">
        <v>1416</v>
      </c>
      <c r="C37" s="1448" t="s">
        <v>440</v>
      </c>
      <c r="D37" s="1435">
        <f t="shared" si="16"/>
        <v>0.14600737948197279</v>
      </c>
      <c r="E37" s="1435">
        <f>+Capitalisation!M15</f>
        <v>0.14600737948197279</v>
      </c>
      <c r="F37" s="1435">
        <f>+Capitalisation!N15</f>
        <v>0</v>
      </c>
      <c r="H37" s="1438"/>
      <c r="I37" s="1436">
        <f>695381.221911876/(10^7)</f>
        <v>6.9538122191187574E-2</v>
      </c>
      <c r="J37" s="1436">
        <f>764692.572907852/(10^7)</f>
        <v>7.6469257290785173E-2</v>
      </c>
      <c r="K37" s="1437">
        <f t="shared" si="9"/>
        <v>0.14600737948197273</v>
      </c>
      <c r="L37" s="1437"/>
      <c r="M37" s="1435">
        <f t="shared" ref="M37:M42" si="24">+I37+$H37*$E$2</f>
        <v>6.9538122191187574E-2</v>
      </c>
      <c r="N37" s="1435">
        <f t="shared" ref="N37:N42" si="25">+J37+$H37*$F$2</f>
        <v>7.6469257290785173E-2</v>
      </c>
      <c r="O37" s="1435">
        <f t="shared" si="12"/>
        <v>0.14600737948197273</v>
      </c>
      <c r="Q37" s="1437">
        <f>+M37</f>
        <v>6.9538122191187574E-2</v>
      </c>
      <c r="R37" s="1437">
        <f>+N37</f>
        <v>7.6469257290785173E-2</v>
      </c>
      <c r="S37" s="1435">
        <f t="shared" si="13"/>
        <v>0.14600737948197273</v>
      </c>
      <c r="U37" s="1437"/>
      <c r="V37" s="1437"/>
      <c r="W37" s="1435">
        <f t="shared" si="14"/>
        <v>0</v>
      </c>
      <c r="Y37" s="1442">
        <f t="shared" si="19"/>
        <v>3.957243367274256</v>
      </c>
      <c r="Z37" s="1442">
        <f t="shared" si="15"/>
        <v>1.2048840166943109</v>
      </c>
      <c r="AA37" s="1435">
        <f t="shared" si="20"/>
        <v>5.1621273839685671</v>
      </c>
      <c r="AC37" s="1442">
        <f t="shared" si="21"/>
        <v>0</v>
      </c>
      <c r="AD37" s="1442">
        <f t="shared" si="22"/>
        <v>0</v>
      </c>
      <c r="AE37" s="1435">
        <f t="shared" si="23"/>
        <v>0</v>
      </c>
    </row>
    <row r="38" spans="2:31" x14ac:dyDescent="0.4">
      <c r="B38" s="1447" t="s">
        <v>1417</v>
      </c>
      <c r="C38" s="1448" t="s">
        <v>1269</v>
      </c>
      <c r="D38" s="1435">
        <f t="shared" si="16"/>
        <v>0</v>
      </c>
      <c r="E38" s="1435">
        <f>+Capitalisation!M16</f>
        <v>0</v>
      </c>
      <c r="F38" s="1435">
        <f>+Capitalisation!N16</f>
        <v>0</v>
      </c>
      <c r="H38" s="1438"/>
      <c r="I38" s="1438"/>
      <c r="J38" s="1438"/>
      <c r="K38" s="1437">
        <f t="shared" si="9"/>
        <v>0</v>
      </c>
      <c r="L38" s="1437"/>
      <c r="M38" s="1435">
        <f t="shared" si="24"/>
        <v>0</v>
      </c>
      <c r="N38" s="1435">
        <f t="shared" si="25"/>
        <v>0</v>
      </c>
      <c r="O38" s="1435">
        <f t="shared" si="12"/>
        <v>0</v>
      </c>
      <c r="Q38" s="1437">
        <f>+$F38*$E$2</f>
        <v>0</v>
      </c>
      <c r="R38" s="1437">
        <f>+$F38*$F$2</f>
        <v>0</v>
      </c>
      <c r="S38" s="1435">
        <f t="shared" si="13"/>
        <v>0</v>
      </c>
      <c r="U38" s="1437">
        <f>+$F38*$E$2</f>
        <v>0</v>
      </c>
      <c r="V38" s="1437">
        <f>+$F38*$F$2</f>
        <v>0</v>
      </c>
      <c r="W38" s="1435">
        <f t="shared" si="14"/>
        <v>0</v>
      </c>
      <c r="Y38" s="1442">
        <f t="shared" si="19"/>
        <v>1.108118674613055E-2</v>
      </c>
      <c r="Z38" s="1442">
        <f t="shared" si="15"/>
        <v>2.4899607538694489E-3</v>
      </c>
      <c r="AA38" s="1435">
        <f t="shared" si="20"/>
        <v>1.3571147499999998E-2</v>
      </c>
      <c r="AC38" s="1442">
        <f t="shared" si="21"/>
        <v>1.108118674613055E-2</v>
      </c>
      <c r="AD38" s="1442">
        <f t="shared" si="22"/>
        <v>2.4899607538694489E-3</v>
      </c>
      <c r="AE38" s="1435">
        <f t="shared" si="23"/>
        <v>1.3571147499999998E-2</v>
      </c>
    </row>
    <row r="39" spans="2:31" x14ac:dyDescent="0.4">
      <c r="B39" s="1447" t="s">
        <v>1418</v>
      </c>
      <c r="C39" s="1448" t="s">
        <v>447</v>
      </c>
      <c r="D39" s="1435">
        <f t="shared" si="16"/>
        <v>0</v>
      </c>
      <c r="E39" s="1435">
        <f>+Capitalisation!M17</f>
        <v>0</v>
      </c>
      <c r="F39" s="1435">
        <f>+Capitalisation!N17</f>
        <v>0</v>
      </c>
      <c r="H39" s="1438"/>
      <c r="I39" s="1438"/>
      <c r="J39" s="1438"/>
      <c r="K39" s="1437">
        <f t="shared" si="9"/>
        <v>0</v>
      </c>
      <c r="L39" s="1437"/>
      <c r="M39" s="1435">
        <f t="shared" si="24"/>
        <v>0</v>
      </c>
      <c r="N39" s="1435">
        <f t="shared" si="25"/>
        <v>0</v>
      </c>
      <c r="O39" s="1435">
        <f t="shared" si="12"/>
        <v>0</v>
      </c>
      <c r="Q39" s="1437">
        <f>+$F39*$E$2</f>
        <v>0</v>
      </c>
      <c r="R39" s="1437">
        <f>+$F39*$F$2</f>
        <v>0</v>
      </c>
      <c r="S39" s="1435">
        <f t="shared" si="13"/>
        <v>0</v>
      </c>
      <c r="U39" s="1437">
        <f>+$F39*$E$2</f>
        <v>0</v>
      </c>
      <c r="V39" s="1437">
        <f>+$F39*$F$2</f>
        <v>0</v>
      </c>
      <c r="W39" s="1435">
        <f t="shared" si="14"/>
        <v>0</v>
      </c>
      <c r="Y39" s="1442">
        <f t="shared" si="19"/>
        <v>2.1849485038636714E-2</v>
      </c>
      <c r="Z39" s="1442">
        <f t="shared" si="15"/>
        <v>4.9096149613632881E-3</v>
      </c>
      <c r="AA39" s="1435">
        <f t="shared" si="20"/>
        <v>2.6759100000000001E-2</v>
      </c>
      <c r="AC39" s="1442">
        <f t="shared" si="21"/>
        <v>2.1849485038636714E-2</v>
      </c>
      <c r="AD39" s="1442">
        <f t="shared" si="22"/>
        <v>4.9096149613632881E-3</v>
      </c>
      <c r="AE39" s="1435">
        <f t="shared" si="23"/>
        <v>2.6759100000000001E-2</v>
      </c>
    </row>
    <row r="40" spans="2:31" x14ac:dyDescent="0.4">
      <c r="B40" s="1447" t="s">
        <v>1419</v>
      </c>
      <c r="C40" s="1448" t="s">
        <v>447</v>
      </c>
      <c r="D40" s="1435">
        <f t="shared" si="16"/>
        <v>0</v>
      </c>
      <c r="E40" s="1435">
        <f>+Capitalisation!M18</f>
        <v>0</v>
      </c>
      <c r="F40" s="1435">
        <f>+Capitalisation!N18</f>
        <v>0</v>
      </c>
      <c r="H40" s="1438"/>
      <c r="I40" s="1438"/>
      <c r="J40" s="1438"/>
      <c r="K40" s="1437">
        <f t="shared" si="9"/>
        <v>0</v>
      </c>
      <c r="L40" s="1437"/>
      <c r="M40" s="1435">
        <f t="shared" si="24"/>
        <v>0</v>
      </c>
      <c r="N40" s="1435">
        <f t="shared" si="25"/>
        <v>0</v>
      </c>
      <c r="O40" s="1435">
        <f t="shared" si="12"/>
        <v>0</v>
      </c>
      <c r="Q40" s="1437">
        <f>+$F40*$E$2</f>
        <v>0</v>
      </c>
      <c r="R40" s="1437">
        <f>+$F40*$F$2</f>
        <v>0</v>
      </c>
      <c r="S40" s="1435">
        <f t="shared" si="13"/>
        <v>0</v>
      </c>
      <c r="U40" s="1437">
        <f>+$F40*$E$2</f>
        <v>0</v>
      </c>
      <c r="V40" s="1437">
        <f>+$F40*$F$2</f>
        <v>0</v>
      </c>
      <c r="W40" s="1435">
        <f t="shared" si="14"/>
        <v>0</v>
      </c>
      <c r="Y40" s="1442">
        <f t="shared" si="19"/>
        <v>1.7807276007549305E-2</v>
      </c>
      <c r="Z40" s="1442">
        <f t="shared" si="15"/>
        <v>4.0013239924506956E-3</v>
      </c>
      <c r="AA40" s="1435">
        <f t="shared" si="20"/>
        <v>2.1808600000000001E-2</v>
      </c>
      <c r="AC40" s="1442">
        <f t="shared" si="21"/>
        <v>1.7807276007549305E-2</v>
      </c>
      <c r="AD40" s="1442">
        <f t="shared" si="22"/>
        <v>4.0013239924506956E-3</v>
      </c>
      <c r="AE40" s="1435">
        <f t="shared" si="23"/>
        <v>2.1808600000000001E-2</v>
      </c>
    </row>
    <row r="41" spans="2:31" x14ac:dyDescent="0.4">
      <c r="B41" s="1447" t="s">
        <v>1420</v>
      </c>
      <c r="C41" s="1448" t="s">
        <v>1270</v>
      </c>
      <c r="D41" s="1435">
        <f t="shared" si="16"/>
        <v>0</v>
      </c>
      <c r="E41" s="1435">
        <f>+Capitalisation!M19</f>
        <v>0</v>
      </c>
      <c r="F41" s="1435">
        <f>+Capitalisation!N19</f>
        <v>0</v>
      </c>
      <c r="H41" s="1438"/>
      <c r="I41" s="1438"/>
      <c r="J41" s="1438"/>
      <c r="K41" s="1437">
        <f t="shared" si="9"/>
        <v>0</v>
      </c>
      <c r="L41" s="1437"/>
      <c r="M41" s="1435">
        <f t="shared" si="24"/>
        <v>0</v>
      </c>
      <c r="N41" s="1435">
        <f t="shared" si="25"/>
        <v>0</v>
      </c>
      <c r="O41" s="1435">
        <f t="shared" si="12"/>
        <v>0</v>
      </c>
      <c r="Q41" s="1437"/>
      <c r="R41" s="1437"/>
      <c r="S41" s="1435">
        <f t="shared" si="13"/>
        <v>0</v>
      </c>
      <c r="U41" s="1437">
        <f>+M41</f>
        <v>0</v>
      </c>
      <c r="V41" s="1437">
        <f>+N41</f>
        <v>0</v>
      </c>
      <c r="W41" s="1435">
        <f t="shared" si="14"/>
        <v>0</v>
      </c>
      <c r="Y41" s="1442">
        <f t="shared" si="19"/>
        <v>0</v>
      </c>
      <c r="Z41" s="1442">
        <f t="shared" si="15"/>
        <v>0</v>
      </c>
      <c r="AA41" s="1435">
        <f t="shared" si="20"/>
        <v>0</v>
      </c>
      <c r="AC41" s="1442">
        <f t="shared" si="21"/>
        <v>0.17476338259786509</v>
      </c>
      <c r="AD41" s="1442">
        <f t="shared" si="22"/>
        <v>3.9269617402134922E-2</v>
      </c>
      <c r="AE41" s="1435">
        <f t="shared" si="23"/>
        <v>0.214033</v>
      </c>
    </row>
    <row r="42" spans="2:31" x14ac:dyDescent="0.4">
      <c r="B42" s="1447" t="s">
        <v>935</v>
      </c>
      <c r="C42" s="1448" t="s">
        <v>1410</v>
      </c>
      <c r="D42" s="1435">
        <f t="shared" si="16"/>
        <v>0</v>
      </c>
      <c r="E42" s="1435">
        <f>+Capitalisation!M20</f>
        <v>0</v>
      </c>
      <c r="F42" s="1435">
        <f>+Capitalisation!N20</f>
        <v>0</v>
      </c>
      <c r="H42" s="1438"/>
      <c r="I42" s="1438"/>
      <c r="J42" s="1438"/>
      <c r="K42" s="1437">
        <f t="shared" si="9"/>
        <v>0</v>
      </c>
      <c r="L42" s="1437"/>
      <c r="M42" s="1435">
        <f t="shared" si="24"/>
        <v>0</v>
      </c>
      <c r="N42" s="1435">
        <f t="shared" si="25"/>
        <v>0</v>
      </c>
      <c r="O42" s="1435">
        <f t="shared" si="12"/>
        <v>0</v>
      </c>
      <c r="Q42" s="1437">
        <f>+M42</f>
        <v>0</v>
      </c>
      <c r="R42" s="1437">
        <f>+N42</f>
        <v>0</v>
      </c>
      <c r="S42" s="1435">
        <f t="shared" si="13"/>
        <v>0</v>
      </c>
      <c r="U42" s="1437"/>
      <c r="V42" s="1437"/>
      <c r="W42" s="1435">
        <f t="shared" si="14"/>
        <v>0</v>
      </c>
      <c r="Y42" s="1442">
        <f t="shared" si="19"/>
        <v>2.85783892713987E-6</v>
      </c>
      <c r="Z42" s="1442">
        <f t="shared" si="15"/>
        <v>6.4216107286013009E-7</v>
      </c>
      <c r="AA42" s="1435">
        <f t="shared" si="20"/>
        <v>3.4999999999999999E-6</v>
      </c>
      <c r="AC42" s="1442">
        <f t="shared" si="21"/>
        <v>0</v>
      </c>
      <c r="AD42" s="1442">
        <f t="shared" si="22"/>
        <v>0</v>
      </c>
      <c r="AE42" s="1435">
        <f t="shared" si="23"/>
        <v>0</v>
      </c>
    </row>
    <row r="43" spans="2:31" x14ac:dyDescent="0.4">
      <c r="B43" s="1438"/>
      <c r="C43" s="1438"/>
      <c r="D43" s="1438"/>
      <c r="E43" s="1438"/>
      <c r="F43" s="1438"/>
      <c r="H43" s="1438"/>
      <c r="I43" s="1438"/>
      <c r="J43" s="1438"/>
      <c r="K43" s="1437">
        <f t="shared" si="9"/>
        <v>0</v>
      </c>
      <c r="L43" s="1437"/>
      <c r="M43" s="1438"/>
      <c r="N43" s="1438"/>
      <c r="O43" s="1438"/>
      <c r="Q43" s="1438"/>
      <c r="R43" s="1438"/>
      <c r="S43" s="1438"/>
      <c r="U43" s="1438"/>
      <c r="V43" s="1438"/>
      <c r="W43" s="1438"/>
      <c r="Y43" s="1442">
        <f t="shared" si="19"/>
        <v>0</v>
      </c>
      <c r="Z43" s="1442">
        <f t="shared" si="15"/>
        <v>0</v>
      </c>
      <c r="AA43" s="1435">
        <f t="shared" si="20"/>
        <v>0</v>
      </c>
      <c r="AC43" s="1442">
        <f t="shared" si="21"/>
        <v>0</v>
      </c>
      <c r="AD43" s="1442">
        <f t="shared" si="22"/>
        <v>0</v>
      </c>
      <c r="AE43" s="1435">
        <f t="shared" si="23"/>
        <v>0</v>
      </c>
    </row>
    <row r="44" spans="2:31" x14ac:dyDescent="0.4">
      <c r="B44" s="1441" t="s">
        <v>827</v>
      </c>
      <c r="C44" s="1438"/>
      <c r="D44" s="1439">
        <f>SUM(D27:D42)</f>
        <v>12.830158250382215</v>
      </c>
      <c r="E44" s="1439">
        <f>SUM(E27:E42)</f>
        <v>11.561528951458783</v>
      </c>
      <c r="F44" s="1439">
        <f>SUM(F27:F42)</f>
        <v>1.2686292989234327</v>
      </c>
      <c r="H44" s="1439">
        <f>SUM(H27:H42)</f>
        <v>0.20715284778332613</v>
      </c>
      <c r="I44" s="1439">
        <f>SUM(I27:I42)</f>
        <v>1.5296903526141223</v>
      </c>
      <c r="J44" s="1439">
        <f>SUM(J27:J42)</f>
        <v>11.093315042484768</v>
      </c>
      <c r="K44" s="1439">
        <f t="shared" si="9"/>
        <v>12.830158242882217</v>
      </c>
      <c r="L44" s="1439"/>
      <c r="M44" s="1439">
        <f>SUM(M27:M42)</f>
        <v>1.6988359161178563</v>
      </c>
      <c r="N44" s="1439">
        <f>SUM(N27:N42)</f>
        <v>11.131322326764359</v>
      </c>
      <c r="O44" s="1439">
        <f>SUM(O27:O42)</f>
        <v>12.830158242882215</v>
      </c>
      <c r="Q44" s="1439">
        <f>SUM(Q27:Q42)</f>
        <v>1.6837840915167441</v>
      </c>
      <c r="R44" s="1439">
        <f>SUM(R27:R42)</f>
        <v>9.8777448524420386</v>
      </c>
      <c r="S44" s="1439">
        <f>SUM(S27:S42)</f>
        <v>11.561528943958782</v>
      </c>
      <c r="U44" s="1439">
        <f>SUM(U27:U42)</f>
        <v>1.5051824601112247E-2</v>
      </c>
      <c r="V44" s="1439">
        <f>SUM(V27:V42)</f>
        <v>1.2535774743223203</v>
      </c>
      <c r="W44" s="1439">
        <f>SUM(W27:W42)</f>
        <v>1.2686292989234325</v>
      </c>
      <c r="Y44" s="1443">
        <f>SUM(Y27:Y43)</f>
        <v>41.718519870930898</v>
      </c>
      <c r="Z44" s="1443">
        <f>SUM(Z27:Z43)</f>
        <v>25.389890259599991</v>
      </c>
      <c r="AA44" s="1443">
        <f>SUM(AA27:AA43)</f>
        <v>67.108410130530899</v>
      </c>
      <c r="AC44" s="1443">
        <f>SUM(AC27:AC43)</f>
        <v>0.34468312341185081</v>
      </c>
      <c r="AD44" s="1443">
        <f>SUM(AD27:AD43)</f>
        <v>1.6898597062039162</v>
      </c>
      <c r="AE44" s="1443">
        <f>SUM(AE27:AE43)</f>
        <v>2.0345428296157668</v>
      </c>
    </row>
    <row r="45" spans="2:31" x14ac:dyDescent="0.4">
      <c r="K45" s="1429"/>
      <c r="O45" s="1428">
        <f>+O44-D44</f>
        <v>-7.5000006205527825E-9</v>
      </c>
      <c r="Q45" s="1430">
        <f>+Q44+U44-M44</f>
        <v>0</v>
      </c>
      <c r="R45" s="1430">
        <f>+R44+V44-N44</f>
        <v>0</v>
      </c>
      <c r="S45" s="1430">
        <f>+S44+W44-O44</f>
        <v>0</v>
      </c>
      <c r="AA45" s="1428">
        <f>+Capitalisation!J22+Capitalisation!M22-AA44</f>
        <v>2.6842789679903944E-7</v>
      </c>
      <c r="AB45" s="1428"/>
      <c r="AC45" s="1428"/>
      <c r="AD45" s="1428"/>
      <c r="AE45" s="1428">
        <f>+Capitalisation!K22+Capitalisation!N22-AE44</f>
        <v>1.6807665925711035E-8</v>
      </c>
    </row>
    <row r="46" spans="2:31" x14ac:dyDescent="0.4">
      <c r="Y46" s="2005" t="s">
        <v>1659</v>
      </c>
      <c r="Z46" s="2005"/>
      <c r="AA46" s="2005"/>
      <c r="AB46" s="2005"/>
      <c r="AC46" s="2005"/>
      <c r="AD46" s="2005"/>
      <c r="AE46" s="2005"/>
    </row>
    <row r="47" spans="2:31" x14ac:dyDescent="0.4">
      <c r="B47" s="1444" t="s">
        <v>111</v>
      </c>
      <c r="C47" s="1444" t="s">
        <v>920</v>
      </c>
      <c r="D47" s="2006" t="s">
        <v>198</v>
      </c>
      <c r="E47" s="2006"/>
      <c r="F47" s="2006"/>
      <c r="H47" s="2007" t="s">
        <v>1654</v>
      </c>
      <c r="I47" s="2007"/>
      <c r="J47" s="2007"/>
      <c r="K47" s="2007"/>
      <c r="L47" s="1434"/>
      <c r="M47" s="2006" t="s">
        <v>1653</v>
      </c>
      <c r="N47" s="2006"/>
      <c r="O47" s="2006"/>
      <c r="Q47" s="2006" t="s">
        <v>1655</v>
      </c>
      <c r="R47" s="2006"/>
      <c r="S47" s="2006"/>
      <c r="U47" s="2006" t="s">
        <v>1656</v>
      </c>
      <c r="V47" s="2006"/>
      <c r="W47" s="2006"/>
      <c r="Y47" s="2006" t="s">
        <v>1655</v>
      </c>
      <c r="Z47" s="2006"/>
      <c r="AA47" s="2006"/>
      <c r="AC47" s="2006" t="s">
        <v>1656</v>
      </c>
      <c r="AD47" s="2006"/>
      <c r="AE47" s="2006"/>
    </row>
    <row r="48" spans="2:31" x14ac:dyDescent="0.4">
      <c r="B48" s="1446"/>
      <c r="C48" s="1446"/>
      <c r="D48" s="1446" t="s">
        <v>164</v>
      </c>
      <c r="E48" s="1446" t="s">
        <v>963</v>
      </c>
      <c r="F48" s="1446" t="s">
        <v>923</v>
      </c>
      <c r="H48" s="1446" t="s">
        <v>1651</v>
      </c>
      <c r="I48" s="1446" t="s">
        <v>1147</v>
      </c>
      <c r="J48" s="1446" t="s">
        <v>1148</v>
      </c>
      <c r="K48" s="1446" t="s">
        <v>827</v>
      </c>
      <c r="L48" s="1446"/>
      <c r="M48" s="1446" t="s">
        <v>1147</v>
      </c>
      <c r="N48" s="1446" t="s">
        <v>1148</v>
      </c>
      <c r="O48" s="1446" t="s">
        <v>164</v>
      </c>
      <c r="Q48" s="1446" t="s">
        <v>1147</v>
      </c>
      <c r="R48" s="1446" t="s">
        <v>1148</v>
      </c>
      <c r="S48" s="1446" t="s">
        <v>164</v>
      </c>
      <c r="U48" s="1446" t="s">
        <v>1147</v>
      </c>
      <c r="V48" s="1446" t="s">
        <v>1148</v>
      </c>
      <c r="W48" s="1446" t="s">
        <v>164</v>
      </c>
      <c r="Y48" s="1446" t="s">
        <v>1147</v>
      </c>
      <c r="Z48" s="1446" t="s">
        <v>1148</v>
      </c>
      <c r="AA48" s="1446" t="s">
        <v>164</v>
      </c>
      <c r="AC48" s="1446" t="s">
        <v>1147</v>
      </c>
      <c r="AD48" s="1446" t="s">
        <v>1148</v>
      </c>
      <c r="AE48" s="1446" t="s">
        <v>164</v>
      </c>
    </row>
    <row r="49" spans="1:31" x14ac:dyDescent="0.4">
      <c r="B49" s="1447" t="s">
        <v>1408</v>
      </c>
      <c r="C49" s="1448" t="s">
        <v>1409</v>
      </c>
      <c r="D49" s="1435">
        <f>+E49+F49</f>
        <v>0</v>
      </c>
      <c r="E49" s="1435">
        <f>+Capitalisation!P5</f>
        <v>0</v>
      </c>
      <c r="F49" s="1435">
        <f>+Capitalisation!Q5</f>
        <v>0</v>
      </c>
      <c r="H49" s="1438"/>
      <c r="I49" s="1438"/>
      <c r="J49" s="1438"/>
      <c r="K49" s="1437">
        <f t="shared" ref="K49:K66" si="26">+H49+J49+I49</f>
        <v>0</v>
      </c>
      <c r="L49" s="1437"/>
      <c r="M49" s="1435">
        <f t="shared" ref="M49:M57" si="27">+I49+$H49*$E$2</f>
        <v>0</v>
      </c>
      <c r="N49" s="1435">
        <f t="shared" ref="N49:N57" si="28">+J49+$H49*$F$2</f>
        <v>0</v>
      </c>
      <c r="O49" s="1435">
        <f t="shared" ref="O49:O64" si="29">+M49+N49</f>
        <v>0</v>
      </c>
      <c r="Q49" s="1437">
        <f>+M49</f>
        <v>0</v>
      </c>
      <c r="R49" s="1437">
        <f>+N49</f>
        <v>0</v>
      </c>
      <c r="S49" s="1435">
        <f t="shared" ref="S49:S64" si="30">+Q49+R49</f>
        <v>0</v>
      </c>
      <c r="U49" s="1437"/>
      <c r="V49" s="1437"/>
      <c r="W49" s="1435">
        <f t="shared" ref="W49:W64" si="31">+U49+V49</f>
        <v>0</v>
      </c>
      <c r="Y49" s="1442">
        <f>+Y27+Q49</f>
        <v>9.4410068403429079</v>
      </c>
      <c r="Z49" s="1442">
        <f t="shared" ref="Z49:Z65" si="32">+Z27+R49</f>
        <v>2.1214096511527107</v>
      </c>
      <c r="AA49" s="1435">
        <f>+Y49+Z49</f>
        <v>11.562416491495618</v>
      </c>
      <c r="AC49" s="1442">
        <f>+AC27+U49</f>
        <v>0</v>
      </c>
      <c r="AD49" s="1442">
        <f t="shared" ref="AD49:AD65" si="33">+AD27+V49</f>
        <v>0</v>
      </c>
      <c r="AE49" s="1435">
        <f>+AC49+AD49</f>
        <v>0</v>
      </c>
    </row>
    <row r="50" spans="1:31" x14ac:dyDescent="0.4">
      <c r="A50" s="1429"/>
      <c r="B50" s="1447" t="s">
        <v>924</v>
      </c>
      <c r="C50" s="1448" t="s">
        <v>440</v>
      </c>
      <c r="D50" s="1435">
        <f t="shared" ref="D50:D64" si="34">+E50+F50</f>
        <v>0.46329739599999997</v>
      </c>
      <c r="E50" s="1435">
        <f>+Capitalisation!P6</f>
        <v>0.46329739599999997</v>
      </c>
      <c r="F50" s="1435">
        <f>+Capitalisation!Q6</f>
        <v>0</v>
      </c>
      <c r="H50" s="1436"/>
      <c r="I50" s="1436"/>
      <c r="J50" s="1436">
        <f>4632974.19296345/(10^7)</f>
        <v>0.46329741929634483</v>
      </c>
      <c r="K50" s="1437">
        <f t="shared" si="26"/>
        <v>0.46329741929634483</v>
      </c>
      <c r="L50" s="1437"/>
      <c r="M50" s="1435">
        <f t="shared" si="27"/>
        <v>0</v>
      </c>
      <c r="N50" s="1435">
        <f t="shared" si="28"/>
        <v>0.46329741929634483</v>
      </c>
      <c r="O50" s="1435">
        <f t="shared" si="29"/>
        <v>0.46329741929634483</v>
      </c>
      <c r="Q50" s="1437">
        <f t="shared" ref="Q50:Q55" si="35">+M50</f>
        <v>0</v>
      </c>
      <c r="R50" s="1437">
        <f t="shared" ref="R50:R55" si="36">+N50</f>
        <v>0.46329741929634483</v>
      </c>
      <c r="S50" s="1435">
        <f t="shared" si="30"/>
        <v>0.46329741929634483</v>
      </c>
      <c r="U50" s="1437"/>
      <c r="V50" s="1437"/>
      <c r="W50" s="1435">
        <f t="shared" si="31"/>
        <v>0</v>
      </c>
      <c r="Y50" s="1442">
        <f t="shared" ref="Y50:Y65" si="37">+Y28+Q50</f>
        <v>5.4486998643654241</v>
      </c>
      <c r="Z50" s="1442">
        <f t="shared" si="32"/>
        <v>2.9252425047973549</v>
      </c>
      <c r="AA50" s="1435">
        <f t="shared" ref="AA50:AA65" si="38">+Y50+Z50</f>
        <v>8.3739423691627799</v>
      </c>
      <c r="AC50" s="1442">
        <f t="shared" ref="AC50:AC65" si="39">+AC28+U50</f>
        <v>0</v>
      </c>
      <c r="AD50" s="1442">
        <f t="shared" si="33"/>
        <v>0</v>
      </c>
      <c r="AE50" s="1435">
        <f t="shared" ref="AE50:AE65" si="40">+AC50+AD50</f>
        <v>0</v>
      </c>
    </row>
    <row r="51" spans="1:31" x14ac:dyDescent="0.4">
      <c r="A51" s="1429"/>
      <c r="B51" s="1447" t="s">
        <v>1411</v>
      </c>
      <c r="C51" s="1448" t="s">
        <v>440</v>
      </c>
      <c r="D51" s="1435">
        <f t="shared" si="34"/>
        <v>2.1017782000000002E-2</v>
      </c>
      <c r="E51" s="1435">
        <f>+Capitalisation!P7</f>
        <v>2.1017782000000002E-2</v>
      </c>
      <c r="F51" s="1435">
        <f>+Capitalisation!Q7</f>
        <v>0</v>
      </c>
      <c r="H51" s="1436"/>
      <c r="I51" s="1436"/>
      <c r="J51" s="1436">
        <f>210178.315346543/(10^7)</f>
        <v>2.1017831534654332E-2</v>
      </c>
      <c r="K51" s="1437">
        <f t="shared" si="26"/>
        <v>2.1017831534654332E-2</v>
      </c>
      <c r="L51" s="1437"/>
      <c r="M51" s="1435">
        <f t="shared" si="27"/>
        <v>0</v>
      </c>
      <c r="N51" s="1435">
        <f t="shared" si="28"/>
        <v>2.1017831534654332E-2</v>
      </c>
      <c r="O51" s="1435">
        <f t="shared" si="29"/>
        <v>2.1017831534654332E-2</v>
      </c>
      <c r="Q51" s="1437">
        <f t="shared" si="35"/>
        <v>0</v>
      </c>
      <c r="R51" s="1437">
        <f t="shared" si="36"/>
        <v>2.1017831534654332E-2</v>
      </c>
      <c r="S51" s="1435">
        <f t="shared" si="30"/>
        <v>2.1017831534654332E-2</v>
      </c>
      <c r="U51" s="1437"/>
      <c r="V51" s="1437"/>
      <c r="W51" s="1435">
        <f t="shared" si="31"/>
        <v>0</v>
      </c>
      <c r="Y51" s="1442">
        <f t="shared" si="37"/>
        <v>0.69598225003610104</v>
      </c>
      <c r="Z51" s="1442">
        <f t="shared" si="32"/>
        <v>0.20851211293856028</v>
      </c>
      <c r="AA51" s="1435">
        <f t="shared" si="38"/>
        <v>0.90449436297466135</v>
      </c>
      <c r="AC51" s="1442">
        <f t="shared" si="39"/>
        <v>0</v>
      </c>
      <c r="AD51" s="1442">
        <f t="shared" si="33"/>
        <v>0</v>
      </c>
      <c r="AE51" s="1435">
        <f t="shared" si="40"/>
        <v>0</v>
      </c>
    </row>
    <row r="52" spans="1:31" x14ac:dyDescent="0.4">
      <c r="B52" s="1447" t="s">
        <v>925</v>
      </c>
      <c r="C52" s="1448" t="s">
        <v>440</v>
      </c>
      <c r="D52" s="1435">
        <f t="shared" si="34"/>
        <v>0</v>
      </c>
      <c r="E52" s="1435">
        <f>+Capitalisation!P8</f>
        <v>0</v>
      </c>
      <c r="F52" s="1435">
        <f>+Capitalisation!Q8</f>
        <v>0</v>
      </c>
      <c r="H52" s="1436"/>
      <c r="I52" s="1436"/>
      <c r="J52" s="1436">
        <f>0/(10^7)</f>
        <v>0</v>
      </c>
      <c r="K52" s="1437">
        <f t="shared" si="26"/>
        <v>0</v>
      </c>
      <c r="L52" s="1437"/>
      <c r="M52" s="1435">
        <f t="shared" si="27"/>
        <v>0</v>
      </c>
      <c r="N52" s="1435">
        <f t="shared" si="28"/>
        <v>0</v>
      </c>
      <c r="O52" s="1435">
        <f t="shared" si="29"/>
        <v>0</v>
      </c>
      <c r="Q52" s="1437">
        <f t="shared" si="35"/>
        <v>0</v>
      </c>
      <c r="R52" s="1437">
        <f t="shared" si="36"/>
        <v>0</v>
      </c>
      <c r="S52" s="1435">
        <f t="shared" si="30"/>
        <v>0</v>
      </c>
      <c r="U52" s="1437"/>
      <c r="V52" s="1437"/>
      <c r="W52" s="1435">
        <f t="shared" si="31"/>
        <v>0</v>
      </c>
      <c r="Y52" s="1442">
        <f t="shared" si="37"/>
        <v>8.9626038871801368E-4</v>
      </c>
      <c r="Z52" s="1442">
        <f t="shared" si="32"/>
        <v>2.0139117264988824E-4</v>
      </c>
      <c r="AA52" s="1435">
        <f t="shared" si="38"/>
        <v>1.0976515613679019E-3</v>
      </c>
      <c r="AC52" s="1442">
        <f t="shared" si="39"/>
        <v>0</v>
      </c>
      <c r="AD52" s="1442">
        <f t="shared" si="33"/>
        <v>0</v>
      </c>
      <c r="AE52" s="1435">
        <f t="shared" si="40"/>
        <v>0</v>
      </c>
    </row>
    <row r="53" spans="1:31" x14ac:dyDescent="0.4">
      <c r="B53" s="1447" t="s">
        <v>1412</v>
      </c>
      <c r="C53" s="1448" t="s">
        <v>440</v>
      </c>
      <c r="D53" s="1435">
        <f t="shared" si="34"/>
        <v>0</v>
      </c>
      <c r="E53" s="1435">
        <f>+Capitalisation!P9</f>
        <v>0</v>
      </c>
      <c r="F53" s="1435">
        <f>+Capitalisation!Q9</f>
        <v>0</v>
      </c>
      <c r="H53" s="1436"/>
      <c r="I53" s="1436"/>
      <c r="J53" s="1436">
        <f>0/(10^7)</f>
        <v>0</v>
      </c>
      <c r="K53" s="1437">
        <f t="shared" si="26"/>
        <v>0</v>
      </c>
      <c r="L53" s="1437"/>
      <c r="M53" s="1435">
        <f t="shared" si="27"/>
        <v>0</v>
      </c>
      <c r="N53" s="1435">
        <f t="shared" si="28"/>
        <v>0</v>
      </c>
      <c r="O53" s="1435">
        <f t="shared" si="29"/>
        <v>0</v>
      </c>
      <c r="Q53" s="1437">
        <f t="shared" si="35"/>
        <v>0</v>
      </c>
      <c r="R53" s="1437">
        <f t="shared" si="36"/>
        <v>0</v>
      </c>
      <c r="S53" s="1435">
        <f t="shared" si="30"/>
        <v>0</v>
      </c>
      <c r="U53" s="1437"/>
      <c r="V53" s="1437"/>
      <c r="W53" s="1435">
        <f t="shared" si="31"/>
        <v>0</v>
      </c>
      <c r="Y53" s="1442">
        <f t="shared" si="37"/>
        <v>5.2894161287684653</v>
      </c>
      <c r="Z53" s="1442">
        <f t="shared" si="32"/>
        <v>1.1885404400495778</v>
      </c>
      <c r="AA53" s="1435">
        <f t="shared" si="38"/>
        <v>6.4779565688180432</v>
      </c>
      <c r="AC53" s="1442">
        <f t="shared" si="39"/>
        <v>0</v>
      </c>
      <c r="AD53" s="1442">
        <f t="shared" si="33"/>
        <v>0</v>
      </c>
      <c r="AE53" s="1435">
        <f t="shared" si="40"/>
        <v>0</v>
      </c>
    </row>
    <row r="54" spans="1:31" x14ac:dyDescent="0.4">
      <c r="A54" s="1429"/>
      <c r="B54" s="1447" t="s">
        <v>1413</v>
      </c>
      <c r="C54" s="1448" t="s">
        <v>440</v>
      </c>
      <c r="D54" s="1435">
        <f t="shared" si="34"/>
        <v>5.4467600000000001E-4</v>
      </c>
      <c r="E54" s="1435">
        <f>+Capitalisation!P10</f>
        <v>5.4467600000000001E-4</v>
      </c>
      <c r="F54" s="1435">
        <f>+Capitalisation!Q10</f>
        <v>0</v>
      </c>
      <c r="H54" s="1436"/>
      <c r="I54" s="1436"/>
      <c r="J54" s="1436">
        <f>5447.11901516022/(10^7)</f>
        <v>5.4471190151602201E-4</v>
      </c>
      <c r="K54" s="1437">
        <f t="shared" si="26"/>
        <v>5.4471190151602201E-4</v>
      </c>
      <c r="L54" s="1437"/>
      <c r="M54" s="1435">
        <f t="shared" si="27"/>
        <v>0</v>
      </c>
      <c r="N54" s="1435">
        <f t="shared" si="28"/>
        <v>5.4471190151602201E-4</v>
      </c>
      <c r="O54" s="1435">
        <f t="shared" si="29"/>
        <v>5.4471190151602201E-4</v>
      </c>
      <c r="Q54" s="1437">
        <f t="shared" si="35"/>
        <v>0</v>
      </c>
      <c r="R54" s="1437">
        <f t="shared" si="36"/>
        <v>5.4471190151602201E-4</v>
      </c>
      <c r="S54" s="1435">
        <f t="shared" si="30"/>
        <v>5.4471190151602201E-4</v>
      </c>
      <c r="U54" s="1437"/>
      <c r="V54" s="1437"/>
      <c r="W54" s="1435">
        <f t="shared" si="31"/>
        <v>0</v>
      </c>
      <c r="Y54" s="1442">
        <f t="shared" si="37"/>
        <v>0.25141696275547165</v>
      </c>
      <c r="Z54" s="1442">
        <f t="shared" si="32"/>
        <v>0.15493493872461195</v>
      </c>
      <c r="AA54" s="1435">
        <f t="shared" si="38"/>
        <v>0.4063519014800836</v>
      </c>
      <c r="AC54" s="1442">
        <f t="shared" si="39"/>
        <v>0</v>
      </c>
      <c r="AD54" s="1442">
        <f t="shared" si="33"/>
        <v>0</v>
      </c>
      <c r="AE54" s="1435">
        <f t="shared" si="40"/>
        <v>0</v>
      </c>
    </row>
    <row r="55" spans="1:31" x14ac:dyDescent="0.4">
      <c r="B55" s="1447" t="s">
        <v>1414</v>
      </c>
      <c r="C55" s="1448" t="s">
        <v>440</v>
      </c>
      <c r="D55" s="1435">
        <f t="shared" si="34"/>
        <v>0</v>
      </c>
      <c r="E55" s="1435">
        <f>+Capitalisation!P11</f>
        <v>0</v>
      </c>
      <c r="F55" s="1435">
        <f>+Capitalisation!Q11</f>
        <v>0</v>
      </c>
      <c r="H55" s="1436"/>
      <c r="I55" s="1436"/>
      <c r="J55" s="1436"/>
      <c r="K55" s="1437">
        <f t="shared" si="26"/>
        <v>0</v>
      </c>
      <c r="L55" s="1437"/>
      <c r="M55" s="1435">
        <f t="shared" si="27"/>
        <v>0</v>
      </c>
      <c r="N55" s="1435">
        <f t="shared" si="28"/>
        <v>0</v>
      </c>
      <c r="O55" s="1435">
        <f t="shared" si="29"/>
        <v>0</v>
      </c>
      <c r="Q55" s="1437">
        <f t="shared" si="35"/>
        <v>0</v>
      </c>
      <c r="R55" s="1437">
        <f t="shared" si="36"/>
        <v>0</v>
      </c>
      <c r="S55" s="1435">
        <f t="shared" si="30"/>
        <v>0</v>
      </c>
      <c r="U55" s="1437"/>
      <c r="V55" s="1437"/>
      <c r="W55" s="1435">
        <f t="shared" si="31"/>
        <v>0</v>
      </c>
      <c r="Y55" s="1442">
        <f t="shared" si="37"/>
        <v>1.9764522304038794E-2</v>
      </c>
      <c r="Z55" s="1442">
        <f t="shared" si="32"/>
        <v>4.8791153710798672E-3</v>
      </c>
      <c r="AA55" s="1435">
        <f t="shared" si="38"/>
        <v>2.4643637675118662E-2</v>
      </c>
      <c r="AC55" s="1442">
        <f t="shared" si="39"/>
        <v>0</v>
      </c>
      <c r="AD55" s="1442">
        <f t="shared" si="33"/>
        <v>0</v>
      </c>
      <c r="AE55" s="1435">
        <f t="shared" si="40"/>
        <v>0</v>
      </c>
    </row>
    <row r="56" spans="1:31" x14ac:dyDescent="0.4">
      <c r="B56" s="1447" t="s">
        <v>915</v>
      </c>
      <c r="C56" s="1448" t="s">
        <v>915</v>
      </c>
      <c r="D56" s="1435">
        <f t="shared" si="34"/>
        <v>0</v>
      </c>
      <c r="E56" s="1435">
        <f>+Capitalisation!P12</f>
        <v>0</v>
      </c>
      <c r="F56" s="1435">
        <f>+Capitalisation!Q12</f>
        <v>0</v>
      </c>
      <c r="H56" s="1436"/>
      <c r="I56" s="1436"/>
      <c r="J56" s="1764">
        <f>986525.086929727/(10^7)*0</f>
        <v>0</v>
      </c>
      <c r="K56" s="1437">
        <f t="shared" si="26"/>
        <v>0</v>
      </c>
      <c r="L56" s="1437"/>
      <c r="M56" s="1435">
        <f t="shared" si="27"/>
        <v>0</v>
      </c>
      <c r="N56" s="1435">
        <f t="shared" si="28"/>
        <v>0</v>
      </c>
      <c r="O56" s="1435">
        <f t="shared" si="29"/>
        <v>0</v>
      </c>
      <c r="Q56" s="1438"/>
      <c r="R56" s="1438"/>
      <c r="S56" s="1435">
        <f t="shared" si="30"/>
        <v>0</v>
      </c>
      <c r="U56" s="1437">
        <f>+M56</f>
        <v>0</v>
      </c>
      <c r="V56" s="1437">
        <f>+N56</f>
        <v>0</v>
      </c>
      <c r="W56" s="1435">
        <f t="shared" si="31"/>
        <v>0</v>
      </c>
      <c r="Y56" s="1442">
        <f t="shared" si="37"/>
        <v>0</v>
      </c>
      <c r="Z56" s="1442">
        <f t="shared" si="32"/>
        <v>0</v>
      </c>
      <c r="AA56" s="1435">
        <f t="shared" si="38"/>
        <v>0</v>
      </c>
      <c r="AC56" s="1442">
        <f t="shared" si="39"/>
        <v>0.11864304955763288</v>
      </c>
      <c r="AD56" s="1442">
        <f t="shared" si="33"/>
        <v>1.639068132558134</v>
      </c>
      <c r="AE56" s="1435">
        <f t="shared" si="40"/>
        <v>1.7577111821157669</v>
      </c>
    </row>
    <row r="57" spans="1:31" x14ac:dyDescent="0.4">
      <c r="A57" s="1429"/>
      <c r="B57" s="1447" t="s">
        <v>1415</v>
      </c>
      <c r="C57" s="1448" t="s">
        <v>440</v>
      </c>
      <c r="D57" s="1435">
        <f t="shared" si="34"/>
        <v>4.349852641</v>
      </c>
      <c r="E57" s="1435">
        <f>+Capitalisation!P13</f>
        <v>4.349852641</v>
      </c>
      <c r="F57" s="1435">
        <f>+Capitalisation!Q13</f>
        <v>0</v>
      </c>
      <c r="H57" s="1436"/>
      <c r="I57" s="1436">
        <f>1296104.64358368/(10^7)</f>
        <v>0.12961046435836845</v>
      </c>
      <c r="J57" s="1436">
        <f>42202421.9164798/(10^7)</f>
        <v>4.2202421916479755</v>
      </c>
      <c r="K57" s="1437">
        <f t="shared" si="26"/>
        <v>4.3498526560063437</v>
      </c>
      <c r="L57" s="1437"/>
      <c r="M57" s="1435">
        <f t="shared" si="27"/>
        <v>0.12961046435836845</v>
      </c>
      <c r="N57" s="1435">
        <f t="shared" si="28"/>
        <v>4.2202421916479755</v>
      </c>
      <c r="O57" s="1435">
        <f t="shared" si="29"/>
        <v>4.3498526560063437</v>
      </c>
      <c r="Q57" s="1437">
        <f>+M57</f>
        <v>0.12961046435836845</v>
      </c>
      <c r="R57" s="1437">
        <f>+N57</f>
        <v>4.2202421916479755</v>
      </c>
      <c r="S57" s="1435">
        <f t="shared" si="30"/>
        <v>4.3498526560063437</v>
      </c>
      <c r="U57" s="1437"/>
      <c r="V57" s="1437"/>
      <c r="W57" s="1435">
        <f t="shared" si="31"/>
        <v>0</v>
      </c>
      <c r="Y57" s="1442">
        <f t="shared" si="37"/>
        <v>16.688114642246305</v>
      </c>
      <c r="Z57" s="1442">
        <f t="shared" si="32"/>
        <v>22.273897192387196</v>
      </c>
      <c r="AA57" s="1435">
        <f t="shared" si="38"/>
        <v>38.9620118346335</v>
      </c>
      <c r="AC57" s="1442">
        <f t="shared" si="39"/>
        <v>0</v>
      </c>
      <c r="AD57" s="1442">
        <f t="shared" si="33"/>
        <v>0</v>
      </c>
      <c r="AE57" s="1435">
        <f t="shared" si="40"/>
        <v>0</v>
      </c>
    </row>
    <row r="58" spans="1:31" x14ac:dyDescent="0.4">
      <c r="B58" s="1447" t="s">
        <v>445</v>
      </c>
      <c r="C58" s="1448" t="s">
        <v>879</v>
      </c>
      <c r="D58" s="1435">
        <f t="shared" si="34"/>
        <v>0</v>
      </c>
      <c r="E58" s="1435">
        <f>+Capitalisation!P14</f>
        <v>0</v>
      </c>
      <c r="F58" s="1435">
        <f>+Capitalisation!Q14</f>
        <v>0</v>
      </c>
      <c r="H58" s="1436"/>
      <c r="I58" s="1436"/>
      <c r="J58" s="1436"/>
      <c r="K58" s="1437">
        <f t="shared" si="26"/>
        <v>0</v>
      </c>
      <c r="L58" s="1437"/>
      <c r="M58" s="1435"/>
      <c r="N58" s="1435"/>
      <c r="O58" s="1435">
        <f t="shared" si="29"/>
        <v>0</v>
      </c>
      <c r="Q58" s="1437"/>
      <c r="R58" s="1437"/>
      <c r="S58" s="1435">
        <f t="shared" si="30"/>
        <v>0</v>
      </c>
      <c r="U58" s="1437"/>
      <c r="V58" s="1437"/>
      <c r="W58" s="1435">
        <f t="shared" si="31"/>
        <v>0</v>
      </c>
      <c r="Y58" s="1442">
        <f t="shared" si="37"/>
        <v>4.8486911763262787E-3</v>
      </c>
      <c r="Z58" s="1442">
        <f t="shared" si="32"/>
        <v>1.0895088236737213E-3</v>
      </c>
      <c r="AA58" s="1435">
        <f t="shared" si="38"/>
        <v>5.9382000000000002E-3</v>
      </c>
      <c r="AC58" s="1442">
        <f t="shared" si="39"/>
        <v>5.3874346403625295E-4</v>
      </c>
      <c r="AD58" s="1442">
        <f t="shared" si="33"/>
        <v>1.2105653596374677E-4</v>
      </c>
      <c r="AE58" s="1435">
        <f t="shared" si="40"/>
        <v>6.5979999999999967E-4</v>
      </c>
    </row>
    <row r="59" spans="1:31" x14ac:dyDescent="0.4">
      <c r="A59" s="1429"/>
      <c r="B59" s="1447" t="s">
        <v>1416</v>
      </c>
      <c r="C59" s="1448" t="s">
        <v>440</v>
      </c>
      <c r="D59" s="1435">
        <f t="shared" si="34"/>
        <v>0.12168689399999999</v>
      </c>
      <c r="E59" s="1435">
        <f>+Capitalisation!P15</f>
        <v>0.12168689399999999</v>
      </c>
      <c r="F59" s="1435">
        <f>+Capitalisation!Q15</f>
        <v>0</v>
      </c>
      <c r="H59" s="1436"/>
      <c r="I59" s="1436"/>
      <c r="J59" s="1436">
        <f>1216870.1852665/(10^7)</f>
        <v>0.12168701852664994</v>
      </c>
      <c r="K59" s="1437">
        <f t="shared" si="26"/>
        <v>0.12168701852664994</v>
      </c>
      <c r="L59" s="1437"/>
      <c r="M59" s="1435">
        <f t="shared" ref="M59:M64" si="41">+I59+$H59*$E$2</f>
        <v>0</v>
      </c>
      <c r="N59" s="1435">
        <f t="shared" ref="N59:N64" si="42">+J59+$H59*$F$2</f>
        <v>0.12168701852664994</v>
      </c>
      <c r="O59" s="1435">
        <f t="shared" si="29"/>
        <v>0.12168701852664994</v>
      </c>
      <c r="Q59" s="1437">
        <f>+M59</f>
        <v>0</v>
      </c>
      <c r="R59" s="1437">
        <f>+N59</f>
        <v>0.12168701852664994</v>
      </c>
      <c r="S59" s="1435">
        <f t="shared" si="30"/>
        <v>0.12168701852664994</v>
      </c>
      <c r="U59" s="1437"/>
      <c r="V59" s="1437"/>
      <c r="W59" s="1435">
        <f t="shared" si="31"/>
        <v>0</v>
      </c>
      <c r="Y59" s="1442">
        <f t="shared" si="37"/>
        <v>3.957243367274256</v>
      </c>
      <c r="Z59" s="1442">
        <f t="shared" si="32"/>
        <v>1.3265710352209608</v>
      </c>
      <c r="AA59" s="1435">
        <f t="shared" si="38"/>
        <v>5.2838144024952172</v>
      </c>
      <c r="AC59" s="1442">
        <f t="shared" si="39"/>
        <v>0</v>
      </c>
      <c r="AD59" s="1442">
        <f t="shared" si="33"/>
        <v>0</v>
      </c>
      <c r="AE59" s="1435">
        <f t="shared" si="40"/>
        <v>0</v>
      </c>
    </row>
    <row r="60" spans="1:31" x14ac:dyDescent="0.4">
      <c r="B60" s="1447" t="s">
        <v>1417</v>
      </c>
      <c r="C60" s="1448" t="s">
        <v>1269</v>
      </c>
      <c r="D60" s="1435">
        <f t="shared" si="34"/>
        <v>2.0641824E-2</v>
      </c>
      <c r="E60" s="1435">
        <f>+Capitalisation!P16</f>
        <v>1.0320912E-2</v>
      </c>
      <c r="F60" s="1435">
        <f>+Capitalisation!Q16</f>
        <v>1.0320912E-2</v>
      </c>
      <c r="H60" s="1437">
        <f>+D60</f>
        <v>2.0641824E-2</v>
      </c>
      <c r="I60" s="1438"/>
      <c r="J60" s="1438"/>
      <c r="K60" s="1437">
        <f t="shared" si="26"/>
        <v>2.0641824E-2</v>
      </c>
      <c r="L60" s="1437"/>
      <c r="M60" s="1435">
        <f t="shared" si="41"/>
        <v>1.6854573758391434E-2</v>
      </c>
      <c r="N60" s="1435">
        <f t="shared" si="42"/>
        <v>3.7872502416085663E-3</v>
      </c>
      <c r="O60" s="1435">
        <f t="shared" si="29"/>
        <v>2.0641824E-2</v>
      </c>
      <c r="Q60" s="1437">
        <f>+$F60*$E$2</f>
        <v>8.4272868791957171E-3</v>
      </c>
      <c r="R60" s="1437">
        <f>+$F60*$F$2</f>
        <v>1.8936251208042832E-3</v>
      </c>
      <c r="S60" s="1435">
        <f t="shared" si="30"/>
        <v>1.0320912E-2</v>
      </c>
      <c r="U60" s="1437">
        <f>+$F60*$E$2</f>
        <v>8.4272868791957171E-3</v>
      </c>
      <c r="V60" s="1437">
        <f>+$F60*$F$2</f>
        <v>1.8936251208042832E-3</v>
      </c>
      <c r="W60" s="1435">
        <f t="shared" si="31"/>
        <v>1.0320912E-2</v>
      </c>
      <c r="Y60" s="1442">
        <f t="shared" si="37"/>
        <v>1.9508473625326268E-2</v>
      </c>
      <c r="Z60" s="1442">
        <f t="shared" si="32"/>
        <v>4.3835858746737316E-3</v>
      </c>
      <c r="AA60" s="1435">
        <f t="shared" si="38"/>
        <v>2.38920595E-2</v>
      </c>
      <c r="AC60" s="1442">
        <f t="shared" si="39"/>
        <v>1.9508473625326268E-2</v>
      </c>
      <c r="AD60" s="1442">
        <f t="shared" si="33"/>
        <v>4.3835858746737316E-3</v>
      </c>
      <c r="AE60" s="1435">
        <f t="shared" si="40"/>
        <v>2.38920595E-2</v>
      </c>
    </row>
    <row r="61" spans="1:31" x14ac:dyDescent="0.4">
      <c r="B61" s="1447" t="s">
        <v>1418</v>
      </c>
      <c r="C61" s="1448" t="s">
        <v>447</v>
      </c>
      <c r="D61" s="1435">
        <f t="shared" si="34"/>
        <v>0</v>
      </c>
      <c r="E61" s="1435">
        <f>+Capitalisation!P17</f>
        <v>0</v>
      </c>
      <c r="F61" s="1435">
        <f>+Capitalisation!Q17</f>
        <v>0</v>
      </c>
      <c r="H61" s="1438"/>
      <c r="I61" s="1438"/>
      <c r="J61" s="1438"/>
      <c r="K61" s="1437">
        <f t="shared" si="26"/>
        <v>0</v>
      </c>
      <c r="L61" s="1437"/>
      <c r="M61" s="1435">
        <f t="shared" si="41"/>
        <v>0</v>
      </c>
      <c r="N61" s="1435">
        <f t="shared" si="42"/>
        <v>0</v>
      </c>
      <c r="O61" s="1435">
        <f t="shared" si="29"/>
        <v>0</v>
      </c>
      <c r="Q61" s="1437">
        <f>+$F61*$E$2</f>
        <v>0</v>
      </c>
      <c r="R61" s="1437">
        <f>+$F61*$F$2</f>
        <v>0</v>
      </c>
      <c r="S61" s="1435">
        <f t="shared" si="30"/>
        <v>0</v>
      </c>
      <c r="U61" s="1437">
        <f>+$F61*$E$2</f>
        <v>0</v>
      </c>
      <c r="V61" s="1437">
        <f>+$F61*$F$2</f>
        <v>0</v>
      </c>
      <c r="W61" s="1435">
        <f t="shared" si="31"/>
        <v>0</v>
      </c>
      <c r="Y61" s="1442">
        <f t="shared" si="37"/>
        <v>2.1849485038636714E-2</v>
      </c>
      <c r="Z61" s="1442">
        <f t="shared" si="32"/>
        <v>4.9096149613632881E-3</v>
      </c>
      <c r="AA61" s="1435">
        <f t="shared" si="38"/>
        <v>2.6759100000000001E-2</v>
      </c>
      <c r="AC61" s="1442">
        <f t="shared" si="39"/>
        <v>2.1849485038636714E-2</v>
      </c>
      <c r="AD61" s="1442">
        <f t="shared" si="33"/>
        <v>4.9096149613632881E-3</v>
      </c>
      <c r="AE61" s="1435">
        <f t="shared" si="40"/>
        <v>2.6759100000000001E-2</v>
      </c>
    </row>
    <row r="62" spans="1:31" x14ac:dyDescent="0.4">
      <c r="B62" s="1447" t="s">
        <v>1419</v>
      </c>
      <c r="C62" s="1448" t="s">
        <v>447</v>
      </c>
      <c r="D62" s="1435">
        <f t="shared" si="34"/>
        <v>0</v>
      </c>
      <c r="E62" s="1435">
        <f>+Capitalisation!P18</f>
        <v>0</v>
      </c>
      <c r="F62" s="1435">
        <f>+Capitalisation!Q18</f>
        <v>0</v>
      </c>
      <c r="H62" s="1438"/>
      <c r="I62" s="1438"/>
      <c r="J62" s="1438"/>
      <c r="K62" s="1437">
        <f t="shared" si="26"/>
        <v>0</v>
      </c>
      <c r="L62" s="1437"/>
      <c r="M62" s="1435">
        <f t="shared" si="41"/>
        <v>0</v>
      </c>
      <c r="N62" s="1435">
        <f t="shared" si="42"/>
        <v>0</v>
      </c>
      <c r="O62" s="1435">
        <f t="shared" si="29"/>
        <v>0</v>
      </c>
      <c r="Q62" s="1437">
        <f>+$F62*$E$2</f>
        <v>0</v>
      </c>
      <c r="R62" s="1437">
        <f>+$F62*$F$2</f>
        <v>0</v>
      </c>
      <c r="S62" s="1435">
        <f t="shared" si="30"/>
        <v>0</v>
      </c>
      <c r="U62" s="1437">
        <f>+$F62*$E$2</f>
        <v>0</v>
      </c>
      <c r="V62" s="1437">
        <f>+$F62*$F$2</f>
        <v>0</v>
      </c>
      <c r="W62" s="1435">
        <f t="shared" si="31"/>
        <v>0</v>
      </c>
      <c r="Y62" s="1442">
        <f t="shared" si="37"/>
        <v>1.7807276007549305E-2</v>
      </c>
      <c r="Z62" s="1442">
        <f t="shared" si="32"/>
        <v>4.0013239924506956E-3</v>
      </c>
      <c r="AA62" s="1435">
        <f t="shared" si="38"/>
        <v>2.1808600000000001E-2</v>
      </c>
      <c r="AC62" s="1442">
        <f t="shared" si="39"/>
        <v>1.7807276007549305E-2</v>
      </c>
      <c r="AD62" s="1442">
        <f t="shared" si="33"/>
        <v>4.0013239924506956E-3</v>
      </c>
      <c r="AE62" s="1435">
        <f t="shared" si="40"/>
        <v>2.1808600000000001E-2</v>
      </c>
    </row>
    <row r="63" spans="1:31" x14ac:dyDescent="0.4">
      <c r="B63" s="1447" t="s">
        <v>1420</v>
      </c>
      <c r="C63" s="1448" t="s">
        <v>1270</v>
      </c>
      <c r="D63" s="1435">
        <f t="shared" si="34"/>
        <v>0</v>
      </c>
      <c r="E63" s="1435">
        <f>+Capitalisation!P19</f>
        <v>0</v>
      </c>
      <c r="F63" s="1435">
        <f>+Capitalisation!Q19</f>
        <v>0</v>
      </c>
      <c r="H63" s="1438"/>
      <c r="I63" s="1438"/>
      <c r="J63" s="1438"/>
      <c r="K63" s="1437">
        <f t="shared" si="26"/>
        <v>0</v>
      </c>
      <c r="L63" s="1437"/>
      <c r="M63" s="1435">
        <f t="shared" si="41"/>
        <v>0</v>
      </c>
      <c r="N63" s="1435">
        <f t="shared" si="42"/>
        <v>0</v>
      </c>
      <c r="O63" s="1435">
        <f t="shared" si="29"/>
        <v>0</v>
      </c>
      <c r="Q63" s="1437"/>
      <c r="R63" s="1437"/>
      <c r="S63" s="1435">
        <f t="shared" si="30"/>
        <v>0</v>
      </c>
      <c r="U63" s="1437">
        <f>+M63</f>
        <v>0</v>
      </c>
      <c r="V63" s="1437">
        <f>+N63</f>
        <v>0</v>
      </c>
      <c r="W63" s="1435">
        <f t="shared" si="31"/>
        <v>0</v>
      </c>
      <c r="Y63" s="1442">
        <f t="shared" si="37"/>
        <v>0</v>
      </c>
      <c r="Z63" s="1442">
        <f t="shared" si="32"/>
        <v>0</v>
      </c>
      <c r="AA63" s="1435">
        <f t="shared" si="38"/>
        <v>0</v>
      </c>
      <c r="AC63" s="1442">
        <f t="shared" si="39"/>
        <v>0.17476338259786509</v>
      </c>
      <c r="AD63" s="1442">
        <f t="shared" si="33"/>
        <v>3.9269617402134922E-2</v>
      </c>
      <c r="AE63" s="1435">
        <f t="shared" si="40"/>
        <v>0.214033</v>
      </c>
    </row>
    <row r="64" spans="1:31" x14ac:dyDescent="0.4">
      <c r="B64" s="1447" t="s">
        <v>935</v>
      </c>
      <c r="C64" s="1448" t="s">
        <v>1410</v>
      </c>
      <c r="D64" s="1435">
        <f t="shared" si="34"/>
        <v>0</v>
      </c>
      <c r="E64" s="1435">
        <f>+Capitalisation!P20</f>
        <v>0</v>
      </c>
      <c r="F64" s="1435">
        <f>+Capitalisation!Q20</f>
        <v>0</v>
      </c>
      <c r="H64" s="1438"/>
      <c r="I64" s="1438"/>
      <c r="J64" s="1438"/>
      <c r="K64" s="1437">
        <f t="shared" si="26"/>
        <v>0</v>
      </c>
      <c r="L64" s="1437"/>
      <c r="M64" s="1435">
        <f t="shared" si="41"/>
        <v>0</v>
      </c>
      <c r="N64" s="1435">
        <f t="shared" si="42"/>
        <v>0</v>
      </c>
      <c r="O64" s="1435">
        <f t="shared" si="29"/>
        <v>0</v>
      </c>
      <c r="Q64" s="1437">
        <f>+M64</f>
        <v>0</v>
      </c>
      <c r="R64" s="1437">
        <f>+N64</f>
        <v>0</v>
      </c>
      <c r="S64" s="1435">
        <f t="shared" si="30"/>
        <v>0</v>
      </c>
      <c r="U64" s="1437"/>
      <c r="V64" s="1437"/>
      <c r="W64" s="1435">
        <f t="shared" si="31"/>
        <v>0</v>
      </c>
      <c r="Y64" s="1442">
        <f t="shared" si="37"/>
        <v>2.85783892713987E-6</v>
      </c>
      <c r="Z64" s="1442">
        <f t="shared" si="32"/>
        <v>6.4216107286013009E-7</v>
      </c>
      <c r="AA64" s="1435">
        <f t="shared" si="38"/>
        <v>3.4999999999999999E-6</v>
      </c>
      <c r="AC64" s="1442">
        <f t="shared" si="39"/>
        <v>0</v>
      </c>
      <c r="AD64" s="1442">
        <f t="shared" si="33"/>
        <v>0</v>
      </c>
      <c r="AE64" s="1435">
        <f t="shared" si="40"/>
        <v>0</v>
      </c>
    </row>
    <row r="65" spans="1:31" x14ac:dyDescent="0.4">
      <c r="B65" s="1438"/>
      <c r="C65" s="1438"/>
      <c r="D65" s="1438"/>
      <c r="E65" s="1438"/>
      <c r="F65" s="1438"/>
      <c r="H65" s="1438"/>
      <c r="I65" s="1438"/>
      <c r="J65" s="1438"/>
      <c r="K65" s="1437">
        <f t="shared" si="26"/>
        <v>0</v>
      </c>
      <c r="L65" s="1437"/>
      <c r="M65" s="1438"/>
      <c r="N65" s="1438"/>
      <c r="O65" s="1438"/>
      <c r="Q65" s="1438"/>
      <c r="R65" s="1438"/>
      <c r="S65" s="1438"/>
      <c r="U65" s="1438"/>
      <c r="V65" s="1438"/>
      <c r="W65" s="1438"/>
      <c r="Y65" s="1442">
        <f t="shared" si="37"/>
        <v>0</v>
      </c>
      <c r="Z65" s="1442">
        <f t="shared" si="32"/>
        <v>0</v>
      </c>
      <c r="AA65" s="1435">
        <f t="shared" si="38"/>
        <v>0</v>
      </c>
      <c r="AC65" s="1442">
        <f t="shared" si="39"/>
        <v>0</v>
      </c>
      <c r="AD65" s="1442">
        <f t="shared" si="33"/>
        <v>0</v>
      </c>
      <c r="AE65" s="1435">
        <f t="shared" si="40"/>
        <v>0</v>
      </c>
    </row>
    <row r="66" spans="1:31" x14ac:dyDescent="0.4">
      <c r="B66" s="1441" t="s">
        <v>827</v>
      </c>
      <c r="C66" s="1438"/>
      <c r="D66" s="1439">
        <f>SUM(D49:D64)</f>
        <v>4.9770412129999997</v>
      </c>
      <c r="E66" s="1439">
        <f>SUM(E49:E64)</f>
        <v>4.9667203009999996</v>
      </c>
      <c r="F66" s="1439">
        <f>SUM(F49:F64)</f>
        <v>1.0320912E-2</v>
      </c>
      <c r="H66" s="1439">
        <f>SUM(H49:H64)</f>
        <v>2.0641824E-2</v>
      </c>
      <c r="I66" s="1439">
        <f>SUM(I49:I64)</f>
        <v>0.12961046435836845</v>
      </c>
      <c r="J66" s="1439">
        <f>SUM(J49:J64)</f>
        <v>4.8267891729071408</v>
      </c>
      <c r="K66" s="1439">
        <f t="shared" si="26"/>
        <v>4.9770414612655092</v>
      </c>
      <c r="L66" s="1439"/>
      <c r="M66" s="1439">
        <f>SUM(M49:M64)</f>
        <v>0.1464650381167599</v>
      </c>
      <c r="N66" s="1439">
        <f>SUM(N49:N64)</f>
        <v>4.8305764231487496</v>
      </c>
      <c r="O66" s="1439">
        <f>SUM(O49:O64)</f>
        <v>4.9770414612655092</v>
      </c>
      <c r="Q66" s="1439">
        <f>SUM(Q49:Q64)</f>
        <v>0.13803775123756418</v>
      </c>
      <c r="R66" s="1439">
        <f>SUM(R49:R64)</f>
        <v>4.8286827980279448</v>
      </c>
      <c r="S66" s="1439">
        <f>SUM(S49:S64)</f>
        <v>4.9667205492655091</v>
      </c>
      <c r="U66" s="1439">
        <f>SUM(U49:U64)</f>
        <v>8.4272868791957171E-3</v>
      </c>
      <c r="V66" s="1439">
        <f>SUM(V49:V64)</f>
        <v>1.8936251208042832E-3</v>
      </c>
      <c r="W66" s="1439">
        <f>SUM(W49:W64)</f>
        <v>1.0320912E-2</v>
      </c>
      <c r="Y66" s="1443">
        <f>SUM(Y49:Y65)</f>
        <v>41.856557622168459</v>
      </c>
      <c r="Z66" s="1443">
        <f>SUM(Z49:Z65)</f>
        <v>30.218573057627939</v>
      </c>
      <c r="AA66" s="1443">
        <f>SUM(AA49:AA65)</f>
        <v>72.075130679796388</v>
      </c>
      <c r="AC66" s="1443">
        <f>SUM(AC49:AC65)</f>
        <v>0.35311041029104651</v>
      </c>
      <c r="AD66" s="1443">
        <f>SUM(AD49:AD65)</f>
        <v>1.6917533313247204</v>
      </c>
      <c r="AE66" s="1443">
        <f>SUM(AE49:AE65)</f>
        <v>2.0448637416157669</v>
      </c>
    </row>
    <row r="67" spans="1:31" x14ac:dyDescent="0.4">
      <c r="K67" s="1429">
        <f>+K66-D66</f>
        <v>2.4826550948375825E-7</v>
      </c>
      <c r="O67" s="1428">
        <f>+O66-D66</f>
        <v>2.4826550948375825E-7</v>
      </c>
      <c r="Q67" s="1430">
        <f>+Q66+U66-M66</f>
        <v>0</v>
      </c>
      <c r="R67" s="1430">
        <f>+R66+V66-N66</f>
        <v>0</v>
      </c>
      <c r="S67" s="1430">
        <f>+S66+W66-O66</f>
        <v>0</v>
      </c>
      <c r="AA67" s="1428">
        <f>+Capitalisation!J22+Capitalisation!M22+Capitalisation!P22-AA66</f>
        <v>2.0162403302492748E-8</v>
      </c>
      <c r="AB67" s="1428"/>
      <c r="AC67" s="1428"/>
      <c r="AD67" s="1428"/>
      <c r="AE67" s="1428">
        <f>+Capitalisation!K22+Capitalisation!N22+Capitalisation!Q22-AE66</f>
        <v>1.6807665925711035E-8</v>
      </c>
    </row>
    <row r="68" spans="1:31" x14ac:dyDescent="0.4">
      <c r="Y68" s="2005" t="s">
        <v>1660</v>
      </c>
      <c r="Z68" s="2005"/>
      <c r="AA68" s="2005"/>
      <c r="AB68" s="2005"/>
      <c r="AC68" s="2005"/>
      <c r="AD68" s="2005"/>
      <c r="AE68" s="2005"/>
    </row>
    <row r="69" spans="1:31" x14ac:dyDescent="0.4">
      <c r="B69" s="1444" t="s">
        <v>111</v>
      </c>
      <c r="C69" s="1444" t="s">
        <v>920</v>
      </c>
      <c r="D69" s="2006" t="s">
        <v>199</v>
      </c>
      <c r="E69" s="2006"/>
      <c r="F69" s="2006"/>
      <c r="H69" s="2007" t="s">
        <v>1654</v>
      </c>
      <c r="I69" s="2007"/>
      <c r="J69" s="2007"/>
      <c r="K69" s="2007"/>
      <c r="L69" s="1434"/>
      <c r="M69" s="2006" t="s">
        <v>1653</v>
      </c>
      <c r="N69" s="2006"/>
      <c r="O69" s="2006"/>
      <c r="Q69" s="2006" t="s">
        <v>1655</v>
      </c>
      <c r="R69" s="2006"/>
      <c r="S69" s="2006"/>
      <c r="U69" s="2006" t="s">
        <v>1656</v>
      </c>
      <c r="V69" s="2006"/>
      <c r="W69" s="2006"/>
      <c r="Y69" s="2006" t="s">
        <v>1655</v>
      </c>
      <c r="Z69" s="2006"/>
      <c r="AA69" s="2006"/>
      <c r="AC69" s="2006" t="s">
        <v>1656</v>
      </c>
      <c r="AD69" s="2006"/>
      <c r="AE69" s="2006"/>
    </row>
    <row r="70" spans="1:31" x14ac:dyDescent="0.4">
      <c r="B70" s="1446"/>
      <c r="C70" s="1446"/>
      <c r="D70" s="1446" t="s">
        <v>164</v>
      </c>
      <c r="E70" s="1446" t="s">
        <v>963</v>
      </c>
      <c r="F70" s="1446" t="s">
        <v>923</v>
      </c>
      <c r="H70" s="1446" t="s">
        <v>1651</v>
      </c>
      <c r="I70" s="1446" t="s">
        <v>1147</v>
      </c>
      <c r="J70" s="1446" t="s">
        <v>1148</v>
      </c>
      <c r="K70" s="1446" t="s">
        <v>827</v>
      </c>
      <c r="L70" s="1446"/>
      <c r="M70" s="1446" t="s">
        <v>1147</v>
      </c>
      <c r="N70" s="1446" t="s">
        <v>1148</v>
      </c>
      <c r="O70" s="1446" t="s">
        <v>164</v>
      </c>
      <c r="Q70" s="1446" t="s">
        <v>1147</v>
      </c>
      <c r="R70" s="1446" t="s">
        <v>1148</v>
      </c>
      <c r="S70" s="1446" t="s">
        <v>164</v>
      </c>
      <c r="U70" s="1446" t="s">
        <v>1147</v>
      </c>
      <c r="V70" s="1446" t="s">
        <v>1148</v>
      </c>
      <c r="W70" s="1446" t="s">
        <v>164</v>
      </c>
      <c r="Y70" s="1446" t="s">
        <v>1147</v>
      </c>
      <c r="Z70" s="1446" t="s">
        <v>1148</v>
      </c>
      <c r="AA70" s="1446" t="s">
        <v>164</v>
      </c>
      <c r="AC70" s="1446" t="s">
        <v>1147</v>
      </c>
      <c r="AD70" s="1446" t="s">
        <v>1148</v>
      </c>
      <c r="AE70" s="1446" t="s">
        <v>164</v>
      </c>
    </row>
    <row r="71" spans="1:31" x14ac:dyDescent="0.4">
      <c r="B71" s="1447" t="s">
        <v>1408</v>
      </c>
      <c r="C71" s="1448" t="s">
        <v>1409</v>
      </c>
      <c r="D71" s="1435">
        <f>+E71+F71</f>
        <v>0</v>
      </c>
      <c r="E71" s="1435">
        <f>+Capitalisation!S5</f>
        <v>0</v>
      </c>
      <c r="F71" s="1435">
        <f>+Capitalisation!T5</f>
        <v>0</v>
      </c>
      <c r="H71" s="1438"/>
      <c r="I71" s="1438"/>
      <c r="J71" s="1438"/>
      <c r="K71" s="1437">
        <f t="shared" ref="K71:K88" si="43">+H71+J71+I71</f>
        <v>0</v>
      </c>
      <c r="L71" s="1437"/>
      <c r="M71" s="1435">
        <f t="shared" ref="M71:M79" si="44">+I71+$H71*$E$2</f>
        <v>0</v>
      </c>
      <c r="N71" s="1435">
        <f t="shared" ref="N71:N79" si="45">+J71+$H71*$F$2</f>
        <v>0</v>
      </c>
      <c r="O71" s="1435">
        <f t="shared" ref="O71:O86" si="46">+M71+N71</f>
        <v>0</v>
      </c>
      <c r="Q71" s="1437">
        <f>+M71</f>
        <v>0</v>
      </c>
      <c r="R71" s="1437">
        <f>+N71</f>
        <v>0</v>
      </c>
      <c r="S71" s="1435">
        <f t="shared" ref="S71:S86" si="47">+Q71+R71</f>
        <v>0</v>
      </c>
      <c r="U71" s="1437"/>
      <c r="V71" s="1437"/>
      <c r="W71" s="1435">
        <f t="shared" ref="W71:W86" si="48">+U71+V71</f>
        <v>0</v>
      </c>
      <c r="Y71" s="1442">
        <f>+Y49+Q71</f>
        <v>9.4410068403429079</v>
      </c>
      <c r="Z71" s="1442">
        <f t="shared" ref="Z71:Z87" si="49">+Z49+R71</f>
        <v>2.1214096511527107</v>
      </c>
      <c r="AA71" s="1435">
        <f>+Y71+Z71</f>
        <v>11.562416491495618</v>
      </c>
      <c r="AC71" s="1442">
        <f>+AC49+U71</f>
        <v>0</v>
      </c>
      <c r="AD71" s="1442">
        <f t="shared" ref="AD71:AD87" si="50">+AD49+V71</f>
        <v>0</v>
      </c>
      <c r="AE71" s="1435">
        <f>+AC71+AD71</f>
        <v>0</v>
      </c>
    </row>
    <row r="72" spans="1:31" x14ac:dyDescent="0.4">
      <c r="A72" s="1429"/>
      <c r="B72" s="1447" t="s">
        <v>924</v>
      </c>
      <c r="C72" s="1448" t="s">
        <v>440</v>
      </c>
      <c r="D72" s="1435">
        <f t="shared" ref="D72:D86" si="51">+E72+F72</f>
        <v>0</v>
      </c>
      <c r="E72" s="1435">
        <f>+Capitalisation!S6</f>
        <v>0</v>
      </c>
      <c r="F72" s="1435">
        <f>+Capitalisation!T6</f>
        <v>0</v>
      </c>
      <c r="H72" s="1436"/>
      <c r="I72" s="1436"/>
      <c r="J72" s="1436"/>
      <c r="K72" s="1437">
        <f t="shared" si="43"/>
        <v>0</v>
      </c>
      <c r="L72" s="1437"/>
      <c r="M72" s="1435">
        <f t="shared" si="44"/>
        <v>0</v>
      </c>
      <c r="N72" s="1435">
        <f t="shared" si="45"/>
        <v>0</v>
      </c>
      <c r="O72" s="1435">
        <f t="shared" si="46"/>
        <v>0</v>
      </c>
      <c r="Q72" s="1437">
        <f t="shared" ref="Q72:Q77" si="52">+M72</f>
        <v>0</v>
      </c>
      <c r="R72" s="1437">
        <f t="shared" ref="R72:R77" si="53">+N72</f>
        <v>0</v>
      </c>
      <c r="S72" s="1435">
        <f t="shared" si="47"/>
        <v>0</v>
      </c>
      <c r="U72" s="1437"/>
      <c r="V72" s="1437"/>
      <c r="W72" s="1435">
        <f t="shared" si="48"/>
        <v>0</v>
      </c>
      <c r="Y72" s="1442">
        <f t="shared" ref="Y72:Y87" si="54">+Y50+Q72</f>
        <v>5.4486998643654241</v>
      </c>
      <c r="Z72" s="1442">
        <f t="shared" si="49"/>
        <v>2.9252425047973549</v>
      </c>
      <c r="AA72" s="1435">
        <f t="shared" ref="AA72:AA87" si="55">+Y72+Z72</f>
        <v>8.3739423691627799</v>
      </c>
      <c r="AC72" s="1442">
        <f t="shared" ref="AC72:AC87" si="56">+AC50+U72</f>
        <v>0</v>
      </c>
      <c r="AD72" s="1442">
        <f t="shared" si="50"/>
        <v>0</v>
      </c>
      <c r="AE72" s="1435">
        <f t="shared" ref="AE72:AE87" si="57">+AC72+AD72</f>
        <v>0</v>
      </c>
    </row>
    <row r="73" spans="1:31" x14ac:dyDescent="0.4">
      <c r="A73" s="1429"/>
      <c r="B73" s="1447" t="s">
        <v>1411</v>
      </c>
      <c r="C73" s="1448" t="s">
        <v>440</v>
      </c>
      <c r="D73" s="1435">
        <f t="shared" si="51"/>
        <v>1.2608770000000001E-3</v>
      </c>
      <c r="E73" s="1435">
        <f>+Capitalisation!S7</f>
        <v>1.2608770000000001E-3</v>
      </c>
      <c r="F73" s="1435">
        <f>+Capitalisation!T7</f>
        <v>0</v>
      </c>
      <c r="H73" s="1436"/>
      <c r="I73" s="1436"/>
      <c r="J73" s="1436">
        <f>12608.7746758865/(10^7)</f>
        <v>1.2608774675886528E-3</v>
      </c>
      <c r="K73" s="1437">
        <f t="shared" si="43"/>
        <v>1.2608774675886528E-3</v>
      </c>
      <c r="L73" s="1437"/>
      <c r="M73" s="1435">
        <f t="shared" si="44"/>
        <v>0</v>
      </c>
      <c r="N73" s="1435">
        <f t="shared" si="45"/>
        <v>1.2608774675886528E-3</v>
      </c>
      <c r="O73" s="1435">
        <f t="shared" si="46"/>
        <v>1.2608774675886528E-3</v>
      </c>
      <c r="Q73" s="1437">
        <f t="shared" si="52"/>
        <v>0</v>
      </c>
      <c r="R73" s="1437">
        <f t="shared" si="53"/>
        <v>1.2608774675886528E-3</v>
      </c>
      <c r="S73" s="1435">
        <f t="shared" si="47"/>
        <v>1.2608774675886528E-3</v>
      </c>
      <c r="U73" s="1437"/>
      <c r="V73" s="1437"/>
      <c r="W73" s="1435">
        <f t="shared" si="48"/>
        <v>0</v>
      </c>
      <c r="Y73" s="1442">
        <f t="shared" si="54"/>
        <v>0.69598225003610104</v>
      </c>
      <c r="Z73" s="1442">
        <f t="shared" si="49"/>
        <v>0.20977299040614894</v>
      </c>
      <c r="AA73" s="1435">
        <f t="shared" si="55"/>
        <v>0.90575524044224998</v>
      </c>
      <c r="AC73" s="1442">
        <f t="shared" si="56"/>
        <v>0</v>
      </c>
      <c r="AD73" s="1442">
        <f t="shared" si="50"/>
        <v>0</v>
      </c>
      <c r="AE73" s="1435">
        <f t="shared" si="57"/>
        <v>0</v>
      </c>
    </row>
    <row r="74" spans="1:31" x14ac:dyDescent="0.4">
      <c r="B74" s="1447" t="s">
        <v>925</v>
      </c>
      <c r="C74" s="1448" t="s">
        <v>440</v>
      </c>
      <c r="D74" s="1435">
        <f t="shared" si="51"/>
        <v>0</v>
      </c>
      <c r="E74" s="1435">
        <f>+Capitalisation!S8</f>
        <v>0</v>
      </c>
      <c r="F74" s="1435">
        <f>+Capitalisation!T8</f>
        <v>0</v>
      </c>
      <c r="H74" s="1436"/>
      <c r="I74" s="1436"/>
      <c r="J74" s="1436"/>
      <c r="K74" s="1437">
        <f t="shared" si="43"/>
        <v>0</v>
      </c>
      <c r="L74" s="1437"/>
      <c r="M74" s="1435">
        <f t="shared" si="44"/>
        <v>0</v>
      </c>
      <c r="N74" s="1435">
        <f t="shared" si="45"/>
        <v>0</v>
      </c>
      <c r="O74" s="1435">
        <f t="shared" si="46"/>
        <v>0</v>
      </c>
      <c r="Q74" s="1437">
        <f t="shared" si="52"/>
        <v>0</v>
      </c>
      <c r="R74" s="1437">
        <f t="shared" si="53"/>
        <v>0</v>
      </c>
      <c r="S74" s="1435">
        <f t="shared" si="47"/>
        <v>0</v>
      </c>
      <c r="U74" s="1437"/>
      <c r="V74" s="1437"/>
      <c r="W74" s="1435">
        <f t="shared" si="48"/>
        <v>0</v>
      </c>
      <c r="Y74" s="1442">
        <f t="shared" si="54"/>
        <v>8.9626038871801368E-4</v>
      </c>
      <c r="Z74" s="1442">
        <f t="shared" si="49"/>
        <v>2.0139117264988824E-4</v>
      </c>
      <c r="AA74" s="1435">
        <f t="shared" si="55"/>
        <v>1.0976515613679019E-3</v>
      </c>
      <c r="AC74" s="1442">
        <f t="shared" si="56"/>
        <v>0</v>
      </c>
      <c r="AD74" s="1442">
        <f t="shared" si="50"/>
        <v>0</v>
      </c>
      <c r="AE74" s="1435">
        <f t="shared" si="57"/>
        <v>0</v>
      </c>
    </row>
    <row r="75" spans="1:31" x14ac:dyDescent="0.4">
      <c r="B75" s="1447" t="s">
        <v>1412</v>
      </c>
      <c r="C75" s="1448" t="s">
        <v>440</v>
      </c>
      <c r="D75" s="1435">
        <f t="shared" si="51"/>
        <v>1.4523322E-2</v>
      </c>
      <c r="E75" s="1435">
        <f>+Capitalisation!S9</f>
        <v>1.4523322E-2</v>
      </c>
      <c r="F75" s="1435">
        <f>+Capitalisation!T9</f>
        <v>0</v>
      </c>
      <c r="H75" s="1436">
        <f>145233.221899774/(10^7)</f>
        <v>1.4523322189977428E-2</v>
      </c>
      <c r="I75" s="1436"/>
      <c r="J75" s="1436"/>
      <c r="K75" s="1437">
        <f t="shared" si="43"/>
        <v>1.4523322189977428E-2</v>
      </c>
      <c r="L75" s="1437"/>
      <c r="M75" s="1435">
        <f t="shared" si="44"/>
        <v>1.1858661573117645E-2</v>
      </c>
      <c r="N75" s="1435">
        <f t="shared" si="45"/>
        <v>2.664660616859783E-3</v>
      </c>
      <c r="O75" s="1435">
        <f t="shared" si="46"/>
        <v>1.4523322189977428E-2</v>
      </c>
      <c r="Q75" s="1437">
        <f t="shared" si="52"/>
        <v>1.1858661573117645E-2</v>
      </c>
      <c r="R75" s="1437">
        <f t="shared" si="53"/>
        <v>2.664660616859783E-3</v>
      </c>
      <c r="S75" s="1435">
        <f t="shared" si="47"/>
        <v>1.4523322189977428E-2</v>
      </c>
      <c r="U75" s="1437"/>
      <c r="V75" s="1437"/>
      <c r="W75" s="1435">
        <f t="shared" si="48"/>
        <v>0</v>
      </c>
      <c r="Y75" s="1442">
        <f t="shared" si="54"/>
        <v>5.3012747903415827</v>
      </c>
      <c r="Z75" s="1442">
        <f t="shared" si="49"/>
        <v>1.1912051006664377</v>
      </c>
      <c r="AA75" s="1435">
        <f t="shared" si="55"/>
        <v>6.4924798910080206</v>
      </c>
      <c r="AC75" s="1442">
        <f t="shared" si="56"/>
        <v>0</v>
      </c>
      <c r="AD75" s="1442">
        <f t="shared" si="50"/>
        <v>0</v>
      </c>
      <c r="AE75" s="1435">
        <f t="shared" si="57"/>
        <v>0</v>
      </c>
    </row>
    <row r="76" spans="1:31" x14ac:dyDescent="0.4">
      <c r="A76" s="1429"/>
      <c r="B76" s="1447" t="s">
        <v>1413</v>
      </c>
      <c r="C76" s="1448" t="s">
        <v>440</v>
      </c>
      <c r="D76" s="1435">
        <f t="shared" si="51"/>
        <v>0</v>
      </c>
      <c r="E76" s="1435">
        <f>+Capitalisation!S10</f>
        <v>0</v>
      </c>
      <c r="F76" s="1435">
        <f>+Capitalisation!T10</f>
        <v>0</v>
      </c>
      <c r="H76" s="1436"/>
      <c r="I76" s="1764"/>
      <c r="J76" s="1764"/>
      <c r="K76" s="1437">
        <f t="shared" si="43"/>
        <v>0</v>
      </c>
      <c r="L76" s="1437"/>
      <c r="M76" s="1435">
        <f t="shared" si="44"/>
        <v>0</v>
      </c>
      <c r="N76" s="1435">
        <f t="shared" si="45"/>
        <v>0</v>
      </c>
      <c r="O76" s="1435">
        <f t="shared" si="46"/>
        <v>0</v>
      </c>
      <c r="Q76" s="1437">
        <f t="shared" si="52"/>
        <v>0</v>
      </c>
      <c r="R76" s="1437">
        <f t="shared" si="53"/>
        <v>0</v>
      </c>
      <c r="S76" s="1435">
        <f t="shared" si="47"/>
        <v>0</v>
      </c>
      <c r="U76" s="1437"/>
      <c r="V76" s="1437"/>
      <c r="W76" s="1435">
        <f t="shared" si="48"/>
        <v>0</v>
      </c>
      <c r="Y76" s="1442">
        <f t="shared" si="54"/>
        <v>0.25141696275547165</v>
      </c>
      <c r="Z76" s="1442">
        <f t="shared" si="49"/>
        <v>0.15493493872461195</v>
      </c>
      <c r="AA76" s="1435">
        <f t="shared" si="55"/>
        <v>0.4063519014800836</v>
      </c>
      <c r="AC76" s="1442">
        <f t="shared" si="56"/>
        <v>0</v>
      </c>
      <c r="AD76" s="1442">
        <f t="shared" si="50"/>
        <v>0</v>
      </c>
      <c r="AE76" s="1435">
        <f t="shared" si="57"/>
        <v>0</v>
      </c>
    </row>
    <row r="77" spans="1:31" x14ac:dyDescent="0.4">
      <c r="B77" s="1447" t="s">
        <v>1414</v>
      </c>
      <c r="C77" s="1448" t="s">
        <v>440</v>
      </c>
      <c r="D77" s="1435">
        <f t="shared" si="51"/>
        <v>5.0000000000000001E-9</v>
      </c>
      <c r="E77" s="1435">
        <f>+Capitalisation!S11</f>
        <v>5.0000000000000001E-9</v>
      </c>
      <c r="F77" s="1435">
        <f>+Capitalisation!T11</f>
        <v>0</v>
      </c>
      <c r="H77" s="1436"/>
      <c r="I77" s="1764">
        <f>+D77</f>
        <v>5.0000000000000001E-9</v>
      </c>
      <c r="J77" s="1764"/>
      <c r="K77" s="1437">
        <f t="shared" si="43"/>
        <v>5.0000000000000001E-9</v>
      </c>
      <c r="L77" s="1437"/>
      <c r="M77" s="1435">
        <f t="shared" si="44"/>
        <v>5.0000000000000001E-9</v>
      </c>
      <c r="N77" s="1435">
        <f t="shared" si="45"/>
        <v>0</v>
      </c>
      <c r="O77" s="1435">
        <f t="shared" si="46"/>
        <v>5.0000000000000001E-9</v>
      </c>
      <c r="Q77" s="1437">
        <f t="shared" si="52"/>
        <v>5.0000000000000001E-9</v>
      </c>
      <c r="R77" s="1437">
        <f t="shared" si="53"/>
        <v>0</v>
      </c>
      <c r="S77" s="1435">
        <f t="shared" si="47"/>
        <v>5.0000000000000001E-9</v>
      </c>
      <c r="U77" s="1437"/>
      <c r="V77" s="1437"/>
      <c r="W77" s="1435">
        <f t="shared" si="48"/>
        <v>0</v>
      </c>
      <c r="Y77" s="1442">
        <f t="shared" si="54"/>
        <v>1.9764527304038795E-2</v>
      </c>
      <c r="Z77" s="1442">
        <f t="shared" si="49"/>
        <v>4.8791153710798672E-3</v>
      </c>
      <c r="AA77" s="1435">
        <f t="shared" si="55"/>
        <v>2.4643642675118663E-2</v>
      </c>
      <c r="AC77" s="1442">
        <f t="shared" si="56"/>
        <v>0</v>
      </c>
      <c r="AD77" s="1442">
        <f t="shared" si="50"/>
        <v>0</v>
      </c>
      <c r="AE77" s="1435">
        <f t="shared" si="57"/>
        <v>0</v>
      </c>
    </row>
    <row r="78" spans="1:31" x14ac:dyDescent="0.4">
      <c r="B78" s="1447" t="s">
        <v>915</v>
      </c>
      <c r="C78" s="1448" t="s">
        <v>915</v>
      </c>
      <c r="D78" s="1435">
        <f t="shared" si="51"/>
        <v>0.291515523</v>
      </c>
      <c r="E78" s="1435">
        <f>+Capitalisation!S12</f>
        <v>0</v>
      </c>
      <c r="F78" s="1435">
        <f>+Capitalisation!T12</f>
        <v>0.291515523</v>
      </c>
      <c r="H78" s="1436"/>
      <c r="I78" s="1764"/>
      <c r="J78" s="1764">
        <f>4848305.90857464/(10^7)*0+D78</f>
        <v>0.291515523</v>
      </c>
      <c r="K78" s="1437">
        <f t="shared" si="43"/>
        <v>0.291515523</v>
      </c>
      <c r="L78" s="1437"/>
      <c r="M78" s="1435">
        <f t="shared" si="44"/>
        <v>0</v>
      </c>
      <c r="N78" s="1435">
        <f t="shared" si="45"/>
        <v>0.291515523</v>
      </c>
      <c r="O78" s="1435">
        <f t="shared" si="46"/>
        <v>0.291515523</v>
      </c>
      <c r="Q78" s="1438"/>
      <c r="R78" s="1438"/>
      <c r="S78" s="1435">
        <f t="shared" si="47"/>
        <v>0</v>
      </c>
      <c r="U78" s="1437">
        <f>+M78</f>
        <v>0</v>
      </c>
      <c r="V78" s="1437">
        <f>+N78</f>
        <v>0.291515523</v>
      </c>
      <c r="W78" s="1435">
        <f t="shared" si="48"/>
        <v>0.291515523</v>
      </c>
      <c r="Y78" s="1442">
        <f t="shared" si="54"/>
        <v>0</v>
      </c>
      <c r="Z78" s="1442">
        <f t="shared" si="49"/>
        <v>0</v>
      </c>
      <c r="AA78" s="1435">
        <f t="shared" si="55"/>
        <v>0</v>
      </c>
      <c r="AC78" s="1442">
        <f t="shared" si="56"/>
        <v>0.11864304955763288</v>
      </c>
      <c r="AD78" s="1442">
        <f t="shared" si="50"/>
        <v>1.9305836555581339</v>
      </c>
      <c r="AE78" s="1435">
        <f t="shared" si="57"/>
        <v>2.0492267051157667</v>
      </c>
    </row>
    <row r="79" spans="1:31" x14ac:dyDescent="0.4">
      <c r="A79" s="1429"/>
      <c r="B79" s="1447" t="s">
        <v>1415</v>
      </c>
      <c r="C79" s="1448" t="s">
        <v>440</v>
      </c>
      <c r="D79" s="1435">
        <f t="shared" si="51"/>
        <v>0.54742126599999996</v>
      </c>
      <c r="E79" s="1435">
        <f>+Capitalisation!S13</f>
        <v>0.54742126599999996</v>
      </c>
      <c r="F79" s="1435">
        <f>+Capitalisation!T13</f>
        <v>0</v>
      </c>
      <c r="H79" s="1436">
        <f>140319.162490037/(10^7)</f>
        <v>1.4031916249003677E-2</v>
      </c>
      <c r="I79" s="1764">
        <f>3234293.38557842/(10^7)</f>
        <v>0.32342933855784217</v>
      </c>
      <c r="J79" s="1764">
        <f>2099600.10244356/(10^7)</f>
        <v>0.20996001024435601</v>
      </c>
      <c r="K79" s="1437">
        <f t="shared" si="43"/>
        <v>0.54742126505120181</v>
      </c>
      <c r="L79" s="1437"/>
      <c r="M79" s="1435">
        <f t="shared" si="44"/>
        <v>0.33488675469463336</v>
      </c>
      <c r="N79" s="1435">
        <f t="shared" si="45"/>
        <v>0.21253451035656851</v>
      </c>
      <c r="O79" s="1435">
        <f t="shared" si="46"/>
        <v>0.54742126505120181</v>
      </c>
      <c r="Q79" s="1437">
        <f>+M79</f>
        <v>0.33488675469463336</v>
      </c>
      <c r="R79" s="1437">
        <f>+N79</f>
        <v>0.21253451035656851</v>
      </c>
      <c r="S79" s="1435">
        <f t="shared" si="47"/>
        <v>0.54742126505120181</v>
      </c>
      <c r="U79" s="1437"/>
      <c r="V79" s="1437"/>
      <c r="W79" s="1435">
        <f t="shared" si="48"/>
        <v>0</v>
      </c>
      <c r="Y79" s="1442">
        <f t="shared" si="54"/>
        <v>17.023001396940938</v>
      </c>
      <c r="Z79" s="1442">
        <f t="shared" si="49"/>
        <v>22.486431702743765</v>
      </c>
      <c r="AA79" s="1435">
        <f t="shared" si="55"/>
        <v>39.509433099684699</v>
      </c>
      <c r="AC79" s="1442">
        <f t="shared" si="56"/>
        <v>0</v>
      </c>
      <c r="AD79" s="1442">
        <f t="shared" si="50"/>
        <v>0</v>
      </c>
      <c r="AE79" s="1435">
        <f t="shared" si="57"/>
        <v>0</v>
      </c>
    </row>
    <row r="80" spans="1:31" x14ac:dyDescent="0.4">
      <c r="B80" s="1447" t="s">
        <v>445</v>
      </c>
      <c r="C80" s="1448" t="s">
        <v>879</v>
      </c>
      <c r="D80" s="1435">
        <f t="shared" si="51"/>
        <v>0</v>
      </c>
      <c r="E80" s="1435">
        <f>+Capitalisation!S14</f>
        <v>0</v>
      </c>
      <c r="F80" s="1435">
        <f>+Capitalisation!T14</f>
        <v>0</v>
      </c>
      <c r="H80" s="1436"/>
      <c r="I80" s="1764"/>
      <c r="J80" s="1764"/>
      <c r="K80" s="1437">
        <f t="shared" si="43"/>
        <v>0</v>
      </c>
      <c r="L80" s="1437"/>
      <c r="M80" s="1435"/>
      <c r="N80" s="1435"/>
      <c r="O80" s="1435">
        <f t="shared" si="46"/>
        <v>0</v>
      </c>
      <c r="Q80" s="1437"/>
      <c r="R80" s="1437"/>
      <c r="S80" s="1435">
        <f t="shared" si="47"/>
        <v>0</v>
      </c>
      <c r="U80" s="1437"/>
      <c r="V80" s="1437"/>
      <c r="W80" s="1435">
        <f t="shared" si="48"/>
        <v>0</v>
      </c>
      <c r="Y80" s="1442">
        <f t="shared" si="54"/>
        <v>4.8486911763262787E-3</v>
      </c>
      <c r="Z80" s="1442">
        <f t="shared" si="49"/>
        <v>1.0895088236737213E-3</v>
      </c>
      <c r="AA80" s="1435">
        <f t="shared" si="55"/>
        <v>5.9382000000000002E-3</v>
      </c>
      <c r="AC80" s="1442">
        <f t="shared" si="56"/>
        <v>5.3874346403625295E-4</v>
      </c>
      <c r="AD80" s="1442">
        <f t="shared" si="50"/>
        <v>1.2105653596374677E-4</v>
      </c>
      <c r="AE80" s="1435">
        <f t="shared" si="57"/>
        <v>6.5979999999999967E-4</v>
      </c>
    </row>
    <row r="81" spans="1:31" x14ac:dyDescent="0.4">
      <c r="A81" s="1429"/>
      <c r="B81" s="1447" t="s">
        <v>1416</v>
      </c>
      <c r="C81" s="1448" t="s">
        <v>440</v>
      </c>
      <c r="D81" s="1435">
        <f t="shared" si="51"/>
        <v>7.6938269999999989E-2</v>
      </c>
      <c r="E81" s="1435">
        <f>+Capitalisation!S15</f>
        <v>7.6938269999999989E-2</v>
      </c>
      <c r="F81" s="1435">
        <f>+Capitalisation!T15</f>
        <v>0</v>
      </c>
      <c r="H81" s="1436"/>
      <c r="I81" s="1436"/>
      <c r="J81" s="1436">
        <f>769382.698354373/(10^7)</f>
        <v>7.6938269835437348E-2</v>
      </c>
      <c r="K81" s="1437">
        <f t="shared" si="43"/>
        <v>7.6938269835437348E-2</v>
      </c>
      <c r="L81" s="1437"/>
      <c r="M81" s="1435">
        <f t="shared" ref="M81:M86" si="58">+I81+$H81*$E$2</f>
        <v>0</v>
      </c>
      <c r="N81" s="1435">
        <f t="shared" ref="N81:N86" si="59">+J81+$H81*$F$2</f>
        <v>7.6938269835437348E-2</v>
      </c>
      <c r="O81" s="1435">
        <f t="shared" si="46"/>
        <v>7.6938269835437348E-2</v>
      </c>
      <c r="Q81" s="1437">
        <f>+M81</f>
        <v>0</v>
      </c>
      <c r="R81" s="1437">
        <f>+N81</f>
        <v>7.6938269835437348E-2</v>
      </c>
      <c r="S81" s="1435">
        <f t="shared" si="47"/>
        <v>7.6938269835437348E-2</v>
      </c>
      <c r="U81" s="1437"/>
      <c r="V81" s="1437"/>
      <c r="W81" s="1435">
        <f t="shared" si="48"/>
        <v>0</v>
      </c>
      <c r="Y81" s="1442">
        <f t="shared" si="54"/>
        <v>3.957243367274256</v>
      </c>
      <c r="Z81" s="1442">
        <f t="shared" si="49"/>
        <v>1.403509305056398</v>
      </c>
      <c r="AA81" s="1435">
        <f t="shared" si="55"/>
        <v>5.360752672330654</v>
      </c>
      <c r="AC81" s="1442">
        <f t="shared" si="56"/>
        <v>0</v>
      </c>
      <c r="AD81" s="1442">
        <f t="shared" si="50"/>
        <v>0</v>
      </c>
      <c r="AE81" s="1435">
        <f t="shared" si="57"/>
        <v>0</v>
      </c>
    </row>
    <row r="82" spans="1:31" x14ac:dyDescent="0.4">
      <c r="B82" s="1447" t="s">
        <v>1417</v>
      </c>
      <c r="C82" s="1448" t="s">
        <v>1269</v>
      </c>
      <c r="D82" s="1435">
        <f t="shared" si="51"/>
        <v>4.4700120000000006E-3</v>
      </c>
      <c r="E82" s="1435">
        <f>+Capitalisation!S16</f>
        <v>2.2350060000000003E-3</v>
      </c>
      <c r="F82" s="1435">
        <f>+Capitalisation!T16</f>
        <v>2.2350060000000003E-3</v>
      </c>
      <c r="H82" s="1436">
        <f>+D82</f>
        <v>4.4700120000000006E-3</v>
      </c>
      <c r="I82" s="1436"/>
      <c r="J82" s="1436"/>
      <c r="K82" s="1437">
        <f t="shared" si="43"/>
        <v>4.4700120000000006E-3</v>
      </c>
      <c r="L82" s="1437"/>
      <c r="M82" s="1435">
        <f t="shared" si="58"/>
        <v>3.6498783709663844E-3</v>
      </c>
      <c r="N82" s="1435">
        <f t="shared" si="59"/>
        <v>8.2013362903361612E-4</v>
      </c>
      <c r="O82" s="1435">
        <f t="shared" si="46"/>
        <v>4.4700120000000006E-3</v>
      </c>
      <c r="Q82" s="1437">
        <f>+$F82*$E$2</f>
        <v>1.8249391854831922E-3</v>
      </c>
      <c r="R82" s="1437">
        <f>+$F82*$F$2</f>
        <v>4.1006681451680806E-4</v>
      </c>
      <c r="S82" s="1435">
        <f t="shared" si="47"/>
        <v>2.2350060000000003E-3</v>
      </c>
      <c r="U82" s="1437">
        <f>+$F82*$E$2</f>
        <v>1.8249391854831922E-3</v>
      </c>
      <c r="V82" s="1437">
        <f>+$F82*$F$2</f>
        <v>4.1006681451680806E-4</v>
      </c>
      <c r="W82" s="1435">
        <f t="shared" si="48"/>
        <v>2.2350060000000003E-3</v>
      </c>
      <c r="Y82" s="1442">
        <f t="shared" si="54"/>
        <v>2.1333412810809461E-2</v>
      </c>
      <c r="Z82" s="1442">
        <f t="shared" si="49"/>
        <v>4.7936526891905395E-3</v>
      </c>
      <c r="AA82" s="1435">
        <f t="shared" si="55"/>
        <v>2.6127065500000001E-2</v>
      </c>
      <c r="AC82" s="1442">
        <f t="shared" si="56"/>
        <v>2.1333412810809461E-2</v>
      </c>
      <c r="AD82" s="1442">
        <f t="shared" si="50"/>
        <v>4.7936526891905395E-3</v>
      </c>
      <c r="AE82" s="1435">
        <f t="shared" si="57"/>
        <v>2.6127065500000001E-2</v>
      </c>
    </row>
    <row r="83" spans="1:31" x14ac:dyDescent="0.4">
      <c r="B83" s="1447" t="s">
        <v>1418</v>
      </c>
      <c r="C83" s="1448" t="s">
        <v>447</v>
      </c>
      <c r="D83" s="1435">
        <f t="shared" si="51"/>
        <v>0</v>
      </c>
      <c r="E83" s="1435">
        <f>+Capitalisation!S17</f>
        <v>0</v>
      </c>
      <c r="F83" s="1435">
        <f>+Capitalisation!T17</f>
        <v>0</v>
      </c>
      <c r="H83" s="1436"/>
      <c r="I83" s="1436"/>
      <c r="J83" s="1436"/>
      <c r="K83" s="1437">
        <f t="shared" si="43"/>
        <v>0</v>
      </c>
      <c r="L83" s="1437"/>
      <c r="M83" s="1435">
        <f t="shared" si="58"/>
        <v>0</v>
      </c>
      <c r="N83" s="1435">
        <f t="shared" si="59"/>
        <v>0</v>
      </c>
      <c r="O83" s="1435">
        <f t="shared" si="46"/>
        <v>0</v>
      </c>
      <c r="Q83" s="1437">
        <f>+$F83*$E$2</f>
        <v>0</v>
      </c>
      <c r="R83" s="1437">
        <f>+$F83*$F$2</f>
        <v>0</v>
      </c>
      <c r="S83" s="1435">
        <f t="shared" si="47"/>
        <v>0</v>
      </c>
      <c r="U83" s="1437">
        <f>+$F83*$E$2</f>
        <v>0</v>
      </c>
      <c r="V83" s="1437">
        <f>+$F83*$F$2</f>
        <v>0</v>
      </c>
      <c r="W83" s="1435">
        <f t="shared" si="48"/>
        <v>0</v>
      </c>
      <c r="Y83" s="1442">
        <f t="shared" si="54"/>
        <v>2.1849485038636714E-2</v>
      </c>
      <c r="Z83" s="1442">
        <f t="shared" si="49"/>
        <v>4.9096149613632881E-3</v>
      </c>
      <c r="AA83" s="1435">
        <f t="shared" si="55"/>
        <v>2.6759100000000001E-2</v>
      </c>
      <c r="AC83" s="1442">
        <f t="shared" si="56"/>
        <v>2.1849485038636714E-2</v>
      </c>
      <c r="AD83" s="1442">
        <f t="shared" si="50"/>
        <v>4.9096149613632881E-3</v>
      </c>
      <c r="AE83" s="1435">
        <f t="shared" si="57"/>
        <v>2.6759100000000001E-2</v>
      </c>
    </row>
    <row r="84" spans="1:31" x14ac:dyDescent="0.4">
      <c r="B84" s="1447" t="s">
        <v>1419</v>
      </c>
      <c r="C84" s="1448" t="s">
        <v>447</v>
      </c>
      <c r="D84" s="1435">
        <f t="shared" si="51"/>
        <v>2.5027799999999999E-2</v>
      </c>
      <c r="E84" s="1435">
        <f>+Capitalisation!S18</f>
        <v>1.25139E-2</v>
      </c>
      <c r="F84" s="1435">
        <f>+Capitalisation!T18</f>
        <v>1.25139E-2</v>
      </c>
      <c r="H84" s="1436">
        <f>+D84</f>
        <v>2.5027799999999999E-2</v>
      </c>
      <c r="I84" s="1438"/>
      <c r="J84" s="1438"/>
      <c r="K84" s="1437">
        <f t="shared" si="43"/>
        <v>2.5027799999999999E-2</v>
      </c>
      <c r="L84" s="1437"/>
      <c r="M84" s="1435">
        <f t="shared" si="58"/>
        <v>2.0435834600191782E-2</v>
      </c>
      <c r="N84" s="1435">
        <f t="shared" si="59"/>
        <v>4.5919653998082186E-3</v>
      </c>
      <c r="O84" s="1435">
        <f t="shared" si="46"/>
        <v>2.5027799999999999E-2</v>
      </c>
      <c r="Q84" s="1437">
        <f>+$F84*$E$2</f>
        <v>1.0217917300095891E-2</v>
      </c>
      <c r="R84" s="1437">
        <f>+$F84*$F$2</f>
        <v>2.2959826999041093E-3</v>
      </c>
      <c r="S84" s="1435">
        <f t="shared" si="47"/>
        <v>1.25139E-2</v>
      </c>
      <c r="U84" s="1437">
        <f>+$F84*$E$2</f>
        <v>1.0217917300095891E-2</v>
      </c>
      <c r="V84" s="1437">
        <f>+$F84*$F$2</f>
        <v>2.2959826999041093E-3</v>
      </c>
      <c r="W84" s="1435">
        <f t="shared" si="48"/>
        <v>1.25139E-2</v>
      </c>
      <c r="Y84" s="1442">
        <f t="shared" si="54"/>
        <v>2.8025193307645198E-2</v>
      </c>
      <c r="Z84" s="1442">
        <f t="shared" si="49"/>
        <v>6.2973066923548045E-3</v>
      </c>
      <c r="AA84" s="1435">
        <f t="shared" si="55"/>
        <v>3.4322500000000006E-2</v>
      </c>
      <c r="AC84" s="1442">
        <f t="shared" si="56"/>
        <v>2.8025193307645198E-2</v>
      </c>
      <c r="AD84" s="1442">
        <f t="shared" si="50"/>
        <v>6.2973066923548045E-3</v>
      </c>
      <c r="AE84" s="1435">
        <f t="shared" si="57"/>
        <v>3.4322500000000006E-2</v>
      </c>
    </row>
    <row r="85" spans="1:31" x14ac:dyDescent="0.4">
      <c r="B85" s="1447" t="s">
        <v>1420</v>
      </c>
      <c r="C85" s="1448" t="s">
        <v>1270</v>
      </c>
      <c r="D85" s="1435">
        <f t="shared" si="51"/>
        <v>0</v>
      </c>
      <c r="E85" s="1435">
        <f>+Capitalisation!S19</f>
        <v>0</v>
      </c>
      <c r="F85" s="1435">
        <f>+Capitalisation!T19</f>
        <v>0</v>
      </c>
      <c r="H85" s="1438"/>
      <c r="I85" s="1438"/>
      <c r="J85" s="1438"/>
      <c r="K85" s="1437">
        <f t="shared" si="43"/>
        <v>0</v>
      </c>
      <c r="L85" s="1437"/>
      <c r="M85" s="1435">
        <f t="shared" si="58"/>
        <v>0</v>
      </c>
      <c r="N85" s="1435">
        <f t="shared" si="59"/>
        <v>0</v>
      </c>
      <c r="O85" s="1435">
        <f t="shared" si="46"/>
        <v>0</v>
      </c>
      <c r="Q85" s="1437"/>
      <c r="R85" s="1437"/>
      <c r="S85" s="1435">
        <f t="shared" si="47"/>
        <v>0</v>
      </c>
      <c r="U85" s="1437">
        <f>+M85</f>
        <v>0</v>
      </c>
      <c r="V85" s="1437">
        <f>+N85</f>
        <v>0</v>
      </c>
      <c r="W85" s="1435">
        <f t="shared" si="48"/>
        <v>0</v>
      </c>
      <c r="Y85" s="1442">
        <f t="shared" si="54"/>
        <v>0</v>
      </c>
      <c r="Z85" s="1442">
        <f t="shared" si="49"/>
        <v>0</v>
      </c>
      <c r="AA85" s="1435">
        <f t="shared" si="55"/>
        <v>0</v>
      </c>
      <c r="AC85" s="1442">
        <f t="shared" si="56"/>
        <v>0.17476338259786509</v>
      </c>
      <c r="AD85" s="1442">
        <f t="shared" si="50"/>
        <v>3.9269617402134922E-2</v>
      </c>
      <c r="AE85" s="1435">
        <f t="shared" si="57"/>
        <v>0.214033</v>
      </c>
    </row>
    <row r="86" spans="1:31" x14ac:dyDescent="0.4">
      <c r="B86" s="1447" t="s">
        <v>935</v>
      </c>
      <c r="C86" s="1448" t="s">
        <v>1410</v>
      </c>
      <c r="D86" s="1435">
        <f t="shared" si="51"/>
        <v>0</v>
      </c>
      <c r="E86" s="1435">
        <f>+Capitalisation!S20</f>
        <v>0</v>
      </c>
      <c r="F86" s="1435">
        <f>+Capitalisation!T20</f>
        <v>0</v>
      </c>
      <c r="H86" s="1438"/>
      <c r="I86" s="1438"/>
      <c r="J86" s="1438"/>
      <c r="K86" s="1437">
        <f t="shared" si="43"/>
        <v>0</v>
      </c>
      <c r="L86" s="1437"/>
      <c r="M86" s="1435">
        <f t="shared" si="58"/>
        <v>0</v>
      </c>
      <c r="N86" s="1435">
        <f t="shared" si="59"/>
        <v>0</v>
      </c>
      <c r="O86" s="1435">
        <f t="shared" si="46"/>
        <v>0</v>
      </c>
      <c r="Q86" s="1437">
        <f>+M86</f>
        <v>0</v>
      </c>
      <c r="R86" s="1437">
        <f>+N86</f>
        <v>0</v>
      </c>
      <c r="S86" s="1435">
        <f t="shared" si="47"/>
        <v>0</v>
      </c>
      <c r="U86" s="1437"/>
      <c r="V86" s="1437"/>
      <c r="W86" s="1435">
        <f t="shared" si="48"/>
        <v>0</v>
      </c>
      <c r="Y86" s="1442">
        <f t="shared" si="54"/>
        <v>2.85783892713987E-6</v>
      </c>
      <c r="Z86" s="1442">
        <f t="shared" si="49"/>
        <v>6.4216107286013009E-7</v>
      </c>
      <c r="AA86" s="1435">
        <f t="shared" si="55"/>
        <v>3.4999999999999999E-6</v>
      </c>
      <c r="AC86" s="1442">
        <f t="shared" si="56"/>
        <v>0</v>
      </c>
      <c r="AD86" s="1442">
        <f t="shared" si="50"/>
        <v>0</v>
      </c>
      <c r="AE86" s="1435">
        <f t="shared" si="57"/>
        <v>0</v>
      </c>
    </row>
    <row r="87" spans="1:31" x14ac:dyDescent="0.4">
      <c r="B87" s="1438"/>
      <c r="C87" s="1438"/>
      <c r="D87" s="1438"/>
      <c r="E87" s="1438"/>
      <c r="F87" s="1438"/>
      <c r="H87" s="1438"/>
      <c r="I87" s="1438"/>
      <c r="J87" s="1438"/>
      <c r="K87" s="1437">
        <f t="shared" si="43"/>
        <v>0</v>
      </c>
      <c r="L87" s="1437"/>
      <c r="M87" s="1438"/>
      <c r="N87" s="1438"/>
      <c r="O87" s="1438"/>
      <c r="Q87" s="1438"/>
      <c r="R87" s="1438"/>
      <c r="S87" s="1438"/>
      <c r="U87" s="1438"/>
      <c r="V87" s="1438"/>
      <c r="W87" s="1438"/>
      <c r="Y87" s="1442">
        <f t="shared" si="54"/>
        <v>0</v>
      </c>
      <c r="Z87" s="1442">
        <f t="shared" si="49"/>
        <v>0</v>
      </c>
      <c r="AA87" s="1435">
        <f t="shared" si="55"/>
        <v>0</v>
      </c>
      <c r="AC87" s="1442">
        <f t="shared" si="56"/>
        <v>0</v>
      </c>
      <c r="AD87" s="1442">
        <f t="shared" si="50"/>
        <v>0</v>
      </c>
      <c r="AE87" s="1435">
        <f t="shared" si="57"/>
        <v>0</v>
      </c>
    </row>
    <row r="88" spans="1:31" x14ac:dyDescent="0.4">
      <c r="B88" s="1441" t="s">
        <v>827</v>
      </c>
      <c r="C88" s="1438"/>
      <c r="D88" s="1439">
        <f>SUM(D71:D86)</f>
        <v>0.96115707499999992</v>
      </c>
      <c r="E88" s="1439">
        <f>SUM(E71:E86)</f>
        <v>0.65489264599999997</v>
      </c>
      <c r="F88" s="1439">
        <f>SUM(F71:F86)</f>
        <v>0.306264429</v>
      </c>
      <c r="H88" s="1439">
        <f>SUM(H71:H86)</f>
        <v>5.805305043898111E-2</v>
      </c>
      <c r="I88" s="1439">
        <f>SUM(I71:I86)</f>
        <v>0.3234293435578422</v>
      </c>
      <c r="J88" s="1439">
        <f>SUM(J71:J86)</f>
        <v>0.57967468054738203</v>
      </c>
      <c r="K88" s="1439">
        <f t="shared" si="43"/>
        <v>0.96115707454420529</v>
      </c>
      <c r="L88" s="1439"/>
      <c r="M88" s="1439">
        <f>SUM(M71:M86)</f>
        <v>0.37083113423890912</v>
      </c>
      <c r="N88" s="1439">
        <f>SUM(N71:N86)</f>
        <v>0.59032594030529628</v>
      </c>
      <c r="O88" s="1439">
        <f>SUM(O71:O86)</f>
        <v>0.96115707454420529</v>
      </c>
      <c r="Q88" s="1439">
        <f>SUM(Q71:Q86)</f>
        <v>0.35878827775333011</v>
      </c>
      <c r="R88" s="1439">
        <f>SUM(R71:R86)</f>
        <v>0.29610436779087523</v>
      </c>
      <c r="S88" s="1439">
        <f>SUM(S71:S86)</f>
        <v>0.65489264554420523</v>
      </c>
      <c r="U88" s="1439">
        <f>SUM(U71:U86)</f>
        <v>1.2042856485579083E-2</v>
      </c>
      <c r="V88" s="1439">
        <f>SUM(V71:V86)</f>
        <v>0.29422157251442094</v>
      </c>
      <c r="W88" s="1439">
        <f>SUM(W71:W86)</f>
        <v>0.306264429</v>
      </c>
      <c r="Y88" s="1443">
        <f>SUM(Y71:Y87)</f>
        <v>42.215345899921793</v>
      </c>
      <c r="Z88" s="1443">
        <f>SUM(Z71:Z87)</f>
        <v>30.514677425418814</v>
      </c>
      <c r="AA88" s="1443">
        <f>SUM(AA71:AA87)</f>
        <v>72.730023325340611</v>
      </c>
      <c r="AC88" s="1443">
        <f>SUM(AC71:AC87)</f>
        <v>0.36515326677662557</v>
      </c>
      <c r="AD88" s="1443">
        <f>SUM(AD71:AD87)</f>
        <v>1.9859749038391412</v>
      </c>
      <c r="AE88" s="1443">
        <f>SUM(AE71:AE87)</f>
        <v>2.351128170615767</v>
      </c>
    </row>
    <row r="89" spans="1:31" x14ac:dyDescent="0.4">
      <c r="K89" s="1429">
        <f>+K88-D88</f>
        <v>-4.5579462426559303E-10</v>
      </c>
      <c r="O89" s="1428">
        <f>+O88-D88</f>
        <v>-4.5579462426559303E-10</v>
      </c>
      <c r="Q89" s="1430">
        <f>+Q88+U88-M88</f>
        <v>0</v>
      </c>
      <c r="R89" s="1430">
        <f>+R88+V88-N88</f>
        <v>0</v>
      </c>
      <c r="S89" s="1430">
        <f>+S88+W88-O88</f>
        <v>0</v>
      </c>
      <c r="AA89" s="1428">
        <f>+Capitalisation!J22+Capitalisation!M22+Capitalisation!P22+Capitalisation!S22-AA88</f>
        <v>2.0618173834918707E-8</v>
      </c>
      <c r="AB89" s="1428"/>
      <c r="AC89" s="1428"/>
      <c r="AD89" s="1428"/>
      <c r="AE89" s="1428">
        <f>+Capitalisation!K22+Capitalisation!N22+Capitalisation!Q22+Capitalisation!T22-AE88</f>
        <v>1.6807665925711035E-8</v>
      </c>
    </row>
    <row r="90" spans="1:31" x14ac:dyDescent="0.4">
      <c r="Y90" s="2005" t="s">
        <v>1661</v>
      </c>
      <c r="Z90" s="2005"/>
      <c r="AA90" s="2005"/>
      <c r="AB90" s="2005"/>
      <c r="AC90" s="2005"/>
      <c r="AD90" s="2005"/>
      <c r="AE90" s="2005"/>
    </row>
    <row r="91" spans="1:31" x14ac:dyDescent="0.4">
      <c r="B91" s="1444" t="s">
        <v>111</v>
      </c>
      <c r="C91" s="1444" t="s">
        <v>920</v>
      </c>
      <c r="D91" s="2006" t="s">
        <v>112</v>
      </c>
      <c r="E91" s="2006"/>
      <c r="F91" s="2006"/>
      <c r="H91" s="2007" t="s">
        <v>1654</v>
      </c>
      <c r="I91" s="2007"/>
      <c r="J91" s="2007"/>
      <c r="K91" s="2007"/>
      <c r="L91" s="1434"/>
      <c r="M91" s="2006" t="s">
        <v>1653</v>
      </c>
      <c r="N91" s="2006"/>
      <c r="O91" s="2006"/>
      <c r="Q91" s="2006" t="s">
        <v>1655</v>
      </c>
      <c r="R91" s="2006"/>
      <c r="S91" s="2006"/>
      <c r="U91" s="2006" t="s">
        <v>1656</v>
      </c>
      <c r="V91" s="2006"/>
      <c r="W91" s="2006"/>
      <c r="Y91" s="2006" t="s">
        <v>1655</v>
      </c>
      <c r="Z91" s="2006"/>
      <c r="AA91" s="2006"/>
      <c r="AC91" s="2006" t="s">
        <v>1656</v>
      </c>
      <c r="AD91" s="2006"/>
      <c r="AE91" s="2006"/>
    </row>
    <row r="92" spans="1:31" x14ac:dyDescent="0.4">
      <c r="B92" s="1446"/>
      <c r="C92" s="1446"/>
      <c r="D92" s="1446" t="s">
        <v>164</v>
      </c>
      <c r="E92" s="1446" t="s">
        <v>963</v>
      </c>
      <c r="F92" s="1446" t="s">
        <v>923</v>
      </c>
      <c r="H92" s="1446" t="s">
        <v>1651</v>
      </c>
      <c r="I92" s="1446" t="s">
        <v>1147</v>
      </c>
      <c r="J92" s="1446" t="s">
        <v>1148</v>
      </c>
      <c r="K92" s="1446" t="s">
        <v>827</v>
      </c>
      <c r="L92" s="1446"/>
      <c r="M92" s="1446" t="s">
        <v>1147</v>
      </c>
      <c r="N92" s="1446" t="s">
        <v>1148</v>
      </c>
      <c r="O92" s="1446" t="s">
        <v>164</v>
      </c>
      <c r="Q92" s="1446" t="s">
        <v>1147</v>
      </c>
      <c r="R92" s="1446" t="s">
        <v>1148</v>
      </c>
      <c r="S92" s="1446" t="s">
        <v>164</v>
      </c>
      <c r="U92" s="1446" t="s">
        <v>1147</v>
      </c>
      <c r="V92" s="1446" t="s">
        <v>1148</v>
      </c>
      <c r="W92" s="1446" t="s">
        <v>164</v>
      </c>
      <c r="Y92" s="1446" t="s">
        <v>1147</v>
      </c>
      <c r="Z92" s="1446" t="s">
        <v>1148</v>
      </c>
      <c r="AA92" s="1446" t="s">
        <v>164</v>
      </c>
      <c r="AC92" s="1446" t="s">
        <v>1147</v>
      </c>
      <c r="AD92" s="1446" t="s">
        <v>1148</v>
      </c>
      <c r="AE92" s="1446" t="s">
        <v>164</v>
      </c>
    </row>
    <row r="93" spans="1:31" x14ac:dyDescent="0.4">
      <c r="B93" s="1447" t="s">
        <v>1408</v>
      </c>
      <c r="C93" s="1448" t="s">
        <v>1409</v>
      </c>
      <c r="D93" s="1435">
        <f>+E93+F93</f>
        <v>0</v>
      </c>
      <c r="E93" s="1435">
        <f>+Capitalisation!V5</f>
        <v>0</v>
      </c>
      <c r="F93" s="1435">
        <f>+Capitalisation!W5</f>
        <v>0</v>
      </c>
      <c r="H93" s="1438"/>
      <c r="I93" s="1438"/>
      <c r="J93" s="1438"/>
      <c r="K93" s="1437">
        <f t="shared" ref="K93:K110" si="60">+H93+J93+I93</f>
        <v>0</v>
      </c>
      <c r="L93" s="1437"/>
      <c r="M93" s="1435">
        <f t="shared" ref="M93:M101" si="61">+I93+$H93*$E$2</f>
        <v>0</v>
      </c>
      <c r="N93" s="1435">
        <f t="shared" ref="N93:N101" si="62">+J93+$H93*$F$2</f>
        <v>0</v>
      </c>
      <c r="O93" s="1435">
        <f t="shared" ref="O93:O108" si="63">+M93+N93</f>
        <v>0</v>
      </c>
      <c r="Q93" s="1437">
        <f>+M93</f>
        <v>0</v>
      </c>
      <c r="R93" s="1437">
        <f>+N93</f>
        <v>0</v>
      </c>
      <c r="S93" s="1435">
        <f t="shared" ref="S93:S108" si="64">+Q93+R93</f>
        <v>0</v>
      </c>
      <c r="U93" s="1437"/>
      <c r="V93" s="1437"/>
      <c r="W93" s="1435">
        <f t="shared" ref="W93:W108" si="65">+U93+V93</f>
        <v>0</v>
      </c>
      <c r="Y93" s="1442">
        <f>+Y71+Q93</f>
        <v>9.4410068403429079</v>
      </c>
      <c r="Z93" s="1442">
        <f t="shared" ref="Z93:Z109" si="66">+Z71+R93</f>
        <v>2.1214096511527107</v>
      </c>
      <c r="AA93" s="1435">
        <f>+Y93+Z93</f>
        <v>11.562416491495618</v>
      </c>
      <c r="AC93" s="1442">
        <f>+AC71+U93</f>
        <v>0</v>
      </c>
      <c r="AD93" s="1442">
        <f t="shared" ref="AD93:AD109" si="67">+AD71+V93</f>
        <v>0</v>
      </c>
      <c r="AE93" s="1435">
        <f>+AC93+AD93</f>
        <v>0</v>
      </c>
    </row>
    <row r="94" spans="1:31" x14ac:dyDescent="0.4">
      <c r="A94" s="1429"/>
      <c r="B94" s="1447" t="s">
        <v>924</v>
      </c>
      <c r="C94" s="1448" t="s">
        <v>440</v>
      </c>
      <c r="D94" s="1435">
        <f t="shared" ref="D94:D108" si="68">+E94+F94</f>
        <v>0</v>
      </c>
      <c r="E94" s="1435">
        <f>+Capitalisation!V6</f>
        <v>0</v>
      </c>
      <c r="F94" s="1435">
        <f>+Capitalisation!W6</f>
        <v>0</v>
      </c>
      <c r="H94" s="1436"/>
      <c r="I94" s="1436"/>
      <c r="J94" s="1436"/>
      <c r="K94" s="1437">
        <f t="shared" si="60"/>
        <v>0</v>
      </c>
      <c r="L94" s="1437"/>
      <c r="M94" s="1435">
        <f t="shared" si="61"/>
        <v>0</v>
      </c>
      <c r="N94" s="1435">
        <f t="shared" si="62"/>
        <v>0</v>
      </c>
      <c r="O94" s="1435">
        <f t="shared" si="63"/>
        <v>0</v>
      </c>
      <c r="Q94" s="1437">
        <f t="shared" ref="Q94:Q99" si="69">+M94</f>
        <v>0</v>
      </c>
      <c r="R94" s="1437">
        <f t="shared" ref="R94:R99" si="70">+N94</f>
        <v>0</v>
      </c>
      <c r="S94" s="1435">
        <f t="shared" si="64"/>
        <v>0</v>
      </c>
      <c r="U94" s="1437"/>
      <c r="V94" s="1437"/>
      <c r="W94" s="1435">
        <f t="shared" si="65"/>
        <v>0</v>
      </c>
      <c r="Y94" s="1442">
        <f t="shared" ref="Y94:Y109" si="71">+Y72+Q94</f>
        <v>5.4486998643654241</v>
      </c>
      <c r="Z94" s="1442">
        <f t="shared" si="66"/>
        <v>2.9252425047973549</v>
      </c>
      <c r="AA94" s="1435">
        <f t="shared" ref="AA94:AA109" si="72">+Y94+Z94</f>
        <v>8.3739423691627799</v>
      </c>
      <c r="AC94" s="1442">
        <f t="shared" ref="AC94:AC109" si="73">+AC72+U94</f>
        <v>0</v>
      </c>
      <c r="AD94" s="1442">
        <f t="shared" si="67"/>
        <v>0</v>
      </c>
      <c r="AE94" s="1435">
        <f t="shared" ref="AE94:AE109" si="74">+AC94+AD94</f>
        <v>0</v>
      </c>
    </row>
    <row r="95" spans="1:31" x14ac:dyDescent="0.4">
      <c r="A95" s="1429"/>
      <c r="B95" s="1447" t="s">
        <v>1411</v>
      </c>
      <c r="C95" s="1448" t="s">
        <v>440</v>
      </c>
      <c r="D95" s="1435">
        <f t="shared" si="68"/>
        <v>0</v>
      </c>
      <c r="E95" s="1435">
        <f>+Capitalisation!V7</f>
        <v>0</v>
      </c>
      <c r="F95" s="1435">
        <f>+Capitalisation!W7</f>
        <v>0</v>
      </c>
      <c r="H95" s="1436"/>
      <c r="I95" s="1436"/>
      <c r="J95" s="1436"/>
      <c r="K95" s="1437">
        <f t="shared" si="60"/>
        <v>0</v>
      </c>
      <c r="L95" s="1437"/>
      <c r="M95" s="1435">
        <f t="shared" si="61"/>
        <v>0</v>
      </c>
      <c r="N95" s="1435">
        <f t="shared" si="62"/>
        <v>0</v>
      </c>
      <c r="O95" s="1435">
        <f t="shared" si="63"/>
        <v>0</v>
      </c>
      <c r="Q95" s="1437">
        <f t="shared" si="69"/>
        <v>0</v>
      </c>
      <c r="R95" s="1437">
        <f t="shared" si="70"/>
        <v>0</v>
      </c>
      <c r="S95" s="1435">
        <f t="shared" si="64"/>
        <v>0</v>
      </c>
      <c r="U95" s="1437"/>
      <c r="V95" s="1437"/>
      <c r="W95" s="1435">
        <f t="shared" si="65"/>
        <v>0</v>
      </c>
      <c r="Y95" s="1442">
        <f t="shared" si="71"/>
        <v>0.69598225003610104</v>
      </c>
      <c r="Z95" s="1442">
        <f t="shared" si="66"/>
        <v>0.20977299040614894</v>
      </c>
      <c r="AA95" s="1435">
        <f t="shared" si="72"/>
        <v>0.90575524044224998</v>
      </c>
      <c r="AC95" s="1442">
        <f t="shared" si="73"/>
        <v>0</v>
      </c>
      <c r="AD95" s="1442">
        <f t="shared" si="67"/>
        <v>0</v>
      </c>
      <c r="AE95" s="1435">
        <f t="shared" si="74"/>
        <v>0</v>
      </c>
    </row>
    <row r="96" spans="1:31" x14ac:dyDescent="0.4">
      <c r="B96" s="1447" t="s">
        <v>925</v>
      </c>
      <c r="C96" s="1448" t="s">
        <v>440</v>
      </c>
      <c r="D96" s="1435">
        <f t="shared" si="68"/>
        <v>0</v>
      </c>
      <c r="E96" s="1435">
        <f>+Capitalisation!V8</f>
        <v>0</v>
      </c>
      <c r="F96" s="1435">
        <f>+Capitalisation!W8</f>
        <v>0</v>
      </c>
      <c r="H96" s="1436"/>
      <c r="I96" s="1436"/>
      <c r="J96" s="1436"/>
      <c r="K96" s="1437">
        <f t="shared" si="60"/>
        <v>0</v>
      </c>
      <c r="L96" s="1437"/>
      <c r="M96" s="1435">
        <f t="shared" si="61"/>
        <v>0</v>
      </c>
      <c r="N96" s="1435">
        <f t="shared" si="62"/>
        <v>0</v>
      </c>
      <c r="O96" s="1435">
        <f t="shared" si="63"/>
        <v>0</v>
      </c>
      <c r="Q96" s="1437">
        <f t="shared" si="69"/>
        <v>0</v>
      </c>
      <c r="R96" s="1437">
        <f t="shared" si="70"/>
        <v>0</v>
      </c>
      <c r="S96" s="1435">
        <f t="shared" si="64"/>
        <v>0</v>
      </c>
      <c r="U96" s="1437"/>
      <c r="V96" s="1437"/>
      <c r="W96" s="1435">
        <f t="shared" si="65"/>
        <v>0</v>
      </c>
      <c r="Y96" s="1442">
        <f t="shared" si="71"/>
        <v>8.9626038871801368E-4</v>
      </c>
      <c r="Z96" s="1442">
        <f t="shared" si="66"/>
        <v>2.0139117264988824E-4</v>
      </c>
      <c r="AA96" s="1435">
        <f t="shared" si="72"/>
        <v>1.0976515613679019E-3</v>
      </c>
      <c r="AC96" s="1442">
        <f t="shared" si="73"/>
        <v>0</v>
      </c>
      <c r="AD96" s="1442">
        <f t="shared" si="67"/>
        <v>0</v>
      </c>
      <c r="AE96" s="1435">
        <f t="shared" si="74"/>
        <v>0</v>
      </c>
    </row>
    <row r="97" spans="1:31" x14ac:dyDescent="0.4">
      <c r="B97" s="1447" t="s">
        <v>1412</v>
      </c>
      <c r="C97" s="1448" t="s">
        <v>440</v>
      </c>
      <c r="D97" s="1435">
        <f t="shared" si="68"/>
        <v>0</v>
      </c>
      <c r="E97" s="1435">
        <f>+Capitalisation!V9</f>
        <v>0</v>
      </c>
      <c r="F97" s="1435">
        <f>+Capitalisation!W9</f>
        <v>0</v>
      </c>
      <c r="H97" s="1436"/>
      <c r="I97" s="1436"/>
      <c r="J97" s="1436"/>
      <c r="K97" s="1437">
        <f t="shared" si="60"/>
        <v>0</v>
      </c>
      <c r="L97" s="1437"/>
      <c r="M97" s="1435">
        <f t="shared" si="61"/>
        <v>0</v>
      </c>
      <c r="N97" s="1435">
        <f t="shared" si="62"/>
        <v>0</v>
      </c>
      <c r="O97" s="1435">
        <f t="shared" si="63"/>
        <v>0</v>
      </c>
      <c r="Q97" s="1437">
        <f t="shared" si="69"/>
        <v>0</v>
      </c>
      <c r="R97" s="1437">
        <f t="shared" si="70"/>
        <v>0</v>
      </c>
      <c r="S97" s="1435">
        <f t="shared" si="64"/>
        <v>0</v>
      </c>
      <c r="U97" s="1437"/>
      <c r="V97" s="1437"/>
      <c r="W97" s="1435">
        <f t="shared" si="65"/>
        <v>0</v>
      </c>
      <c r="Y97" s="1442">
        <f t="shared" si="71"/>
        <v>5.3012747903415827</v>
      </c>
      <c r="Z97" s="1442">
        <f t="shared" si="66"/>
        <v>1.1912051006664377</v>
      </c>
      <c r="AA97" s="1435">
        <f t="shared" si="72"/>
        <v>6.4924798910080206</v>
      </c>
      <c r="AC97" s="1442">
        <f t="shared" si="73"/>
        <v>0</v>
      </c>
      <c r="AD97" s="1442">
        <f t="shared" si="67"/>
        <v>0</v>
      </c>
      <c r="AE97" s="1435">
        <f t="shared" si="74"/>
        <v>0</v>
      </c>
    </row>
    <row r="98" spans="1:31" x14ac:dyDescent="0.4">
      <c r="A98" s="1429"/>
      <c r="B98" s="1447" t="s">
        <v>1413</v>
      </c>
      <c r="C98" s="1448" t="s">
        <v>440</v>
      </c>
      <c r="D98" s="1435">
        <f t="shared" si="68"/>
        <v>0</v>
      </c>
      <c r="E98" s="1435">
        <f>+Capitalisation!V10</f>
        <v>0</v>
      </c>
      <c r="F98" s="1435">
        <f>+Capitalisation!W10</f>
        <v>0</v>
      </c>
      <c r="H98" s="1436"/>
      <c r="I98" s="1436"/>
      <c r="J98" s="1436"/>
      <c r="K98" s="1437">
        <f t="shared" si="60"/>
        <v>0</v>
      </c>
      <c r="L98" s="1437"/>
      <c r="M98" s="1435">
        <f t="shared" si="61"/>
        <v>0</v>
      </c>
      <c r="N98" s="1435">
        <f t="shared" si="62"/>
        <v>0</v>
      </c>
      <c r="O98" s="1435">
        <f t="shared" si="63"/>
        <v>0</v>
      </c>
      <c r="Q98" s="1437">
        <f t="shared" si="69"/>
        <v>0</v>
      </c>
      <c r="R98" s="1437">
        <f t="shared" si="70"/>
        <v>0</v>
      </c>
      <c r="S98" s="1435">
        <f t="shared" si="64"/>
        <v>0</v>
      </c>
      <c r="U98" s="1437"/>
      <c r="V98" s="1437"/>
      <c r="W98" s="1435">
        <f t="shared" si="65"/>
        <v>0</v>
      </c>
      <c r="Y98" s="1442">
        <f t="shared" si="71"/>
        <v>0.25141696275547165</v>
      </c>
      <c r="Z98" s="1442">
        <f t="shared" si="66"/>
        <v>0.15493493872461195</v>
      </c>
      <c r="AA98" s="1435">
        <f t="shared" si="72"/>
        <v>0.4063519014800836</v>
      </c>
      <c r="AC98" s="1442">
        <f t="shared" si="73"/>
        <v>0</v>
      </c>
      <c r="AD98" s="1442">
        <f t="shared" si="67"/>
        <v>0</v>
      </c>
      <c r="AE98" s="1435">
        <f t="shared" si="74"/>
        <v>0</v>
      </c>
    </row>
    <row r="99" spans="1:31" x14ac:dyDescent="0.4">
      <c r="B99" s="1447" t="s">
        <v>1414</v>
      </c>
      <c r="C99" s="1448" t="s">
        <v>440</v>
      </c>
      <c r="D99" s="1435">
        <f t="shared" si="68"/>
        <v>0</v>
      </c>
      <c r="E99" s="1435">
        <f>+Capitalisation!V11</f>
        <v>0</v>
      </c>
      <c r="F99" s="1435">
        <f>+Capitalisation!W11</f>
        <v>0</v>
      </c>
      <c r="H99" s="1436"/>
      <c r="I99" s="1436"/>
      <c r="J99" s="1436"/>
      <c r="K99" s="1437">
        <f t="shared" si="60"/>
        <v>0</v>
      </c>
      <c r="L99" s="1437"/>
      <c r="M99" s="1435">
        <f t="shared" si="61"/>
        <v>0</v>
      </c>
      <c r="N99" s="1435">
        <f t="shared" si="62"/>
        <v>0</v>
      </c>
      <c r="O99" s="1435">
        <f t="shared" si="63"/>
        <v>0</v>
      </c>
      <c r="Q99" s="1437">
        <f t="shared" si="69"/>
        <v>0</v>
      </c>
      <c r="R99" s="1437">
        <f t="shared" si="70"/>
        <v>0</v>
      </c>
      <c r="S99" s="1435">
        <f t="shared" si="64"/>
        <v>0</v>
      </c>
      <c r="U99" s="1437"/>
      <c r="V99" s="1437"/>
      <c r="W99" s="1435">
        <f t="shared" si="65"/>
        <v>0</v>
      </c>
      <c r="Y99" s="1442">
        <f t="shared" si="71"/>
        <v>1.9764527304038795E-2</v>
      </c>
      <c r="Z99" s="1442">
        <f t="shared" si="66"/>
        <v>4.8791153710798672E-3</v>
      </c>
      <c r="AA99" s="1435">
        <f t="shared" si="72"/>
        <v>2.4643642675118663E-2</v>
      </c>
      <c r="AC99" s="1442">
        <f t="shared" si="73"/>
        <v>0</v>
      </c>
      <c r="AD99" s="1442">
        <f t="shared" si="67"/>
        <v>0</v>
      </c>
      <c r="AE99" s="1435">
        <f t="shared" si="74"/>
        <v>0</v>
      </c>
    </row>
    <row r="100" spans="1:31" x14ac:dyDescent="0.4">
      <c r="B100" s="1447" t="s">
        <v>915</v>
      </c>
      <c r="C100" s="1448" t="s">
        <v>915</v>
      </c>
      <c r="D100" s="1435">
        <f t="shared" si="68"/>
        <v>1.196946608</v>
      </c>
      <c r="E100" s="1435">
        <f>+Capitalisation!V12</f>
        <v>0</v>
      </c>
      <c r="F100" s="1435">
        <f>+Capitalisation!W12</f>
        <v>1.196946608</v>
      </c>
      <c r="H100" s="1436">
        <f>21122/10^7</f>
        <v>2.1121999999999998E-3</v>
      </c>
      <c r="I100" s="1436"/>
      <c r="J100" s="1764">
        <f>9028668.00951482/10^7*0+D100-H100</f>
        <v>1.194834408</v>
      </c>
      <c r="K100" s="1437">
        <f t="shared" si="60"/>
        <v>1.196946608</v>
      </c>
      <c r="L100" s="1437"/>
      <c r="M100" s="1435">
        <f t="shared" si="61"/>
        <v>1.7246649662585236E-3</v>
      </c>
      <c r="N100" s="1435">
        <f t="shared" si="62"/>
        <v>1.1952219430337414</v>
      </c>
      <c r="O100" s="1435">
        <f t="shared" si="63"/>
        <v>1.196946608</v>
      </c>
      <c r="Q100" s="1438"/>
      <c r="R100" s="1438"/>
      <c r="S100" s="1435">
        <f t="shared" si="64"/>
        <v>0</v>
      </c>
      <c r="U100" s="1437">
        <f>+M100</f>
        <v>1.7246649662585236E-3</v>
      </c>
      <c r="V100" s="1437">
        <f>+N100</f>
        <v>1.1952219430337414</v>
      </c>
      <c r="W100" s="1435">
        <f t="shared" si="65"/>
        <v>1.196946608</v>
      </c>
      <c r="Y100" s="1442">
        <f t="shared" si="71"/>
        <v>0</v>
      </c>
      <c r="Z100" s="1442">
        <f t="shared" si="66"/>
        <v>0</v>
      </c>
      <c r="AA100" s="1435">
        <f t="shared" si="72"/>
        <v>0</v>
      </c>
      <c r="AC100" s="1442">
        <f t="shared" si="73"/>
        <v>0.1203677145238914</v>
      </c>
      <c r="AD100" s="1442">
        <f t="shared" si="67"/>
        <v>3.1258055985918753</v>
      </c>
      <c r="AE100" s="1435">
        <f t="shared" si="74"/>
        <v>3.2461733131157668</v>
      </c>
    </row>
    <row r="101" spans="1:31" x14ac:dyDescent="0.4">
      <c r="A101" s="1429"/>
      <c r="B101" s="1447" t="s">
        <v>1415</v>
      </c>
      <c r="C101" s="1448" t="s">
        <v>440</v>
      </c>
      <c r="D101" s="1435">
        <f t="shared" si="68"/>
        <v>0</v>
      </c>
      <c r="E101" s="1435">
        <f>+Capitalisation!V13</f>
        <v>0</v>
      </c>
      <c r="F101" s="1435">
        <f>+Capitalisation!W13</f>
        <v>0</v>
      </c>
      <c r="H101" s="1436"/>
      <c r="I101" s="1436"/>
      <c r="J101" s="1436"/>
      <c r="K101" s="1437">
        <f t="shared" si="60"/>
        <v>0</v>
      </c>
      <c r="L101" s="1437"/>
      <c r="M101" s="1435">
        <f t="shared" si="61"/>
        <v>0</v>
      </c>
      <c r="N101" s="1435">
        <f t="shared" si="62"/>
        <v>0</v>
      </c>
      <c r="O101" s="1435">
        <f t="shared" si="63"/>
        <v>0</v>
      </c>
      <c r="Q101" s="1437">
        <f>+M101</f>
        <v>0</v>
      </c>
      <c r="R101" s="1437">
        <f>+N101</f>
        <v>0</v>
      </c>
      <c r="S101" s="1435">
        <f t="shared" si="64"/>
        <v>0</v>
      </c>
      <c r="U101" s="1437"/>
      <c r="V101" s="1437"/>
      <c r="W101" s="1435">
        <f t="shared" si="65"/>
        <v>0</v>
      </c>
      <c r="Y101" s="1442">
        <f t="shared" si="71"/>
        <v>17.023001396940938</v>
      </c>
      <c r="Z101" s="1442">
        <f t="shared" si="66"/>
        <v>22.486431702743765</v>
      </c>
      <c r="AA101" s="1435">
        <f t="shared" si="72"/>
        <v>39.509433099684699</v>
      </c>
      <c r="AC101" s="1442">
        <f t="shared" si="73"/>
        <v>0</v>
      </c>
      <c r="AD101" s="1442">
        <f t="shared" si="67"/>
        <v>0</v>
      </c>
      <c r="AE101" s="1435">
        <f t="shared" si="74"/>
        <v>0</v>
      </c>
    </row>
    <row r="102" spans="1:31" x14ac:dyDescent="0.4">
      <c r="B102" s="1447" t="s">
        <v>445</v>
      </c>
      <c r="C102" s="1448" t="s">
        <v>879</v>
      </c>
      <c r="D102" s="1435">
        <f t="shared" si="68"/>
        <v>0</v>
      </c>
      <c r="E102" s="1435">
        <f>+Capitalisation!V14</f>
        <v>0</v>
      </c>
      <c r="F102" s="1435">
        <f>+Capitalisation!W14</f>
        <v>0</v>
      </c>
      <c r="H102" s="1436"/>
      <c r="I102" s="1436"/>
      <c r="J102" s="1436"/>
      <c r="K102" s="1437">
        <f t="shared" si="60"/>
        <v>0</v>
      </c>
      <c r="L102" s="1437"/>
      <c r="M102" s="1435"/>
      <c r="N102" s="1435"/>
      <c r="O102" s="1435">
        <f t="shared" si="63"/>
        <v>0</v>
      </c>
      <c r="Q102" s="1437"/>
      <c r="R102" s="1437"/>
      <c r="S102" s="1435">
        <f t="shared" si="64"/>
        <v>0</v>
      </c>
      <c r="U102" s="1437"/>
      <c r="V102" s="1437"/>
      <c r="W102" s="1435">
        <f t="shared" si="65"/>
        <v>0</v>
      </c>
      <c r="Y102" s="1442">
        <f t="shared" si="71"/>
        <v>4.8486911763262787E-3</v>
      </c>
      <c r="Z102" s="1442">
        <f t="shared" si="66"/>
        <v>1.0895088236737213E-3</v>
      </c>
      <c r="AA102" s="1435">
        <f t="shared" si="72"/>
        <v>5.9382000000000002E-3</v>
      </c>
      <c r="AC102" s="1442">
        <f t="shared" si="73"/>
        <v>5.3874346403625295E-4</v>
      </c>
      <c r="AD102" s="1442">
        <f t="shared" si="67"/>
        <v>1.2105653596374677E-4</v>
      </c>
      <c r="AE102" s="1435">
        <f t="shared" si="74"/>
        <v>6.5979999999999967E-4</v>
      </c>
    </row>
    <row r="103" spans="1:31" x14ac:dyDescent="0.4">
      <c r="A103" s="1429"/>
      <c r="B103" s="1447" t="s">
        <v>1416</v>
      </c>
      <c r="C103" s="1448" t="s">
        <v>440</v>
      </c>
      <c r="D103" s="1435">
        <f t="shared" si="68"/>
        <v>0</v>
      </c>
      <c r="E103" s="1435">
        <f>+Capitalisation!V15</f>
        <v>0</v>
      </c>
      <c r="F103" s="1435">
        <f>+Capitalisation!W15</f>
        <v>0</v>
      </c>
      <c r="H103" s="1436"/>
      <c r="I103" s="1436"/>
      <c r="J103" s="1436"/>
      <c r="K103" s="1437">
        <f t="shared" si="60"/>
        <v>0</v>
      </c>
      <c r="L103" s="1437"/>
      <c r="M103" s="1435">
        <f t="shared" ref="M103:M108" si="75">+I103+$H103*$E$2</f>
        <v>0</v>
      </c>
      <c r="N103" s="1435">
        <f t="shared" ref="N103:N108" si="76">+J103+$H103*$F$2</f>
        <v>0</v>
      </c>
      <c r="O103" s="1435">
        <f t="shared" si="63"/>
        <v>0</v>
      </c>
      <c r="Q103" s="1437">
        <f>+M103</f>
        <v>0</v>
      </c>
      <c r="R103" s="1437">
        <f>+N103</f>
        <v>0</v>
      </c>
      <c r="S103" s="1435">
        <f t="shared" si="64"/>
        <v>0</v>
      </c>
      <c r="U103" s="1437"/>
      <c r="V103" s="1437"/>
      <c r="W103" s="1435">
        <f t="shared" si="65"/>
        <v>0</v>
      </c>
      <c r="Y103" s="1442">
        <f t="shared" si="71"/>
        <v>3.957243367274256</v>
      </c>
      <c r="Z103" s="1442">
        <f t="shared" si="66"/>
        <v>1.403509305056398</v>
      </c>
      <c r="AA103" s="1435">
        <f t="shared" si="72"/>
        <v>5.360752672330654</v>
      </c>
      <c r="AC103" s="1442">
        <f t="shared" si="73"/>
        <v>0</v>
      </c>
      <c r="AD103" s="1442">
        <f t="shared" si="67"/>
        <v>0</v>
      </c>
      <c r="AE103" s="1435">
        <f t="shared" si="74"/>
        <v>0</v>
      </c>
    </row>
    <row r="104" spans="1:31" x14ac:dyDescent="0.4">
      <c r="B104" s="1447" t="s">
        <v>1417</v>
      </c>
      <c r="C104" s="1448" t="s">
        <v>1269</v>
      </c>
      <c r="D104" s="1435">
        <f t="shared" si="68"/>
        <v>9.9499820000000013E-3</v>
      </c>
      <c r="E104" s="1435">
        <f>+Capitalisation!V16</f>
        <v>4.9749910000000007E-3</v>
      </c>
      <c r="F104" s="1435">
        <f>+Capitalisation!W16</f>
        <v>4.9749910000000007E-3</v>
      </c>
      <c r="H104" s="1436">
        <f>+D104</f>
        <v>9.9499820000000013E-3</v>
      </c>
      <c r="I104" s="1436"/>
      <c r="J104" s="1436"/>
      <c r="K104" s="1437">
        <f t="shared" si="60"/>
        <v>9.9499820000000013E-3</v>
      </c>
      <c r="L104" s="1437"/>
      <c r="M104" s="1435">
        <f t="shared" si="75"/>
        <v>8.1244131096974339E-3</v>
      </c>
      <c r="N104" s="1435">
        <f t="shared" si="76"/>
        <v>1.825568890302567E-3</v>
      </c>
      <c r="O104" s="1435">
        <f t="shared" si="63"/>
        <v>9.9499820000000013E-3</v>
      </c>
      <c r="Q104" s="1437">
        <f>+$F104*$E$2</f>
        <v>4.0622065548487169E-3</v>
      </c>
      <c r="R104" s="1437">
        <f>+$F104*$F$2</f>
        <v>9.1278444515128349E-4</v>
      </c>
      <c r="S104" s="1435">
        <f t="shared" si="64"/>
        <v>4.9749910000000007E-3</v>
      </c>
      <c r="U104" s="1437">
        <f>+$F104*$E$2</f>
        <v>4.0622065548487169E-3</v>
      </c>
      <c r="V104" s="1437">
        <f>+$F104*$F$2</f>
        <v>9.1278444515128349E-4</v>
      </c>
      <c r="W104" s="1435">
        <f t="shared" si="65"/>
        <v>4.9749910000000007E-3</v>
      </c>
      <c r="Y104" s="1442">
        <f t="shared" si="71"/>
        <v>2.5395619365658179E-2</v>
      </c>
      <c r="Z104" s="1442">
        <f t="shared" si="66"/>
        <v>5.7064371343418232E-3</v>
      </c>
      <c r="AA104" s="1435">
        <f t="shared" si="72"/>
        <v>3.1102056500000003E-2</v>
      </c>
      <c r="AC104" s="1442">
        <f t="shared" si="73"/>
        <v>2.5395619365658179E-2</v>
      </c>
      <c r="AD104" s="1442">
        <f t="shared" si="67"/>
        <v>5.7064371343418232E-3</v>
      </c>
      <c r="AE104" s="1435">
        <f t="shared" si="74"/>
        <v>3.1102056500000003E-2</v>
      </c>
    </row>
    <row r="105" spans="1:31" x14ac:dyDescent="0.4">
      <c r="B105" s="1447" t="s">
        <v>1418</v>
      </c>
      <c r="C105" s="1448" t="s">
        <v>447</v>
      </c>
      <c r="D105" s="1435">
        <f t="shared" si="68"/>
        <v>0</v>
      </c>
      <c r="E105" s="1435">
        <f>+Capitalisation!V17</f>
        <v>0</v>
      </c>
      <c r="F105" s="1435">
        <f>+Capitalisation!W17</f>
        <v>0</v>
      </c>
      <c r="H105" s="1436"/>
      <c r="I105" s="1436"/>
      <c r="J105" s="1436"/>
      <c r="K105" s="1437">
        <f t="shared" si="60"/>
        <v>0</v>
      </c>
      <c r="L105" s="1437"/>
      <c r="M105" s="1435">
        <f t="shared" si="75"/>
        <v>0</v>
      </c>
      <c r="N105" s="1435">
        <f t="shared" si="76"/>
        <v>0</v>
      </c>
      <c r="O105" s="1435">
        <f t="shared" si="63"/>
        <v>0</v>
      </c>
      <c r="Q105" s="1437">
        <f>+$F105*$E$2</f>
        <v>0</v>
      </c>
      <c r="R105" s="1437">
        <f>+$F105*$F$2</f>
        <v>0</v>
      </c>
      <c r="S105" s="1435">
        <f t="shared" si="64"/>
        <v>0</v>
      </c>
      <c r="U105" s="1437">
        <f>+$F105*$E$2</f>
        <v>0</v>
      </c>
      <c r="V105" s="1437">
        <f>+$F105*$F$2</f>
        <v>0</v>
      </c>
      <c r="W105" s="1435">
        <f t="shared" si="65"/>
        <v>0</v>
      </c>
      <c r="Y105" s="1442">
        <f t="shared" si="71"/>
        <v>2.1849485038636714E-2</v>
      </c>
      <c r="Z105" s="1442">
        <f t="shared" si="66"/>
        <v>4.9096149613632881E-3</v>
      </c>
      <c r="AA105" s="1435">
        <f t="shared" si="72"/>
        <v>2.6759100000000001E-2</v>
      </c>
      <c r="AC105" s="1442">
        <f t="shared" si="73"/>
        <v>2.1849485038636714E-2</v>
      </c>
      <c r="AD105" s="1442">
        <f t="shared" si="67"/>
        <v>4.9096149613632881E-3</v>
      </c>
      <c r="AE105" s="1435">
        <f t="shared" si="74"/>
        <v>2.6759100000000001E-2</v>
      </c>
    </row>
    <row r="106" spans="1:31" x14ac:dyDescent="0.4">
      <c r="B106" s="1447" t="s">
        <v>1419</v>
      </c>
      <c r="C106" s="1448" t="s">
        <v>447</v>
      </c>
      <c r="D106" s="1435">
        <f t="shared" si="68"/>
        <v>0</v>
      </c>
      <c r="E106" s="1435">
        <f>+Capitalisation!V18</f>
        <v>0</v>
      </c>
      <c r="F106" s="1435">
        <f>+Capitalisation!W18</f>
        <v>0</v>
      </c>
      <c r="H106" s="1436"/>
      <c r="I106" s="1438"/>
      <c r="J106" s="1438"/>
      <c r="K106" s="1437">
        <f t="shared" si="60"/>
        <v>0</v>
      </c>
      <c r="L106" s="1437"/>
      <c r="M106" s="1435">
        <f t="shared" si="75"/>
        <v>0</v>
      </c>
      <c r="N106" s="1435">
        <f t="shared" si="76"/>
        <v>0</v>
      </c>
      <c r="O106" s="1435">
        <f t="shared" si="63"/>
        <v>0</v>
      </c>
      <c r="Q106" s="1437">
        <f>+$F106*$E$2</f>
        <v>0</v>
      </c>
      <c r="R106" s="1437">
        <f>+$F106*$F$2</f>
        <v>0</v>
      </c>
      <c r="S106" s="1435">
        <f t="shared" si="64"/>
        <v>0</v>
      </c>
      <c r="U106" s="1437">
        <f>+$F106*$E$2</f>
        <v>0</v>
      </c>
      <c r="V106" s="1437">
        <f>+$F106*$F$2</f>
        <v>0</v>
      </c>
      <c r="W106" s="1435">
        <f t="shared" si="65"/>
        <v>0</v>
      </c>
      <c r="Y106" s="1442">
        <f t="shared" si="71"/>
        <v>2.8025193307645198E-2</v>
      </c>
      <c r="Z106" s="1442">
        <f t="shared" si="66"/>
        <v>6.2973066923548045E-3</v>
      </c>
      <c r="AA106" s="1435">
        <f t="shared" si="72"/>
        <v>3.4322500000000006E-2</v>
      </c>
      <c r="AC106" s="1442">
        <f t="shared" si="73"/>
        <v>2.8025193307645198E-2</v>
      </c>
      <c r="AD106" s="1442">
        <f t="shared" si="67"/>
        <v>6.2973066923548045E-3</v>
      </c>
      <c r="AE106" s="1435">
        <f t="shared" si="74"/>
        <v>3.4322500000000006E-2</v>
      </c>
    </row>
    <row r="107" spans="1:31" x14ac:dyDescent="0.4">
      <c r="B107" s="1447" t="s">
        <v>1420</v>
      </c>
      <c r="C107" s="1448" t="s">
        <v>1270</v>
      </c>
      <c r="D107" s="1435">
        <f t="shared" si="68"/>
        <v>2.65028E-2</v>
      </c>
      <c r="E107" s="1435">
        <f>+Capitalisation!V19</f>
        <v>0</v>
      </c>
      <c r="F107" s="1435">
        <f>+Capitalisation!W19</f>
        <v>2.65028E-2</v>
      </c>
      <c r="H107" s="1437">
        <f>+D107</f>
        <v>2.65028E-2</v>
      </c>
      <c r="I107" s="1438"/>
      <c r="J107" s="1438"/>
      <c r="K107" s="1437">
        <f t="shared" si="60"/>
        <v>2.65028E-2</v>
      </c>
      <c r="L107" s="1437"/>
      <c r="M107" s="1435">
        <f t="shared" si="75"/>
        <v>2.1640209576629297E-2</v>
      </c>
      <c r="N107" s="1435">
        <f t="shared" si="76"/>
        <v>4.8625904233707022E-3</v>
      </c>
      <c r="O107" s="1435">
        <f t="shared" si="63"/>
        <v>2.65028E-2</v>
      </c>
      <c r="Q107" s="1437"/>
      <c r="R107" s="1437"/>
      <c r="S107" s="1435">
        <f t="shared" si="64"/>
        <v>0</v>
      </c>
      <c r="U107" s="1437">
        <f>+M107</f>
        <v>2.1640209576629297E-2</v>
      </c>
      <c r="V107" s="1437">
        <f>+N107</f>
        <v>4.8625904233707022E-3</v>
      </c>
      <c r="W107" s="1435">
        <f t="shared" si="65"/>
        <v>2.65028E-2</v>
      </c>
      <c r="Y107" s="1442">
        <f t="shared" si="71"/>
        <v>0</v>
      </c>
      <c r="Z107" s="1442">
        <f t="shared" si="66"/>
        <v>0</v>
      </c>
      <c r="AA107" s="1435">
        <f t="shared" si="72"/>
        <v>0</v>
      </c>
      <c r="AC107" s="1442">
        <f t="shared" si="73"/>
        <v>0.19640359217449438</v>
      </c>
      <c r="AD107" s="1442">
        <f t="shared" si="67"/>
        <v>4.4132207825505622E-2</v>
      </c>
      <c r="AE107" s="1435">
        <f t="shared" si="74"/>
        <v>0.24053579999999999</v>
      </c>
    </row>
    <row r="108" spans="1:31" x14ac:dyDescent="0.4">
      <c r="B108" s="1447" t="s">
        <v>935</v>
      </c>
      <c r="C108" s="1448" t="s">
        <v>1410</v>
      </c>
      <c r="D108" s="1435">
        <f t="shared" si="68"/>
        <v>0</v>
      </c>
      <c r="E108" s="1435">
        <f>+Capitalisation!V20</f>
        <v>0</v>
      </c>
      <c r="F108" s="1435">
        <f>+Capitalisation!W20</f>
        <v>0</v>
      </c>
      <c r="H108" s="1438"/>
      <c r="I108" s="1438"/>
      <c r="J108" s="1438"/>
      <c r="K108" s="1437">
        <f t="shared" si="60"/>
        <v>0</v>
      </c>
      <c r="L108" s="1437"/>
      <c r="M108" s="1435">
        <f t="shared" si="75"/>
        <v>0</v>
      </c>
      <c r="N108" s="1435">
        <f t="shared" si="76"/>
        <v>0</v>
      </c>
      <c r="O108" s="1435">
        <f t="shared" si="63"/>
        <v>0</v>
      </c>
      <c r="Q108" s="1437">
        <f>+M108</f>
        <v>0</v>
      </c>
      <c r="R108" s="1437">
        <f>+N108</f>
        <v>0</v>
      </c>
      <c r="S108" s="1435">
        <f t="shared" si="64"/>
        <v>0</v>
      </c>
      <c r="U108" s="1437"/>
      <c r="V108" s="1437"/>
      <c r="W108" s="1435">
        <f t="shared" si="65"/>
        <v>0</v>
      </c>
      <c r="Y108" s="1442">
        <f t="shared" si="71"/>
        <v>2.85783892713987E-6</v>
      </c>
      <c r="Z108" s="1442">
        <f t="shared" si="66"/>
        <v>6.4216107286013009E-7</v>
      </c>
      <c r="AA108" s="1435">
        <f t="shared" si="72"/>
        <v>3.4999999999999999E-6</v>
      </c>
      <c r="AC108" s="1442">
        <f t="shared" si="73"/>
        <v>0</v>
      </c>
      <c r="AD108" s="1442">
        <f t="shared" si="67"/>
        <v>0</v>
      </c>
      <c r="AE108" s="1435">
        <f t="shared" si="74"/>
        <v>0</v>
      </c>
    </row>
    <row r="109" spans="1:31" x14ac:dyDescent="0.4">
      <c r="B109" s="1438"/>
      <c r="C109" s="1438"/>
      <c r="D109" s="1438"/>
      <c r="E109" s="1438"/>
      <c r="F109" s="1438"/>
      <c r="H109" s="1438"/>
      <c r="I109" s="1438"/>
      <c r="J109" s="1438"/>
      <c r="K109" s="1437">
        <f t="shared" si="60"/>
        <v>0</v>
      </c>
      <c r="L109" s="1437"/>
      <c r="M109" s="1438"/>
      <c r="N109" s="1438"/>
      <c r="O109" s="1438"/>
      <c r="Q109" s="1438"/>
      <c r="R109" s="1438"/>
      <c r="S109" s="1438"/>
      <c r="U109" s="1438"/>
      <c r="V109" s="1438"/>
      <c r="W109" s="1438"/>
      <c r="Y109" s="1442">
        <f t="shared" si="71"/>
        <v>0</v>
      </c>
      <c r="Z109" s="1442">
        <f t="shared" si="66"/>
        <v>0</v>
      </c>
      <c r="AA109" s="1435">
        <f t="shared" si="72"/>
        <v>0</v>
      </c>
      <c r="AC109" s="1442">
        <f t="shared" si="73"/>
        <v>0</v>
      </c>
      <c r="AD109" s="1442">
        <f t="shared" si="67"/>
        <v>0</v>
      </c>
      <c r="AE109" s="1435">
        <f t="shared" si="74"/>
        <v>0</v>
      </c>
    </row>
    <row r="110" spans="1:31" x14ac:dyDescent="0.4">
      <c r="B110" s="1441" t="s">
        <v>827</v>
      </c>
      <c r="C110" s="1438"/>
      <c r="D110" s="1439">
        <f>SUM(D93:D108)</f>
        <v>1.23339939</v>
      </c>
      <c r="E110" s="1439">
        <f>SUM(E93:E108)</f>
        <v>4.9749910000000007E-3</v>
      </c>
      <c r="F110" s="1439">
        <f>SUM(F93:F108)</f>
        <v>1.2284243990000001</v>
      </c>
      <c r="H110" s="1439">
        <f>SUM(H93:H108)</f>
        <v>3.8564981999999998E-2</v>
      </c>
      <c r="I110" s="1439">
        <f>SUM(I93:I108)</f>
        <v>0</v>
      </c>
      <c r="J110" s="1439">
        <f>SUM(J93:J108)</f>
        <v>1.194834408</v>
      </c>
      <c r="K110" s="1439">
        <f t="shared" si="60"/>
        <v>1.23339939</v>
      </c>
      <c r="L110" s="1439"/>
      <c r="M110" s="1439">
        <f>SUM(M93:M108)</f>
        <v>3.1489287652585254E-2</v>
      </c>
      <c r="N110" s="1439">
        <f>SUM(N93:N108)</f>
        <v>1.2019101023474148</v>
      </c>
      <c r="O110" s="1439">
        <f>SUM(O93:O108)</f>
        <v>1.23339939</v>
      </c>
      <c r="Q110" s="1439">
        <f>SUM(Q93:Q108)</f>
        <v>4.0622065548487169E-3</v>
      </c>
      <c r="R110" s="1439">
        <f>SUM(R93:R108)</f>
        <v>9.1278444515128349E-4</v>
      </c>
      <c r="S110" s="1439">
        <f>SUM(S93:S108)</f>
        <v>4.9749910000000007E-3</v>
      </c>
      <c r="U110" s="1439">
        <f>SUM(U93:U108)</f>
        <v>2.7427081097736537E-2</v>
      </c>
      <c r="V110" s="1439">
        <f>SUM(V93:V108)</f>
        <v>1.2009973179022635</v>
      </c>
      <c r="W110" s="1439">
        <f>SUM(W93:W108)</f>
        <v>1.2284243990000001</v>
      </c>
      <c r="Y110" s="1443">
        <f>SUM(Y93:Y109)</f>
        <v>42.219408106476642</v>
      </c>
      <c r="Z110" s="1443">
        <f>SUM(Z93:Z109)</f>
        <v>30.515590209863966</v>
      </c>
      <c r="AA110" s="1443">
        <f>SUM(AA93:AA109)</f>
        <v>72.734998316340608</v>
      </c>
      <c r="AC110" s="1443">
        <f>SUM(AC93:AC109)</f>
        <v>0.39258034787436213</v>
      </c>
      <c r="AD110" s="1443">
        <f>SUM(AD93:AD109)</f>
        <v>3.1869722217414043</v>
      </c>
      <c r="AE110" s="1443">
        <f>SUM(AE93:AE109)</f>
        <v>3.5795525696157671</v>
      </c>
    </row>
    <row r="111" spans="1:31" x14ac:dyDescent="0.4">
      <c r="K111" s="1429">
        <f>+K110-D110</f>
        <v>0</v>
      </c>
      <c r="O111" s="1428">
        <f>+O110-D110</f>
        <v>0</v>
      </c>
      <c r="Q111" s="1430">
        <f>+Q110+U110-M110</f>
        <v>0</v>
      </c>
      <c r="R111" s="1430">
        <f>+R110+V110-N110</f>
        <v>0</v>
      </c>
      <c r="S111" s="1430">
        <f>+S110+W110-O110</f>
        <v>0</v>
      </c>
      <c r="AA111" s="1428">
        <f>+Capitalisation!J22+Capitalisation!M22+Capitalisation!P22+Capitalisation!S22+Capitalisation!V22-AA110</f>
        <v>2.0618173834918707E-8</v>
      </c>
      <c r="AB111" s="1428"/>
      <c r="AC111" s="1428"/>
      <c r="AD111" s="1428"/>
      <c r="AE111" s="1428">
        <f>+Capitalisation!K22+Capitalisation!N22+Capitalisation!Q22+Capitalisation!T22+Capitalisation!W22-AE110</f>
        <v>1.6807665925711035E-8</v>
      </c>
    </row>
    <row r="112" spans="1:31" x14ac:dyDescent="0.4">
      <c r="Y112" s="2005" t="s">
        <v>1662</v>
      </c>
      <c r="Z112" s="2005"/>
      <c r="AA112" s="2005"/>
      <c r="AB112" s="2005"/>
      <c r="AC112" s="2005"/>
      <c r="AD112" s="2005"/>
      <c r="AE112" s="2005"/>
    </row>
    <row r="113" spans="1:31" x14ac:dyDescent="0.4">
      <c r="B113" s="1444" t="s">
        <v>111</v>
      </c>
      <c r="C113" s="1444" t="s">
        <v>920</v>
      </c>
      <c r="D113" s="2006" t="s">
        <v>113</v>
      </c>
      <c r="E113" s="2006"/>
      <c r="F113" s="2006"/>
      <c r="H113" s="2007" t="s">
        <v>1654</v>
      </c>
      <c r="I113" s="2007"/>
      <c r="J113" s="2007"/>
      <c r="K113" s="2007"/>
      <c r="L113" s="1434"/>
      <c r="M113" s="2006" t="s">
        <v>1653</v>
      </c>
      <c r="N113" s="2006"/>
      <c r="O113" s="2006"/>
      <c r="Q113" s="2006" t="s">
        <v>1655</v>
      </c>
      <c r="R113" s="2006"/>
      <c r="S113" s="2006"/>
      <c r="U113" s="2006" t="s">
        <v>1656</v>
      </c>
      <c r="V113" s="2006"/>
      <c r="W113" s="2006"/>
      <c r="Y113" s="2006" t="s">
        <v>1655</v>
      </c>
      <c r="Z113" s="2006"/>
      <c r="AA113" s="2006"/>
      <c r="AC113" s="2006" t="s">
        <v>1656</v>
      </c>
      <c r="AD113" s="2006"/>
      <c r="AE113" s="2006"/>
    </row>
    <row r="114" spans="1:31" x14ac:dyDescent="0.4">
      <c r="B114" s="1446"/>
      <c r="C114" s="1446"/>
      <c r="D114" s="1446" t="s">
        <v>164</v>
      </c>
      <c r="E114" s="1446" t="s">
        <v>963</v>
      </c>
      <c r="F114" s="1446" t="s">
        <v>923</v>
      </c>
      <c r="H114" s="1446" t="s">
        <v>1651</v>
      </c>
      <c r="I114" s="1446" t="s">
        <v>1147</v>
      </c>
      <c r="J114" s="1446" t="s">
        <v>1148</v>
      </c>
      <c r="K114" s="1446" t="s">
        <v>827</v>
      </c>
      <c r="L114" s="1446"/>
      <c r="M114" s="1446" t="s">
        <v>1147</v>
      </c>
      <c r="N114" s="1446" t="s">
        <v>1148</v>
      </c>
      <c r="O114" s="1446" t="s">
        <v>164</v>
      </c>
      <c r="Q114" s="1446" t="s">
        <v>1147</v>
      </c>
      <c r="R114" s="1446" t="s">
        <v>1148</v>
      </c>
      <c r="S114" s="1446" t="s">
        <v>164</v>
      </c>
      <c r="U114" s="1446" t="s">
        <v>1147</v>
      </c>
      <c r="V114" s="1446" t="s">
        <v>1148</v>
      </c>
      <c r="W114" s="1446" t="s">
        <v>164</v>
      </c>
      <c r="Y114" s="1446" t="s">
        <v>1147</v>
      </c>
      <c r="Z114" s="1446" t="s">
        <v>1148</v>
      </c>
      <c r="AA114" s="1446" t="s">
        <v>164</v>
      </c>
      <c r="AC114" s="1446" t="s">
        <v>1147</v>
      </c>
      <c r="AD114" s="1446" t="s">
        <v>1148</v>
      </c>
      <c r="AE114" s="1446" t="s">
        <v>164</v>
      </c>
    </row>
    <row r="115" spans="1:31" x14ac:dyDescent="0.4">
      <c r="B115" s="1447" t="s">
        <v>1408</v>
      </c>
      <c r="C115" s="1448" t="s">
        <v>1409</v>
      </c>
      <c r="D115" s="1435">
        <f>+E115+F115</f>
        <v>0</v>
      </c>
      <c r="E115" s="1435">
        <f>+Capitalisation!Y5</f>
        <v>0</v>
      </c>
      <c r="F115" s="1435">
        <f>+Capitalisation!Z5</f>
        <v>0</v>
      </c>
      <c r="H115" s="1435"/>
      <c r="I115" s="1435"/>
      <c r="J115" s="1435"/>
      <c r="K115" s="1437">
        <f t="shared" ref="K115:K132" si="77">+H115+J115+I115</f>
        <v>0</v>
      </c>
      <c r="L115" s="1437"/>
      <c r="M115" s="1435">
        <f t="shared" ref="M115:M123" si="78">+I115+$H115*$E$2</f>
        <v>0</v>
      </c>
      <c r="N115" s="1435">
        <f t="shared" ref="N115:N123" si="79">+J115+$H115*$F$2</f>
        <v>0</v>
      </c>
      <c r="O115" s="1435">
        <f t="shared" ref="O115:O130" si="80">+M115+N115</f>
        <v>0</v>
      </c>
      <c r="Q115" s="1437">
        <f>+M115</f>
        <v>0</v>
      </c>
      <c r="R115" s="1437">
        <f>+N115</f>
        <v>0</v>
      </c>
      <c r="S115" s="1435">
        <f t="shared" ref="S115:S130" si="81">+Q115+R115</f>
        <v>0</v>
      </c>
      <c r="U115" s="1437"/>
      <c r="V115" s="1437"/>
      <c r="W115" s="1435">
        <f t="shared" ref="W115:W130" si="82">+U115+V115</f>
        <v>0</v>
      </c>
      <c r="Y115" s="1442">
        <f>+Y93+Q115</f>
        <v>9.4410068403429079</v>
      </c>
      <c r="Z115" s="1442">
        <f t="shared" ref="Z115:Z131" si="83">+Z93+R115</f>
        <v>2.1214096511527107</v>
      </c>
      <c r="AA115" s="1435">
        <f>+Y115+Z115</f>
        <v>11.562416491495618</v>
      </c>
      <c r="AC115" s="1442">
        <f>+AC93+U115</f>
        <v>0</v>
      </c>
      <c r="AD115" s="1442">
        <f t="shared" ref="AD115:AD131" si="84">+AD93+V115</f>
        <v>0</v>
      </c>
      <c r="AE115" s="1435">
        <f>+AC115+AD115</f>
        <v>0</v>
      </c>
    </row>
    <row r="116" spans="1:31" x14ac:dyDescent="0.4">
      <c r="A116" s="1429"/>
      <c r="B116" s="1447" t="s">
        <v>924</v>
      </c>
      <c r="C116" s="1448" t="s">
        <v>440</v>
      </c>
      <c r="D116" s="1435">
        <f t="shared" ref="D116:D130" si="85">+E116+F116</f>
        <v>0</v>
      </c>
      <c r="E116" s="1435">
        <f>+Capitalisation!Y6</f>
        <v>0</v>
      </c>
      <c r="F116" s="1435">
        <f>+Capitalisation!Z6</f>
        <v>0</v>
      </c>
      <c r="H116" s="1435"/>
      <c r="I116" s="1435"/>
      <c r="J116" s="1435"/>
      <c r="K116" s="1437">
        <f t="shared" si="77"/>
        <v>0</v>
      </c>
      <c r="L116" s="1437"/>
      <c r="M116" s="1435">
        <f t="shared" si="78"/>
        <v>0</v>
      </c>
      <c r="N116" s="1435">
        <f t="shared" si="79"/>
        <v>0</v>
      </c>
      <c r="O116" s="1435">
        <f t="shared" si="80"/>
        <v>0</v>
      </c>
      <c r="Q116" s="1437">
        <f t="shared" ref="Q116:Q121" si="86">+M116</f>
        <v>0</v>
      </c>
      <c r="R116" s="1437">
        <f t="shared" ref="R116:R121" si="87">+N116</f>
        <v>0</v>
      </c>
      <c r="S116" s="1435">
        <f t="shared" si="81"/>
        <v>0</v>
      </c>
      <c r="U116" s="1437"/>
      <c r="V116" s="1437"/>
      <c r="W116" s="1435">
        <f t="shared" si="82"/>
        <v>0</v>
      </c>
      <c r="Y116" s="1442">
        <f t="shared" ref="Y116:Y131" si="88">+Y94+Q116</f>
        <v>5.4486998643654241</v>
      </c>
      <c r="Z116" s="1442">
        <f t="shared" si="83"/>
        <v>2.9252425047973549</v>
      </c>
      <c r="AA116" s="1435">
        <f t="shared" ref="AA116:AA131" si="89">+Y116+Z116</f>
        <v>8.3739423691627799</v>
      </c>
      <c r="AC116" s="1442">
        <f t="shared" ref="AC116:AC131" si="90">+AC94+U116</f>
        <v>0</v>
      </c>
      <c r="AD116" s="1442">
        <f t="shared" si="84"/>
        <v>0</v>
      </c>
      <c r="AE116" s="1435">
        <f t="shared" ref="AE116:AE131" si="91">+AC116+AD116</f>
        <v>0</v>
      </c>
    </row>
    <row r="117" spans="1:31" x14ac:dyDescent="0.4">
      <c r="A117" s="1429"/>
      <c r="B117" s="1447" t="s">
        <v>1411</v>
      </c>
      <c r="C117" s="1448" t="s">
        <v>440</v>
      </c>
      <c r="D117" s="1435">
        <f t="shared" si="85"/>
        <v>0</v>
      </c>
      <c r="E117" s="1435">
        <f>+Capitalisation!Y7</f>
        <v>0</v>
      </c>
      <c r="F117" s="1435">
        <f>+Capitalisation!Z7</f>
        <v>0</v>
      </c>
      <c r="H117" s="1435"/>
      <c r="I117" s="1435"/>
      <c r="J117" s="1435"/>
      <c r="K117" s="1437">
        <f t="shared" si="77"/>
        <v>0</v>
      </c>
      <c r="L117" s="1437"/>
      <c r="M117" s="1435">
        <f t="shared" si="78"/>
        <v>0</v>
      </c>
      <c r="N117" s="1435">
        <f t="shared" si="79"/>
        <v>0</v>
      </c>
      <c r="O117" s="1435">
        <f t="shared" si="80"/>
        <v>0</v>
      </c>
      <c r="Q117" s="1437">
        <f t="shared" si="86"/>
        <v>0</v>
      </c>
      <c r="R117" s="1437">
        <f t="shared" si="87"/>
        <v>0</v>
      </c>
      <c r="S117" s="1435">
        <f t="shared" si="81"/>
        <v>0</v>
      </c>
      <c r="U117" s="1437"/>
      <c r="V117" s="1437"/>
      <c r="W117" s="1435">
        <f t="shared" si="82"/>
        <v>0</v>
      </c>
      <c r="Y117" s="1442">
        <f t="shared" si="88"/>
        <v>0.69598225003610104</v>
      </c>
      <c r="Z117" s="1442">
        <f t="shared" si="83"/>
        <v>0.20977299040614894</v>
      </c>
      <c r="AA117" s="1435">
        <f t="shared" si="89"/>
        <v>0.90575524044224998</v>
      </c>
      <c r="AC117" s="1442">
        <f t="shared" si="90"/>
        <v>0</v>
      </c>
      <c r="AD117" s="1442">
        <f t="shared" si="84"/>
        <v>0</v>
      </c>
      <c r="AE117" s="1435">
        <f t="shared" si="91"/>
        <v>0</v>
      </c>
    </row>
    <row r="118" spans="1:31" x14ac:dyDescent="0.4">
      <c r="B118" s="1447" t="s">
        <v>925</v>
      </c>
      <c r="C118" s="1448" t="s">
        <v>440</v>
      </c>
      <c r="D118" s="1435">
        <f t="shared" si="85"/>
        <v>0</v>
      </c>
      <c r="E118" s="1435">
        <f>+Capitalisation!Y8</f>
        <v>0</v>
      </c>
      <c r="F118" s="1435">
        <f>+Capitalisation!Z8</f>
        <v>0</v>
      </c>
      <c r="H118" s="1435"/>
      <c r="I118" s="1435"/>
      <c r="J118" s="1435"/>
      <c r="K118" s="1437">
        <f t="shared" si="77"/>
        <v>0</v>
      </c>
      <c r="L118" s="1437"/>
      <c r="M118" s="1435">
        <f t="shared" si="78"/>
        <v>0</v>
      </c>
      <c r="N118" s="1435">
        <f t="shared" si="79"/>
        <v>0</v>
      </c>
      <c r="O118" s="1435">
        <f t="shared" si="80"/>
        <v>0</v>
      </c>
      <c r="Q118" s="1437">
        <f t="shared" si="86"/>
        <v>0</v>
      </c>
      <c r="R118" s="1437">
        <f t="shared" si="87"/>
        <v>0</v>
      </c>
      <c r="S118" s="1435">
        <f t="shared" si="81"/>
        <v>0</v>
      </c>
      <c r="U118" s="1437"/>
      <c r="V118" s="1437"/>
      <c r="W118" s="1435">
        <f t="shared" si="82"/>
        <v>0</v>
      </c>
      <c r="Y118" s="1442">
        <f t="shared" si="88"/>
        <v>8.9626038871801368E-4</v>
      </c>
      <c r="Z118" s="1442">
        <f t="shared" si="83"/>
        <v>2.0139117264988824E-4</v>
      </c>
      <c r="AA118" s="1435">
        <f t="shared" si="89"/>
        <v>1.0976515613679019E-3</v>
      </c>
      <c r="AC118" s="1442">
        <f t="shared" si="90"/>
        <v>0</v>
      </c>
      <c r="AD118" s="1442">
        <f t="shared" si="84"/>
        <v>0</v>
      </c>
      <c r="AE118" s="1435">
        <f t="shared" si="91"/>
        <v>0</v>
      </c>
    </row>
    <row r="119" spans="1:31" x14ac:dyDescent="0.4">
      <c r="B119" s="1447" t="s">
        <v>1412</v>
      </c>
      <c r="C119" s="1448" t="s">
        <v>440</v>
      </c>
      <c r="D119" s="1435">
        <f t="shared" si="85"/>
        <v>0</v>
      </c>
      <c r="E119" s="1435">
        <f>+Capitalisation!Y9</f>
        <v>0</v>
      </c>
      <c r="F119" s="1435">
        <f>+Capitalisation!Z9</f>
        <v>0</v>
      </c>
      <c r="H119" s="1435"/>
      <c r="I119" s="1435"/>
      <c r="J119" s="1435"/>
      <c r="K119" s="1437">
        <f t="shared" si="77"/>
        <v>0</v>
      </c>
      <c r="L119" s="1437"/>
      <c r="M119" s="1435">
        <f t="shared" si="78"/>
        <v>0</v>
      </c>
      <c r="N119" s="1435">
        <f t="shared" si="79"/>
        <v>0</v>
      </c>
      <c r="O119" s="1435">
        <f t="shared" si="80"/>
        <v>0</v>
      </c>
      <c r="Q119" s="1437">
        <f t="shared" si="86"/>
        <v>0</v>
      </c>
      <c r="R119" s="1437">
        <f t="shared" si="87"/>
        <v>0</v>
      </c>
      <c r="S119" s="1435">
        <f t="shared" si="81"/>
        <v>0</v>
      </c>
      <c r="U119" s="1437"/>
      <c r="V119" s="1437"/>
      <c r="W119" s="1435">
        <f t="shared" si="82"/>
        <v>0</v>
      </c>
      <c r="Y119" s="1442">
        <f t="shared" si="88"/>
        <v>5.3012747903415827</v>
      </c>
      <c r="Z119" s="1442">
        <f t="shared" si="83"/>
        <v>1.1912051006664377</v>
      </c>
      <c r="AA119" s="1435">
        <f t="shared" si="89"/>
        <v>6.4924798910080206</v>
      </c>
      <c r="AC119" s="1442">
        <f t="shared" si="90"/>
        <v>0</v>
      </c>
      <c r="AD119" s="1442">
        <f t="shared" si="84"/>
        <v>0</v>
      </c>
      <c r="AE119" s="1435">
        <f t="shared" si="91"/>
        <v>0</v>
      </c>
    </row>
    <row r="120" spans="1:31" x14ac:dyDescent="0.4">
      <c r="A120" s="1429"/>
      <c r="B120" s="1447" t="s">
        <v>1413</v>
      </c>
      <c r="C120" s="1448" t="s">
        <v>440</v>
      </c>
      <c r="D120" s="1435">
        <f t="shared" si="85"/>
        <v>0</v>
      </c>
      <c r="E120" s="1435">
        <f>+Capitalisation!Y10</f>
        <v>0</v>
      </c>
      <c r="F120" s="1435">
        <f>+Capitalisation!Z10</f>
        <v>0</v>
      </c>
      <c r="H120" s="1435"/>
      <c r="I120" s="1435"/>
      <c r="J120" s="1435"/>
      <c r="K120" s="1437">
        <f t="shared" si="77"/>
        <v>0</v>
      </c>
      <c r="L120" s="1437"/>
      <c r="M120" s="1435">
        <f t="shared" si="78"/>
        <v>0</v>
      </c>
      <c r="N120" s="1435">
        <f t="shared" si="79"/>
        <v>0</v>
      </c>
      <c r="O120" s="1435">
        <f t="shared" si="80"/>
        <v>0</v>
      </c>
      <c r="Q120" s="1437">
        <f t="shared" si="86"/>
        <v>0</v>
      </c>
      <c r="R120" s="1437">
        <f t="shared" si="87"/>
        <v>0</v>
      </c>
      <c r="S120" s="1435">
        <f t="shared" si="81"/>
        <v>0</v>
      </c>
      <c r="U120" s="1437"/>
      <c r="V120" s="1437"/>
      <c r="W120" s="1435">
        <f t="shared" si="82"/>
        <v>0</v>
      </c>
      <c r="Y120" s="1442">
        <f t="shared" si="88"/>
        <v>0.25141696275547165</v>
      </c>
      <c r="Z120" s="1442">
        <f t="shared" si="83"/>
        <v>0.15493493872461195</v>
      </c>
      <c r="AA120" s="1435">
        <f t="shared" si="89"/>
        <v>0.4063519014800836</v>
      </c>
      <c r="AC120" s="1442">
        <f t="shared" si="90"/>
        <v>0</v>
      </c>
      <c r="AD120" s="1442">
        <f t="shared" si="84"/>
        <v>0</v>
      </c>
      <c r="AE120" s="1435">
        <f t="shared" si="91"/>
        <v>0</v>
      </c>
    </row>
    <row r="121" spans="1:31" x14ac:dyDescent="0.4">
      <c r="B121" s="1447" t="s">
        <v>1414</v>
      </c>
      <c r="C121" s="1448" t="s">
        <v>440</v>
      </c>
      <c r="D121" s="1435">
        <f t="shared" si="85"/>
        <v>0</v>
      </c>
      <c r="E121" s="1435">
        <f>+Capitalisation!Y11</f>
        <v>0</v>
      </c>
      <c r="F121" s="1435">
        <f>+Capitalisation!Z11</f>
        <v>0</v>
      </c>
      <c r="H121" s="1435"/>
      <c r="I121" s="1435"/>
      <c r="J121" s="1435"/>
      <c r="K121" s="1437">
        <f t="shared" si="77"/>
        <v>0</v>
      </c>
      <c r="L121" s="1437"/>
      <c r="M121" s="1435">
        <f t="shared" si="78"/>
        <v>0</v>
      </c>
      <c r="N121" s="1435">
        <f t="shared" si="79"/>
        <v>0</v>
      </c>
      <c r="O121" s="1435">
        <f t="shared" si="80"/>
        <v>0</v>
      </c>
      <c r="Q121" s="1437">
        <f t="shared" si="86"/>
        <v>0</v>
      </c>
      <c r="R121" s="1437">
        <f t="shared" si="87"/>
        <v>0</v>
      </c>
      <c r="S121" s="1435">
        <f t="shared" si="81"/>
        <v>0</v>
      </c>
      <c r="U121" s="1437"/>
      <c r="V121" s="1437"/>
      <c r="W121" s="1435">
        <f t="shared" si="82"/>
        <v>0</v>
      </c>
      <c r="Y121" s="1442">
        <f t="shared" si="88"/>
        <v>1.9764527304038795E-2</v>
      </c>
      <c r="Z121" s="1442">
        <f t="shared" si="83"/>
        <v>4.8791153710798672E-3</v>
      </c>
      <c r="AA121" s="1435">
        <f t="shared" si="89"/>
        <v>2.4643642675118663E-2</v>
      </c>
      <c r="AC121" s="1442">
        <f t="shared" si="90"/>
        <v>0</v>
      </c>
      <c r="AD121" s="1442">
        <f t="shared" si="84"/>
        <v>0</v>
      </c>
      <c r="AE121" s="1435">
        <f t="shared" si="91"/>
        <v>0</v>
      </c>
    </row>
    <row r="122" spans="1:31" x14ac:dyDescent="0.4">
      <c r="B122" s="1447" t="s">
        <v>915</v>
      </c>
      <c r="C122" s="1448" t="s">
        <v>915</v>
      </c>
      <c r="D122" s="1435">
        <f t="shared" si="85"/>
        <v>1.0655415E-2</v>
      </c>
      <c r="E122" s="1435">
        <f>+Capitalisation!Y12</f>
        <v>0</v>
      </c>
      <c r="F122" s="1435">
        <f>+Capitalisation!Z12</f>
        <v>1.0655415E-2</v>
      </c>
      <c r="H122" s="1435">
        <f>106554/10^7</f>
        <v>1.0655400000000001E-2</v>
      </c>
      <c r="I122" s="1435"/>
      <c r="J122" s="1435"/>
      <c r="K122" s="1437">
        <f t="shared" si="77"/>
        <v>1.0655400000000001E-2</v>
      </c>
      <c r="L122" s="1437"/>
      <c r="M122" s="1435">
        <f t="shared" si="78"/>
        <v>8.7004048297846196E-3</v>
      </c>
      <c r="N122" s="1435">
        <f t="shared" si="79"/>
        <v>1.9549951702153802E-3</v>
      </c>
      <c r="O122" s="1435">
        <f t="shared" si="80"/>
        <v>1.0655399999999999E-2</v>
      </c>
      <c r="Q122" s="1438"/>
      <c r="R122" s="1438"/>
      <c r="S122" s="1435">
        <f t="shared" si="81"/>
        <v>0</v>
      </c>
      <c r="U122" s="1437">
        <f>+M122</f>
        <v>8.7004048297846196E-3</v>
      </c>
      <c r="V122" s="1437">
        <f>+N122</f>
        <v>1.9549951702153802E-3</v>
      </c>
      <c r="W122" s="1435">
        <f t="shared" si="82"/>
        <v>1.0655399999999999E-2</v>
      </c>
      <c r="Y122" s="1442">
        <f t="shared" si="88"/>
        <v>0</v>
      </c>
      <c r="Z122" s="1442">
        <f t="shared" si="83"/>
        <v>0</v>
      </c>
      <c r="AA122" s="1435">
        <f t="shared" si="89"/>
        <v>0</v>
      </c>
      <c r="AC122" s="1442">
        <f t="shared" si="90"/>
        <v>0.12906811935367601</v>
      </c>
      <c r="AD122" s="1442">
        <f t="shared" si="84"/>
        <v>3.1277605937620909</v>
      </c>
      <c r="AE122" s="1435">
        <f t="shared" si="91"/>
        <v>3.2568287131157669</v>
      </c>
    </row>
    <row r="123" spans="1:31" x14ac:dyDescent="0.4">
      <c r="A123" s="1429"/>
      <c r="B123" s="1447" t="s">
        <v>1415</v>
      </c>
      <c r="C123" s="1448" t="s">
        <v>440</v>
      </c>
      <c r="D123" s="1435">
        <f t="shared" si="85"/>
        <v>0</v>
      </c>
      <c r="E123" s="1435">
        <f>+Capitalisation!Y13</f>
        <v>0</v>
      </c>
      <c r="F123" s="1435">
        <f>+Capitalisation!Z13</f>
        <v>0</v>
      </c>
      <c r="H123" s="1435"/>
      <c r="I123" s="1435"/>
      <c r="J123" s="1435"/>
      <c r="K123" s="1437">
        <f t="shared" si="77"/>
        <v>0</v>
      </c>
      <c r="L123" s="1437"/>
      <c r="M123" s="1435">
        <f t="shared" si="78"/>
        <v>0</v>
      </c>
      <c r="N123" s="1435">
        <f t="shared" si="79"/>
        <v>0</v>
      </c>
      <c r="O123" s="1435">
        <f t="shared" si="80"/>
        <v>0</v>
      </c>
      <c r="Q123" s="1437">
        <f>+M123</f>
        <v>0</v>
      </c>
      <c r="R123" s="1437">
        <f>+N123</f>
        <v>0</v>
      </c>
      <c r="S123" s="1435">
        <f t="shared" si="81"/>
        <v>0</v>
      </c>
      <c r="U123" s="1437"/>
      <c r="V123" s="1437"/>
      <c r="W123" s="1435">
        <f t="shared" si="82"/>
        <v>0</v>
      </c>
      <c r="Y123" s="1442">
        <f t="shared" si="88"/>
        <v>17.023001396940938</v>
      </c>
      <c r="Z123" s="1442">
        <f t="shared" si="83"/>
        <v>22.486431702743765</v>
      </c>
      <c r="AA123" s="1435">
        <f t="shared" si="89"/>
        <v>39.509433099684699</v>
      </c>
      <c r="AC123" s="1442">
        <f t="shared" si="90"/>
        <v>0</v>
      </c>
      <c r="AD123" s="1442">
        <f t="shared" si="84"/>
        <v>0</v>
      </c>
      <c r="AE123" s="1435">
        <f t="shared" si="91"/>
        <v>0</v>
      </c>
    </row>
    <row r="124" spans="1:31" x14ac:dyDescent="0.4">
      <c r="B124" s="1447" t="s">
        <v>445</v>
      </c>
      <c r="C124" s="1448" t="s">
        <v>879</v>
      </c>
      <c r="D124" s="1435">
        <f t="shared" si="85"/>
        <v>0</v>
      </c>
      <c r="E124" s="1435">
        <f>+Capitalisation!Y14</f>
        <v>0</v>
      </c>
      <c r="F124" s="1435">
        <f>+Capitalisation!Z14</f>
        <v>0</v>
      </c>
      <c r="H124" s="1435"/>
      <c r="I124" s="1435"/>
      <c r="J124" s="1435"/>
      <c r="K124" s="1437">
        <f t="shared" si="77"/>
        <v>0</v>
      </c>
      <c r="L124" s="1437"/>
      <c r="M124" s="1435"/>
      <c r="N124" s="1435"/>
      <c r="O124" s="1435">
        <f t="shared" si="80"/>
        <v>0</v>
      </c>
      <c r="Q124" s="1437"/>
      <c r="R124" s="1437"/>
      <c r="S124" s="1435">
        <f t="shared" si="81"/>
        <v>0</v>
      </c>
      <c r="U124" s="1437"/>
      <c r="V124" s="1437"/>
      <c r="W124" s="1435">
        <f t="shared" si="82"/>
        <v>0</v>
      </c>
      <c r="Y124" s="1442">
        <f t="shared" si="88"/>
        <v>4.8486911763262787E-3</v>
      </c>
      <c r="Z124" s="1442">
        <f t="shared" si="83"/>
        <v>1.0895088236737213E-3</v>
      </c>
      <c r="AA124" s="1435">
        <f t="shared" si="89"/>
        <v>5.9382000000000002E-3</v>
      </c>
      <c r="AC124" s="1442">
        <f t="shared" si="90"/>
        <v>5.3874346403625295E-4</v>
      </c>
      <c r="AD124" s="1442">
        <f t="shared" si="84"/>
        <v>1.2105653596374677E-4</v>
      </c>
      <c r="AE124" s="1435">
        <f t="shared" si="91"/>
        <v>6.5979999999999967E-4</v>
      </c>
    </row>
    <row r="125" spans="1:31" x14ac:dyDescent="0.4">
      <c r="A125" s="1429"/>
      <c r="B125" s="1447" t="s">
        <v>1416</v>
      </c>
      <c r="C125" s="1448" t="s">
        <v>440</v>
      </c>
      <c r="D125" s="1435">
        <f t="shared" si="85"/>
        <v>9.1967151999999996E-2</v>
      </c>
      <c r="E125" s="1435">
        <f>+Capitalisation!Y15</f>
        <v>9.1967151999999996E-2</v>
      </c>
      <c r="F125" s="1435">
        <f>+Capitalisation!Z15</f>
        <v>0</v>
      </c>
      <c r="H125" s="1435">
        <f>+D125</f>
        <v>9.1967151999999996E-2</v>
      </c>
      <c r="I125" s="1435"/>
      <c r="J125" s="1435"/>
      <c r="K125" s="1437">
        <f t="shared" si="77"/>
        <v>9.1967151999999996E-2</v>
      </c>
      <c r="L125" s="1437"/>
      <c r="M125" s="1435">
        <f t="shared" ref="M125:M130" si="92">+I125+$H125*$E$2</f>
        <v>7.5093516286796946E-2</v>
      </c>
      <c r="N125" s="1435">
        <f t="shared" ref="N125:N130" si="93">+J125+$H125*$F$2</f>
        <v>1.6873635713203047E-2</v>
      </c>
      <c r="O125" s="1435">
        <f t="shared" si="80"/>
        <v>9.1967151999999996E-2</v>
      </c>
      <c r="Q125" s="1437">
        <f>+M125</f>
        <v>7.5093516286796946E-2</v>
      </c>
      <c r="R125" s="1437">
        <f>+N125</f>
        <v>1.6873635713203047E-2</v>
      </c>
      <c r="S125" s="1435">
        <f t="shared" si="81"/>
        <v>9.1967151999999996E-2</v>
      </c>
      <c r="U125" s="1437"/>
      <c r="V125" s="1437"/>
      <c r="W125" s="1435">
        <f t="shared" si="82"/>
        <v>0</v>
      </c>
      <c r="Y125" s="1442">
        <f t="shared" si="88"/>
        <v>4.0323368835610527</v>
      </c>
      <c r="Z125" s="1442">
        <f t="shared" si="83"/>
        <v>1.4203829407696011</v>
      </c>
      <c r="AA125" s="1435">
        <f t="shared" si="89"/>
        <v>5.4527198243306536</v>
      </c>
      <c r="AC125" s="1442">
        <f t="shared" si="90"/>
        <v>0</v>
      </c>
      <c r="AD125" s="1442">
        <f t="shared" si="84"/>
        <v>0</v>
      </c>
      <c r="AE125" s="1435">
        <f t="shared" si="91"/>
        <v>0</v>
      </c>
    </row>
    <row r="126" spans="1:31" x14ac:dyDescent="0.4">
      <c r="B126" s="1447" t="s">
        <v>1417</v>
      </c>
      <c r="C126" s="1448" t="s">
        <v>1269</v>
      </c>
      <c r="D126" s="1435">
        <f t="shared" si="85"/>
        <v>7.1090724999999994E-2</v>
      </c>
      <c r="E126" s="1435">
        <f>+Capitalisation!Y16</f>
        <v>3.5545362499999997E-2</v>
      </c>
      <c r="F126" s="1435">
        <f>+Capitalisation!Z16</f>
        <v>3.5545362499999997E-2</v>
      </c>
      <c r="H126" s="1435">
        <f>+D126</f>
        <v>7.1090724999999994E-2</v>
      </c>
      <c r="I126" s="1435"/>
      <c r="J126" s="1435"/>
      <c r="K126" s="1437">
        <f t="shared" si="77"/>
        <v>7.1090724999999994E-2</v>
      </c>
      <c r="L126" s="1437"/>
      <c r="M126" s="1435">
        <f t="shared" si="92"/>
        <v>5.8047383218170143E-2</v>
      </c>
      <c r="N126" s="1435">
        <f t="shared" si="93"/>
        <v>1.3043341781829849E-2</v>
      </c>
      <c r="O126" s="1435">
        <f t="shared" si="80"/>
        <v>7.1090724999999994E-2</v>
      </c>
      <c r="Q126" s="1437">
        <f>+$F126*$E$2</f>
        <v>2.9023691609085071E-2</v>
      </c>
      <c r="R126" s="1437">
        <f>+$F126*$F$2</f>
        <v>6.5216708909149245E-3</v>
      </c>
      <c r="S126" s="1435">
        <f t="shared" si="81"/>
        <v>3.5545362499999997E-2</v>
      </c>
      <c r="U126" s="1437">
        <f>+$F126*$E$2</f>
        <v>2.9023691609085071E-2</v>
      </c>
      <c r="V126" s="1437">
        <f>+$F126*$F$2</f>
        <v>6.5216708909149245E-3</v>
      </c>
      <c r="W126" s="1435">
        <f t="shared" si="82"/>
        <v>3.5545362499999997E-2</v>
      </c>
      <c r="Y126" s="1442">
        <f t="shared" si="88"/>
        <v>5.441931097474325E-2</v>
      </c>
      <c r="Z126" s="1442">
        <f t="shared" si="83"/>
        <v>1.2228108025256748E-2</v>
      </c>
      <c r="AA126" s="1435">
        <f t="shared" si="89"/>
        <v>6.6647418999999999E-2</v>
      </c>
      <c r="AC126" s="1442">
        <f t="shared" si="90"/>
        <v>5.441931097474325E-2</v>
      </c>
      <c r="AD126" s="1442">
        <f t="shared" si="84"/>
        <v>1.2228108025256748E-2</v>
      </c>
      <c r="AE126" s="1435">
        <f t="shared" si="91"/>
        <v>6.6647418999999999E-2</v>
      </c>
    </row>
    <row r="127" spans="1:31" x14ac:dyDescent="0.4">
      <c r="B127" s="1447" t="s">
        <v>1418</v>
      </c>
      <c r="C127" s="1448" t="s">
        <v>447</v>
      </c>
      <c r="D127" s="1435">
        <f t="shared" si="85"/>
        <v>0</v>
      </c>
      <c r="E127" s="1435">
        <f>+Capitalisation!Y17</f>
        <v>0</v>
      </c>
      <c r="F127" s="1435">
        <f>+Capitalisation!Z17</f>
        <v>0</v>
      </c>
      <c r="H127" s="1435"/>
      <c r="I127" s="1435"/>
      <c r="J127" s="1435"/>
      <c r="K127" s="1437">
        <f t="shared" si="77"/>
        <v>0</v>
      </c>
      <c r="L127" s="1437"/>
      <c r="M127" s="1435">
        <f t="shared" si="92"/>
        <v>0</v>
      </c>
      <c r="N127" s="1435">
        <f t="shared" si="93"/>
        <v>0</v>
      </c>
      <c r="O127" s="1435">
        <f t="shared" si="80"/>
        <v>0</v>
      </c>
      <c r="Q127" s="1437">
        <f>+$F127*$E$2</f>
        <v>0</v>
      </c>
      <c r="R127" s="1437">
        <f>+$F127*$F$2</f>
        <v>0</v>
      </c>
      <c r="S127" s="1435">
        <f t="shared" si="81"/>
        <v>0</v>
      </c>
      <c r="U127" s="1437">
        <f>+$F127*$E$2</f>
        <v>0</v>
      </c>
      <c r="V127" s="1437">
        <f>+$F127*$F$2</f>
        <v>0</v>
      </c>
      <c r="W127" s="1435">
        <f t="shared" si="82"/>
        <v>0</v>
      </c>
      <c r="Y127" s="1442">
        <f t="shared" si="88"/>
        <v>2.1849485038636714E-2</v>
      </c>
      <c r="Z127" s="1442">
        <f t="shared" si="83"/>
        <v>4.9096149613632881E-3</v>
      </c>
      <c r="AA127" s="1435">
        <f t="shared" si="89"/>
        <v>2.6759100000000001E-2</v>
      </c>
      <c r="AC127" s="1442">
        <f t="shared" si="90"/>
        <v>2.1849485038636714E-2</v>
      </c>
      <c r="AD127" s="1442">
        <f t="shared" si="84"/>
        <v>4.9096149613632881E-3</v>
      </c>
      <c r="AE127" s="1435">
        <f t="shared" si="91"/>
        <v>2.6759100000000001E-2</v>
      </c>
    </row>
    <row r="128" spans="1:31" x14ac:dyDescent="0.4">
      <c r="B128" s="1447" t="s">
        <v>1419</v>
      </c>
      <c r="C128" s="1448" t="s">
        <v>447</v>
      </c>
      <c r="D128" s="1435">
        <f t="shared" si="85"/>
        <v>1.7001E-3</v>
      </c>
      <c r="E128" s="1435">
        <f>+Capitalisation!Y18</f>
        <v>8.5004999999999998E-4</v>
      </c>
      <c r="F128" s="1435">
        <f>+Capitalisation!Z18</f>
        <v>8.5004999999999998E-4</v>
      </c>
      <c r="H128" s="1435">
        <f>+D128</f>
        <v>1.7001E-3</v>
      </c>
      <c r="I128" s="1435"/>
      <c r="J128" s="1435"/>
      <c r="K128" s="1437">
        <f t="shared" si="77"/>
        <v>1.7001E-3</v>
      </c>
      <c r="L128" s="1437"/>
      <c r="M128" s="1435">
        <f t="shared" si="92"/>
        <v>1.388174845722998E-3</v>
      </c>
      <c r="N128" s="1435">
        <f t="shared" si="93"/>
        <v>3.1192515427700204E-4</v>
      </c>
      <c r="O128" s="1435">
        <f t="shared" si="80"/>
        <v>1.7001E-3</v>
      </c>
      <c r="Q128" s="1437">
        <f>+$F128*$E$2</f>
        <v>6.9408742286149899E-4</v>
      </c>
      <c r="R128" s="1437">
        <f>+$F128*$F$2</f>
        <v>1.5596257713850102E-4</v>
      </c>
      <c r="S128" s="1435">
        <f t="shared" si="81"/>
        <v>8.5004999999999998E-4</v>
      </c>
      <c r="U128" s="1437">
        <f>+$F128*$E$2</f>
        <v>6.9408742286149899E-4</v>
      </c>
      <c r="V128" s="1437">
        <f>+$F128*$F$2</f>
        <v>1.5596257713850102E-4</v>
      </c>
      <c r="W128" s="1435">
        <f t="shared" si="82"/>
        <v>8.5004999999999998E-4</v>
      </c>
      <c r="Y128" s="1442">
        <f t="shared" si="88"/>
        <v>2.8719280730506697E-2</v>
      </c>
      <c r="Z128" s="1442">
        <f t="shared" si="83"/>
        <v>6.4532692694933055E-3</v>
      </c>
      <c r="AA128" s="1435">
        <f t="shared" si="89"/>
        <v>3.5172550000000004E-2</v>
      </c>
      <c r="AC128" s="1442">
        <f t="shared" si="90"/>
        <v>2.8719280730506697E-2</v>
      </c>
      <c r="AD128" s="1442">
        <f t="shared" si="84"/>
        <v>6.4532692694933055E-3</v>
      </c>
      <c r="AE128" s="1435">
        <f t="shared" si="91"/>
        <v>3.5172550000000004E-2</v>
      </c>
    </row>
    <row r="129" spans="1:31" x14ac:dyDescent="0.4">
      <c r="B129" s="1447" t="s">
        <v>1420</v>
      </c>
      <c r="C129" s="1448" t="s">
        <v>1270</v>
      </c>
      <c r="D129" s="1435">
        <f t="shared" si="85"/>
        <v>0</v>
      </c>
      <c r="E129" s="1435">
        <f>+Capitalisation!Y19</f>
        <v>0</v>
      </c>
      <c r="F129" s="1435">
        <f>+Capitalisation!Z19</f>
        <v>0</v>
      </c>
      <c r="H129" s="1435"/>
      <c r="I129" s="1435"/>
      <c r="J129" s="1435"/>
      <c r="K129" s="1437">
        <f t="shared" si="77"/>
        <v>0</v>
      </c>
      <c r="L129" s="1437"/>
      <c r="M129" s="1435">
        <f t="shared" si="92"/>
        <v>0</v>
      </c>
      <c r="N129" s="1435">
        <f t="shared" si="93"/>
        <v>0</v>
      </c>
      <c r="O129" s="1435">
        <f t="shared" si="80"/>
        <v>0</v>
      </c>
      <c r="Q129" s="1437"/>
      <c r="R129" s="1437"/>
      <c r="S129" s="1435">
        <f t="shared" si="81"/>
        <v>0</v>
      </c>
      <c r="U129" s="1437">
        <f>+M129</f>
        <v>0</v>
      </c>
      <c r="V129" s="1437">
        <f>+N129</f>
        <v>0</v>
      </c>
      <c r="W129" s="1435">
        <f t="shared" si="82"/>
        <v>0</v>
      </c>
      <c r="Y129" s="1442">
        <f t="shared" si="88"/>
        <v>0</v>
      </c>
      <c r="Z129" s="1442">
        <f t="shared" si="83"/>
        <v>0</v>
      </c>
      <c r="AA129" s="1435">
        <f t="shared" si="89"/>
        <v>0</v>
      </c>
      <c r="AC129" s="1442">
        <f t="shared" si="90"/>
        <v>0.19640359217449438</v>
      </c>
      <c r="AD129" s="1442">
        <f t="shared" si="84"/>
        <v>4.4132207825505622E-2</v>
      </c>
      <c r="AE129" s="1435">
        <f t="shared" si="91"/>
        <v>0.24053579999999999</v>
      </c>
    </row>
    <row r="130" spans="1:31" x14ac:dyDescent="0.4">
      <c r="B130" s="1447" t="s">
        <v>935</v>
      </c>
      <c r="C130" s="1448" t="s">
        <v>1410</v>
      </c>
      <c r="D130" s="1435">
        <f t="shared" si="85"/>
        <v>0</v>
      </c>
      <c r="E130" s="1435">
        <f>+Capitalisation!Y20</f>
        <v>0</v>
      </c>
      <c r="F130" s="1435">
        <f>+Capitalisation!Z20</f>
        <v>0</v>
      </c>
      <c r="H130" s="1435"/>
      <c r="I130" s="1435"/>
      <c r="J130" s="1435"/>
      <c r="K130" s="1437">
        <f t="shared" si="77"/>
        <v>0</v>
      </c>
      <c r="L130" s="1437"/>
      <c r="M130" s="1435">
        <f t="shared" si="92"/>
        <v>0</v>
      </c>
      <c r="N130" s="1435">
        <f t="shared" si="93"/>
        <v>0</v>
      </c>
      <c r="O130" s="1435">
        <f t="shared" si="80"/>
        <v>0</v>
      </c>
      <c r="Q130" s="1437">
        <f>+M130</f>
        <v>0</v>
      </c>
      <c r="R130" s="1437">
        <f>+N130</f>
        <v>0</v>
      </c>
      <c r="S130" s="1435">
        <f t="shared" si="81"/>
        <v>0</v>
      </c>
      <c r="U130" s="1437"/>
      <c r="V130" s="1437"/>
      <c r="W130" s="1435">
        <f t="shared" si="82"/>
        <v>0</v>
      </c>
      <c r="Y130" s="1442">
        <f t="shared" si="88"/>
        <v>2.85783892713987E-6</v>
      </c>
      <c r="Z130" s="1442">
        <f t="shared" si="83"/>
        <v>6.4216107286013009E-7</v>
      </c>
      <c r="AA130" s="1435">
        <f t="shared" si="89"/>
        <v>3.4999999999999999E-6</v>
      </c>
      <c r="AC130" s="1442">
        <f t="shared" si="90"/>
        <v>0</v>
      </c>
      <c r="AD130" s="1442">
        <f t="shared" si="84"/>
        <v>0</v>
      </c>
      <c r="AE130" s="1435">
        <f t="shared" si="91"/>
        <v>0</v>
      </c>
    </row>
    <row r="131" spans="1:31" x14ac:dyDescent="0.4">
      <c r="B131" s="1438"/>
      <c r="C131" s="1438"/>
      <c r="D131" s="1438"/>
      <c r="E131" s="1438"/>
      <c r="F131" s="1438"/>
      <c r="H131" s="1435"/>
      <c r="I131" s="1435"/>
      <c r="J131" s="1435"/>
      <c r="K131" s="1437">
        <f t="shared" si="77"/>
        <v>0</v>
      </c>
      <c r="L131" s="1437"/>
      <c r="M131" s="1438"/>
      <c r="N131" s="1438"/>
      <c r="O131" s="1438"/>
      <c r="Q131" s="1438"/>
      <c r="R131" s="1438"/>
      <c r="S131" s="1438"/>
      <c r="U131" s="1438"/>
      <c r="V131" s="1438"/>
      <c r="W131" s="1438"/>
      <c r="Y131" s="1442">
        <f t="shared" si="88"/>
        <v>0</v>
      </c>
      <c r="Z131" s="1442">
        <f t="shared" si="83"/>
        <v>0</v>
      </c>
      <c r="AA131" s="1435">
        <f t="shared" si="89"/>
        <v>0</v>
      </c>
      <c r="AC131" s="1442">
        <f t="shared" si="90"/>
        <v>0</v>
      </c>
      <c r="AD131" s="1442">
        <f t="shared" si="84"/>
        <v>0</v>
      </c>
      <c r="AE131" s="1435">
        <f t="shared" si="91"/>
        <v>0</v>
      </c>
    </row>
    <row r="132" spans="1:31" x14ac:dyDescent="0.4">
      <c r="B132" s="1441" t="s">
        <v>827</v>
      </c>
      <c r="C132" s="1438"/>
      <c r="D132" s="1439">
        <f>SUM(D115:D130)</f>
        <v>0.175413392</v>
      </c>
      <c r="E132" s="1439">
        <f>SUM(E115:E130)</f>
        <v>0.1283625645</v>
      </c>
      <c r="F132" s="1439">
        <f>SUM(F115:F130)</f>
        <v>4.7050827499999996E-2</v>
      </c>
      <c r="H132" s="1439">
        <f>SUM(H115:H130)</f>
        <v>0.17541337700000001</v>
      </c>
      <c r="I132" s="1439">
        <f>SUM(I115:I130)</f>
        <v>0</v>
      </c>
      <c r="J132" s="1439">
        <f>SUM(J115:J130)</f>
        <v>0</v>
      </c>
      <c r="K132" s="1439">
        <f t="shared" si="77"/>
        <v>0.17541337700000001</v>
      </c>
      <c r="L132" s="1439"/>
      <c r="M132" s="1439">
        <f>SUM(M115:M130)</f>
        <v>0.14322947918047474</v>
      </c>
      <c r="N132" s="1439">
        <f>SUM(N115:N130)</f>
        <v>3.2183897819525284E-2</v>
      </c>
      <c r="O132" s="1439">
        <f>SUM(O115:O130)</f>
        <v>0.17541337700000001</v>
      </c>
      <c r="Q132" s="1439">
        <f>SUM(Q115:Q130)</f>
        <v>0.10481129531874353</v>
      </c>
      <c r="R132" s="1439">
        <f>SUM(R115:R130)</f>
        <v>2.3551269181256475E-2</v>
      </c>
      <c r="S132" s="1439">
        <f>SUM(S115:S130)</f>
        <v>0.1283625645</v>
      </c>
      <c r="U132" s="1439">
        <f>SUM(U115:U130)</f>
        <v>3.8418183861731188E-2</v>
      </c>
      <c r="V132" s="1439">
        <f>SUM(V115:V130)</f>
        <v>8.6326286382688057E-3</v>
      </c>
      <c r="W132" s="1439">
        <f>SUM(W115:W130)</f>
        <v>4.705081249999999E-2</v>
      </c>
      <c r="Y132" s="1443">
        <f>SUM(Y115:Y131)</f>
        <v>42.324219401795375</v>
      </c>
      <c r="Z132" s="1443">
        <f>SUM(Z115:Z131)</f>
        <v>30.539141479045224</v>
      </c>
      <c r="AA132" s="1443">
        <f>SUM(AA115:AA131)</f>
        <v>72.863360880840617</v>
      </c>
      <c r="AC132" s="1443">
        <f>SUM(AC115:AC131)</f>
        <v>0.43099853173609332</v>
      </c>
      <c r="AD132" s="1443">
        <f>SUM(AD115:AD131)</f>
        <v>3.1956048503796737</v>
      </c>
      <c r="AE132" s="1443">
        <f>SUM(AE115:AE131)</f>
        <v>3.6266033821157673</v>
      </c>
    </row>
    <row r="133" spans="1:31" x14ac:dyDescent="0.4">
      <c r="K133" s="1429">
        <f>+K132-D132</f>
        <v>-1.4999999992104662E-8</v>
      </c>
      <c r="O133" s="1428">
        <f>+O132-D132</f>
        <v>-1.4999999992104662E-8</v>
      </c>
      <c r="Q133" s="1430">
        <f>+Q132+U132-M132</f>
        <v>0</v>
      </c>
      <c r="R133" s="1430">
        <f>+R132+V132-N132</f>
        <v>0</v>
      </c>
      <c r="S133" s="1430">
        <f>+S132+W132-O132</f>
        <v>0</v>
      </c>
      <c r="AA133" s="1428">
        <f>+Capitalisation!J22+Capitalisation!M22+Capitalisation!P22+Capitalisation!S22+Capitalisation!V22+Capitalisation!Y22-AA132</f>
        <v>2.0618159624063992E-8</v>
      </c>
      <c r="AB133" s="1428"/>
      <c r="AC133" s="1428"/>
      <c r="AD133" s="1428"/>
      <c r="AE133" s="1428">
        <f>+Capitalisation!K22+Capitalisation!N22+Capitalisation!Q22+Capitalisation!T22+Capitalisation!W22+Capitalisation!Z22-AE132</f>
        <v>3.180766583454897E-8</v>
      </c>
    </row>
    <row r="134" spans="1:31" x14ac:dyDescent="0.4">
      <c r="Y134" s="2005" t="s">
        <v>1663</v>
      </c>
      <c r="Z134" s="2005"/>
      <c r="AA134" s="2005"/>
      <c r="AB134" s="2005"/>
      <c r="AC134" s="2005"/>
      <c r="AD134" s="2005"/>
      <c r="AE134" s="2005"/>
    </row>
    <row r="135" spans="1:31" x14ac:dyDescent="0.4">
      <c r="B135" s="1444" t="s">
        <v>111</v>
      </c>
      <c r="C135" s="1444" t="s">
        <v>920</v>
      </c>
      <c r="D135" s="2006" t="s">
        <v>114</v>
      </c>
      <c r="E135" s="2006"/>
      <c r="F135" s="2006"/>
      <c r="H135" s="2007" t="s">
        <v>1654</v>
      </c>
      <c r="I135" s="2007"/>
      <c r="J135" s="2007"/>
      <c r="K135" s="2007"/>
      <c r="L135" s="1434"/>
      <c r="M135" s="2006" t="s">
        <v>1653</v>
      </c>
      <c r="N135" s="2006"/>
      <c r="O135" s="2006"/>
      <c r="Q135" s="2006" t="s">
        <v>1655</v>
      </c>
      <c r="R135" s="2006"/>
      <c r="S135" s="2006"/>
      <c r="U135" s="2006" t="s">
        <v>1656</v>
      </c>
      <c r="V135" s="2006"/>
      <c r="W135" s="2006"/>
      <c r="Y135" s="2006" t="s">
        <v>1655</v>
      </c>
      <c r="Z135" s="2006"/>
      <c r="AA135" s="2006"/>
      <c r="AC135" s="2006" t="s">
        <v>1656</v>
      </c>
      <c r="AD135" s="2006"/>
      <c r="AE135" s="2006"/>
    </row>
    <row r="136" spans="1:31" x14ac:dyDescent="0.4">
      <c r="B136" s="1446"/>
      <c r="C136" s="1446"/>
      <c r="D136" s="1446" t="s">
        <v>164</v>
      </c>
      <c r="E136" s="1446" t="s">
        <v>963</v>
      </c>
      <c r="F136" s="1446" t="s">
        <v>923</v>
      </c>
      <c r="H136" s="1446" t="s">
        <v>1651</v>
      </c>
      <c r="I136" s="1446" t="s">
        <v>1147</v>
      </c>
      <c r="J136" s="1446" t="s">
        <v>1148</v>
      </c>
      <c r="K136" s="1446" t="s">
        <v>827</v>
      </c>
      <c r="L136" s="1446"/>
      <c r="M136" s="1446" t="s">
        <v>1147</v>
      </c>
      <c r="N136" s="1446" t="s">
        <v>1148</v>
      </c>
      <c r="O136" s="1446" t="s">
        <v>164</v>
      </c>
      <c r="Q136" s="1446" t="s">
        <v>1147</v>
      </c>
      <c r="R136" s="1446" t="s">
        <v>1148</v>
      </c>
      <c r="S136" s="1446" t="s">
        <v>164</v>
      </c>
      <c r="U136" s="1446" t="s">
        <v>1147</v>
      </c>
      <c r="V136" s="1446" t="s">
        <v>1148</v>
      </c>
      <c r="W136" s="1446" t="s">
        <v>164</v>
      </c>
      <c r="Y136" s="1446" t="s">
        <v>1147</v>
      </c>
      <c r="Z136" s="1446" t="s">
        <v>1148</v>
      </c>
      <c r="AA136" s="1446" t="s">
        <v>164</v>
      </c>
      <c r="AC136" s="1446" t="s">
        <v>1147</v>
      </c>
      <c r="AD136" s="1446" t="s">
        <v>1148</v>
      </c>
      <c r="AE136" s="1446" t="s">
        <v>164</v>
      </c>
    </row>
    <row r="137" spans="1:31" x14ac:dyDescent="0.4">
      <c r="B137" s="1447" t="s">
        <v>1408</v>
      </c>
      <c r="C137" s="1448" t="s">
        <v>1409</v>
      </c>
      <c r="D137" s="1435">
        <f>+E137+F137</f>
        <v>0</v>
      </c>
      <c r="E137" s="1435">
        <f>+Capitalisation!AB5</f>
        <v>0</v>
      </c>
      <c r="F137" s="1435">
        <f>+Capitalisation!AC5</f>
        <v>0</v>
      </c>
      <c r="H137" s="1435"/>
      <c r="I137" s="1435"/>
      <c r="J137" s="1435"/>
      <c r="K137" s="1437">
        <f t="shared" ref="K137:K154" si="94">+H137+J137+I137</f>
        <v>0</v>
      </c>
      <c r="L137" s="1437"/>
      <c r="M137" s="1435">
        <f t="shared" ref="M137:M145" si="95">+I137+$H137*$E$2</f>
        <v>0</v>
      </c>
      <c r="N137" s="1435">
        <f t="shared" ref="N137:N145" si="96">+J137+$H137*$F$2</f>
        <v>0</v>
      </c>
      <c r="O137" s="1435">
        <f t="shared" ref="O137:O152" si="97">+M137+N137</f>
        <v>0</v>
      </c>
      <c r="Q137" s="1437">
        <f>+M137</f>
        <v>0</v>
      </c>
      <c r="R137" s="1437">
        <f>+N137</f>
        <v>0</v>
      </c>
      <c r="S137" s="1435">
        <f t="shared" ref="S137:S152" si="98">+Q137+R137</f>
        <v>0</v>
      </c>
      <c r="U137" s="1437"/>
      <c r="V137" s="1437"/>
      <c r="W137" s="1435">
        <f t="shared" ref="W137:W152" si="99">+U137+V137</f>
        <v>0</v>
      </c>
      <c r="Y137" s="1442">
        <f>+Y115+Q137</f>
        <v>9.4410068403429079</v>
      </c>
      <c r="Z137" s="1442">
        <f t="shared" ref="Z137:Z153" si="100">+Z115+R137</f>
        <v>2.1214096511527107</v>
      </c>
      <c r="AA137" s="1435">
        <f>+Y137+Z137</f>
        <v>11.562416491495618</v>
      </c>
      <c r="AC137" s="1442">
        <f>+AC115+U137</f>
        <v>0</v>
      </c>
      <c r="AD137" s="1442">
        <f t="shared" ref="AD137:AD153" si="101">+AD115+V137</f>
        <v>0</v>
      </c>
      <c r="AE137" s="1435">
        <f>+AC137+AD137</f>
        <v>0</v>
      </c>
    </row>
    <row r="138" spans="1:31" x14ac:dyDescent="0.4">
      <c r="A138" s="1429"/>
      <c r="B138" s="1447" t="s">
        <v>924</v>
      </c>
      <c r="C138" s="1448" t="s">
        <v>440</v>
      </c>
      <c r="D138" s="1435">
        <f t="shared" ref="D138:D152" si="102">+E138+F138</f>
        <v>0</v>
      </c>
      <c r="E138" s="1435">
        <f>+Capitalisation!AB6</f>
        <v>0</v>
      </c>
      <c r="F138" s="1435">
        <f>+Capitalisation!AC6</f>
        <v>0</v>
      </c>
      <c r="H138" s="1435"/>
      <c r="I138" s="1435"/>
      <c r="J138" s="1435"/>
      <c r="K138" s="1437">
        <f t="shared" si="94"/>
        <v>0</v>
      </c>
      <c r="L138" s="1437"/>
      <c r="M138" s="1435">
        <f t="shared" si="95"/>
        <v>0</v>
      </c>
      <c r="N138" s="1435">
        <f t="shared" si="96"/>
        <v>0</v>
      </c>
      <c r="O138" s="1435">
        <f t="shared" si="97"/>
        <v>0</v>
      </c>
      <c r="Q138" s="1437">
        <f t="shared" ref="Q138:Q143" si="103">+M138</f>
        <v>0</v>
      </c>
      <c r="R138" s="1437">
        <f t="shared" ref="R138:R143" si="104">+N138</f>
        <v>0</v>
      </c>
      <c r="S138" s="1435">
        <f t="shared" si="98"/>
        <v>0</v>
      </c>
      <c r="U138" s="1437"/>
      <c r="V138" s="1437"/>
      <c r="W138" s="1435">
        <f t="shared" si="99"/>
        <v>0</v>
      </c>
      <c r="Y138" s="1442">
        <f t="shared" ref="Y138:Y153" si="105">+Y116+Q138</f>
        <v>5.4486998643654241</v>
      </c>
      <c r="Z138" s="1442">
        <f t="shared" si="100"/>
        <v>2.9252425047973549</v>
      </c>
      <c r="AA138" s="1435">
        <f t="shared" ref="AA138:AA153" si="106">+Y138+Z138</f>
        <v>8.3739423691627799</v>
      </c>
      <c r="AC138" s="1442">
        <f t="shared" ref="AC138:AC153" si="107">+AC116+U138</f>
        <v>0</v>
      </c>
      <c r="AD138" s="1442">
        <f t="shared" si="101"/>
        <v>0</v>
      </c>
      <c r="AE138" s="1435">
        <f t="shared" ref="AE138:AE153" si="108">+AC138+AD138</f>
        <v>0</v>
      </c>
    </row>
    <row r="139" spans="1:31" x14ac:dyDescent="0.4">
      <c r="A139" s="1429"/>
      <c r="B139" s="1447" t="s">
        <v>1411</v>
      </c>
      <c r="C139" s="1448" t="s">
        <v>440</v>
      </c>
      <c r="D139" s="1435">
        <f t="shared" si="102"/>
        <v>0</v>
      </c>
      <c r="E139" s="1435">
        <f>+Capitalisation!AB7</f>
        <v>0</v>
      </c>
      <c r="F139" s="1435">
        <f>+Capitalisation!AC7</f>
        <v>0</v>
      </c>
      <c r="H139" s="1435"/>
      <c r="I139" s="1435"/>
      <c r="J139" s="1435"/>
      <c r="K139" s="1437">
        <f t="shared" si="94"/>
        <v>0</v>
      </c>
      <c r="L139" s="1437"/>
      <c r="M139" s="1435">
        <f t="shared" si="95"/>
        <v>0</v>
      </c>
      <c r="N139" s="1435">
        <f t="shared" si="96"/>
        <v>0</v>
      </c>
      <c r="O139" s="1435">
        <f t="shared" si="97"/>
        <v>0</v>
      </c>
      <c r="Q139" s="1437">
        <f t="shared" si="103"/>
        <v>0</v>
      </c>
      <c r="R139" s="1437">
        <f t="shared" si="104"/>
        <v>0</v>
      </c>
      <c r="S139" s="1435">
        <f t="shared" si="98"/>
        <v>0</v>
      </c>
      <c r="U139" s="1437"/>
      <c r="V139" s="1437"/>
      <c r="W139" s="1435">
        <f t="shared" si="99"/>
        <v>0</v>
      </c>
      <c r="Y139" s="1442">
        <f t="shared" si="105"/>
        <v>0.69598225003610104</v>
      </c>
      <c r="Z139" s="1442">
        <f t="shared" si="100"/>
        <v>0.20977299040614894</v>
      </c>
      <c r="AA139" s="1435">
        <f t="shared" si="106"/>
        <v>0.90575524044224998</v>
      </c>
      <c r="AC139" s="1442">
        <f t="shared" si="107"/>
        <v>0</v>
      </c>
      <c r="AD139" s="1442">
        <f t="shared" si="101"/>
        <v>0</v>
      </c>
      <c r="AE139" s="1435">
        <f t="shared" si="108"/>
        <v>0</v>
      </c>
    </row>
    <row r="140" spans="1:31" x14ac:dyDescent="0.4">
      <c r="B140" s="1447" t="s">
        <v>925</v>
      </c>
      <c r="C140" s="1448" t="s">
        <v>440</v>
      </c>
      <c r="D140" s="1435">
        <f t="shared" si="102"/>
        <v>0</v>
      </c>
      <c r="E140" s="1435">
        <f>+Capitalisation!AB8</f>
        <v>0</v>
      </c>
      <c r="F140" s="1435">
        <f>+Capitalisation!AC8</f>
        <v>0</v>
      </c>
      <c r="H140" s="1435"/>
      <c r="I140" s="1435"/>
      <c r="J140" s="1435"/>
      <c r="K140" s="1437">
        <f t="shared" si="94"/>
        <v>0</v>
      </c>
      <c r="L140" s="1437"/>
      <c r="M140" s="1435">
        <f t="shared" si="95"/>
        <v>0</v>
      </c>
      <c r="N140" s="1435">
        <f t="shared" si="96"/>
        <v>0</v>
      </c>
      <c r="O140" s="1435">
        <f t="shared" si="97"/>
        <v>0</v>
      </c>
      <c r="Q140" s="1437">
        <f t="shared" si="103"/>
        <v>0</v>
      </c>
      <c r="R140" s="1437">
        <f t="shared" si="104"/>
        <v>0</v>
      </c>
      <c r="S140" s="1435">
        <f t="shared" si="98"/>
        <v>0</v>
      </c>
      <c r="U140" s="1437"/>
      <c r="V140" s="1437"/>
      <c r="W140" s="1435">
        <f t="shared" si="99"/>
        <v>0</v>
      </c>
      <c r="Y140" s="1442">
        <f t="shared" si="105"/>
        <v>8.9626038871801368E-4</v>
      </c>
      <c r="Z140" s="1442">
        <f t="shared" si="100"/>
        <v>2.0139117264988824E-4</v>
      </c>
      <c r="AA140" s="1435">
        <f t="shared" si="106"/>
        <v>1.0976515613679019E-3</v>
      </c>
      <c r="AC140" s="1442">
        <f t="shared" si="107"/>
        <v>0</v>
      </c>
      <c r="AD140" s="1442">
        <f t="shared" si="101"/>
        <v>0</v>
      </c>
      <c r="AE140" s="1435">
        <f t="shared" si="108"/>
        <v>0</v>
      </c>
    </row>
    <row r="141" spans="1:31" x14ac:dyDescent="0.4">
      <c r="B141" s="1447" t="s">
        <v>1412</v>
      </c>
      <c r="C141" s="1448" t="s">
        <v>440</v>
      </c>
      <c r="D141" s="1435">
        <f t="shared" si="102"/>
        <v>0</v>
      </c>
      <c r="E141" s="1435">
        <f>+Capitalisation!AB9</f>
        <v>0</v>
      </c>
      <c r="F141" s="1435">
        <f>+Capitalisation!AC9</f>
        <v>0</v>
      </c>
      <c r="H141" s="1435"/>
      <c r="I141" s="1435"/>
      <c r="J141" s="1435"/>
      <c r="K141" s="1437">
        <f t="shared" si="94"/>
        <v>0</v>
      </c>
      <c r="L141" s="1437"/>
      <c r="M141" s="1435">
        <f t="shared" si="95"/>
        <v>0</v>
      </c>
      <c r="N141" s="1435">
        <f t="shared" si="96"/>
        <v>0</v>
      </c>
      <c r="O141" s="1435">
        <f t="shared" si="97"/>
        <v>0</v>
      </c>
      <c r="Q141" s="1437">
        <f t="shared" si="103"/>
        <v>0</v>
      </c>
      <c r="R141" s="1437">
        <f t="shared" si="104"/>
        <v>0</v>
      </c>
      <c r="S141" s="1435">
        <f t="shared" si="98"/>
        <v>0</v>
      </c>
      <c r="U141" s="1437"/>
      <c r="V141" s="1437"/>
      <c r="W141" s="1435">
        <f t="shared" si="99"/>
        <v>0</v>
      </c>
      <c r="Y141" s="1442">
        <f t="shared" si="105"/>
        <v>5.3012747903415827</v>
      </c>
      <c r="Z141" s="1442">
        <f t="shared" si="100"/>
        <v>1.1912051006664377</v>
      </c>
      <c r="AA141" s="1435">
        <f t="shared" si="106"/>
        <v>6.4924798910080206</v>
      </c>
      <c r="AC141" s="1442">
        <f t="shared" si="107"/>
        <v>0</v>
      </c>
      <c r="AD141" s="1442">
        <f t="shared" si="101"/>
        <v>0</v>
      </c>
      <c r="AE141" s="1435">
        <f t="shared" si="108"/>
        <v>0</v>
      </c>
    </row>
    <row r="142" spans="1:31" x14ac:dyDescent="0.4">
      <c r="A142" s="1429"/>
      <c r="B142" s="1447" t="s">
        <v>1413</v>
      </c>
      <c r="C142" s="1448" t="s">
        <v>440</v>
      </c>
      <c r="D142" s="1435">
        <f t="shared" si="102"/>
        <v>0</v>
      </c>
      <c r="E142" s="1435">
        <f>+Capitalisation!AB10</f>
        <v>0</v>
      </c>
      <c r="F142" s="1435">
        <f>+Capitalisation!AC10</f>
        <v>0</v>
      </c>
      <c r="H142" s="1435"/>
      <c r="I142" s="1435"/>
      <c r="J142" s="1435"/>
      <c r="K142" s="1437">
        <f t="shared" si="94"/>
        <v>0</v>
      </c>
      <c r="L142" s="1437"/>
      <c r="M142" s="1435">
        <f t="shared" si="95"/>
        <v>0</v>
      </c>
      <c r="N142" s="1435">
        <f t="shared" si="96"/>
        <v>0</v>
      </c>
      <c r="O142" s="1435">
        <f t="shared" si="97"/>
        <v>0</v>
      </c>
      <c r="Q142" s="1437">
        <f t="shared" si="103"/>
        <v>0</v>
      </c>
      <c r="R142" s="1437">
        <f t="shared" si="104"/>
        <v>0</v>
      </c>
      <c r="S142" s="1435">
        <f t="shared" si="98"/>
        <v>0</v>
      </c>
      <c r="U142" s="1437"/>
      <c r="V142" s="1437"/>
      <c r="W142" s="1435">
        <f t="shared" si="99"/>
        <v>0</v>
      </c>
      <c r="Y142" s="1442">
        <f t="shared" si="105"/>
        <v>0.25141696275547165</v>
      </c>
      <c r="Z142" s="1442">
        <f t="shared" si="100"/>
        <v>0.15493493872461195</v>
      </c>
      <c r="AA142" s="1435">
        <f t="shared" si="106"/>
        <v>0.4063519014800836</v>
      </c>
      <c r="AC142" s="1442">
        <f t="shared" si="107"/>
        <v>0</v>
      </c>
      <c r="AD142" s="1442">
        <f t="shared" si="101"/>
        <v>0</v>
      </c>
      <c r="AE142" s="1435">
        <f t="shared" si="108"/>
        <v>0</v>
      </c>
    </row>
    <row r="143" spans="1:31" x14ac:dyDescent="0.4">
      <c r="B143" s="1447" t="s">
        <v>1414</v>
      </c>
      <c r="C143" s="1448" t="s">
        <v>440</v>
      </c>
      <c r="D143" s="1435">
        <f t="shared" si="102"/>
        <v>0</v>
      </c>
      <c r="E143" s="1435">
        <f>+Capitalisation!AB11</f>
        <v>0</v>
      </c>
      <c r="F143" s="1435">
        <f>+Capitalisation!AC11</f>
        <v>0</v>
      </c>
      <c r="H143" s="1435"/>
      <c r="I143" s="1435"/>
      <c r="J143" s="1435"/>
      <c r="K143" s="1437">
        <f t="shared" si="94"/>
        <v>0</v>
      </c>
      <c r="L143" s="1437"/>
      <c r="M143" s="1435">
        <f t="shared" si="95"/>
        <v>0</v>
      </c>
      <c r="N143" s="1435">
        <f t="shared" si="96"/>
        <v>0</v>
      </c>
      <c r="O143" s="1435">
        <f t="shared" si="97"/>
        <v>0</v>
      </c>
      <c r="Q143" s="1437">
        <f t="shared" si="103"/>
        <v>0</v>
      </c>
      <c r="R143" s="1437">
        <f t="shared" si="104"/>
        <v>0</v>
      </c>
      <c r="S143" s="1435">
        <f t="shared" si="98"/>
        <v>0</v>
      </c>
      <c r="U143" s="1437"/>
      <c r="V143" s="1437"/>
      <c r="W143" s="1435">
        <f t="shared" si="99"/>
        <v>0</v>
      </c>
      <c r="Y143" s="1442">
        <f t="shared" si="105"/>
        <v>1.9764527304038795E-2</v>
      </c>
      <c r="Z143" s="1442">
        <f t="shared" si="100"/>
        <v>4.8791153710798672E-3</v>
      </c>
      <c r="AA143" s="1435">
        <f t="shared" si="106"/>
        <v>2.4643642675118663E-2</v>
      </c>
      <c r="AC143" s="1442">
        <f t="shared" si="107"/>
        <v>0</v>
      </c>
      <c r="AD143" s="1442">
        <f t="shared" si="101"/>
        <v>0</v>
      </c>
      <c r="AE143" s="1435">
        <f t="shared" si="108"/>
        <v>0</v>
      </c>
    </row>
    <row r="144" spans="1:31" x14ac:dyDescent="0.4">
      <c r="B144" s="1447" t="s">
        <v>915</v>
      </c>
      <c r="C144" s="1448" t="s">
        <v>915</v>
      </c>
      <c r="D144" s="1435">
        <f t="shared" si="102"/>
        <v>0</v>
      </c>
      <c r="E144" s="1435">
        <f>+Capitalisation!AB12</f>
        <v>0</v>
      </c>
      <c r="F144" s="1435">
        <f>+Capitalisation!AC12</f>
        <v>0</v>
      </c>
      <c r="H144" s="1435"/>
      <c r="I144" s="1435"/>
      <c r="J144" s="1435"/>
      <c r="K144" s="1437">
        <f t="shared" si="94"/>
        <v>0</v>
      </c>
      <c r="L144" s="1437"/>
      <c r="M144" s="1435">
        <f t="shared" si="95"/>
        <v>0</v>
      </c>
      <c r="N144" s="1435">
        <f t="shared" si="96"/>
        <v>0</v>
      </c>
      <c r="O144" s="1435">
        <f t="shared" si="97"/>
        <v>0</v>
      </c>
      <c r="Q144" s="1438"/>
      <c r="R144" s="1438"/>
      <c r="S144" s="1435">
        <f t="shared" si="98"/>
        <v>0</v>
      </c>
      <c r="U144" s="1437">
        <f>+M144</f>
        <v>0</v>
      </c>
      <c r="V144" s="1437">
        <f>+N144</f>
        <v>0</v>
      </c>
      <c r="W144" s="1435">
        <f t="shared" si="99"/>
        <v>0</v>
      </c>
      <c r="Y144" s="1442">
        <f t="shared" si="105"/>
        <v>0</v>
      </c>
      <c r="Z144" s="1442">
        <f t="shared" si="100"/>
        <v>0</v>
      </c>
      <c r="AA144" s="1435">
        <f t="shared" si="106"/>
        <v>0</v>
      </c>
      <c r="AC144" s="1442">
        <f t="shared" si="107"/>
        <v>0.12906811935367601</v>
      </c>
      <c r="AD144" s="1442">
        <f t="shared" si="101"/>
        <v>3.1277605937620909</v>
      </c>
      <c r="AE144" s="1435">
        <f t="shared" si="108"/>
        <v>3.2568287131157669</v>
      </c>
    </row>
    <row r="145" spans="1:31" x14ac:dyDescent="0.4">
      <c r="A145" s="1429"/>
      <c r="B145" s="1447" t="s">
        <v>1415</v>
      </c>
      <c r="C145" s="1448" t="s">
        <v>440</v>
      </c>
      <c r="D145" s="1435">
        <f t="shared" si="102"/>
        <v>0</v>
      </c>
      <c r="E145" s="1435">
        <f>+Capitalisation!AB13</f>
        <v>0</v>
      </c>
      <c r="F145" s="1435">
        <f>+Capitalisation!AC13</f>
        <v>0</v>
      </c>
      <c r="H145" s="1435"/>
      <c r="I145" s="1435"/>
      <c r="J145" s="1435"/>
      <c r="K145" s="1437">
        <f t="shared" si="94"/>
        <v>0</v>
      </c>
      <c r="L145" s="1437"/>
      <c r="M145" s="1435">
        <f t="shared" si="95"/>
        <v>0</v>
      </c>
      <c r="N145" s="1435">
        <f t="shared" si="96"/>
        <v>0</v>
      </c>
      <c r="O145" s="1435">
        <f t="shared" si="97"/>
        <v>0</v>
      </c>
      <c r="Q145" s="1437">
        <f>+M145</f>
        <v>0</v>
      </c>
      <c r="R145" s="1437">
        <f>+N145</f>
        <v>0</v>
      </c>
      <c r="S145" s="1435">
        <f t="shared" si="98"/>
        <v>0</v>
      </c>
      <c r="U145" s="1437"/>
      <c r="V145" s="1437"/>
      <c r="W145" s="1435">
        <f t="shared" si="99"/>
        <v>0</v>
      </c>
      <c r="Y145" s="1442">
        <f t="shared" si="105"/>
        <v>17.023001396940938</v>
      </c>
      <c r="Z145" s="1442">
        <f t="shared" si="100"/>
        <v>22.486431702743765</v>
      </c>
      <c r="AA145" s="1435">
        <f t="shared" si="106"/>
        <v>39.509433099684699</v>
      </c>
      <c r="AC145" s="1442">
        <f t="shared" si="107"/>
        <v>0</v>
      </c>
      <c r="AD145" s="1442">
        <f t="shared" si="101"/>
        <v>0</v>
      </c>
      <c r="AE145" s="1435">
        <f t="shared" si="108"/>
        <v>0</v>
      </c>
    </row>
    <row r="146" spans="1:31" x14ac:dyDescent="0.4">
      <c r="B146" s="1447" t="s">
        <v>445</v>
      </c>
      <c r="C146" s="1448" t="s">
        <v>879</v>
      </c>
      <c r="D146" s="1435">
        <f t="shared" si="102"/>
        <v>0</v>
      </c>
      <c r="E146" s="1435">
        <f>+Capitalisation!AB14</f>
        <v>0</v>
      </c>
      <c r="F146" s="1435">
        <f>+Capitalisation!AC14</f>
        <v>0</v>
      </c>
      <c r="H146" s="1435"/>
      <c r="I146" s="1435"/>
      <c r="J146" s="1435"/>
      <c r="K146" s="1437">
        <f t="shared" si="94"/>
        <v>0</v>
      </c>
      <c r="L146" s="1437"/>
      <c r="M146" s="1435"/>
      <c r="N146" s="1435"/>
      <c r="O146" s="1435">
        <f t="shared" si="97"/>
        <v>0</v>
      </c>
      <c r="Q146" s="1437"/>
      <c r="R146" s="1437"/>
      <c r="S146" s="1435">
        <f t="shared" si="98"/>
        <v>0</v>
      </c>
      <c r="U146" s="1437"/>
      <c r="V146" s="1437"/>
      <c r="W146" s="1435">
        <f t="shared" si="99"/>
        <v>0</v>
      </c>
      <c r="Y146" s="1442">
        <f t="shared" si="105"/>
        <v>4.8486911763262787E-3</v>
      </c>
      <c r="Z146" s="1442">
        <f t="shared" si="100"/>
        <v>1.0895088236737213E-3</v>
      </c>
      <c r="AA146" s="1435">
        <f t="shared" si="106"/>
        <v>5.9382000000000002E-3</v>
      </c>
      <c r="AC146" s="1442">
        <f t="shared" si="107"/>
        <v>5.3874346403625295E-4</v>
      </c>
      <c r="AD146" s="1442">
        <f t="shared" si="101"/>
        <v>1.2105653596374677E-4</v>
      </c>
      <c r="AE146" s="1435">
        <f t="shared" si="108"/>
        <v>6.5979999999999967E-4</v>
      </c>
    </row>
    <row r="147" spans="1:31" x14ac:dyDescent="0.4">
      <c r="A147" s="1429"/>
      <c r="B147" s="1447" t="s">
        <v>1416</v>
      </c>
      <c r="C147" s="1448" t="s">
        <v>440</v>
      </c>
      <c r="D147" s="1435">
        <f t="shared" si="102"/>
        <v>0</v>
      </c>
      <c r="E147" s="1435">
        <f>+Capitalisation!AB15</f>
        <v>0</v>
      </c>
      <c r="F147" s="1435">
        <f>+Capitalisation!AC15</f>
        <v>0</v>
      </c>
      <c r="H147" s="1435"/>
      <c r="I147" s="1435"/>
      <c r="J147" s="1435"/>
      <c r="K147" s="1437">
        <f t="shared" si="94"/>
        <v>0</v>
      </c>
      <c r="L147" s="1437"/>
      <c r="M147" s="1435">
        <f t="shared" ref="M147:M152" si="109">+I147+$H147*$E$2</f>
        <v>0</v>
      </c>
      <c r="N147" s="1435">
        <f t="shared" ref="N147:N152" si="110">+J147+$H147*$F$2</f>
        <v>0</v>
      </c>
      <c r="O147" s="1435">
        <f t="shared" si="97"/>
        <v>0</v>
      </c>
      <c r="Q147" s="1437">
        <f>+M147</f>
        <v>0</v>
      </c>
      <c r="R147" s="1437">
        <f>+N147</f>
        <v>0</v>
      </c>
      <c r="S147" s="1435">
        <f t="shared" si="98"/>
        <v>0</v>
      </c>
      <c r="U147" s="1437"/>
      <c r="V147" s="1437"/>
      <c r="W147" s="1435">
        <f t="shared" si="99"/>
        <v>0</v>
      </c>
      <c r="Y147" s="1442">
        <f t="shared" si="105"/>
        <v>4.0323368835610527</v>
      </c>
      <c r="Z147" s="1442">
        <f t="shared" si="100"/>
        <v>1.4203829407696011</v>
      </c>
      <c r="AA147" s="1435">
        <f t="shared" si="106"/>
        <v>5.4527198243306536</v>
      </c>
      <c r="AC147" s="1442">
        <f t="shared" si="107"/>
        <v>0</v>
      </c>
      <c r="AD147" s="1442">
        <f t="shared" si="101"/>
        <v>0</v>
      </c>
      <c r="AE147" s="1435">
        <f t="shared" si="108"/>
        <v>0</v>
      </c>
    </row>
    <row r="148" spans="1:31" x14ac:dyDescent="0.4">
      <c r="B148" s="1447" t="s">
        <v>1417</v>
      </c>
      <c r="C148" s="1448" t="s">
        <v>1269</v>
      </c>
      <c r="D148" s="1435">
        <f t="shared" si="102"/>
        <v>1.0511319999999999E-2</v>
      </c>
      <c r="E148" s="1435">
        <f>+Capitalisation!AB16</f>
        <v>5.2556599999999997E-3</v>
      </c>
      <c r="F148" s="1435">
        <f>+Capitalisation!AC16</f>
        <v>5.2556599999999997E-3</v>
      </c>
      <c r="H148" s="1435"/>
      <c r="I148" s="1435"/>
      <c r="J148" s="1435"/>
      <c r="K148" s="1437">
        <f t="shared" si="94"/>
        <v>0</v>
      </c>
      <c r="L148" s="1437"/>
      <c r="M148" s="1435">
        <f t="shared" si="109"/>
        <v>0</v>
      </c>
      <c r="N148" s="1435">
        <f t="shared" si="110"/>
        <v>0</v>
      </c>
      <c r="O148" s="1435">
        <f t="shared" si="97"/>
        <v>0</v>
      </c>
      <c r="Q148" s="1437">
        <f>+$F148*$E$2</f>
        <v>4.2913799245176939E-3</v>
      </c>
      <c r="R148" s="1437">
        <f>+$F148*$F$2</f>
        <v>9.6428007548230615E-4</v>
      </c>
      <c r="S148" s="1435">
        <f t="shared" si="98"/>
        <v>5.2556599999999997E-3</v>
      </c>
      <c r="U148" s="1437">
        <f>+$F148*$E$2</f>
        <v>4.2913799245176939E-3</v>
      </c>
      <c r="V148" s="1437">
        <f>+$F148*$F$2</f>
        <v>9.6428007548230615E-4</v>
      </c>
      <c r="W148" s="1435">
        <f t="shared" si="99"/>
        <v>5.2556599999999997E-3</v>
      </c>
      <c r="Y148" s="1442">
        <f t="shared" si="105"/>
        <v>5.8710690899260946E-2</v>
      </c>
      <c r="Z148" s="1442">
        <f t="shared" si="100"/>
        <v>1.3192388100739054E-2</v>
      </c>
      <c r="AA148" s="1435">
        <f t="shared" si="106"/>
        <v>7.1903078999999995E-2</v>
      </c>
      <c r="AC148" s="1442">
        <f t="shared" si="107"/>
        <v>5.8710690899260946E-2</v>
      </c>
      <c r="AD148" s="1442">
        <f t="shared" si="101"/>
        <v>1.3192388100739054E-2</v>
      </c>
      <c r="AE148" s="1435">
        <f t="shared" si="108"/>
        <v>7.1903078999999995E-2</v>
      </c>
    </row>
    <row r="149" spans="1:31" x14ac:dyDescent="0.4">
      <c r="B149" s="1447" t="s">
        <v>1418</v>
      </c>
      <c r="C149" s="1448" t="s">
        <v>447</v>
      </c>
      <c r="D149" s="1435">
        <f t="shared" si="102"/>
        <v>1.0442999999999999E-2</v>
      </c>
      <c r="E149" s="1435">
        <f>+Capitalisation!AB17</f>
        <v>5.2214999999999996E-3</v>
      </c>
      <c r="F149" s="1435">
        <f>+Capitalisation!AC17</f>
        <v>5.2214999999999996E-3</v>
      </c>
      <c r="H149" s="1435"/>
      <c r="I149" s="1435"/>
      <c r="J149" s="1435"/>
      <c r="K149" s="1437">
        <f t="shared" si="94"/>
        <v>0</v>
      </c>
      <c r="L149" s="1437"/>
      <c r="M149" s="1435">
        <f t="shared" si="109"/>
        <v>0</v>
      </c>
      <c r="N149" s="1435">
        <f t="shared" si="110"/>
        <v>0</v>
      </c>
      <c r="O149" s="1435">
        <f t="shared" si="97"/>
        <v>0</v>
      </c>
      <c r="Q149" s="1437">
        <f>+$F149*$E$2</f>
        <v>4.2634874165888084E-3</v>
      </c>
      <c r="R149" s="1437">
        <f>+$F149*$F$2</f>
        <v>9.5801258341119116E-4</v>
      </c>
      <c r="S149" s="1435">
        <f t="shared" si="98"/>
        <v>5.2214999999999996E-3</v>
      </c>
      <c r="U149" s="1437">
        <f>+$F149*$E$2</f>
        <v>4.2634874165888084E-3</v>
      </c>
      <c r="V149" s="1437">
        <f>+$F149*$F$2</f>
        <v>9.5801258341119116E-4</v>
      </c>
      <c r="W149" s="1435">
        <f t="shared" si="99"/>
        <v>5.2214999999999996E-3</v>
      </c>
      <c r="Y149" s="1442">
        <f t="shared" si="105"/>
        <v>2.6112972455225522E-2</v>
      </c>
      <c r="Z149" s="1442">
        <f t="shared" si="100"/>
        <v>5.8676275447744793E-3</v>
      </c>
      <c r="AA149" s="1435">
        <f t="shared" si="106"/>
        <v>3.1980599999999998E-2</v>
      </c>
      <c r="AC149" s="1442">
        <f t="shared" si="107"/>
        <v>2.6112972455225522E-2</v>
      </c>
      <c r="AD149" s="1442">
        <f t="shared" si="101"/>
        <v>5.8676275447744793E-3</v>
      </c>
      <c r="AE149" s="1435">
        <f t="shared" si="108"/>
        <v>3.1980599999999998E-2</v>
      </c>
    </row>
    <row r="150" spans="1:31" x14ac:dyDescent="0.4">
      <c r="B150" s="1447" t="s">
        <v>1419</v>
      </c>
      <c r="C150" s="1448" t="s">
        <v>447</v>
      </c>
      <c r="D150" s="1435">
        <f t="shared" si="102"/>
        <v>5.1772500000000004E-3</v>
      </c>
      <c r="E150" s="1435">
        <f>+Capitalisation!AB18</f>
        <v>2.5886250000000002E-3</v>
      </c>
      <c r="F150" s="1435">
        <f>+Capitalisation!AC18</f>
        <v>2.5886250000000002E-3</v>
      </c>
      <c r="H150" s="1435"/>
      <c r="I150" s="1435"/>
      <c r="J150" s="1435"/>
      <c r="K150" s="1437">
        <f t="shared" si="94"/>
        <v>0</v>
      </c>
      <c r="L150" s="1437"/>
      <c r="M150" s="1435">
        <f t="shared" si="109"/>
        <v>0</v>
      </c>
      <c r="N150" s="1435">
        <f t="shared" si="110"/>
        <v>0</v>
      </c>
      <c r="O150" s="1435">
        <f t="shared" si="97"/>
        <v>0</v>
      </c>
      <c r="Q150" s="1437">
        <f>+$F150*$E$2</f>
        <v>2.1136780836478416E-3</v>
      </c>
      <c r="R150" s="1437">
        <f>+$F150*$F$2</f>
        <v>4.7494691635215845E-4</v>
      </c>
      <c r="S150" s="1435">
        <f t="shared" si="98"/>
        <v>2.5886250000000002E-3</v>
      </c>
      <c r="U150" s="1437">
        <f>+$F150*$E$2</f>
        <v>2.1136780836478416E-3</v>
      </c>
      <c r="V150" s="1437">
        <f>+$F150*$F$2</f>
        <v>4.7494691635215845E-4</v>
      </c>
      <c r="W150" s="1435">
        <f t="shared" si="99"/>
        <v>2.5886250000000002E-3</v>
      </c>
      <c r="Y150" s="1442">
        <f t="shared" si="105"/>
        <v>3.083295881415454E-2</v>
      </c>
      <c r="Z150" s="1442">
        <f t="shared" si="100"/>
        <v>6.9282161858454641E-3</v>
      </c>
      <c r="AA150" s="1435">
        <f t="shared" si="106"/>
        <v>3.7761175000000001E-2</v>
      </c>
      <c r="AC150" s="1442">
        <f t="shared" si="107"/>
        <v>3.083295881415454E-2</v>
      </c>
      <c r="AD150" s="1442">
        <f t="shared" si="101"/>
        <v>6.9282161858454641E-3</v>
      </c>
      <c r="AE150" s="1435">
        <f t="shared" si="108"/>
        <v>3.7761175000000001E-2</v>
      </c>
    </row>
    <row r="151" spans="1:31" x14ac:dyDescent="0.4">
      <c r="B151" s="1447" t="s">
        <v>1420</v>
      </c>
      <c r="C151" s="1448" t="s">
        <v>1270</v>
      </c>
      <c r="D151" s="1435">
        <f t="shared" si="102"/>
        <v>7.7879999999999998E-3</v>
      </c>
      <c r="E151" s="1435">
        <f>+Capitalisation!AB19</f>
        <v>0</v>
      </c>
      <c r="F151" s="1435">
        <f>+Capitalisation!AC19</f>
        <v>7.7879999999999998E-3</v>
      </c>
      <c r="H151" s="1435"/>
      <c r="I151" s="1435"/>
      <c r="J151" s="1435"/>
      <c r="K151" s="1437">
        <f t="shared" si="94"/>
        <v>0</v>
      </c>
      <c r="L151" s="1437"/>
      <c r="M151" s="1435">
        <f t="shared" si="109"/>
        <v>0</v>
      </c>
      <c r="N151" s="1435">
        <f t="shared" si="110"/>
        <v>0</v>
      </c>
      <c r="O151" s="1435">
        <f t="shared" si="97"/>
        <v>0</v>
      </c>
      <c r="Q151" s="1437"/>
      <c r="R151" s="1437"/>
      <c r="S151" s="1435">
        <f t="shared" si="98"/>
        <v>0</v>
      </c>
      <c r="U151" s="1437">
        <f>+M151</f>
        <v>0</v>
      </c>
      <c r="V151" s="1437">
        <f>+N151</f>
        <v>0</v>
      </c>
      <c r="W151" s="1435">
        <f t="shared" si="99"/>
        <v>0</v>
      </c>
      <c r="Y151" s="1442">
        <f t="shared" si="105"/>
        <v>0</v>
      </c>
      <c r="Z151" s="1442">
        <f t="shared" si="100"/>
        <v>0</v>
      </c>
      <c r="AA151" s="1435">
        <f t="shared" si="106"/>
        <v>0</v>
      </c>
      <c r="AC151" s="1442">
        <f t="shared" si="107"/>
        <v>0.19640359217449438</v>
      </c>
      <c r="AD151" s="1442">
        <f t="shared" si="101"/>
        <v>4.4132207825505622E-2</v>
      </c>
      <c r="AE151" s="1435">
        <f t="shared" si="108"/>
        <v>0.24053579999999999</v>
      </c>
    </row>
    <row r="152" spans="1:31" x14ac:dyDescent="0.4">
      <c r="B152" s="1447" t="s">
        <v>935</v>
      </c>
      <c r="C152" s="1448" t="s">
        <v>1410</v>
      </c>
      <c r="D152" s="1435">
        <f t="shared" si="102"/>
        <v>0</v>
      </c>
      <c r="E152" s="1435">
        <f>+Capitalisation!AB20</f>
        <v>0</v>
      </c>
      <c r="F152" s="1435">
        <f>+Capitalisation!AC20</f>
        <v>0</v>
      </c>
      <c r="H152" s="1435"/>
      <c r="I152" s="1435"/>
      <c r="J152" s="1435"/>
      <c r="K152" s="1437">
        <f t="shared" si="94"/>
        <v>0</v>
      </c>
      <c r="L152" s="1437"/>
      <c r="M152" s="1435">
        <f t="shared" si="109"/>
        <v>0</v>
      </c>
      <c r="N152" s="1435">
        <f t="shared" si="110"/>
        <v>0</v>
      </c>
      <c r="O152" s="1435">
        <f t="shared" si="97"/>
        <v>0</v>
      </c>
      <c r="Q152" s="1437">
        <f>+M152</f>
        <v>0</v>
      </c>
      <c r="R152" s="1437">
        <f>+N152</f>
        <v>0</v>
      </c>
      <c r="S152" s="1435">
        <f t="shared" si="98"/>
        <v>0</v>
      </c>
      <c r="U152" s="1437"/>
      <c r="V152" s="1437"/>
      <c r="W152" s="1435">
        <f t="shared" si="99"/>
        <v>0</v>
      </c>
      <c r="Y152" s="1442">
        <f t="shared" si="105"/>
        <v>2.85783892713987E-6</v>
      </c>
      <c r="Z152" s="1442">
        <f t="shared" si="100"/>
        <v>6.4216107286013009E-7</v>
      </c>
      <c r="AA152" s="1435">
        <f t="shared" si="106"/>
        <v>3.4999999999999999E-6</v>
      </c>
      <c r="AC152" s="1442">
        <f t="shared" si="107"/>
        <v>0</v>
      </c>
      <c r="AD152" s="1442">
        <f t="shared" si="101"/>
        <v>0</v>
      </c>
      <c r="AE152" s="1435">
        <f t="shared" si="108"/>
        <v>0</v>
      </c>
    </row>
    <row r="153" spans="1:31" x14ac:dyDescent="0.4">
      <c r="B153" s="1438"/>
      <c r="C153" s="1438"/>
      <c r="D153" s="1438"/>
      <c r="E153" s="1438"/>
      <c r="F153" s="1438"/>
      <c r="H153" s="1435"/>
      <c r="I153" s="1435"/>
      <c r="J153" s="1435"/>
      <c r="K153" s="1437">
        <f t="shared" si="94"/>
        <v>0</v>
      </c>
      <c r="L153" s="1437"/>
      <c r="M153" s="1438"/>
      <c r="N153" s="1438"/>
      <c r="O153" s="1438"/>
      <c r="Q153" s="1438"/>
      <c r="R153" s="1438"/>
      <c r="S153" s="1438"/>
      <c r="U153" s="1438"/>
      <c r="V153" s="1438"/>
      <c r="W153" s="1438"/>
      <c r="Y153" s="1442">
        <f t="shared" si="105"/>
        <v>0</v>
      </c>
      <c r="Z153" s="1442">
        <f t="shared" si="100"/>
        <v>0</v>
      </c>
      <c r="AA153" s="1435">
        <f t="shared" si="106"/>
        <v>0</v>
      </c>
      <c r="AC153" s="1442">
        <f t="shared" si="107"/>
        <v>0</v>
      </c>
      <c r="AD153" s="1442">
        <f t="shared" si="101"/>
        <v>0</v>
      </c>
      <c r="AE153" s="1435">
        <f t="shared" si="108"/>
        <v>0</v>
      </c>
    </row>
    <row r="154" spans="1:31" x14ac:dyDescent="0.4">
      <c r="B154" s="1441" t="s">
        <v>827</v>
      </c>
      <c r="C154" s="1438"/>
      <c r="D154" s="1439">
        <f>SUM(D137:D152)</f>
        <v>3.3919569999999996E-2</v>
      </c>
      <c r="E154" s="1439">
        <f>SUM(E137:E152)</f>
        <v>1.3065785E-2</v>
      </c>
      <c r="F154" s="1439">
        <f>SUM(F137:F152)</f>
        <v>2.0853785E-2</v>
      </c>
      <c r="H154" s="1439">
        <f>SUM(H137:H152)</f>
        <v>0</v>
      </c>
      <c r="I154" s="1439">
        <f>SUM(I137:I152)</f>
        <v>0</v>
      </c>
      <c r="J154" s="1439">
        <f>SUM(J137:J152)</f>
        <v>0</v>
      </c>
      <c r="K154" s="1439">
        <f t="shared" si="94"/>
        <v>0</v>
      </c>
      <c r="L154" s="1439"/>
      <c r="M154" s="1439">
        <f>SUM(M137:M152)</f>
        <v>0</v>
      </c>
      <c r="N154" s="1439">
        <f>SUM(N137:N152)</f>
        <v>0</v>
      </c>
      <c r="O154" s="1439">
        <f>SUM(O137:O152)</f>
        <v>0</v>
      </c>
      <c r="Q154" s="1439">
        <f>SUM(Q137:Q152)</f>
        <v>1.0668545424754343E-2</v>
      </c>
      <c r="R154" s="1439">
        <f>SUM(R137:R152)</f>
        <v>2.397239575245656E-3</v>
      </c>
      <c r="S154" s="1439">
        <f>SUM(S137:S152)</f>
        <v>1.3065785E-2</v>
      </c>
      <c r="U154" s="1439">
        <f>SUM(U137:U152)</f>
        <v>1.0668545424754343E-2</v>
      </c>
      <c r="V154" s="1439">
        <f>SUM(V137:V152)</f>
        <v>2.397239575245656E-3</v>
      </c>
      <c r="W154" s="1439">
        <f>SUM(W137:W152)</f>
        <v>1.3065785E-2</v>
      </c>
      <c r="Y154" s="1443">
        <f>SUM(Y137:Y153)</f>
        <v>42.334887947220125</v>
      </c>
      <c r="Z154" s="1443">
        <f>SUM(Z137:Z153)</f>
        <v>30.541538718620465</v>
      </c>
      <c r="AA154" s="1443">
        <f>SUM(AA137:AA153)</f>
        <v>72.876426665840597</v>
      </c>
      <c r="AC154" s="1443">
        <f>SUM(AC137:AC153)</f>
        <v>0.44166707716084769</v>
      </c>
      <c r="AD154" s="1443">
        <f>SUM(AD137:AD153)</f>
        <v>3.1980020899549197</v>
      </c>
      <c r="AE154" s="1443">
        <f>SUM(AE137:AE153)</f>
        <v>3.639669167115767</v>
      </c>
    </row>
    <row r="155" spans="1:31" x14ac:dyDescent="0.4">
      <c r="K155" s="1429">
        <f>+K154-D154</f>
        <v>-3.3919569999999996E-2</v>
      </c>
      <c r="O155" s="1428">
        <f>+O154-D154</f>
        <v>-3.3919569999999996E-2</v>
      </c>
      <c r="Q155" s="1430">
        <f>+Q154+U154-M154</f>
        <v>2.1337090849508685E-2</v>
      </c>
      <c r="R155" s="1430">
        <f>+R154+V154-N154</f>
        <v>4.794479150491312E-3</v>
      </c>
      <c r="S155" s="1430">
        <f>+S154+W154-O154</f>
        <v>2.613157E-2</v>
      </c>
      <c r="AA155" s="1428">
        <f>+Capitalisation!J22+Capitalisation!M22+Capitalisation!P22+Capitalisation!S22+Capitalisation!V22+Capitalisation!Y22+Capitalisation!AB22-AA154</f>
        <v>2.0618173834918707E-8</v>
      </c>
      <c r="AB155" s="1428"/>
      <c r="AC155" s="1428"/>
      <c r="AD155" s="1428"/>
      <c r="AE155" s="1428">
        <f>+Capitalisation!K22+Capitalisation!N22+Capitalisation!Q22+Capitalisation!T22+Capitalisation!W22+Capitalisation!Z22+Capitalisation!AC22-AE154</f>
        <v>7.7880318076659627E-3</v>
      </c>
    </row>
    <row r="156" spans="1:31" x14ac:dyDescent="0.4">
      <c r="D156" s="1907" t="s">
        <v>1641</v>
      </c>
      <c r="E156" s="1907"/>
      <c r="F156" s="1907"/>
      <c r="G156" s="1907"/>
      <c r="H156" s="1907"/>
      <c r="I156" s="1907"/>
      <c r="J156" s="1907"/>
      <c r="K156" s="1907"/>
      <c r="L156" s="1907"/>
      <c r="M156" s="1907"/>
      <c r="N156" s="1907"/>
      <c r="O156" s="1907" t="s">
        <v>1642</v>
      </c>
      <c r="P156" s="1907"/>
      <c r="Q156" s="1907"/>
      <c r="R156" s="1907"/>
      <c r="S156" s="1907"/>
      <c r="T156" s="1907"/>
      <c r="U156" s="1907"/>
      <c r="V156" s="1907"/>
      <c r="W156" s="1907"/>
      <c r="X156" s="1907"/>
      <c r="Y156" s="1907"/>
    </row>
    <row r="157" spans="1:31" ht="13.5" x14ac:dyDescent="0.4">
      <c r="D157" s="98" t="s">
        <v>197</v>
      </c>
      <c r="E157" s="98" t="s">
        <v>198</v>
      </c>
      <c r="F157" s="98" t="s">
        <v>199</v>
      </c>
      <c r="G157" s="217" t="s">
        <v>112</v>
      </c>
      <c r="H157" s="217" t="s">
        <v>113</v>
      </c>
      <c r="I157" s="217" t="s">
        <v>114</v>
      </c>
      <c r="J157" s="217" t="s">
        <v>123</v>
      </c>
      <c r="K157" s="217" t="s">
        <v>124</v>
      </c>
      <c r="L157" s="217" t="s">
        <v>125</v>
      </c>
      <c r="M157" s="217" t="s">
        <v>126</v>
      </c>
      <c r="N157" s="217" t="s">
        <v>127</v>
      </c>
      <c r="O157" s="98" t="s">
        <v>197</v>
      </c>
      <c r="P157" s="98" t="s">
        <v>198</v>
      </c>
      <c r="Q157" s="98" t="s">
        <v>199</v>
      </c>
      <c r="R157" s="217" t="s">
        <v>112</v>
      </c>
      <c r="S157" s="217" t="s">
        <v>113</v>
      </c>
      <c r="T157" s="217" t="s">
        <v>114</v>
      </c>
      <c r="U157" s="217" t="s">
        <v>123</v>
      </c>
      <c r="V157" s="217" t="s">
        <v>124</v>
      </c>
      <c r="W157" s="217" t="s">
        <v>125</v>
      </c>
      <c r="X157" s="217" t="s">
        <v>126</v>
      </c>
      <c r="Y157" s="217" t="s">
        <v>127</v>
      </c>
    </row>
    <row r="158" spans="1:31" s="1428" customFormat="1" x14ac:dyDescent="0.4">
      <c r="C158" s="1428" t="s">
        <v>1664</v>
      </c>
      <c r="D158" s="1428">
        <f>+Y44/AA44</f>
        <v>0.62165859375576393</v>
      </c>
      <c r="E158" s="1428">
        <f>+Y66/AA66</f>
        <v>0.58073509166597193</v>
      </c>
      <c r="F158" s="1428">
        <f>+Y88/AA88</f>
        <v>0.58043905349901237</v>
      </c>
      <c r="G158" s="1428">
        <f>+Y110/AA110</f>
        <v>0.58045520153661223</v>
      </c>
      <c r="H158" s="1428">
        <f>+Y132/AA132</f>
        <v>0.58087108376748664</v>
      </c>
      <c r="I158" s="1428">
        <f>+Y154/AA154</f>
        <v>0.58091333348900021</v>
      </c>
      <c r="J158" s="1428">
        <f>+I158</f>
        <v>0.58091333348900021</v>
      </c>
      <c r="K158" s="1428">
        <f t="shared" ref="K158:N159" si="111">+J158</f>
        <v>0.58091333348900021</v>
      </c>
      <c r="L158" s="1428">
        <f t="shared" si="111"/>
        <v>0.58091333348900021</v>
      </c>
      <c r="M158" s="1428">
        <f t="shared" si="111"/>
        <v>0.58091333348900021</v>
      </c>
      <c r="N158" s="1428">
        <f t="shared" si="111"/>
        <v>0.58091333348900021</v>
      </c>
      <c r="O158" s="1428">
        <f>+Z44/AA44</f>
        <v>0.37834140624423596</v>
      </c>
      <c r="P158" s="1428">
        <f>+Z66/AA66</f>
        <v>0.41926490833402824</v>
      </c>
      <c r="Q158" s="1428">
        <f>+Z88/AA88</f>
        <v>0.41956094650098763</v>
      </c>
      <c r="R158" s="1428">
        <f>+Z110/AA110</f>
        <v>0.41954479846338771</v>
      </c>
      <c r="S158" s="1428">
        <f>+Z132/AA132</f>
        <v>0.41912891623251319</v>
      </c>
      <c r="T158" s="1428">
        <f>+Z154/AA154</f>
        <v>0.41908666651099974</v>
      </c>
      <c r="U158" s="1428">
        <f>IF(+T158=0,S158,T158)</f>
        <v>0.41908666651099974</v>
      </c>
      <c r="V158" s="1428">
        <f t="shared" ref="V158:Y159" si="112">+U158</f>
        <v>0.41908666651099974</v>
      </c>
      <c r="W158" s="1428">
        <f t="shared" si="112"/>
        <v>0.41908666651099974</v>
      </c>
      <c r="X158" s="1428">
        <f t="shared" si="112"/>
        <v>0.41908666651099974</v>
      </c>
      <c r="Y158" s="1428">
        <f t="shared" si="112"/>
        <v>0.41908666651099974</v>
      </c>
    </row>
    <row r="159" spans="1:31" s="1428" customFormat="1" x14ac:dyDescent="0.4">
      <c r="C159" s="1428" t="s">
        <v>986</v>
      </c>
      <c r="D159" s="1428">
        <f>AC44/AE44</f>
        <v>0.16941551605327762</v>
      </c>
      <c r="E159" s="1428">
        <f>AC66/AE66</f>
        <v>0.17268163306178691</v>
      </c>
      <c r="F159" s="1428">
        <f>AC88/AE88</f>
        <v>0.15530980885699266</v>
      </c>
      <c r="G159" s="1428">
        <f>AC110/AE110</f>
        <v>0.10967302204378636</v>
      </c>
      <c r="H159" s="1428">
        <f>AC132/AE132</f>
        <v>0.11884358070736921</v>
      </c>
      <c r="I159" s="1428">
        <f>+AC154/AE154</f>
        <v>0.12134813821851946</v>
      </c>
      <c r="J159" s="1428">
        <f>+I159</f>
        <v>0.12134813821851946</v>
      </c>
      <c r="K159" s="1428">
        <f t="shared" si="111"/>
        <v>0.12134813821851946</v>
      </c>
      <c r="L159" s="1428">
        <f t="shared" si="111"/>
        <v>0.12134813821851946</v>
      </c>
      <c r="M159" s="1428">
        <f t="shared" si="111"/>
        <v>0.12134813821851946</v>
      </c>
      <c r="N159" s="1428">
        <f t="shared" si="111"/>
        <v>0.12134813821851946</v>
      </c>
      <c r="O159" s="1428">
        <f>AD44/AE44</f>
        <v>0.83058448394672246</v>
      </c>
      <c r="P159" s="1428">
        <f>AD66/AE66</f>
        <v>0.82731836693821303</v>
      </c>
      <c r="Q159" s="1428">
        <f>AD88/AE88</f>
        <v>0.84469019114300725</v>
      </c>
      <c r="R159" s="1428">
        <f>AD110/AE110</f>
        <v>0.89032697795621341</v>
      </c>
      <c r="S159" s="1428">
        <f>AD132/AE132</f>
        <v>0.88115641929263067</v>
      </c>
      <c r="T159" s="1428">
        <f>+AD154/AE154</f>
        <v>0.87865186178148069</v>
      </c>
      <c r="U159" s="1428">
        <f>IF(+T159=0,S159,T159)</f>
        <v>0.87865186178148069</v>
      </c>
      <c r="V159" s="1428">
        <f t="shared" si="112"/>
        <v>0.87865186178148069</v>
      </c>
      <c r="W159" s="1428">
        <f t="shared" si="112"/>
        <v>0.87865186178148069</v>
      </c>
      <c r="X159" s="1428">
        <f t="shared" si="112"/>
        <v>0.87865186178148069</v>
      </c>
      <c r="Y159" s="1428">
        <f t="shared" si="112"/>
        <v>0.87865186178148069</v>
      </c>
    </row>
  </sheetData>
  <mergeCells count="56">
    <mergeCell ref="Y25:AA25"/>
    <mergeCell ref="AC25:AE25"/>
    <mergeCell ref="Y24:AE24"/>
    <mergeCell ref="U4:W4"/>
    <mergeCell ref="C1:D1"/>
    <mergeCell ref="D25:F25"/>
    <mergeCell ref="H25:K25"/>
    <mergeCell ref="M25:O25"/>
    <mergeCell ref="Q25:S25"/>
    <mergeCell ref="U25:W25"/>
    <mergeCell ref="D4:F4"/>
    <mergeCell ref="H4:K4"/>
    <mergeCell ref="M4:O4"/>
    <mergeCell ref="Q4:S4"/>
    <mergeCell ref="AC47:AE47"/>
    <mergeCell ref="Y46:AE46"/>
    <mergeCell ref="Y68:AE68"/>
    <mergeCell ref="D69:F69"/>
    <mergeCell ref="H69:K69"/>
    <mergeCell ref="M69:O69"/>
    <mergeCell ref="Q69:S69"/>
    <mergeCell ref="U69:W69"/>
    <mergeCell ref="Y69:AA69"/>
    <mergeCell ref="AC69:AE69"/>
    <mergeCell ref="D47:F47"/>
    <mergeCell ref="H47:K47"/>
    <mergeCell ref="M47:O47"/>
    <mergeCell ref="Q47:S47"/>
    <mergeCell ref="U47:W47"/>
    <mergeCell ref="Y47:AA47"/>
    <mergeCell ref="Y90:AE90"/>
    <mergeCell ref="D91:F91"/>
    <mergeCell ref="H91:K91"/>
    <mergeCell ref="M91:O91"/>
    <mergeCell ref="Q91:S91"/>
    <mergeCell ref="U91:W91"/>
    <mergeCell ref="Y91:AA91"/>
    <mergeCell ref="AC91:AE91"/>
    <mergeCell ref="Y112:AE112"/>
    <mergeCell ref="D113:F113"/>
    <mergeCell ref="H113:K113"/>
    <mergeCell ref="M113:O113"/>
    <mergeCell ref="Q113:S113"/>
    <mergeCell ref="U113:W113"/>
    <mergeCell ref="Y113:AA113"/>
    <mergeCell ref="AC113:AE113"/>
    <mergeCell ref="D156:N156"/>
    <mergeCell ref="O156:Y156"/>
    <mergeCell ref="Y134:AE134"/>
    <mergeCell ref="D135:F135"/>
    <mergeCell ref="H135:K135"/>
    <mergeCell ref="M135:O135"/>
    <mergeCell ref="Q135:S135"/>
    <mergeCell ref="U135:W135"/>
    <mergeCell ref="Y135:AA135"/>
    <mergeCell ref="AC135:AE135"/>
  </mergeCells>
  <dataValidations disablePrompts="1" count="1">
    <dataValidation type="list" allowBlank="1" showInputMessage="1" showErrorMessage="1" sqref="C6:C21 C27:C42 C49:C64 C71:C86 C93:C108 C115:C130 C137:C152" xr:uid="{9CA9E19A-E5D2-4254-A208-6A6295DA05B1}">
      <formula1>$AF$6:$AF$13</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2E715-4A6F-461D-A452-B9822215738D}">
  <sheetPr>
    <pageSetUpPr fitToPage="1"/>
  </sheetPr>
  <dimension ref="D2:AE90"/>
  <sheetViews>
    <sheetView showGridLines="0" topLeftCell="D1" zoomScale="80" zoomScaleNormal="80" workbookViewId="0">
      <pane xSplit="5" ySplit="4" topLeftCell="S66" activePane="bottomRight" state="frozen"/>
      <selection activeCell="C90" sqref="B90:P113"/>
      <selection pane="topRight" activeCell="C90" sqref="B90:P113"/>
      <selection pane="bottomLeft" activeCell="C90" sqref="B90:P113"/>
      <selection pane="bottomRight" activeCell="Y20" sqref="Y20"/>
    </sheetView>
  </sheetViews>
  <sheetFormatPr defaultColWidth="9.1328125" defaultRowHeight="14.25" customHeight="1" x14ac:dyDescent="0.35"/>
  <cols>
    <col min="1" max="3" width="9.1328125" style="1055"/>
    <col min="4" max="4" width="7.6640625" style="1055" customWidth="1"/>
    <col min="5" max="5" width="36.33203125" style="1055" bestFit="1" customWidth="1"/>
    <col min="6" max="6" width="25.46484375" style="1055" customWidth="1"/>
    <col min="7" max="8" width="9.33203125" style="1055" bestFit="1" customWidth="1"/>
    <col min="9" max="10" width="11.1328125" style="1055" bestFit="1" customWidth="1"/>
    <col min="11" max="28" width="9.33203125" style="1055" bestFit="1" customWidth="1"/>
    <col min="29" max="29" width="8" style="1055" bestFit="1" customWidth="1"/>
    <col min="30" max="30" width="7.33203125" style="1055" customWidth="1"/>
    <col min="31" max="31" width="28.1328125" style="1055" customWidth="1"/>
    <col min="32" max="16384" width="9.1328125" style="1055"/>
  </cols>
  <sheetData>
    <row r="2" spans="4:31" ht="14.25" customHeight="1" x14ac:dyDescent="0.35">
      <c r="E2" s="1056" t="s">
        <v>1407</v>
      </c>
      <c r="F2" s="1056"/>
      <c r="P2" s="1070"/>
    </row>
    <row r="3" spans="4:31" ht="14.25" customHeight="1" x14ac:dyDescent="0.35">
      <c r="D3" s="1034" t="s">
        <v>1</v>
      </c>
      <c r="E3" s="1034" t="s">
        <v>111</v>
      </c>
      <c r="F3" s="1034" t="s">
        <v>920</v>
      </c>
      <c r="G3" s="1034" t="s">
        <v>963</v>
      </c>
      <c r="H3" s="1034" t="s">
        <v>923</v>
      </c>
      <c r="I3" s="2011" t="s">
        <v>196</v>
      </c>
      <c r="J3" s="2012"/>
      <c r="K3" s="2013"/>
      <c r="L3" s="2011" t="s">
        <v>197</v>
      </c>
      <c r="M3" s="2012"/>
      <c r="N3" s="2013"/>
      <c r="O3" s="2011" t="s">
        <v>198</v>
      </c>
      <c r="P3" s="2012"/>
      <c r="Q3" s="2012"/>
      <c r="R3" s="2010" t="s">
        <v>199</v>
      </c>
      <c r="S3" s="2010"/>
      <c r="T3" s="2010"/>
      <c r="U3" s="2010" t="s">
        <v>112</v>
      </c>
      <c r="V3" s="2010"/>
      <c r="W3" s="2010"/>
      <c r="X3" s="2010" t="s">
        <v>113</v>
      </c>
      <c r="Y3" s="2010"/>
      <c r="Z3" s="2010"/>
      <c r="AA3" s="2010" t="s">
        <v>114</v>
      </c>
      <c r="AB3" s="2010"/>
      <c r="AC3" s="2010"/>
    </row>
    <row r="4" spans="4:31" ht="14.25" customHeight="1" x14ac:dyDescent="0.35">
      <c r="D4" s="1057"/>
      <c r="E4" s="1057"/>
      <c r="F4" s="1057"/>
      <c r="G4" s="1057" t="s">
        <v>243</v>
      </c>
      <c r="H4" s="1057" t="s">
        <v>243</v>
      </c>
      <c r="I4" s="1057" t="s">
        <v>164</v>
      </c>
      <c r="J4" s="1057" t="s">
        <v>963</v>
      </c>
      <c r="K4" s="1057" t="s">
        <v>923</v>
      </c>
      <c r="L4" s="1057" t="s">
        <v>164</v>
      </c>
      <c r="M4" s="1057" t="s">
        <v>963</v>
      </c>
      <c r="N4" s="1057" t="s">
        <v>923</v>
      </c>
      <c r="O4" s="1057" t="s">
        <v>164</v>
      </c>
      <c r="P4" s="1057" t="s">
        <v>963</v>
      </c>
      <c r="Q4" s="1124" t="s">
        <v>923</v>
      </c>
      <c r="R4" s="1057" t="s">
        <v>164</v>
      </c>
      <c r="S4" s="1057" t="s">
        <v>963</v>
      </c>
      <c r="T4" s="1057" t="s">
        <v>923</v>
      </c>
      <c r="U4" s="1057" t="s">
        <v>164</v>
      </c>
      <c r="V4" s="1057" t="s">
        <v>963</v>
      </c>
      <c r="W4" s="1057" t="s">
        <v>923</v>
      </c>
      <c r="X4" s="1057" t="s">
        <v>164</v>
      </c>
      <c r="Y4" s="1057" t="s">
        <v>963</v>
      </c>
      <c r="Z4" s="1057" t="s">
        <v>923</v>
      </c>
      <c r="AA4" s="1057" t="s">
        <v>164</v>
      </c>
      <c r="AB4" s="1057" t="s">
        <v>963</v>
      </c>
      <c r="AC4" s="1057" t="s">
        <v>923</v>
      </c>
    </row>
    <row r="5" spans="4:31" ht="14.25" customHeight="1" x14ac:dyDescent="0.35">
      <c r="D5" s="1058">
        <v>1</v>
      </c>
      <c r="E5" s="1059" t="s">
        <v>1408</v>
      </c>
      <c r="F5" s="1060" t="s">
        <v>1409</v>
      </c>
      <c r="G5" s="1061">
        <v>1</v>
      </c>
      <c r="H5" s="1061">
        <f>1-G5</f>
        <v>0</v>
      </c>
      <c r="I5" s="1020">
        <v>11.562416499999999</v>
      </c>
      <c r="J5" s="1020">
        <f>$I5*$G5</f>
        <v>11.562416499999999</v>
      </c>
      <c r="K5" s="1020">
        <f>$I5*$H5</f>
        <v>0</v>
      </c>
      <c r="L5" s="1020">
        <v>0</v>
      </c>
      <c r="M5" s="1020">
        <f>$L5*$G5</f>
        <v>0</v>
      </c>
      <c r="N5" s="1020">
        <f>$L5*$H5</f>
        <v>0</v>
      </c>
      <c r="O5" s="1020">
        <v>0</v>
      </c>
      <c r="P5" s="701">
        <f>$O5*$G5</f>
        <v>0</v>
      </c>
      <c r="Q5" s="1125">
        <f>$O5*$H5</f>
        <v>0</v>
      </c>
      <c r="R5" s="1020">
        <v>0</v>
      </c>
      <c r="S5" s="701">
        <f>$R5*$G5</f>
        <v>0</v>
      </c>
      <c r="T5" s="701">
        <f>$R5*$H5</f>
        <v>0</v>
      </c>
      <c r="U5" s="1020">
        <v>0</v>
      </c>
      <c r="V5" s="701">
        <f>$U5*$G5</f>
        <v>0</v>
      </c>
      <c r="W5" s="701">
        <f>$U5*$H5</f>
        <v>0</v>
      </c>
      <c r="X5" s="1062">
        <v>0</v>
      </c>
      <c r="Y5" s="701">
        <f>$X5*$G5</f>
        <v>0</v>
      </c>
      <c r="Z5" s="701">
        <f>$X5*$H5</f>
        <v>0</v>
      </c>
      <c r="AA5" s="1062">
        <v>0</v>
      </c>
      <c r="AB5" s="701">
        <f>$AA5*$G5</f>
        <v>0</v>
      </c>
      <c r="AC5" s="701">
        <f>$AA5*$H5</f>
        <v>0</v>
      </c>
      <c r="AE5" s="1060" t="s">
        <v>1410</v>
      </c>
    </row>
    <row r="6" spans="4:31" ht="14.25" customHeight="1" x14ac:dyDescent="0.35">
      <c r="D6" s="1058">
        <f>D5+1</f>
        <v>2</v>
      </c>
      <c r="E6" s="1059" t="s">
        <v>924</v>
      </c>
      <c r="F6" s="1060" t="s">
        <v>440</v>
      </c>
      <c r="G6" s="1061">
        <v>1</v>
      </c>
      <c r="H6" s="1061">
        <f t="shared" ref="H6:H20" si="0">1-G6</f>
        <v>0</v>
      </c>
      <c r="I6" s="1020">
        <v>6.3377369999999997</v>
      </c>
      <c r="J6" s="1020">
        <f t="shared" ref="J6:J20" si="1">$I6*$G6</f>
        <v>6.3377369999999997</v>
      </c>
      <c r="K6" s="1020">
        <f t="shared" ref="K6:K20" si="2">$I6*$H6</f>
        <v>0</v>
      </c>
      <c r="L6" s="1020">
        <v>1.5729079601441263</v>
      </c>
      <c r="M6" s="1020">
        <f t="shared" ref="M6:M20" si="3">$L6*$G6</f>
        <v>1.5729079601441263</v>
      </c>
      <c r="N6" s="1020">
        <f t="shared" ref="N6:N20" si="4">$L6*$H6</f>
        <v>0</v>
      </c>
      <c r="O6" s="1020">
        <v>0.46329739599999997</v>
      </c>
      <c r="P6" s="701">
        <f t="shared" ref="P6:P20" si="5">$O6*$G6</f>
        <v>0.46329739599999997</v>
      </c>
      <c r="Q6" s="1125">
        <f t="shared" ref="Q6:Q20" si="6">$O6*$H6</f>
        <v>0</v>
      </c>
      <c r="R6" s="1020">
        <v>0</v>
      </c>
      <c r="S6" s="701">
        <f t="shared" ref="S6:S20" si="7">$R6*$G6</f>
        <v>0</v>
      </c>
      <c r="T6" s="701">
        <f t="shared" ref="T6:T20" si="8">$R6*$H6</f>
        <v>0</v>
      </c>
      <c r="U6" s="1020">
        <v>0</v>
      </c>
      <c r="V6" s="701">
        <f t="shared" ref="V6:V20" si="9">$U6*$G6</f>
        <v>0</v>
      </c>
      <c r="W6" s="701">
        <f t="shared" ref="W6:W20" si="10">$U6*$H6</f>
        <v>0</v>
      </c>
      <c r="X6" s="1062">
        <v>0</v>
      </c>
      <c r="Y6" s="701">
        <f t="shared" ref="Y6:Y20" si="11">$X6*$G6</f>
        <v>0</v>
      </c>
      <c r="Z6" s="701">
        <f t="shared" ref="Z6:Z20" si="12">$X6*$H6</f>
        <v>0</v>
      </c>
      <c r="AA6" s="1062">
        <v>0</v>
      </c>
      <c r="AB6" s="701">
        <f t="shared" ref="AB6:AB20" si="13">$AA6*$G6</f>
        <v>0</v>
      </c>
      <c r="AC6" s="701">
        <f t="shared" ref="AC6:AC20" si="14">$AA6*$H6</f>
        <v>0</v>
      </c>
      <c r="AE6" s="1060" t="s">
        <v>1409</v>
      </c>
    </row>
    <row r="7" spans="4:31" ht="14.25" customHeight="1" x14ac:dyDescent="0.35">
      <c r="D7" s="1058">
        <f t="shared" ref="D7:D20" si="15">D6+1</f>
        <v>3</v>
      </c>
      <c r="E7" s="1059" t="s">
        <v>1411</v>
      </c>
      <c r="F7" s="1060" t="s">
        <v>440</v>
      </c>
      <c r="G7" s="1061">
        <v>1</v>
      </c>
      <c r="H7" s="1061">
        <f t="shared" si="0"/>
        <v>0</v>
      </c>
      <c r="I7" s="1020">
        <v>0.88347659999999995</v>
      </c>
      <c r="J7" s="1020">
        <f t="shared" si="1"/>
        <v>0.88347659999999995</v>
      </c>
      <c r="K7" s="1020">
        <f t="shared" si="2"/>
        <v>0</v>
      </c>
      <c r="L7" s="1020">
        <v>0</v>
      </c>
      <c r="M7" s="1020">
        <f t="shared" si="3"/>
        <v>0</v>
      </c>
      <c r="N7" s="1020">
        <f t="shared" si="4"/>
        <v>0</v>
      </c>
      <c r="O7" s="1020">
        <v>2.1017782000000002E-2</v>
      </c>
      <c r="P7" s="701">
        <f t="shared" si="5"/>
        <v>2.1017782000000002E-2</v>
      </c>
      <c r="Q7" s="1125">
        <f t="shared" si="6"/>
        <v>0</v>
      </c>
      <c r="R7" s="1020">
        <v>1.2608770000000001E-3</v>
      </c>
      <c r="S7" s="701">
        <f t="shared" si="7"/>
        <v>1.2608770000000001E-3</v>
      </c>
      <c r="T7" s="701">
        <f t="shared" si="8"/>
        <v>0</v>
      </c>
      <c r="U7" s="1020">
        <v>0</v>
      </c>
      <c r="V7" s="701">
        <f t="shared" si="9"/>
        <v>0</v>
      </c>
      <c r="W7" s="701">
        <f t="shared" si="10"/>
        <v>0</v>
      </c>
      <c r="X7" s="1062">
        <v>0</v>
      </c>
      <c r="Y7" s="701">
        <f t="shared" si="11"/>
        <v>0</v>
      </c>
      <c r="Z7" s="701">
        <f t="shared" si="12"/>
        <v>0</v>
      </c>
      <c r="AA7" s="1062">
        <v>0</v>
      </c>
      <c r="AB7" s="701">
        <f t="shared" si="13"/>
        <v>0</v>
      </c>
      <c r="AC7" s="701">
        <f t="shared" si="14"/>
        <v>0</v>
      </c>
      <c r="AE7" s="1060" t="s">
        <v>440</v>
      </c>
    </row>
    <row r="8" spans="4:31" ht="14.25" customHeight="1" x14ac:dyDescent="0.35">
      <c r="D8" s="1058">
        <f t="shared" si="15"/>
        <v>4</v>
      </c>
      <c r="E8" s="1059" t="s">
        <v>925</v>
      </c>
      <c r="F8" s="1060" t="s">
        <v>440</v>
      </c>
      <c r="G8" s="1061">
        <v>1</v>
      </c>
      <c r="H8" s="1061">
        <f t="shared" si="0"/>
        <v>0</v>
      </c>
      <c r="I8" s="1020">
        <v>1.0977000000000001E-3</v>
      </c>
      <c r="J8" s="1020">
        <f t="shared" si="1"/>
        <v>1.0977000000000001E-3</v>
      </c>
      <c r="K8" s="1020">
        <f t="shared" si="2"/>
        <v>0</v>
      </c>
      <c r="L8" s="1020">
        <v>0</v>
      </c>
      <c r="M8" s="1020">
        <f t="shared" si="3"/>
        <v>0</v>
      </c>
      <c r="N8" s="1020">
        <f t="shared" si="4"/>
        <v>0</v>
      </c>
      <c r="O8" s="1020">
        <v>0</v>
      </c>
      <c r="P8" s="701">
        <f t="shared" si="5"/>
        <v>0</v>
      </c>
      <c r="Q8" s="1125">
        <f t="shared" si="6"/>
        <v>0</v>
      </c>
      <c r="R8" s="1020">
        <v>0</v>
      </c>
      <c r="S8" s="701">
        <f t="shared" si="7"/>
        <v>0</v>
      </c>
      <c r="T8" s="701">
        <f t="shared" si="8"/>
        <v>0</v>
      </c>
      <c r="U8" s="1020">
        <v>0</v>
      </c>
      <c r="V8" s="701">
        <f t="shared" si="9"/>
        <v>0</v>
      </c>
      <c r="W8" s="701">
        <f t="shared" si="10"/>
        <v>0</v>
      </c>
      <c r="X8" s="1062">
        <v>0</v>
      </c>
      <c r="Y8" s="701">
        <f t="shared" si="11"/>
        <v>0</v>
      </c>
      <c r="Z8" s="701">
        <f t="shared" si="12"/>
        <v>0</v>
      </c>
      <c r="AA8" s="1062">
        <v>0</v>
      </c>
      <c r="AB8" s="701">
        <f t="shared" si="13"/>
        <v>0</v>
      </c>
      <c r="AC8" s="701">
        <f t="shared" si="14"/>
        <v>0</v>
      </c>
      <c r="AE8" s="1060" t="s">
        <v>915</v>
      </c>
    </row>
    <row r="9" spans="4:31" ht="14.25" customHeight="1" x14ac:dyDescent="0.35">
      <c r="D9" s="1058">
        <f t="shared" si="15"/>
        <v>5</v>
      </c>
      <c r="E9" s="1059" t="s">
        <v>1412</v>
      </c>
      <c r="F9" s="1060" t="s">
        <v>440</v>
      </c>
      <c r="G9" s="1061">
        <v>1</v>
      </c>
      <c r="H9" s="1061">
        <f t="shared" si="0"/>
        <v>0</v>
      </c>
      <c r="I9" s="1020">
        <v>6.4779565999999997</v>
      </c>
      <c r="J9" s="1020">
        <f t="shared" si="1"/>
        <v>6.4779565999999997</v>
      </c>
      <c r="K9" s="1020">
        <f t="shared" si="2"/>
        <v>0</v>
      </c>
      <c r="L9" s="1020">
        <v>0</v>
      </c>
      <c r="M9" s="1020">
        <f t="shared" si="3"/>
        <v>0</v>
      </c>
      <c r="N9" s="1020">
        <f t="shared" si="4"/>
        <v>0</v>
      </c>
      <c r="O9" s="1020">
        <v>0</v>
      </c>
      <c r="P9" s="701">
        <f t="shared" si="5"/>
        <v>0</v>
      </c>
      <c r="Q9" s="1125">
        <f t="shared" si="6"/>
        <v>0</v>
      </c>
      <c r="R9" s="1020">
        <v>1.4523322E-2</v>
      </c>
      <c r="S9" s="701">
        <f t="shared" si="7"/>
        <v>1.4523322E-2</v>
      </c>
      <c r="T9" s="701">
        <f t="shared" si="8"/>
        <v>0</v>
      </c>
      <c r="U9" s="1020">
        <v>0</v>
      </c>
      <c r="V9" s="701">
        <f t="shared" si="9"/>
        <v>0</v>
      </c>
      <c r="W9" s="701">
        <f t="shared" si="10"/>
        <v>0</v>
      </c>
      <c r="X9" s="1062">
        <v>0</v>
      </c>
      <c r="Y9" s="701">
        <f t="shared" si="11"/>
        <v>0</v>
      </c>
      <c r="Z9" s="701">
        <f t="shared" si="12"/>
        <v>0</v>
      </c>
      <c r="AA9" s="1062">
        <v>0</v>
      </c>
      <c r="AB9" s="701">
        <f t="shared" si="13"/>
        <v>0</v>
      </c>
      <c r="AC9" s="701">
        <f t="shared" si="14"/>
        <v>0</v>
      </c>
      <c r="AE9" s="1060" t="s">
        <v>447</v>
      </c>
    </row>
    <row r="10" spans="4:31" ht="14.25" customHeight="1" x14ac:dyDescent="0.35">
      <c r="D10" s="1058">
        <f t="shared" si="15"/>
        <v>6</v>
      </c>
      <c r="E10" s="1059" t="s">
        <v>1413</v>
      </c>
      <c r="F10" s="1060" t="s">
        <v>440</v>
      </c>
      <c r="G10" s="1061">
        <v>1</v>
      </c>
      <c r="H10" s="1061">
        <f t="shared" si="0"/>
        <v>0</v>
      </c>
      <c r="I10" s="1020">
        <v>0.35969390000000001</v>
      </c>
      <c r="J10" s="837">
        <f t="shared" si="1"/>
        <v>0.35969390000000001</v>
      </c>
      <c r="K10" s="837">
        <f t="shared" si="2"/>
        <v>0</v>
      </c>
      <c r="L10" s="1020">
        <v>4.6113305463805751E-2</v>
      </c>
      <c r="M10" s="837">
        <f t="shared" si="3"/>
        <v>4.6113305463805751E-2</v>
      </c>
      <c r="N10" s="837">
        <f t="shared" si="4"/>
        <v>0</v>
      </c>
      <c r="O10" s="1020">
        <v>5.4467600000000001E-4</v>
      </c>
      <c r="P10" s="685">
        <f t="shared" si="5"/>
        <v>5.4467600000000001E-4</v>
      </c>
      <c r="Q10" s="1126">
        <f t="shared" si="6"/>
        <v>0</v>
      </c>
      <c r="R10" s="1020">
        <v>0</v>
      </c>
      <c r="S10" s="685">
        <f t="shared" si="7"/>
        <v>0</v>
      </c>
      <c r="T10" s="685">
        <f t="shared" si="8"/>
        <v>0</v>
      </c>
      <c r="U10" s="1020">
        <v>0</v>
      </c>
      <c r="V10" s="685">
        <f t="shared" si="9"/>
        <v>0</v>
      </c>
      <c r="W10" s="685">
        <f t="shared" si="10"/>
        <v>0</v>
      </c>
      <c r="X10" s="1062">
        <v>0</v>
      </c>
      <c r="Y10" s="685">
        <f t="shared" si="11"/>
        <v>0</v>
      </c>
      <c r="Z10" s="685">
        <f t="shared" si="12"/>
        <v>0</v>
      </c>
      <c r="AA10" s="1062">
        <v>0</v>
      </c>
      <c r="AB10" s="701">
        <f t="shared" si="13"/>
        <v>0</v>
      </c>
      <c r="AC10" s="701">
        <f t="shared" si="14"/>
        <v>0</v>
      </c>
      <c r="AE10" s="1060" t="s">
        <v>879</v>
      </c>
    </row>
    <row r="11" spans="4:31" ht="14.25" customHeight="1" x14ac:dyDescent="0.35">
      <c r="D11" s="1058">
        <f t="shared" si="15"/>
        <v>7</v>
      </c>
      <c r="E11" s="1059" t="s">
        <v>1414</v>
      </c>
      <c r="F11" s="1060" t="s">
        <v>440</v>
      </c>
      <c r="G11" s="1061">
        <v>1</v>
      </c>
      <c r="H11" s="1061">
        <f t="shared" si="0"/>
        <v>0</v>
      </c>
      <c r="I11" s="1020">
        <v>2.4643600000000002E-2</v>
      </c>
      <c r="J11" s="837">
        <f t="shared" si="1"/>
        <v>2.4643600000000002E-2</v>
      </c>
      <c r="K11" s="837">
        <f t="shared" si="2"/>
        <v>0</v>
      </c>
      <c r="L11" s="1020">
        <v>0</v>
      </c>
      <c r="M11" s="837">
        <f t="shared" si="3"/>
        <v>0</v>
      </c>
      <c r="N11" s="837">
        <f t="shared" si="4"/>
        <v>0</v>
      </c>
      <c r="O11" s="1020">
        <v>0</v>
      </c>
      <c r="P11" s="685">
        <f t="shared" si="5"/>
        <v>0</v>
      </c>
      <c r="Q11" s="1126">
        <f t="shared" si="6"/>
        <v>0</v>
      </c>
      <c r="R11" s="1020">
        <v>5.0000000000000001E-9</v>
      </c>
      <c r="S11" s="685">
        <f t="shared" si="7"/>
        <v>5.0000000000000001E-9</v>
      </c>
      <c r="T11" s="685">
        <f t="shared" si="8"/>
        <v>0</v>
      </c>
      <c r="U11" s="1020">
        <v>0</v>
      </c>
      <c r="V11" s="685">
        <f t="shared" si="9"/>
        <v>0</v>
      </c>
      <c r="W11" s="685">
        <f t="shared" si="10"/>
        <v>0</v>
      </c>
      <c r="X11" s="1062">
        <v>0</v>
      </c>
      <c r="Y11" s="685">
        <f t="shared" si="11"/>
        <v>0</v>
      </c>
      <c r="Z11" s="685">
        <f t="shared" si="12"/>
        <v>0</v>
      </c>
      <c r="AA11" s="1062">
        <v>0</v>
      </c>
      <c r="AB11" s="701">
        <f t="shared" si="13"/>
        <v>0</v>
      </c>
      <c r="AC11" s="701">
        <f t="shared" si="14"/>
        <v>0</v>
      </c>
      <c r="AE11" s="780" t="s">
        <v>1269</v>
      </c>
    </row>
    <row r="12" spans="4:31" ht="14.25" customHeight="1" x14ac:dyDescent="0.35">
      <c r="D12" s="1058">
        <f t="shared" si="15"/>
        <v>8</v>
      </c>
      <c r="E12" s="1059" t="s">
        <v>915</v>
      </c>
      <c r="F12" s="1060" t="s">
        <v>915</v>
      </c>
      <c r="G12" s="1061">
        <v>0</v>
      </c>
      <c r="H12" s="1061">
        <f t="shared" si="0"/>
        <v>1</v>
      </c>
      <c r="I12" s="1020">
        <v>0.48908190000000001</v>
      </c>
      <c r="J12" s="837">
        <f t="shared" si="1"/>
        <v>0</v>
      </c>
      <c r="K12" s="837">
        <f t="shared" si="2"/>
        <v>0.48908190000000001</v>
      </c>
      <c r="L12" s="1020">
        <v>1.2686292989234327</v>
      </c>
      <c r="M12" s="837">
        <f t="shared" si="3"/>
        <v>0</v>
      </c>
      <c r="N12" s="837">
        <f t="shared" si="4"/>
        <v>1.2686292989234327</v>
      </c>
      <c r="O12" s="1020">
        <v>0</v>
      </c>
      <c r="P12" s="685">
        <f t="shared" si="5"/>
        <v>0</v>
      </c>
      <c r="Q12" s="1126">
        <f t="shared" si="6"/>
        <v>0</v>
      </c>
      <c r="R12" s="1020">
        <v>0.291515523</v>
      </c>
      <c r="S12" s="685">
        <f t="shared" si="7"/>
        <v>0</v>
      </c>
      <c r="T12" s="685">
        <f t="shared" si="8"/>
        <v>0.291515523</v>
      </c>
      <c r="U12" s="1020">
        <v>1.196946608</v>
      </c>
      <c r="V12" s="685">
        <f t="shared" si="9"/>
        <v>0</v>
      </c>
      <c r="W12" s="685">
        <f t="shared" si="10"/>
        <v>1.196946608</v>
      </c>
      <c r="X12" s="1062">
        <v>1.0655415E-2</v>
      </c>
      <c r="Y12" s="685">
        <f t="shared" si="11"/>
        <v>0</v>
      </c>
      <c r="Z12" s="685">
        <f t="shared" si="12"/>
        <v>1.0655415E-2</v>
      </c>
      <c r="AA12" s="1062">
        <v>0</v>
      </c>
      <c r="AB12" s="701">
        <f t="shared" si="13"/>
        <v>0</v>
      </c>
      <c r="AC12" s="701">
        <f t="shared" si="14"/>
        <v>0</v>
      </c>
      <c r="AE12" s="780" t="s">
        <v>1270</v>
      </c>
    </row>
    <row r="13" spans="4:31" ht="14.25" customHeight="1" x14ac:dyDescent="0.35">
      <c r="D13" s="1058">
        <f t="shared" si="15"/>
        <v>9</v>
      </c>
      <c r="E13" s="1059" t="s">
        <v>1415</v>
      </c>
      <c r="F13" s="1060" t="s">
        <v>440</v>
      </c>
      <c r="G13" s="1061">
        <v>1</v>
      </c>
      <c r="H13" s="1061">
        <f t="shared" si="0"/>
        <v>0</v>
      </c>
      <c r="I13" s="1020">
        <v>24.815658899999999</v>
      </c>
      <c r="J13" s="837">
        <f t="shared" si="1"/>
        <v>24.815658899999999</v>
      </c>
      <c r="K13" s="837">
        <f t="shared" si="2"/>
        <v>0</v>
      </c>
      <c r="L13" s="1020">
        <v>9.7965003063688787</v>
      </c>
      <c r="M13" s="837">
        <f t="shared" si="3"/>
        <v>9.7965003063688787</v>
      </c>
      <c r="N13" s="837">
        <f t="shared" si="4"/>
        <v>0</v>
      </c>
      <c r="O13" s="1020">
        <v>4.349852641</v>
      </c>
      <c r="P13" s="685">
        <f t="shared" si="5"/>
        <v>4.349852641</v>
      </c>
      <c r="Q13" s="1126">
        <f t="shared" si="6"/>
        <v>0</v>
      </c>
      <c r="R13" s="1020">
        <v>0.54742126599999996</v>
      </c>
      <c r="S13" s="685">
        <f t="shared" si="7"/>
        <v>0.54742126599999996</v>
      </c>
      <c r="T13" s="685">
        <f t="shared" si="8"/>
        <v>0</v>
      </c>
      <c r="U13" s="1020">
        <v>0</v>
      </c>
      <c r="V13" s="685">
        <f t="shared" si="9"/>
        <v>0</v>
      </c>
      <c r="W13" s="685">
        <f t="shared" si="10"/>
        <v>0</v>
      </c>
      <c r="X13" s="1062">
        <v>0</v>
      </c>
      <c r="Y13" s="685">
        <f t="shared" si="11"/>
        <v>0</v>
      </c>
      <c r="Z13" s="685">
        <f t="shared" si="12"/>
        <v>0</v>
      </c>
      <c r="AA13" s="1062">
        <v>0</v>
      </c>
      <c r="AB13" s="701">
        <f t="shared" si="13"/>
        <v>0</v>
      </c>
      <c r="AC13" s="701">
        <f t="shared" si="14"/>
        <v>0</v>
      </c>
    </row>
    <row r="14" spans="4:31" ht="14.25" customHeight="1" x14ac:dyDescent="0.35">
      <c r="D14" s="1058">
        <f t="shared" si="15"/>
        <v>10</v>
      </c>
      <c r="E14" s="1059" t="s">
        <v>445</v>
      </c>
      <c r="F14" s="1060" t="s">
        <v>879</v>
      </c>
      <c r="G14" s="1061">
        <v>0.9</v>
      </c>
      <c r="H14" s="1061">
        <f t="shared" si="0"/>
        <v>9.9999999999999978E-2</v>
      </c>
      <c r="I14" s="1020">
        <v>6.5979999999999997E-3</v>
      </c>
      <c r="J14" s="837">
        <f t="shared" si="1"/>
        <v>5.9382000000000002E-3</v>
      </c>
      <c r="K14" s="837">
        <f t="shared" si="2"/>
        <v>6.5979999999999977E-4</v>
      </c>
      <c r="L14" s="1020">
        <v>0</v>
      </c>
      <c r="M14" s="837">
        <f t="shared" si="3"/>
        <v>0</v>
      </c>
      <c r="N14" s="837">
        <f t="shared" si="4"/>
        <v>0</v>
      </c>
      <c r="O14" s="1020">
        <v>0</v>
      </c>
      <c r="P14" s="685">
        <f t="shared" si="5"/>
        <v>0</v>
      </c>
      <c r="Q14" s="1126">
        <f t="shared" si="6"/>
        <v>0</v>
      </c>
      <c r="R14" s="1020">
        <v>0</v>
      </c>
      <c r="S14" s="685">
        <f t="shared" si="7"/>
        <v>0</v>
      </c>
      <c r="T14" s="685">
        <f t="shared" si="8"/>
        <v>0</v>
      </c>
      <c r="U14" s="1020">
        <v>0</v>
      </c>
      <c r="V14" s="685">
        <f t="shared" si="9"/>
        <v>0</v>
      </c>
      <c r="W14" s="685">
        <f t="shared" si="10"/>
        <v>0</v>
      </c>
      <c r="X14" s="1062">
        <v>0</v>
      </c>
      <c r="Y14" s="685">
        <f t="shared" si="11"/>
        <v>0</v>
      </c>
      <c r="Z14" s="685">
        <f t="shared" si="12"/>
        <v>0</v>
      </c>
      <c r="AA14" s="1062">
        <v>0</v>
      </c>
      <c r="AB14" s="701">
        <f t="shared" si="13"/>
        <v>0</v>
      </c>
      <c r="AC14" s="701">
        <f t="shared" si="14"/>
        <v>0</v>
      </c>
    </row>
    <row r="15" spans="4:31" ht="14.25" customHeight="1" x14ac:dyDescent="0.35">
      <c r="D15" s="1058">
        <f t="shared" si="15"/>
        <v>11</v>
      </c>
      <c r="E15" s="1059" t="s">
        <v>1416</v>
      </c>
      <c r="F15" s="1060" t="s">
        <v>440</v>
      </c>
      <c r="G15" s="1061">
        <v>1</v>
      </c>
      <c r="H15" s="1061">
        <f t="shared" si="0"/>
        <v>0</v>
      </c>
      <c r="I15" s="1020">
        <v>5.0161201000000002</v>
      </c>
      <c r="J15" s="837">
        <f t="shared" si="1"/>
        <v>5.0161201000000002</v>
      </c>
      <c r="K15" s="837">
        <f t="shared" si="2"/>
        <v>0</v>
      </c>
      <c r="L15" s="1020">
        <v>0.14600737948197279</v>
      </c>
      <c r="M15" s="837">
        <f t="shared" si="3"/>
        <v>0.14600737948197279</v>
      </c>
      <c r="N15" s="837">
        <f t="shared" si="4"/>
        <v>0</v>
      </c>
      <c r="O15" s="1020">
        <v>0.12168689399999999</v>
      </c>
      <c r="P15" s="685">
        <f t="shared" si="5"/>
        <v>0.12168689399999999</v>
      </c>
      <c r="Q15" s="1126">
        <f t="shared" si="6"/>
        <v>0</v>
      </c>
      <c r="R15" s="1020">
        <v>7.6938269999999989E-2</v>
      </c>
      <c r="S15" s="685">
        <f t="shared" si="7"/>
        <v>7.6938269999999989E-2</v>
      </c>
      <c r="T15" s="685">
        <f t="shared" si="8"/>
        <v>0</v>
      </c>
      <c r="U15" s="1020">
        <v>0</v>
      </c>
      <c r="V15" s="685">
        <f t="shared" si="9"/>
        <v>0</v>
      </c>
      <c r="W15" s="685">
        <f t="shared" si="10"/>
        <v>0</v>
      </c>
      <c r="X15" s="1062">
        <v>9.1967151999999996E-2</v>
      </c>
      <c r="Y15" s="685">
        <f t="shared" si="11"/>
        <v>9.1967151999999996E-2</v>
      </c>
      <c r="Z15" s="685">
        <f t="shared" si="12"/>
        <v>0</v>
      </c>
      <c r="AA15" s="1062">
        <v>0</v>
      </c>
      <c r="AB15" s="701">
        <f t="shared" si="13"/>
        <v>0</v>
      </c>
      <c r="AC15" s="701">
        <f t="shared" si="14"/>
        <v>0</v>
      </c>
    </row>
    <row r="16" spans="4:31" ht="14.25" customHeight="1" x14ac:dyDescent="0.35">
      <c r="D16" s="1058">
        <f t="shared" si="15"/>
        <v>12</v>
      </c>
      <c r="E16" s="1059" t="s">
        <v>1417</v>
      </c>
      <c r="F16" s="1060" t="s">
        <v>1269</v>
      </c>
      <c r="G16" s="1061">
        <v>0.5</v>
      </c>
      <c r="H16" s="1061">
        <f t="shared" si="0"/>
        <v>0.5</v>
      </c>
      <c r="I16" s="1020">
        <v>2.7142294999999997E-2</v>
      </c>
      <c r="J16" s="837">
        <f t="shared" si="1"/>
        <v>1.3571147499999998E-2</v>
      </c>
      <c r="K16" s="837">
        <f t="shared" si="2"/>
        <v>1.3571147499999998E-2</v>
      </c>
      <c r="L16" s="837">
        <v>0</v>
      </c>
      <c r="M16" s="837">
        <f t="shared" si="3"/>
        <v>0</v>
      </c>
      <c r="N16" s="837">
        <f t="shared" si="4"/>
        <v>0</v>
      </c>
      <c r="O16" s="837">
        <v>2.0641824E-2</v>
      </c>
      <c r="P16" s="685">
        <f t="shared" si="5"/>
        <v>1.0320912E-2</v>
      </c>
      <c r="Q16" s="1126">
        <f t="shared" si="6"/>
        <v>1.0320912E-2</v>
      </c>
      <c r="R16" s="837">
        <v>4.4700120000000006E-3</v>
      </c>
      <c r="S16" s="685">
        <f t="shared" si="7"/>
        <v>2.2350060000000003E-3</v>
      </c>
      <c r="T16" s="685">
        <f t="shared" si="8"/>
        <v>2.2350060000000003E-3</v>
      </c>
      <c r="U16" s="1020">
        <v>9.9499820000000013E-3</v>
      </c>
      <c r="V16" s="685">
        <f t="shared" si="9"/>
        <v>4.9749910000000007E-3</v>
      </c>
      <c r="W16" s="685">
        <f t="shared" si="10"/>
        <v>4.9749910000000007E-3</v>
      </c>
      <c r="X16" s="1062">
        <v>7.1090724999999994E-2</v>
      </c>
      <c r="Y16" s="685">
        <f t="shared" si="11"/>
        <v>3.5545362499999997E-2</v>
      </c>
      <c r="Z16" s="685">
        <f t="shared" si="12"/>
        <v>3.5545362499999997E-2</v>
      </c>
      <c r="AA16" s="1062">
        <v>1.0511319999999999E-2</v>
      </c>
      <c r="AB16" s="701">
        <f t="shared" si="13"/>
        <v>5.2556599999999997E-3</v>
      </c>
      <c r="AC16" s="701">
        <f t="shared" si="14"/>
        <v>5.2556599999999997E-3</v>
      </c>
    </row>
    <row r="17" spans="4:29" ht="14.25" customHeight="1" x14ac:dyDescent="0.35">
      <c r="D17" s="1058">
        <f t="shared" si="15"/>
        <v>13</v>
      </c>
      <c r="E17" s="1059" t="s">
        <v>1418</v>
      </c>
      <c r="F17" s="1060" t="s">
        <v>447</v>
      </c>
      <c r="G17" s="1061">
        <v>0.5</v>
      </c>
      <c r="H17" s="1061">
        <f t="shared" si="0"/>
        <v>0.5</v>
      </c>
      <c r="I17" s="1020">
        <v>5.3518200000000002E-2</v>
      </c>
      <c r="J17" s="837">
        <f t="shared" si="1"/>
        <v>2.6759100000000001E-2</v>
      </c>
      <c r="K17" s="837">
        <f t="shared" si="2"/>
        <v>2.6759100000000001E-2</v>
      </c>
      <c r="L17" s="837">
        <v>0</v>
      </c>
      <c r="M17" s="837">
        <f t="shared" si="3"/>
        <v>0</v>
      </c>
      <c r="N17" s="837">
        <f t="shared" si="4"/>
        <v>0</v>
      </c>
      <c r="O17" s="837">
        <v>0</v>
      </c>
      <c r="P17" s="685">
        <f t="shared" si="5"/>
        <v>0</v>
      </c>
      <c r="Q17" s="1126">
        <f t="shared" si="6"/>
        <v>0</v>
      </c>
      <c r="R17" s="837">
        <v>0</v>
      </c>
      <c r="S17" s="685">
        <f t="shared" si="7"/>
        <v>0</v>
      </c>
      <c r="T17" s="685">
        <f t="shared" si="8"/>
        <v>0</v>
      </c>
      <c r="U17" s="1020">
        <v>0</v>
      </c>
      <c r="V17" s="685">
        <f t="shared" si="9"/>
        <v>0</v>
      </c>
      <c r="W17" s="685">
        <f t="shared" si="10"/>
        <v>0</v>
      </c>
      <c r="X17" s="1062">
        <v>0</v>
      </c>
      <c r="Y17" s="685">
        <f t="shared" si="11"/>
        <v>0</v>
      </c>
      <c r="Z17" s="685">
        <f t="shared" si="12"/>
        <v>0</v>
      </c>
      <c r="AA17" s="1062">
        <v>1.0442999999999999E-2</v>
      </c>
      <c r="AB17" s="701">
        <f t="shared" si="13"/>
        <v>5.2214999999999996E-3</v>
      </c>
      <c r="AC17" s="701">
        <f t="shared" si="14"/>
        <v>5.2214999999999996E-3</v>
      </c>
    </row>
    <row r="18" spans="4:29" ht="14.25" customHeight="1" x14ac:dyDescent="0.35">
      <c r="D18" s="1058">
        <f t="shared" si="15"/>
        <v>14</v>
      </c>
      <c r="E18" s="1059" t="s">
        <v>1419</v>
      </c>
      <c r="F18" s="1060" t="s">
        <v>447</v>
      </c>
      <c r="G18" s="1061">
        <v>0.5</v>
      </c>
      <c r="H18" s="1061">
        <f t="shared" si="0"/>
        <v>0.5</v>
      </c>
      <c r="I18" s="1020">
        <v>4.3617200000000002E-2</v>
      </c>
      <c r="J18" s="837">
        <f t="shared" si="1"/>
        <v>2.1808600000000001E-2</v>
      </c>
      <c r="K18" s="837">
        <f t="shared" si="2"/>
        <v>2.1808600000000001E-2</v>
      </c>
      <c r="L18" s="837">
        <v>0</v>
      </c>
      <c r="M18" s="837">
        <f t="shared" si="3"/>
        <v>0</v>
      </c>
      <c r="N18" s="837">
        <f t="shared" si="4"/>
        <v>0</v>
      </c>
      <c r="O18" s="837">
        <v>0</v>
      </c>
      <c r="P18" s="685">
        <f t="shared" si="5"/>
        <v>0</v>
      </c>
      <c r="Q18" s="1126">
        <f t="shared" si="6"/>
        <v>0</v>
      </c>
      <c r="R18" s="837">
        <v>2.5027799999999999E-2</v>
      </c>
      <c r="S18" s="685">
        <f t="shared" si="7"/>
        <v>1.25139E-2</v>
      </c>
      <c r="T18" s="685">
        <f t="shared" si="8"/>
        <v>1.25139E-2</v>
      </c>
      <c r="U18" s="1020">
        <v>0</v>
      </c>
      <c r="V18" s="685">
        <f t="shared" si="9"/>
        <v>0</v>
      </c>
      <c r="W18" s="685">
        <f t="shared" si="10"/>
        <v>0</v>
      </c>
      <c r="X18" s="1062">
        <v>1.7001E-3</v>
      </c>
      <c r="Y18" s="685">
        <f t="shared" si="11"/>
        <v>8.5004999999999998E-4</v>
      </c>
      <c r="Z18" s="685">
        <f t="shared" si="12"/>
        <v>8.5004999999999998E-4</v>
      </c>
      <c r="AA18" s="1062">
        <v>5.1772500000000004E-3</v>
      </c>
      <c r="AB18" s="701">
        <f t="shared" si="13"/>
        <v>2.5886250000000002E-3</v>
      </c>
      <c r="AC18" s="701">
        <f t="shared" si="14"/>
        <v>2.5886250000000002E-3</v>
      </c>
    </row>
    <row r="19" spans="4:29" ht="14.25" customHeight="1" x14ac:dyDescent="0.35">
      <c r="D19" s="1058">
        <f t="shared" si="15"/>
        <v>15</v>
      </c>
      <c r="E19" s="1059" t="s">
        <v>1420</v>
      </c>
      <c r="F19" s="1060" t="s">
        <v>1270</v>
      </c>
      <c r="G19" s="1061">
        <v>0</v>
      </c>
      <c r="H19" s="1061">
        <f t="shared" si="0"/>
        <v>1</v>
      </c>
      <c r="I19" s="1020">
        <v>0.214033</v>
      </c>
      <c r="J19" s="837">
        <f t="shared" si="1"/>
        <v>0</v>
      </c>
      <c r="K19" s="837">
        <f t="shared" si="2"/>
        <v>0.214033</v>
      </c>
      <c r="L19" s="837">
        <v>0</v>
      </c>
      <c r="M19" s="837">
        <f t="shared" si="3"/>
        <v>0</v>
      </c>
      <c r="N19" s="837">
        <f t="shared" si="4"/>
        <v>0</v>
      </c>
      <c r="O19" s="837">
        <v>0</v>
      </c>
      <c r="P19" s="685">
        <f t="shared" si="5"/>
        <v>0</v>
      </c>
      <c r="Q19" s="1126">
        <f t="shared" si="6"/>
        <v>0</v>
      </c>
      <c r="R19" s="837">
        <v>0</v>
      </c>
      <c r="S19" s="685">
        <f t="shared" si="7"/>
        <v>0</v>
      </c>
      <c r="T19" s="685">
        <f t="shared" si="8"/>
        <v>0</v>
      </c>
      <c r="U19" s="1020">
        <v>2.65028E-2</v>
      </c>
      <c r="V19" s="685">
        <f t="shared" si="9"/>
        <v>0</v>
      </c>
      <c r="W19" s="685">
        <f t="shared" si="10"/>
        <v>2.65028E-2</v>
      </c>
      <c r="X19" s="1062">
        <v>0</v>
      </c>
      <c r="Y19" s="685">
        <f t="shared" si="11"/>
        <v>0</v>
      </c>
      <c r="Z19" s="685">
        <f t="shared" si="12"/>
        <v>0</v>
      </c>
      <c r="AA19" s="1062">
        <v>7.7879999999999998E-3</v>
      </c>
      <c r="AB19" s="701">
        <f t="shared" si="13"/>
        <v>0</v>
      </c>
      <c r="AC19" s="701">
        <f t="shared" si="14"/>
        <v>7.7879999999999998E-3</v>
      </c>
    </row>
    <row r="20" spans="4:29" ht="14.25" customHeight="1" x14ac:dyDescent="0.35">
      <c r="D20" s="1058">
        <f t="shared" si="15"/>
        <v>16</v>
      </c>
      <c r="E20" s="1059" t="s">
        <v>935</v>
      </c>
      <c r="F20" s="1060" t="s">
        <v>1410</v>
      </c>
      <c r="G20" s="1061">
        <v>1</v>
      </c>
      <c r="H20" s="1061">
        <f t="shared" si="0"/>
        <v>0</v>
      </c>
      <c r="I20" s="1020">
        <v>3.4999999999999999E-6</v>
      </c>
      <c r="J20" s="837">
        <f t="shared" si="1"/>
        <v>3.4999999999999999E-6</v>
      </c>
      <c r="K20" s="837">
        <f t="shared" si="2"/>
        <v>0</v>
      </c>
      <c r="L20" s="837">
        <v>0</v>
      </c>
      <c r="M20" s="837">
        <f t="shared" si="3"/>
        <v>0</v>
      </c>
      <c r="N20" s="837">
        <f t="shared" si="4"/>
        <v>0</v>
      </c>
      <c r="O20" s="837">
        <v>0</v>
      </c>
      <c r="P20" s="685">
        <f t="shared" si="5"/>
        <v>0</v>
      </c>
      <c r="Q20" s="1126">
        <f t="shared" si="6"/>
        <v>0</v>
      </c>
      <c r="R20" s="837">
        <v>0</v>
      </c>
      <c r="S20" s="685">
        <f t="shared" si="7"/>
        <v>0</v>
      </c>
      <c r="T20" s="685">
        <f t="shared" si="8"/>
        <v>0</v>
      </c>
      <c r="U20" s="1020">
        <v>0</v>
      </c>
      <c r="V20" s="685">
        <f t="shared" si="9"/>
        <v>0</v>
      </c>
      <c r="W20" s="685">
        <f t="shared" si="10"/>
        <v>0</v>
      </c>
      <c r="X20" s="1062">
        <v>0</v>
      </c>
      <c r="Y20" s="685">
        <f t="shared" si="11"/>
        <v>0</v>
      </c>
      <c r="Z20" s="685">
        <f t="shared" si="12"/>
        <v>0</v>
      </c>
      <c r="AA20" s="1062">
        <v>0</v>
      </c>
      <c r="AB20" s="701">
        <f t="shared" si="13"/>
        <v>0</v>
      </c>
      <c r="AC20" s="701">
        <f t="shared" si="14"/>
        <v>0</v>
      </c>
    </row>
    <row r="21" spans="4:29" ht="14.25" customHeight="1" x14ac:dyDescent="0.35">
      <c r="D21" s="1058"/>
      <c r="E21" s="780"/>
      <c r="F21" s="780"/>
      <c r="G21" s="1061"/>
      <c r="H21" s="1061"/>
      <c r="I21" s="837"/>
      <c r="J21" s="837"/>
      <c r="K21" s="837"/>
      <c r="L21" s="837"/>
      <c r="M21" s="837"/>
      <c r="N21" s="837"/>
      <c r="P21" s="685"/>
      <c r="Q21" s="1126"/>
      <c r="R21" s="837"/>
      <c r="S21" s="685"/>
      <c r="T21" s="685"/>
      <c r="U21" s="1025"/>
      <c r="V21" s="685"/>
      <c r="W21" s="685"/>
      <c r="X21" s="1025"/>
      <c r="Y21" s="685"/>
      <c r="Z21" s="685"/>
      <c r="AA21" s="1025"/>
      <c r="AB21" s="1025"/>
      <c r="AC21" s="1025"/>
    </row>
    <row r="22" spans="4:29" ht="14.25" customHeight="1" x14ac:dyDescent="0.35">
      <c r="D22" s="1063"/>
      <c r="E22" s="1064" t="s">
        <v>164</v>
      </c>
      <c r="F22" s="1064"/>
      <c r="G22" s="1025"/>
      <c r="H22" s="1025"/>
      <c r="I22" s="845">
        <f>SUM(I5:I20)</f>
        <v>56.31279499499999</v>
      </c>
      <c r="J22" s="845">
        <f t="shared" ref="J22:AC22" si="16">SUM(J5:J20)</f>
        <v>55.546881447500006</v>
      </c>
      <c r="K22" s="845">
        <f t="shared" si="16"/>
        <v>0.76591354750000007</v>
      </c>
      <c r="L22" s="845">
        <f t="shared" si="16"/>
        <v>12.830158250382215</v>
      </c>
      <c r="M22" s="845">
        <f t="shared" si="16"/>
        <v>11.561528951458783</v>
      </c>
      <c r="N22" s="845">
        <f t="shared" si="16"/>
        <v>1.2686292989234327</v>
      </c>
      <c r="O22" s="845">
        <f t="shared" si="16"/>
        <v>4.9770412129999997</v>
      </c>
      <c r="P22" s="845">
        <f t="shared" si="16"/>
        <v>4.9667203009999996</v>
      </c>
      <c r="Q22" s="1127">
        <f t="shared" si="16"/>
        <v>1.0320912E-2</v>
      </c>
      <c r="R22" s="845">
        <f t="shared" si="16"/>
        <v>0.96115707499999992</v>
      </c>
      <c r="S22" s="845">
        <f t="shared" si="16"/>
        <v>0.65489264599999997</v>
      </c>
      <c r="T22" s="845">
        <f t="shared" si="16"/>
        <v>0.306264429</v>
      </c>
      <c r="U22" s="845">
        <f t="shared" si="16"/>
        <v>1.23339939</v>
      </c>
      <c r="V22" s="845">
        <f t="shared" si="16"/>
        <v>4.9749910000000007E-3</v>
      </c>
      <c r="W22" s="845">
        <f t="shared" si="16"/>
        <v>1.2284243990000001</v>
      </c>
      <c r="X22" s="845">
        <f t="shared" si="16"/>
        <v>0.175413392</v>
      </c>
      <c r="Y22" s="845">
        <f t="shared" si="16"/>
        <v>0.1283625645</v>
      </c>
      <c r="Z22" s="845">
        <f t="shared" si="16"/>
        <v>4.7050827499999996E-2</v>
      </c>
      <c r="AA22" s="1065">
        <f t="shared" si="16"/>
        <v>3.3919569999999996E-2</v>
      </c>
      <c r="AB22" s="1065">
        <f t="shared" si="16"/>
        <v>1.3065785E-2</v>
      </c>
      <c r="AC22" s="1065">
        <f t="shared" si="16"/>
        <v>2.0853785E-2</v>
      </c>
    </row>
    <row r="23" spans="4:29" ht="14.25" customHeight="1" x14ac:dyDescent="0.35">
      <c r="D23" s="1066"/>
      <c r="E23" s="1067"/>
      <c r="F23" s="1067"/>
      <c r="I23" s="1068"/>
      <c r="J23" s="1069">
        <f>J22/$I$22</f>
        <v>0.98639894277014684</v>
      </c>
      <c r="K23" s="1069">
        <f>K22/$I$22</f>
        <v>1.3601057229853455E-2</v>
      </c>
      <c r="L23" s="1068"/>
      <c r="M23" s="1069">
        <f>M22/$L$22</f>
        <v>0.9011213054300683</v>
      </c>
      <c r="N23" s="1069">
        <f>N22/$L$22</f>
        <v>9.887869456993173E-2</v>
      </c>
      <c r="P23" s="1069">
        <f>P22/$O$22</f>
        <v>0.99792629565271795</v>
      </c>
      <c r="Q23" s="1069">
        <f>Q22/$O$22</f>
        <v>2.0737043472820447E-3</v>
      </c>
      <c r="R23" s="1025"/>
      <c r="S23" s="1128">
        <f>S22/$R$22</f>
        <v>0.68135860728070907</v>
      </c>
      <c r="T23" s="1128">
        <f>T22/$R$22</f>
        <v>0.31864139271929098</v>
      </c>
      <c r="U23" s="1025"/>
      <c r="V23" s="1128">
        <f>V22/$U$22</f>
        <v>4.0335604511690252E-3</v>
      </c>
      <c r="W23" s="1128">
        <f>W22/$U$22</f>
        <v>0.99596643954883113</v>
      </c>
      <c r="X23" s="1025"/>
      <c r="Y23" s="1128">
        <f>Y22/$X$22</f>
        <v>0.73177174807725054</v>
      </c>
      <c r="Z23" s="1128">
        <f>Z22/$X$22</f>
        <v>0.26822825192274941</v>
      </c>
      <c r="AA23" s="1025"/>
      <c r="AB23" s="1128">
        <f>AB22/$AA$22</f>
        <v>0.38519901637904025</v>
      </c>
      <c r="AC23" s="1128">
        <f>AC22/$AA$22</f>
        <v>0.61480098362095992</v>
      </c>
    </row>
    <row r="24" spans="4:29" ht="14.25" customHeight="1" x14ac:dyDescent="0.35">
      <c r="E24" s="1056" t="s">
        <v>1259</v>
      </c>
      <c r="F24" s="1056"/>
      <c r="L24" s="1070"/>
      <c r="M24" s="859">
        <f>(J22+M22)/($I$22+$L$22)</f>
        <v>0.97057483444187009</v>
      </c>
      <c r="N24" s="859">
        <f>(K22+N22)/($I$22+$L$22)</f>
        <v>2.9425165558130281E-2</v>
      </c>
      <c r="P24" s="859">
        <f>($J22+$M22+$P22)/($I$22+$L$22+$O$22)</f>
        <v>0.97241144210322927</v>
      </c>
      <c r="Q24" s="859">
        <f>($K22+$N22+$Q22)/($I$22+$L$22+$O$22)</f>
        <v>2.7588557896771136E-2</v>
      </c>
      <c r="S24" s="859">
        <f>(J$22+M$22+P$22+S$22)/($I$22+$L$22+$O$22+$R$22)</f>
        <v>0.96868550708924506</v>
      </c>
      <c r="T24" s="859">
        <f>(K$22+N$22+Q$22+T$22)/($I$22+$L$22+$O$22+$R$22)</f>
        <v>3.1314492910755186E-2</v>
      </c>
      <c r="V24" s="859">
        <f>(J$22+M$22+P$22+S$22+V$22)/($I$22+$L$22+$O$22+$R$22+$U$22)</f>
        <v>0.95309475659475218</v>
      </c>
      <c r="W24" s="859">
        <f>(K$22+N$22+Q$22+T$22+W$22)/($I$22+$L$22+$O$22+$R$22+$U$22)</f>
        <v>4.6905243405247966E-2</v>
      </c>
      <c r="Y24" s="859">
        <f>(J$22+M$22+P$22+S$22+V$22+Y$22)/($I$22+$L$22+$O$22+$R$22+$U$22+$X$22)</f>
        <v>0.95258719955770577</v>
      </c>
      <c r="Z24" s="859">
        <f>(K$22+N$22+Q$22+T$22+W$22+Z$22)/($I$22+$L$22+$O$22+$R$22+$U$22+$X$22)</f>
        <v>4.7412800442294366E-2</v>
      </c>
      <c r="AB24" s="859">
        <f>(J$22+M$22+P$22+S$22+V$22+Y$22+AB$22)/($I$22+$L$22+$O$22+$R$22+$U$22+$X$22+$AA$22)</f>
        <v>0.95233570208764373</v>
      </c>
      <c r="AC24" s="859">
        <f>(K$22+N$22+Q$22+T$22+W$22+Z$22+AC$22)/($I$22+$L$22+$O$22+$R$22+$U$22+$X$22+$AA$22)</f>
        <v>4.766429791235649E-2</v>
      </c>
    </row>
    <row r="25" spans="4:29" ht="14.25" customHeight="1" x14ac:dyDescent="0.35">
      <c r="D25" s="1034" t="s">
        <v>1</v>
      </c>
      <c r="E25" s="1034" t="s">
        <v>111</v>
      </c>
      <c r="F25" s="1034"/>
      <c r="G25" s="1034" t="s">
        <v>963</v>
      </c>
      <c r="H25" s="1034" t="s">
        <v>923</v>
      </c>
      <c r="I25" s="2010" t="s">
        <v>196</v>
      </c>
      <c r="J25" s="2010"/>
      <c r="K25" s="2010"/>
      <c r="L25" s="2010" t="s">
        <v>197</v>
      </c>
      <c r="M25" s="2010"/>
      <c r="N25" s="2010"/>
      <c r="O25" s="2009" t="s">
        <v>198</v>
      </c>
      <c r="P25" s="2009"/>
      <c r="Q25" s="2009"/>
      <c r="R25" s="2009" t="s">
        <v>199</v>
      </c>
      <c r="S25" s="2009"/>
      <c r="T25" s="2009"/>
      <c r="U25" s="2009" t="s">
        <v>112</v>
      </c>
      <c r="V25" s="2009"/>
      <c r="W25" s="2009"/>
      <c r="X25" s="2009" t="s">
        <v>113</v>
      </c>
      <c r="Y25" s="2009"/>
      <c r="Z25" s="2009"/>
      <c r="AA25" s="2009" t="s">
        <v>114</v>
      </c>
      <c r="AB25" s="2009"/>
      <c r="AC25" s="2009"/>
    </row>
    <row r="26" spans="4:29" ht="14.25" customHeight="1" x14ac:dyDescent="0.35">
      <c r="D26" s="1057"/>
      <c r="E26" s="1057"/>
      <c r="F26" s="1057"/>
      <c r="G26" s="1057" t="s">
        <v>243</v>
      </c>
      <c r="H26" s="1057" t="s">
        <v>243</v>
      </c>
      <c r="I26" s="1057" t="s">
        <v>164</v>
      </c>
      <c r="J26" s="1057" t="s">
        <v>963</v>
      </c>
      <c r="K26" s="1057" t="s">
        <v>923</v>
      </c>
      <c r="L26" s="1057" t="s">
        <v>164</v>
      </c>
      <c r="M26" s="1057" t="s">
        <v>963</v>
      </c>
      <c r="N26" s="1057" t="s">
        <v>923</v>
      </c>
      <c r="O26" s="1057" t="s">
        <v>164</v>
      </c>
      <c r="P26" s="1057" t="s">
        <v>963</v>
      </c>
      <c r="Q26" s="1057" t="s">
        <v>923</v>
      </c>
      <c r="R26" s="1057" t="s">
        <v>164</v>
      </c>
      <c r="S26" s="1057" t="s">
        <v>963</v>
      </c>
      <c r="T26" s="1057" t="s">
        <v>923</v>
      </c>
      <c r="U26" s="1057" t="s">
        <v>164</v>
      </c>
      <c r="V26" s="1057" t="s">
        <v>963</v>
      </c>
      <c r="W26" s="1057" t="s">
        <v>923</v>
      </c>
      <c r="X26" s="1057" t="s">
        <v>164</v>
      </c>
      <c r="Y26" s="1057" t="s">
        <v>963</v>
      </c>
      <c r="Z26" s="1057" t="s">
        <v>923</v>
      </c>
      <c r="AA26" s="1057" t="s">
        <v>164</v>
      </c>
      <c r="AB26" s="1057" t="s">
        <v>963</v>
      </c>
      <c r="AC26" s="1057" t="s">
        <v>923</v>
      </c>
    </row>
    <row r="27" spans="4:29" ht="14.25" customHeight="1" x14ac:dyDescent="0.35">
      <c r="D27" s="1058">
        <v>1</v>
      </c>
      <c r="E27" s="1059" t="s">
        <v>1408</v>
      </c>
      <c r="F27" s="1060" t="s">
        <v>1409</v>
      </c>
      <c r="G27" s="1061">
        <f t="shared" ref="G27:H42" si="17">G5</f>
        <v>1</v>
      </c>
      <c r="H27" s="1061">
        <f t="shared" si="17"/>
        <v>0</v>
      </c>
      <c r="I27" s="1020">
        <v>0.17330699999999999</v>
      </c>
      <c r="J27" s="1020">
        <f>$I27*$G27</f>
        <v>0.17330699999999999</v>
      </c>
      <c r="K27" s="1020">
        <f>$I27*$H27</f>
        <v>0</v>
      </c>
      <c r="L27" s="1020">
        <v>0.3803962569581531</v>
      </c>
      <c r="M27" s="1020">
        <f>$L27*$G27</f>
        <v>0.3803962569581531</v>
      </c>
      <c r="N27" s="1020">
        <f>$L27*$H27</f>
        <v>0</v>
      </c>
      <c r="O27" s="1020">
        <v>0.31473622251056349</v>
      </c>
      <c r="P27" s="1020">
        <f>$O27*$G27</f>
        <v>0.31473622251056349</v>
      </c>
      <c r="Q27" s="1020">
        <f>$O27*$H27</f>
        <v>0</v>
      </c>
      <c r="R27" s="884">
        <v>0.3475662397343583</v>
      </c>
      <c r="S27" s="1020">
        <f>$R27*$G27</f>
        <v>0.3475662397343583</v>
      </c>
      <c r="T27" s="1020">
        <f>$R27*$H27</f>
        <v>0</v>
      </c>
      <c r="U27" s="884">
        <v>0.3475662397343583</v>
      </c>
      <c r="V27" s="1020">
        <f>$U27*$G27</f>
        <v>0.3475662397343583</v>
      </c>
      <c r="W27" s="1020">
        <f>$U27*$H27</f>
        <v>0</v>
      </c>
      <c r="X27" s="884">
        <v>0.3475662397343583</v>
      </c>
      <c r="Y27" s="1020">
        <f>$X27*$G27</f>
        <v>0.3475662397343583</v>
      </c>
      <c r="Z27" s="1020">
        <f>$X27*$H27</f>
        <v>0</v>
      </c>
      <c r="AA27" s="884">
        <v>0.3475662397343583</v>
      </c>
      <c r="AB27" s="1020">
        <f>$AA27*$G27</f>
        <v>0.3475662397343583</v>
      </c>
      <c r="AC27" s="1020">
        <f>$AA27*$H27</f>
        <v>0</v>
      </c>
    </row>
    <row r="28" spans="4:29" ht="14.25" customHeight="1" x14ac:dyDescent="0.35">
      <c r="D28" s="1058">
        <f>D27+1</f>
        <v>2</v>
      </c>
      <c r="E28" s="1059" t="s">
        <v>924</v>
      </c>
      <c r="F28" s="1060" t="s">
        <v>440</v>
      </c>
      <c r="G28" s="1061">
        <f t="shared" si="17"/>
        <v>1</v>
      </c>
      <c r="H28" s="1061">
        <f t="shared" si="17"/>
        <v>0</v>
      </c>
      <c r="I28" s="1020">
        <v>0.1501721</v>
      </c>
      <c r="J28" s="1020">
        <f t="shared" ref="J28:J42" si="18">$I28*$G28</f>
        <v>0.1501721</v>
      </c>
      <c r="K28" s="1020">
        <f t="shared" ref="K28:K42" si="19">$I28*$H28</f>
        <v>0</v>
      </c>
      <c r="L28" s="1020">
        <v>0.3334426937233011</v>
      </c>
      <c r="M28" s="1020">
        <f t="shared" ref="M28:M42" si="20">$L28*$G28</f>
        <v>0.3334426937233011</v>
      </c>
      <c r="N28" s="1020">
        <f t="shared" ref="N28:N42" si="21">$L28*$H28</f>
        <v>0</v>
      </c>
      <c r="O28" s="1020">
        <v>0.33204788212346137</v>
      </c>
      <c r="P28" s="1020">
        <f t="shared" ref="P28:P42" si="22">$O28*$G28</f>
        <v>0.33204788212346137</v>
      </c>
      <c r="Q28" s="1020">
        <f t="shared" ref="Q28:Q42" si="23">$O28*$H28</f>
        <v>0</v>
      </c>
      <c r="R28" s="884">
        <v>0.3591089878127271</v>
      </c>
      <c r="S28" s="1020">
        <f t="shared" ref="S28:S42" si="24">$R28*$G28</f>
        <v>0.3591089878127271</v>
      </c>
      <c r="T28" s="1020">
        <f t="shared" ref="T28:T42" si="25">$R28*$H28</f>
        <v>0</v>
      </c>
      <c r="U28" s="884">
        <v>0.3591089878127271</v>
      </c>
      <c r="V28" s="1020">
        <f t="shared" ref="V28:V42" si="26">$U28*$G28</f>
        <v>0.3591089878127271</v>
      </c>
      <c r="W28" s="1020">
        <f t="shared" ref="W28:W42" si="27">$U28*$H28</f>
        <v>0</v>
      </c>
      <c r="X28" s="884">
        <v>0.3591089878127271</v>
      </c>
      <c r="Y28" s="1020">
        <f t="shared" ref="Y28:Y42" si="28">$X28*$G28</f>
        <v>0.3591089878127271</v>
      </c>
      <c r="Z28" s="1020">
        <f t="shared" ref="Z28:Z42" si="29">$X28*$H28</f>
        <v>0</v>
      </c>
      <c r="AA28" s="884">
        <v>0.3591089878127271</v>
      </c>
      <c r="AB28" s="1020">
        <f t="shared" ref="AB28:AB42" si="30">$AA28*$G28</f>
        <v>0.3591089878127271</v>
      </c>
      <c r="AC28" s="1020">
        <f t="shared" ref="AC28:AC42" si="31">$AA28*$H28</f>
        <v>0</v>
      </c>
    </row>
    <row r="29" spans="4:29" ht="14.25" customHeight="1" x14ac:dyDescent="0.35">
      <c r="D29" s="1058">
        <f t="shared" ref="D29:D42" si="32">D28+1</f>
        <v>3</v>
      </c>
      <c r="E29" s="1059" t="s">
        <v>1411</v>
      </c>
      <c r="F29" s="1060" t="s">
        <v>440</v>
      </c>
      <c r="G29" s="1061">
        <f t="shared" si="17"/>
        <v>1</v>
      </c>
      <c r="H29" s="1061">
        <f t="shared" si="17"/>
        <v>0</v>
      </c>
      <c r="I29" s="1020">
        <v>2.0933899999999998E-2</v>
      </c>
      <c r="J29" s="1020">
        <f t="shared" si="18"/>
        <v>2.0933899999999998E-2</v>
      </c>
      <c r="K29" s="1020">
        <f t="shared" si="19"/>
        <v>0</v>
      </c>
      <c r="L29" s="1020">
        <v>4.5542251378507682E-2</v>
      </c>
      <c r="M29" s="1020">
        <f t="shared" si="20"/>
        <v>4.5542251378507682E-2</v>
      </c>
      <c r="N29" s="1020">
        <f t="shared" si="21"/>
        <v>0</v>
      </c>
      <c r="O29" s="1020">
        <v>3.8469876101131291E-2</v>
      </c>
      <c r="P29" s="1020">
        <f t="shared" si="22"/>
        <v>3.8469876101131291E-2</v>
      </c>
      <c r="Q29" s="1020">
        <f t="shared" si="23"/>
        <v>0</v>
      </c>
      <c r="R29" s="884">
        <v>4.2986660960925925E-2</v>
      </c>
      <c r="S29" s="1020">
        <f t="shared" si="24"/>
        <v>4.2986660960925925E-2</v>
      </c>
      <c r="T29" s="1020">
        <f t="shared" si="25"/>
        <v>0</v>
      </c>
      <c r="U29" s="884">
        <v>4.3041489025815727E-2</v>
      </c>
      <c r="V29" s="1020">
        <f t="shared" si="26"/>
        <v>4.3041489025815727E-2</v>
      </c>
      <c r="W29" s="1020">
        <f t="shared" si="27"/>
        <v>0</v>
      </c>
      <c r="X29" s="884">
        <v>4.3041489025815727E-2</v>
      </c>
      <c r="Y29" s="1020">
        <f t="shared" si="28"/>
        <v>4.3041489025815727E-2</v>
      </c>
      <c r="Z29" s="1020">
        <f t="shared" si="29"/>
        <v>0</v>
      </c>
      <c r="AA29" s="884">
        <v>4.3041489025815727E-2</v>
      </c>
      <c r="AB29" s="1020">
        <f t="shared" si="30"/>
        <v>4.3041489025815727E-2</v>
      </c>
      <c r="AC29" s="1020">
        <f t="shared" si="31"/>
        <v>0</v>
      </c>
    </row>
    <row r="30" spans="4:29" ht="14.25" customHeight="1" x14ac:dyDescent="0.35">
      <c r="D30" s="1058">
        <f t="shared" si="32"/>
        <v>4</v>
      </c>
      <c r="E30" s="1059" t="s">
        <v>925</v>
      </c>
      <c r="F30" s="1060" t="s">
        <v>440</v>
      </c>
      <c r="G30" s="1061">
        <f t="shared" si="17"/>
        <v>1</v>
      </c>
      <c r="H30" s="1061">
        <f t="shared" si="17"/>
        <v>0</v>
      </c>
      <c r="I30" s="1020">
        <v>2.5999999999999998E-5</v>
      </c>
      <c r="J30" s="1020">
        <f t="shared" si="18"/>
        <v>2.5999999999999998E-5</v>
      </c>
      <c r="K30" s="1020">
        <f t="shared" si="19"/>
        <v>0</v>
      </c>
      <c r="L30" s="1020">
        <v>5.6582740519828977E-5</v>
      </c>
      <c r="M30" s="1020">
        <f t="shared" si="20"/>
        <v>5.6582740519828977E-5</v>
      </c>
      <c r="N30" s="1020">
        <f t="shared" si="21"/>
        <v>0</v>
      </c>
      <c r="O30" s="1020">
        <v>4.7738063872576427E-5</v>
      </c>
      <c r="P30" s="1020">
        <f t="shared" si="22"/>
        <v>4.7738063872576427E-5</v>
      </c>
      <c r="Q30" s="1020">
        <f t="shared" si="23"/>
        <v>0</v>
      </c>
      <c r="R30" s="884">
        <v>5.2160402196202702E-5</v>
      </c>
      <c r="S30" s="1020">
        <f t="shared" si="24"/>
        <v>5.2160402196202702E-5</v>
      </c>
      <c r="T30" s="1020">
        <f t="shared" si="25"/>
        <v>0</v>
      </c>
      <c r="U30" s="884">
        <v>5.2160402196202702E-5</v>
      </c>
      <c r="V30" s="1020">
        <f t="shared" si="26"/>
        <v>5.2160402196202702E-5</v>
      </c>
      <c r="W30" s="1020">
        <f t="shared" si="27"/>
        <v>0</v>
      </c>
      <c r="X30" s="884">
        <v>5.2160402196202702E-5</v>
      </c>
      <c r="Y30" s="1020">
        <f t="shared" si="28"/>
        <v>5.2160402196202702E-5</v>
      </c>
      <c r="Z30" s="1020">
        <f t="shared" si="29"/>
        <v>0</v>
      </c>
      <c r="AA30" s="884">
        <v>5.2160402196202702E-5</v>
      </c>
      <c r="AB30" s="1020">
        <f t="shared" si="30"/>
        <v>5.2160402196202702E-5</v>
      </c>
      <c r="AC30" s="1020">
        <f t="shared" si="31"/>
        <v>0</v>
      </c>
    </row>
    <row r="31" spans="4:29" ht="14.25" customHeight="1" x14ac:dyDescent="0.35">
      <c r="D31" s="1058">
        <f t="shared" si="32"/>
        <v>5</v>
      </c>
      <c r="E31" s="1059" t="s">
        <v>1412</v>
      </c>
      <c r="F31" s="1060" t="s">
        <v>440</v>
      </c>
      <c r="G31" s="1061">
        <f t="shared" si="17"/>
        <v>1</v>
      </c>
      <c r="H31" s="1061">
        <f t="shared" si="17"/>
        <v>0</v>
      </c>
      <c r="I31" s="1020">
        <v>0.18401899999999999</v>
      </c>
      <c r="J31" s="1020">
        <f t="shared" si="18"/>
        <v>0.18401899999999999</v>
      </c>
      <c r="K31" s="1020">
        <f t="shared" si="19"/>
        <v>0</v>
      </c>
      <c r="L31" s="1020">
        <v>0.39840624519229201</v>
      </c>
      <c r="M31" s="1020">
        <f t="shared" si="20"/>
        <v>0.39840624519229201</v>
      </c>
      <c r="N31" s="1020">
        <f t="shared" si="21"/>
        <v>0</v>
      </c>
      <c r="O31" s="1020">
        <v>0.33969212625883599</v>
      </c>
      <c r="P31" s="1020">
        <f t="shared" si="22"/>
        <v>0.33969212625883599</v>
      </c>
      <c r="Q31" s="1020">
        <f t="shared" si="23"/>
        <v>0</v>
      </c>
      <c r="R31" s="884">
        <v>0.36911945751630382</v>
      </c>
      <c r="S31" s="1020">
        <f t="shared" si="24"/>
        <v>0.36911945751630382</v>
      </c>
      <c r="T31" s="1020">
        <f t="shared" si="25"/>
        <v>0</v>
      </c>
      <c r="U31" s="884">
        <v>0.36987657939072699</v>
      </c>
      <c r="V31" s="1020">
        <f t="shared" si="26"/>
        <v>0.36987657939072699</v>
      </c>
      <c r="W31" s="1020">
        <f t="shared" si="27"/>
        <v>0</v>
      </c>
      <c r="X31" s="884">
        <v>0.36987657939072699</v>
      </c>
      <c r="Y31" s="1020">
        <f t="shared" si="28"/>
        <v>0.36987657939072699</v>
      </c>
      <c r="Z31" s="1020">
        <f t="shared" si="29"/>
        <v>0</v>
      </c>
      <c r="AA31" s="884">
        <v>0.36987657939072699</v>
      </c>
      <c r="AB31" s="1020">
        <f t="shared" si="30"/>
        <v>0.36987657939072699</v>
      </c>
      <c r="AC31" s="1020">
        <f t="shared" si="31"/>
        <v>0</v>
      </c>
    </row>
    <row r="32" spans="4:29" ht="14.25" customHeight="1" x14ac:dyDescent="0.35">
      <c r="D32" s="1058">
        <f t="shared" si="32"/>
        <v>6</v>
      </c>
      <c r="E32" s="1059" t="s">
        <v>1413</v>
      </c>
      <c r="F32" s="1060" t="s">
        <v>440</v>
      </c>
      <c r="G32" s="1061">
        <f t="shared" si="17"/>
        <v>1</v>
      </c>
      <c r="H32" s="1061">
        <f t="shared" si="17"/>
        <v>0</v>
      </c>
      <c r="I32" s="1020">
        <v>9.6247999999999993E-3</v>
      </c>
      <c r="J32" s="1020">
        <f t="shared" si="18"/>
        <v>9.6247999999999993E-3</v>
      </c>
      <c r="K32" s="1020">
        <f t="shared" si="19"/>
        <v>0</v>
      </c>
      <c r="L32" s="1020">
        <v>2.2396243382054589E-2</v>
      </c>
      <c r="M32" s="1020">
        <f t="shared" si="20"/>
        <v>2.2396243382054589E-2</v>
      </c>
      <c r="N32" s="1020">
        <f t="shared" si="21"/>
        <v>0</v>
      </c>
      <c r="O32" s="1020">
        <v>2.1109485206962934E-2</v>
      </c>
      <c r="P32" s="1020">
        <f t="shared" si="22"/>
        <v>2.1109485206962934E-2</v>
      </c>
      <c r="Q32" s="1020">
        <f t="shared" si="23"/>
        <v>0</v>
      </c>
      <c r="R32" s="884">
        <v>2.2461621550085496E-2</v>
      </c>
      <c r="S32" s="1020">
        <f t="shared" si="24"/>
        <v>2.2461621550085496E-2</v>
      </c>
      <c r="T32" s="1020">
        <f t="shared" si="25"/>
        <v>0</v>
      </c>
      <c r="U32" s="884">
        <v>2.2461621550085496E-2</v>
      </c>
      <c r="V32" s="1020">
        <f t="shared" si="26"/>
        <v>2.2461621550085496E-2</v>
      </c>
      <c r="W32" s="1020">
        <f t="shared" si="27"/>
        <v>0</v>
      </c>
      <c r="X32" s="884">
        <v>2.2461621550085496E-2</v>
      </c>
      <c r="Y32" s="1020">
        <f t="shared" si="28"/>
        <v>2.2461621550085496E-2</v>
      </c>
      <c r="Z32" s="1020">
        <f t="shared" si="29"/>
        <v>0</v>
      </c>
      <c r="AA32" s="884">
        <v>2.2461621550085496E-2</v>
      </c>
      <c r="AB32" s="1020">
        <f t="shared" si="30"/>
        <v>2.2461621550085496E-2</v>
      </c>
      <c r="AC32" s="1020">
        <f t="shared" si="31"/>
        <v>0</v>
      </c>
    </row>
    <row r="33" spans="4:30" ht="14.25" customHeight="1" x14ac:dyDescent="0.35">
      <c r="D33" s="1058">
        <f t="shared" si="32"/>
        <v>7</v>
      </c>
      <c r="E33" s="1059" t="s">
        <v>1414</v>
      </c>
      <c r="F33" s="1060" t="s">
        <v>440</v>
      </c>
      <c r="G33" s="1061">
        <f t="shared" si="17"/>
        <v>1</v>
      </c>
      <c r="H33" s="1061">
        <f t="shared" si="17"/>
        <v>0</v>
      </c>
      <c r="I33" s="1020">
        <v>5.8390000000000004E-4</v>
      </c>
      <c r="J33" s="1020">
        <f t="shared" si="18"/>
        <v>5.8390000000000004E-4</v>
      </c>
      <c r="K33" s="1020">
        <f t="shared" si="19"/>
        <v>0</v>
      </c>
      <c r="L33" s="1020">
        <v>1.2703526374965505E-3</v>
      </c>
      <c r="M33" s="1020">
        <f t="shared" si="20"/>
        <v>1.2703526374965505E-3</v>
      </c>
      <c r="N33" s="1020">
        <f t="shared" si="21"/>
        <v>0</v>
      </c>
      <c r="O33" s="1020">
        <v>1.0489748155127232E-3</v>
      </c>
      <c r="P33" s="1020">
        <f t="shared" si="22"/>
        <v>1.0489748155127232E-3</v>
      </c>
      <c r="Q33" s="1020">
        <f t="shared" si="23"/>
        <v>0</v>
      </c>
      <c r="R33" s="884">
        <v>1.125332623055642E-3</v>
      </c>
      <c r="S33" s="1020">
        <f t="shared" si="24"/>
        <v>1.125332623055642E-3</v>
      </c>
      <c r="T33" s="1020">
        <f t="shared" si="25"/>
        <v>0</v>
      </c>
      <c r="U33" s="884">
        <v>1.125332623055642E-3</v>
      </c>
      <c r="V33" s="1020">
        <f t="shared" si="26"/>
        <v>1.125332623055642E-3</v>
      </c>
      <c r="W33" s="1020">
        <f t="shared" si="27"/>
        <v>0</v>
      </c>
      <c r="X33" s="884">
        <v>1.125332623055642E-3</v>
      </c>
      <c r="Y33" s="1020">
        <f t="shared" si="28"/>
        <v>1.125332623055642E-3</v>
      </c>
      <c r="Z33" s="1020">
        <f t="shared" si="29"/>
        <v>0</v>
      </c>
      <c r="AA33" s="884">
        <v>1.125332623055642E-3</v>
      </c>
      <c r="AB33" s="1020">
        <f t="shared" si="30"/>
        <v>1.125332623055642E-3</v>
      </c>
      <c r="AC33" s="1020">
        <f t="shared" si="31"/>
        <v>0</v>
      </c>
    </row>
    <row r="34" spans="4:30" ht="14.25" customHeight="1" x14ac:dyDescent="0.35">
      <c r="D34" s="1058">
        <f t="shared" si="32"/>
        <v>8</v>
      </c>
      <c r="E34" s="1059" t="s">
        <v>915</v>
      </c>
      <c r="F34" s="1060" t="s">
        <v>915</v>
      </c>
      <c r="G34" s="1061">
        <f t="shared" si="17"/>
        <v>0</v>
      </c>
      <c r="H34" s="1061">
        <f t="shared" si="17"/>
        <v>1</v>
      </c>
      <c r="I34" s="1020">
        <v>4.4155000000000002E-3</v>
      </c>
      <c r="J34" s="1020">
        <f t="shared" si="18"/>
        <v>0</v>
      </c>
      <c r="K34" s="1020">
        <f t="shared" si="19"/>
        <v>4.4155000000000002E-3</v>
      </c>
      <c r="L34" s="1020">
        <v>3.102594220344888E-2</v>
      </c>
      <c r="M34" s="1020">
        <f t="shared" si="20"/>
        <v>0</v>
      </c>
      <c r="N34" s="1020">
        <f t="shared" si="21"/>
        <v>3.102594220344888E-2</v>
      </c>
      <c r="O34" s="1020">
        <v>0.14002539125307428</v>
      </c>
      <c r="P34" s="1020">
        <f t="shared" si="22"/>
        <v>0</v>
      </c>
      <c r="Q34" s="1020">
        <f t="shared" si="23"/>
        <v>0.14002539125307428</v>
      </c>
      <c r="R34" s="884">
        <v>0.15169225071137904</v>
      </c>
      <c r="S34" s="1020">
        <f t="shared" si="24"/>
        <v>0</v>
      </c>
      <c r="T34" s="1020">
        <f t="shared" si="25"/>
        <v>0.15169225071137904</v>
      </c>
      <c r="U34" s="884">
        <v>0.2191224976225534</v>
      </c>
      <c r="V34" s="1020">
        <f t="shared" si="26"/>
        <v>0</v>
      </c>
      <c r="W34" s="1020">
        <f t="shared" si="27"/>
        <v>0.2191224976225534</v>
      </c>
      <c r="X34" s="884">
        <v>0.2636616335543277</v>
      </c>
      <c r="Y34" s="1020">
        <f t="shared" si="28"/>
        <v>0</v>
      </c>
      <c r="Z34" s="1020">
        <f t="shared" si="29"/>
        <v>0.2636616335543277</v>
      </c>
      <c r="AA34" s="884">
        <v>0.26380312329203259</v>
      </c>
      <c r="AB34" s="1020">
        <f t="shared" si="30"/>
        <v>0</v>
      </c>
      <c r="AC34" s="1020">
        <f t="shared" si="31"/>
        <v>0.26380312329203259</v>
      </c>
    </row>
    <row r="35" spans="4:30" ht="14.25" customHeight="1" x14ac:dyDescent="0.35">
      <c r="D35" s="1058">
        <f t="shared" si="32"/>
        <v>9</v>
      </c>
      <c r="E35" s="1059" t="s">
        <v>1415</v>
      </c>
      <c r="F35" s="1060" t="s">
        <v>440</v>
      </c>
      <c r="G35" s="1061">
        <f t="shared" si="17"/>
        <v>1</v>
      </c>
      <c r="H35" s="1061">
        <f t="shared" si="17"/>
        <v>0</v>
      </c>
      <c r="I35" s="1020">
        <v>0.56616849999999996</v>
      </c>
      <c r="J35" s="1020">
        <f t="shared" si="18"/>
        <v>0.56616849999999996</v>
      </c>
      <c r="K35" s="1020">
        <f t="shared" si="19"/>
        <v>0</v>
      </c>
      <c r="L35" s="1020">
        <v>1.3223470822551888</v>
      </c>
      <c r="M35" s="1020">
        <f t="shared" si="20"/>
        <v>1.3223470822551888</v>
      </c>
      <c r="N35" s="1020">
        <f t="shared" si="21"/>
        <v>0</v>
      </c>
      <c r="O35" s="1020">
        <v>1.4925210393469062</v>
      </c>
      <c r="P35" s="1020">
        <f t="shared" si="22"/>
        <v>1.4925210393469062</v>
      </c>
      <c r="Q35" s="1020">
        <f t="shared" si="23"/>
        <v>0</v>
      </c>
      <c r="R35" s="884">
        <v>1.7318536088116632</v>
      </c>
      <c r="S35" s="1020">
        <f t="shared" si="24"/>
        <v>1.7318536088116632</v>
      </c>
      <c r="T35" s="1020">
        <f t="shared" si="25"/>
        <v>0</v>
      </c>
      <c r="U35" s="884">
        <v>1.7556693170974758</v>
      </c>
      <c r="V35" s="1020">
        <f t="shared" si="26"/>
        <v>1.7556693170974758</v>
      </c>
      <c r="W35" s="1020">
        <f t="shared" si="27"/>
        <v>0</v>
      </c>
      <c r="X35" s="884">
        <v>1.7556693170974758</v>
      </c>
      <c r="Y35" s="1020">
        <f t="shared" si="28"/>
        <v>1.7556693170974758</v>
      </c>
      <c r="Z35" s="1020">
        <f t="shared" si="29"/>
        <v>0</v>
      </c>
      <c r="AA35" s="884">
        <v>1.7556693170974758</v>
      </c>
      <c r="AB35" s="1020">
        <f t="shared" si="30"/>
        <v>1.7556693170974758</v>
      </c>
      <c r="AC35" s="1020">
        <f t="shared" si="31"/>
        <v>0</v>
      </c>
    </row>
    <row r="36" spans="4:30" ht="14.25" customHeight="1" x14ac:dyDescent="0.35">
      <c r="D36" s="1058">
        <f t="shared" si="32"/>
        <v>10</v>
      </c>
      <c r="E36" s="1059" t="s">
        <v>445</v>
      </c>
      <c r="F36" s="1060" t="s">
        <v>879</v>
      </c>
      <c r="G36" s="1061">
        <f t="shared" si="17"/>
        <v>0.9</v>
      </c>
      <c r="H36" s="1061">
        <f t="shared" si="17"/>
        <v>9.9999999999999978E-2</v>
      </c>
      <c r="I36" s="1020">
        <v>3.277E-4</v>
      </c>
      <c r="J36" s="1020">
        <f t="shared" si="18"/>
        <v>2.9493E-4</v>
      </c>
      <c r="K36" s="1020">
        <f t="shared" si="19"/>
        <v>3.2769999999999993E-5</v>
      </c>
      <c r="L36" s="1020">
        <v>5.6412900000000002E-4</v>
      </c>
      <c r="M36" s="1020">
        <f t="shared" si="20"/>
        <v>5.077161E-4</v>
      </c>
      <c r="N36" s="1020">
        <f t="shared" si="21"/>
        <v>5.641289999999999E-5</v>
      </c>
      <c r="O36" s="1020">
        <v>5.6412900000000002E-4</v>
      </c>
      <c r="P36" s="1020">
        <f t="shared" si="22"/>
        <v>5.077161E-4</v>
      </c>
      <c r="Q36" s="1020">
        <f t="shared" si="23"/>
        <v>5.641289999999999E-5</v>
      </c>
      <c r="R36" s="884">
        <v>5.6412900000000002E-4</v>
      </c>
      <c r="S36" s="1020">
        <f t="shared" si="24"/>
        <v>5.077161E-4</v>
      </c>
      <c r="T36" s="1020">
        <f t="shared" si="25"/>
        <v>5.641289999999999E-5</v>
      </c>
      <c r="U36" s="884">
        <v>5.6412900000000002E-4</v>
      </c>
      <c r="V36" s="1020">
        <f t="shared" si="26"/>
        <v>5.077161E-4</v>
      </c>
      <c r="W36" s="1020">
        <f t="shared" si="27"/>
        <v>5.641289999999999E-5</v>
      </c>
      <c r="X36" s="884">
        <v>5.6412900000000002E-4</v>
      </c>
      <c r="Y36" s="1020">
        <f t="shared" si="28"/>
        <v>5.077161E-4</v>
      </c>
      <c r="Z36" s="1020">
        <f t="shared" si="29"/>
        <v>5.641289999999999E-5</v>
      </c>
      <c r="AA36" s="884">
        <v>5.6412900000000002E-4</v>
      </c>
      <c r="AB36" s="1020">
        <f t="shared" si="30"/>
        <v>5.077161E-4</v>
      </c>
      <c r="AC36" s="1020">
        <f t="shared" si="31"/>
        <v>5.641289999999999E-5</v>
      </c>
    </row>
    <row r="37" spans="4:30" ht="14.25" customHeight="1" x14ac:dyDescent="0.35">
      <c r="D37" s="1058">
        <f t="shared" si="32"/>
        <v>11</v>
      </c>
      <c r="E37" s="1059" t="s">
        <v>1416</v>
      </c>
      <c r="F37" s="1060" t="s">
        <v>440</v>
      </c>
      <c r="G37" s="1061">
        <f t="shared" si="17"/>
        <v>1</v>
      </c>
      <c r="H37" s="1061">
        <f t="shared" si="17"/>
        <v>0</v>
      </c>
      <c r="I37" s="1020">
        <v>0.1172668</v>
      </c>
      <c r="J37" s="1020">
        <f t="shared" si="18"/>
        <v>0.1172668</v>
      </c>
      <c r="K37" s="1020">
        <f t="shared" si="19"/>
        <v>0</v>
      </c>
      <c r="L37" s="1020">
        <v>0.2592850327988499</v>
      </c>
      <c r="M37" s="837">
        <f t="shared" si="20"/>
        <v>0.2592850327988499</v>
      </c>
      <c r="N37" s="837">
        <f t="shared" si="21"/>
        <v>0</v>
      </c>
      <c r="O37" s="1020">
        <v>0.21820559678076357</v>
      </c>
      <c r="P37" s="1020">
        <f t="shared" si="22"/>
        <v>0.21820559678076357</v>
      </c>
      <c r="Q37" s="1020">
        <f t="shared" si="23"/>
        <v>0</v>
      </c>
      <c r="R37" s="884">
        <v>0.23720932136546377</v>
      </c>
      <c r="S37" s="1020">
        <f t="shared" si="24"/>
        <v>0.23720932136546377</v>
      </c>
      <c r="T37" s="1020">
        <f t="shared" si="25"/>
        <v>0</v>
      </c>
      <c r="U37" s="884">
        <v>0.24055490930678355</v>
      </c>
      <c r="V37" s="1020">
        <f t="shared" si="26"/>
        <v>0.24055490930678355</v>
      </c>
      <c r="W37" s="1020">
        <f t="shared" si="27"/>
        <v>0</v>
      </c>
      <c r="X37" s="884">
        <v>0.24444756224271533</v>
      </c>
      <c r="Y37" s="1020">
        <f t="shared" si="28"/>
        <v>0.24444756224271533</v>
      </c>
      <c r="Z37" s="1020">
        <f t="shared" si="29"/>
        <v>0</v>
      </c>
      <c r="AA37" s="884">
        <v>0.24492518836982358</v>
      </c>
      <c r="AB37" s="1020">
        <f t="shared" si="30"/>
        <v>0.24492518836982358</v>
      </c>
      <c r="AC37" s="1020">
        <f t="shared" si="31"/>
        <v>0</v>
      </c>
    </row>
    <row r="38" spans="4:30" ht="14.25" customHeight="1" x14ac:dyDescent="0.35">
      <c r="D38" s="1058">
        <f t="shared" si="32"/>
        <v>12</v>
      </c>
      <c r="E38" s="1059" t="s">
        <v>1417</v>
      </c>
      <c r="F38" s="1060" t="s">
        <v>1269</v>
      </c>
      <c r="G38" s="1061">
        <f t="shared" si="17"/>
        <v>0.5</v>
      </c>
      <c r="H38" s="1061">
        <f t="shared" si="17"/>
        <v>0.5</v>
      </c>
      <c r="I38" s="1020">
        <v>3.6619000000000001E-3</v>
      </c>
      <c r="J38" s="1020">
        <f t="shared" si="18"/>
        <v>1.83095E-3</v>
      </c>
      <c r="K38" s="1020">
        <f t="shared" si="19"/>
        <v>1.83095E-3</v>
      </c>
      <c r="L38" s="837">
        <v>5.076746E-3</v>
      </c>
      <c r="M38" s="837">
        <f t="shared" si="20"/>
        <v>2.538373E-3</v>
      </c>
      <c r="N38" s="837">
        <f t="shared" si="21"/>
        <v>2.538373E-3</v>
      </c>
      <c r="O38" s="837">
        <v>7.4249019999999997E-3</v>
      </c>
      <c r="P38" s="1020">
        <f t="shared" si="22"/>
        <v>3.7124509999999999E-3</v>
      </c>
      <c r="Q38" s="1020">
        <f t="shared" si="23"/>
        <v>3.7124509999999999E-3</v>
      </c>
      <c r="R38" s="884">
        <v>1.079258E-2</v>
      </c>
      <c r="S38" s="1020">
        <f t="shared" si="24"/>
        <v>5.3962899999999998E-3</v>
      </c>
      <c r="T38" s="1020">
        <f t="shared" si="25"/>
        <v>5.3962899999999998E-3</v>
      </c>
      <c r="U38" s="884">
        <v>9.0900770000000002E-3</v>
      </c>
      <c r="V38" s="1020">
        <f t="shared" si="26"/>
        <v>4.5450385000000001E-3</v>
      </c>
      <c r="W38" s="1020">
        <f t="shared" si="27"/>
        <v>4.5450385000000001E-3</v>
      </c>
      <c r="X38" s="884">
        <v>1.6638409E-2</v>
      </c>
      <c r="Y38" s="1020">
        <f t="shared" si="28"/>
        <v>8.3192044999999999E-3</v>
      </c>
      <c r="Z38" s="1020">
        <f t="shared" si="29"/>
        <v>8.3192044999999999E-3</v>
      </c>
      <c r="AA38" s="884">
        <v>2.1802422287453421E-2</v>
      </c>
      <c r="AB38" s="1020">
        <f t="shared" si="30"/>
        <v>1.090121114372671E-2</v>
      </c>
      <c r="AC38" s="1020">
        <f t="shared" si="31"/>
        <v>1.090121114372671E-2</v>
      </c>
    </row>
    <row r="39" spans="4:30" ht="14.25" customHeight="1" x14ac:dyDescent="0.35">
      <c r="D39" s="1058">
        <f t="shared" si="32"/>
        <v>13</v>
      </c>
      <c r="E39" s="1059" t="s">
        <v>1418</v>
      </c>
      <c r="F39" s="1060" t="s">
        <v>447</v>
      </c>
      <c r="G39" s="1061">
        <f t="shared" si="17"/>
        <v>0.5</v>
      </c>
      <c r="H39" s="1061">
        <f t="shared" si="17"/>
        <v>0.5</v>
      </c>
      <c r="I39" s="1020">
        <v>1.1849E-3</v>
      </c>
      <c r="J39" s="1020">
        <f t="shared" si="18"/>
        <v>5.9245000000000001E-4</v>
      </c>
      <c r="K39" s="1020">
        <f t="shared" si="19"/>
        <v>5.9245000000000001E-4</v>
      </c>
      <c r="L39" s="837">
        <v>3.048931E-3</v>
      </c>
      <c r="M39" s="837">
        <f t="shared" si="20"/>
        <v>1.5244655E-3</v>
      </c>
      <c r="N39" s="837">
        <f t="shared" si="21"/>
        <v>1.5244655E-3</v>
      </c>
      <c r="O39" s="837">
        <v>3.048931E-3</v>
      </c>
      <c r="P39" s="1020">
        <f t="shared" si="22"/>
        <v>1.5244655E-3</v>
      </c>
      <c r="Q39" s="1020">
        <f t="shared" si="23"/>
        <v>1.5244655E-3</v>
      </c>
      <c r="R39" s="884">
        <v>3.048931E-3</v>
      </c>
      <c r="S39" s="1020">
        <f t="shared" si="24"/>
        <v>1.5244655E-3</v>
      </c>
      <c r="T39" s="1020">
        <f t="shared" si="25"/>
        <v>1.5244655E-3</v>
      </c>
      <c r="U39" s="884">
        <v>3.048931E-3</v>
      </c>
      <c r="V39" s="1020">
        <f t="shared" si="26"/>
        <v>1.5244655E-3</v>
      </c>
      <c r="W39" s="1020">
        <f t="shared" si="27"/>
        <v>1.5244655E-3</v>
      </c>
      <c r="X39" s="884">
        <v>3.0489310000000004E-3</v>
      </c>
      <c r="Y39" s="1020">
        <f t="shared" si="28"/>
        <v>1.5244655000000002E-3</v>
      </c>
      <c r="Z39" s="1020">
        <f t="shared" si="29"/>
        <v>1.5244655000000002E-3</v>
      </c>
      <c r="AA39" s="884">
        <v>3.1972583341578079E-3</v>
      </c>
      <c r="AB39" s="1020">
        <f t="shared" si="30"/>
        <v>1.5986291670789039E-3</v>
      </c>
      <c r="AC39" s="1020">
        <f t="shared" si="31"/>
        <v>1.5986291670789039E-3</v>
      </c>
    </row>
    <row r="40" spans="4:30" ht="14.25" customHeight="1" x14ac:dyDescent="0.35">
      <c r="D40" s="1058">
        <f t="shared" si="32"/>
        <v>14</v>
      </c>
      <c r="E40" s="1059" t="s">
        <v>1419</v>
      </c>
      <c r="F40" s="1060" t="s">
        <v>447</v>
      </c>
      <c r="G40" s="1061">
        <f t="shared" si="17"/>
        <v>0.5</v>
      </c>
      <c r="H40" s="1061">
        <f t="shared" si="17"/>
        <v>0.5</v>
      </c>
      <c r="I40" s="809">
        <v>1.7792000000000001E-3</v>
      </c>
      <c r="J40" s="1020">
        <f t="shared" si="18"/>
        <v>8.8960000000000005E-4</v>
      </c>
      <c r="K40" s="1020">
        <f t="shared" si="19"/>
        <v>8.8960000000000005E-4</v>
      </c>
      <c r="L40" s="837">
        <v>2.7697200000000003E-3</v>
      </c>
      <c r="M40" s="1020">
        <f t="shared" si="20"/>
        <v>1.3848600000000001E-3</v>
      </c>
      <c r="N40" s="1020">
        <f t="shared" si="21"/>
        <v>1.3848600000000001E-3</v>
      </c>
      <c r="O40" s="837">
        <v>2.7697200000000003E-3</v>
      </c>
      <c r="P40" s="1020">
        <f t="shared" si="22"/>
        <v>1.3848600000000001E-3</v>
      </c>
      <c r="Q40" s="1020">
        <f t="shared" si="23"/>
        <v>1.3848600000000001E-3</v>
      </c>
      <c r="R40" s="884">
        <v>2.7697200000000003E-3</v>
      </c>
      <c r="S40" s="1020">
        <f t="shared" si="24"/>
        <v>1.3848600000000001E-3</v>
      </c>
      <c r="T40" s="1020">
        <f t="shared" si="25"/>
        <v>1.3848600000000001E-3</v>
      </c>
      <c r="U40" s="884">
        <v>4.1955533711999999E-3</v>
      </c>
      <c r="V40" s="1020">
        <f t="shared" si="26"/>
        <v>2.0977766855999999E-3</v>
      </c>
      <c r="W40" s="1020">
        <f t="shared" si="27"/>
        <v>2.0977766855999999E-3</v>
      </c>
      <c r="X40" s="884">
        <v>4.2019039999999994E-3</v>
      </c>
      <c r="Y40" s="1020">
        <f t="shared" si="28"/>
        <v>2.1009519999999997E-3</v>
      </c>
      <c r="Z40" s="1020">
        <f t="shared" si="29"/>
        <v>2.1009519999999997E-3</v>
      </c>
      <c r="AA40" s="884">
        <v>4.2924068148599993E-3</v>
      </c>
      <c r="AB40" s="1020">
        <f t="shared" si="30"/>
        <v>2.1462034074299996E-3</v>
      </c>
      <c r="AC40" s="1020">
        <f t="shared" si="31"/>
        <v>2.1462034074299996E-3</v>
      </c>
    </row>
    <row r="41" spans="4:30" ht="14.25" customHeight="1" x14ac:dyDescent="0.35">
      <c r="D41" s="1058">
        <f t="shared" si="32"/>
        <v>15</v>
      </c>
      <c r="E41" s="1059" t="s">
        <v>1420</v>
      </c>
      <c r="F41" s="1060" t="s">
        <v>1270</v>
      </c>
      <c r="G41" s="1061">
        <f t="shared" si="17"/>
        <v>0</v>
      </c>
      <c r="H41" s="1061">
        <f t="shared" si="17"/>
        <v>1</v>
      </c>
      <c r="I41" s="809">
        <v>2.9656600000000002E-2</v>
      </c>
      <c r="J41" s="1020">
        <f t="shared" si="18"/>
        <v>0</v>
      </c>
      <c r="K41" s="1020">
        <f t="shared" si="19"/>
        <v>2.9656600000000002E-2</v>
      </c>
      <c r="L41" s="837">
        <v>5.7788909999999999E-2</v>
      </c>
      <c r="M41" s="1020">
        <f t="shared" si="20"/>
        <v>0</v>
      </c>
      <c r="N41" s="1020">
        <f t="shared" si="21"/>
        <v>5.7788909999999999E-2</v>
      </c>
      <c r="O41" s="837">
        <v>5.7788909999999999E-2</v>
      </c>
      <c r="P41" s="1020">
        <f t="shared" si="22"/>
        <v>0</v>
      </c>
      <c r="Q41" s="1020">
        <f t="shared" si="23"/>
        <v>5.7788909999999999E-2</v>
      </c>
      <c r="R41" s="884">
        <v>5.7788909999999999E-2</v>
      </c>
      <c r="S41" s="1020">
        <f t="shared" si="24"/>
        <v>0</v>
      </c>
      <c r="T41" s="1020">
        <f t="shared" si="25"/>
        <v>5.7788909999999999E-2</v>
      </c>
      <c r="U41" s="884">
        <v>1.6216652712328799E-3</v>
      </c>
      <c r="V41" s="1020">
        <f t="shared" si="26"/>
        <v>0</v>
      </c>
      <c r="W41" s="1020">
        <f t="shared" si="27"/>
        <v>1.6216652712328799E-3</v>
      </c>
      <c r="X41" s="884">
        <v>7.1557560000000001E-3</v>
      </c>
      <c r="Y41" s="1020">
        <f t="shared" si="28"/>
        <v>0</v>
      </c>
      <c r="Z41" s="1020">
        <f t="shared" si="29"/>
        <v>7.1557560000000001E-3</v>
      </c>
      <c r="AA41" s="884">
        <v>7.3861954520547937E-3</v>
      </c>
      <c r="AB41" s="1020">
        <f t="shared" si="30"/>
        <v>0</v>
      </c>
      <c r="AC41" s="1020">
        <f t="shared" si="31"/>
        <v>7.3861954520547937E-3</v>
      </c>
    </row>
    <row r="42" spans="4:30" ht="14.25" customHeight="1" x14ac:dyDescent="0.35">
      <c r="D42" s="1058">
        <f t="shared" si="32"/>
        <v>16</v>
      </c>
      <c r="E42" s="1059" t="s">
        <v>935</v>
      </c>
      <c r="F42" s="1060" t="s">
        <v>1410</v>
      </c>
      <c r="G42" s="1061">
        <f t="shared" si="17"/>
        <v>1</v>
      </c>
      <c r="H42" s="1061">
        <f t="shared" si="17"/>
        <v>0</v>
      </c>
      <c r="I42" s="809">
        <v>4.9999999999999998E-8</v>
      </c>
      <c r="J42" s="1020">
        <f t="shared" si="18"/>
        <v>4.9999999999999998E-8</v>
      </c>
      <c r="K42" s="1020">
        <f t="shared" si="19"/>
        <v>0</v>
      </c>
      <c r="L42" s="837">
        <v>9.9999999999999995E-8</v>
      </c>
      <c r="M42" s="1020">
        <f t="shared" si="20"/>
        <v>9.9999999999999995E-8</v>
      </c>
      <c r="N42" s="1020">
        <f t="shared" si="21"/>
        <v>0</v>
      </c>
      <c r="O42" s="837">
        <v>9.9999999999999995E-8</v>
      </c>
      <c r="P42" s="1020">
        <f t="shared" si="22"/>
        <v>9.9999999999999995E-8</v>
      </c>
      <c r="Q42" s="1020">
        <f t="shared" si="23"/>
        <v>0</v>
      </c>
      <c r="R42" s="884">
        <v>9.9999999999999995E-8</v>
      </c>
      <c r="S42" s="1020">
        <f t="shared" si="24"/>
        <v>9.9999999999999995E-8</v>
      </c>
      <c r="T42" s="1020">
        <f t="shared" si="25"/>
        <v>0</v>
      </c>
      <c r="U42" s="884">
        <v>9.9999999999999995E-8</v>
      </c>
      <c r="V42" s="1020">
        <f t="shared" si="26"/>
        <v>9.9999999999999995E-8</v>
      </c>
      <c r="W42" s="1020">
        <f t="shared" si="27"/>
        <v>0</v>
      </c>
      <c r="X42" s="884">
        <v>9.9999999999999995E-8</v>
      </c>
      <c r="Y42" s="1020">
        <f t="shared" si="28"/>
        <v>9.9999999999999995E-8</v>
      </c>
      <c r="Z42" s="1020">
        <f t="shared" si="29"/>
        <v>0</v>
      </c>
      <c r="AA42" s="884">
        <v>2.4999999999999999E-8</v>
      </c>
      <c r="AB42" s="1020">
        <f t="shared" si="30"/>
        <v>2.4999999999999999E-8</v>
      </c>
      <c r="AC42" s="1020">
        <f t="shared" si="31"/>
        <v>0</v>
      </c>
    </row>
    <row r="43" spans="4:30" ht="14.25" customHeight="1" x14ac:dyDescent="0.35">
      <c r="D43" s="1025"/>
      <c r="E43" s="1025"/>
      <c r="F43" s="1025"/>
      <c r="I43" s="1020"/>
      <c r="J43" s="1020"/>
      <c r="K43" s="1020"/>
      <c r="L43" s="1020"/>
      <c r="M43" s="1020"/>
      <c r="N43" s="1020"/>
      <c r="O43" s="1020"/>
      <c r="P43" s="1020"/>
      <c r="Q43" s="1020"/>
      <c r="R43" s="1025"/>
      <c r="S43" s="1025"/>
      <c r="T43" s="1025"/>
      <c r="U43" s="1025"/>
      <c r="V43" s="1025"/>
      <c r="W43" s="1025"/>
      <c r="X43" s="1025"/>
      <c r="Y43" s="1025"/>
      <c r="Z43" s="1025"/>
      <c r="AA43" s="1025"/>
      <c r="AB43" s="1025"/>
      <c r="AC43" s="1025"/>
    </row>
    <row r="44" spans="4:30" ht="14.25" customHeight="1" x14ac:dyDescent="0.35">
      <c r="D44" s="1025"/>
      <c r="E44" s="1064" t="s">
        <v>164</v>
      </c>
      <c r="F44" s="1025"/>
      <c r="I44" s="1065">
        <f t="shared" ref="I44:AC44" si="33">SUM(I27:I42)</f>
        <v>1.2631278500000001</v>
      </c>
      <c r="J44" s="1065">
        <f t="shared" si="33"/>
        <v>1.22570998</v>
      </c>
      <c r="K44" s="1065">
        <f t="shared" si="33"/>
        <v>3.7417869999999999E-2</v>
      </c>
      <c r="L44" s="1065">
        <f t="shared" si="33"/>
        <v>2.8634172192698122</v>
      </c>
      <c r="M44" s="1065">
        <f t="shared" si="33"/>
        <v>2.7690982556663641</v>
      </c>
      <c r="N44" s="1065">
        <f t="shared" si="33"/>
        <v>9.431896360344888E-2</v>
      </c>
      <c r="O44" s="1065">
        <f t="shared" si="33"/>
        <v>2.9695010244610835</v>
      </c>
      <c r="P44" s="1065">
        <f t="shared" si="33"/>
        <v>2.7650085338080101</v>
      </c>
      <c r="Q44" s="1065">
        <f t="shared" si="33"/>
        <v>0.20449249065307426</v>
      </c>
      <c r="R44" s="1065">
        <f t="shared" si="33"/>
        <v>3.3381400114881581</v>
      </c>
      <c r="S44" s="1065">
        <f t="shared" si="33"/>
        <v>3.1202968223767793</v>
      </c>
      <c r="T44" s="1065">
        <f t="shared" si="33"/>
        <v>0.21784318911137901</v>
      </c>
      <c r="U44" s="1065">
        <f t="shared" si="33"/>
        <v>3.377099590208211</v>
      </c>
      <c r="V44" s="1065">
        <f t="shared" si="33"/>
        <v>3.1481317337288246</v>
      </c>
      <c r="W44" s="1065">
        <f t="shared" si="33"/>
        <v>0.22896785647938625</v>
      </c>
      <c r="X44" s="1065">
        <f t="shared" si="33"/>
        <v>3.438620152433483</v>
      </c>
      <c r="Y44" s="1065">
        <f t="shared" si="33"/>
        <v>3.1558017279791564</v>
      </c>
      <c r="Z44" s="1065">
        <f t="shared" si="33"/>
        <v>0.28281842445432775</v>
      </c>
      <c r="AA44" s="1065">
        <f t="shared" si="33"/>
        <v>3.444872476186823</v>
      </c>
      <c r="AB44" s="1065">
        <f t="shared" si="33"/>
        <v>3.1589807008245003</v>
      </c>
      <c r="AC44" s="1065">
        <f t="shared" si="33"/>
        <v>0.28589177536232302</v>
      </c>
    </row>
    <row r="47" spans="4:30" ht="14.25" customHeight="1" x14ac:dyDescent="0.35">
      <c r="E47" s="1056" t="s">
        <v>1407</v>
      </c>
      <c r="F47" s="1056"/>
    </row>
    <row r="48" spans="4:30" ht="14.25" customHeight="1" x14ac:dyDescent="0.35">
      <c r="D48" s="1034" t="s">
        <v>1</v>
      </c>
      <c r="E48" s="1034" t="s">
        <v>920</v>
      </c>
      <c r="G48" s="1034" t="s">
        <v>963</v>
      </c>
      <c r="H48" s="1034" t="s">
        <v>923</v>
      </c>
      <c r="I48" s="2010" t="s">
        <v>196</v>
      </c>
      <c r="J48" s="2010"/>
      <c r="K48" s="2010"/>
      <c r="L48" s="2010" t="s">
        <v>197</v>
      </c>
      <c r="M48" s="2010"/>
      <c r="N48" s="2010"/>
      <c r="O48" s="2010" t="s">
        <v>198</v>
      </c>
      <c r="P48" s="2010"/>
      <c r="Q48" s="2010"/>
      <c r="R48" s="2011" t="s">
        <v>199</v>
      </c>
      <c r="S48" s="2012"/>
      <c r="T48" s="2013"/>
      <c r="U48" s="2011" t="s">
        <v>112</v>
      </c>
      <c r="V48" s="2012"/>
      <c r="W48" s="2013"/>
      <c r="X48" s="2011" t="s">
        <v>113</v>
      </c>
      <c r="Y48" s="2012"/>
      <c r="Z48" s="2013"/>
      <c r="AA48" s="2011" t="s">
        <v>114</v>
      </c>
      <c r="AB48" s="2012"/>
      <c r="AC48" s="2013"/>
      <c r="AD48" s="1056"/>
    </row>
    <row r="49" spans="4:30" ht="14.25" customHeight="1" x14ac:dyDescent="0.35">
      <c r="D49" s="1057"/>
      <c r="E49" s="1057"/>
      <c r="F49" s="1057"/>
      <c r="G49" s="1057" t="s">
        <v>243</v>
      </c>
      <c r="H49" s="1057" t="s">
        <v>243</v>
      </c>
      <c r="I49" s="1057" t="s">
        <v>164</v>
      </c>
      <c r="J49" s="1057" t="s">
        <v>963</v>
      </c>
      <c r="K49" s="1057" t="s">
        <v>923</v>
      </c>
      <c r="L49" s="1057" t="s">
        <v>164</v>
      </c>
      <c r="M49" s="1057" t="s">
        <v>963</v>
      </c>
      <c r="N49" s="1057" t="s">
        <v>923</v>
      </c>
      <c r="O49" s="1057" t="s">
        <v>164</v>
      </c>
      <c r="P49" s="1057" t="s">
        <v>963</v>
      </c>
      <c r="Q49" s="1057" t="s">
        <v>923</v>
      </c>
      <c r="R49" s="1057" t="s">
        <v>164</v>
      </c>
      <c r="S49" s="1057" t="s">
        <v>963</v>
      </c>
      <c r="T49" s="1057" t="s">
        <v>923</v>
      </c>
      <c r="U49" s="1057" t="s">
        <v>164</v>
      </c>
      <c r="V49" s="1057" t="s">
        <v>963</v>
      </c>
      <c r="W49" s="1057" t="s">
        <v>923</v>
      </c>
      <c r="X49" s="1057" t="s">
        <v>164</v>
      </c>
      <c r="Y49" s="1057" t="s">
        <v>963</v>
      </c>
      <c r="Z49" s="1057" t="s">
        <v>923</v>
      </c>
      <c r="AA49" s="1057" t="s">
        <v>164</v>
      </c>
      <c r="AB49" s="1057" t="s">
        <v>963</v>
      </c>
      <c r="AC49" s="1057" t="s">
        <v>923</v>
      </c>
      <c r="AD49" s="1072"/>
    </row>
    <row r="50" spans="4:30" ht="14.25" customHeight="1" x14ac:dyDescent="0.35">
      <c r="D50" s="1058">
        <v>1</v>
      </c>
      <c r="E50" s="1060" t="s">
        <v>1410</v>
      </c>
      <c r="F50" s="1025"/>
      <c r="G50" s="1061">
        <v>1</v>
      </c>
      <c r="H50" s="1061">
        <f>1-G50</f>
        <v>0</v>
      </c>
      <c r="I50" s="1020">
        <f>SUMIF($F$5:$F$20,$E50,I$5:I$20)</f>
        <v>3.4999999999999999E-6</v>
      </c>
      <c r="J50" s="1020">
        <f t="shared" ref="J50:Y57" si="34">SUMIF($F$5:$F$20,$E50,J$5:J$20)</f>
        <v>3.4999999999999999E-6</v>
      </c>
      <c r="K50" s="1020">
        <f t="shared" si="34"/>
        <v>0</v>
      </c>
      <c r="L50" s="1020">
        <f>SUMIF($F$5:$F$20,$E50,L$5:L$20)</f>
        <v>0</v>
      </c>
      <c r="M50" s="1020">
        <f t="shared" si="34"/>
        <v>0</v>
      </c>
      <c r="N50" s="1020">
        <f t="shared" si="34"/>
        <v>0</v>
      </c>
      <c r="O50" s="1020">
        <f>SUMIF($F$5:$F$20,$E50,O$5:O$20)</f>
        <v>0</v>
      </c>
      <c r="P50" s="1020">
        <f t="shared" si="34"/>
        <v>0</v>
      </c>
      <c r="Q50" s="1020">
        <f t="shared" si="34"/>
        <v>0</v>
      </c>
      <c r="R50" s="1020">
        <f>SUMIF($F$5:$F$20,$E50,R$5:R$20)</f>
        <v>0</v>
      </c>
      <c r="S50" s="1020">
        <f t="shared" si="34"/>
        <v>0</v>
      </c>
      <c r="T50" s="1020">
        <f t="shared" si="34"/>
        <v>0</v>
      </c>
      <c r="U50" s="1020">
        <f>SUMIF($F$5:$F$20,$E50,U$5:U$20)</f>
        <v>0</v>
      </c>
      <c r="V50" s="1020">
        <f t="shared" si="34"/>
        <v>0</v>
      </c>
      <c r="W50" s="1020">
        <f t="shared" si="34"/>
        <v>0</v>
      </c>
      <c r="X50" s="1020">
        <f>SUMIF($F$5:$F$20,$E50,X$5:X$20)</f>
        <v>0</v>
      </c>
      <c r="Y50" s="1020">
        <f t="shared" si="34"/>
        <v>0</v>
      </c>
      <c r="Z50" s="1020">
        <f t="shared" ref="X50:Z57" si="35">SUMIF($F$5:$F$20,$E50,Z$5:Z$20)</f>
        <v>0</v>
      </c>
      <c r="AA50" s="1020">
        <f>SUMIF($F$5:$F$20,$E50,AA$5:AA$20)</f>
        <v>0</v>
      </c>
      <c r="AB50" s="1020">
        <f t="shared" ref="AA50:AC57" si="36">SUMIF($F$5:$F$20,$E50,AB$5:AB$20)</f>
        <v>0</v>
      </c>
      <c r="AC50" s="1020">
        <f t="shared" si="36"/>
        <v>0</v>
      </c>
      <c r="AD50" s="1073"/>
    </row>
    <row r="51" spans="4:30" ht="14.25" customHeight="1" x14ac:dyDescent="0.35">
      <c r="D51" s="1058">
        <f>D50+1</f>
        <v>2</v>
      </c>
      <c r="E51" s="1060" t="s">
        <v>1409</v>
      </c>
      <c r="F51" s="1025"/>
      <c r="G51" s="1061">
        <v>1</v>
      </c>
      <c r="H51" s="1061">
        <f t="shared" ref="H51:H57" si="37">1-G51</f>
        <v>0</v>
      </c>
      <c r="I51" s="1020">
        <f t="shared" ref="I51:L57" si="38">SUMIF($F$5:$F$20,$E51,I$5:I$20)</f>
        <v>11.562416499999999</v>
      </c>
      <c r="J51" s="1020">
        <f t="shared" si="34"/>
        <v>11.562416499999999</v>
      </c>
      <c r="K51" s="1020">
        <f t="shared" si="34"/>
        <v>0</v>
      </c>
      <c r="L51" s="1020">
        <f t="shared" si="38"/>
        <v>0</v>
      </c>
      <c r="M51" s="1020">
        <f t="shared" si="34"/>
        <v>0</v>
      </c>
      <c r="N51" s="1020">
        <f t="shared" si="34"/>
        <v>0</v>
      </c>
      <c r="O51" s="1020">
        <f t="shared" si="34"/>
        <v>0</v>
      </c>
      <c r="P51" s="1020">
        <f t="shared" si="34"/>
        <v>0</v>
      </c>
      <c r="Q51" s="1020">
        <f t="shared" si="34"/>
        <v>0</v>
      </c>
      <c r="R51" s="1020">
        <f t="shared" si="34"/>
        <v>0</v>
      </c>
      <c r="S51" s="1020">
        <f t="shared" si="34"/>
        <v>0</v>
      </c>
      <c r="T51" s="1020">
        <f t="shared" si="34"/>
        <v>0</v>
      </c>
      <c r="U51" s="1020">
        <f t="shared" si="34"/>
        <v>0</v>
      </c>
      <c r="V51" s="1020">
        <f t="shared" si="34"/>
        <v>0</v>
      </c>
      <c r="W51" s="1020">
        <f t="shared" si="34"/>
        <v>0</v>
      </c>
      <c r="X51" s="1020">
        <f t="shared" si="35"/>
        <v>0</v>
      </c>
      <c r="Y51" s="1020">
        <f t="shared" si="35"/>
        <v>0</v>
      </c>
      <c r="Z51" s="1020">
        <f t="shared" si="35"/>
        <v>0</v>
      </c>
      <c r="AA51" s="1020">
        <f t="shared" si="36"/>
        <v>0</v>
      </c>
      <c r="AB51" s="1020">
        <f t="shared" si="36"/>
        <v>0</v>
      </c>
      <c r="AC51" s="1020">
        <f t="shared" si="36"/>
        <v>0</v>
      </c>
      <c r="AD51" s="1073"/>
    </row>
    <row r="52" spans="4:30" ht="14.25" customHeight="1" x14ac:dyDescent="0.35">
      <c r="D52" s="1058">
        <f t="shared" ref="D52:D57" si="39">D51+1</f>
        <v>3</v>
      </c>
      <c r="E52" s="1060" t="s">
        <v>440</v>
      </c>
      <c r="F52" s="1025"/>
      <c r="G52" s="1061">
        <v>1</v>
      </c>
      <c r="H52" s="1061">
        <f t="shared" si="37"/>
        <v>0</v>
      </c>
      <c r="I52" s="1020">
        <f t="shared" si="38"/>
        <v>43.916384399999998</v>
      </c>
      <c r="J52" s="1020">
        <f t="shared" si="34"/>
        <v>43.916384399999998</v>
      </c>
      <c r="K52" s="1020">
        <f t="shared" si="34"/>
        <v>0</v>
      </c>
      <c r="L52" s="1020">
        <f t="shared" si="38"/>
        <v>11.561528951458783</v>
      </c>
      <c r="M52" s="1020">
        <f t="shared" si="34"/>
        <v>11.561528951458783</v>
      </c>
      <c r="N52" s="1020">
        <f t="shared" si="34"/>
        <v>0</v>
      </c>
      <c r="O52" s="1020">
        <f t="shared" si="34"/>
        <v>4.9563993889999995</v>
      </c>
      <c r="P52" s="1020">
        <f t="shared" si="34"/>
        <v>4.9563993889999995</v>
      </c>
      <c r="Q52" s="1020">
        <f t="shared" si="34"/>
        <v>0</v>
      </c>
      <c r="R52" s="1020">
        <f t="shared" si="34"/>
        <v>0.64014373999999996</v>
      </c>
      <c r="S52" s="1020">
        <f t="shared" si="34"/>
        <v>0.64014373999999996</v>
      </c>
      <c r="T52" s="1020">
        <f t="shared" si="34"/>
        <v>0</v>
      </c>
      <c r="U52" s="1020">
        <f t="shared" si="34"/>
        <v>0</v>
      </c>
      <c r="V52" s="1020">
        <f t="shared" si="34"/>
        <v>0</v>
      </c>
      <c r="W52" s="1020">
        <f t="shared" si="34"/>
        <v>0</v>
      </c>
      <c r="X52" s="1020">
        <f t="shared" si="35"/>
        <v>9.1967151999999996E-2</v>
      </c>
      <c r="Y52" s="1020">
        <f t="shared" si="35"/>
        <v>9.1967151999999996E-2</v>
      </c>
      <c r="Z52" s="1020">
        <f t="shared" si="35"/>
        <v>0</v>
      </c>
      <c r="AA52" s="1020">
        <f t="shared" si="36"/>
        <v>0</v>
      </c>
      <c r="AB52" s="1020">
        <f t="shared" si="36"/>
        <v>0</v>
      </c>
      <c r="AC52" s="1020">
        <f t="shared" si="36"/>
        <v>0</v>
      </c>
      <c r="AD52" s="1073"/>
    </row>
    <row r="53" spans="4:30" ht="14.25" customHeight="1" x14ac:dyDescent="0.35">
      <c r="D53" s="1058">
        <f t="shared" si="39"/>
        <v>4</v>
      </c>
      <c r="E53" s="1060" t="s">
        <v>915</v>
      </c>
      <c r="F53" s="1025"/>
      <c r="G53" s="1061">
        <v>0</v>
      </c>
      <c r="H53" s="1061">
        <f t="shared" si="37"/>
        <v>1</v>
      </c>
      <c r="I53" s="1020">
        <f t="shared" si="38"/>
        <v>0.48908190000000001</v>
      </c>
      <c r="J53" s="1020">
        <f t="shared" si="34"/>
        <v>0</v>
      </c>
      <c r="K53" s="1020">
        <f t="shared" si="34"/>
        <v>0.48908190000000001</v>
      </c>
      <c r="L53" s="1020">
        <f t="shared" si="38"/>
        <v>1.2686292989234327</v>
      </c>
      <c r="M53" s="1020">
        <f t="shared" si="34"/>
        <v>0</v>
      </c>
      <c r="N53" s="1020">
        <f t="shared" si="34"/>
        <v>1.2686292989234327</v>
      </c>
      <c r="O53" s="1020">
        <f t="shared" si="34"/>
        <v>0</v>
      </c>
      <c r="P53" s="1020">
        <f t="shared" si="34"/>
        <v>0</v>
      </c>
      <c r="Q53" s="1020">
        <f t="shared" si="34"/>
        <v>0</v>
      </c>
      <c r="R53" s="1020">
        <f t="shared" si="34"/>
        <v>0.291515523</v>
      </c>
      <c r="S53" s="1020">
        <f t="shared" si="34"/>
        <v>0</v>
      </c>
      <c r="T53" s="1020">
        <f t="shared" si="34"/>
        <v>0.291515523</v>
      </c>
      <c r="U53" s="1020">
        <f t="shared" si="34"/>
        <v>1.196946608</v>
      </c>
      <c r="V53" s="1020">
        <f t="shared" si="34"/>
        <v>0</v>
      </c>
      <c r="W53" s="1020">
        <f t="shared" si="34"/>
        <v>1.196946608</v>
      </c>
      <c r="X53" s="1020">
        <f t="shared" si="35"/>
        <v>1.0655415E-2</v>
      </c>
      <c r="Y53" s="1020">
        <f t="shared" si="35"/>
        <v>0</v>
      </c>
      <c r="Z53" s="1020">
        <f t="shared" si="35"/>
        <v>1.0655415E-2</v>
      </c>
      <c r="AA53" s="1020">
        <f t="shared" si="36"/>
        <v>0</v>
      </c>
      <c r="AB53" s="1020">
        <f t="shared" si="36"/>
        <v>0</v>
      </c>
      <c r="AC53" s="1020">
        <f t="shared" si="36"/>
        <v>0</v>
      </c>
      <c r="AD53" s="1073"/>
    </row>
    <row r="54" spans="4:30" ht="14.25" customHeight="1" x14ac:dyDescent="0.35">
      <c r="D54" s="1058">
        <f t="shared" si="39"/>
        <v>5</v>
      </c>
      <c r="E54" s="1060" t="s">
        <v>447</v>
      </c>
      <c r="F54" s="1025"/>
      <c r="G54" s="1061">
        <v>1</v>
      </c>
      <c r="H54" s="1061">
        <f t="shared" si="37"/>
        <v>0</v>
      </c>
      <c r="I54" s="1020">
        <f t="shared" si="38"/>
        <v>9.7135400000000011E-2</v>
      </c>
      <c r="J54" s="1020">
        <f t="shared" si="34"/>
        <v>4.8567700000000005E-2</v>
      </c>
      <c r="K54" s="1020">
        <f t="shared" si="34"/>
        <v>4.8567700000000005E-2</v>
      </c>
      <c r="L54" s="1020">
        <f t="shared" si="38"/>
        <v>0</v>
      </c>
      <c r="M54" s="1020">
        <f t="shared" si="34"/>
        <v>0</v>
      </c>
      <c r="N54" s="1020">
        <f t="shared" si="34"/>
        <v>0</v>
      </c>
      <c r="O54" s="1020">
        <f t="shared" si="34"/>
        <v>0</v>
      </c>
      <c r="P54" s="1020">
        <f t="shared" si="34"/>
        <v>0</v>
      </c>
      <c r="Q54" s="1020">
        <f t="shared" si="34"/>
        <v>0</v>
      </c>
      <c r="R54" s="1020">
        <f t="shared" si="34"/>
        <v>2.5027799999999999E-2</v>
      </c>
      <c r="S54" s="1020">
        <f t="shared" si="34"/>
        <v>1.25139E-2</v>
      </c>
      <c r="T54" s="1020">
        <f t="shared" si="34"/>
        <v>1.25139E-2</v>
      </c>
      <c r="U54" s="1020">
        <f t="shared" si="34"/>
        <v>0</v>
      </c>
      <c r="V54" s="1020">
        <f t="shared" si="34"/>
        <v>0</v>
      </c>
      <c r="W54" s="1020">
        <f t="shared" si="34"/>
        <v>0</v>
      </c>
      <c r="X54" s="1020">
        <f t="shared" si="35"/>
        <v>1.7001E-3</v>
      </c>
      <c r="Y54" s="1020">
        <f t="shared" si="35"/>
        <v>8.5004999999999998E-4</v>
      </c>
      <c r="Z54" s="1020">
        <f t="shared" si="35"/>
        <v>8.5004999999999998E-4</v>
      </c>
      <c r="AA54" s="1020">
        <f t="shared" si="36"/>
        <v>1.5620249999999999E-2</v>
      </c>
      <c r="AB54" s="1020">
        <f t="shared" si="36"/>
        <v>7.8101249999999994E-3</v>
      </c>
      <c r="AC54" s="1020">
        <f t="shared" si="36"/>
        <v>7.8101249999999994E-3</v>
      </c>
      <c r="AD54" s="1073"/>
    </row>
    <row r="55" spans="4:30" ht="14.25" customHeight="1" x14ac:dyDescent="0.35">
      <c r="D55" s="1058">
        <f t="shared" si="39"/>
        <v>6</v>
      </c>
      <c r="E55" s="1060" t="s">
        <v>879</v>
      </c>
      <c r="F55" s="1025"/>
      <c r="G55" s="1061">
        <v>1</v>
      </c>
      <c r="H55" s="1061">
        <f t="shared" si="37"/>
        <v>0</v>
      </c>
      <c r="I55" s="1020">
        <f t="shared" si="38"/>
        <v>6.5979999999999997E-3</v>
      </c>
      <c r="J55" s="1020">
        <f t="shared" si="34"/>
        <v>5.9382000000000002E-3</v>
      </c>
      <c r="K55" s="1020">
        <f t="shared" si="34"/>
        <v>6.5979999999999977E-4</v>
      </c>
      <c r="L55" s="1020">
        <f t="shared" si="38"/>
        <v>0</v>
      </c>
      <c r="M55" s="1020">
        <f t="shared" si="34"/>
        <v>0</v>
      </c>
      <c r="N55" s="1020">
        <f t="shared" si="34"/>
        <v>0</v>
      </c>
      <c r="O55" s="1020">
        <f t="shared" si="34"/>
        <v>0</v>
      </c>
      <c r="P55" s="1020">
        <f t="shared" si="34"/>
        <v>0</v>
      </c>
      <c r="Q55" s="1020">
        <f t="shared" si="34"/>
        <v>0</v>
      </c>
      <c r="R55" s="1020">
        <f t="shared" si="34"/>
        <v>0</v>
      </c>
      <c r="S55" s="1020">
        <f t="shared" si="34"/>
        <v>0</v>
      </c>
      <c r="T55" s="1020">
        <f t="shared" si="34"/>
        <v>0</v>
      </c>
      <c r="U55" s="1020">
        <f t="shared" si="34"/>
        <v>0</v>
      </c>
      <c r="V55" s="1020">
        <f t="shared" si="34"/>
        <v>0</v>
      </c>
      <c r="W55" s="1020">
        <f t="shared" si="34"/>
        <v>0</v>
      </c>
      <c r="X55" s="1020">
        <f t="shared" si="35"/>
        <v>0</v>
      </c>
      <c r="Y55" s="1020">
        <f t="shared" si="35"/>
        <v>0</v>
      </c>
      <c r="Z55" s="1020">
        <f t="shared" si="35"/>
        <v>0</v>
      </c>
      <c r="AA55" s="1020">
        <f t="shared" si="36"/>
        <v>0</v>
      </c>
      <c r="AB55" s="1020">
        <f t="shared" si="36"/>
        <v>0</v>
      </c>
      <c r="AC55" s="1020">
        <f t="shared" si="36"/>
        <v>0</v>
      </c>
      <c r="AD55" s="1073"/>
    </row>
    <row r="56" spans="4:30" ht="14.25" customHeight="1" x14ac:dyDescent="0.35">
      <c r="D56" s="1058">
        <f t="shared" si="39"/>
        <v>7</v>
      </c>
      <c r="E56" s="780" t="s">
        <v>1269</v>
      </c>
      <c r="F56" s="1025"/>
      <c r="G56" s="1061">
        <v>0</v>
      </c>
      <c r="H56" s="1061">
        <f t="shared" si="37"/>
        <v>1</v>
      </c>
      <c r="I56" s="1020">
        <f t="shared" si="38"/>
        <v>2.7142294999999997E-2</v>
      </c>
      <c r="J56" s="1020">
        <f t="shared" si="34"/>
        <v>1.3571147499999998E-2</v>
      </c>
      <c r="K56" s="1020">
        <f t="shared" si="34"/>
        <v>1.3571147499999998E-2</v>
      </c>
      <c r="L56" s="1020">
        <f t="shared" si="38"/>
        <v>0</v>
      </c>
      <c r="M56" s="1020">
        <f t="shared" si="34"/>
        <v>0</v>
      </c>
      <c r="N56" s="1020">
        <f t="shared" si="34"/>
        <v>0</v>
      </c>
      <c r="O56" s="1020">
        <f t="shared" si="34"/>
        <v>2.0641824E-2</v>
      </c>
      <c r="P56" s="1020">
        <f t="shared" si="34"/>
        <v>1.0320912E-2</v>
      </c>
      <c r="Q56" s="1020">
        <f t="shared" si="34"/>
        <v>1.0320912E-2</v>
      </c>
      <c r="R56" s="1020">
        <f t="shared" si="34"/>
        <v>4.4700120000000006E-3</v>
      </c>
      <c r="S56" s="1020">
        <f t="shared" si="34"/>
        <v>2.2350060000000003E-3</v>
      </c>
      <c r="T56" s="1020">
        <f t="shared" si="34"/>
        <v>2.2350060000000003E-3</v>
      </c>
      <c r="U56" s="1020">
        <f t="shared" si="34"/>
        <v>9.9499820000000013E-3</v>
      </c>
      <c r="V56" s="1020">
        <f t="shared" si="34"/>
        <v>4.9749910000000007E-3</v>
      </c>
      <c r="W56" s="1020">
        <f t="shared" si="34"/>
        <v>4.9749910000000007E-3</v>
      </c>
      <c r="X56" s="1020">
        <f t="shared" si="35"/>
        <v>7.1090724999999994E-2</v>
      </c>
      <c r="Y56" s="1020">
        <f t="shared" si="35"/>
        <v>3.5545362499999997E-2</v>
      </c>
      <c r="Z56" s="1020">
        <f t="shared" si="35"/>
        <v>3.5545362499999997E-2</v>
      </c>
      <c r="AA56" s="1020">
        <f t="shared" si="36"/>
        <v>1.0511319999999999E-2</v>
      </c>
      <c r="AB56" s="1020">
        <f t="shared" si="36"/>
        <v>5.2556599999999997E-3</v>
      </c>
      <c r="AC56" s="1020">
        <f t="shared" si="36"/>
        <v>5.2556599999999997E-3</v>
      </c>
      <c r="AD56" s="1073"/>
    </row>
    <row r="57" spans="4:30" ht="14.25" customHeight="1" x14ac:dyDescent="0.35">
      <c r="D57" s="1058">
        <f t="shared" si="39"/>
        <v>8</v>
      </c>
      <c r="E57" s="780" t="s">
        <v>1270</v>
      </c>
      <c r="F57" s="1025"/>
      <c r="G57" s="1061">
        <v>0</v>
      </c>
      <c r="H57" s="1061">
        <f t="shared" si="37"/>
        <v>1</v>
      </c>
      <c r="I57" s="1020">
        <f t="shared" si="38"/>
        <v>0.214033</v>
      </c>
      <c r="J57" s="1020">
        <f t="shared" si="34"/>
        <v>0</v>
      </c>
      <c r="K57" s="1020">
        <f t="shared" si="34"/>
        <v>0.214033</v>
      </c>
      <c r="L57" s="1020">
        <f t="shared" si="38"/>
        <v>0</v>
      </c>
      <c r="M57" s="1020">
        <f t="shared" si="34"/>
        <v>0</v>
      </c>
      <c r="N57" s="1020">
        <f t="shared" si="34"/>
        <v>0</v>
      </c>
      <c r="O57" s="1020">
        <f t="shared" si="34"/>
        <v>0</v>
      </c>
      <c r="P57" s="1020">
        <f t="shared" si="34"/>
        <v>0</v>
      </c>
      <c r="Q57" s="1020">
        <f t="shared" si="34"/>
        <v>0</v>
      </c>
      <c r="R57" s="1020">
        <f t="shared" si="34"/>
        <v>0</v>
      </c>
      <c r="S57" s="1020">
        <f t="shared" si="34"/>
        <v>0</v>
      </c>
      <c r="T57" s="1020">
        <f t="shared" si="34"/>
        <v>0</v>
      </c>
      <c r="U57" s="1020">
        <f t="shared" si="34"/>
        <v>2.65028E-2</v>
      </c>
      <c r="V57" s="1020">
        <f t="shared" si="34"/>
        <v>0</v>
      </c>
      <c r="W57" s="1020">
        <f t="shared" si="34"/>
        <v>2.65028E-2</v>
      </c>
      <c r="X57" s="1020">
        <f t="shared" si="35"/>
        <v>0</v>
      </c>
      <c r="Y57" s="1020">
        <f t="shared" si="35"/>
        <v>0</v>
      </c>
      <c r="Z57" s="1020">
        <f t="shared" si="35"/>
        <v>0</v>
      </c>
      <c r="AA57" s="1020">
        <f t="shared" si="36"/>
        <v>7.7879999999999998E-3</v>
      </c>
      <c r="AB57" s="1020">
        <f t="shared" si="36"/>
        <v>0</v>
      </c>
      <c r="AC57" s="1020">
        <f t="shared" si="36"/>
        <v>7.7879999999999998E-3</v>
      </c>
      <c r="AD57" s="1073"/>
    </row>
    <row r="58" spans="4:30" ht="14.25" customHeight="1" x14ac:dyDescent="0.3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row>
    <row r="59" spans="4:30" ht="14.25" customHeight="1" x14ac:dyDescent="0.35">
      <c r="D59" s="1025"/>
      <c r="E59" s="1064" t="s">
        <v>164</v>
      </c>
      <c r="F59" s="1025"/>
      <c r="G59" s="1025"/>
      <c r="H59" s="1025"/>
      <c r="I59" s="1074">
        <f t="shared" ref="I59:AC59" si="40">SUM(I50:I58)</f>
        <v>56.312794994999997</v>
      </c>
      <c r="J59" s="1074">
        <f t="shared" si="40"/>
        <v>55.546881447500006</v>
      </c>
      <c r="K59" s="1074">
        <f t="shared" si="40"/>
        <v>0.76591354750000007</v>
      </c>
      <c r="L59" s="1074">
        <f t="shared" si="40"/>
        <v>12.830158250382215</v>
      </c>
      <c r="M59" s="1074">
        <f t="shared" si="40"/>
        <v>11.561528951458783</v>
      </c>
      <c r="N59" s="1074">
        <f t="shared" si="40"/>
        <v>1.2686292989234327</v>
      </c>
      <c r="O59" s="1074">
        <f t="shared" si="40"/>
        <v>4.9770412129999997</v>
      </c>
      <c r="P59" s="1074">
        <f t="shared" si="40"/>
        <v>4.9667203009999996</v>
      </c>
      <c r="Q59" s="1074">
        <f t="shared" si="40"/>
        <v>1.0320912E-2</v>
      </c>
      <c r="R59" s="1074">
        <f t="shared" si="40"/>
        <v>0.96115707500000003</v>
      </c>
      <c r="S59" s="1074">
        <f t="shared" si="40"/>
        <v>0.65489264599999997</v>
      </c>
      <c r="T59" s="1074">
        <f t="shared" si="40"/>
        <v>0.306264429</v>
      </c>
      <c r="U59" s="1074">
        <f t="shared" si="40"/>
        <v>1.23339939</v>
      </c>
      <c r="V59" s="1074">
        <f t="shared" si="40"/>
        <v>4.9749910000000007E-3</v>
      </c>
      <c r="W59" s="1074">
        <f t="shared" si="40"/>
        <v>1.2284243990000001</v>
      </c>
      <c r="X59" s="1074">
        <f t="shared" si="40"/>
        <v>0.175413392</v>
      </c>
      <c r="Y59" s="1074">
        <f t="shared" si="40"/>
        <v>0.1283625645</v>
      </c>
      <c r="Z59" s="1074">
        <f t="shared" si="40"/>
        <v>4.7050827499999996E-2</v>
      </c>
      <c r="AA59" s="1074">
        <f t="shared" si="40"/>
        <v>3.3919569999999996E-2</v>
      </c>
      <c r="AB59" s="1074">
        <f t="shared" si="40"/>
        <v>1.3065785E-2</v>
      </c>
      <c r="AC59" s="1074">
        <f t="shared" si="40"/>
        <v>2.0853785E-2</v>
      </c>
      <c r="AD59" s="1075"/>
    </row>
    <row r="60" spans="4:30" ht="14.25" customHeight="1" x14ac:dyDescent="0.35">
      <c r="I60" s="1070">
        <f t="shared" ref="I60:AC60" si="41">I59-I22</f>
        <v>0</v>
      </c>
      <c r="J60" s="1070">
        <f t="shared" si="41"/>
        <v>0</v>
      </c>
      <c r="K60" s="1070">
        <f t="shared" si="41"/>
        <v>0</v>
      </c>
      <c r="L60" s="1070">
        <f t="shared" si="41"/>
        <v>0</v>
      </c>
      <c r="M60" s="1070">
        <f t="shared" si="41"/>
        <v>0</v>
      </c>
      <c r="N60" s="1070">
        <f t="shared" si="41"/>
        <v>0</v>
      </c>
      <c r="O60" s="1070">
        <f t="shared" si="41"/>
        <v>0</v>
      </c>
      <c r="P60" s="1070">
        <f t="shared" si="41"/>
        <v>0</v>
      </c>
      <c r="Q60" s="1070">
        <f t="shared" si="41"/>
        <v>0</v>
      </c>
      <c r="R60" s="1070">
        <f t="shared" si="41"/>
        <v>0</v>
      </c>
      <c r="S60" s="1070">
        <f t="shared" si="41"/>
        <v>0</v>
      </c>
      <c r="T60" s="1070">
        <f t="shared" si="41"/>
        <v>0</v>
      </c>
      <c r="U60" s="1070">
        <f t="shared" si="41"/>
        <v>0</v>
      </c>
      <c r="V60" s="1070">
        <f t="shared" si="41"/>
        <v>0</v>
      </c>
      <c r="W60" s="1070">
        <f t="shared" si="41"/>
        <v>0</v>
      </c>
      <c r="X60" s="1070">
        <f t="shared" si="41"/>
        <v>0</v>
      </c>
      <c r="Y60" s="1070">
        <f t="shared" si="41"/>
        <v>0</v>
      </c>
      <c r="Z60" s="1070">
        <f t="shared" si="41"/>
        <v>0</v>
      </c>
      <c r="AA60" s="1070">
        <f t="shared" si="41"/>
        <v>0</v>
      </c>
      <c r="AB60" s="1070">
        <f t="shared" si="41"/>
        <v>0</v>
      </c>
      <c r="AC60" s="1070">
        <f t="shared" si="41"/>
        <v>0</v>
      </c>
    </row>
    <row r="61" spans="4:30" ht="14.25" customHeight="1" x14ac:dyDescent="0.35">
      <c r="E61" s="1056" t="s">
        <v>1259</v>
      </c>
      <c r="F61" s="1056"/>
    </row>
    <row r="62" spans="4:30" ht="14.25" customHeight="1" x14ac:dyDescent="0.35">
      <c r="D62" s="1034" t="s">
        <v>1</v>
      </c>
      <c r="E62" s="1034" t="s">
        <v>920</v>
      </c>
      <c r="F62" s="1034" t="s">
        <v>1421</v>
      </c>
      <c r="G62" s="1034" t="s">
        <v>963</v>
      </c>
      <c r="H62" s="1034" t="s">
        <v>923</v>
      </c>
      <c r="I62" s="2010" t="s">
        <v>196</v>
      </c>
      <c r="J62" s="2010"/>
      <c r="K62" s="2010"/>
      <c r="L62" s="2010" t="s">
        <v>197</v>
      </c>
      <c r="M62" s="2010"/>
      <c r="N62" s="2010"/>
      <c r="O62" s="2010" t="s">
        <v>198</v>
      </c>
      <c r="P62" s="2010"/>
      <c r="Q62" s="2010"/>
      <c r="R62" s="2010" t="s">
        <v>199</v>
      </c>
      <c r="S62" s="2010"/>
      <c r="T62" s="2010"/>
      <c r="U62" s="2010" t="s">
        <v>112</v>
      </c>
      <c r="V62" s="2010"/>
      <c r="W62" s="2010"/>
      <c r="X62" s="2010" t="s">
        <v>113</v>
      </c>
      <c r="Y62" s="2010"/>
      <c r="Z62" s="2010"/>
      <c r="AA62" s="2010" t="s">
        <v>114</v>
      </c>
      <c r="AB62" s="2010"/>
      <c r="AC62" s="2010"/>
    </row>
    <row r="63" spans="4:30" ht="14.25" customHeight="1" x14ac:dyDescent="0.35">
      <c r="D63" s="1057"/>
      <c r="E63" s="1057"/>
      <c r="F63" s="1057"/>
      <c r="G63" s="1057" t="s">
        <v>243</v>
      </c>
      <c r="H63" s="1057" t="s">
        <v>243</v>
      </c>
      <c r="I63" s="1057" t="s">
        <v>164</v>
      </c>
      <c r="J63" s="1057" t="s">
        <v>963</v>
      </c>
      <c r="K63" s="1057" t="s">
        <v>923</v>
      </c>
      <c r="L63" s="1057" t="s">
        <v>164</v>
      </c>
      <c r="M63" s="1057" t="s">
        <v>963</v>
      </c>
      <c r="N63" s="1057" t="s">
        <v>923</v>
      </c>
      <c r="O63" s="1057" t="s">
        <v>164</v>
      </c>
      <c r="P63" s="1057" t="s">
        <v>963</v>
      </c>
      <c r="Q63" s="1057" t="s">
        <v>923</v>
      </c>
      <c r="R63" s="1057" t="s">
        <v>164</v>
      </c>
      <c r="S63" s="1057" t="s">
        <v>963</v>
      </c>
      <c r="T63" s="1057" t="s">
        <v>923</v>
      </c>
      <c r="U63" s="1057" t="s">
        <v>164</v>
      </c>
      <c r="V63" s="1057" t="s">
        <v>963</v>
      </c>
      <c r="W63" s="1057" t="s">
        <v>923</v>
      </c>
      <c r="X63" s="1057" t="s">
        <v>164</v>
      </c>
      <c r="Y63" s="1057" t="s">
        <v>963</v>
      </c>
      <c r="Z63" s="1057" t="s">
        <v>923</v>
      </c>
      <c r="AA63" s="1057" t="s">
        <v>164</v>
      </c>
      <c r="AB63" s="1057" t="s">
        <v>963</v>
      </c>
      <c r="AC63" s="1057" t="s">
        <v>923</v>
      </c>
    </row>
    <row r="64" spans="4:30" ht="14.25" customHeight="1" x14ac:dyDescent="0.35">
      <c r="D64" s="1058">
        <v>1</v>
      </c>
      <c r="E64" s="1060" t="s">
        <v>1410</v>
      </c>
      <c r="F64" s="1025"/>
      <c r="G64" s="1061">
        <v>1</v>
      </c>
      <c r="H64" s="1061">
        <f>1-G64</f>
        <v>0</v>
      </c>
      <c r="I64" s="1020">
        <f t="shared" ref="I64:Y64" si="42">SUMIF($F$27:$F$42,$E64,I$27:I$42)</f>
        <v>4.9999999999999998E-8</v>
      </c>
      <c r="J64" s="1020">
        <f t="shared" si="42"/>
        <v>4.9999999999999998E-8</v>
      </c>
      <c r="K64" s="1020">
        <f t="shared" si="42"/>
        <v>0</v>
      </c>
      <c r="L64" s="1020">
        <f t="shared" si="42"/>
        <v>9.9999999999999995E-8</v>
      </c>
      <c r="M64" s="1020">
        <f t="shared" si="42"/>
        <v>9.9999999999999995E-8</v>
      </c>
      <c r="N64" s="1020">
        <f t="shared" si="42"/>
        <v>0</v>
      </c>
      <c r="O64" s="1020">
        <f t="shared" si="42"/>
        <v>9.9999999999999995E-8</v>
      </c>
      <c r="P64" s="1020">
        <f t="shared" si="42"/>
        <v>9.9999999999999995E-8</v>
      </c>
      <c r="Q64" s="1020">
        <f t="shared" si="42"/>
        <v>0</v>
      </c>
      <c r="R64" s="1020">
        <f t="shared" si="42"/>
        <v>9.9999999999999995E-8</v>
      </c>
      <c r="S64" s="1020">
        <f t="shared" si="42"/>
        <v>9.9999999999999995E-8</v>
      </c>
      <c r="T64" s="1020">
        <f t="shared" si="42"/>
        <v>0</v>
      </c>
      <c r="U64" s="1020">
        <f t="shared" si="42"/>
        <v>9.9999999999999995E-8</v>
      </c>
      <c r="V64" s="1020">
        <f t="shared" si="42"/>
        <v>9.9999999999999995E-8</v>
      </c>
      <c r="W64" s="1020">
        <f t="shared" si="42"/>
        <v>0</v>
      </c>
      <c r="X64" s="1020">
        <f t="shared" si="42"/>
        <v>9.9999999999999995E-8</v>
      </c>
      <c r="Y64" s="1020">
        <f t="shared" si="42"/>
        <v>9.9999999999999995E-8</v>
      </c>
      <c r="Z64" s="1020">
        <f t="shared" ref="R64:AC71" si="43">SUMIF($F$27:$F$42,$E64,Z$27:Z$42)</f>
        <v>0</v>
      </c>
      <c r="AA64" s="1020">
        <f t="shared" si="43"/>
        <v>2.4999999999999999E-8</v>
      </c>
      <c r="AB64" s="1020">
        <f t="shared" si="43"/>
        <v>2.4999999999999999E-8</v>
      </c>
      <c r="AC64" s="1020">
        <f t="shared" si="43"/>
        <v>0</v>
      </c>
    </row>
    <row r="65" spans="4:29" ht="14.25" customHeight="1" x14ac:dyDescent="0.35">
      <c r="D65" s="1058">
        <f>D64+1</f>
        <v>2</v>
      </c>
      <c r="E65" s="1060" t="s">
        <v>1409</v>
      </c>
      <c r="F65" s="1025"/>
      <c r="G65" s="1061">
        <v>1</v>
      </c>
      <c r="H65" s="1061">
        <f t="shared" ref="H65:H71" si="44">1-G65</f>
        <v>0</v>
      </c>
      <c r="I65" s="1020">
        <f t="shared" ref="I65:L71" si="45">SUMIF($F$27:$F$42,$E65,I$27:I$42)</f>
        <v>0.17330699999999999</v>
      </c>
      <c r="J65" s="1020">
        <f t="shared" ref="J65:K71" si="46">SUMIF($F$27:$F$42,$E65,J$27:J$42)</f>
        <v>0.17330699999999999</v>
      </c>
      <c r="K65" s="1020">
        <f t="shared" si="46"/>
        <v>0</v>
      </c>
      <c r="L65" s="1020">
        <f t="shared" si="45"/>
        <v>0.3803962569581531</v>
      </c>
      <c r="M65" s="1020">
        <f t="shared" ref="M65:Q71" si="47">SUMIF($F$27:$F$42,$E65,M$27:M$42)</f>
        <v>0.3803962569581531</v>
      </c>
      <c r="N65" s="1020">
        <f t="shared" si="47"/>
        <v>0</v>
      </c>
      <c r="O65" s="1020">
        <f t="shared" si="47"/>
        <v>0.31473622251056349</v>
      </c>
      <c r="P65" s="1020">
        <f t="shared" si="47"/>
        <v>0.31473622251056349</v>
      </c>
      <c r="Q65" s="1020">
        <f t="shared" si="47"/>
        <v>0</v>
      </c>
      <c r="R65" s="1020">
        <f t="shared" si="43"/>
        <v>0.3475662397343583</v>
      </c>
      <c r="S65" s="1020">
        <f t="shared" si="43"/>
        <v>0.3475662397343583</v>
      </c>
      <c r="T65" s="1020">
        <f t="shared" si="43"/>
        <v>0</v>
      </c>
      <c r="U65" s="1020">
        <f t="shared" si="43"/>
        <v>0.3475662397343583</v>
      </c>
      <c r="V65" s="1020">
        <f t="shared" si="43"/>
        <v>0.3475662397343583</v>
      </c>
      <c r="W65" s="1020">
        <f t="shared" si="43"/>
        <v>0</v>
      </c>
      <c r="X65" s="1020">
        <f t="shared" si="43"/>
        <v>0.3475662397343583</v>
      </c>
      <c r="Y65" s="1020">
        <f t="shared" si="43"/>
        <v>0.3475662397343583</v>
      </c>
      <c r="Z65" s="1020">
        <f t="shared" si="43"/>
        <v>0</v>
      </c>
      <c r="AA65" s="1020">
        <f t="shared" si="43"/>
        <v>0.3475662397343583</v>
      </c>
      <c r="AB65" s="1020">
        <f t="shared" si="43"/>
        <v>0.3475662397343583</v>
      </c>
      <c r="AC65" s="1020">
        <f t="shared" si="43"/>
        <v>0</v>
      </c>
    </row>
    <row r="66" spans="4:29" ht="14.25" customHeight="1" x14ac:dyDescent="0.35">
      <c r="D66" s="1058">
        <f t="shared" ref="D66:D71" si="48">D65+1</f>
        <v>3</v>
      </c>
      <c r="E66" s="1060" t="s">
        <v>440</v>
      </c>
      <c r="F66" s="1025"/>
      <c r="G66" s="1061">
        <v>1</v>
      </c>
      <c r="H66" s="1061">
        <f t="shared" si="44"/>
        <v>0</v>
      </c>
      <c r="I66" s="1020">
        <f t="shared" si="45"/>
        <v>1.0487950000000001</v>
      </c>
      <c r="J66" s="1020">
        <f t="shared" si="46"/>
        <v>1.0487950000000001</v>
      </c>
      <c r="K66" s="1020">
        <f t="shared" si="46"/>
        <v>0</v>
      </c>
      <c r="L66" s="1020">
        <f t="shared" si="45"/>
        <v>2.3827464841082104</v>
      </c>
      <c r="M66" s="1020">
        <f t="shared" si="47"/>
        <v>2.3827464841082104</v>
      </c>
      <c r="N66" s="1020">
        <f t="shared" si="47"/>
        <v>0</v>
      </c>
      <c r="O66" s="1020">
        <f t="shared" si="47"/>
        <v>2.4431427186974468</v>
      </c>
      <c r="P66" s="1020">
        <f t="shared" si="47"/>
        <v>2.4431427186974468</v>
      </c>
      <c r="Q66" s="1020">
        <f t="shared" si="47"/>
        <v>0</v>
      </c>
      <c r="R66" s="1020">
        <f t="shared" si="43"/>
        <v>2.763917151042421</v>
      </c>
      <c r="S66" s="1020">
        <f t="shared" si="43"/>
        <v>2.763917151042421</v>
      </c>
      <c r="T66" s="1020">
        <f t="shared" si="43"/>
        <v>0</v>
      </c>
      <c r="U66" s="1020">
        <f t="shared" si="43"/>
        <v>2.7918903972088667</v>
      </c>
      <c r="V66" s="1020">
        <f t="shared" si="43"/>
        <v>2.7918903972088667</v>
      </c>
      <c r="W66" s="1020">
        <f t="shared" si="43"/>
        <v>0</v>
      </c>
      <c r="X66" s="1020">
        <f t="shared" si="43"/>
        <v>2.7957830501447982</v>
      </c>
      <c r="Y66" s="1020">
        <f t="shared" si="43"/>
        <v>2.7957830501447982</v>
      </c>
      <c r="Z66" s="1020">
        <f t="shared" si="43"/>
        <v>0</v>
      </c>
      <c r="AA66" s="1020">
        <f t="shared" si="43"/>
        <v>2.7962606762719067</v>
      </c>
      <c r="AB66" s="1020">
        <f t="shared" si="43"/>
        <v>2.7962606762719067</v>
      </c>
      <c r="AC66" s="1020">
        <f t="shared" si="43"/>
        <v>0</v>
      </c>
    </row>
    <row r="67" spans="4:29" ht="14.25" customHeight="1" x14ac:dyDescent="0.35">
      <c r="D67" s="1058">
        <f t="shared" si="48"/>
        <v>4</v>
      </c>
      <c r="E67" s="1060" t="s">
        <v>915</v>
      </c>
      <c r="F67" s="1025"/>
      <c r="G67" s="1061">
        <v>0</v>
      </c>
      <c r="H67" s="1061">
        <f t="shared" si="44"/>
        <v>1</v>
      </c>
      <c r="I67" s="1020">
        <f t="shared" si="45"/>
        <v>4.4155000000000002E-3</v>
      </c>
      <c r="J67" s="1020">
        <f t="shared" si="46"/>
        <v>0</v>
      </c>
      <c r="K67" s="1020">
        <f t="shared" si="46"/>
        <v>4.4155000000000002E-3</v>
      </c>
      <c r="L67" s="1020">
        <f t="shared" si="45"/>
        <v>3.102594220344888E-2</v>
      </c>
      <c r="M67" s="1020">
        <f t="shared" si="47"/>
        <v>0</v>
      </c>
      <c r="N67" s="1020">
        <f t="shared" si="47"/>
        <v>3.102594220344888E-2</v>
      </c>
      <c r="O67" s="1020">
        <f t="shared" si="47"/>
        <v>0.14002539125307428</v>
      </c>
      <c r="P67" s="1020">
        <f t="shared" si="47"/>
        <v>0</v>
      </c>
      <c r="Q67" s="1020">
        <f t="shared" si="47"/>
        <v>0.14002539125307428</v>
      </c>
      <c r="R67" s="1020">
        <f t="shared" si="43"/>
        <v>0.15169225071137904</v>
      </c>
      <c r="S67" s="1020">
        <f t="shared" si="43"/>
        <v>0</v>
      </c>
      <c r="T67" s="1020">
        <f t="shared" si="43"/>
        <v>0.15169225071137904</v>
      </c>
      <c r="U67" s="1020">
        <f t="shared" si="43"/>
        <v>0.2191224976225534</v>
      </c>
      <c r="V67" s="1020">
        <f t="shared" si="43"/>
        <v>0</v>
      </c>
      <c r="W67" s="1020">
        <f t="shared" si="43"/>
        <v>0.2191224976225534</v>
      </c>
      <c r="X67" s="1020">
        <f t="shared" si="43"/>
        <v>0.2636616335543277</v>
      </c>
      <c r="Y67" s="1020">
        <f t="shared" si="43"/>
        <v>0</v>
      </c>
      <c r="Z67" s="1020">
        <f t="shared" si="43"/>
        <v>0.2636616335543277</v>
      </c>
      <c r="AA67" s="1020">
        <f t="shared" si="43"/>
        <v>0.26380312329203259</v>
      </c>
      <c r="AB67" s="1020">
        <f t="shared" si="43"/>
        <v>0</v>
      </c>
      <c r="AC67" s="1020">
        <f t="shared" si="43"/>
        <v>0.26380312329203259</v>
      </c>
    </row>
    <row r="68" spans="4:29" ht="14.25" customHeight="1" x14ac:dyDescent="0.35">
      <c r="D68" s="1058">
        <f t="shared" si="48"/>
        <v>5</v>
      </c>
      <c r="E68" s="1060" t="s">
        <v>447</v>
      </c>
      <c r="F68" s="1025"/>
      <c r="G68" s="1061">
        <v>1</v>
      </c>
      <c r="H68" s="1061">
        <f t="shared" si="44"/>
        <v>0</v>
      </c>
      <c r="I68" s="1020">
        <f t="shared" si="45"/>
        <v>2.9640999999999999E-3</v>
      </c>
      <c r="J68" s="1020">
        <f t="shared" si="46"/>
        <v>1.4820499999999999E-3</v>
      </c>
      <c r="K68" s="1020">
        <f t="shared" si="46"/>
        <v>1.4820499999999999E-3</v>
      </c>
      <c r="L68" s="1020">
        <f t="shared" si="45"/>
        <v>5.8186510000000002E-3</v>
      </c>
      <c r="M68" s="1020">
        <f t="shared" si="47"/>
        <v>2.9093255000000001E-3</v>
      </c>
      <c r="N68" s="1020">
        <f t="shared" si="47"/>
        <v>2.9093255000000001E-3</v>
      </c>
      <c r="O68" s="1020">
        <f t="shared" si="47"/>
        <v>5.8186510000000002E-3</v>
      </c>
      <c r="P68" s="1020">
        <f t="shared" si="47"/>
        <v>2.9093255000000001E-3</v>
      </c>
      <c r="Q68" s="1020">
        <f t="shared" si="47"/>
        <v>2.9093255000000001E-3</v>
      </c>
      <c r="R68" s="1020">
        <f t="shared" si="43"/>
        <v>5.8186510000000002E-3</v>
      </c>
      <c r="S68" s="1020">
        <f t="shared" si="43"/>
        <v>2.9093255000000001E-3</v>
      </c>
      <c r="T68" s="1020">
        <f t="shared" si="43"/>
        <v>2.9093255000000001E-3</v>
      </c>
      <c r="U68" s="1020">
        <f t="shared" si="43"/>
        <v>7.2444843712000002E-3</v>
      </c>
      <c r="V68" s="1020">
        <f t="shared" si="43"/>
        <v>3.6222421856000001E-3</v>
      </c>
      <c r="W68" s="1020">
        <f t="shared" si="43"/>
        <v>3.6222421856000001E-3</v>
      </c>
      <c r="X68" s="1020">
        <f t="shared" si="43"/>
        <v>7.2508349999999997E-3</v>
      </c>
      <c r="Y68" s="1020">
        <f t="shared" si="43"/>
        <v>3.6254174999999999E-3</v>
      </c>
      <c r="Z68" s="1020">
        <f t="shared" si="43"/>
        <v>3.6254174999999999E-3</v>
      </c>
      <c r="AA68" s="1020">
        <f t="shared" si="43"/>
        <v>7.4896651490178072E-3</v>
      </c>
      <c r="AB68" s="1020">
        <f t="shared" si="43"/>
        <v>3.7448325745089036E-3</v>
      </c>
      <c r="AC68" s="1020">
        <f t="shared" si="43"/>
        <v>3.7448325745089036E-3</v>
      </c>
    </row>
    <row r="69" spans="4:29" ht="14.25" customHeight="1" x14ac:dyDescent="0.35">
      <c r="D69" s="1058">
        <f t="shared" si="48"/>
        <v>6</v>
      </c>
      <c r="E69" s="1060" t="s">
        <v>879</v>
      </c>
      <c r="F69" s="1025"/>
      <c r="G69" s="1061">
        <v>1</v>
      </c>
      <c r="H69" s="1061">
        <f t="shared" si="44"/>
        <v>0</v>
      </c>
      <c r="I69" s="1020">
        <f t="shared" si="45"/>
        <v>3.277E-4</v>
      </c>
      <c r="J69" s="1020">
        <f t="shared" si="46"/>
        <v>2.9493E-4</v>
      </c>
      <c r="K69" s="1020">
        <f t="shared" si="46"/>
        <v>3.2769999999999993E-5</v>
      </c>
      <c r="L69" s="1020">
        <f t="shared" si="45"/>
        <v>5.6412900000000002E-4</v>
      </c>
      <c r="M69" s="1020">
        <f t="shared" si="47"/>
        <v>5.077161E-4</v>
      </c>
      <c r="N69" s="1020">
        <f t="shared" si="47"/>
        <v>5.641289999999999E-5</v>
      </c>
      <c r="O69" s="1020">
        <f t="shared" si="47"/>
        <v>5.6412900000000002E-4</v>
      </c>
      <c r="P69" s="1020">
        <f t="shared" si="47"/>
        <v>5.077161E-4</v>
      </c>
      <c r="Q69" s="1020">
        <f t="shared" si="47"/>
        <v>5.641289999999999E-5</v>
      </c>
      <c r="R69" s="1020">
        <f t="shared" si="43"/>
        <v>5.6412900000000002E-4</v>
      </c>
      <c r="S69" s="1020">
        <f t="shared" si="43"/>
        <v>5.077161E-4</v>
      </c>
      <c r="T69" s="1020">
        <f t="shared" si="43"/>
        <v>5.641289999999999E-5</v>
      </c>
      <c r="U69" s="1020">
        <f t="shared" si="43"/>
        <v>5.6412900000000002E-4</v>
      </c>
      <c r="V69" s="1020">
        <f t="shared" si="43"/>
        <v>5.077161E-4</v>
      </c>
      <c r="W69" s="1020">
        <f t="shared" si="43"/>
        <v>5.641289999999999E-5</v>
      </c>
      <c r="X69" s="1020">
        <f t="shared" si="43"/>
        <v>5.6412900000000002E-4</v>
      </c>
      <c r="Y69" s="1020">
        <f t="shared" si="43"/>
        <v>5.077161E-4</v>
      </c>
      <c r="Z69" s="1020">
        <f t="shared" si="43"/>
        <v>5.641289999999999E-5</v>
      </c>
      <c r="AA69" s="1020">
        <f t="shared" si="43"/>
        <v>5.6412900000000002E-4</v>
      </c>
      <c r="AB69" s="1020">
        <f t="shared" si="43"/>
        <v>5.077161E-4</v>
      </c>
      <c r="AC69" s="1020">
        <f t="shared" si="43"/>
        <v>5.641289999999999E-5</v>
      </c>
    </row>
    <row r="70" spans="4:29" ht="14.25" customHeight="1" x14ac:dyDescent="0.35">
      <c r="D70" s="1058">
        <f t="shared" si="48"/>
        <v>7</v>
      </c>
      <c r="E70" s="780" t="s">
        <v>1269</v>
      </c>
      <c r="F70" s="1025"/>
      <c r="G70" s="1061">
        <v>0</v>
      </c>
      <c r="H70" s="1061">
        <f t="shared" si="44"/>
        <v>1</v>
      </c>
      <c r="I70" s="1020">
        <f t="shared" si="45"/>
        <v>3.6619000000000001E-3</v>
      </c>
      <c r="J70" s="1020">
        <f t="shared" si="46"/>
        <v>1.83095E-3</v>
      </c>
      <c r="K70" s="1020">
        <f t="shared" si="46"/>
        <v>1.83095E-3</v>
      </c>
      <c r="L70" s="1020">
        <f t="shared" si="45"/>
        <v>5.076746E-3</v>
      </c>
      <c r="M70" s="1020">
        <f t="shared" si="47"/>
        <v>2.538373E-3</v>
      </c>
      <c r="N70" s="1020">
        <f t="shared" si="47"/>
        <v>2.538373E-3</v>
      </c>
      <c r="O70" s="1020">
        <f t="shared" si="47"/>
        <v>7.4249019999999997E-3</v>
      </c>
      <c r="P70" s="1020">
        <f t="shared" si="47"/>
        <v>3.7124509999999999E-3</v>
      </c>
      <c r="Q70" s="1020">
        <f t="shared" si="47"/>
        <v>3.7124509999999999E-3</v>
      </c>
      <c r="R70" s="1020">
        <f t="shared" si="43"/>
        <v>1.079258E-2</v>
      </c>
      <c r="S70" s="1020">
        <f t="shared" si="43"/>
        <v>5.3962899999999998E-3</v>
      </c>
      <c r="T70" s="1020">
        <f t="shared" si="43"/>
        <v>5.3962899999999998E-3</v>
      </c>
      <c r="U70" s="1020">
        <f t="shared" si="43"/>
        <v>9.0900770000000002E-3</v>
      </c>
      <c r="V70" s="1020">
        <f t="shared" si="43"/>
        <v>4.5450385000000001E-3</v>
      </c>
      <c r="W70" s="1020">
        <f t="shared" si="43"/>
        <v>4.5450385000000001E-3</v>
      </c>
      <c r="X70" s="1020">
        <f t="shared" si="43"/>
        <v>1.6638409E-2</v>
      </c>
      <c r="Y70" s="1020">
        <f t="shared" si="43"/>
        <v>8.3192044999999999E-3</v>
      </c>
      <c r="Z70" s="1020">
        <f t="shared" si="43"/>
        <v>8.3192044999999999E-3</v>
      </c>
      <c r="AA70" s="1020">
        <f t="shared" si="43"/>
        <v>2.1802422287453421E-2</v>
      </c>
      <c r="AB70" s="1020">
        <f t="shared" si="43"/>
        <v>1.090121114372671E-2</v>
      </c>
      <c r="AC70" s="1020">
        <f t="shared" si="43"/>
        <v>1.090121114372671E-2</v>
      </c>
    </row>
    <row r="71" spans="4:29" ht="14.25" customHeight="1" x14ac:dyDescent="0.35">
      <c r="D71" s="1058">
        <f t="shared" si="48"/>
        <v>8</v>
      </c>
      <c r="E71" s="780" t="s">
        <v>1270</v>
      </c>
      <c r="F71" s="1025"/>
      <c r="G71" s="1061">
        <v>0</v>
      </c>
      <c r="H71" s="1061">
        <f t="shared" si="44"/>
        <v>1</v>
      </c>
      <c r="I71" s="1020">
        <f t="shared" si="45"/>
        <v>2.9656600000000002E-2</v>
      </c>
      <c r="J71" s="1020">
        <f t="shared" si="46"/>
        <v>0</v>
      </c>
      <c r="K71" s="1020">
        <f t="shared" si="46"/>
        <v>2.9656600000000002E-2</v>
      </c>
      <c r="L71" s="1020">
        <f t="shared" si="45"/>
        <v>5.7788909999999999E-2</v>
      </c>
      <c r="M71" s="1020">
        <f t="shared" si="47"/>
        <v>0</v>
      </c>
      <c r="N71" s="1020">
        <f t="shared" si="47"/>
        <v>5.7788909999999999E-2</v>
      </c>
      <c r="O71" s="1020">
        <f t="shared" si="47"/>
        <v>5.7788909999999999E-2</v>
      </c>
      <c r="P71" s="1020">
        <f t="shared" si="47"/>
        <v>0</v>
      </c>
      <c r="Q71" s="1020">
        <f t="shared" si="47"/>
        <v>5.7788909999999999E-2</v>
      </c>
      <c r="R71" s="1020">
        <f t="shared" si="43"/>
        <v>5.7788909999999999E-2</v>
      </c>
      <c r="S71" s="1020">
        <f t="shared" si="43"/>
        <v>0</v>
      </c>
      <c r="T71" s="1020">
        <f t="shared" si="43"/>
        <v>5.7788909999999999E-2</v>
      </c>
      <c r="U71" s="1020">
        <f t="shared" si="43"/>
        <v>1.6216652712328799E-3</v>
      </c>
      <c r="V71" s="1020">
        <f t="shared" si="43"/>
        <v>0</v>
      </c>
      <c r="W71" s="1020">
        <f t="shared" si="43"/>
        <v>1.6216652712328799E-3</v>
      </c>
      <c r="X71" s="1020">
        <f t="shared" si="43"/>
        <v>7.1557560000000001E-3</v>
      </c>
      <c r="Y71" s="1020">
        <f t="shared" si="43"/>
        <v>0</v>
      </c>
      <c r="Z71" s="1020">
        <f t="shared" si="43"/>
        <v>7.1557560000000001E-3</v>
      </c>
      <c r="AA71" s="1020">
        <f t="shared" si="43"/>
        <v>7.3861954520547937E-3</v>
      </c>
      <c r="AB71" s="1020">
        <f t="shared" si="43"/>
        <v>0</v>
      </c>
      <c r="AC71" s="1020">
        <f t="shared" si="43"/>
        <v>7.3861954520547937E-3</v>
      </c>
    </row>
    <row r="72" spans="4:29" ht="14.25" customHeight="1" x14ac:dyDescent="0.3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row>
    <row r="73" spans="4:29" ht="14.25" customHeight="1" x14ac:dyDescent="0.35">
      <c r="D73" s="1025"/>
      <c r="E73" s="1064" t="s">
        <v>164</v>
      </c>
      <c r="F73" s="1025"/>
      <c r="G73" s="1025"/>
      <c r="H73" s="1025"/>
      <c r="I73" s="1074">
        <f t="shared" ref="I73:Q73" si="49">SUM(I64:I72)</f>
        <v>1.2631278500000001</v>
      </c>
      <c r="J73" s="1074">
        <f t="shared" si="49"/>
        <v>1.22570998</v>
      </c>
      <c r="K73" s="1074">
        <f t="shared" si="49"/>
        <v>3.7417869999999999E-2</v>
      </c>
      <c r="L73" s="1074">
        <f t="shared" si="49"/>
        <v>2.8634172192698117</v>
      </c>
      <c r="M73" s="1074">
        <f t="shared" si="49"/>
        <v>2.7690982556663637</v>
      </c>
      <c r="N73" s="1074">
        <f t="shared" si="49"/>
        <v>9.431896360344888E-2</v>
      </c>
      <c r="O73" s="1074">
        <f t="shared" si="49"/>
        <v>2.9695010244610844</v>
      </c>
      <c r="P73" s="1074">
        <f t="shared" si="49"/>
        <v>2.7650085338080106</v>
      </c>
      <c r="Q73" s="1074">
        <f t="shared" si="49"/>
        <v>0.20449249065307429</v>
      </c>
      <c r="R73" s="1074">
        <f t="shared" ref="R73:AC73" si="50">SUM(R64:R72)</f>
        <v>3.3381400114881581</v>
      </c>
      <c r="S73" s="1074">
        <f t="shared" si="50"/>
        <v>3.1202968223767797</v>
      </c>
      <c r="T73" s="1074">
        <f t="shared" si="50"/>
        <v>0.21784318911137904</v>
      </c>
      <c r="U73" s="1074">
        <f t="shared" si="50"/>
        <v>3.3770995902082115</v>
      </c>
      <c r="V73" s="1074">
        <f t="shared" si="50"/>
        <v>3.148131733728825</v>
      </c>
      <c r="W73" s="1074">
        <f t="shared" si="50"/>
        <v>0.22896785647938628</v>
      </c>
      <c r="X73" s="1074">
        <f t="shared" si="50"/>
        <v>3.4386201524334838</v>
      </c>
      <c r="Y73" s="1074">
        <f t="shared" si="50"/>
        <v>3.1558017279791564</v>
      </c>
      <c r="Z73" s="1074">
        <f t="shared" si="50"/>
        <v>0.28281842445432775</v>
      </c>
      <c r="AA73" s="1074">
        <f t="shared" si="50"/>
        <v>3.4448724761868235</v>
      </c>
      <c r="AB73" s="1074">
        <f t="shared" si="50"/>
        <v>3.1589807008245008</v>
      </c>
      <c r="AC73" s="1074">
        <f t="shared" si="50"/>
        <v>0.28589177536232302</v>
      </c>
    </row>
    <row r="75" spans="4:29" ht="27.6" customHeight="1" x14ac:dyDescent="0.35">
      <c r="E75" s="1076" t="s">
        <v>1422</v>
      </c>
      <c r="F75" s="1077"/>
      <c r="G75" s="1077"/>
      <c r="H75" s="1077"/>
      <c r="I75" s="2014" t="s">
        <v>1423</v>
      </c>
      <c r="J75" s="2014"/>
      <c r="K75" s="2014"/>
      <c r="L75" s="1132" t="s">
        <v>1424</v>
      </c>
      <c r="M75" s="1076"/>
      <c r="N75" s="1076"/>
      <c r="O75" s="1078"/>
      <c r="P75" s="1079"/>
      <c r="Q75" s="1079"/>
      <c r="R75" s="1079"/>
    </row>
    <row r="76" spans="4:29" s="1079" customFormat="1" ht="24.75" customHeight="1" x14ac:dyDescent="0.35">
      <c r="E76" s="1080" t="s">
        <v>920</v>
      </c>
      <c r="F76" s="1081"/>
      <c r="G76" s="1081"/>
      <c r="H76" s="1081"/>
      <c r="I76" s="1080" t="s">
        <v>196</v>
      </c>
      <c r="J76" s="1080" t="s">
        <v>197</v>
      </c>
      <c r="K76" s="1080" t="s">
        <v>827</v>
      </c>
      <c r="L76" s="1080" t="s">
        <v>827</v>
      </c>
      <c r="M76" s="1080" t="s">
        <v>1425</v>
      </c>
      <c r="N76" s="1080" t="s">
        <v>1426</v>
      </c>
      <c r="O76" s="1080" t="s">
        <v>1427</v>
      </c>
    </row>
    <row r="77" spans="4:29" ht="14.25" customHeight="1" x14ac:dyDescent="0.35">
      <c r="E77" s="1060" t="s">
        <v>1434</v>
      </c>
      <c r="F77" s="1060"/>
      <c r="G77" s="1082" t="s">
        <v>1218</v>
      </c>
      <c r="H77" s="1025"/>
      <c r="I77" s="1129">
        <v>3.4585760346793646</v>
      </c>
      <c r="J77" s="1129">
        <v>0.23350246132063557</v>
      </c>
      <c r="K77" s="1083">
        <f>SUM(K78:K88)</f>
        <v>3.6920784959999997</v>
      </c>
      <c r="L77" s="1083">
        <f>SUM(L78:L88)</f>
        <v>0.31854139898632922</v>
      </c>
      <c r="M77" s="1062">
        <f>K77-L77</f>
        <v>3.3735370970136707</v>
      </c>
      <c r="N77" s="701">
        <v>3.7125649387837396</v>
      </c>
      <c r="O77" s="1084">
        <f>N77-M77</f>
        <v>0.33902784177006895</v>
      </c>
    </row>
    <row r="78" spans="4:29" ht="14.25" customHeight="1" x14ac:dyDescent="0.35">
      <c r="E78" s="1131" t="s">
        <v>1408</v>
      </c>
      <c r="F78" s="1060" t="s">
        <v>1409</v>
      </c>
      <c r="G78" s="1082" t="s">
        <v>1218</v>
      </c>
      <c r="H78" s="1025"/>
      <c r="I78" s="1025"/>
      <c r="J78" s="1025"/>
      <c r="K78" s="883">
        <v>0</v>
      </c>
      <c r="L78" s="883">
        <v>0</v>
      </c>
      <c r="M78" s="1025"/>
      <c r="N78" s="1025"/>
      <c r="O78" s="1025"/>
    </row>
    <row r="79" spans="4:29" ht="14.25" customHeight="1" x14ac:dyDescent="0.35">
      <c r="E79" s="1131" t="s">
        <v>924</v>
      </c>
      <c r="F79" s="1060" t="s">
        <v>440</v>
      </c>
      <c r="G79" s="1082" t="s">
        <v>1218</v>
      </c>
      <c r="H79" s="1025"/>
      <c r="I79" s="1025"/>
      <c r="J79" s="1025"/>
      <c r="K79" s="883">
        <v>0.81693504699999997</v>
      </c>
      <c r="L79" s="883">
        <v>7.2085344231160392E-2</v>
      </c>
      <c r="M79" s="1025"/>
      <c r="N79" s="1025"/>
      <c r="O79" s="1025"/>
    </row>
    <row r="80" spans="4:29" ht="14.25" customHeight="1" x14ac:dyDescent="0.35">
      <c r="E80" s="1131" t="s">
        <v>1411</v>
      </c>
      <c r="F80" s="1060" t="s">
        <v>440</v>
      </c>
      <c r="G80" s="1082" t="s">
        <v>1218</v>
      </c>
      <c r="H80" s="1025"/>
      <c r="I80" s="1025"/>
      <c r="J80" s="1025"/>
      <c r="K80" s="883">
        <v>0</v>
      </c>
      <c r="L80" s="883">
        <v>0</v>
      </c>
      <c r="M80" s="1025"/>
      <c r="N80" s="1025"/>
      <c r="O80" s="1025"/>
    </row>
    <row r="81" spans="5:15" ht="14.25" customHeight="1" x14ac:dyDescent="0.35">
      <c r="E81" s="1131" t="s">
        <v>925</v>
      </c>
      <c r="F81" s="1060" t="s">
        <v>440</v>
      </c>
      <c r="G81" s="1082" t="s">
        <v>1218</v>
      </c>
      <c r="H81" s="1025"/>
      <c r="I81" s="1025"/>
      <c r="J81" s="1025"/>
      <c r="K81" s="883">
        <v>0</v>
      </c>
      <c r="L81" s="883">
        <v>0</v>
      </c>
      <c r="M81" s="1025"/>
      <c r="N81" s="1025"/>
      <c r="O81" s="1025"/>
    </row>
    <row r="82" spans="5:15" ht="14.25" customHeight="1" x14ac:dyDescent="0.35">
      <c r="E82" s="1131" t="s">
        <v>1412</v>
      </c>
      <c r="F82" s="1060" t="s">
        <v>440</v>
      </c>
      <c r="G82" s="1082" t="s">
        <v>1218</v>
      </c>
      <c r="H82" s="1025"/>
      <c r="I82" s="1025"/>
      <c r="J82" s="1025"/>
      <c r="K82" s="883">
        <v>0</v>
      </c>
      <c r="L82" s="883">
        <v>0</v>
      </c>
      <c r="M82" s="1025"/>
      <c r="N82" s="1025"/>
      <c r="O82" s="1025"/>
    </row>
    <row r="83" spans="5:15" ht="14.25" customHeight="1" x14ac:dyDescent="0.35">
      <c r="E83" s="1131" t="s">
        <v>1413</v>
      </c>
      <c r="F83" s="1060" t="s">
        <v>440</v>
      </c>
      <c r="G83" s="1082" t="s">
        <v>1218</v>
      </c>
      <c r="H83" s="1025"/>
      <c r="I83" s="1025"/>
      <c r="J83" s="1025"/>
      <c r="K83" s="883">
        <v>1.2080853999999999E-2</v>
      </c>
      <c r="L83" s="883">
        <v>4.0712093394663039E-4</v>
      </c>
      <c r="M83" s="1025"/>
      <c r="N83" s="1025"/>
      <c r="O83" s="1025"/>
    </row>
    <row r="84" spans="5:15" ht="14.25" customHeight="1" x14ac:dyDescent="0.35">
      <c r="E84" s="1131" t="s">
        <v>1414</v>
      </c>
      <c r="F84" s="1060" t="s">
        <v>440</v>
      </c>
      <c r="G84" s="1082" t="s">
        <v>1218</v>
      </c>
      <c r="H84" s="1025"/>
      <c r="I84" s="1025"/>
      <c r="J84" s="1025"/>
      <c r="K84" s="883">
        <v>9.6239599999999991E-4</v>
      </c>
      <c r="L84" s="883">
        <v>9.1466078531993227E-5</v>
      </c>
      <c r="M84" s="1025"/>
      <c r="N84" s="1025"/>
      <c r="O84" s="1025"/>
    </row>
    <row r="85" spans="5:15" ht="14.25" customHeight="1" x14ac:dyDescent="0.35">
      <c r="E85" s="1131" t="s">
        <v>915</v>
      </c>
      <c r="F85" s="1060" t="s">
        <v>915</v>
      </c>
      <c r="G85" s="1082" t="s">
        <v>1218</v>
      </c>
      <c r="H85" s="1025"/>
      <c r="I85" s="1025"/>
      <c r="J85" s="1025"/>
      <c r="K85" s="883">
        <v>0</v>
      </c>
      <c r="L85" s="883">
        <v>0</v>
      </c>
      <c r="M85" s="1025"/>
      <c r="N85" s="1025"/>
      <c r="O85" s="1025"/>
    </row>
    <row r="86" spans="5:15" ht="14.25" customHeight="1" x14ac:dyDescent="0.35">
      <c r="E86" s="1131" t="s">
        <v>1415</v>
      </c>
      <c r="F86" s="1060" t="s">
        <v>440</v>
      </c>
      <c r="G86" s="1082" t="s">
        <v>1218</v>
      </c>
      <c r="H86" s="1025"/>
      <c r="I86" s="1025"/>
      <c r="J86" s="1025"/>
      <c r="K86" s="883">
        <v>2.5635299620000001</v>
      </c>
      <c r="L86" s="883">
        <v>0.22116340558688041</v>
      </c>
      <c r="M86" s="1025"/>
      <c r="N86" s="1025"/>
      <c r="O86" s="1025"/>
    </row>
    <row r="87" spans="5:15" ht="14.25" customHeight="1" x14ac:dyDescent="0.35">
      <c r="E87" s="1131" t="s">
        <v>445</v>
      </c>
      <c r="F87" s="1060" t="s">
        <v>879</v>
      </c>
      <c r="G87" s="1082" t="s">
        <v>1218</v>
      </c>
      <c r="H87" s="1025"/>
      <c r="I87" s="1025"/>
      <c r="J87" s="1025"/>
      <c r="K87" s="883">
        <v>0</v>
      </c>
      <c r="L87" s="883">
        <v>0</v>
      </c>
      <c r="M87" s="1025"/>
      <c r="N87" s="1025"/>
      <c r="O87" s="1025"/>
    </row>
    <row r="88" spans="5:15" ht="14.25" customHeight="1" x14ac:dyDescent="0.35">
      <c r="E88" s="1131" t="s">
        <v>1416</v>
      </c>
      <c r="F88" s="1060" t="s">
        <v>440</v>
      </c>
      <c r="G88" s="1082" t="s">
        <v>1218</v>
      </c>
      <c r="H88" s="1025"/>
      <c r="I88" s="1025"/>
      <c r="J88" s="1025"/>
      <c r="K88" s="883">
        <v>0.29857023700000002</v>
      </c>
      <c r="L88" s="883">
        <v>2.4794062155809773E-2</v>
      </c>
      <c r="M88" s="1025"/>
      <c r="N88" s="1025"/>
      <c r="O88" s="1025"/>
    </row>
    <row r="90" spans="5:15" ht="14.25" customHeight="1" x14ac:dyDescent="0.35">
      <c r="K90" s="1071"/>
    </row>
  </sheetData>
  <mergeCells count="29">
    <mergeCell ref="O3:Q3"/>
    <mergeCell ref="R3:T3"/>
    <mergeCell ref="U3:W3"/>
    <mergeCell ref="X3:Z3"/>
    <mergeCell ref="I62:K62"/>
    <mergeCell ref="L62:N62"/>
    <mergeCell ref="O62:Q62"/>
    <mergeCell ref="I75:K75"/>
    <mergeCell ref="AA3:AC3"/>
    <mergeCell ref="I25:K25"/>
    <mergeCell ref="L25:N25"/>
    <mergeCell ref="O25:Q25"/>
    <mergeCell ref="I48:K48"/>
    <mergeCell ref="L48:N48"/>
    <mergeCell ref="O48:Q48"/>
    <mergeCell ref="R48:T48"/>
    <mergeCell ref="U48:W48"/>
    <mergeCell ref="X48:Z48"/>
    <mergeCell ref="I3:K3"/>
    <mergeCell ref="L3:N3"/>
    <mergeCell ref="R25:T25"/>
    <mergeCell ref="U25:W25"/>
    <mergeCell ref="X25:Z25"/>
    <mergeCell ref="AA25:AC25"/>
    <mergeCell ref="R62:T62"/>
    <mergeCell ref="U62:W62"/>
    <mergeCell ref="X62:Z62"/>
    <mergeCell ref="AA62:AC62"/>
    <mergeCell ref="AA48:AC48"/>
  </mergeCells>
  <dataValidations count="1">
    <dataValidation type="list" allowBlank="1" showInputMessage="1" showErrorMessage="1" sqref="F5:F20 F27:F42 F77:F88" xr:uid="{58DDF688-3910-4C31-935A-CEDA80066280}">
      <formula1>$AE$5:$AE$12</formula1>
    </dataValidation>
  </dataValidations>
  <pageMargins left="0.31496062992125984" right="0.31496062992125984" top="0.35433070866141736" bottom="0.15748031496062992" header="0.31496062992125984" footer="0.31496062992125984"/>
  <pageSetup paperSize="9" scale="41"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P35"/>
  <sheetViews>
    <sheetView showGridLines="0" view="pageBreakPreview" topLeftCell="A4" zoomScale="60" workbookViewId="0">
      <selection activeCell="G26" activeCellId="1" sqref="G12 G26"/>
    </sheetView>
  </sheetViews>
  <sheetFormatPr defaultColWidth="9.33203125" defaultRowHeight="13.9" x14ac:dyDescent="0.4"/>
  <cols>
    <col min="1" max="1" width="4.33203125" style="1" customWidth="1"/>
    <col min="2" max="2" width="6.33203125" style="1" customWidth="1"/>
    <col min="3" max="3" width="46.53125" style="1" customWidth="1"/>
    <col min="4" max="6" width="14.33203125" style="1" customWidth="1"/>
    <col min="7" max="7" width="17.53125" style="1" customWidth="1"/>
    <col min="8" max="8" width="15.6640625" style="1" customWidth="1"/>
    <col min="9" max="9" width="19.33203125" style="1" customWidth="1"/>
    <col min="10" max="10" width="15.6640625" style="1" customWidth="1"/>
    <col min="11" max="13" width="18.6640625" style="1" customWidth="1"/>
    <col min="14" max="14" width="20.53125" style="1" customWidth="1"/>
    <col min="15" max="15" width="18.6640625" style="1" customWidth="1"/>
    <col min="16" max="16" width="14.53125" style="1" customWidth="1"/>
    <col min="17" max="16384" width="9.33203125" style="1"/>
  </cols>
  <sheetData>
    <row r="1" spans="2:16" x14ac:dyDescent="0.4">
      <c r="B1" s="32"/>
    </row>
    <row r="2" spans="2:16" x14ac:dyDescent="0.4">
      <c r="B2" s="1875" t="str">
        <f>Index!B2</f>
        <v>Nidar Utilities Panvel LLP</v>
      </c>
      <c r="C2" s="1899"/>
      <c r="D2" s="1899"/>
      <c r="E2" s="1899"/>
      <c r="F2" s="1899"/>
      <c r="G2" s="1899"/>
      <c r="H2" s="1899"/>
      <c r="I2" s="1899"/>
      <c r="J2" s="1899"/>
      <c r="K2" s="1899"/>
      <c r="L2" s="1899"/>
      <c r="M2" s="1899"/>
      <c r="N2" s="1899"/>
      <c r="O2" s="1899"/>
    </row>
    <row r="3" spans="2:16" x14ac:dyDescent="0.4">
      <c r="B3" s="1875" t="s">
        <v>329</v>
      </c>
      <c r="C3" s="1875"/>
      <c r="D3" s="1875"/>
      <c r="E3" s="1875"/>
      <c r="F3" s="1875"/>
      <c r="G3" s="1875"/>
      <c r="H3" s="1875"/>
      <c r="I3" s="1875"/>
      <c r="J3" s="1875"/>
      <c r="K3" s="1875"/>
      <c r="L3" s="1875"/>
      <c r="M3" s="1875"/>
      <c r="N3" s="1875"/>
      <c r="O3" s="1875"/>
    </row>
    <row r="4" spans="2:16" x14ac:dyDescent="0.4">
      <c r="B4" s="1875" t="s">
        <v>451</v>
      </c>
      <c r="C4" s="1899"/>
      <c r="D4" s="1899"/>
      <c r="E4" s="1899"/>
      <c r="F4" s="1899"/>
      <c r="G4" s="1899"/>
      <c r="H4" s="1899"/>
      <c r="I4" s="1899"/>
      <c r="J4" s="1899"/>
      <c r="K4" s="1899"/>
      <c r="L4" s="1899"/>
      <c r="M4" s="1899"/>
      <c r="N4" s="1899"/>
      <c r="O4" s="1899"/>
    </row>
    <row r="5" spans="2:16" x14ac:dyDescent="0.4">
      <c r="B5" s="53"/>
      <c r="C5" s="190"/>
      <c r="D5" s="190"/>
      <c r="E5" s="190"/>
      <c r="F5" s="190"/>
      <c r="G5" s="190"/>
      <c r="H5" s="190"/>
      <c r="I5" s="190"/>
      <c r="J5" s="190"/>
      <c r="K5" s="190"/>
      <c r="L5" s="190"/>
      <c r="M5" s="190"/>
      <c r="N5" s="190"/>
      <c r="O5" s="190"/>
    </row>
    <row r="6" spans="2:16" x14ac:dyDescent="0.4">
      <c r="B6" s="53"/>
      <c r="C6" s="190"/>
      <c r="D6" s="190"/>
      <c r="E6" s="190"/>
      <c r="F6" s="190"/>
      <c r="G6" s="190"/>
      <c r="H6" s="190"/>
      <c r="I6" s="190"/>
      <c r="J6" s="190"/>
      <c r="K6" s="190"/>
      <c r="L6" s="190"/>
      <c r="M6" s="190"/>
      <c r="N6" s="190"/>
      <c r="O6" s="190"/>
    </row>
    <row r="7" spans="2:16" x14ac:dyDescent="0.4">
      <c r="B7" s="16" t="s">
        <v>109</v>
      </c>
      <c r="C7" s="38"/>
      <c r="D7" s="38"/>
      <c r="E7" s="38"/>
      <c r="F7" s="38"/>
      <c r="G7" s="38"/>
      <c r="H7" s="38"/>
      <c r="I7" s="38"/>
      <c r="J7" s="38"/>
      <c r="K7" s="38"/>
      <c r="L7" s="38"/>
      <c r="M7" s="38"/>
    </row>
    <row r="8" spans="2:16" x14ac:dyDescent="0.4">
      <c r="O8" s="15" t="s">
        <v>110</v>
      </c>
    </row>
    <row r="9" spans="2:16" s="57" customFormat="1" x14ac:dyDescent="0.35">
      <c r="B9" s="1938" t="s">
        <v>1</v>
      </c>
      <c r="C9" s="1984" t="s">
        <v>111</v>
      </c>
      <c r="D9" s="98" t="s">
        <v>196</v>
      </c>
      <c r="E9" s="98" t="s">
        <v>197</v>
      </c>
      <c r="F9" s="98" t="s">
        <v>198</v>
      </c>
      <c r="G9" s="98" t="s">
        <v>199</v>
      </c>
      <c r="H9" s="358" t="s">
        <v>112</v>
      </c>
      <c r="I9" s="358" t="s">
        <v>113</v>
      </c>
      <c r="J9" s="358" t="s">
        <v>114</v>
      </c>
      <c r="K9" s="1934" t="s">
        <v>1019</v>
      </c>
      <c r="L9" s="1935"/>
      <c r="M9" s="1935"/>
      <c r="N9" s="1935"/>
      <c r="O9" s="1936"/>
      <c r="P9" s="1940" t="s">
        <v>116</v>
      </c>
    </row>
    <row r="10" spans="2:16" s="57" customFormat="1" ht="27" x14ac:dyDescent="0.35">
      <c r="B10" s="1939"/>
      <c r="C10" s="1984"/>
      <c r="D10" s="1934" t="s">
        <v>1752</v>
      </c>
      <c r="E10" s="1935"/>
      <c r="F10" s="1935"/>
      <c r="G10" s="1935"/>
      <c r="H10" s="1935"/>
      <c r="I10" s="1936"/>
      <c r="J10" s="217" t="s">
        <v>121</v>
      </c>
      <c r="K10" s="217" t="s">
        <v>123</v>
      </c>
      <c r="L10" s="217" t="s">
        <v>124</v>
      </c>
      <c r="M10" s="217" t="s">
        <v>125</v>
      </c>
      <c r="N10" s="217" t="s">
        <v>126</v>
      </c>
      <c r="O10" s="217" t="s">
        <v>127</v>
      </c>
      <c r="P10" s="1940"/>
    </row>
    <row r="11" spans="2:16" s="51" customFormat="1" x14ac:dyDescent="0.35">
      <c r="B11" s="89">
        <v>1</v>
      </c>
      <c r="C11" s="86" t="s">
        <v>452</v>
      </c>
      <c r="D11" s="676">
        <f>'F4.2'!Q30+'F4.3'!J69</f>
        <v>61.921152593740338</v>
      </c>
      <c r="E11" s="676">
        <f>'F4.3'!J86</f>
        <v>7.5987914007637487</v>
      </c>
      <c r="F11" s="676">
        <f>+'F4.2'!T30</f>
        <v>2.5551867054546973</v>
      </c>
      <c r="G11" s="676">
        <f>+'F4.2'!U30</f>
        <v>0.65489264599999997</v>
      </c>
      <c r="H11" s="676">
        <f>+'F4.2'!V30</f>
        <v>4.9749910000000007E-3</v>
      </c>
      <c r="I11" s="676">
        <f>+'F4.2'!W30</f>
        <v>0.1283625645</v>
      </c>
      <c r="J11" s="676">
        <f>+'F4.2'!X30</f>
        <v>1.3065785E-2</v>
      </c>
      <c r="K11" s="1760">
        <f>+'F4.2'!Y30</f>
        <v>0.29597659999999998</v>
      </c>
      <c r="L11" s="1760">
        <f>+'F4.2'!Z30</f>
        <v>0.06</v>
      </c>
      <c r="M11" s="1760">
        <f>+'F4.2'!AA30</f>
        <v>0</v>
      </c>
      <c r="N11" s="1760">
        <f>+'F4.2'!AB30</f>
        <v>0</v>
      </c>
      <c r="O11" s="1760">
        <f>+'F4.2'!AC30</f>
        <v>0</v>
      </c>
      <c r="P11" s="91"/>
    </row>
    <row r="12" spans="2:16" s="51" customFormat="1" x14ac:dyDescent="0.35">
      <c r="B12" s="89"/>
      <c r="C12" s="86"/>
      <c r="D12" s="676"/>
      <c r="E12" s="676"/>
      <c r="F12" s="676"/>
      <c r="G12" s="1166"/>
      <c r="H12" s="676"/>
      <c r="I12" s="676"/>
      <c r="J12" s="676"/>
      <c r="K12" s="1765"/>
      <c r="L12" s="1765"/>
      <c r="M12" s="1765"/>
      <c r="N12" s="1765"/>
      <c r="O12" s="1765"/>
      <c r="P12" s="91"/>
    </row>
    <row r="13" spans="2:16" s="51" customFormat="1" x14ac:dyDescent="0.35">
      <c r="B13" s="89">
        <f>B11+1</f>
        <v>2</v>
      </c>
      <c r="C13" s="52" t="s">
        <v>453</v>
      </c>
      <c r="D13" s="763">
        <f>+'F4.2'!AR30</f>
        <v>55.546881447500006</v>
      </c>
      <c r="E13" s="763">
        <f>+'F4.2'!AS30</f>
        <v>11.561528951458783</v>
      </c>
      <c r="F13" s="763">
        <f>+'F4.2'!AT30</f>
        <v>4.9667203009999996</v>
      </c>
      <c r="G13" s="763">
        <f>+'F4.2'!AU30</f>
        <v>0.65489264599999997</v>
      </c>
      <c r="H13" s="763">
        <f>+'F4.2'!AV30</f>
        <v>4.9749910000000007E-3</v>
      </c>
      <c r="I13" s="763">
        <f>+'F4.2'!AW30</f>
        <v>0.1283625645</v>
      </c>
      <c r="J13" s="763">
        <f>+'F4.2'!AX30</f>
        <v>1.3065785E-2</v>
      </c>
      <c r="K13" s="1766">
        <f>+'F4.2'!AY30</f>
        <v>0.29597659999999998</v>
      </c>
      <c r="L13" s="1766">
        <f>+'F4.2'!AZ30</f>
        <v>0.06</v>
      </c>
      <c r="M13" s="1766">
        <f>+'F4.2'!BA30</f>
        <v>0</v>
      </c>
      <c r="N13" s="1766">
        <f>+'F4.2'!BB30</f>
        <v>0</v>
      </c>
      <c r="O13" s="1766">
        <f>+'F4.2'!BC30</f>
        <v>0</v>
      </c>
      <c r="P13" s="52"/>
    </row>
    <row r="14" spans="2:16" s="51" customFormat="1" x14ac:dyDescent="0.35">
      <c r="B14" s="89">
        <f>B13+1</f>
        <v>3</v>
      </c>
      <c r="C14" s="52" t="s">
        <v>454</v>
      </c>
      <c r="D14" s="763"/>
      <c r="E14" s="763"/>
      <c r="F14" s="763"/>
      <c r="G14" s="1167"/>
      <c r="H14" s="763"/>
      <c r="I14" s="1167"/>
      <c r="J14" s="1167"/>
      <c r="K14" s="1766"/>
      <c r="L14" s="1766"/>
      <c r="M14" s="1766"/>
      <c r="N14" s="1767"/>
      <c r="O14" s="1766"/>
      <c r="P14" s="52"/>
    </row>
    <row r="15" spans="2:16" s="51" customFormat="1" x14ac:dyDescent="0.35">
      <c r="B15" s="89">
        <f>B14+1</f>
        <v>4</v>
      </c>
      <c r="C15" s="52" t="s">
        <v>455</v>
      </c>
      <c r="D15" s="1157">
        <f t="shared" ref="D15:O15" si="0">+D13+D14</f>
        <v>55.546881447500006</v>
      </c>
      <c r="E15" s="1157">
        <f t="shared" si="0"/>
        <v>11.561528951458783</v>
      </c>
      <c r="F15" s="1157">
        <f t="shared" si="0"/>
        <v>4.9667203009999996</v>
      </c>
      <c r="G15" s="1157">
        <f t="shared" si="0"/>
        <v>0.65489264599999997</v>
      </c>
      <c r="H15" s="1157">
        <f t="shared" si="0"/>
        <v>4.9749910000000007E-3</v>
      </c>
      <c r="I15" s="1157">
        <f t="shared" si="0"/>
        <v>0.1283625645</v>
      </c>
      <c r="J15" s="1157">
        <f t="shared" si="0"/>
        <v>1.3065785E-2</v>
      </c>
      <c r="K15" s="1157">
        <f t="shared" si="0"/>
        <v>0.29597659999999998</v>
      </c>
      <c r="L15" s="1157">
        <f t="shared" si="0"/>
        <v>0.06</v>
      </c>
      <c r="M15" s="1157">
        <f t="shared" si="0"/>
        <v>0</v>
      </c>
      <c r="N15" s="1157">
        <f t="shared" si="0"/>
        <v>0</v>
      </c>
      <c r="O15" s="1157">
        <f t="shared" si="0"/>
        <v>0</v>
      </c>
      <c r="P15" s="52"/>
    </row>
    <row r="16" spans="2:16" s="39" customFormat="1" x14ac:dyDescent="0.35">
      <c r="B16" s="108"/>
      <c r="C16" s="170"/>
      <c r="D16" s="170"/>
      <c r="E16" s="170"/>
      <c r="F16" s="170"/>
      <c r="G16" s="171"/>
      <c r="H16" s="83"/>
      <c r="I16" s="83"/>
      <c r="J16" s="83"/>
      <c r="K16" s="83"/>
      <c r="L16" s="83"/>
      <c r="M16" s="83"/>
      <c r="N16" s="83"/>
      <c r="O16" s="83"/>
    </row>
    <row r="17" spans="2:16" x14ac:dyDescent="0.4">
      <c r="B17" s="10" t="s">
        <v>148</v>
      </c>
    </row>
    <row r="18" spans="2:16" x14ac:dyDescent="0.4">
      <c r="B18" s="10"/>
      <c r="C18" s="1" t="s">
        <v>456</v>
      </c>
    </row>
    <row r="20" spans="2:16" x14ac:dyDescent="0.4">
      <c r="B20" s="16" t="s">
        <v>149</v>
      </c>
    </row>
    <row r="21" spans="2:16" x14ac:dyDescent="0.4">
      <c r="P21" s="15" t="s">
        <v>110</v>
      </c>
    </row>
    <row r="22" spans="2:16" s="57" customFormat="1" x14ac:dyDescent="0.35">
      <c r="B22" s="1938" t="s">
        <v>1</v>
      </c>
      <c r="C22" s="1984" t="s">
        <v>111</v>
      </c>
      <c r="D22" s="98" t="s">
        <v>196</v>
      </c>
      <c r="E22" s="98" t="s">
        <v>197</v>
      </c>
      <c r="F22" s="98" t="s">
        <v>198</v>
      </c>
      <c r="G22" s="98" t="s">
        <v>199</v>
      </c>
      <c r="H22" s="358" t="s">
        <v>112</v>
      </c>
      <c r="I22" s="358" t="s">
        <v>113</v>
      </c>
      <c r="J22" s="358" t="s">
        <v>114</v>
      </c>
      <c r="K22" s="1934" t="s">
        <v>1019</v>
      </c>
      <c r="L22" s="1935"/>
      <c r="M22" s="1935"/>
      <c r="N22" s="1935"/>
      <c r="O22" s="1936"/>
      <c r="P22" s="1940" t="s">
        <v>116</v>
      </c>
    </row>
    <row r="23" spans="2:16" s="57" customFormat="1" ht="27" x14ac:dyDescent="0.35">
      <c r="B23" s="1939"/>
      <c r="C23" s="1984"/>
      <c r="D23" s="1934" t="s">
        <v>1752</v>
      </c>
      <c r="E23" s="1935"/>
      <c r="F23" s="1935"/>
      <c r="G23" s="1935"/>
      <c r="H23" s="1935"/>
      <c r="I23" s="1936"/>
      <c r="J23" s="217" t="s">
        <v>121</v>
      </c>
      <c r="K23" s="217" t="s">
        <v>123</v>
      </c>
      <c r="L23" s="217" t="s">
        <v>124</v>
      </c>
      <c r="M23" s="217" t="s">
        <v>125</v>
      </c>
      <c r="N23" s="217" t="s">
        <v>126</v>
      </c>
      <c r="O23" s="217" t="s">
        <v>127</v>
      </c>
      <c r="P23" s="1940"/>
    </row>
    <row r="24" spans="2:16" s="51" customFormat="1" x14ac:dyDescent="0.35">
      <c r="B24" s="89">
        <v>1</v>
      </c>
      <c r="C24" s="86" t="s">
        <v>452</v>
      </c>
      <c r="D24" s="676">
        <f>+'F4.2'!Q56+'F4.2'!R56</f>
        <v>2.0161088354519965</v>
      </c>
      <c r="E24" s="676">
        <f>+'F4.2'!S56</f>
        <v>1.8434010971436265E-2</v>
      </c>
      <c r="F24" s="676">
        <f>+'F4.2'!T56</f>
        <v>1.0320912E-2</v>
      </c>
      <c r="G24" s="676">
        <f>+'F4.2'!U56</f>
        <v>0.306264429</v>
      </c>
      <c r="H24" s="676">
        <f>+'F4.2'!V56</f>
        <v>1.2284243990000001</v>
      </c>
      <c r="I24" s="676">
        <f>+'F4.2'!W56</f>
        <v>4.7050827499999996E-2</v>
      </c>
      <c r="J24" s="676">
        <f>+'F4.2'!X56</f>
        <v>2.0853785E-2</v>
      </c>
      <c r="K24" s="1760">
        <f>+'F4.2'!Y56</f>
        <v>0.10798000000000001</v>
      </c>
      <c r="L24" s="1760">
        <f>+'F4.2'!Z56</f>
        <v>0.21942249999999999</v>
      </c>
      <c r="M24" s="1760">
        <f>+'F4.2'!AA56</f>
        <v>0.2948769</v>
      </c>
      <c r="N24" s="1760">
        <f>+'F4.2'!AB56</f>
        <v>0.43267509999999998</v>
      </c>
      <c r="O24" s="1760">
        <f>+'F4.2'!AC56</f>
        <v>0.45153019999999999</v>
      </c>
      <c r="P24" s="91"/>
    </row>
    <row r="25" spans="2:16" s="51" customFormat="1" x14ac:dyDescent="0.35">
      <c r="B25" s="89"/>
      <c r="C25" s="86"/>
      <c r="D25" s="86"/>
      <c r="E25" s="86"/>
      <c r="F25" s="86"/>
      <c r="G25" s="90"/>
      <c r="H25" s="86"/>
      <c r="I25" s="86"/>
      <c r="J25" s="86"/>
      <c r="K25" s="1765"/>
      <c r="L25" s="1765"/>
      <c r="M25" s="1765"/>
      <c r="N25" s="1765"/>
      <c r="O25" s="1765"/>
      <c r="P25" s="91"/>
    </row>
    <row r="26" spans="2:16" s="51" customFormat="1" x14ac:dyDescent="0.35">
      <c r="B26" s="89">
        <f>B24+1</f>
        <v>2</v>
      </c>
      <c r="C26" s="52" t="s">
        <v>453</v>
      </c>
      <c r="D26" s="763">
        <f>+'F4.2'!AR56</f>
        <v>0.76591354750000007</v>
      </c>
      <c r="E26" s="763">
        <f>+'F4.2'!AS56</f>
        <v>1.2686292989234327</v>
      </c>
      <c r="F26" s="763">
        <f>+'F4.2'!AT56</f>
        <v>1.0320912E-2</v>
      </c>
      <c r="G26" s="763">
        <f>+'F4.2'!AU56</f>
        <v>0.306264429</v>
      </c>
      <c r="H26" s="763">
        <f>+'F4.2'!AV56</f>
        <v>1.2284243990000001</v>
      </c>
      <c r="I26" s="763">
        <f>+'F4.2'!AW56</f>
        <v>4.7050827499999996E-2</v>
      </c>
      <c r="J26" s="763">
        <f>+'F4.2'!AX56</f>
        <v>2.0853785E-2</v>
      </c>
      <c r="K26" s="1766">
        <f>+'F4.2'!AY56</f>
        <v>0.10798000000000001</v>
      </c>
      <c r="L26" s="1766">
        <f>+'F4.2'!AZ56</f>
        <v>0.21942249999999999</v>
      </c>
      <c r="M26" s="1766">
        <f>+'F4.2'!BA56</f>
        <v>0.2948769</v>
      </c>
      <c r="N26" s="1766">
        <f>+'F4.2'!BB56</f>
        <v>0.43267509999999998</v>
      </c>
      <c r="O26" s="1766">
        <f>+'F4.2'!BC56</f>
        <v>0.45153019999999999</v>
      </c>
      <c r="P26" s="52"/>
    </row>
    <row r="27" spans="2:16" s="51" customFormat="1" x14ac:dyDescent="0.35">
      <c r="B27" s="89">
        <f>B26+1</f>
        <v>3</v>
      </c>
      <c r="C27" s="52" t="s">
        <v>454</v>
      </c>
      <c r="D27" s="52"/>
      <c r="E27" s="52"/>
      <c r="F27" s="52"/>
      <c r="G27" s="202"/>
      <c r="H27" s="52"/>
      <c r="I27" s="202"/>
      <c r="J27" s="202"/>
      <c r="K27" s="52"/>
      <c r="L27" s="52"/>
      <c r="M27" s="52"/>
      <c r="N27" s="202"/>
      <c r="O27" s="52"/>
      <c r="P27" s="52"/>
    </row>
    <row r="28" spans="2:16" s="51" customFormat="1" x14ac:dyDescent="0.35">
      <c r="B28" s="89">
        <f>B27+1</f>
        <v>4</v>
      </c>
      <c r="C28" s="94" t="s">
        <v>455</v>
      </c>
      <c r="D28" s="1157">
        <f>+D26+D27</f>
        <v>0.76591354750000007</v>
      </c>
      <c r="E28" s="1157">
        <f t="shared" ref="E28:O28" si="1">+E26+E27</f>
        <v>1.2686292989234327</v>
      </c>
      <c r="F28" s="1157">
        <f t="shared" si="1"/>
        <v>1.0320912E-2</v>
      </c>
      <c r="G28" s="1157">
        <f t="shared" si="1"/>
        <v>0.306264429</v>
      </c>
      <c r="H28" s="1157">
        <f t="shared" si="1"/>
        <v>1.2284243990000001</v>
      </c>
      <c r="I28" s="1157">
        <f t="shared" si="1"/>
        <v>4.7050827499999996E-2</v>
      </c>
      <c r="J28" s="1157">
        <f t="shared" si="1"/>
        <v>2.0853785E-2</v>
      </c>
      <c r="K28" s="1157">
        <f t="shared" si="1"/>
        <v>0.10798000000000001</v>
      </c>
      <c r="L28" s="1157">
        <f t="shared" si="1"/>
        <v>0.21942249999999999</v>
      </c>
      <c r="M28" s="1157">
        <f t="shared" si="1"/>
        <v>0.2948769</v>
      </c>
      <c r="N28" s="1157">
        <f t="shared" si="1"/>
        <v>0.43267509999999998</v>
      </c>
      <c r="O28" s="1157">
        <f t="shared" si="1"/>
        <v>0.45153019999999999</v>
      </c>
      <c r="P28" s="52"/>
    </row>
    <row r="29" spans="2:16" s="39" customFormat="1" x14ac:dyDescent="0.35">
      <c r="B29" s="108"/>
      <c r="C29" s="170"/>
      <c r="D29" s="170"/>
      <c r="E29" s="170"/>
      <c r="F29" s="170"/>
      <c r="G29" s="171"/>
      <c r="H29" s="83"/>
      <c r="I29" s="83"/>
      <c r="J29" s="83"/>
      <c r="K29" s="83"/>
      <c r="L29" s="83"/>
      <c r="M29" s="83"/>
      <c r="N29" s="83"/>
      <c r="O29" s="83"/>
    </row>
    <row r="30" spans="2:16" x14ac:dyDescent="0.4">
      <c r="B30" s="10" t="s">
        <v>148</v>
      </c>
    </row>
    <row r="31" spans="2:16" x14ac:dyDescent="0.4">
      <c r="B31" s="10"/>
      <c r="C31" s="1" t="s">
        <v>456</v>
      </c>
    </row>
    <row r="34" spans="4:15" x14ac:dyDescent="0.4">
      <c r="D34" s="560"/>
      <c r="E34" s="617"/>
      <c r="F34" s="617"/>
      <c r="G34" s="617"/>
      <c r="H34" s="617"/>
      <c r="I34" s="617"/>
      <c r="J34" s="617"/>
      <c r="K34" s="617"/>
      <c r="L34" s="617"/>
      <c r="M34" s="617"/>
      <c r="N34" s="617"/>
      <c r="O34" s="617"/>
    </row>
    <row r="35" spans="4:15" x14ac:dyDescent="0.4">
      <c r="D35" s="560"/>
      <c r="E35" s="560"/>
      <c r="F35" s="560"/>
      <c r="G35" s="560"/>
      <c r="H35" s="560"/>
      <c r="I35" s="560"/>
      <c r="J35" s="560"/>
      <c r="K35" s="560"/>
      <c r="L35" s="560"/>
      <c r="M35" s="560"/>
      <c r="N35" s="560"/>
      <c r="O35" s="560"/>
    </row>
  </sheetData>
  <mergeCells count="13">
    <mergeCell ref="P22:P23"/>
    <mergeCell ref="P9:P10"/>
    <mergeCell ref="B22:B23"/>
    <mergeCell ref="C22:C23"/>
    <mergeCell ref="K9:O9"/>
    <mergeCell ref="D10:I10"/>
    <mergeCell ref="K22:O22"/>
    <mergeCell ref="D23:I23"/>
    <mergeCell ref="B2:O2"/>
    <mergeCell ref="B3:O3"/>
    <mergeCell ref="B4:O4"/>
    <mergeCell ref="B9:B10"/>
    <mergeCell ref="C9:C10"/>
  </mergeCells>
  <pageMargins left="1.02" right="0.25" top="1" bottom="1" header="0.25" footer="0.25"/>
  <pageSetup paperSize="9" scale="48" orientation="landscape" r:id="rId1"/>
  <headerFooter alignWithMargins="0">
    <oddHeader>&amp;F</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618"/>
  <sheetViews>
    <sheetView showGridLines="0" view="pageBreakPreview" zoomScale="80" zoomScaleNormal="70" workbookViewId="0">
      <selection activeCell="F318" sqref="F318"/>
    </sheetView>
  </sheetViews>
  <sheetFormatPr defaultColWidth="9.1328125" defaultRowHeight="12.75" x14ac:dyDescent="0.35"/>
  <cols>
    <col min="1" max="1" width="4.46484375" style="405" customWidth="1"/>
    <col min="2" max="2" width="42.1328125" style="405" customWidth="1"/>
    <col min="3" max="3" width="25.46484375" style="405" customWidth="1"/>
    <col min="4" max="4" width="31.33203125" style="405" customWidth="1"/>
    <col min="5" max="5" width="15.6640625" style="405" customWidth="1"/>
    <col min="6" max="6" width="43.33203125" style="405" customWidth="1"/>
    <col min="7" max="7" width="15.33203125" style="405" bestFit="1" customWidth="1"/>
    <col min="8" max="8" width="12.19921875" style="405" bestFit="1" customWidth="1"/>
    <col min="9" max="9" width="14.33203125" style="405" bestFit="1" customWidth="1"/>
    <col min="10" max="10" width="13.6640625" style="405" bestFit="1" customWidth="1"/>
    <col min="11" max="11" width="15.19921875" style="405" bestFit="1" customWidth="1"/>
    <col min="12" max="12" width="8.19921875" style="405" bestFit="1" customWidth="1"/>
    <col min="13" max="13" width="15.46484375" style="405" customWidth="1"/>
    <col min="14" max="14" width="17.86328125" style="405" customWidth="1"/>
    <col min="15" max="18" width="16.46484375" style="405" customWidth="1"/>
    <col min="19" max="19" width="21.33203125" style="405" customWidth="1"/>
    <col min="20" max="20" width="12.6640625" style="405" customWidth="1"/>
    <col min="21" max="21" width="14" style="405" customWidth="1"/>
    <col min="22" max="24" width="12.6640625" style="405" customWidth="1"/>
    <col min="25" max="25" width="15.33203125" style="405" customWidth="1"/>
    <col min="26" max="26" width="12.46484375" style="405" customWidth="1"/>
    <col min="27" max="28" width="13.46484375" style="405" customWidth="1"/>
    <col min="29" max="16384" width="9.1328125" style="405"/>
  </cols>
  <sheetData>
    <row r="1" spans="2:28" ht="15.75" customHeight="1" x14ac:dyDescent="0.35"/>
    <row r="2" spans="2:28" ht="15" customHeight="1" x14ac:dyDescent="0.35">
      <c r="B2" s="2019" t="str">
        <f>Index!B2</f>
        <v>Nidar Utilities Panvel LLP</v>
      </c>
      <c r="C2" s="2019"/>
      <c r="D2" s="2019"/>
      <c r="E2" s="2019"/>
      <c r="F2" s="2019"/>
      <c r="G2" s="2019"/>
      <c r="H2" s="2019"/>
      <c r="I2" s="2019"/>
      <c r="J2" s="2019"/>
      <c r="K2" s="2019"/>
      <c r="L2" s="2019"/>
      <c r="M2" s="2019"/>
      <c r="N2" s="2019"/>
      <c r="O2" s="2019"/>
      <c r="P2" s="2019"/>
      <c r="Q2" s="2019"/>
      <c r="R2" s="2019"/>
      <c r="S2" s="2019"/>
    </row>
    <row r="3" spans="2:28" ht="15" customHeight="1" x14ac:dyDescent="0.35">
      <c r="B3" s="2020" t="s">
        <v>340</v>
      </c>
      <c r="C3" s="2020"/>
      <c r="D3" s="2020"/>
      <c r="E3" s="2020"/>
      <c r="F3" s="2020"/>
      <c r="G3" s="2020"/>
      <c r="H3" s="2020"/>
      <c r="I3" s="2020"/>
      <c r="J3" s="2020"/>
      <c r="K3" s="2020"/>
      <c r="L3" s="2020"/>
      <c r="M3" s="2020"/>
      <c r="N3" s="2020"/>
      <c r="O3" s="2020"/>
      <c r="P3" s="2020"/>
      <c r="Q3" s="2020"/>
      <c r="R3" s="2020"/>
      <c r="S3" s="2020"/>
      <c r="T3" s="460"/>
      <c r="U3" s="460"/>
      <c r="V3" s="460"/>
      <c r="W3" s="460"/>
    </row>
    <row r="4" spans="2:28" ht="15" customHeight="1" x14ac:dyDescent="0.35">
      <c r="B4" s="2021" t="s">
        <v>457</v>
      </c>
      <c r="C4" s="2021"/>
      <c r="D4" s="2021"/>
      <c r="E4" s="2021"/>
      <c r="F4" s="2021"/>
      <c r="G4" s="2021"/>
      <c r="H4" s="2021"/>
      <c r="I4" s="2021"/>
      <c r="J4" s="2021"/>
      <c r="K4" s="2021"/>
      <c r="L4" s="2021"/>
      <c r="M4" s="2021"/>
      <c r="N4" s="2021"/>
      <c r="O4" s="2021"/>
      <c r="P4" s="2021"/>
      <c r="Q4" s="2021"/>
      <c r="R4" s="2021"/>
      <c r="S4" s="2021"/>
      <c r="T4" s="460"/>
      <c r="U4" s="460"/>
      <c r="V4" s="460"/>
      <c r="W4" s="460"/>
    </row>
    <row r="5" spans="2:28" x14ac:dyDescent="0.35">
      <c r="B5" s="994"/>
      <c r="C5" s="995"/>
      <c r="D5" s="995"/>
      <c r="E5" s="995"/>
      <c r="F5" s="460"/>
      <c r="G5" s="460"/>
      <c r="H5" s="460"/>
      <c r="I5" s="460"/>
      <c r="J5" s="460"/>
      <c r="K5" s="460"/>
      <c r="L5" s="460"/>
      <c r="M5" s="460"/>
      <c r="N5" s="460"/>
      <c r="O5" s="460"/>
      <c r="P5" s="460"/>
      <c r="Q5" s="460"/>
      <c r="R5" s="460"/>
      <c r="S5" s="460"/>
      <c r="T5" s="460"/>
      <c r="U5" s="460"/>
      <c r="V5" s="460"/>
      <c r="W5" s="460"/>
      <c r="X5" s="460"/>
      <c r="Y5" s="460"/>
      <c r="Z5" s="460"/>
      <c r="AA5" s="460"/>
      <c r="AB5" s="460"/>
    </row>
    <row r="6" spans="2:28" x14ac:dyDescent="0.35">
      <c r="B6" s="996" t="s">
        <v>109</v>
      </c>
      <c r="C6" s="995"/>
      <c r="D6" s="995"/>
      <c r="E6" s="995"/>
      <c r="F6" s="460"/>
      <c r="G6" s="460"/>
      <c r="H6" s="460"/>
      <c r="I6" s="460"/>
      <c r="J6" s="460"/>
      <c r="K6" s="460"/>
      <c r="L6" s="460"/>
      <c r="M6" s="460"/>
      <c r="N6" s="460"/>
      <c r="O6" s="460"/>
      <c r="P6" s="460"/>
      <c r="Q6" s="460"/>
      <c r="R6" s="460"/>
      <c r="S6" s="460"/>
      <c r="T6" s="460"/>
      <c r="U6" s="460"/>
      <c r="V6" s="460"/>
      <c r="W6" s="460"/>
      <c r="X6" s="460"/>
      <c r="Y6" s="460"/>
      <c r="Z6" s="460"/>
      <c r="AA6" s="460"/>
      <c r="AB6" s="460"/>
    </row>
    <row r="7" spans="2:28" x14ac:dyDescent="0.35">
      <c r="B7" s="994"/>
      <c r="C7" s="995"/>
      <c r="D7" s="995"/>
      <c r="E7" s="995"/>
      <c r="F7" s="460"/>
      <c r="G7" s="460"/>
      <c r="H7" s="460"/>
      <c r="I7" s="460"/>
      <c r="J7" s="460"/>
      <c r="K7" s="460"/>
      <c r="L7" s="460"/>
      <c r="M7" s="460"/>
      <c r="N7" s="460"/>
      <c r="O7" s="460"/>
      <c r="P7" s="460"/>
      <c r="Q7" s="460"/>
      <c r="R7" s="460"/>
      <c r="S7" s="460"/>
      <c r="T7" s="460"/>
      <c r="U7" s="460"/>
      <c r="V7" s="460"/>
      <c r="W7" s="460"/>
      <c r="X7" s="460"/>
      <c r="Y7" s="460"/>
      <c r="Z7" s="460"/>
      <c r="AA7" s="460"/>
      <c r="AB7" s="460"/>
    </row>
    <row r="8" spans="2:28" ht="15.75" customHeight="1" x14ac:dyDescent="0.35">
      <c r="B8" s="995" t="s">
        <v>458</v>
      </c>
      <c r="F8" s="460"/>
      <c r="G8" s="460"/>
      <c r="H8" s="460"/>
      <c r="I8" s="460"/>
      <c r="J8" s="460"/>
      <c r="K8" s="460"/>
      <c r="L8" s="460"/>
      <c r="M8" s="460"/>
      <c r="N8" s="460"/>
      <c r="O8" s="460"/>
      <c r="P8" s="460"/>
      <c r="Q8" s="460"/>
      <c r="R8" s="460"/>
      <c r="S8" s="460"/>
      <c r="T8" s="460"/>
      <c r="U8" s="460"/>
      <c r="V8" s="460"/>
      <c r="W8" s="460"/>
      <c r="X8" s="460"/>
      <c r="Y8" s="460"/>
      <c r="Z8" s="460"/>
      <c r="AA8" s="460"/>
      <c r="AB8" s="460"/>
    </row>
    <row r="9" spans="2:28" x14ac:dyDescent="0.35">
      <c r="B9" s="994"/>
      <c r="C9" s="994"/>
      <c r="D9" s="994"/>
      <c r="E9" s="994"/>
      <c r="F9" s="460"/>
      <c r="G9" s="460"/>
      <c r="H9" s="460"/>
      <c r="I9" s="460"/>
      <c r="J9" s="460"/>
      <c r="K9" s="460"/>
      <c r="L9" s="460"/>
      <c r="M9" s="460"/>
      <c r="S9" s="415" t="s">
        <v>110</v>
      </c>
      <c r="T9" s="415"/>
      <c r="U9" s="415"/>
      <c r="V9" s="415"/>
      <c r="W9" s="415"/>
      <c r="X9" s="415"/>
      <c r="Y9" s="460"/>
      <c r="Z9" s="460"/>
      <c r="AA9" s="460"/>
    </row>
    <row r="10" spans="2:28" s="461" customFormat="1" ht="14.1" customHeight="1" x14ac:dyDescent="0.35">
      <c r="B10" s="2027" t="s">
        <v>459</v>
      </c>
      <c r="C10" s="2027" t="s">
        <v>460</v>
      </c>
      <c r="D10" s="2027" t="s">
        <v>461</v>
      </c>
      <c r="E10" s="2027" t="s">
        <v>462</v>
      </c>
      <c r="F10" s="2027" t="s">
        <v>463</v>
      </c>
      <c r="G10" s="2030" t="s">
        <v>464</v>
      </c>
      <c r="H10" s="2031"/>
      <c r="I10" s="2032"/>
      <c r="J10" s="2030" t="s">
        <v>465</v>
      </c>
      <c r="K10" s="2031"/>
      <c r="L10" s="2032"/>
      <c r="M10" s="2030" t="s">
        <v>466</v>
      </c>
      <c r="N10" s="2031"/>
      <c r="O10" s="2031"/>
      <c r="P10" s="2031"/>
      <c r="Q10" s="2031"/>
      <c r="R10" s="2031"/>
      <c r="S10" s="2032"/>
    </row>
    <row r="11" spans="2:28" s="461" customFormat="1" x14ac:dyDescent="0.35">
      <c r="B11" s="2039"/>
      <c r="C11" s="2039"/>
      <c r="D11" s="2039"/>
      <c r="E11" s="2039"/>
      <c r="F11" s="2039"/>
      <c r="G11" s="2033" t="s">
        <v>467</v>
      </c>
      <c r="H11" s="2033" t="s">
        <v>468</v>
      </c>
      <c r="I11" s="2033" t="s">
        <v>469</v>
      </c>
      <c r="J11" s="2033" t="s">
        <v>467</v>
      </c>
      <c r="K11" s="2033" t="s">
        <v>468</v>
      </c>
      <c r="L11" s="2033" t="s">
        <v>186</v>
      </c>
      <c r="M11" s="2027" t="s">
        <v>1391</v>
      </c>
      <c r="N11" s="2027" t="s">
        <v>1392</v>
      </c>
      <c r="O11" s="2035" t="s">
        <v>470</v>
      </c>
      <c r="P11" s="2036"/>
      <c r="Q11" s="2036"/>
      <c r="R11" s="2036"/>
      <c r="S11" s="2037"/>
    </row>
    <row r="12" spans="2:28" s="461" customFormat="1" ht="28.5" customHeight="1" x14ac:dyDescent="0.35">
      <c r="B12" s="2028"/>
      <c r="C12" s="2028"/>
      <c r="D12" s="2028"/>
      <c r="E12" s="2028"/>
      <c r="F12" s="2028"/>
      <c r="G12" s="2034"/>
      <c r="H12" s="2034"/>
      <c r="I12" s="2034"/>
      <c r="J12" s="2034"/>
      <c r="K12" s="2034"/>
      <c r="L12" s="2034"/>
      <c r="M12" s="2028"/>
      <c r="N12" s="2028"/>
      <c r="O12" s="1001" t="s">
        <v>471</v>
      </c>
      <c r="P12" s="997" t="s">
        <v>472</v>
      </c>
      <c r="Q12" s="997" t="s">
        <v>473</v>
      </c>
      <c r="R12" s="997" t="s">
        <v>474</v>
      </c>
      <c r="S12" s="997" t="s">
        <v>475</v>
      </c>
    </row>
    <row r="13" spans="2:28" x14ac:dyDescent="0.35">
      <c r="B13" s="1002"/>
      <c r="C13" s="1003"/>
      <c r="D13" s="1003"/>
      <c r="E13" s="1003"/>
      <c r="F13" s="1003"/>
      <c r="G13" s="1003"/>
      <c r="H13" s="1003"/>
      <c r="I13" s="1003"/>
      <c r="J13" s="1003"/>
      <c r="K13" s="1003"/>
      <c r="L13" s="1003"/>
      <c r="M13" s="1003"/>
      <c r="N13" s="1003"/>
      <c r="O13" s="1004"/>
      <c r="P13" s="1004"/>
      <c r="Q13" s="1004"/>
      <c r="R13" s="1004"/>
      <c r="S13" s="1005"/>
    </row>
    <row r="14" spans="2:28" hidden="1" x14ac:dyDescent="0.35">
      <c r="B14" s="779" t="s">
        <v>1277</v>
      </c>
      <c r="C14" s="1003"/>
      <c r="D14" s="1003"/>
      <c r="E14" s="1003"/>
      <c r="F14" s="1003"/>
      <c r="G14" s="1003"/>
      <c r="H14" s="1003"/>
      <c r="I14" s="1003"/>
      <c r="J14" s="1003"/>
      <c r="K14" s="1003"/>
      <c r="L14" s="1003"/>
      <c r="M14" s="1003"/>
      <c r="N14" s="1003"/>
      <c r="O14" s="1004"/>
      <c r="P14" s="1004"/>
      <c r="Q14" s="1004"/>
      <c r="R14" s="1004"/>
      <c r="S14" s="1005"/>
    </row>
    <row r="15" spans="2:28" hidden="1" x14ac:dyDescent="0.35">
      <c r="B15" s="1006" t="s">
        <v>476</v>
      </c>
      <c r="C15" s="1003"/>
      <c r="D15" s="1003"/>
      <c r="E15" s="1003"/>
      <c r="F15" s="1003"/>
      <c r="G15" s="1003"/>
      <c r="H15" s="1003"/>
      <c r="I15" s="1003"/>
      <c r="J15" s="1003"/>
      <c r="K15" s="1003"/>
      <c r="L15" s="1003"/>
      <c r="M15" s="1003"/>
      <c r="N15" s="1003"/>
      <c r="O15" s="1004"/>
      <c r="P15" s="1004"/>
      <c r="Q15" s="1004"/>
      <c r="R15" s="1004"/>
      <c r="S15" s="1005"/>
    </row>
    <row r="16" spans="2:28" hidden="1" x14ac:dyDescent="0.35">
      <c r="B16" s="1007" t="s">
        <v>477</v>
      </c>
      <c r="C16" s="1003"/>
      <c r="D16" s="1003"/>
      <c r="E16" s="1003"/>
      <c r="F16" s="1003"/>
      <c r="G16" s="1003"/>
      <c r="H16" s="1003"/>
      <c r="I16" s="1003"/>
      <c r="J16" s="1003"/>
      <c r="K16" s="1003"/>
      <c r="L16" s="1003"/>
      <c r="M16" s="1003"/>
      <c r="N16" s="1003"/>
      <c r="O16" s="1004"/>
      <c r="P16" s="1004"/>
      <c r="Q16" s="1004"/>
      <c r="R16" s="1004"/>
      <c r="S16" s="1005"/>
    </row>
    <row r="17" spans="2:19" hidden="1" x14ac:dyDescent="0.35">
      <c r="B17" s="1008"/>
      <c r="C17" s="1009"/>
      <c r="D17" s="1003"/>
      <c r="E17" s="1010"/>
      <c r="F17" s="1003"/>
      <c r="G17" s="1010"/>
      <c r="H17" s="1003"/>
      <c r="I17" s="1010"/>
      <c r="J17" s="1003"/>
      <c r="K17" s="1003"/>
      <c r="L17" s="1011"/>
      <c r="M17" s="1003"/>
      <c r="N17" s="1012"/>
      <c r="O17" s="1013"/>
      <c r="P17" s="1004"/>
      <c r="Q17" s="1004"/>
      <c r="R17" s="1004"/>
      <c r="S17" s="1005"/>
    </row>
    <row r="18" spans="2:19" hidden="1" x14ac:dyDescent="0.35">
      <c r="B18" s="1008"/>
      <c r="C18" s="1009"/>
      <c r="D18" s="1003"/>
      <c r="E18" s="1010"/>
      <c r="F18" s="1003"/>
      <c r="G18" s="1010"/>
      <c r="H18" s="1003"/>
      <c r="I18" s="1010"/>
      <c r="J18" s="1003"/>
      <c r="K18" s="1003"/>
      <c r="L18" s="1011"/>
      <c r="M18" s="1003"/>
      <c r="N18" s="1012"/>
      <c r="O18" s="1013"/>
      <c r="P18" s="1004"/>
      <c r="Q18" s="1004"/>
      <c r="R18" s="1004"/>
      <c r="S18" s="1005"/>
    </row>
    <row r="19" spans="2:19" hidden="1" x14ac:dyDescent="0.35">
      <c r="B19" s="1008"/>
      <c r="C19" s="1009"/>
      <c r="D19" s="1003"/>
      <c r="E19" s="1010"/>
      <c r="F19" s="1003"/>
      <c r="G19" s="1010"/>
      <c r="H19" s="1003"/>
      <c r="I19" s="1010"/>
      <c r="J19" s="1003"/>
      <c r="K19" s="1003"/>
      <c r="L19" s="1011"/>
      <c r="M19" s="1003"/>
      <c r="N19" s="1012"/>
      <c r="O19" s="1013"/>
      <c r="P19" s="1004"/>
      <c r="Q19" s="1004"/>
      <c r="R19" s="1004"/>
      <c r="S19" s="1005"/>
    </row>
    <row r="20" spans="2:19" hidden="1" x14ac:dyDescent="0.35">
      <c r="B20" s="1003"/>
      <c r="C20" s="1003"/>
      <c r="D20" s="1003"/>
      <c r="E20" s="1003"/>
      <c r="F20" s="1003"/>
      <c r="G20" s="1003"/>
      <c r="H20" s="1003"/>
      <c r="I20" s="1003"/>
      <c r="J20" s="1003"/>
      <c r="K20" s="1003"/>
      <c r="L20" s="1003"/>
      <c r="M20" s="1003"/>
      <c r="N20" s="1003"/>
      <c r="O20" s="1004"/>
      <c r="P20" s="1004"/>
      <c r="Q20" s="1004"/>
      <c r="R20" s="1004"/>
      <c r="S20" s="1005"/>
    </row>
    <row r="21" spans="2:19" hidden="1" x14ac:dyDescent="0.35">
      <c r="B21" s="778" t="s">
        <v>239</v>
      </c>
      <c r="C21" s="1003"/>
      <c r="D21" s="1003"/>
      <c r="E21" s="1003"/>
      <c r="F21" s="1003"/>
      <c r="G21" s="1003"/>
      <c r="H21" s="1003"/>
      <c r="I21" s="1003"/>
      <c r="J21" s="1003"/>
      <c r="K21" s="1003"/>
      <c r="L21" s="1003"/>
      <c r="M21" s="1003"/>
      <c r="N21" s="1003"/>
      <c r="O21" s="1004"/>
      <c r="P21" s="1004"/>
      <c r="Q21" s="1004"/>
      <c r="R21" s="1004"/>
      <c r="S21" s="1005"/>
    </row>
    <row r="22" spans="2:19" hidden="1" x14ac:dyDescent="0.35">
      <c r="B22" s="1007" t="s">
        <v>478</v>
      </c>
      <c r="C22" s="1003"/>
      <c r="D22" s="1003"/>
      <c r="E22" s="1003"/>
      <c r="F22" s="1003"/>
      <c r="G22" s="1003"/>
      <c r="H22" s="1003"/>
      <c r="I22" s="1003"/>
      <c r="J22" s="1003"/>
      <c r="K22" s="1003"/>
      <c r="L22" s="1003"/>
      <c r="M22" s="1003"/>
      <c r="N22" s="1003"/>
      <c r="O22" s="1004"/>
      <c r="P22" s="1004"/>
      <c r="Q22" s="1004"/>
      <c r="R22" s="1004"/>
      <c r="S22" s="1005"/>
    </row>
    <row r="23" spans="2:19" hidden="1" x14ac:dyDescent="0.35">
      <c r="B23" s="778" t="s">
        <v>239</v>
      </c>
      <c r="C23" s="1003"/>
      <c r="D23" s="1003"/>
      <c r="E23" s="1003"/>
      <c r="F23" s="1003"/>
      <c r="G23" s="1003"/>
      <c r="H23" s="1003"/>
      <c r="I23" s="1003"/>
      <c r="J23" s="1003"/>
      <c r="K23" s="1003"/>
      <c r="L23" s="1003"/>
      <c r="M23" s="1003"/>
      <c r="N23" s="1003"/>
      <c r="O23" s="1004"/>
      <c r="P23" s="1004"/>
      <c r="Q23" s="1004"/>
      <c r="R23" s="1004"/>
      <c r="S23" s="1005"/>
    </row>
    <row r="24" spans="2:19" hidden="1" x14ac:dyDescent="0.35">
      <c r="B24" s="778" t="s">
        <v>239</v>
      </c>
      <c r="C24" s="1003"/>
      <c r="D24" s="1003"/>
      <c r="E24" s="1003"/>
      <c r="F24" s="1003"/>
      <c r="G24" s="1003"/>
      <c r="H24" s="1003"/>
      <c r="I24" s="1003"/>
      <c r="J24" s="1003"/>
      <c r="K24" s="1003"/>
      <c r="L24" s="1003"/>
      <c r="M24" s="1003"/>
      <c r="N24" s="1003"/>
      <c r="O24" s="1004"/>
      <c r="P24" s="1004"/>
      <c r="Q24" s="1004"/>
      <c r="R24" s="1004"/>
      <c r="S24" s="1005"/>
    </row>
    <row r="25" spans="2:19" hidden="1" x14ac:dyDescent="0.35">
      <c r="B25" s="779" t="s">
        <v>479</v>
      </c>
      <c r="C25" s="1003"/>
      <c r="D25" s="1003"/>
      <c r="E25" s="1003"/>
      <c r="F25" s="1003"/>
      <c r="G25" s="1003"/>
      <c r="H25" s="1003"/>
      <c r="I25" s="1003"/>
      <c r="J25" s="1003"/>
      <c r="K25" s="1003"/>
      <c r="L25" s="1003"/>
      <c r="M25" s="1003"/>
      <c r="N25" s="1003"/>
      <c r="O25" s="1004"/>
      <c r="P25" s="1004"/>
      <c r="Q25" s="1004"/>
      <c r="R25" s="1004"/>
      <c r="S25" s="1005"/>
    </row>
    <row r="26" spans="2:19" hidden="1" x14ac:dyDescent="0.35">
      <c r="B26" s="1008"/>
      <c r="C26" s="1003"/>
      <c r="D26" s="1003"/>
      <c r="E26" s="1003"/>
      <c r="F26" s="1003"/>
      <c r="G26" s="1003"/>
      <c r="H26" s="1003"/>
      <c r="I26" s="1003"/>
      <c r="J26" s="1003"/>
      <c r="K26" s="1003"/>
      <c r="L26" s="1003"/>
      <c r="M26" s="1003"/>
      <c r="N26" s="1003"/>
      <c r="O26" s="1004"/>
      <c r="P26" s="1004"/>
      <c r="Q26" s="1004"/>
      <c r="R26" s="1004"/>
      <c r="S26" s="1005"/>
    </row>
    <row r="27" spans="2:19" hidden="1" x14ac:dyDescent="0.35">
      <c r="B27" s="778" t="s">
        <v>239</v>
      </c>
      <c r="C27" s="1003"/>
      <c r="D27" s="1003"/>
      <c r="E27" s="1003"/>
      <c r="F27" s="1003"/>
      <c r="G27" s="1003"/>
      <c r="H27" s="1003"/>
      <c r="I27" s="1003"/>
      <c r="J27" s="1003"/>
      <c r="K27" s="1003"/>
      <c r="L27" s="1003"/>
      <c r="M27" s="1003"/>
      <c r="N27" s="1003"/>
      <c r="O27" s="1004"/>
      <c r="P27" s="1004"/>
      <c r="Q27" s="1004"/>
      <c r="R27" s="1004"/>
      <c r="S27" s="1005"/>
    </row>
    <row r="28" spans="2:19" hidden="1" x14ac:dyDescent="0.35">
      <c r="B28" s="1002"/>
      <c r="C28" s="1003"/>
      <c r="D28" s="1003"/>
      <c r="E28" s="1003"/>
      <c r="F28" s="1003"/>
      <c r="G28" s="1003"/>
      <c r="H28" s="1003"/>
      <c r="I28" s="1003"/>
      <c r="J28" s="1003"/>
      <c r="K28" s="1003"/>
      <c r="L28" s="1003"/>
      <c r="M28" s="1003"/>
      <c r="N28" s="1003"/>
      <c r="O28" s="1004"/>
      <c r="P28" s="1004"/>
      <c r="Q28" s="1004"/>
      <c r="R28" s="1004"/>
      <c r="S28" s="1005"/>
    </row>
    <row r="29" spans="2:19" hidden="1" x14ac:dyDescent="0.35">
      <c r="B29" s="779" t="s">
        <v>195</v>
      </c>
      <c r="C29" s="778"/>
      <c r="D29" s="778"/>
      <c r="E29" s="778"/>
      <c r="F29" s="778"/>
      <c r="G29" s="778"/>
      <c r="H29" s="778"/>
      <c r="I29" s="778"/>
      <c r="J29" s="778"/>
      <c r="K29" s="778"/>
      <c r="L29" s="778"/>
      <c r="M29" s="778"/>
      <c r="N29" s="778"/>
      <c r="O29" s="1014"/>
      <c r="P29" s="1014"/>
      <c r="Q29" s="1014"/>
      <c r="R29" s="1014"/>
      <c r="S29" s="1015"/>
    </row>
    <row r="30" spans="2:19" hidden="1" x14ac:dyDescent="0.35">
      <c r="B30" s="1006" t="s">
        <v>476</v>
      </c>
      <c r="C30" s="778"/>
      <c r="D30" s="778"/>
      <c r="E30" s="778"/>
      <c r="F30" s="778"/>
      <c r="G30" s="778"/>
      <c r="H30" s="778"/>
      <c r="I30" s="778"/>
      <c r="J30" s="778"/>
      <c r="K30" s="778"/>
      <c r="L30" s="778"/>
      <c r="M30" s="778"/>
      <c r="N30" s="778"/>
      <c r="O30" s="1014"/>
      <c r="P30" s="1014"/>
      <c r="Q30" s="1014"/>
      <c r="R30" s="1014"/>
      <c r="S30" s="1014"/>
    </row>
    <row r="31" spans="2:19" hidden="1" x14ac:dyDescent="0.35">
      <c r="B31" s="1007" t="s">
        <v>477</v>
      </c>
      <c r="C31" s="778"/>
      <c r="D31" s="778"/>
      <c r="E31" s="778"/>
      <c r="F31" s="778"/>
      <c r="G31" s="778"/>
      <c r="H31" s="778"/>
      <c r="I31" s="778"/>
      <c r="J31" s="778"/>
      <c r="K31" s="778"/>
      <c r="L31" s="778"/>
      <c r="M31" s="778"/>
      <c r="N31" s="778"/>
      <c r="O31" s="1014"/>
      <c r="P31" s="1014"/>
      <c r="Q31" s="1014"/>
      <c r="R31" s="1014"/>
      <c r="S31" s="1014"/>
    </row>
    <row r="32" spans="2:19" hidden="1" x14ac:dyDescent="0.35">
      <c r="B32" s="1008"/>
      <c r="C32" s="778"/>
      <c r="D32" s="1003"/>
      <c r="E32" s="1010"/>
      <c r="F32" s="778"/>
      <c r="G32" s="1011"/>
      <c r="H32" s="778"/>
      <c r="I32" s="1011"/>
      <c r="J32" s="778"/>
      <c r="K32" s="778"/>
      <c r="L32" s="1011"/>
      <c r="M32" s="778"/>
      <c r="N32" s="1012"/>
      <c r="O32" s="1016"/>
      <c r="P32" s="1014"/>
      <c r="Q32" s="1014"/>
      <c r="R32" s="1014"/>
      <c r="S32" s="1014"/>
    </row>
    <row r="33" spans="2:19" hidden="1" x14ac:dyDescent="0.35">
      <c r="B33" s="1008"/>
      <c r="C33" s="778"/>
      <c r="D33" s="1003"/>
      <c r="E33" s="1010"/>
      <c r="F33" s="778"/>
      <c r="G33" s="1011"/>
      <c r="H33" s="778"/>
      <c r="I33" s="1011"/>
      <c r="J33" s="778"/>
      <c r="K33" s="778"/>
      <c r="L33" s="1011"/>
      <c r="M33" s="778"/>
      <c r="N33" s="1012"/>
      <c r="O33" s="1016"/>
      <c r="P33" s="1014"/>
      <c r="Q33" s="1014"/>
      <c r="R33" s="1014"/>
      <c r="S33" s="1014"/>
    </row>
    <row r="34" spans="2:19" hidden="1" x14ac:dyDescent="0.35">
      <c r="B34" s="1008"/>
      <c r="C34" s="778"/>
      <c r="D34" s="1003"/>
      <c r="E34" s="1010"/>
      <c r="F34" s="778"/>
      <c r="G34" s="1011"/>
      <c r="H34" s="778"/>
      <c r="I34" s="1011"/>
      <c r="J34" s="778"/>
      <c r="K34" s="778"/>
      <c r="L34" s="1011"/>
      <c r="M34" s="778"/>
      <c r="N34" s="1012"/>
      <c r="O34" s="1016"/>
      <c r="P34" s="1014"/>
      <c r="Q34" s="1014"/>
      <c r="R34" s="1014"/>
      <c r="S34" s="1014"/>
    </row>
    <row r="35" spans="2:19" hidden="1" x14ac:dyDescent="0.35">
      <c r="B35" s="778"/>
      <c r="C35" s="778"/>
      <c r="D35" s="778"/>
      <c r="E35" s="778"/>
      <c r="F35" s="778"/>
      <c r="G35" s="778"/>
      <c r="H35" s="778"/>
      <c r="I35" s="778"/>
      <c r="J35" s="778"/>
      <c r="K35" s="778"/>
      <c r="L35" s="778"/>
      <c r="M35" s="778"/>
      <c r="N35" s="1003"/>
      <c r="O35" s="1014"/>
      <c r="P35" s="1014"/>
      <c r="Q35" s="1014"/>
      <c r="R35" s="1014"/>
      <c r="S35" s="1014"/>
    </row>
    <row r="36" spans="2:19" hidden="1" x14ac:dyDescent="0.35">
      <c r="B36" s="778" t="s">
        <v>239</v>
      </c>
      <c r="C36" s="778"/>
      <c r="D36" s="778"/>
      <c r="E36" s="778"/>
      <c r="F36" s="778"/>
      <c r="G36" s="778"/>
      <c r="H36" s="778"/>
      <c r="I36" s="778"/>
      <c r="J36" s="778"/>
      <c r="K36" s="778"/>
      <c r="L36" s="778"/>
      <c r="M36" s="778"/>
      <c r="N36" s="778"/>
      <c r="O36" s="1014"/>
      <c r="P36" s="1014"/>
      <c r="Q36" s="1014"/>
      <c r="R36" s="1014"/>
      <c r="S36" s="1014"/>
    </row>
    <row r="37" spans="2:19" hidden="1" x14ac:dyDescent="0.35">
      <c r="B37" s="1007" t="s">
        <v>478</v>
      </c>
      <c r="C37" s="778"/>
      <c r="D37" s="778"/>
      <c r="E37" s="778"/>
      <c r="F37" s="778"/>
      <c r="G37" s="778"/>
      <c r="H37" s="778"/>
      <c r="I37" s="778"/>
      <c r="J37" s="778"/>
      <c r="K37" s="778"/>
      <c r="L37" s="778"/>
      <c r="M37" s="778"/>
      <c r="N37" s="778"/>
      <c r="O37" s="1014"/>
      <c r="P37" s="1014"/>
      <c r="Q37" s="1014"/>
      <c r="R37" s="1014"/>
      <c r="S37" s="1014"/>
    </row>
    <row r="38" spans="2:19" hidden="1" x14ac:dyDescent="0.35">
      <c r="B38" s="778"/>
      <c r="C38" s="778"/>
      <c r="D38" s="778"/>
      <c r="E38" s="778"/>
      <c r="F38" s="778"/>
      <c r="G38" s="778"/>
      <c r="H38" s="778"/>
      <c r="I38" s="778"/>
      <c r="J38" s="778"/>
      <c r="K38" s="778"/>
      <c r="L38" s="778"/>
      <c r="M38" s="778"/>
      <c r="O38" s="1014"/>
      <c r="P38" s="1014"/>
      <c r="Q38" s="1014"/>
      <c r="R38" s="1014"/>
      <c r="S38" s="1014"/>
    </row>
    <row r="39" spans="2:19" hidden="1" x14ac:dyDescent="0.35">
      <c r="B39" s="778" t="s">
        <v>239</v>
      </c>
      <c r="C39" s="778"/>
      <c r="D39" s="778"/>
      <c r="E39" s="778"/>
      <c r="F39" s="778"/>
      <c r="G39" s="778"/>
      <c r="H39" s="778"/>
      <c r="I39" s="778"/>
      <c r="J39" s="778"/>
      <c r="K39" s="778"/>
      <c r="L39" s="778"/>
      <c r="M39" s="778"/>
      <c r="N39" s="778"/>
      <c r="O39" s="1014"/>
      <c r="P39" s="1014"/>
      <c r="Q39" s="1014"/>
      <c r="R39" s="1014"/>
      <c r="S39" s="1014"/>
    </row>
    <row r="40" spans="2:19" hidden="1" x14ac:dyDescent="0.35">
      <c r="B40" s="779" t="s">
        <v>479</v>
      </c>
      <c r="C40" s="778"/>
      <c r="D40" s="778"/>
      <c r="E40" s="778"/>
      <c r="F40" s="778"/>
      <c r="G40" s="778"/>
      <c r="H40" s="778"/>
      <c r="I40" s="778"/>
      <c r="J40" s="778"/>
      <c r="K40" s="778"/>
      <c r="L40" s="778"/>
      <c r="M40" s="778"/>
      <c r="N40" s="778"/>
      <c r="O40" s="1014"/>
      <c r="P40" s="1014"/>
      <c r="Q40" s="1014"/>
      <c r="R40" s="1014"/>
      <c r="S40" s="1014"/>
    </row>
    <row r="41" spans="2:19" hidden="1" x14ac:dyDescent="0.35">
      <c r="B41" s="1008"/>
      <c r="C41" s="778"/>
      <c r="D41" s="778"/>
      <c r="E41" s="778"/>
      <c r="F41" s="778"/>
      <c r="G41" s="778"/>
      <c r="H41" s="778"/>
      <c r="I41" s="778"/>
      <c r="J41" s="778"/>
      <c r="K41" s="778"/>
      <c r="L41" s="778"/>
      <c r="M41" s="778"/>
      <c r="N41" s="778"/>
      <c r="O41" s="1014"/>
      <c r="P41" s="1014"/>
      <c r="Q41" s="1014"/>
      <c r="R41" s="1014"/>
      <c r="S41" s="1014"/>
    </row>
    <row r="42" spans="2:19" hidden="1" x14ac:dyDescent="0.35">
      <c r="B42" s="778"/>
      <c r="C42" s="778"/>
      <c r="D42" s="778"/>
      <c r="E42" s="778"/>
      <c r="F42" s="778"/>
      <c r="G42" s="778"/>
      <c r="H42" s="778"/>
      <c r="I42" s="778"/>
      <c r="J42" s="778"/>
      <c r="K42" s="778"/>
      <c r="L42" s="778"/>
      <c r="M42" s="778"/>
      <c r="N42" s="778"/>
      <c r="O42" s="1014"/>
      <c r="P42" s="1014"/>
      <c r="Q42" s="1014"/>
      <c r="R42" s="1014"/>
      <c r="S42" s="1014"/>
    </row>
    <row r="43" spans="2:19" hidden="1" x14ac:dyDescent="0.35">
      <c r="B43" s="778"/>
      <c r="C43" s="778"/>
      <c r="D43" s="778"/>
      <c r="E43" s="778"/>
      <c r="F43" s="778"/>
      <c r="G43" s="778"/>
      <c r="H43" s="778"/>
      <c r="I43" s="778"/>
      <c r="J43" s="778"/>
      <c r="K43" s="778"/>
      <c r="L43" s="778"/>
      <c r="M43" s="778"/>
      <c r="N43" s="778"/>
      <c r="O43" s="1014"/>
      <c r="P43" s="1014"/>
      <c r="Q43" s="1014"/>
      <c r="R43" s="1014"/>
      <c r="S43" s="1014"/>
    </row>
    <row r="44" spans="2:19" x14ac:dyDescent="0.35">
      <c r="B44" s="779" t="s">
        <v>196</v>
      </c>
      <c r="C44" s="778"/>
      <c r="D44" s="778"/>
      <c r="E44" s="778"/>
      <c r="F44" s="778"/>
      <c r="G44" s="778"/>
      <c r="H44" s="778"/>
      <c r="I44" s="778"/>
      <c r="J44" s="778"/>
      <c r="K44" s="778"/>
      <c r="L44" s="778"/>
      <c r="M44" s="778"/>
      <c r="N44" s="778"/>
      <c r="O44" s="1014"/>
      <c r="P44" s="1014"/>
      <c r="Q44" s="1014"/>
      <c r="R44" s="1014"/>
      <c r="S44" s="1014"/>
    </row>
    <row r="45" spans="2:19" x14ac:dyDescent="0.35">
      <c r="B45" s="1006" t="s">
        <v>476</v>
      </c>
      <c r="C45" s="778"/>
      <c r="D45" s="778"/>
      <c r="E45" s="778"/>
      <c r="F45" s="778"/>
      <c r="G45" s="778"/>
      <c r="H45" s="778"/>
      <c r="I45" s="778"/>
      <c r="J45" s="778"/>
      <c r="K45" s="778"/>
      <c r="L45" s="778"/>
      <c r="M45" s="778"/>
      <c r="N45" s="778"/>
      <c r="O45" s="1014"/>
      <c r="P45" s="1014"/>
      <c r="Q45" s="1014"/>
      <c r="R45" s="1014"/>
      <c r="S45" s="1014"/>
    </row>
    <row r="46" spans="2:19" x14ac:dyDescent="0.35">
      <c r="B46" s="1007" t="s">
        <v>477</v>
      </c>
      <c r="C46" s="778"/>
      <c r="D46" s="778"/>
      <c r="E46" s="778"/>
      <c r="F46" s="778"/>
      <c r="G46" s="778"/>
      <c r="H46" s="778"/>
      <c r="I46" s="778"/>
      <c r="J46" s="778"/>
      <c r="K46" s="778"/>
      <c r="L46" s="778"/>
      <c r="M46" s="778"/>
      <c r="N46" s="778"/>
      <c r="O46" s="1014"/>
      <c r="P46" s="1014"/>
      <c r="Q46" s="1014"/>
      <c r="R46" s="1014"/>
      <c r="S46" s="1014"/>
    </row>
    <row r="47" spans="2:19" x14ac:dyDescent="0.35">
      <c r="B47" s="2015" t="s">
        <v>1393</v>
      </c>
      <c r="C47" s="2017" t="s">
        <v>1394</v>
      </c>
      <c r="D47" s="1003" t="s">
        <v>1395</v>
      </c>
      <c r="E47" s="1010">
        <v>43067</v>
      </c>
      <c r="F47" s="778" t="s">
        <v>1396</v>
      </c>
      <c r="G47" s="778"/>
      <c r="H47" s="778"/>
      <c r="I47" s="1011"/>
      <c r="J47" s="778"/>
      <c r="K47" s="778"/>
      <c r="L47" s="1011"/>
      <c r="M47" s="701">
        <f>874911249/10^7</f>
        <v>87.491124900000003</v>
      </c>
      <c r="N47" s="1170">
        <f>SUM(Capitalisation!J5:J13)+Capitalisation!J15+Capitalisation!J20</f>
        <v>55.478804400000001</v>
      </c>
      <c r="O47" s="1016"/>
      <c r="P47" s="1014"/>
      <c r="Q47" s="1014">
        <v>5.0193942198043082</v>
      </c>
      <c r="R47" s="1014">
        <v>12.147811044923106</v>
      </c>
      <c r="S47" s="1014">
        <f>SUM(O47:R47)</f>
        <v>17.167205264727414</v>
      </c>
    </row>
    <row r="48" spans="2:19" x14ac:dyDescent="0.35">
      <c r="B48" s="2016"/>
      <c r="C48" s="2022"/>
      <c r="D48" s="1003"/>
      <c r="E48" s="1010"/>
      <c r="F48" s="778"/>
      <c r="G48" s="778"/>
      <c r="H48" s="778"/>
      <c r="I48" s="1011"/>
      <c r="J48" s="778"/>
      <c r="K48" s="778"/>
      <c r="L48" s="1011"/>
      <c r="M48" s="778"/>
      <c r="N48" s="1170"/>
      <c r="O48" s="1016"/>
      <c r="P48" s="1014"/>
      <c r="Q48" s="1014"/>
      <c r="R48" s="1014"/>
      <c r="S48" s="1014"/>
    </row>
    <row r="49" spans="1:19" x14ac:dyDescent="0.35">
      <c r="B49" s="778" t="s">
        <v>239</v>
      </c>
      <c r="C49" s="778"/>
      <c r="D49" s="778"/>
      <c r="E49" s="778"/>
      <c r="F49" s="778"/>
      <c r="G49" s="778"/>
      <c r="H49" s="778"/>
      <c r="I49" s="778"/>
      <c r="J49" s="778"/>
      <c r="K49" s="778"/>
      <c r="L49" s="778"/>
      <c r="M49" s="778"/>
      <c r="N49" s="1171"/>
      <c r="O49" s="1014"/>
      <c r="P49" s="1014"/>
      <c r="Q49" s="1014"/>
      <c r="R49" s="1014"/>
      <c r="S49" s="1014"/>
    </row>
    <row r="50" spans="1:19" x14ac:dyDescent="0.35">
      <c r="B50" s="1007" t="s">
        <v>478</v>
      </c>
      <c r="C50" s="778"/>
      <c r="D50" s="778"/>
      <c r="E50" s="778"/>
      <c r="F50" s="778"/>
      <c r="G50" s="778"/>
      <c r="H50" s="778"/>
      <c r="I50" s="778"/>
      <c r="J50" s="778"/>
      <c r="K50" s="778"/>
      <c r="L50" s="778"/>
      <c r="M50" s="778"/>
      <c r="N50" s="884"/>
      <c r="O50" s="1014"/>
      <c r="P50" s="1014"/>
      <c r="Q50" s="1014"/>
      <c r="R50" s="1014"/>
      <c r="S50" s="1014"/>
    </row>
    <row r="51" spans="1:19" x14ac:dyDescent="0.35">
      <c r="B51" s="778" t="s">
        <v>239</v>
      </c>
      <c r="C51" s="778"/>
      <c r="D51" s="778"/>
      <c r="E51" s="778"/>
      <c r="F51" s="778"/>
      <c r="G51" s="778"/>
      <c r="H51" s="778"/>
      <c r="I51" s="778"/>
      <c r="J51" s="778"/>
      <c r="K51" s="778"/>
      <c r="L51" s="778"/>
      <c r="M51" s="778"/>
      <c r="N51" s="884"/>
      <c r="O51" s="1014"/>
      <c r="P51" s="1014"/>
      <c r="Q51" s="1014"/>
      <c r="R51" s="1014"/>
      <c r="S51" s="1014"/>
    </row>
    <row r="52" spans="1:19" x14ac:dyDescent="0.35">
      <c r="B52" s="778" t="s">
        <v>239</v>
      </c>
      <c r="C52" s="778"/>
      <c r="D52" s="778"/>
      <c r="E52" s="778"/>
      <c r="F52" s="778"/>
      <c r="G52" s="778"/>
      <c r="H52" s="778"/>
      <c r="I52" s="778"/>
      <c r="J52" s="778"/>
      <c r="K52" s="778"/>
      <c r="L52" s="778"/>
      <c r="M52" s="778"/>
      <c r="N52" s="884"/>
      <c r="O52" s="1014"/>
      <c r="P52" s="1014"/>
      <c r="Q52" s="1014"/>
      <c r="R52" s="1014"/>
      <c r="S52" s="1014"/>
    </row>
    <row r="53" spans="1:19" x14ac:dyDescent="0.35">
      <c r="B53" s="779" t="s">
        <v>479</v>
      </c>
      <c r="C53" s="778"/>
      <c r="D53" s="778"/>
      <c r="E53" s="778"/>
      <c r="F53" s="778"/>
      <c r="G53" s="778"/>
      <c r="H53" s="778"/>
      <c r="I53" s="778"/>
      <c r="J53" s="778"/>
      <c r="K53" s="778"/>
      <c r="L53" s="778"/>
      <c r="M53" s="778"/>
      <c r="N53" s="884"/>
      <c r="O53" s="1014"/>
      <c r="P53" s="1014"/>
      <c r="Q53" s="1014"/>
      <c r="R53" s="1014"/>
      <c r="S53" s="1014"/>
    </row>
    <row r="54" spans="1:19" x14ac:dyDescent="0.35">
      <c r="A54" s="405" t="s">
        <v>1149</v>
      </c>
      <c r="B54" s="1019" t="str">
        <f>Capitalisation!E14</f>
        <v>Vehicles</v>
      </c>
      <c r="C54" s="778"/>
      <c r="D54" s="778"/>
      <c r="E54" s="778"/>
      <c r="F54" s="778"/>
      <c r="G54" s="778"/>
      <c r="H54" s="778"/>
      <c r="I54" s="778"/>
      <c r="J54" s="778"/>
      <c r="K54" s="778"/>
      <c r="L54" s="778"/>
      <c r="M54" s="778"/>
      <c r="N54" s="884">
        <f>Capitalisation!J14</f>
        <v>5.9382000000000002E-3</v>
      </c>
      <c r="O54" s="1014"/>
      <c r="P54" s="1014"/>
      <c r="Q54" s="1014"/>
      <c r="R54" s="1014"/>
      <c r="S54" s="1014"/>
    </row>
    <row r="55" spans="1:19" x14ac:dyDescent="0.35">
      <c r="B55" s="1019" t="str">
        <f>Capitalisation!E16</f>
        <v>I.T. equipments</v>
      </c>
      <c r="C55" s="778"/>
      <c r="D55" s="778"/>
      <c r="E55" s="778"/>
      <c r="F55" s="778"/>
      <c r="G55" s="778"/>
      <c r="H55" s="778"/>
      <c r="I55" s="778"/>
      <c r="J55" s="778"/>
      <c r="K55" s="778"/>
      <c r="L55" s="778"/>
      <c r="M55" s="778"/>
      <c r="N55" s="884">
        <f>Capitalisation!J16</f>
        <v>1.3571147499999998E-2</v>
      </c>
      <c r="O55" s="1014"/>
      <c r="P55" s="1014"/>
      <c r="Q55" s="1014"/>
      <c r="R55" s="1014"/>
      <c r="S55" s="1014"/>
    </row>
    <row r="56" spans="1:19" x14ac:dyDescent="0.35">
      <c r="B56" s="1019" t="str">
        <f>Capitalisation!E17</f>
        <v>Office furniture and fittings</v>
      </c>
      <c r="C56" s="778"/>
      <c r="D56" s="778"/>
      <c r="E56" s="778"/>
      <c r="F56" s="778"/>
      <c r="G56" s="778"/>
      <c r="H56" s="778"/>
      <c r="I56" s="778"/>
      <c r="J56" s="778"/>
      <c r="K56" s="778"/>
      <c r="L56" s="778"/>
      <c r="M56" s="778"/>
      <c r="N56" s="884">
        <f>Capitalisation!J17</f>
        <v>2.6759100000000001E-2</v>
      </c>
      <c r="O56" s="1014"/>
      <c r="P56" s="1014"/>
      <c r="Q56" s="1014"/>
      <c r="R56" s="1014"/>
      <c r="S56" s="1014"/>
    </row>
    <row r="57" spans="1:19" ht="12" customHeight="1" x14ac:dyDescent="0.35">
      <c r="B57" s="1019" t="str">
        <f>Capitalisation!E18</f>
        <v>Office equipments</v>
      </c>
      <c r="C57" s="778"/>
      <c r="D57" s="778"/>
      <c r="E57" s="778"/>
      <c r="F57" s="778"/>
      <c r="G57" s="778"/>
      <c r="H57" s="778"/>
      <c r="I57" s="778"/>
      <c r="J57" s="778"/>
      <c r="K57" s="778"/>
      <c r="L57" s="778"/>
      <c r="M57" s="778"/>
      <c r="N57" s="884">
        <f>Capitalisation!J18</f>
        <v>2.1808600000000001E-2</v>
      </c>
      <c r="O57" s="1014"/>
      <c r="P57" s="1014"/>
      <c r="Q57" s="1014"/>
      <c r="R57" s="1014"/>
      <c r="S57" s="1014"/>
    </row>
    <row r="58" spans="1:19" x14ac:dyDescent="0.35">
      <c r="B58" s="1019" t="str">
        <f>Capitalisation!E19</f>
        <v>Software Licenses</v>
      </c>
      <c r="C58" s="778"/>
      <c r="D58" s="778"/>
      <c r="E58" s="778"/>
      <c r="F58" s="778"/>
      <c r="G58" s="778"/>
      <c r="H58" s="778"/>
      <c r="I58" s="778"/>
      <c r="J58" s="778"/>
      <c r="K58" s="778"/>
      <c r="L58" s="778"/>
      <c r="M58" s="778"/>
      <c r="N58" s="884">
        <f>Capitalisation!J19</f>
        <v>0</v>
      </c>
      <c r="O58" s="1014"/>
      <c r="P58" s="1014"/>
      <c r="Q58" s="1014"/>
      <c r="R58" s="1014"/>
      <c r="S58" s="1014"/>
    </row>
    <row r="59" spans="1:19" x14ac:dyDescent="0.35">
      <c r="B59" s="778"/>
      <c r="C59" s="778"/>
      <c r="D59" s="778"/>
      <c r="E59" s="778"/>
      <c r="F59" s="778"/>
      <c r="G59" s="778"/>
      <c r="H59" s="778"/>
      <c r="I59" s="778"/>
      <c r="J59" s="778"/>
      <c r="K59" s="778"/>
      <c r="L59" s="778"/>
      <c r="M59" s="778"/>
      <c r="N59" s="884"/>
      <c r="O59" s="1014"/>
      <c r="P59" s="1014"/>
      <c r="Q59" s="1014"/>
      <c r="R59" s="1014"/>
      <c r="S59" s="1014"/>
    </row>
    <row r="60" spans="1:19" x14ac:dyDescent="0.35">
      <c r="B60" s="779" t="s">
        <v>197</v>
      </c>
      <c r="C60" s="779"/>
      <c r="D60" s="779"/>
      <c r="E60" s="779"/>
      <c r="F60" s="779"/>
      <c r="G60" s="779"/>
      <c r="H60" s="779"/>
      <c r="I60" s="779"/>
      <c r="J60" s="779"/>
      <c r="K60" s="779"/>
      <c r="L60" s="779"/>
      <c r="M60" s="779"/>
      <c r="N60" s="1172"/>
      <c r="O60" s="1021"/>
      <c r="P60" s="1021"/>
      <c r="Q60" s="1021"/>
      <c r="R60" s="1021"/>
      <c r="S60" s="1021"/>
    </row>
    <row r="61" spans="1:19" x14ac:dyDescent="0.35">
      <c r="B61" s="1006" t="s">
        <v>476</v>
      </c>
      <c r="C61" s="779"/>
      <c r="D61" s="779"/>
      <c r="E61" s="779"/>
      <c r="F61" s="779"/>
      <c r="G61" s="779"/>
      <c r="H61" s="779"/>
      <c r="I61" s="779"/>
      <c r="J61" s="779"/>
      <c r="K61" s="779"/>
      <c r="L61" s="779"/>
      <c r="M61" s="779"/>
      <c r="N61" s="1172"/>
      <c r="O61" s="1021"/>
      <c r="P61" s="1021"/>
      <c r="Q61" s="1021"/>
      <c r="R61" s="1021"/>
      <c r="S61" s="1021"/>
    </row>
    <row r="62" spans="1:19" x14ac:dyDescent="0.35">
      <c r="B62" s="1007" t="s">
        <v>477</v>
      </c>
      <c r="C62" s="779"/>
      <c r="D62" s="779"/>
      <c r="E62" s="779"/>
      <c r="F62" s="779"/>
      <c r="G62" s="779"/>
      <c r="H62" s="779"/>
      <c r="I62" s="779"/>
      <c r="J62" s="779"/>
      <c r="K62" s="779"/>
      <c r="L62" s="779"/>
      <c r="M62" s="779"/>
      <c r="N62" s="1172"/>
      <c r="O62" s="1021"/>
      <c r="P62" s="1021"/>
      <c r="Q62" s="1021"/>
      <c r="R62" s="1021"/>
      <c r="S62" s="1021"/>
    </row>
    <row r="63" spans="1:19" x14ac:dyDescent="0.35">
      <c r="B63" s="2015" t="s">
        <v>1393</v>
      </c>
      <c r="C63" s="2017" t="s">
        <v>1394</v>
      </c>
      <c r="D63" s="1003" t="s">
        <v>1395</v>
      </c>
      <c r="E63" s="1010">
        <v>43067</v>
      </c>
      <c r="F63" s="778" t="s">
        <v>1396</v>
      </c>
      <c r="G63" s="779"/>
      <c r="H63" s="779"/>
      <c r="I63" s="779"/>
      <c r="J63" s="779"/>
      <c r="K63" s="779"/>
      <c r="L63" s="779"/>
      <c r="M63" s="779"/>
      <c r="N63" s="884">
        <f>SUM(Capitalisation!M5:M13)+Capitalisation!M15+Capitalisation!M20</f>
        <v>11.561528951458783</v>
      </c>
      <c r="O63" s="1021"/>
      <c r="P63" s="1021"/>
      <c r="Q63" s="1022">
        <v>0.47430042660022659</v>
      </c>
      <c r="R63" s="1022">
        <v>0.54358512250900615</v>
      </c>
      <c r="S63" s="1014">
        <f>SUM(O63:R63)</f>
        <v>1.0178855491092327</v>
      </c>
    </row>
    <row r="64" spans="1:19" x14ac:dyDescent="0.35">
      <c r="B64" s="2016"/>
      <c r="C64" s="2022"/>
      <c r="D64" s="1003"/>
      <c r="E64" s="1010"/>
      <c r="F64" s="778"/>
      <c r="G64" s="779"/>
      <c r="H64" s="779"/>
      <c r="I64" s="779"/>
      <c r="J64" s="779"/>
      <c r="K64" s="779"/>
      <c r="L64" s="779"/>
      <c r="M64" s="779"/>
      <c r="N64" s="1172"/>
      <c r="O64" s="1021"/>
      <c r="P64" s="1021"/>
      <c r="Q64" s="844"/>
      <c r="R64" s="844"/>
      <c r="S64" s="1021"/>
    </row>
    <row r="65" spans="2:19" x14ac:dyDescent="0.35">
      <c r="B65" s="1017"/>
      <c r="C65" s="1018"/>
      <c r="D65" s="1003"/>
      <c r="E65" s="1010"/>
      <c r="F65" s="778"/>
      <c r="G65" s="779"/>
      <c r="H65" s="779"/>
      <c r="I65" s="779"/>
      <c r="J65" s="779"/>
      <c r="K65" s="779"/>
      <c r="L65" s="779"/>
      <c r="M65" s="779"/>
      <c r="N65" s="1172"/>
      <c r="O65" s="1021"/>
      <c r="P65" s="1021"/>
      <c r="Q65" s="844"/>
      <c r="R65" s="844"/>
      <c r="S65" s="1021"/>
    </row>
    <row r="66" spans="2:19" x14ac:dyDescent="0.35">
      <c r="B66" s="1007" t="s">
        <v>478</v>
      </c>
      <c r="C66" s="779"/>
      <c r="D66" s="779"/>
      <c r="E66" s="779"/>
      <c r="F66" s="779"/>
      <c r="G66" s="779"/>
      <c r="H66" s="779"/>
      <c r="I66" s="779"/>
      <c r="J66" s="779"/>
      <c r="K66" s="779"/>
      <c r="L66" s="779"/>
      <c r="M66" s="779"/>
      <c r="N66" s="1172"/>
      <c r="O66" s="1021"/>
      <c r="P66" s="1021"/>
      <c r="Q66" s="844"/>
      <c r="R66" s="844"/>
      <c r="S66" s="1021"/>
    </row>
    <row r="67" spans="2:19" x14ac:dyDescent="0.35">
      <c r="B67" s="1007"/>
      <c r="C67" s="779"/>
      <c r="D67" s="779"/>
      <c r="E67" s="779"/>
      <c r="F67" s="779"/>
      <c r="G67" s="779"/>
      <c r="H67" s="779"/>
      <c r="I67" s="779"/>
      <c r="J67" s="779"/>
      <c r="K67" s="779"/>
      <c r="L67" s="779"/>
      <c r="M67" s="779"/>
      <c r="N67" s="1172"/>
      <c r="O67" s="1021"/>
      <c r="P67" s="1021"/>
      <c r="Q67" s="844"/>
      <c r="R67" s="844"/>
      <c r="S67" s="1021"/>
    </row>
    <row r="68" spans="2:19" x14ac:dyDescent="0.35">
      <c r="B68" s="778" t="s">
        <v>239</v>
      </c>
      <c r="C68" s="779"/>
      <c r="D68" s="779"/>
      <c r="E68" s="779"/>
      <c r="F68" s="779"/>
      <c r="G68" s="779"/>
      <c r="H68" s="779"/>
      <c r="I68" s="779"/>
      <c r="J68" s="779"/>
      <c r="K68" s="779"/>
      <c r="L68" s="779"/>
      <c r="M68" s="779"/>
      <c r="N68" s="1172"/>
      <c r="O68" s="1021"/>
      <c r="P68" s="1021"/>
      <c r="Q68" s="844"/>
      <c r="R68" s="844"/>
      <c r="S68" s="1021"/>
    </row>
    <row r="69" spans="2:19" x14ac:dyDescent="0.35">
      <c r="B69" s="778" t="s">
        <v>239</v>
      </c>
      <c r="C69" s="779"/>
      <c r="D69" s="779"/>
      <c r="E69" s="779"/>
      <c r="F69" s="779"/>
      <c r="G69" s="779"/>
      <c r="H69" s="779"/>
      <c r="I69" s="779"/>
      <c r="J69" s="779"/>
      <c r="K69" s="779"/>
      <c r="L69" s="779"/>
      <c r="M69" s="779"/>
      <c r="N69" s="1172"/>
      <c r="O69" s="1021"/>
      <c r="P69" s="1021"/>
      <c r="Q69" s="844"/>
      <c r="R69" s="844"/>
      <c r="S69" s="1021"/>
    </row>
    <row r="70" spans="2:19" x14ac:dyDescent="0.35">
      <c r="B70" s="779" t="s">
        <v>479</v>
      </c>
      <c r="C70" s="779"/>
      <c r="D70" s="779"/>
      <c r="E70" s="779"/>
      <c r="F70" s="779"/>
      <c r="G70" s="779"/>
      <c r="H70" s="779"/>
      <c r="I70" s="779"/>
      <c r="J70" s="779"/>
      <c r="K70" s="779"/>
      <c r="L70" s="779"/>
      <c r="M70" s="779"/>
      <c r="N70" s="1172"/>
      <c r="O70" s="1021"/>
      <c r="P70" s="1021"/>
      <c r="Q70" s="844"/>
      <c r="R70" s="844"/>
      <c r="S70" s="1021"/>
    </row>
    <row r="71" spans="2:19" x14ac:dyDescent="0.35">
      <c r="B71" s="1019" t="str">
        <f>B54</f>
        <v>Vehicles</v>
      </c>
      <c r="C71" s="779"/>
      <c r="D71" s="779"/>
      <c r="E71" s="779"/>
      <c r="F71" s="779"/>
      <c r="G71" s="779"/>
      <c r="H71" s="779"/>
      <c r="I71" s="779"/>
      <c r="J71" s="779"/>
      <c r="K71" s="779"/>
      <c r="L71" s="779"/>
      <c r="M71" s="779"/>
      <c r="N71" s="1172">
        <f>Capitalisation!M14</f>
        <v>0</v>
      </c>
      <c r="O71" s="1021"/>
      <c r="P71" s="1021"/>
      <c r="Q71" s="844"/>
      <c r="R71" s="844"/>
      <c r="S71" s="1021"/>
    </row>
    <row r="72" spans="2:19" x14ac:dyDescent="0.35">
      <c r="B72" s="1019" t="str">
        <f>B55</f>
        <v>I.T. equipments</v>
      </c>
      <c r="C72" s="779"/>
      <c r="D72" s="779"/>
      <c r="E72" s="779"/>
      <c r="F72" s="779"/>
      <c r="G72" s="779"/>
      <c r="H72" s="779"/>
      <c r="I72" s="779"/>
      <c r="J72" s="779"/>
      <c r="K72" s="779"/>
      <c r="L72" s="779"/>
      <c r="M72" s="779"/>
      <c r="N72" s="884">
        <f>Capitalisation!M16</f>
        <v>0</v>
      </c>
      <c r="O72" s="1021"/>
      <c r="P72" s="1021"/>
      <c r="Q72" s="844"/>
      <c r="R72" s="844"/>
      <c r="S72" s="1021"/>
    </row>
    <row r="73" spans="2:19" x14ac:dyDescent="0.35">
      <c r="B73" s="1019" t="str">
        <f>B56</f>
        <v>Office furniture and fittings</v>
      </c>
      <c r="C73" s="779"/>
      <c r="D73" s="779"/>
      <c r="E73" s="779"/>
      <c r="F73" s="779"/>
      <c r="G73" s="779"/>
      <c r="H73" s="779"/>
      <c r="I73" s="779"/>
      <c r="J73" s="779"/>
      <c r="K73" s="779"/>
      <c r="L73" s="779"/>
      <c r="M73" s="779"/>
      <c r="N73" s="884">
        <f>Capitalisation!M17</f>
        <v>0</v>
      </c>
      <c r="O73" s="1021"/>
      <c r="P73" s="1021"/>
      <c r="Q73" s="844"/>
      <c r="R73" s="844"/>
      <c r="S73" s="1021"/>
    </row>
    <row r="74" spans="2:19" x14ac:dyDescent="0.35">
      <c r="B74" s="1019" t="str">
        <f>B57</f>
        <v>Office equipments</v>
      </c>
      <c r="C74" s="779"/>
      <c r="D74" s="779"/>
      <c r="E74" s="779"/>
      <c r="F74" s="779"/>
      <c r="G74" s="779"/>
      <c r="H74" s="779"/>
      <c r="I74" s="779"/>
      <c r="J74" s="779"/>
      <c r="K74" s="779"/>
      <c r="L74" s="779"/>
      <c r="M74" s="779"/>
      <c r="N74" s="884">
        <f>Capitalisation!M18</f>
        <v>0</v>
      </c>
      <c r="O74" s="1021"/>
      <c r="P74" s="1021"/>
      <c r="Q74" s="844"/>
      <c r="R74" s="844"/>
      <c r="S74" s="1021"/>
    </row>
    <row r="75" spans="2:19" x14ac:dyDescent="0.35">
      <c r="B75" s="1019" t="str">
        <f>B58</f>
        <v>Software Licenses</v>
      </c>
      <c r="C75" s="778"/>
      <c r="D75" s="778"/>
      <c r="E75" s="778"/>
      <c r="F75" s="778"/>
      <c r="G75" s="778"/>
      <c r="H75" s="778"/>
      <c r="I75" s="778"/>
      <c r="J75" s="778"/>
      <c r="K75" s="778"/>
      <c r="L75" s="778"/>
      <c r="M75" s="778"/>
      <c r="N75" s="884">
        <f>Capitalisation!M19</f>
        <v>0</v>
      </c>
      <c r="O75" s="1014"/>
      <c r="P75" s="1014"/>
      <c r="Q75" s="1022"/>
      <c r="R75" s="1022"/>
      <c r="S75" s="1014"/>
    </row>
    <row r="76" spans="2:19" x14ac:dyDescent="0.35">
      <c r="B76" s="1023"/>
      <c r="C76" s="778"/>
      <c r="D76" s="778"/>
      <c r="E76" s="778"/>
      <c r="F76" s="778"/>
      <c r="G76" s="778"/>
      <c r="H76" s="778"/>
      <c r="I76" s="778"/>
      <c r="J76" s="778"/>
      <c r="K76" s="778"/>
      <c r="L76" s="778"/>
      <c r="M76" s="778"/>
      <c r="N76" s="884"/>
      <c r="O76" s="1014"/>
      <c r="P76" s="1014"/>
      <c r="Q76" s="1022"/>
      <c r="R76" s="1022"/>
      <c r="S76" s="1014"/>
    </row>
    <row r="77" spans="2:19" x14ac:dyDescent="0.35">
      <c r="B77" s="1006" t="s">
        <v>198</v>
      </c>
      <c r="C77" s="778"/>
      <c r="D77" s="778"/>
      <c r="E77" s="778"/>
      <c r="F77" s="778"/>
      <c r="G77" s="778"/>
      <c r="H77" s="778"/>
      <c r="I77" s="778"/>
      <c r="J77" s="778"/>
      <c r="K77" s="778"/>
      <c r="L77" s="778"/>
      <c r="M77" s="778"/>
      <c r="N77" s="884"/>
      <c r="O77" s="1014"/>
      <c r="P77" s="1014"/>
      <c r="Q77" s="1022"/>
      <c r="R77" s="1022"/>
      <c r="S77" s="1014"/>
    </row>
    <row r="78" spans="2:19" x14ac:dyDescent="0.35">
      <c r="B78" s="1006" t="s">
        <v>476</v>
      </c>
      <c r="C78" s="778"/>
      <c r="D78" s="778"/>
      <c r="E78" s="778"/>
      <c r="F78" s="778"/>
      <c r="G78" s="778"/>
      <c r="H78" s="778"/>
      <c r="I78" s="778"/>
      <c r="J78" s="778"/>
      <c r="K78" s="778"/>
      <c r="L78" s="778"/>
      <c r="M78" s="778"/>
      <c r="N78" s="884"/>
      <c r="O78" s="1014"/>
      <c r="P78" s="1014"/>
      <c r="Q78" s="1022"/>
      <c r="R78" s="1022"/>
      <c r="S78" s="1014"/>
    </row>
    <row r="79" spans="2:19" x14ac:dyDescent="0.35">
      <c r="B79" s="1007" t="s">
        <v>477</v>
      </c>
      <c r="C79" s="778"/>
      <c r="D79" s="778"/>
      <c r="E79" s="778"/>
      <c r="F79" s="778"/>
      <c r="G79" s="778"/>
      <c r="H79" s="778"/>
      <c r="I79" s="778"/>
      <c r="J79" s="778"/>
      <c r="K79" s="778"/>
      <c r="L79" s="778"/>
      <c r="M79" s="778"/>
      <c r="N79" s="884"/>
      <c r="O79" s="1014"/>
      <c r="P79" s="1014"/>
      <c r="Q79" s="1022"/>
      <c r="R79" s="1022"/>
      <c r="S79" s="1014"/>
    </row>
    <row r="80" spans="2:19" x14ac:dyDescent="0.35">
      <c r="B80" s="2015" t="s">
        <v>1393</v>
      </c>
      <c r="C80" s="2017" t="s">
        <v>1394</v>
      </c>
      <c r="D80" s="1003" t="s">
        <v>1395</v>
      </c>
      <c r="E80" s="1010">
        <v>43067</v>
      </c>
      <c r="F80" s="778" t="s">
        <v>1396</v>
      </c>
      <c r="G80" s="779"/>
      <c r="H80" s="779"/>
      <c r="I80" s="779"/>
      <c r="J80" s="779"/>
      <c r="K80" s="779"/>
      <c r="L80" s="779"/>
      <c r="M80" s="779"/>
      <c r="N80" s="884">
        <f>SUM(Capitalisation!P5:P13)+Capitalisation!P15+Capitalisation!P20</f>
        <v>4.9563993889999995</v>
      </c>
      <c r="O80" s="1021"/>
      <c r="P80" s="1021"/>
      <c r="Q80" s="1022">
        <v>0.11712920877838137</v>
      </c>
      <c r="R80" s="1022">
        <v>0.40841270166053534</v>
      </c>
      <c r="S80" s="1014">
        <f>SUM(O80:R80)</f>
        <v>0.52554191043891674</v>
      </c>
    </row>
    <row r="81" spans="2:19" x14ac:dyDescent="0.35">
      <c r="B81" s="2016"/>
      <c r="C81" s="2022"/>
      <c r="D81" s="1003"/>
      <c r="E81" s="1010"/>
      <c r="F81" s="778"/>
      <c r="G81" s="779"/>
      <c r="H81" s="779"/>
      <c r="I81" s="779"/>
      <c r="J81" s="779"/>
      <c r="K81" s="779"/>
      <c r="L81" s="779"/>
      <c r="M81" s="779"/>
      <c r="N81" s="1172"/>
      <c r="O81" s="1021"/>
      <c r="P81" s="1021"/>
      <c r="Q81" s="844"/>
      <c r="R81" s="844"/>
      <c r="S81" s="1021"/>
    </row>
    <row r="82" spans="2:19" x14ac:dyDescent="0.35">
      <c r="B82" s="778"/>
      <c r="C82" s="778"/>
      <c r="D82" s="778"/>
      <c r="E82" s="778"/>
      <c r="F82" s="778"/>
      <c r="G82" s="778"/>
      <c r="H82" s="778"/>
      <c r="I82" s="778"/>
      <c r="J82" s="778"/>
      <c r="K82" s="778"/>
      <c r="L82" s="778"/>
      <c r="M82" s="778"/>
      <c r="N82" s="884"/>
      <c r="O82" s="1014"/>
      <c r="P82" s="1014"/>
      <c r="Q82" s="1022"/>
      <c r="R82" s="1022"/>
      <c r="S82" s="1014"/>
    </row>
    <row r="83" spans="2:19" x14ac:dyDescent="0.35">
      <c r="B83" s="1007" t="s">
        <v>478</v>
      </c>
      <c r="C83" s="778"/>
      <c r="D83" s="778"/>
      <c r="E83" s="778"/>
      <c r="F83" s="778"/>
      <c r="G83" s="778"/>
      <c r="H83" s="778"/>
      <c r="I83" s="778"/>
      <c r="J83" s="778"/>
      <c r="K83" s="778"/>
      <c r="L83" s="778"/>
      <c r="M83" s="778"/>
      <c r="N83" s="884"/>
      <c r="O83" s="1014"/>
      <c r="P83" s="1014"/>
      <c r="Q83" s="1022"/>
      <c r="R83" s="1022"/>
      <c r="S83" s="1014"/>
    </row>
    <row r="84" spans="2:19" x14ac:dyDescent="0.35">
      <c r="B84" s="778" t="s">
        <v>239</v>
      </c>
      <c r="C84" s="778"/>
      <c r="D84" s="778"/>
      <c r="E84" s="778"/>
      <c r="F84" s="778"/>
      <c r="G84" s="778"/>
      <c r="H84" s="778"/>
      <c r="I84" s="778"/>
      <c r="J84" s="778"/>
      <c r="K84" s="778"/>
      <c r="L84" s="778"/>
      <c r="M84" s="778"/>
      <c r="N84" s="884"/>
      <c r="O84" s="1014"/>
      <c r="P84" s="1014"/>
      <c r="Q84" s="1022"/>
      <c r="R84" s="1022"/>
      <c r="S84" s="1014"/>
    </row>
    <row r="85" spans="2:19" x14ac:dyDescent="0.35">
      <c r="B85" s="778" t="s">
        <v>239</v>
      </c>
      <c r="C85" s="778"/>
      <c r="D85" s="778"/>
      <c r="E85" s="778"/>
      <c r="F85" s="778"/>
      <c r="G85" s="778"/>
      <c r="H85" s="778"/>
      <c r="I85" s="778"/>
      <c r="J85" s="778"/>
      <c r="K85" s="778"/>
      <c r="L85" s="778"/>
      <c r="M85" s="778"/>
      <c r="N85" s="884"/>
      <c r="O85" s="1014"/>
      <c r="P85" s="1014"/>
      <c r="Q85" s="1022"/>
      <c r="R85" s="1022"/>
      <c r="S85" s="1014"/>
    </row>
    <row r="86" spans="2:19" x14ac:dyDescent="0.35">
      <c r="B86" s="779" t="s">
        <v>479</v>
      </c>
      <c r="C86" s="778"/>
      <c r="D86" s="778"/>
      <c r="E86" s="778"/>
      <c r="F86" s="778"/>
      <c r="G86" s="778"/>
      <c r="H86" s="778"/>
      <c r="I86" s="778"/>
      <c r="J86" s="778"/>
      <c r="K86" s="778"/>
      <c r="L86" s="778"/>
      <c r="M86" s="778"/>
      <c r="N86" s="884"/>
      <c r="O86" s="1014"/>
      <c r="P86" s="1014"/>
      <c r="Q86" s="1022"/>
      <c r="R86" s="1022"/>
      <c r="S86" s="1014"/>
    </row>
    <row r="87" spans="2:19" x14ac:dyDescent="0.35">
      <c r="B87" s="1019" t="str">
        <f>B71</f>
        <v>Vehicles</v>
      </c>
      <c r="C87" s="778"/>
      <c r="D87" s="778"/>
      <c r="E87" s="778"/>
      <c r="F87" s="1024"/>
      <c r="G87" s="1011"/>
      <c r="H87" s="778"/>
      <c r="I87" s="778"/>
      <c r="J87" s="1011"/>
      <c r="K87" s="778"/>
      <c r="L87" s="778"/>
      <c r="M87" s="702"/>
      <c r="N87" s="884">
        <f>Capitalisation!P14</f>
        <v>0</v>
      </c>
      <c r="O87" s="1014"/>
      <c r="P87" s="1014"/>
      <c r="Q87" s="1022"/>
      <c r="R87" s="1022"/>
      <c r="S87" s="1014"/>
    </row>
    <row r="88" spans="2:19" x14ac:dyDescent="0.35">
      <c r="B88" s="1019" t="str">
        <f>B72</f>
        <v>I.T. equipments</v>
      </c>
      <c r="C88" s="778"/>
      <c r="D88" s="778"/>
      <c r="E88" s="778"/>
      <c r="F88" s="1024"/>
      <c r="G88" s="1011"/>
      <c r="H88" s="778"/>
      <c r="I88" s="778"/>
      <c r="J88" s="1011"/>
      <c r="K88" s="778"/>
      <c r="L88" s="778"/>
      <c r="M88" s="702"/>
      <c r="N88" s="884">
        <f>Capitalisation!P16</f>
        <v>1.0320912E-2</v>
      </c>
      <c r="O88" s="1014"/>
      <c r="P88" s="1014"/>
      <c r="Q88" s="1022"/>
      <c r="R88" s="1022"/>
      <c r="S88" s="1014"/>
    </row>
    <row r="89" spans="2:19" x14ac:dyDescent="0.35">
      <c r="B89" s="1019" t="str">
        <f>B73</f>
        <v>Office furniture and fittings</v>
      </c>
      <c r="C89" s="778"/>
      <c r="D89" s="778"/>
      <c r="E89" s="778"/>
      <c r="F89" s="1024"/>
      <c r="G89" s="1011"/>
      <c r="H89" s="778"/>
      <c r="I89" s="778"/>
      <c r="J89" s="1011"/>
      <c r="K89" s="778"/>
      <c r="L89" s="778"/>
      <c r="M89" s="702"/>
      <c r="N89" s="884">
        <f>Capitalisation!P17</f>
        <v>0</v>
      </c>
      <c r="O89" s="1014"/>
      <c r="P89" s="1014"/>
      <c r="Q89" s="1022"/>
      <c r="R89" s="1022"/>
      <c r="S89" s="1014"/>
    </row>
    <row r="90" spans="2:19" x14ac:dyDescent="0.35">
      <c r="B90" s="1019" t="str">
        <f>B74</f>
        <v>Office equipments</v>
      </c>
      <c r="C90" s="778"/>
      <c r="D90" s="778"/>
      <c r="E90" s="778"/>
      <c r="F90" s="1024"/>
      <c r="G90" s="1011"/>
      <c r="H90" s="778"/>
      <c r="I90" s="778"/>
      <c r="J90" s="1011"/>
      <c r="K90" s="778"/>
      <c r="L90" s="778"/>
      <c r="M90" s="702"/>
      <c r="N90" s="884">
        <f>Capitalisation!P18</f>
        <v>0</v>
      </c>
      <c r="O90" s="1014"/>
      <c r="P90" s="1014"/>
      <c r="Q90" s="1022"/>
      <c r="R90" s="1022"/>
      <c r="S90" s="1014"/>
    </row>
    <row r="91" spans="2:19" x14ac:dyDescent="0.35">
      <c r="B91" s="1019" t="str">
        <f>B75</f>
        <v>Software Licenses</v>
      </c>
      <c r="C91" s="778"/>
      <c r="D91" s="778"/>
      <c r="E91" s="778"/>
      <c r="F91" s="1024"/>
      <c r="G91" s="1011"/>
      <c r="H91" s="778"/>
      <c r="I91" s="778"/>
      <c r="J91" s="1011"/>
      <c r="K91" s="778"/>
      <c r="L91" s="778"/>
      <c r="M91" s="702"/>
      <c r="N91" s="884">
        <f>Capitalisation!P19</f>
        <v>0</v>
      </c>
      <c r="O91" s="1014"/>
      <c r="P91" s="1014"/>
      <c r="Q91" s="1014"/>
      <c r="R91" s="1014"/>
      <c r="S91" s="1014"/>
    </row>
    <row r="92" spans="2:19" x14ac:dyDescent="0.35">
      <c r="B92" s="1025"/>
      <c r="C92" s="778"/>
      <c r="D92" s="778"/>
      <c r="E92" s="778"/>
      <c r="F92" s="778"/>
      <c r="G92" s="778"/>
      <c r="H92" s="778"/>
      <c r="I92" s="778"/>
      <c r="J92" s="778"/>
      <c r="K92" s="778"/>
      <c r="L92" s="778"/>
      <c r="M92" s="778"/>
      <c r="N92" s="884"/>
      <c r="O92" s="1014"/>
      <c r="P92" s="1014"/>
      <c r="Q92" s="1014"/>
      <c r="R92" s="1014"/>
      <c r="S92" s="1014"/>
    </row>
    <row r="93" spans="2:19" x14ac:dyDescent="0.35">
      <c r="B93" s="1006" t="s">
        <v>199</v>
      </c>
      <c r="C93" s="778"/>
      <c r="D93" s="778"/>
      <c r="E93" s="778"/>
      <c r="F93" s="778"/>
      <c r="G93" s="778"/>
      <c r="H93" s="778"/>
      <c r="I93" s="778"/>
      <c r="J93" s="778"/>
      <c r="K93" s="778"/>
      <c r="L93" s="778"/>
      <c r="M93" s="778"/>
      <c r="N93" s="884"/>
      <c r="O93" s="1014"/>
      <c r="P93" s="1014"/>
      <c r="Q93" s="1014"/>
      <c r="R93" s="1014"/>
      <c r="S93" s="1014"/>
    </row>
    <row r="94" spans="2:19" x14ac:dyDescent="0.35">
      <c r="B94" s="1006" t="s">
        <v>476</v>
      </c>
      <c r="C94" s="778"/>
      <c r="D94" s="778"/>
      <c r="E94" s="778"/>
      <c r="F94" s="778"/>
      <c r="G94" s="778"/>
      <c r="H94" s="778"/>
      <c r="I94" s="778"/>
      <c r="J94" s="778"/>
      <c r="K94" s="778"/>
      <c r="L94" s="778"/>
      <c r="M94" s="778"/>
      <c r="N94" s="884"/>
      <c r="O94" s="1014"/>
      <c r="P94" s="1014"/>
      <c r="Q94" s="1014"/>
      <c r="R94" s="1014"/>
      <c r="S94" s="1014"/>
    </row>
    <row r="95" spans="2:19" x14ac:dyDescent="0.35">
      <c r="B95" s="1007" t="s">
        <v>477</v>
      </c>
      <c r="C95" s="778"/>
      <c r="D95" s="778"/>
      <c r="E95" s="778"/>
      <c r="F95" s="778"/>
      <c r="G95" s="778"/>
      <c r="H95" s="778"/>
      <c r="I95" s="778"/>
      <c r="J95" s="778"/>
      <c r="K95" s="778"/>
      <c r="L95" s="778"/>
      <c r="M95" s="778"/>
      <c r="N95" s="884"/>
      <c r="O95" s="1014"/>
      <c r="P95" s="1014"/>
      <c r="Q95" s="1014"/>
      <c r="R95" s="1014"/>
      <c r="S95" s="1014"/>
    </row>
    <row r="96" spans="2:19" x14ac:dyDescent="0.35">
      <c r="B96" s="2015" t="s">
        <v>1393</v>
      </c>
      <c r="C96" s="2017" t="s">
        <v>1394</v>
      </c>
      <c r="D96" s="1003" t="s">
        <v>1395</v>
      </c>
      <c r="E96" s="1010">
        <v>43067</v>
      </c>
      <c r="F96" s="778" t="s">
        <v>1396</v>
      </c>
      <c r="G96" s="779"/>
      <c r="H96" s="779"/>
      <c r="I96" s="779"/>
      <c r="J96" s="779"/>
      <c r="K96" s="779"/>
      <c r="L96" s="779"/>
      <c r="M96" s="779"/>
      <c r="N96" s="884">
        <f>SUM(Capitalisation!S5:S13)+Capitalisation!S15+Capitalisation!S20</f>
        <v>0.64014373999999996</v>
      </c>
      <c r="O96" s="1021"/>
      <c r="P96" s="1021"/>
      <c r="Q96" s="1014"/>
      <c r="R96" s="1021"/>
      <c r="S96" s="1014">
        <f>SUM(O96:R96)</f>
        <v>0</v>
      </c>
    </row>
    <row r="97" spans="2:19" x14ac:dyDescent="0.35">
      <c r="B97" s="2016"/>
      <c r="C97" s="2022"/>
      <c r="D97" s="1003"/>
      <c r="E97" s="1010"/>
      <c r="F97" s="778"/>
      <c r="G97" s="779"/>
      <c r="H97" s="779"/>
      <c r="I97" s="779"/>
      <c r="J97" s="779"/>
      <c r="K97" s="779"/>
      <c r="L97" s="779"/>
      <c r="M97" s="779"/>
      <c r="N97" s="1172"/>
      <c r="O97" s="1021"/>
      <c r="P97" s="1021"/>
      <c r="Q97" s="1021"/>
      <c r="R97" s="1021"/>
      <c r="S97" s="1021"/>
    </row>
    <row r="98" spans="2:19" x14ac:dyDescent="0.35">
      <c r="B98" s="778"/>
      <c r="C98" s="778"/>
      <c r="D98" s="778"/>
      <c r="E98" s="778"/>
      <c r="F98" s="778"/>
      <c r="G98" s="778"/>
      <c r="H98" s="778"/>
      <c r="I98" s="778"/>
      <c r="J98" s="778"/>
      <c r="K98" s="778"/>
      <c r="L98" s="778"/>
      <c r="M98" s="778"/>
      <c r="N98" s="884"/>
      <c r="O98" s="1014"/>
      <c r="P98" s="1014"/>
      <c r="Q98" s="1014"/>
      <c r="R98" s="1014"/>
      <c r="S98" s="1014"/>
    </row>
    <row r="99" spans="2:19" x14ac:dyDescent="0.35">
      <c r="B99" s="1007" t="s">
        <v>478</v>
      </c>
      <c r="C99" s="778"/>
      <c r="D99" s="778"/>
      <c r="E99" s="778"/>
      <c r="F99" s="778"/>
      <c r="G99" s="778"/>
      <c r="H99" s="778"/>
      <c r="I99" s="778"/>
      <c r="J99" s="778"/>
      <c r="K99" s="778"/>
      <c r="L99" s="778"/>
      <c r="M99" s="778"/>
      <c r="N99" s="884"/>
      <c r="O99" s="1014"/>
      <c r="P99" s="1014"/>
      <c r="Q99" s="1014"/>
      <c r="R99" s="1014"/>
      <c r="S99" s="1014"/>
    </row>
    <row r="100" spans="2:19" x14ac:dyDescent="0.35">
      <c r="B100" s="778" t="s">
        <v>239</v>
      </c>
      <c r="C100" s="778"/>
      <c r="D100" s="778"/>
      <c r="E100" s="778"/>
      <c r="F100" s="778"/>
      <c r="G100" s="778"/>
      <c r="H100" s="778"/>
      <c r="I100" s="778"/>
      <c r="J100" s="778"/>
      <c r="K100" s="778"/>
      <c r="L100" s="778"/>
      <c r="M100" s="778"/>
      <c r="N100" s="884"/>
      <c r="O100" s="1014"/>
      <c r="P100" s="1014"/>
      <c r="Q100" s="1014"/>
      <c r="R100" s="1014"/>
      <c r="S100" s="1014"/>
    </row>
    <row r="101" spans="2:19" x14ac:dyDescent="0.35">
      <c r="B101" s="778" t="s">
        <v>239</v>
      </c>
      <c r="C101" s="778"/>
      <c r="D101" s="778"/>
      <c r="E101" s="778"/>
      <c r="F101" s="778"/>
      <c r="G101" s="778"/>
      <c r="H101" s="778"/>
      <c r="I101" s="778"/>
      <c r="J101" s="778"/>
      <c r="K101" s="778"/>
      <c r="L101" s="778"/>
      <c r="M101" s="778"/>
      <c r="N101" s="884"/>
      <c r="O101" s="1014"/>
      <c r="P101" s="1014"/>
      <c r="Q101" s="1014"/>
      <c r="R101" s="1014"/>
      <c r="S101" s="1014"/>
    </row>
    <row r="102" spans="2:19" x14ac:dyDescent="0.35">
      <c r="B102" s="779" t="s">
        <v>479</v>
      </c>
      <c r="C102" s="778"/>
      <c r="D102" s="778"/>
      <c r="E102" s="778"/>
      <c r="F102" s="778"/>
      <c r="G102" s="778"/>
      <c r="H102" s="778"/>
      <c r="I102" s="778"/>
      <c r="J102" s="778"/>
      <c r="K102" s="778"/>
      <c r="L102" s="778"/>
      <c r="M102" s="778"/>
      <c r="N102" s="884"/>
      <c r="O102" s="1014"/>
      <c r="P102" s="1014"/>
      <c r="Q102" s="1014"/>
      <c r="R102" s="1014"/>
      <c r="S102" s="1014"/>
    </row>
    <row r="103" spans="2:19" x14ac:dyDescent="0.35">
      <c r="B103" s="1019" t="str">
        <f>B87</f>
        <v>Vehicles</v>
      </c>
      <c r="C103" s="778"/>
      <c r="D103" s="778"/>
      <c r="E103" s="778"/>
      <c r="F103" s="778"/>
      <c r="G103" s="778"/>
      <c r="H103" s="778"/>
      <c r="I103" s="778"/>
      <c r="J103" s="778"/>
      <c r="K103" s="778"/>
      <c r="L103" s="778"/>
      <c r="M103" s="778"/>
      <c r="N103" s="884">
        <f>+Capitalisation!S14</f>
        <v>0</v>
      </c>
      <c r="O103" s="1014"/>
      <c r="P103" s="1014"/>
      <c r="Q103" s="1014"/>
      <c r="R103" s="1014"/>
      <c r="S103" s="1014"/>
    </row>
    <row r="104" spans="2:19" x14ac:dyDescent="0.35">
      <c r="B104" s="1019" t="str">
        <f>B88</f>
        <v>I.T. equipments</v>
      </c>
      <c r="C104" s="778"/>
      <c r="D104" s="778"/>
      <c r="E104" s="778"/>
      <c r="F104" s="778"/>
      <c r="G104" s="778"/>
      <c r="H104" s="778"/>
      <c r="I104" s="778"/>
      <c r="J104" s="778"/>
      <c r="K104" s="778"/>
      <c r="L104" s="778"/>
      <c r="M104" s="778"/>
      <c r="N104" s="884">
        <f>+Capitalisation!S16</f>
        <v>2.2350060000000003E-3</v>
      </c>
      <c r="O104" s="1014"/>
      <c r="P104" s="1014"/>
      <c r="Q104" s="1014"/>
      <c r="R104" s="1014"/>
      <c r="S104" s="1014"/>
    </row>
    <row r="105" spans="2:19" x14ac:dyDescent="0.35">
      <c r="B105" s="1019" t="str">
        <f>B89</f>
        <v>Office furniture and fittings</v>
      </c>
      <c r="C105" s="778"/>
      <c r="D105" s="778"/>
      <c r="E105" s="778"/>
      <c r="F105" s="778"/>
      <c r="G105" s="778"/>
      <c r="H105" s="778"/>
      <c r="I105" s="778"/>
      <c r="J105" s="778"/>
      <c r="K105" s="778"/>
      <c r="L105" s="778"/>
      <c r="M105" s="778"/>
      <c r="N105" s="884">
        <f>+Capitalisation!S17</f>
        <v>0</v>
      </c>
      <c r="O105" s="1014"/>
      <c r="P105" s="1014"/>
      <c r="Q105" s="1014"/>
      <c r="R105" s="1014"/>
      <c r="S105" s="1014"/>
    </row>
    <row r="106" spans="2:19" x14ac:dyDescent="0.35">
      <c r="B106" s="1019" t="str">
        <f>B90</f>
        <v>Office equipments</v>
      </c>
      <c r="C106" s="778"/>
      <c r="D106" s="778"/>
      <c r="E106" s="778"/>
      <c r="F106" s="778"/>
      <c r="G106" s="778"/>
      <c r="H106" s="778"/>
      <c r="I106" s="778"/>
      <c r="J106" s="778"/>
      <c r="K106" s="778"/>
      <c r="L106" s="778"/>
      <c r="M106" s="778"/>
      <c r="N106" s="884">
        <f>+Capitalisation!S18</f>
        <v>1.25139E-2</v>
      </c>
      <c r="O106" s="1014"/>
      <c r="P106" s="1014"/>
      <c r="Q106" s="1014"/>
      <c r="R106" s="1014"/>
      <c r="S106" s="1014"/>
    </row>
    <row r="107" spans="2:19" x14ac:dyDescent="0.35">
      <c r="B107" s="1019" t="str">
        <f>B91</f>
        <v>Software Licenses</v>
      </c>
      <c r="C107" s="778"/>
      <c r="D107" s="778"/>
      <c r="E107" s="778"/>
      <c r="F107" s="778"/>
      <c r="G107" s="778"/>
      <c r="H107" s="778"/>
      <c r="I107" s="778"/>
      <c r="J107" s="778"/>
      <c r="K107" s="778"/>
      <c r="L107" s="778"/>
      <c r="M107" s="778"/>
      <c r="N107" s="884">
        <f>+Capitalisation!S19</f>
        <v>0</v>
      </c>
      <c r="O107" s="1014"/>
      <c r="P107" s="1014"/>
      <c r="Q107" s="1014"/>
      <c r="R107" s="1014"/>
      <c r="S107" s="1014"/>
    </row>
    <row r="108" spans="2:19" x14ac:dyDescent="0.35">
      <c r="B108" s="778"/>
      <c r="C108" s="778"/>
      <c r="D108" s="778"/>
      <c r="E108" s="778"/>
      <c r="F108" s="778"/>
      <c r="G108" s="778"/>
      <c r="H108" s="778"/>
      <c r="I108" s="778"/>
      <c r="J108" s="778"/>
      <c r="K108" s="778"/>
      <c r="L108" s="778"/>
      <c r="M108" s="778"/>
      <c r="N108" s="884"/>
      <c r="O108" s="1014"/>
      <c r="P108" s="1014"/>
      <c r="Q108" s="1014"/>
      <c r="R108" s="1014"/>
      <c r="S108" s="1014"/>
    </row>
    <row r="109" spans="2:19" x14ac:dyDescent="0.35">
      <c r="B109" s="1006" t="s">
        <v>112</v>
      </c>
      <c r="C109" s="778"/>
      <c r="D109" s="778"/>
      <c r="E109" s="778"/>
      <c r="F109" s="778"/>
      <c r="G109" s="778"/>
      <c r="H109" s="778"/>
      <c r="I109" s="778"/>
      <c r="J109" s="778"/>
      <c r="K109" s="778"/>
      <c r="L109" s="778"/>
      <c r="M109" s="778"/>
      <c r="N109" s="884"/>
      <c r="O109" s="1014"/>
      <c r="P109" s="1014"/>
      <c r="Q109" s="1014"/>
      <c r="R109" s="1014"/>
      <c r="S109" s="1014"/>
    </row>
    <row r="110" spans="2:19" x14ac:dyDescent="0.35">
      <c r="B110" s="1006" t="s">
        <v>476</v>
      </c>
      <c r="C110" s="778"/>
      <c r="D110" s="778"/>
      <c r="E110" s="778"/>
      <c r="F110" s="778"/>
      <c r="G110" s="778"/>
      <c r="H110" s="778"/>
      <c r="I110" s="778"/>
      <c r="J110" s="778"/>
      <c r="K110" s="778"/>
      <c r="L110" s="778"/>
      <c r="M110" s="778"/>
      <c r="N110" s="884"/>
      <c r="O110" s="1014"/>
      <c r="P110" s="1014"/>
      <c r="Q110" s="1014"/>
      <c r="R110" s="1014"/>
      <c r="S110" s="1014"/>
    </row>
    <row r="111" spans="2:19" x14ac:dyDescent="0.35">
      <c r="B111" s="1007" t="s">
        <v>477</v>
      </c>
      <c r="C111" s="778"/>
      <c r="D111" s="778"/>
      <c r="E111" s="778"/>
      <c r="F111" s="778"/>
      <c r="G111" s="778"/>
      <c r="H111" s="778"/>
      <c r="I111" s="778"/>
      <c r="J111" s="778"/>
      <c r="K111" s="778"/>
      <c r="L111" s="778"/>
      <c r="M111" s="778"/>
      <c r="N111" s="884"/>
      <c r="O111" s="1014"/>
      <c r="P111" s="1014"/>
      <c r="Q111" s="1014"/>
      <c r="R111" s="1014"/>
      <c r="S111" s="1014"/>
    </row>
    <row r="112" spans="2:19" x14ac:dyDescent="0.35">
      <c r="B112" s="2015" t="s">
        <v>1393</v>
      </c>
      <c r="C112" s="2017" t="s">
        <v>1394</v>
      </c>
      <c r="D112" s="1003" t="s">
        <v>1395</v>
      </c>
      <c r="E112" s="1010">
        <v>43067</v>
      </c>
      <c r="F112" s="778" t="s">
        <v>1396</v>
      </c>
      <c r="G112" s="779"/>
      <c r="H112" s="779"/>
      <c r="I112" s="779"/>
      <c r="J112" s="779"/>
      <c r="K112" s="779"/>
      <c r="L112" s="779"/>
      <c r="M112" s="779"/>
      <c r="N112" s="884">
        <f>SUM(Capitalisation!V5:V13)+Capitalisation!V15+Capitalisation!V20</f>
        <v>0</v>
      </c>
      <c r="O112" s="1014"/>
      <c r="P112" s="1014"/>
      <c r="Q112" s="1014"/>
      <c r="R112" s="1014"/>
      <c r="S112" s="1014"/>
    </row>
    <row r="113" spans="2:19" x14ac:dyDescent="0.35">
      <c r="B113" s="2016"/>
      <c r="C113" s="2022"/>
      <c r="D113" s="1003"/>
      <c r="E113" s="1010"/>
      <c r="F113" s="778"/>
      <c r="G113" s="779"/>
      <c r="H113" s="779"/>
      <c r="I113" s="779"/>
      <c r="J113" s="779"/>
      <c r="K113" s="779"/>
      <c r="L113" s="779"/>
      <c r="M113" s="779"/>
      <c r="N113" s="1172"/>
      <c r="O113" s="1014"/>
      <c r="P113" s="1014"/>
      <c r="Q113" s="1014"/>
      <c r="R113" s="1014"/>
      <c r="S113" s="1014"/>
    </row>
    <row r="114" spans="2:19" x14ac:dyDescent="0.35">
      <c r="B114" s="778"/>
      <c r="C114" s="778"/>
      <c r="D114" s="778"/>
      <c r="E114" s="778"/>
      <c r="F114" s="778"/>
      <c r="G114" s="778"/>
      <c r="H114" s="778"/>
      <c r="I114" s="778"/>
      <c r="J114" s="778"/>
      <c r="K114" s="778"/>
      <c r="L114" s="778"/>
      <c r="M114" s="778"/>
      <c r="N114" s="884"/>
      <c r="O114" s="1014"/>
      <c r="P114" s="1014"/>
      <c r="Q114" s="1014"/>
      <c r="R114" s="1014"/>
      <c r="S114" s="1014"/>
    </row>
    <row r="115" spans="2:19" x14ac:dyDescent="0.35">
      <c r="B115" s="1007" t="s">
        <v>478</v>
      </c>
      <c r="C115" s="778"/>
      <c r="D115" s="778"/>
      <c r="E115" s="778"/>
      <c r="F115" s="778"/>
      <c r="G115" s="778"/>
      <c r="H115" s="778"/>
      <c r="I115" s="778"/>
      <c r="J115" s="778"/>
      <c r="K115" s="778"/>
      <c r="L115" s="778"/>
      <c r="M115" s="778"/>
      <c r="N115" s="884"/>
      <c r="O115" s="1014"/>
      <c r="P115" s="1014"/>
      <c r="Q115" s="1014"/>
      <c r="R115" s="1014"/>
      <c r="S115" s="1014"/>
    </row>
    <row r="116" spans="2:19" x14ac:dyDescent="0.35">
      <c r="B116" s="778" t="s">
        <v>239</v>
      </c>
      <c r="C116" s="778"/>
      <c r="D116" s="778"/>
      <c r="E116" s="778"/>
      <c r="F116" s="778"/>
      <c r="G116" s="778"/>
      <c r="H116" s="778"/>
      <c r="I116" s="778"/>
      <c r="J116" s="778"/>
      <c r="K116" s="778"/>
      <c r="L116" s="778"/>
      <c r="M116" s="778"/>
      <c r="N116" s="884"/>
      <c r="O116" s="1014"/>
      <c r="P116" s="1014"/>
      <c r="Q116" s="1014"/>
      <c r="R116" s="1014"/>
      <c r="S116" s="1014"/>
    </row>
    <row r="117" spans="2:19" x14ac:dyDescent="0.35">
      <c r="B117" s="778" t="s">
        <v>239</v>
      </c>
      <c r="C117" s="778"/>
      <c r="D117" s="778"/>
      <c r="E117" s="778"/>
      <c r="F117" s="778"/>
      <c r="G117" s="778"/>
      <c r="H117" s="778"/>
      <c r="I117" s="778"/>
      <c r="J117" s="778"/>
      <c r="K117" s="778"/>
      <c r="L117" s="778"/>
      <c r="M117" s="778"/>
      <c r="N117" s="884"/>
      <c r="O117" s="1014"/>
      <c r="P117" s="1014"/>
      <c r="Q117" s="1014"/>
      <c r="R117" s="1014"/>
      <c r="S117" s="1014"/>
    </row>
    <row r="118" spans="2:19" x14ac:dyDescent="0.35">
      <c r="B118" s="779" t="s">
        <v>479</v>
      </c>
      <c r="C118" s="778"/>
      <c r="D118" s="778"/>
      <c r="E118" s="778"/>
      <c r="F118" s="778"/>
      <c r="G118" s="778"/>
      <c r="H118" s="778"/>
      <c r="I118" s="778"/>
      <c r="J118" s="778"/>
      <c r="K118" s="778"/>
      <c r="L118" s="778"/>
      <c r="M118" s="778"/>
      <c r="N118" s="884"/>
      <c r="O118" s="1014"/>
      <c r="P118" s="1014"/>
      <c r="Q118" s="1014"/>
      <c r="R118" s="1014"/>
      <c r="S118" s="1014"/>
    </row>
    <row r="119" spans="2:19" x14ac:dyDescent="0.35">
      <c r="B119" s="1019" t="str">
        <f>B103</f>
        <v>Vehicles</v>
      </c>
      <c r="C119" s="778"/>
      <c r="D119" s="778"/>
      <c r="E119" s="778"/>
      <c r="F119" s="1024"/>
      <c r="G119" s="1011"/>
      <c r="H119" s="778"/>
      <c r="I119" s="778"/>
      <c r="J119" s="1011"/>
      <c r="K119" s="778"/>
      <c r="L119" s="778"/>
      <c r="M119" s="702"/>
      <c r="N119" s="884">
        <f>+Capitalisation!V14</f>
        <v>0</v>
      </c>
      <c r="O119" s="1014"/>
      <c r="P119" s="1014"/>
      <c r="Q119" s="1022"/>
      <c r="R119" s="1022"/>
      <c r="S119" s="1014"/>
    </row>
    <row r="120" spans="2:19" x14ac:dyDescent="0.35">
      <c r="B120" s="1019" t="str">
        <f>B104</f>
        <v>I.T. equipments</v>
      </c>
      <c r="C120" s="778"/>
      <c r="D120" s="778"/>
      <c r="E120" s="778"/>
      <c r="F120" s="1024"/>
      <c r="G120" s="1011"/>
      <c r="H120" s="778"/>
      <c r="I120" s="778"/>
      <c r="J120" s="1011"/>
      <c r="K120" s="778"/>
      <c r="L120" s="778"/>
      <c r="M120" s="702"/>
      <c r="N120" s="884">
        <f>+Capitalisation!V16</f>
        <v>4.9749910000000007E-3</v>
      </c>
      <c r="O120" s="1014"/>
      <c r="P120" s="1014"/>
      <c r="Q120" s="1022"/>
      <c r="R120" s="1022"/>
      <c r="S120" s="1014"/>
    </row>
    <row r="121" spans="2:19" x14ac:dyDescent="0.35">
      <c r="B121" s="1019" t="str">
        <f>B105</f>
        <v>Office furniture and fittings</v>
      </c>
      <c r="C121" s="778"/>
      <c r="D121" s="778"/>
      <c r="E121" s="778"/>
      <c r="F121" s="1024"/>
      <c r="G121" s="1011"/>
      <c r="H121" s="778"/>
      <c r="I121" s="778"/>
      <c r="J121" s="1011"/>
      <c r="K121" s="778"/>
      <c r="L121" s="778"/>
      <c r="M121" s="702"/>
      <c r="N121" s="884">
        <f>+Capitalisation!V17</f>
        <v>0</v>
      </c>
      <c r="O121" s="1014"/>
      <c r="P121" s="1014"/>
      <c r="Q121" s="1022"/>
      <c r="R121" s="1022"/>
      <c r="S121" s="1014"/>
    </row>
    <row r="122" spans="2:19" x14ac:dyDescent="0.35">
      <c r="B122" s="1019" t="str">
        <f>B106</f>
        <v>Office equipments</v>
      </c>
      <c r="C122" s="778"/>
      <c r="D122" s="778"/>
      <c r="E122" s="778"/>
      <c r="F122" s="1024"/>
      <c r="G122" s="1011"/>
      <c r="H122" s="778"/>
      <c r="I122" s="778"/>
      <c r="J122" s="1011"/>
      <c r="K122" s="778"/>
      <c r="L122" s="778"/>
      <c r="M122" s="702"/>
      <c r="N122" s="884">
        <f>+Capitalisation!V18</f>
        <v>0</v>
      </c>
      <c r="O122" s="1014"/>
      <c r="P122" s="1014"/>
      <c r="Q122" s="1022"/>
      <c r="R122" s="1022"/>
      <c r="S122" s="1014"/>
    </row>
    <row r="123" spans="2:19" x14ac:dyDescent="0.35">
      <c r="B123" s="1019" t="str">
        <f>B107</f>
        <v>Software Licenses</v>
      </c>
      <c r="C123" s="778"/>
      <c r="D123" s="778"/>
      <c r="E123" s="778"/>
      <c r="F123" s="1024"/>
      <c r="G123" s="1011"/>
      <c r="H123" s="778"/>
      <c r="I123" s="778"/>
      <c r="J123" s="1011"/>
      <c r="K123" s="778"/>
      <c r="L123" s="778"/>
      <c r="M123" s="702"/>
      <c r="N123" s="884">
        <f>+Capitalisation!V19</f>
        <v>0</v>
      </c>
      <c r="O123" s="1014"/>
      <c r="P123" s="1014"/>
      <c r="Q123" s="1014"/>
      <c r="R123" s="1014"/>
      <c r="S123" s="1014"/>
    </row>
    <row r="124" spans="2:19" x14ac:dyDescent="0.35">
      <c r="B124" s="1023"/>
      <c r="C124" s="778"/>
      <c r="D124" s="778"/>
      <c r="E124" s="778"/>
      <c r="F124" s="778"/>
      <c r="G124" s="778"/>
      <c r="H124" s="778"/>
      <c r="I124" s="778"/>
      <c r="J124" s="778"/>
      <c r="K124" s="778"/>
      <c r="L124" s="778"/>
      <c r="M124" s="778"/>
      <c r="N124" s="884"/>
      <c r="O124" s="1014"/>
      <c r="P124" s="1014"/>
      <c r="Q124" s="1014"/>
      <c r="R124" s="1014"/>
      <c r="S124" s="1014"/>
    </row>
    <row r="125" spans="2:19" x14ac:dyDescent="0.35">
      <c r="B125" s="1006" t="s">
        <v>113</v>
      </c>
      <c r="C125" s="778"/>
      <c r="D125" s="778"/>
      <c r="E125" s="778"/>
      <c r="F125" s="778"/>
      <c r="G125" s="778"/>
      <c r="H125" s="778"/>
      <c r="I125" s="778"/>
      <c r="J125" s="778"/>
      <c r="K125" s="778"/>
      <c r="L125" s="778"/>
      <c r="M125" s="778"/>
      <c r="N125" s="884"/>
      <c r="O125" s="1014"/>
      <c r="P125" s="1014"/>
      <c r="Q125" s="1014"/>
      <c r="R125" s="1014"/>
      <c r="S125" s="1014"/>
    </row>
    <row r="126" spans="2:19" x14ac:dyDescent="0.35">
      <c r="B126" s="1006" t="s">
        <v>476</v>
      </c>
      <c r="C126" s="778"/>
      <c r="D126" s="778"/>
      <c r="E126" s="778"/>
      <c r="F126" s="778"/>
      <c r="G126" s="778"/>
      <c r="H126" s="778"/>
      <c r="I126" s="778"/>
      <c r="J126" s="778"/>
      <c r="K126" s="778"/>
      <c r="L126" s="778"/>
      <c r="M126" s="778"/>
      <c r="N126" s="884"/>
      <c r="O126" s="1014"/>
      <c r="P126" s="1014"/>
      <c r="Q126" s="1014"/>
      <c r="R126" s="1014"/>
      <c r="S126" s="1014"/>
    </row>
    <row r="127" spans="2:19" x14ac:dyDescent="0.35">
      <c r="B127" s="1007" t="s">
        <v>477</v>
      </c>
      <c r="C127" s="778"/>
      <c r="D127" s="778"/>
      <c r="E127" s="778"/>
      <c r="F127" s="778"/>
      <c r="G127" s="778"/>
      <c r="H127" s="778"/>
      <c r="I127" s="778"/>
      <c r="J127" s="778"/>
      <c r="K127" s="778"/>
      <c r="L127" s="778"/>
      <c r="M127" s="778"/>
      <c r="N127" s="884"/>
      <c r="O127" s="1014"/>
      <c r="P127" s="1014"/>
      <c r="Q127" s="1014"/>
      <c r="R127" s="1014"/>
      <c r="S127" s="1014"/>
    </row>
    <row r="128" spans="2:19" x14ac:dyDescent="0.35">
      <c r="B128" s="2015" t="s">
        <v>1393</v>
      </c>
      <c r="C128" s="2017" t="s">
        <v>1394</v>
      </c>
      <c r="D128" s="1003" t="s">
        <v>1395</v>
      </c>
      <c r="E128" s="1010">
        <v>43067</v>
      </c>
      <c r="F128" s="778" t="s">
        <v>1396</v>
      </c>
      <c r="G128" s="779"/>
      <c r="H128" s="779"/>
      <c r="I128" s="779"/>
      <c r="J128" s="779"/>
      <c r="K128" s="779"/>
      <c r="L128" s="779"/>
      <c r="M128" s="779"/>
      <c r="N128" s="884">
        <f>SUM(Capitalisation!Y5:Y13)+Capitalisation!Y15+Capitalisation!Y20</f>
        <v>9.1967151999999996E-2</v>
      </c>
      <c r="O128" s="1014"/>
      <c r="P128" s="1014"/>
      <c r="Q128" s="1014"/>
      <c r="R128" s="1014"/>
      <c r="S128" s="1014"/>
    </row>
    <row r="129" spans="2:19" x14ac:dyDescent="0.35">
      <c r="B129" s="2016"/>
      <c r="C129" s="2022"/>
      <c r="D129" s="1003"/>
      <c r="E129" s="1010"/>
      <c r="F129" s="778"/>
      <c r="G129" s="779"/>
      <c r="H129" s="779"/>
      <c r="I129" s="779"/>
      <c r="J129" s="779"/>
      <c r="K129" s="779"/>
      <c r="L129" s="779"/>
      <c r="M129" s="779"/>
      <c r="N129" s="1172"/>
      <c r="O129" s="1014"/>
      <c r="P129" s="1014"/>
      <c r="Q129" s="1014"/>
      <c r="R129" s="1014"/>
      <c r="S129" s="1014"/>
    </row>
    <row r="130" spans="2:19" x14ac:dyDescent="0.35">
      <c r="B130" s="778" t="s">
        <v>239</v>
      </c>
      <c r="C130" s="778"/>
      <c r="D130" s="778"/>
      <c r="E130" s="778"/>
      <c r="F130" s="778"/>
      <c r="G130" s="778"/>
      <c r="H130" s="778"/>
      <c r="I130" s="778"/>
      <c r="J130" s="778"/>
      <c r="K130" s="778"/>
      <c r="L130" s="778"/>
      <c r="M130" s="778"/>
      <c r="N130" s="884"/>
      <c r="O130" s="1014"/>
      <c r="P130" s="1014"/>
      <c r="Q130" s="1014"/>
      <c r="R130" s="1014"/>
      <c r="S130" s="1014"/>
    </row>
    <row r="131" spans="2:19" x14ac:dyDescent="0.35">
      <c r="B131" s="779" t="s">
        <v>479</v>
      </c>
      <c r="C131" s="778"/>
      <c r="D131" s="778"/>
      <c r="E131" s="778"/>
      <c r="F131" s="778"/>
      <c r="G131" s="778"/>
      <c r="H131" s="778"/>
      <c r="I131" s="778"/>
      <c r="J131" s="778"/>
      <c r="K131" s="778"/>
      <c r="L131" s="778"/>
      <c r="M131" s="778"/>
      <c r="N131" s="884"/>
      <c r="O131" s="1014"/>
      <c r="P131" s="1014"/>
      <c r="Q131" s="1014"/>
      <c r="R131" s="1014"/>
      <c r="S131" s="1014"/>
    </row>
    <row r="132" spans="2:19" x14ac:dyDescent="0.35">
      <c r="B132" s="1019" t="str">
        <f>+B103</f>
        <v>Vehicles</v>
      </c>
      <c r="C132" s="778"/>
      <c r="D132" s="778"/>
      <c r="E132" s="778"/>
      <c r="F132" s="1024"/>
      <c r="G132" s="1011"/>
      <c r="H132" s="778"/>
      <c r="I132" s="778"/>
      <c r="J132" s="1011"/>
      <c r="K132" s="778"/>
      <c r="L132" s="778"/>
      <c r="M132" s="702"/>
      <c r="N132" s="884">
        <f>+Capitalisation!Y14</f>
        <v>0</v>
      </c>
      <c r="O132" s="1014"/>
      <c r="P132" s="1014"/>
      <c r="Q132" s="1022"/>
      <c r="R132" s="1022"/>
      <c r="S132" s="1014"/>
    </row>
    <row r="133" spans="2:19" x14ac:dyDescent="0.35">
      <c r="B133" s="1019" t="str">
        <f>+B104</f>
        <v>I.T. equipments</v>
      </c>
      <c r="C133" s="778"/>
      <c r="D133" s="778"/>
      <c r="E133" s="778"/>
      <c r="F133" s="1024"/>
      <c r="G133" s="1011"/>
      <c r="H133" s="778"/>
      <c r="I133" s="778"/>
      <c r="J133" s="1011"/>
      <c r="K133" s="778"/>
      <c r="L133" s="778"/>
      <c r="M133" s="702"/>
      <c r="N133" s="884">
        <f>+Capitalisation!Y16</f>
        <v>3.5545362499999997E-2</v>
      </c>
      <c r="O133" s="1014"/>
      <c r="P133" s="1014"/>
      <c r="Q133" s="1022"/>
      <c r="R133" s="1022"/>
      <c r="S133" s="1014"/>
    </row>
    <row r="134" spans="2:19" x14ac:dyDescent="0.35">
      <c r="B134" s="1019" t="str">
        <f>+B105</f>
        <v>Office furniture and fittings</v>
      </c>
      <c r="C134" s="778"/>
      <c r="D134" s="778"/>
      <c r="E134" s="778"/>
      <c r="F134" s="1024"/>
      <c r="G134" s="1011"/>
      <c r="H134" s="778"/>
      <c r="I134" s="778"/>
      <c r="J134" s="1011"/>
      <c r="K134" s="778"/>
      <c r="L134" s="778"/>
      <c r="M134" s="702"/>
      <c r="N134" s="884">
        <f>+Capitalisation!Y17</f>
        <v>0</v>
      </c>
      <c r="O134" s="1014"/>
      <c r="P134" s="1014"/>
      <c r="Q134" s="1022"/>
      <c r="R134" s="1022"/>
      <c r="S134" s="1014"/>
    </row>
    <row r="135" spans="2:19" x14ac:dyDescent="0.35">
      <c r="B135" s="1019" t="str">
        <f>+B106</f>
        <v>Office equipments</v>
      </c>
      <c r="C135" s="778"/>
      <c r="D135" s="778"/>
      <c r="E135" s="778"/>
      <c r="F135" s="1024"/>
      <c r="G135" s="1011"/>
      <c r="H135" s="778"/>
      <c r="I135" s="778"/>
      <c r="J135" s="1011"/>
      <c r="K135" s="778"/>
      <c r="L135" s="778"/>
      <c r="M135" s="702"/>
      <c r="N135" s="884">
        <f>+Capitalisation!Y18</f>
        <v>8.5004999999999998E-4</v>
      </c>
      <c r="O135" s="1014"/>
      <c r="P135" s="1014"/>
      <c r="Q135" s="1022"/>
      <c r="R135" s="1022"/>
      <c r="S135" s="1014"/>
    </row>
    <row r="136" spans="2:19" x14ac:dyDescent="0.35">
      <c r="B136" s="1019" t="str">
        <f>+B107</f>
        <v>Software Licenses</v>
      </c>
      <c r="C136" s="778"/>
      <c r="D136" s="778"/>
      <c r="E136" s="778"/>
      <c r="F136" s="1024"/>
      <c r="G136" s="1011"/>
      <c r="H136" s="778"/>
      <c r="I136" s="778"/>
      <c r="J136" s="1011"/>
      <c r="K136" s="778"/>
      <c r="L136" s="778"/>
      <c r="M136" s="702"/>
      <c r="N136" s="884">
        <f>+Capitalisation!Y19</f>
        <v>0</v>
      </c>
      <c r="O136" s="1014"/>
      <c r="P136" s="1014"/>
      <c r="Q136" s="1014"/>
      <c r="R136" s="1014"/>
      <c r="S136" s="1014"/>
    </row>
    <row r="137" spans="2:19" x14ac:dyDescent="0.35">
      <c r="B137" s="1023"/>
      <c r="C137" s="778"/>
      <c r="D137" s="778"/>
      <c r="E137" s="778"/>
      <c r="F137" s="778"/>
      <c r="G137" s="778"/>
      <c r="H137" s="778"/>
      <c r="I137" s="778"/>
      <c r="J137" s="778"/>
      <c r="K137" s="778"/>
      <c r="L137" s="778"/>
      <c r="M137" s="778"/>
      <c r="N137" s="884"/>
      <c r="O137" s="1014"/>
      <c r="P137" s="1014"/>
      <c r="Q137" s="1014"/>
      <c r="R137" s="1014"/>
      <c r="S137" s="1014"/>
    </row>
    <row r="138" spans="2:19" x14ac:dyDescent="0.35">
      <c r="B138" s="1006" t="s">
        <v>114</v>
      </c>
      <c r="C138" s="778"/>
      <c r="D138" s="778"/>
      <c r="E138" s="778"/>
      <c r="F138" s="778"/>
      <c r="G138" s="778"/>
      <c r="H138" s="778"/>
      <c r="I138" s="778"/>
      <c r="J138" s="778"/>
      <c r="K138" s="778"/>
      <c r="L138" s="778"/>
      <c r="M138" s="778"/>
      <c r="N138" s="884"/>
      <c r="O138" s="1014"/>
      <c r="P138" s="1014"/>
      <c r="Q138" s="1014"/>
      <c r="R138" s="1014"/>
      <c r="S138" s="1014"/>
    </row>
    <row r="139" spans="2:19" x14ac:dyDescent="0.35">
      <c r="B139" s="1006" t="s">
        <v>476</v>
      </c>
      <c r="C139" s="778"/>
      <c r="D139" s="778"/>
      <c r="E139" s="778"/>
      <c r="F139" s="778"/>
      <c r="G139" s="778"/>
      <c r="H139" s="778"/>
      <c r="I139" s="778"/>
      <c r="J139" s="778"/>
      <c r="K139" s="778"/>
      <c r="L139" s="778"/>
      <c r="M139" s="778"/>
      <c r="N139" s="884"/>
      <c r="O139" s="1014"/>
      <c r="P139" s="1014"/>
      <c r="Q139" s="1014"/>
      <c r="R139" s="1014"/>
      <c r="S139" s="1014"/>
    </row>
    <row r="140" spans="2:19" x14ac:dyDescent="0.35">
      <c r="B140" s="1007" t="s">
        <v>477</v>
      </c>
      <c r="C140" s="778"/>
      <c r="D140" s="778"/>
      <c r="E140" s="778"/>
      <c r="F140" s="778"/>
      <c r="G140" s="778"/>
      <c r="H140" s="778"/>
      <c r="I140" s="778"/>
      <c r="J140" s="778"/>
      <c r="K140" s="778"/>
      <c r="L140" s="778"/>
      <c r="M140" s="778"/>
      <c r="N140" s="884"/>
      <c r="O140" s="1014"/>
      <c r="P140" s="1014"/>
      <c r="Q140" s="1014"/>
      <c r="R140" s="1014"/>
      <c r="S140" s="1014"/>
    </row>
    <row r="141" spans="2:19" x14ac:dyDescent="0.35">
      <c r="B141" s="2015" t="s">
        <v>1393</v>
      </c>
      <c r="C141" s="2017" t="s">
        <v>1394</v>
      </c>
      <c r="D141" s="1003" t="s">
        <v>1395</v>
      </c>
      <c r="E141" s="1010">
        <v>43067</v>
      </c>
      <c r="F141" s="778" t="s">
        <v>1396</v>
      </c>
      <c r="G141" s="779"/>
      <c r="H141" s="779"/>
      <c r="I141" s="779"/>
      <c r="J141" s="779"/>
      <c r="K141" s="779"/>
      <c r="L141" s="779"/>
      <c r="M141" s="779"/>
      <c r="N141" s="884"/>
      <c r="O141" s="1014"/>
      <c r="P141" s="1014"/>
      <c r="Q141" s="1014"/>
      <c r="R141" s="1014"/>
      <c r="S141" s="1014"/>
    </row>
    <row r="142" spans="2:19" x14ac:dyDescent="0.35">
      <c r="B142" s="2016"/>
      <c r="C142" s="2018"/>
      <c r="D142" s="1003"/>
      <c r="E142" s="1010"/>
      <c r="F142" s="778"/>
      <c r="G142" s="779"/>
      <c r="H142" s="779"/>
      <c r="I142" s="779"/>
      <c r="J142" s="779"/>
      <c r="K142" s="779"/>
      <c r="L142" s="779"/>
      <c r="M142" s="779"/>
      <c r="N142" s="1172">
        <f>SUM(Capitalisation!AB5:AB13)+Capitalisation!AB15+Capitalisation!AB20</f>
        <v>0</v>
      </c>
      <c r="O142" s="1014"/>
      <c r="P142" s="1014"/>
      <c r="Q142" s="1014"/>
      <c r="R142" s="1014"/>
      <c r="S142" s="1014"/>
    </row>
    <row r="143" spans="2:19" x14ac:dyDescent="0.35">
      <c r="B143" s="1006"/>
      <c r="C143" s="778"/>
      <c r="D143" s="778"/>
      <c r="E143" s="778"/>
      <c r="F143" s="778"/>
      <c r="G143" s="778"/>
      <c r="H143" s="778"/>
      <c r="I143" s="778"/>
      <c r="J143" s="778"/>
      <c r="K143" s="778"/>
      <c r="L143" s="778"/>
      <c r="M143" s="778"/>
      <c r="N143" s="884"/>
      <c r="O143" s="1014"/>
      <c r="P143" s="1014"/>
      <c r="Q143" s="1014"/>
      <c r="R143" s="1014"/>
      <c r="S143" s="1014"/>
    </row>
    <row r="144" spans="2:19" x14ac:dyDescent="0.35">
      <c r="B144" s="779" t="s">
        <v>479</v>
      </c>
      <c r="C144" s="778"/>
      <c r="D144" s="778"/>
      <c r="E144" s="778"/>
      <c r="F144" s="778"/>
      <c r="G144" s="778"/>
      <c r="H144" s="778"/>
      <c r="I144" s="778"/>
      <c r="J144" s="778"/>
      <c r="K144" s="778"/>
      <c r="L144" s="778"/>
      <c r="M144" s="778"/>
      <c r="N144" s="884"/>
      <c r="O144" s="1014"/>
      <c r="P144" s="1014"/>
      <c r="Q144" s="1014"/>
      <c r="R144" s="1014"/>
      <c r="S144" s="1014"/>
    </row>
    <row r="145" spans="2:19" x14ac:dyDescent="0.35">
      <c r="B145" s="1019" t="str">
        <f>+B132</f>
        <v>Vehicles</v>
      </c>
      <c r="C145" s="778"/>
      <c r="D145" s="778"/>
      <c r="E145" s="778"/>
      <c r="F145" s="1024"/>
      <c r="G145" s="1011"/>
      <c r="H145" s="778"/>
      <c r="I145" s="778"/>
      <c r="J145" s="1011"/>
      <c r="K145" s="778"/>
      <c r="L145" s="778"/>
      <c r="M145" s="702"/>
      <c r="N145" s="884">
        <f>+Capitalisation!AB14</f>
        <v>0</v>
      </c>
      <c r="O145" s="1014"/>
      <c r="P145" s="1014"/>
      <c r="Q145" s="1022"/>
      <c r="R145" s="1022"/>
      <c r="S145" s="1014"/>
    </row>
    <row r="146" spans="2:19" x14ac:dyDescent="0.35">
      <c r="B146" s="1019" t="str">
        <f>+B133</f>
        <v>I.T. equipments</v>
      </c>
      <c r="C146" s="778"/>
      <c r="D146" s="778"/>
      <c r="E146" s="778"/>
      <c r="F146" s="1024"/>
      <c r="G146" s="1011"/>
      <c r="H146" s="778"/>
      <c r="I146" s="778"/>
      <c r="J146" s="1011"/>
      <c r="K146" s="778"/>
      <c r="L146" s="778"/>
      <c r="M146" s="702"/>
      <c r="N146" s="884">
        <f>+Capitalisation!AB16</f>
        <v>5.2556599999999997E-3</v>
      </c>
      <c r="O146" s="1014"/>
      <c r="P146" s="1014"/>
      <c r="Q146" s="1022"/>
      <c r="R146" s="1022"/>
      <c r="S146" s="1014"/>
    </row>
    <row r="147" spans="2:19" x14ac:dyDescent="0.35">
      <c r="B147" s="1019" t="str">
        <f>+B134</f>
        <v>Office furniture and fittings</v>
      </c>
      <c r="C147" s="778"/>
      <c r="D147" s="778"/>
      <c r="E147" s="778"/>
      <c r="F147" s="1024"/>
      <c r="G147" s="1011"/>
      <c r="H147" s="778"/>
      <c r="I147" s="778"/>
      <c r="J147" s="1011"/>
      <c r="K147" s="778"/>
      <c r="L147" s="778"/>
      <c r="M147" s="702"/>
      <c r="N147" s="884">
        <f>+Capitalisation!AB17</f>
        <v>5.2214999999999996E-3</v>
      </c>
      <c r="O147" s="1014"/>
      <c r="P147" s="1014"/>
      <c r="Q147" s="1022"/>
      <c r="R147" s="1022"/>
      <c r="S147" s="1014"/>
    </row>
    <row r="148" spans="2:19" x14ac:dyDescent="0.35">
      <c r="B148" s="1019" t="str">
        <f>+B135</f>
        <v>Office equipments</v>
      </c>
      <c r="C148" s="778"/>
      <c r="D148" s="778"/>
      <c r="E148" s="778"/>
      <c r="F148" s="1024"/>
      <c r="G148" s="1011"/>
      <c r="H148" s="778"/>
      <c r="I148" s="778"/>
      <c r="J148" s="1011"/>
      <c r="K148" s="778"/>
      <c r="L148" s="778"/>
      <c r="M148" s="702"/>
      <c r="N148" s="884">
        <f>+Capitalisation!AB18</f>
        <v>2.5886250000000002E-3</v>
      </c>
      <c r="O148" s="1014"/>
      <c r="P148" s="1014"/>
      <c r="Q148" s="1022"/>
      <c r="R148" s="1022"/>
      <c r="S148" s="1014"/>
    </row>
    <row r="149" spans="2:19" x14ac:dyDescent="0.35">
      <c r="B149" s="1019" t="str">
        <f>+B136</f>
        <v>Software Licenses</v>
      </c>
      <c r="C149" s="778"/>
      <c r="D149" s="778"/>
      <c r="E149" s="778"/>
      <c r="F149" s="778"/>
      <c r="G149" s="778"/>
      <c r="H149" s="778"/>
      <c r="I149" s="778"/>
      <c r="J149" s="778"/>
      <c r="K149" s="778"/>
      <c r="L149" s="778"/>
      <c r="M149" s="778"/>
      <c r="N149" s="884">
        <f>+Capitalisation!AB19</f>
        <v>0</v>
      </c>
      <c r="O149" s="1014"/>
      <c r="P149" s="1014"/>
      <c r="Q149" s="1014"/>
      <c r="R149" s="1014"/>
      <c r="S149" s="1014"/>
    </row>
    <row r="150" spans="2:19" x14ac:dyDescent="0.35">
      <c r="B150" s="1023"/>
      <c r="C150" s="778"/>
      <c r="D150" s="778"/>
      <c r="E150" s="778"/>
      <c r="F150" s="778"/>
      <c r="G150" s="778"/>
      <c r="H150" s="778"/>
      <c r="I150" s="778"/>
      <c r="J150" s="778"/>
      <c r="K150" s="778"/>
      <c r="L150" s="778"/>
      <c r="M150" s="778"/>
      <c r="N150" s="884"/>
      <c r="O150" s="1014"/>
      <c r="P150" s="1014"/>
      <c r="Q150" s="1014"/>
      <c r="R150" s="1014"/>
      <c r="S150" s="1014"/>
    </row>
    <row r="151" spans="2:19" x14ac:dyDescent="0.35">
      <c r="B151" s="1006" t="s">
        <v>123</v>
      </c>
      <c r="C151" s="778"/>
      <c r="D151" s="778"/>
      <c r="E151" s="778"/>
      <c r="F151" s="778"/>
      <c r="G151" s="778"/>
      <c r="H151" s="778"/>
      <c r="I151" s="778"/>
      <c r="J151" s="778"/>
      <c r="K151" s="778"/>
      <c r="L151" s="778"/>
      <c r="M151" s="778"/>
      <c r="N151" s="884"/>
      <c r="O151" s="1014"/>
      <c r="P151" s="1014"/>
      <c r="Q151" s="1014"/>
      <c r="R151" s="1014"/>
      <c r="S151" s="1014"/>
    </row>
    <row r="152" spans="2:19" x14ac:dyDescent="0.35">
      <c r="B152" s="1006" t="s">
        <v>476</v>
      </c>
      <c r="C152" s="778"/>
      <c r="D152" s="778"/>
      <c r="E152" s="778"/>
      <c r="F152" s="778"/>
      <c r="G152" s="778"/>
      <c r="H152" s="778"/>
      <c r="I152" s="778"/>
      <c r="J152" s="778"/>
      <c r="K152" s="778"/>
      <c r="L152" s="778"/>
      <c r="M152" s="778"/>
      <c r="N152" s="884"/>
      <c r="O152" s="1014"/>
      <c r="P152" s="1014"/>
      <c r="Q152" s="1014"/>
      <c r="R152" s="1014"/>
      <c r="S152" s="1014"/>
    </row>
    <row r="153" spans="2:19" x14ac:dyDescent="0.35">
      <c r="B153" s="1007" t="s">
        <v>477</v>
      </c>
      <c r="C153" s="778"/>
      <c r="D153" s="778"/>
      <c r="E153" s="778"/>
      <c r="F153" s="778"/>
      <c r="G153" s="778"/>
      <c r="H153" s="778"/>
      <c r="I153" s="778"/>
      <c r="J153" s="778"/>
      <c r="K153" s="778"/>
      <c r="L153" s="778"/>
      <c r="M153" s="778"/>
      <c r="N153" s="884"/>
      <c r="O153" s="1014"/>
      <c r="P153" s="1014"/>
      <c r="Q153" s="1014"/>
      <c r="R153" s="1014"/>
      <c r="S153" s="1014"/>
    </row>
    <row r="154" spans="2:19" x14ac:dyDescent="0.35">
      <c r="B154" s="2015" t="s">
        <v>1393</v>
      </c>
      <c r="C154" s="2017" t="s">
        <v>1394</v>
      </c>
      <c r="D154" s="1003" t="s">
        <v>1395</v>
      </c>
      <c r="E154" s="1010">
        <v>43067</v>
      </c>
      <c r="F154" s="778" t="s">
        <v>1396</v>
      </c>
      <c r="G154" s="779"/>
      <c r="H154" s="779"/>
      <c r="I154" s="779"/>
      <c r="J154" s="779"/>
      <c r="K154" s="779"/>
      <c r="L154" s="779"/>
      <c r="M154" s="779"/>
      <c r="N154" s="884"/>
      <c r="O154" s="1014"/>
      <c r="P154" s="1014"/>
      <c r="Q154" s="1014"/>
      <c r="R154" s="1014"/>
      <c r="S154" s="1014"/>
    </row>
    <row r="155" spans="2:19" x14ac:dyDescent="0.35">
      <c r="B155" s="2016"/>
      <c r="C155" s="2018"/>
      <c r="D155" s="1003"/>
      <c r="E155" s="1010"/>
      <c r="F155" s="778"/>
      <c r="G155" s="779"/>
      <c r="H155" s="779"/>
      <c r="I155" s="779"/>
      <c r="J155" s="779"/>
      <c r="K155" s="779"/>
      <c r="L155" s="779"/>
      <c r="M155" s="779"/>
      <c r="N155" s="1172"/>
      <c r="O155" s="1014"/>
      <c r="P155" s="1014"/>
      <c r="Q155" s="1014"/>
      <c r="R155" s="1014"/>
      <c r="S155" s="1014"/>
    </row>
    <row r="156" spans="2:19" x14ac:dyDescent="0.35">
      <c r="B156" s="1006"/>
      <c r="C156" s="778"/>
      <c r="D156" s="778"/>
      <c r="E156" s="778"/>
      <c r="F156" s="778"/>
      <c r="G156" s="778"/>
      <c r="H156" s="778"/>
      <c r="I156" s="778"/>
      <c r="J156" s="778"/>
      <c r="K156" s="778"/>
      <c r="L156" s="778"/>
      <c r="M156" s="778"/>
      <c r="N156" s="884"/>
      <c r="O156" s="1014"/>
      <c r="P156" s="1014"/>
      <c r="Q156" s="1014"/>
      <c r="R156" s="1014"/>
      <c r="S156" s="1014"/>
    </row>
    <row r="157" spans="2:19" x14ac:dyDescent="0.35">
      <c r="B157" s="779" t="s">
        <v>479</v>
      </c>
      <c r="C157" s="778"/>
      <c r="D157" s="778"/>
      <c r="E157" s="778"/>
      <c r="F157" s="778"/>
      <c r="G157" s="778"/>
      <c r="H157" s="778"/>
      <c r="I157" s="778"/>
      <c r="J157" s="778"/>
      <c r="K157" s="778"/>
      <c r="L157" s="778"/>
      <c r="M157" s="778"/>
      <c r="N157" s="884"/>
      <c r="O157" s="1014"/>
      <c r="P157" s="1014"/>
      <c r="Q157" s="1014"/>
      <c r="R157" s="1014"/>
      <c r="S157" s="1014"/>
    </row>
    <row r="158" spans="2:19" x14ac:dyDescent="0.35">
      <c r="B158" s="1019" t="str">
        <f>+B145</f>
        <v>Vehicles</v>
      </c>
      <c r="C158" s="778"/>
      <c r="D158" s="778"/>
      <c r="E158" s="778"/>
      <c r="F158" s="1024"/>
      <c r="G158" s="1011"/>
      <c r="H158" s="778"/>
      <c r="I158" s="778"/>
      <c r="J158" s="1011"/>
      <c r="K158" s="778"/>
      <c r="L158" s="778"/>
      <c r="M158" s="702"/>
      <c r="N158" s="884"/>
      <c r="O158" s="1014"/>
      <c r="P158" s="1014"/>
      <c r="Q158" s="1022"/>
      <c r="R158" s="1022"/>
      <c r="S158" s="1014"/>
    </row>
    <row r="159" spans="2:19" x14ac:dyDescent="0.35">
      <c r="B159" s="1019" t="str">
        <f>+B146</f>
        <v>I.T. equipments</v>
      </c>
      <c r="C159" s="778"/>
      <c r="D159" s="778"/>
      <c r="E159" s="778"/>
      <c r="F159" s="1024"/>
      <c r="G159" s="1011"/>
      <c r="H159" s="778"/>
      <c r="I159" s="778"/>
      <c r="J159" s="1011"/>
      <c r="K159" s="778"/>
      <c r="L159" s="778"/>
      <c r="M159" s="702"/>
      <c r="N159" s="884"/>
      <c r="O159" s="1014"/>
      <c r="P159" s="1014"/>
      <c r="Q159" s="1022"/>
      <c r="R159" s="1022"/>
      <c r="S159" s="1014"/>
    </row>
    <row r="160" spans="2:19" x14ac:dyDescent="0.35">
      <c r="B160" s="1019" t="str">
        <f>+B147</f>
        <v>Office furniture and fittings</v>
      </c>
      <c r="C160" s="778"/>
      <c r="D160" s="778"/>
      <c r="E160" s="778"/>
      <c r="F160" s="1024"/>
      <c r="G160" s="1011"/>
      <c r="H160" s="778"/>
      <c r="I160" s="778"/>
      <c r="J160" s="1011"/>
      <c r="K160" s="778"/>
      <c r="L160" s="778"/>
      <c r="M160" s="702"/>
      <c r="N160" s="884"/>
      <c r="O160" s="1014"/>
      <c r="P160" s="1014"/>
      <c r="Q160" s="1022"/>
      <c r="R160" s="1022"/>
      <c r="S160" s="1014"/>
    </row>
    <row r="161" spans="2:19" x14ac:dyDescent="0.35">
      <c r="B161" s="1019" t="s">
        <v>1771</v>
      </c>
      <c r="C161" s="778"/>
      <c r="D161" s="778"/>
      <c r="E161" s="778"/>
      <c r="F161" s="1024"/>
      <c r="G161" s="1011"/>
      <c r="H161" s="778"/>
      <c r="I161" s="778"/>
      <c r="J161" s="1011"/>
      <c r="K161" s="778"/>
      <c r="L161" s="778"/>
      <c r="M161" s="702"/>
      <c r="N161" s="884">
        <f>(2241351+718415)/10^7</f>
        <v>0.29597659999999998</v>
      </c>
      <c r="O161" s="1014"/>
      <c r="P161" s="1014"/>
      <c r="Q161" s="1022"/>
      <c r="R161" s="1022"/>
      <c r="S161" s="1014"/>
    </row>
    <row r="162" spans="2:19" x14ac:dyDescent="0.35">
      <c r="B162" s="1019" t="str">
        <f>+B149</f>
        <v>Software Licenses</v>
      </c>
      <c r="C162" s="778"/>
      <c r="D162" s="778"/>
      <c r="E162" s="778"/>
      <c r="F162" s="778"/>
      <c r="G162" s="778"/>
      <c r="H162" s="778"/>
      <c r="I162" s="778"/>
      <c r="J162" s="778"/>
      <c r="K162" s="778"/>
      <c r="L162" s="778"/>
      <c r="M162" s="778"/>
      <c r="N162" s="884"/>
      <c r="O162" s="1014"/>
      <c r="P162" s="1014"/>
      <c r="Q162" s="1014"/>
      <c r="R162" s="1014"/>
      <c r="S162" s="1014"/>
    </row>
    <row r="163" spans="2:19" x14ac:dyDescent="0.35">
      <c r="B163" s="1023"/>
      <c r="C163" s="778"/>
      <c r="D163" s="778"/>
      <c r="E163" s="778"/>
      <c r="F163" s="778"/>
      <c r="G163" s="778"/>
      <c r="H163" s="778"/>
      <c r="I163" s="778"/>
      <c r="J163" s="778"/>
      <c r="K163" s="778"/>
      <c r="L163" s="778"/>
      <c r="M163" s="778"/>
      <c r="N163" s="884"/>
      <c r="O163" s="1014"/>
      <c r="P163" s="1014"/>
      <c r="Q163" s="1014"/>
      <c r="R163" s="1014"/>
      <c r="S163" s="1014"/>
    </row>
    <row r="164" spans="2:19" x14ac:dyDescent="0.35">
      <c r="B164" s="1006" t="s">
        <v>124</v>
      </c>
      <c r="C164" s="778"/>
      <c r="D164" s="778"/>
      <c r="E164" s="778"/>
      <c r="F164" s="778"/>
      <c r="G164" s="778"/>
      <c r="H164" s="778"/>
      <c r="I164" s="778"/>
      <c r="J164" s="778"/>
      <c r="K164" s="778"/>
      <c r="L164" s="778"/>
      <c r="M164" s="778"/>
      <c r="N164" s="884"/>
      <c r="O164" s="1014"/>
      <c r="P164" s="1014"/>
      <c r="Q164" s="1014"/>
      <c r="R164" s="1014"/>
      <c r="S164" s="1014"/>
    </row>
    <row r="165" spans="2:19" x14ac:dyDescent="0.35">
      <c r="B165" s="1006" t="s">
        <v>476</v>
      </c>
      <c r="C165" s="778"/>
      <c r="D165" s="778"/>
      <c r="E165" s="778"/>
      <c r="F165" s="778"/>
      <c r="G165" s="778"/>
      <c r="H165" s="778"/>
      <c r="I165" s="778"/>
      <c r="J165" s="778"/>
      <c r="K165" s="778"/>
      <c r="L165" s="778"/>
      <c r="M165" s="778"/>
      <c r="N165" s="884"/>
      <c r="O165" s="1014"/>
      <c r="P165" s="1014"/>
      <c r="Q165" s="1014"/>
      <c r="R165" s="1014"/>
      <c r="S165" s="1014"/>
    </row>
    <row r="166" spans="2:19" x14ac:dyDescent="0.35">
      <c r="B166" s="1007" t="s">
        <v>477</v>
      </c>
      <c r="C166" s="778"/>
      <c r="D166" s="778"/>
      <c r="E166" s="778"/>
      <c r="F166" s="778"/>
      <c r="G166" s="778"/>
      <c r="H166" s="778"/>
      <c r="I166" s="778"/>
      <c r="J166" s="778"/>
      <c r="K166" s="778"/>
      <c r="L166" s="778"/>
      <c r="M166" s="778"/>
      <c r="N166" s="884"/>
      <c r="O166" s="1014"/>
      <c r="P166" s="1014"/>
      <c r="Q166" s="1014"/>
      <c r="R166" s="1014"/>
      <c r="S166" s="1014"/>
    </row>
    <row r="167" spans="2:19" x14ac:dyDescent="0.35">
      <c r="B167" s="2015" t="s">
        <v>1393</v>
      </c>
      <c r="C167" s="2017" t="s">
        <v>1394</v>
      </c>
      <c r="D167" s="1003" t="s">
        <v>1395</v>
      </c>
      <c r="E167" s="1010">
        <v>43067</v>
      </c>
      <c r="F167" s="778" t="s">
        <v>1396</v>
      </c>
      <c r="G167" s="779"/>
      <c r="H167" s="779"/>
      <c r="I167" s="779"/>
      <c r="J167" s="779"/>
      <c r="K167" s="779"/>
      <c r="L167" s="779"/>
      <c r="M167" s="779"/>
      <c r="N167" s="884"/>
      <c r="O167" s="1014"/>
      <c r="P167" s="1014"/>
      <c r="Q167" s="1014"/>
      <c r="R167" s="1014"/>
      <c r="S167" s="1014"/>
    </row>
    <row r="168" spans="2:19" x14ac:dyDescent="0.35">
      <c r="B168" s="2016"/>
      <c r="C168" s="2018"/>
      <c r="D168" s="1003"/>
      <c r="E168" s="1010"/>
      <c r="F168" s="778"/>
      <c r="G168" s="779"/>
      <c r="H168" s="779"/>
      <c r="I168" s="779"/>
      <c r="J168" s="779"/>
      <c r="K168" s="779"/>
      <c r="L168" s="779"/>
      <c r="M168" s="779"/>
      <c r="N168" s="1172"/>
      <c r="O168" s="1014"/>
      <c r="P168" s="1014"/>
      <c r="Q168" s="1014"/>
      <c r="R168" s="1014"/>
      <c r="S168" s="1014"/>
    </row>
    <row r="169" spans="2:19" x14ac:dyDescent="0.35">
      <c r="B169" s="1006"/>
      <c r="C169" s="778"/>
      <c r="D169" s="778"/>
      <c r="E169" s="778"/>
      <c r="F169" s="778"/>
      <c r="G169" s="778"/>
      <c r="H169" s="778"/>
      <c r="I169" s="778"/>
      <c r="J169" s="778"/>
      <c r="K169" s="778"/>
      <c r="L169" s="778"/>
      <c r="M169" s="778"/>
      <c r="N169" s="884"/>
      <c r="O169" s="1014"/>
      <c r="P169" s="1014"/>
      <c r="Q169" s="1014"/>
      <c r="R169" s="1014"/>
      <c r="S169" s="1014"/>
    </row>
    <row r="170" spans="2:19" x14ac:dyDescent="0.35">
      <c r="B170" s="779" t="s">
        <v>479</v>
      </c>
      <c r="C170" s="778"/>
      <c r="D170" s="778"/>
      <c r="E170" s="778"/>
      <c r="F170" s="778"/>
      <c r="G170" s="778"/>
      <c r="H170" s="778"/>
      <c r="I170" s="778"/>
      <c r="J170" s="778"/>
      <c r="K170" s="778"/>
      <c r="L170" s="778"/>
      <c r="M170" s="778"/>
      <c r="N170" s="884"/>
      <c r="O170" s="1014"/>
      <c r="P170" s="1014"/>
      <c r="Q170" s="1014"/>
      <c r="R170" s="1014"/>
      <c r="S170" s="1014"/>
    </row>
    <row r="171" spans="2:19" x14ac:dyDescent="0.35">
      <c r="B171" s="1019" t="str">
        <f>+B158</f>
        <v>Vehicles</v>
      </c>
      <c r="C171" s="778"/>
      <c r="D171" s="778"/>
      <c r="E171" s="778"/>
      <c r="F171" s="1024"/>
      <c r="G171" s="1011"/>
      <c r="H171" s="778"/>
      <c r="I171" s="778"/>
      <c r="J171" s="1011"/>
      <c r="K171" s="778"/>
      <c r="L171" s="778"/>
      <c r="M171" s="702"/>
      <c r="N171" s="884"/>
      <c r="O171" s="1014"/>
      <c r="P171" s="1014"/>
      <c r="Q171" s="1022"/>
      <c r="R171" s="1022"/>
      <c r="S171" s="1014"/>
    </row>
    <row r="172" spans="2:19" x14ac:dyDescent="0.35">
      <c r="B172" s="1019" t="str">
        <f>+B159</f>
        <v>I.T. equipments</v>
      </c>
      <c r="C172" s="778"/>
      <c r="D172" s="778"/>
      <c r="E172" s="778"/>
      <c r="F172" s="1024"/>
      <c r="G172" s="1011"/>
      <c r="H172" s="778"/>
      <c r="I172" s="778"/>
      <c r="J172" s="1011"/>
      <c r="K172" s="778"/>
      <c r="L172" s="778"/>
      <c r="M172" s="702"/>
      <c r="N172" s="884"/>
      <c r="O172" s="1014"/>
      <c r="P172" s="1014"/>
      <c r="Q172" s="1022"/>
      <c r="R172" s="1022"/>
      <c r="S172" s="1014"/>
    </row>
    <row r="173" spans="2:19" x14ac:dyDescent="0.35">
      <c r="B173" s="1019" t="str">
        <f>+B160</f>
        <v>Office furniture and fittings</v>
      </c>
      <c r="C173" s="778"/>
      <c r="D173" s="778"/>
      <c r="E173" s="778"/>
      <c r="F173" s="1024"/>
      <c r="G173" s="1011"/>
      <c r="H173" s="778"/>
      <c r="I173" s="778"/>
      <c r="J173" s="1011"/>
      <c r="K173" s="778"/>
      <c r="L173" s="778"/>
      <c r="M173" s="702"/>
      <c r="N173" s="884"/>
      <c r="O173" s="1014"/>
      <c r="P173" s="1014"/>
      <c r="Q173" s="1022"/>
      <c r="R173" s="1022"/>
      <c r="S173" s="1014"/>
    </row>
    <row r="174" spans="2:19" x14ac:dyDescent="0.35">
      <c r="B174" s="1019" t="s">
        <v>1770</v>
      </c>
      <c r="C174" s="778"/>
      <c r="D174" s="778"/>
      <c r="E174" s="778"/>
      <c r="F174" s="1024"/>
      <c r="G174" s="1011"/>
      <c r="H174" s="778"/>
      <c r="I174" s="778"/>
      <c r="J174" s="1011"/>
      <c r="K174" s="778"/>
      <c r="L174" s="778"/>
      <c r="M174" s="702"/>
      <c r="N174" s="884">
        <v>0.06</v>
      </c>
      <c r="O174" s="1014"/>
      <c r="P174" s="1014"/>
      <c r="Q174" s="1022"/>
      <c r="R174" s="1022"/>
      <c r="S174" s="1014"/>
    </row>
    <row r="175" spans="2:19" x14ac:dyDescent="0.35">
      <c r="B175" s="1019" t="str">
        <f>+B162</f>
        <v>Software Licenses</v>
      </c>
      <c r="C175" s="778"/>
      <c r="D175" s="778"/>
      <c r="E175" s="778"/>
      <c r="F175" s="778"/>
      <c r="G175" s="778"/>
      <c r="H175" s="778"/>
      <c r="I175" s="778"/>
      <c r="J175" s="778"/>
      <c r="K175" s="778"/>
      <c r="L175" s="778"/>
      <c r="M175" s="778"/>
      <c r="N175" s="884"/>
      <c r="O175" s="1014"/>
      <c r="P175" s="1014"/>
      <c r="Q175" s="1014"/>
      <c r="R175" s="1014"/>
      <c r="S175" s="1014"/>
    </row>
    <row r="176" spans="2:19" x14ac:dyDescent="0.35">
      <c r="B176" s="1023"/>
      <c r="C176" s="778"/>
      <c r="D176" s="778"/>
      <c r="E176" s="778"/>
      <c r="F176" s="778"/>
      <c r="G176" s="778"/>
      <c r="H176" s="778"/>
      <c r="I176" s="778"/>
      <c r="J176" s="778"/>
      <c r="K176" s="778"/>
      <c r="L176" s="778"/>
      <c r="M176" s="778"/>
      <c r="N176" s="884"/>
      <c r="O176" s="1014"/>
      <c r="P176" s="1014"/>
      <c r="Q176" s="1014"/>
      <c r="R176" s="1014"/>
      <c r="S176" s="1014"/>
    </row>
    <row r="177" spans="2:19" x14ac:dyDescent="0.35">
      <c r="B177" s="1006" t="s">
        <v>125</v>
      </c>
      <c r="C177" s="778"/>
      <c r="D177" s="778"/>
      <c r="E177" s="778"/>
      <c r="F177" s="778"/>
      <c r="G177" s="778"/>
      <c r="H177" s="778"/>
      <c r="I177" s="778"/>
      <c r="J177" s="778"/>
      <c r="K177" s="778"/>
      <c r="L177" s="778"/>
      <c r="M177" s="778"/>
      <c r="N177" s="884"/>
      <c r="O177" s="1014"/>
      <c r="P177" s="1014"/>
      <c r="Q177" s="1014"/>
      <c r="R177" s="1014"/>
      <c r="S177" s="1014"/>
    </row>
    <row r="178" spans="2:19" x14ac:dyDescent="0.35">
      <c r="B178" s="1006" t="s">
        <v>476</v>
      </c>
      <c r="C178" s="778"/>
      <c r="D178" s="778"/>
      <c r="E178" s="778"/>
      <c r="F178" s="778"/>
      <c r="G178" s="778"/>
      <c r="H178" s="778"/>
      <c r="I178" s="778"/>
      <c r="J178" s="778"/>
      <c r="K178" s="778"/>
      <c r="L178" s="778"/>
      <c r="M178" s="778"/>
      <c r="N178" s="884"/>
      <c r="O178" s="1014"/>
      <c r="P178" s="1014"/>
      <c r="Q178" s="1014"/>
      <c r="R178" s="1014"/>
      <c r="S178" s="1014"/>
    </row>
    <row r="179" spans="2:19" x14ac:dyDescent="0.35">
      <c r="B179" s="1007" t="s">
        <v>477</v>
      </c>
      <c r="C179" s="778"/>
      <c r="D179" s="778"/>
      <c r="E179" s="778"/>
      <c r="F179" s="778"/>
      <c r="G179" s="778"/>
      <c r="H179" s="778"/>
      <c r="I179" s="778"/>
      <c r="J179" s="778"/>
      <c r="K179" s="778"/>
      <c r="L179" s="778"/>
      <c r="M179" s="778"/>
      <c r="N179" s="884"/>
      <c r="O179" s="1014"/>
      <c r="P179" s="1014"/>
      <c r="Q179" s="1014"/>
      <c r="R179" s="1014"/>
      <c r="S179" s="1014"/>
    </row>
    <row r="180" spans="2:19" x14ac:dyDescent="0.35">
      <c r="B180" s="2015" t="s">
        <v>1393</v>
      </c>
      <c r="C180" s="2017" t="s">
        <v>1394</v>
      </c>
      <c r="D180" s="1003" t="s">
        <v>1395</v>
      </c>
      <c r="E180" s="1010">
        <v>43067</v>
      </c>
      <c r="F180" s="778" t="s">
        <v>1396</v>
      </c>
      <c r="G180" s="779"/>
      <c r="H180" s="779"/>
      <c r="I180" s="779"/>
      <c r="J180" s="779"/>
      <c r="K180" s="779"/>
      <c r="L180" s="779"/>
      <c r="M180" s="779"/>
      <c r="N180" s="884"/>
      <c r="O180" s="1014"/>
      <c r="P180" s="1014"/>
      <c r="Q180" s="1014"/>
      <c r="R180" s="1014"/>
      <c r="S180" s="1014"/>
    </row>
    <row r="181" spans="2:19" x14ac:dyDescent="0.35">
      <c r="B181" s="2016"/>
      <c r="C181" s="2018"/>
      <c r="D181" s="1003"/>
      <c r="E181" s="1010"/>
      <c r="F181" s="778"/>
      <c r="G181" s="779"/>
      <c r="H181" s="779"/>
      <c r="I181" s="779"/>
      <c r="J181" s="779"/>
      <c r="K181" s="779"/>
      <c r="L181" s="779"/>
      <c r="M181" s="779"/>
      <c r="N181" s="1172"/>
      <c r="O181" s="1014"/>
      <c r="P181" s="1014"/>
      <c r="Q181" s="1014"/>
      <c r="R181" s="1014"/>
      <c r="S181" s="1014"/>
    </row>
    <row r="182" spans="2:19" x14ac:dyDescent="0.35">
      <c r="B182" s="1006"/>
      <c r="C182" s="778"/>
      <c r="D182" s="778"/>
      <c r="E182" s="778"/>
      <c r="F182" s="778"/>
      <c r="G182" s="778"/>
      <c r="H182" s="778"/>
      <c r="I182" s="778"/>
      <c r="J182" s="778"/>
      <c r="K182" s="778"/>
      <c r="L182" s="778"/>
      <c r="M182" s="778"/>
      <c r="N182" s="884"/>
      <c r="O182" s="1014"/>
      <c r="P182" s="1014"/>
      <c r="Q182" s="1014"/>
      <c r="R182" s="1014"/>
      <c r="S182" s="1014"/>
    </row>
    <row r="183" spans="2:19" x14ac:dyDescent="0.35">
      <c r="B183" s="779" t="s">
        <v>479</v>
      </c>
      <c r="C183" s="778"/>
      <c r="D183" s="778"/>
      <c r="E183" s="778"/>
      <c r="F183" s="778"/>
      <c r="G183" s="778"/>
      <c r="H183" s="778"/>
      <c r="I183" s="778"/>
      <c r="J183" s="778"/>
      <c r="K183" s="778"/>
      <c r="L183" s="778"/>
      <c r="M183" s="778"/>
      <c r="N183" s="884"/>
      <c r="O183" s="1014"/>
      <c r="P183" s="1014"/>
      <c r="Q183" s="1014"/>
      <c r="R183" s="1014"/>
      <c r="S183" s="1014"/>
    </row>
    <row r="184" spans="2:19" x14ac:dyDescent="0.35">
      <c r="B184" s="1019" t="str">
        <f>+B171</f>
        <v>Vehicles</v>
      </c>
      <c r="C184" s="778"/>
      <c r="D184" s="778"/>
      <c r="E184" s="778"/>
      <c r="F184" s="1024"/>
      <c r="G184" s="1011"/>
      <c r="H184" s="778"/>
      <c r="I184" s="778"/>
      <c r="J184" s="1011"/>
      <c r="K184" s="778"/>
      <c r="L184" s="778"/>
      <c r="M184" s="702"/>
      <c r="N184" s="884"/>
      <c r="O184" s="1014"/>
      <c r="P184" s="1014"/>
      <c r="Q184" s="1022"/>
      <c r="R184" s="1022"/>
      <c r="S184" s="1014"/>
    </row>
    <row r="185" spans="2:19" x14ac:dyDescent="0.35">
      <c r="B185" s="1019" t="str">
        <f>+B172</f>
        <v>I.T. equipments</v>
      </c>
      <c r="C185" s="778"/>
      <c r="D185" s="778"/>
      <c r="E185" s="778"/>
      <c r="F185" s="1024"/>
      <c r="G185" s="1011"/>
      <c r="H185" s="778"/>
      <c r="I185" s="778"/>
      <c r="J185" s="1011"/>
      <c r="K185" s="778"/>
      <c r="L185" s="778"/>
      <c r="M185" s="702"/>
      <c r="N185" s="884"/>
      <c r="O185" s="1014"/>
      <c r="P185" s="1014"/>
      <c r="Q185" s="1022"/>
      <c r="R185" s="1022"/>
      <c r="S185" s="1014"/>
    </row>
    <row r="186" spans="2:19" x14ac:dyDescent="0.35">
      <c r="B186" s="1019" t="str">
        <f>+B173</f>
        <v>Office furniture and fittings</v>
      </c>
      <c r="C186" s="778"/>
      <c r="D186" s="778"/>
      <c r="E186" s="778"/>
      <c r="F186" s="1024"/>
      <c r="G186" s="1011"/>
      <c r="H186" s="778"/>
      <c r="I186" s="778"/>
      <c r="J186" s="1011"/>
      <c r="K186" s="778"/>
      <c r="L186" s="778"/>
      <c r="M186" s="702"/>
      <c r="N186" s="884"/>
      <c r="O186" s="1014"/>
      <c r="P186" s="1014"/>
      <c r="Q186" s="1022"/>
      <c r="R186" s="1022"/>
      <c r="S186" s="1014"/>
    </row>
    <row r="187" spans="2:19" x14ac:dyDescent="0.35">
      <c r="B187" s="1019" t="str">
        <f>+B174</f>
        <v>Office equipments -  DG Set</v>
      </c>
      <c r="C187" s="778"/>
      <c r="D187" s="778"/>
      <c r="E187" s="778"/>
      <c r="F187" s="1024"/>
      <c r="G187" s="1011"/>
      <c r="H187" s="778"/>
      <c r="I187" s="778"/>
      <c r="J187" s="1011"/>
      <c r="K187" s="778"/>
      <c r="L187" s="778"/>
      <c r="M187" s="702"/>
      <c r="N187" s="884"/>
      <c r="O187" s="1014"/>
      <c r="P187" s="1014"/>
      <c r="Q187" s="1022"/>
      <c r="R187" s="1022"/>
      <c r="S187" s="1014"/>
    </row>
    <row r="188" spans="2:19" x14ac:dyDescent="0.35">
      <c r="B188" s="1019" t="str">
        <f>+B175</f>
        <v>Software Licenses</v>
      </c>
      <c r="C188" s="778"/>
      <c r="D188" s="778"/>
      <c r="E188" s="778"/>
      <c r="F188" s="778"/>
      <c r="G188" s="778"/>
      <c r="H188" s="778"/>
      <c r="I188" s="778"/>
      <c r="J188" s="778"/>
      <c r="K188" s="778"/>
      <c r="L188" s="778"/>
      <c r="M188" s="778"/>
      <c r="N188" s="884"/>
      <c r="O188" s="1014"/>
      <c r="P188" s="1014"/>
      <c r="Q188" s="1014"/>
      <c r="R188" s="1014"/>
      <c r="S188" s="1014"/>
    </row>
    <row r="189" spans="2:19" x14ac:dyDescent="0.35">
      <c r="B189" s="1023"/>
      <c r="C189" s="778"/>
      <c r="D189" s="778"/>
      <c r="E189" s="778"/>
      <c r="F189" s="778"/>
      <c r="G189" s="778"/>
      <c r="H189" s="778"/>
      <c r="I189" s="778"/>
      <c r="J189" s="778"/>
      <c r="K189" s="778"/>
      <c r="L189" s="778"/>
      <c r="M189" s="778"/>
      <c r="N189" s="884"/>
      <c r="O189" s="1014"/>
      <c r="P189" s="1014"/>
      <c r="Q189" s="1014"/>
      <c r="R189" s="1014"/>
      <c r="S189" s="1014"/>
    </row>
    <row r="190" spans="2:19" x14ac:dyDescent="0.35">
      <c r="B190" s="1006" t="s">
        <v>126</v>
      </c>
      <c r="C190" s="778"/>
      <c r="D190" s="778"/>
      <c r="E190" s="778"/>
      <c r="F190" s="778"/>
      <c r="G190" s="778"/>
      <c r="H190" s="778"/>
      <c r="I190" s="778"/>
      <c r="J190" s="778"/>
      <c r="K190" s="778"/>
      <c r="L190" s="778"/>
      <c r="M190" s="778"/>
      <c r="N190" s="884"/>
      <c r="O190" s="1014"/>
      <c r="P190" s="1014"/>
      <c r="Q190" s="1014"/>
      <c r="R190" s="1014"/>
      <c r="S190" s="1014"/>
    </row>
    <row r="191" spans="2:19" x14ac:dyDescent="0.35">
      <c r="B191" s="1006" t="s">
        <v>476</v>
      </c>
      <c r="C191" s="778"/>
      <c r="D191" s="778"/>
      <c r="E191" s="778"/>
      <c r="F191" s="778"/>
      <c r="G191" s="778"/>
      <c r="H191" s="778"/>
      <c r="I191" s="778"/>
      <c r="J191" s="778"/>
      <c r="K191" s="778"/>
      <c r="L191" s="778"/>
      <c r="M191" s="778"/>
      <c r="N191" s="884"/>
      <c r="O191" s="1014"/>
      <c r="P191" s="1014"/>
      <c r="Q191" s="1014"/>
      <c r="R191" s="1014"/>
      <c r="S191" s="1014"/>
    </row>
    <row r="192" spans="2:19" x14ac:dyDescent="0.35">
      <c r="B192" s="1007" t="s">
        <v>477</v>
      </c>
      <c r="C192" s="778"/>
      <c r="D192" s="778"/>
      <c r="E192" s="778"/>
      <c r="F192" s="778"/>
      <c r="G192" s="778"/>
      <c r="H192" s="778"/>
      <c r="I192" s="778"/>
      <c r="J192" s="778"/>
      <c r="K192" s="778"/>
      <c r="L192" s="778"/>
      <c r="M192" s="778"/>
      <c r="N192" s="884"/>
      <c r="O192" s="1014"/>
      <c r="P192" s="1014"/>
      <c r="Q192" s="1014"/>
      <c r="R192" s="1014"/>
      <c r="S192" s="1014"/>
    </row>
    <row r="193" spans="2:19" x14ac:dyDescent="0.35">
      <c r="B193" s="2015" t="s">
        <v>1393</v>
      </c>
      <c r="C193" s="2017" t="s">
        <v>1394</v>
      </c>
      <c r="D193" s="1003" t="s">
        <v>1395</v>
      </c>
      <c r="E193" s="1010">
        <v>43067</v>
      </c>
      <c r="F193" s="778" t="s">
        <v>1396</v>
      </c>
      <c r="G193" s="779"/>
      <c r="H193" s="779"/>
      <c r="I193" s="779"/>
      <c r="J193" s="779"/>
      <c r="K193" s="779"/>
      <c r="L193" s="779"/>
      <c r="M193" s="779"/>
      <c r="N193" s="884"/>
      <c r="O193" s="1014"/>
      <c r="P193" s="1014"/>
      <c r="Q193" s="1014"/>
      <c r="R193" s="1014"/>
      <c r="S193" s="1014"/>
    </row>
    <row r="194" spans="2:19" x14ac:dyDescent="0.35">
      <c r="B194" s="2016"/>
      <c r="C194" s="2018"/>
      <c r="D194" s="1003"/>
      <c r="E194" s="1010"/>
      <c r="F194" s="778"/>
      <c r="G194" s="779"/>
      <c r="H194" s="779"/>
      <c r="I194" s="779"/>
      <c r="J194" s="779"/>
      <c r="K194" s="779"/>
      <c r="L194" s="779"/>
      <c r="M194" s="779"/>
      <c r="N194" s="1172"/>
      <c r="O194" s="1014"/>
      <c r="P194" s="1014"/>
      <c r="Q194" s="1014"/>
      <c r="R194" s="1014"/>
      <c r="S194" s="1014"/>
    </row>
    <row r="195" spans="2:19" x14ac:dyDescent="0.35">
      <c r="B195" s="1006"/>
      <c r="C195" s="778"/>
      <c r="D195" s="778"/>
      <c r="E195" s="778"/>
      <c r="F195" s="778"/>
      <c r="G195" s="778"/>
      <c r="H195" s="778"/>
      <c r="I195" s="778"/>
      <c r="J195" s="778"/>
      <c r="K195" s="778"/>
      <c r="L195" s="778"/>
      <c r="M195" s="778"/>
      <c r="N195" s="884"/>
      <c r="O195" s="1014"/>
      <c r="P195" s="1014"/>
      <c r="Q195" s="1014"/>
      <c r="R195" s="1014"/>
      <c r="S195" s="1014"/>
    </row>
    <row r="196" spans="2:19" x14ac:dyDescent="0.35">
      <c r="B196" s="779" t="s">
        <v>479</v>
      </c>
      <c r="C196" s="778"/>
      <c r="D196" s="778"/>
      <c r="E196" s="778"/>
      <c r="F196" s="778"/>
      <c r="G196" s="778"/>
      <c r="H196" s="778"/>
      <c r="I196" s="778"/>
      <c r="J196" s="778"/>
      <c r="K196" s="778"/>
      <c r="L196" s="778"/>
      <c r="M196" s="778"/>
      <c r="N196" s="884"/>
      <c r="O196" s="1014"/>
      <c r="P196" s="1014"/>
      <c r="Q196" s="1014"/>
      <c r="R196" s="1014"/>
      <c r="S196" s="1014"/>
    </row>
    <row r="197" spans="2:19" x14ac:dyDescent="0.35">
      <c r="B197" s="1019" t="str">
        <f>+B184</f>
        <v>Vehicles</v>
      </c>
      <c r="C197" s="778"/>
      <c r="D197" s="778"/>
      <c r="E197" s="778"/>
      <c r="F197" s="1024"/>
      <c r="G197" s="1011"/>
      <c r="H197" s="778"/>
      <c r="I197" s="778"/>
      <c r="J197" s="1011"/>
      <c r="K197" s="778"/>
      <c r="L197" s="778"/>
      <c r="M197" s="702"/>
      <c r="N197" s="884"/>
      <c r="O197" s="1014"/>
      <c r="P197" s="1014"/>
      <c r="Q197" s="1022"/>
      <c r="R197" s="1022"/>
      <c r="S197" s="1014"/>
    </row>
    <row r="198" spans="2:19" x14ac:dyDescent="0.35">
      <c r="B198" s="1019" t="str">
        <f>+B185</f>
        <v>I.T. equipments</v>
      </c>
      <c r="C198" s="778"/>
      <c r="D198" s="778"/>
      <c r="E198" s="778"/>
      <c r="F198" s="1024"/>
      <c r="G198" s="1011"/>
      <c r="H198" s="778"/>
      <c r="I198" s="778"/>
      <c r="J198" s="1011"/>
      <c r="K198" s="778"/>
      <c r="L198" s="778"/>
      <c r="M198" s="702"/>
      <c r="N198" s="884"/>
      <c r="O198" s="1014"/>
      <c r="P198" s="1014"/>
      <c r="Q198" s="1022"/>
      <c r="R198" s="1022"/>
      <c r="S198" s="1014"/>
    </row>
    <row r="199" spans="2:19" x14ac:dyDescent="0.35">
      <c r="B199" s="1019" t="str">
        <f>+B186</f>
        <v>Office furniture and fittings</v>
      </c>
      <c r="C199" s="778"/>
      <c r="D199" s="778"/>
      <c r="E199" s="778"/>
      <c r="F199" s="1024"/>
      <c r="G199" s="1011"/>
      <c r="H199" s="778"/>
      <c r="I199" s="778"/>
      <c r="J199" s="1011"/>
      <c r="K199" s="778"/>
      <c r="L199" s="778"/>
      <c r="M199" s="702"/>
      <c r="N199" s="884"/>
      <c r="O199" s="1014"/>
      <c r="P199" s="1014"/>
      <c r="Q199" s="1022"/>
      <c r="R199" s="1022"/>
      <c r="S199" s="1014"/>
    </row>
    <row r="200" spans="2:19" x14ac:dyDescent="0.35">
      <c r="B200" s="1019" t="str">
        <f>+B187</f>
        <v>Office equipments -  DG Set</v>
      </c>
      <c r="C200" s="778"/>
      <c r="D200" s="778"/>
      <c r="E200" s="778"/>
      <c r="F200" s="1024"/>
      <c r="G200" s="1011"/>
      <c r="H200" s="778"/>
      <c r="I200" s="778"/>
      <c r="J200" s="1011"/>
      <c r="K200" s="778"/>
      <c r="L200" s="778"/>
      <c r="M200" s="702"/>
      <c r="N200" s="884"/>
      <c r="O200" s="1014"/>
      <c r="P200" s="1014"/>
      <c r="Q200" s="1022"/>
      <c r="R200" s="1022"/>
      <c r="S200" s="1014"/>
    </row>
    <row r="201" spans="2:19" x14ac:dyDescent="0.35">
      <c r="B201" s="1019" t="str">
        <f>+B188</f>
        <v>Software Licenses</v>
      </c>
      <c r="C201" s="778"/>
      <c r="D201" s="778"/>
      <c r="E201" s="778"/>
      <c r="F201" s="778"/>
      <c r="G201" s="778"/>
      <c r="H201" s="778"/>
      <c r="I201" s="778"/>
      <c r="J201" s="778"/>
      <c r="K201" s="778"/>
      <c r="L201" s="778"/>
      <c r="M201" s="778"/>
      <c r="N201" s="884"/>
      <c r="O201" s="1014"/>
      <c r="P201" s="1014"/>
      <c r="Q201" s="1014"/>
      <c r="R201" s="1014"/>
      <c r="S201" s="1014"/>
    </row>
    <row r="202" spans="2:19" x14ac:dyDescent="0.35">
      <c r="B202" s="1023"/>
      <c r="C202" s="778"/>
      <c r="D202" s="778"/>
      <c r="E202" s="778"/>
      <c r="F202" s="778"/>
      <c r="G202" s="778"/>
      <c r="H202" s="778"/>
      <c r="I202" s="778"/>
      <c r="J202" s="778"/>
      <c r="K202" s="778"/>
      <c r="L202" s="778"/>
      <c r="M202" s="778"/>
      <c r="N202" s="884"/>
      <c r="O202" s="1014"/>
      <c r="P202" s="1014"/>
      <c r="Q202" s="1014"/>
      <c r="R202" s="1014"/>
      <c r="S202" s="1014"/>
    </row>
    <row r="203" spans="2:19" x14ac:dyDescent="0.35">
      <c r="B203" s="1006" t="s">
        <v>127</v>
      </c>
      <c r="C203" s="778"/>
      <c r="D203" s="778"/>
      <c r="E203" s="778"/>
      <c r="F203" s="778"/>
      <c r="G203" s="778"/>
      <c r="H203" s="778"/>
      <c r="I203" s="778"/>
      <c r="J203" s="778"/>
      <c r="K203" s="778"/>
      <c r="L203" s="778"/>
      <c r="M203" s="778"/>
      <c r="N203" s="884"/>
      <c r="O203" s="1014"/>
      <c r="P203" s="1014"/>
      <c r="Q203" s="1014"/>
      <c r="R203" s="1014"/>
      <c r="S203" s="1014"/>
    </row>
    <row r="204" spans="2:19" x14ac:dyDescent="0.35">
      <c r="B204" s="1006" t="s">
        <v>476</v>
      </c>
      <c r="C204" s="778"/>
      <c r="D204" s="778"/>
      <c r="E204" s="778"/>
      <c r="F204" s="778"/>
      <c r="G204" s="778"/>
      <c r="H204" s="778"/>
      <c r="I204" s="778"/>
      <c r="J204" s="778"/>
      <c r="K204" s="778"/>
      <c r="L204" s="778"/>
      <c r="M204" s="778"/>
      <c r="N204" s="884"/>
      <c r="O204" s="1014"/>
      <c r="P204" s="1014"/>
      <c r="Q204" s="1014"/>
      <c r="R204" s="1014"/>
      <c r="S204" s="1014"/>
    </row>
    <row r="205" spans="2:19" x14ac:dyDescent="0.35">
      <c r="B205" s="1007" t="s">
        <v>477</v>
      </c>
      <c r="C205" s="778"/>
      <c r="D205" s="778"/>
      <c r="E205" s="778"/>
      <c r="F205" s="778"/>
      <c r="G205" s="778"/>
      <c r="H205" s="778"/>
      <c r="I205" s="778"/>
      <c r="J205" s="778"/>
      <c r="K205" s="778"/>
      <c r="L205" s="778"/>
      <c r="M205" s="778"/>
      <c r="N205" s="884"/>
      <c r="O205" s="1014"/>
      <c r="P205" s="1014"/>
      <c r="Q205" s="1014"/>
      <c r="R205" s="1014"/>
      <c r="S205" s="1014"/>
    </row>
    <row r="206" spans="2:19" x14ac:dyDescent="0.35">
      <c r="B206" s="2015" t="s">
        <v>1393</v>
      </c>
      <c r="C206" s="2017" t="s">
        <v>1394</v>
      </c>
      <c r="D206" s="1003" t="s">
        <v>1395</v>
      </c>
      <c r="E206" s="1010">
        <v>43067</v>
      </c>
      <c r="F206" s="778" t="s">
        <v>1396</v>
      </c>
      <c r="G206" s="779"/>
      <c r="H206" s="779"/>
      <c r="I206" s="779"/>
      <c r="J206" s="779"/>
      <c r="K206" s="779"/>
      <c r="L206" s="779"/>
      <c r="M206" s="779"/>
      <c r="N206" s="884"/>
      <c r="O206" s="1014"/>
      <c r="P206" s="1014"/>
      <c r="Q206" s="1014"/>
      <c r="R206" s="1014"/>
      <c r="S206" s="1014"/>
    </row>
    <row r="207" spans="2:19" x14ac:dyDescent="0.35">
      <c r="B207" s="2016"/>
      <c r="C207" s="2018"/>
      <c r="D207" s="1003"/>
      <c r="E207" s="1010"/>
      <c r="F207" s="778"/>
      <c r="G207" s="779"/>
      <c r="H207" s="779"/>
      <c r="I207" s="779"/>
      <c r="J207" s="779"/>
      <c r="K207" s="779"/>
      <c r="L207" s="779"/>
      <c r="M207" s="779"/>
      <c r="N207" s="1172"/>
      <c r="O207" s="1014"/>
      <c r="P207" s="1014"/>
      <c r="Q207" s="1014"/>
      <c r="R207" s="1014"/>
      <c r="S207" s="1014"/>
    </row>
    <row r="208" spans="2:19" x14ac:dyDescent="0.35">
      <c r="B208" s="1006"/>
      <c r="C208" s="778"/>
      <c r="D208" s="778"/>
      <c r="E208" s="778"/>
      <c r="F208" s="778"/>
      <c r="G208" s="778"/>
      <c r="H208" s="778"/>
      <c r="I208" s="778"/>
      <c r="J208" s="778"/>
      <c r="K208" s="778"/>
      <c r="L208" s="778"/>
      <c r="M208" s="778"/>
      <c r="N208" s="884"/>
      <c r="O208" s="1014"/>
      <c r="P208" s="1014"/>
      <c r="Q208" s="1014"/>
      <c r="R208" s="1014"/>
      <c r="S208" s="1014"/>
    </row>
    <row r="209" spans="2:28" x14ac:dyDescent="0.35">
      <c r="B209" s="779" t="s">
        <v>479</v>
      </c>
      <c r="C209" s="778"/>
      <c r="D209" s="778"/>
      <c r="E209" s="778"/>
      <c r="F209" s="778"/>
      <c r="G209" s="778"/>
      <c r="H209" s="778"/>
      <c r="I209" s="778"/>
      <c r="J209" s="778"/>
      <c r="K209" s="778"/>
      <c r="L209" s="778"/>
      <c r="M209" s="778"/>
      <c r="N209" s="884"/>
      <c r="O209" s="1014"/>
      <c r="P209" s="1014"/>
      <c r="Q209" s="1014"/>
      <c r="R209" s="1014"/>
      <c r="S209" s="1014"/>
    </row>
    <row r="210" spans="2:28" x14ac:dyDescent="0.35">
      <c r="B210" s="1019" t="str">
        <f>+B197</f>
        <v>Vehicles</v>
      </c>
      <c r="C210" s="778"/>
      <c r="D210" s="778"/>
      <c r="E210" s="778"/>
      <c r="F210" s="1024"/>
      <c r="G210" s="1011"/>
      <c r="H210" s="778"/>
      <c r="I210" s="778"/>
      <c r="J210" s="1011"/>
      <c r="K210" s="778"/>
      <c r="L210" s="778"/>
      <c r="M210" s="702"/>
      <c r="N210" s="884"/>
      <c r="O210" s="1014"/>
      <c r="P210" s="1014"/>
      <c r="Q210" s="1022"/>
      <c r="R210" s="1022"/>
      <c r="S210" s="1014"/>
    </row>
    <row r="211" spans="2:28" x14ac:dyDescent="0.35">
      <c r="B211" s="1019" t="str">
        <f>+B198</f>
        <v>I.T. equipments</v>
      </c>
      <c r="C211" s="778"/>
      <c r="D211" s="778"/>
      <c r="E211" s="778"/>
      <c r="F211" s="1024"/>
      <c r="G211" s="1011"/>
      <c r="H211" s="778"/>
      <c r="I211" s="778"/>
      <c r="J211" s="1011"/>
      <c r="K211" s="778"/>
      <c r="L211" s="778"/>
      <c r="M211" s="702"/>
      <c r="N211" s="884"/>
      <c r="O211" s="1014"/>
      <c r="P211" s="1014"/>
      <c r="Q211" s="1022"/>
      <c r="R211" s="1022"/>
      <c r="S211" s="1014"/>
    </row>
    <row r="212" spans="2:28" x14ac:dyDescent="0.35">
      <c r="B212" s="1019" t="str">
        <f>+B199</f>
        <v>Office furniture and fittings</v>
      </c>
      <c r="C212" s="778"/>
      <c r="D212" s="778"/>
      <c r="E212" s="778"/>
      <c r="F212" s="1024"/>
      <c r="G212" s="1011"/>
      <c r="H212" s="778"/>
      <c r="I212" s="778"/>
      <c r="J212" s="1011"/>
      <c r="K212" s="778"/>
      <c r="L212" s="778"/>
      <c r="M212" s="702"/>
      <c r="N212" s="884"/>
      <c r="O212" s="1014"/>
      <c r="P212" s="1014"/>
      <c r="Q212" s="1022"/>
      <c r="R212" s="1022"/>
      <c r="S212" s="1014"/>
    </row>
    <row r="213" spans="2:28" x14ac:dyDescent="0.35">
      <c r="B213" s="1019" t="str">
        <f>+B200</f>
        <v>Office equipments -  DG Set</v>
      </c>
      <c r="C213" s="778"/>
      <c r="D213" s="778"/>
      <c r="E213" s="778"/>
      <c r="F213" s="1024"/>
      <c r="G213" s="1011"/>
      <c r="H213" s="778"/>
      <c r="I213" s="778"/>
      <c r="J213" s="1011"/>
      <c r="K213" s="778"/>
      <c r="L213" s="778"/>
      <c r="M213" s="702"/>
      <c r="N213" s="884"/>
      <c r="O213" s="1014"/>
      <c r="P213" s="1014"/>
      <c r="Q213" s="1022"/>
      <c r="R213" s="1022"/>
      <c r="S213" s="1014"/>
    </row>
    <row r="214" spans="2:28" x14ac:dyDescent="0.35">
      <c r="B214" s="1019" t="str">
        <f>+B201</f>
        <v>Software Licenses</v>
      </c>
      <c r="C214" s="778"/>
      <c r="D214" s="778"/>
      <c r="E214" s="778"/>
      <c r="F214" s="778"/>
      <c r="G214" s="778"/>
      <c r="H214" s="778"/>
      <c r="I214" s="778"/>
      <c r="J214" s="778"/>
      <c r="K214" s="778"/>
      <c r="L214" s="778"/>
      <c r="M214" s="778"/>
      <c r="N214" s="884"/>
      <c r="O214" s="1014"/>
      <c r="P214" s="1014"/>
      <c r="Q214" s="1014"/>
      <c r="R214" s="1014"/>
      <c r="S214" s="1014"/>
    </row>
    <row r="215" spans="2:28" x14ac:dyDescent="0.35">
      <c r="B215" s="1019"/>
      <c r="C215" s="778"/>
      <c r="D215" s="778"/>
      <c r="E215" s="778"/>
      <c r="F215" s="778"/>
      <c r="G215" s="778"/>
      <c r="H215" s="778"/>
      <c r="I215" s="778"/>
      <c r="J215" s="778"/>
      <c r="K215" s="778"/>
      <c r="L215" s="778"/>
      <c r="M215" s="778"/>
      <c r="N215" s="884"/>
      <c r="O215" s="1014"/>
      <c r="P215" s="1014"/>
      <c r="Q215" s="1014"/>
      <c r="R215" s="1014"/>
      <c r="S215" s="1014"/>
    </row>
    <row r="216" spans="2:28" x14ac:dyDescent="0.35">
      <c r="B216" s="778"/>
      <c r="C216" s="778"/>
      <c r="D216" s="778"/>
      <c r="E216" s="778"/>
      <c r="F216" s="778"/>
      <c r="G216" s="778"/>
      <c r="H216" s="778"/>
      <c r="I216" s="778"/>
      <c r="J216" s="778"/>
      <c r="K216" s="778"/>
      <c r="L216" s="778"/>
      <c r="M216" s="778"/>
      <c r="N216" s="884"/>
      <c r="O216" s="1014"/>
      <c r="P216" s="1014"/>
      <c r="Q216" s="1014"/>
      <c r="R216" s="1014"/>
      <c r="S216" s="1014"/>
    </row>
    <row r="217" spans="2:28" x14ac:dyDescent="0.35">
      <c r="B217" s="1027" t="s">
        <v>480</v>
      </c>
      <c r="C217" s="1028"/>
      <c r="D217" s="1028"/>
      <c r="E217" s="1028"/>
      <c r="F217" s="1028"/>
      <c r="G217" s="1028"/>
      <c r="H217" s="1028"/>
      <c r="I217" s="1028"/>
      <c r="J217" s="1028"/>
      <c r="K217" s="1028"/>
      <c r="L217" s="1028"/>
      <c r="M217" s="1029">
        <f>SUM(M13:M216)</f>
        <v>87.491124900000003</v>
      </c>
      <c r="N217" s="1173">
        <f t="shared" ref="N217:S217" si="0">SUM(N13:N216)</f>
        <v>73.232403286458805</v>
      </c>
      <c r="O217" s="1029">
        <f t="shared" si="0"/>
        <v>0</v>
      </c>
      <c r="P217" s="1029">
        <f t="shared" si="0"/>
        <v>0</v>
      </c>
      <c r="Q217" s="1029">
        <f t="shared" si="0"/>
        <v>5.6108238551829164</v>
      </c>
      <c r="R217" s="1029">
        <f t="shared" si="0"/>
        <v>13.099808869092648</v>
      </c>
      <c r="S217" s="1029">
        <f t="shared" si="0"/>
        <v>18.710632724275566</v>
      </c>
    </row>
    <row r="218" spans="2:28" x14ac:dyDescent="0.35">
      <c r="N218" s="1174">
        <f>SUM('F4'!D13:O13)-N217</f>
        <v>0</v>
      </c>
    </row>
    <row r="219" spans="2:28" ht="13.5" x14ac:dyDescent="0.35">
      <c r="B219" s="1030" t="s">
        <v>599</v>
      </c>
      <c r="C219" s="446"/>
      <c r="D219" s="446"/>
      <c r="E219" s="446"/>
      <c r="F219" s="446"/>
      <c r="G219" s="446"/>
      <c r="H219" s="446"/>
      <c r="I219" s="1031"/>
      <c r="J219" s="1031"/>
      <c r="K219" s="446"/>
      <c r="N219" s="1174">
        <f>+N218*10^7</f>
        <v>0</v>
      </c>
    </row>
    <row r="220" spans="2:28" x14ac:dyDescent="0.35">
      <c r="B220" s="446" t="s">
        <v>1397</v>
      </c>
      <c r="C220" s="446"/>
      <c r="D220" s="446"/>
      <c r="E220" s="446"/>
      <c r="F220" s="446"/>
      <c r="G220" s="446"/>
      <c r="H220" s="446"/>
      <c r="I220" s="446"/>
      <c r="J220" s="446"/>
      <c r="K220" s="1031"/>
      <c r="N220" s="1174"/>
    </row>
    <row r="221" spans="2:28" ht="13.5" x14ac:dyDescent="0.35">
      <c r="B221" s="1033" t="s">
        <v>1398</v>
      </c>
      <c r="C221" s="1030"/>
      <c r="D221" s="1030"/>
      <c r="E221" s="1030"/>
      <c r="F221" s="1030"/>
      <c r="G221" s="1030"/>
      <c r="H221" s="1030"/>
      <c r="I221" s="1030"/>
      <c r="J221" s="1030"/>
      <c r="K221" s="1030"/>
      <c r="N221" s="1174"/>
    </row>
    <row r="222" spans="2:28" x14ac:dyDescent="0.35">
      <c r="B222" s="1033" t="s">
        <v>1399</v>
      </c>
      <c r="C222" s="1033"/>
      <c r="D222" s="1033"/>
      <c r="E222" s="1033"/>
      <c r="F222" s="1033"/>
      <c r="G222" s="1033"/>
      <c r="H222" s="1033"/>
      <c r="I222" s="1033"/>
      <c r="J222" s="1033"/>
      <c r="K222" s="1033"/>
      <c r="N222" s="1174"/>
    </row>
    <row r="223" spans="2:28" ht="15" customHeight="1" x14ac:dyDescent="0.35">
      <c r="B223" s="390"/>
      <c r="C223" s="390"/>
      <c r="D223" s="390"/>
      <c r="E223" s="390"/>
      <c r="F223" s="390"/>
      <c r="G223" s="390"/>
      <c r="H223" s="390"/>
      <c r="I223" s="390"/>
      <c r="J223" s="390"/>
      <c r="K223" s="390"/>
      <c r="L223" s="416"/>
      <c r="M223" s="416"/>
      <c r="N223" s="1175"/>
      <c r="O223" s="416"/>
      <c r="P223" s="416"/>
      <c r="Q223" s="416"/>
      <c r="R223" s="416"/>
      <c r="S223" s="416"/>
      <c r="T223" s="416"/>
      <c r="U223" s="992"/>
      <c r="V223" s="992"/>
      <c r="W223" s="992"/>
      <c r="X223" s="992"/>
      <c r="Y223" s="460"/>
      <c r="Z223" s="460"/>
      <c r="AA223" s="460"/>
      <c r="AB223" s="460"/>
    </row>
    <row r="224" spans="2:28" x14ac:dyDescent="0.35">
      <c r="B224" s="406" t="s">
        <v>481</v>
      </c>
      <c r="N224" s="1174"/>
    </row>
    <row r="225" spans="2:14" x14ac:dyDescent="0.35">
      <c r="K225" s="415" t="s">
        <v>110</v>
      </c>
      <c r="N225" s="1174"/>
    </row>
    <row r="226" spans="2:14" ht="25.5" customHeight="1" x14ac:dyDescent="0.35">
      <c r="B226" s="2023" t="s">
        <v>482</v>
      </c>
      <c r="C226" s="2026" t="s">
        <v>483</v>
      </c>
      <c r="D226" s="2026"/>
      <c r="E226" s="2026"/>
      <c r="F226" s="2026"/>
      <c r="G226" s="2026"/>
      <c r="H226" s="2026"/>
      <c r="I226" s="2026"/>
      <c r="J226" s="2026"/>
      <c r="K226" s="2026"/>
      <c r="L226" s="1035"/>
      <c r="M226" s="1035"/>
      <c r="N226" s="1174"/>
    </row>
    <row r="227" spans="2:14" ht="17.45" customHeight="1" x14ac:dyDescent="0.35">
      <c r="B227" s="2024"/>
      <c r="C227" s="2027" t="s">
        <v>461</v>
      </c>
      <c r="D227" s="2027" t="s">
        <v>462</v>
      </c>
      <c r="E227" s="2027" t="s">
        <v>484</v>
      </c>
      <c r="F227" s="2027" t="s">
        <v>485</v>
      </c>
      <c r="G227" s="2026" t="s">
        <v>486</v>
      </c>
      <c r="H227" s="2029"/>
      <c r="I227" s="2029"/>
      <c r="J227" s="2029"/>
      <c r="K227" s="2029"/>
      <c r="L227" s="1036"/>
      <c r="M227" s="1036"/>
      <c r="N227" s="1174"/>
    </row>
    <row r="228" spans="2:14" ht="47.25" customHeight="1" x14ac:dyDescent="0.35">
      <c r="B228" s="2025"/>
      <c r="C228" s="2028"/>
      <c r="D228" s="2028"/>
      <c r="E228" s="2028"/>
      <c r="F228" s="2028"/>
      <c r="G228" s="1034" t="s">
        <v>487</v>
      </c>
      <c r="H228" s="1034" t="s">
        <v>488</v>
      </c>
      <c r="I228" s="1034" t="s">
        <v>489</v>
      </c>
      <c r="J228" s="1034" t="s">
        <v>490</v>
      </c>
      <c r="K228" s="1034" t="s">
        <v>491</v>
      </c>
      <c r="N228" s="1174"/>
    </row>
    <row r="229" spans="2:14" hidden="1" x14ac:dyDescent="0.35">
      <c r="B229" s="779" t="s">
        <v>195</v>
      </c>
      <c r="C229" s="778"/>
      <c r="D229" s="778"/>
      <c r="E229" s="778"/>
      <c r="F229" s="778"/>
      <c r="G229" s="778"/>
      <c r="H229" s="778"/>
      <c r="I229" s="778"/>
      <c r="J229" s="778"/>
      <c r="K229" s="778"/>
      <c r="N229" s="1174"/>
    </row>
    <row r="230" spans="2:14" hidden="1" x14ac:dyDescent="0.35">
      <c r="B230" s="1006" t="s">
        <v>476</v>
      </c>
      <c r="C230" s="778"/>
      <c r="D230" s="778"/>
      <c r="E230" s="778"/>
      <c r="F230" s="778"/>
      <c r="G230" s="778"/>
      <c r="H230" s="778"/>
      <c r="I230" s="778"/>
      <c r="J230" s="778"/>
      <c r="K230" s="778"/>
      <c r="N230" s="1174"/>
    </row>
    <row r="231" spans="2:14" hidden="1" x14ac:dyDescent="0.35">
      <c r="B231" s="1007" t="s">
        <v>477</v>
      </c>
      <c r="C231" s="778"/>
      <c r="D231" s="778"/>
      <c r="E231" s="778"/>
      <c r="F231" s="778"/>
      <c r="G231" s="778"/>
      <c r="H231" s="778"/>
      <c r="I231" s="778"/>
      <c r="J231" s="778"/>
      <c r="K231" s="778"/>
      <c r="N231" s="1174"/>
    </row>
    <row r="232" spans="2:14" hidden="1" x14ac:dyDescent="0.35">
      <c r="B232" s="778" t="s">
        <v>239</v>
      </c>
      <c r="C232" s="778"/>
      <c r="D232" s="778"/>
      <c r="E232" s="778"/>
      <c r="F232" s="778"/>
      <c r="G232" s="778"/>
      <c r="H232" s="778"/>
      <c r="I232" s="778"/>
      <c r="J232" s="778"/>
      <c r="K232" s="778"/>
      <c r="N232" s="1174"/>
    </row>
    <row r="233" spans="2:14" hidden="1" x14ac:dyDescent="0.35">
      <c r="B233" s="778" t="s">
        <v>239</v>
      </c>
      <c r="C233" s="778"/>
      <c r="D233" s="778"/>
      <c r="E233" s="778"/>
      <c r="F233" s="778"/>
      <c r="G233" s="778"/>
      <c r="H233" s="778"/>
      <c r="I233" s="778"/>
      <c r="J233" s="778"/>
      <c r="K233" s="778"/>
      <c r="N233" s="1174"/>
    </row>
    <row r="234" spans="2:14" hidden="1" x14ac:dyDescent="0.35">
      <c r="B234" s="1007" t="s">
        <v>478</v>
      </c>
      <c r="C234" s="778"/>
      <c r="D234" s="778"/>
      <c r="E234" s="778"/>
      <c r="F234" s="778"/>
      <c r="G234" s="778"/>
      <c r="H234" s="778"/>
      <c r="I234" s="778"/>
      <c r="J234" s="778"/>
      <c r="K234" s="778"/>
      <c r="N234" s="1174"/>
    </row>
    <row r="235" spans="2:14" hidden="1" x14ac:dyDescent="0.35">
      <c r="B235" s="778" t="s">
        <v>239</v>
      </c>
      <c r="C235" s="778"/>
      <c r="D235" s="778"/>
      <c r="E235" s="778"/>
      <c r="F235" s="778"/>
      <c r="G235" s="778"/>
      <c r="H235" s="778"/>
      <c r="I235" s="778"/>
      <c r="J235" s="778"/>
      <c r="K235" s="778"/>
      <c r="N235" s="1174"/>
    </row>
    <row r="236" spans="2:14" hidden="1" x14ac:dyDescent="0.35">
      <c r="B236" s="778" t="s">
        <v>239</v>
      </c>
      <c r="C236" s="778"/>
      <c r="D236" s="778"/>
      <c r="E236" s="778"/>
      <c r="F236" s="778"/>
      <c r="G236" s="778"/>
      <c r="H236" s="778"/>
      <c r="I236" s="778"/>
      <c r="J236" s="778"/>
      <c r="K236" s="778"/>
      <c r="N236" s="1174"/>
    </row>
    <row r="237" spans="2:14" hidden="1" x14ac:dyDescent="0.35">
      <c r="B237" s="779" t="s">
        <v>479</v>
      </c>
      <c r="C237" s="778"/>
      <c r="D237" s="778"/>
      <c r="E237" s="778"/>
      <c r="F237" s="778"/>
      <c r="G237" s="778"/>
      <c r="H237" s="778"/>
      <c r="I237" s="778"/>
      <c r="J237" s="778"/>
      <c r="K237" s="778"/>
      <c r="N237" s="1174"/>
    </row>
    <row r="238" spans="2:14" hidden="1" x14ac:dyDescent="0.35">
      <c r="B238" s="778" t="s">
        <v>239</v>
      </c>
      <c r="C238" s="778"/>
      <c r="D238" s="778"/>
      <c r="E238" s="778"/>
      <c r="F238" s="778"/>
      <c r="G238" s="778"/>
      <c r="H238" s="778"/>
      <c r="I238" s="778"/>
      <c r="J238" s="778"/>
      <c r="K238" s="778"/>
      <c r="N238" s="1174"/>
    </row>
    <row r="239" spans="2:14" hidden="1" x14ac:dyDescent="0.35">
      <c r="B239" s="778" t="s">
        <v>239</v>
      </c>
      <c r="C239" s="778"/>
      <c r="D239" s="778"/>
      <c r="E239" s="778"/>
      <c r="F239" s="778"/>
      <c r="G239" s="778"/>
      <c r="H239" s="778"/>
      <c r="I239" s="778"/>
      <c r="J239" s="778"/>
      <c r="K239" s="778"/>
      <c r="N239" s="1174"/>
    </row>
    <row r="240" spans="2:14" x14ac:dyDescent="0.35">
      <c r="B240" s="778"/>
      <c r="C240" s="778"/>
      <c r="D240" s="778"/>
      <c r="E240" s="778"/>
      <c r="F240" s="778"/>
      <c r="G240" s="778"/>
      <c r="H240" s="778"/>
      <c r="I240" s="778"/>
      <c r="J240" s="778"/>
      <c r="K240" s="778"/>
      <c r="N240" s="1174"/>
    </row>
    <row r="241" spans="2:14" x14ac:dyDescent="0.35">
      <c r="B241" s="779" t="s">
        <v>196</v>
      </c>
      <c r="C241" s="778"/>
      <c r="D241" s="778"/>
      <c r="E241" s="778"/>
      <c r="F241" s="778"/>
      <c r="G241" s="778"/>
      <c r="H241" s="778"/>
      <c r="I241" s="778"/>
      <c r="J241" s="778"/>
      <c r="K241" s="778"/>
      <c r="N241" s="1174"/>
    </row>
    <row r="242" spans="2:14" x14ac:dyDescent="0.35">
      <c r="B242" s="1006" t="s">
        <v>476</v>
      </c>
      <c r="C242" s="778"/>
      <c r="D242" s="778"/>
      <c r="E242" s="778"/>
      <c r="F242" s="778"/>
      <c r="G242" s="778"/>
      <c r="H242" s="778"/>
      <c r="I242" s="778"/>
      <c r="J242" s="778"/>
      <c r="K242" s="778"/>
      <c r="N242" s="1174"/>
    </row>
    <row r="243" spans="2:14" x14ac:dyDescent="0.35">
      <c r="B243" s="1007" t="s">
        <v>477</v>
      </c>
      <c r="C243" s="778"/>
      <c r="D243" s="778"/>
      <c r="E243" s="778"/>
      <c r="F243" s="778"/>
      <c r="G243" s="778"/>
      <c r="H243" s="778"/>
      <c r="I243" s="778"/>
      <c r="J243" s="778"/>
      <c r="K243" s="778"/>
      <c r="N243" s="1174"/>
    </row>
    <row r="244" spans="2:14" ht="25.5" x14ac:dyDescent="0.35">
      <c r="B244" s="2015" t="s">
        <v>1393</v>
      </c>
      <c r="C244" s="2017" t="s">
        <v>1394</v>
      </c>
      <c r="D244" s="1003" t="s">
        <v>1395</v>
      </c>
      <c r="E244" s="778"/>
      <c r="F244" s="1037">
        <f>N47*30%</f>
        <v>16.64364132</v>
      </c>
      <c r="G244" s="1037">
        <f>N47*70%</f>
        <v>38.835163080000001</v>
      </c>
      <c r="H244" s="1038">
        <f>+Assum!E53</f>
        <v>0.11164835164835164</v>
      </c>
      <c r="I244" s="778">
        <v>9</v>
      </c>
      <c r="J244" s="778">
        <v>5</v>
      </c>
      <c r="K244" s="1039" t="s">
        <v>1400</v>
      </c>
      <c r="N244" s="1174"/>
    </row>
    <row r="245" spans="2:14" x14ac:dyDescent="0.35">
      <c r="B245" s="2016"/>
      <c r="C245" s="2022"/>
      <c r="D245" s="1003"/>
      <c r="E245" s="778"/>
      <c r="F245" s="778"/>
      <c r="G245" s="778"/>
      <c r="H245" s="778"/>
      <c r="I245" s="778"/>
      <c r="J245" s="778"/>
      <c r="K245" s="778"/>
      <c r="N245" s="1174"/>
    </row>
    <row r="246" spans="2:14" x14ac:dyDescent="0.35">
      <c r="B246" s="1007" t="s">
        <v>478</v>
      </c>
      <c r="C246" s="778"/>
      <c r="D246" s="778"/>
      <c r="E246" s="778"/>
      <c r="F246" s="778"/>
      <c r="G246" s="778"/>
      <c r="H246" s="778"/>
      <c r="I246" s="778"/>
      <c r="J246" s="778"/>
      <c r="K246" s="778"/>
      <c r="N246" s="1174"/>
    </row>
    <row r="247" spans="2:14" x14ac:dyDescent="0.35">
      <c r="B247" s="778" t="s">
        <v>239</v>
      </c>
      <c r="C247" s="778"/>
      <c r="D247" s="778"/>
      <c r="E247" s="778"/>
      <c r="F247" s="778"/>
      <c r="G247" s="778"/>
      <c r="H247" s="778"/>
      <c r="I247" s="778"/>
      <c r="J247" s="778"/>
      <c r="K247" s="778"/>
      <c r="N247" s="1174"/>
    </row>
    <row r="248" spans="2:14" x14ac:dyDescent="0.35">
      <c r="B248" s="778" t="s">
        <v>239</v>
      </c>
      <c r="C248" s="778"/>
      <c r="D248" s="778"/>
      <c r="E248" s="778"/>
      <c r="F248" s="778"/>
      <c r="G248" s="778"/>
      <c r="H248" s="778"/>
      <c r="I248" s="778"/>
      <c r="J248" s="778"/>
      <c r="K248" s="778"/>
      <c r="N248" s="1174"/>
    </row>
    <row r="249" spans="2:14" x14ac:dyDescent="0.35">
      <c r="B249" s="779" t="s">
        <v>479</v>
      </c>
      <c r="C249" s="778"/>
      <c r="D249" s="778"/>
      <c r="E249" s="778"/>
      <c r="F249" s="778"/>
      <c r="G249" s="778"/>
      <c r="H249" s="778"/>
      <c r="I249" s="778"/>
      <c r="J249" s="778"/>
      <c r="K249" s="778"/>
      <c r="N249" s="1174"/>
    </row>
    <row r="250" spans="2:14" ht="25.5" x14ac:dyDescent="0.35">
      <c r="B250" s="778" t="s">
        <v>1401</v>
      </c>
      <c r="C250" s="778"/>
      <c r="D250" s="778"/>
      <c r="E250" s="778"/>
      <c r="F250" s="1037">
        <f>SUM(N54:N57)*30%</f>
        <v>2.0423114249999999E-2</v>
      </c>
      <c r="G250" s="1037">
        <f>SUM(N54:N57)*70%</f>
        <v>4.7653933249999995E-2</v>
      </c>
      <c r="H250" s="1038">
        <f>H244</f>
        <v>0.11164835164835164</v>
      </c>
      <c r="I250" s="778">
        <v>9</v>
      </c>
      <c r="J250" s="778">
        <v>5</v>
      </c>
      <c r="K250" s="1039" t="s">
        <v>1400</v>
      </c>
      <c r="N250" s="1174"/>
    </row>
    <row r="251" spans="2:14" x14ac:dyDescent="0.35">
      <c r="B251" s="778" t="s">
        <v>239</v>
      </c>
      <c r="C251" s="778"/>
      <c r="D251" s="778"/>
      <c r="E251" s="778"/>
      <c r="F251" s="778"/>
      <c r="G251" s="778"/>
      <c r="H251" s="778"/>
      <c r="I251" s="778"/>
      <c r="J251" s="778"/>
      <c r="K251" s="778"/>
      <c r="N251" s="1174"/>
    </row>
    <row r="252" spans="2:14" x14ac:dyDescent="0.35">
      <c r="B252" s="778"/>
      <c r="C252" s="778"/>
      <c r="D252" s="778"/>
      <c r="E252" s="778"/>
      <c r="F252" s="778"/>
      <c r="G252" s="778"/>
      <c r="H252" s="778"/>
      <c r="I252" s="778"/>
      <c r="J252" s="778"/>
      <c r="K252" s="778"/>
      <c r="N252" s="1174"/>
    </row>
    <row r="253" spans="2:14" x14ac:dyDescent="0.35">
      <c r="B253" s="779" t="s">
        <v>197</v>
      </c>
      <c r="C253" s="778"/>
      <c r="D253" s="778"/>
      <c r="E253" s="778"/>
      <c r="F253" s="778"/>
      <c r="G253" s="778"/>
      <c r="H253" s="778"/>
      <c r="I253" s="778"/>
      <c r="J253" s="778"/>
      <c r="K253" s="778"/>
      <c r="N253" s="1174"/>
    </row>
    <row r="254" spans="2:14" x14ac:dyDescent="0.35">
      <c r="B254" s="1006" t="s">
        <v>476</v>
      </c>
      <c r="C254" s="778"/>
      <c r="D254" s="778"/>
      <c r="E254" s="778"/>
      <c r="F254" s="778"/>
      <c r="G254" s="778"/>
      <c r="H254" s="778"/>
      <c r="I254" s="778"/>
      <c r="J254" s="778"/>
      <c r="K254" s="778"/>
      <c r="N254" s="1174"/>
    </row>
    <row r="255" spans="2:14" x14ac:dyDescent="0.35">
      <c r="B255" s="1007" t="s">
        <v>477</v>
      </c>
      <c r="C255" s="778"/>
      <c r="D255" s="778"/>
      <c r="E255" s="778"/>
      <c r="F255" s="778"/>
      <c r="G255" s="778"/>
      <c r="H255" s="778"/>
      <c r="I255" s="778"/>
      <c r="J255" s="778"/>
      <c r="K255" s="778"/>
      <c r="N255" s="1174"/>
    </row>
    <row r="256" spans="2:14" ht="25.5" x14ac:dyDescent="0.35">
      <c r="B256" s="2015" t="s">
        <v>1393</v>
      </c>
      <c r="C256" s="2017" t="s">
        <v>1394</v>
      </c>
      <c r="D256" s="1003" t="s">
        <v>1395</v>
      </c>
      <c r="E256" s="778"/>
      <c r="F256" s="1037">
        <f>N63*30%</f>
        <v>3.4684586854376347</v>
      </c>
      <c r="G256" s="1037">
        <f>N63*70%</f>
        <v>8.0930702660211473</v>
      </c>
      <c r="H256" s="1038">
        <f>+Assum!F53</f>
        <v>0.11071857923497269</v>
      </c>
      <c r="I256" s="778">
        <v>9</v>
      </c>
      <c r="J256" s="778">
        <v>5</v>
      </c>
      <c r="K256" s="1039" t="s">
        <v>1400</v>
      </c>
      <c r="N256" s="1174"/>
    </row>
    <row r="257" spans="2:14" x14ac:dyDescent="0.35">
      <c r="B257" s="2016"/>
      <c r="C257" s="2022"/>
      <c r="D257" s="1003"/>
      <c r="E257" s="778"/>
      <c r="F257" s="778"/>
      <c r="G257" s="778"/>
      <c r="H257" s="778"/>
      <c r="I257" s="778"/>
      <c r="J257" s="778"/>
      <c r="K257" s="778"/>
      <c r="N257" s="1174"/>
    </row>
    <row r="258" spans="2:14" x14ac:dyDescent="0.35">
      <c r="B258" s="1007" t="s">
        <v>478</v>
      </c>
      <c r="C258" s="778"/>
      <c r="D258" s="778"/>
      <c r="E258" s="778"/>
      <c r="F258" s="778"/>
      <c r="G258" s="778"/>
      <c r="H258" s="778"/>
      <c r="I258" s="778"/>
      <c r="J258" s="778"/>
      <c r="K258" s="778"/>
      <c r="N258" s="1174"/>
    </row>
    <row r="259" spans="2:14" x14ac:dyDescent="0.35">
      <c r="B259" s="778" t="s">
        <v>239</v>
      </c>
      <c r="C259" s="778"/>
      <c r="D259" s="778"/>
      <c r="E259" s="778"/>
      <c r="F259" s="778"/>
      <c r="G259" s="778"/>
      <c r="H259" s="778"/>
      <c r="I259" s="778"/>
      <c r="J259" s="778"/>
      <c r="K259" s="778"/>
      <c r="N259" s="1174"/>
    </row>
    <row r="260" spans="2:14" x14ac:dyDescent="0.35">
      <c r="B260" s="778" t="s">
        <v>239</v>
      </c>
      <c r="C260" s="778"/>
      <c r="D260" s="778"/>
      <c r="E260" s="778"/>
      <c r="F260" s="778"/>
      <c r="G260" s="778"/>
      <c r="H260" s="778"/>
      <c r="I260" s="778"/>
      <c r="J260" s="778"/>
      <c r="K260" s="778"/>
    </row>
    <row r="261" spans="2:14" x14ac:dyDescent="0.35">
      <c r="B261" s="779" t="s">
        <v>479</v>
      </c>
      <c r="C261" s="778"/>
      <c r="D261" s="778"/>
      <c r="E261" s="778"/>
      <c r="F261" s="778"/>
      <c r="G261" s="778"/>
      <c r="H261" s="778"/>
      <c r="I261" s="778"/>
      <c r="J261" s="778"/>
      <c r="K261" s="778"/>
    </row>
    <row r="262" spans="2:14" x14ac:dyDescent="0.35">
      <c r="B262" s="778" t="s">
        <v>1401</v>
      </c>
      <c r="C262" s="778"/>
      <c r="D262" s="778"/>
      <c r="E262" s="778"/>
      <c r="F262" s="1037">
        <f>SUM(N71:N75)*30%</f>
        <v>0</v>
      </c>
      <c r="G262" s="1037">
        <f>SUM(N71:N75)*70%</f>
        <v>0</v>
      </c>
      <c r="H262" s="1038">
        <f>+H256</f>
        <v>0.11071857923497269</v>
      </c>
      <c r="I262" s="778"/>
      <c r="J262" s="778"/>
      <c r="K262" s="778"/>
    </row>
    <row r="263" spans="2:14" x14ac:dyDescent="0.35">
      <c r="B263" s="778" t="s">
        <v>239</v>
      </c>
      <c r="C263" s="778"/>
      <c r="D263" s="778"/>
      <c r="E263" s="778"/>
      <c r="F263" s="778"/>
      <c r="G263" s="778"/>
      <c r="H263" s="778"/>
      <c r="I263" s="778"/>
      <c r="J263" s="778"/>
      <c r="K263" s="778"/>
    </row>
    <row r="264" spans="2:14" x14ac:dyDescent="0.35">
      <c r="B264" s="778"/>
      <c r="C264" s="778"/>
      <c r="D264" s="778"/>
      <c r="E264" s="778"/>
      <c r="F264" s="778"/>
      <c r="G264" s="778"/>
      <c r="H264" s="778"/>
      <c r="I264" s="778"/>
      <c r="J264" s="778"/>
      <c r="K264" s="778"/>
    </row>
    <row r="265" spans="2:14" x14ac:dyDescent="0.35">
      <c r="B265" s="779" t="s">
        <v>198</v>
      </c>
      <c r="C265" s="778"/>
      <c r="D265" s="778"/>
      <c r="E265" s="778"/>
      <c r="F265" s="778"/>
      <c r="G265" s="778"/>
      <c r="H265" s="778"/>
      <c r="I265" s="778"/>
      <c r="J265" s="778"/>
      <c r="K265" s="778"/>
    </row>
    <row r="266" spans="2:14" x14ac:dyDescent="0.35">
      <c r="B266" s="1006" t="s">
        <v>476</v>
      </c>
      <c r="C266" s="778"/>
      <c r="D266" s="778"/>
      <c r="E266" s="778"/>
      <c r="F266" s="778"/>
      <c r="G266" s="778"/>
      <c r="H266" s="778"/>
      <c r="I266" s="778"/>
      <c r="J266" s="778"/>
      <c r="K266" s="778"/>
    </row>
    <row r="267" spans="2:14" x14ac:dyDescent="0.35">
      <c r="B267" s="1007" t="s">
        <v>477</v>
      </c>
      <c r="C267" s="778"/>
      <c r="D267" s="778"/>
      <c r="E267" s="778"/>
      <c r="F267" s="778"/>
      <c r="G267" s="778"/>
      <c r="H267" s="778"/>
      <c r="I267" s="778"/>
      <c r="J267" s="778"/>
      <c r="K267" s="778"/>
    </row>
    <row r="268" spans="2:14" ht="25.5" x14ac:dyDescent="0.35">
      <c r="B268" s="2015" t="s">
        <v>1393</v>
      </c>
      <c r="C268" s="2017" t="s">
        <v>1394</v>
      </c>
      <c r="D268" s="1003" t="s">
        <v>1395</v>
      </c>
      <c r="E268" s="778"/>
      <c r="F268" s="1037">
        <f>N80*30%</f>
        <v>1.4869198166999997</v>
      </c>
      <c r="G268" s="1037">
        <f>N80*70%</f>
        <v>3.4694795722999996</v>
      </c>
      <c r="H268" s="1038">
        <f>+Assum!G53</f>
        <v>0.10450547945205479</v>
      </c>
      <c r="I268" s="778">
        <v>9</v>
      </c>
      <c r="J268" s="778">
        <v>5</v>
      </c>
      <c r="K268" s="1039" t="s">
        <v>1400</v>
      </c>
    </row>
    <row r="269" spans="2:14" x14ac:dyDescent="0.35">
      <c r="B269" s="2016"/>
      <c r="C269" s="2022"/>
      <c r="D269" s="1003"/>
      <c r="E269" s="778"/>
      <c r="F269" s="778"/>
      <c r="G269" s="778"/>
      <c r="H269" s="778"/>
      <c r="I269" s="778"/>
      <c r="J269" s="778"/>
      <c r="K269" s="778"/>
    </row>
    <row r="270" spans="2:14" x14ac:dyDescent="0.35">
      <c r="B270" s="1007" t="s">
        <v>478</v>
      </c>
      <c r="C270" s="778"/>
      <c r="D270" s="778"/>
      <c r="E270" s="778"/>
      <c r="F270" s="778"/>
      <c r="G270" s="778"/>
      <c r="H270" s="778"/>
      <c r="I270" s="778"/>
      <c r="J270" s="778"/>
      <c r="K270" s="778"/>
    </row>
    <row r="271" spans="2:14" x14ac:dyDescent="0.35">
      <c r="B271" s="778" t="s">
        <v>239</v>
      </c>
      <c r="C271" s="778"/>
      <c r="D271" s="778"/>
      <c r="E271" s="778"/>
      <c r="F271" s="778"/>
      <c r="G271" s="778"/>
      <c r="H271" s="778"/>
      <c r="I271" s="778"/>
      <c r="J271" s="778"/>
      <c r="K271" s="778"/>
    </row>
    <row r="272" spans="2:14" x14ac:dyDescent="0.35">
      <c r="B272" s="778" t="s">
        <v>239</v>
      </c>
      <c r="C272" s="778"/>
      <c r="D272" s="778"/>
      <c r="E272" s="778"/>
      <c r="F272" s="778"/>
      <c r="G272" s="778"/>
      <c r="H272" s="778"/>
      <c r="I272" s="778"/>
      <c r="J272" s="778"/>
      <c r="K272" s="778"/>
    </row>
    <row r="273" spans="2:11" x14ac:dyDescent="0.35">
      <c r="B273" s="779" t="s">
        <v>479</v>
      </c>
      <c r="C273" s="778"/>
      <c r="D273" s="778"/>
      <c r="E273" s="778"/>
      <c r="F273" s="778"/>
      <c r="G273" s="778"/>
      <c r="H273" s="778"/>
      <c r="I273" s="778"/>
      <c r="J273" s="778"/>
      <c r="K273" s="778"/>
    </row>
    <row r="274" spans="2:11" x14ac:dyDescent="0.35">
      <c r="B274" s="778" t="s">
        <v>1401</v>
      </c>
      <c r="C274" s="778"/>
      <c r="D274" s="778"/>
      <c r="E274" s="778"/>
      <c r="F274" s="459">
        <f>SUM(N87:N91)*30%</f>
        <v>3.0962735999999999E-3</v>
      </c>
      <c r="G274" s="1037">
        <f>SUM(N87:N91)*70%</f>
        <v>7.2246383999999995E-3</v>
      </c>
      <c r="H274" s="1038">
        <f>+H268</f>
        <v>0.10450547945205479</v>
      </c>
      <c r="I274" s="778"/>
      <c r="J274" s="778"/>
      <c r="K274" s="778"/>
    </row>
    <row r="275" spans="2:11" x14ac:dyDescent="0.35">
      <c r="B275" s="778" t="s">
        <v>239</v>
      </c>
      <c r="C275" s="778"/>
      <c r="D275" s="778"/>
      <c r="E275" s="778"/>
      <c r="F275" s="778"/>
      <c r="G275" s="778"/>
      <c r="H275" s="778"/>
      <c r="I275" s="778"/>
      <c r="J275" s="778"/>
      <c r="K275" s="778"/>
    </row>
    <row r="276" spans="2:11" x14ac:dyDescent="0.35">
      <c r="B276" s="1023"/>
      <c r="C276" s="778"/>
      <c r="D276" s="778"/>
      <c r="E276" s="778"/>
      <c r="F276" s="778"/>
      <c r="G276" s="778"/>
      <c r="H276" s="778"/>
      <c r="I276" s="778"/>
      <c r="J276" s="778"/>
      <c r="K276" s="778"/>
    </row>
    <row r="277" spans="2:11" x14ac:dyDescent="0.35">
      <c r="B277" s="1006" t="s">
        <v>199</v>
      </c>
      <c r="C277" s="778"/>
      <c r="D277" s="778"/>
      <c r="E277" s="778"/>
      <c r="F277" s="778"/>
      <c r="G277" s="778"/>
      <c r="H277" s="778"/>
      <c r="I277" s="778"/>
      <c r="J277" s="778"/>
      <c r="K277" s="778"/>
    </row>
    <row r="278" spans="2:11" x14ac:dyDescent="0.35">
      <c r="B278" s="1006" t="s">
        <v>476</v>
      </c>
      <c r="C278" s="778"/>
      <c r="D278" s="778"/>
      <c r="E278" s="778"/>
      <c r="F278" s="778"/>
      <c r="G278" s="778"/>
      <c r="H278" s="778"/>
      <c r="I278" s="778"/>
      <c r="J278" s="778"/>
      <c r="K278" s="778"/>
    </row>
    <row r="279" spans="2:11" x14ac:dyDescent="0.35">
      <c r="B279" s="1007" t="s">
        <v>477</v>
      </c>
      <c r="C279" s="778"/>
      <c r="D279" s="778"/>
      <c r="E279" s="778"/>
      <c r="F279" s="778"/>
      <c r="G279" s="778"/>
      <c r="H279" s="778"/>
      <c r="I279" s="778"/>
      <c r="J279" s="778"/>
      <c r="K279" s="778"/>
    </row>
    <row r="280" spans="2:11" ht="25.5" x14ac:dyDescent="0.35">
      <c r="B280" s="2015" t="s">
        <v>1393</v>
      </c>
      <c r="C280" s="2017" t="s">
        <v>1394</v>
      </c>
      <c r="D280" s="1003" t="s">
        <v>1395</v>
      </c>
      <c r="E280" s="778"/>
      <c r="F280" s="1037">
        <f>N96*30%</f>
        <v>0.19204312199999998</v>
      </c>
      <c r="G280" s="1037">
        <f>N96*70%</f>
        <v>0.44810061799999995</v>
      </c>
      <c r="H280" s="1038">
        <f>+Assum!H53</f>
        <v>9.9056164383561657E-2</v>
      </c>
      <c r="I280" s="778">
        <v>9</v>
      </c>
      <c r="J280" s="778">
        <v>5</v>
      </c>
      <c r="K280" s="1039" t="s">
        <v>1400</v>
      </c>
    </row>
    <row r="281" spans="2:11" x14ac:dyDescent="0.35">
      <c r="B281" s="2016"/>
      <c r="C281" s="2022"/>
      <c r="D281" s="1003"/>
      <c r="E281" s="778"/>
      <c r="F281" s="778"/>
      <c r="G281" s="778"/>
      <c r="H281" s="778"/>
      <c r="I281" s="778"/>
      <c r="J281" s="778"/>
      <c r="K281" s="778"/>
    </row>
    <row r="282" spans="2:11" x14ac:dyDescent="0.35">
      <c r="B282" s="1007" t="s">
        <v>478</v>
      </c>
      <c r="C282" s="778"/>
      <c r="D282" s="778"/>
      <c r="E282" s="778"/>
      <c r="F282" s="778"/>
      <c r="G282" s="778"/>
      <c r="H282" s="778"/>
      <c r="I282" s="778"/>
      <c r="J282" s="778"/>
      <c r="K282" s="778"/>
    </row>
    <row r="283" spans="2:11" x14ac:dyDescent="0.35">
      <c r="B283" s="778" t="s">
        <v>239</v>
      </c>
      <c r="C283" s="778"/>
      <c r="D283" s="778"/>
      <c r="E283" s="778"/>
      <c r="F283" s="778"/>
      <c r="G283" s="778"/>
      <c r="H283" s="778"/>
      <c r="I283" s="778"/>
      <c r="J283" s="778"/>
      <c r="K283" s="778"/>
    </row>
    <row r="284" spans="2:11" x14ac:dyDescent="0.35">
      <c r="B284" s="778" t="s">
        <v>239</v>
      </c>
      <c r="C284" s="778"/>
      <c r="D284" s="778"/>
      <c r="E284" s="778"/>
      <c r="F284" s="778"/>
      <c r="G284" s="778"/>
      <c r="H284" s="778"/>
      <c r="I284" s="778"/>
      <c r="J284" s="778"/>
      <c r="K284" s="778"/>
    </row>
    <row r="285" spans="2:11" x14ac:dyDescent="0.35">
      <c r="B285" s="779" t="s">
        <v>479</v>
      </c>
      <c r="C285" s="778"/>
      <c r="D285" s="778"/>
      <c r="E285" s="778"/>
      <c r="F285" s="778"/>
      <c r="G285" s="778"/>
      <c r="H285" s="778"/>
      <c r="I285" s="778"/>
      <c r="J285" s="778"/>
      <c r="K285" s="778"/>
    </row>
    <row r="286" spans="2:11" x14ac:dyDescent="0.35">
      <c r="B286" s="778" t="s">
        <v>1401</v>
      </c>
      <c r="C286" s="778"/>
      <c r="D286" s="778"/>
      <c r="E286" s="778"/>
      <c r="F286" s="1037">
        <f>SUM(N103:N107)*30%</f>
        <v>4.4246717999999992E-3</v>
      </c>
      <c r="G286" s="1037">
        <f>SUM(N103:N107)*70%</f>
        <v>1.0324234199999999E-2</v>
      </c>
      <c r="H286" s="1038">
        <f>+H280</f>
        <v>9.9056164383561657E-2</v>
      </c>
      <c r="I286" s="778"/>
      <c r="J286" s="778"/>
      <c r="K286" s="778"/>
    </row>
    <row r="287" spans="2:11" x14ac:dyDescent="0.35">
      <c r="B287" s="778" t="s">
        <v>239</v>
      </c>
      <c r="C287" s="778"/>
      <c r="D287" s="778"/>
      <c r="E287" s="778"/>
      <c r="F287" s="778"/>
      <c r="G287" s="778"/>
      <c r="H287" s="778"/>
      <c r="I287" s="778"/>
      <c r="J287" s="778"/>
      <c r="K287" s="778"/>
    </row>
    <row r="288" spans="2:11" x14ac:dyDescent="0.35">
      <c r="B288" s="1023"/>
      <c r="C288" s="778"/>
      <c r="D288" s="778"/>
      <c r="E288" s="778"/>
      <c r="F288" s="778"/>
      <c r="G288" s="778"/>
      <c r="H288" s="778"/>
      <c r="I288" s="778"/>
      <c r="J288" s="778"/>
      <c r="K288" s="778"/>
    </row>
    <row r="289" spans="2:11" x14ac:dyDescent="0.35">
      <c r="B289" s="1006" t="s">
        <v>112</v>
      </c>
      <c r="C289" s="778"/>
      <c r="D289" s="778"/>
      <c r="E289" s="778"/>
      <c r="F289" s="778"/>
      <c r="G289" s="778"/>
      <c r="H289" s="778"/>
      <c r="I289" s="778"/>
      <c r="J289" s="778"/>
      <c r="K289" s="778"/>
    </row>
    <row r="290" spans="2:11" x14ac:dyDescent="0.35">
      <c r="B290" s="1006" t="s">
        <v>476</v>
      </c>
      <c r="C290" s="778"/>
      <c r="D290" s="778"/>
      <c r="E290" s="778"/>
      <c r="F290" s="778"/>
      <c r="G290" s="778"/>
      <c r="H290" s="778"/>
      <c r="I290" s="778"/>
      <c r="J290" s="778"/>
      <c r="K290" s="778"/>
    </row>
    <row r="291" spans="2:11" x14ac:dyDescent="0.35">
      <c r="B291" s="1007" t="s">
        <v>477</v>
      </c>
      <c r="C291" s="778"/>
      <c r="D291" s="778"/>
      <c r="E291" s="778"/>
      <c r="F291" s="778"/>
      <c r="G291" s="778"/>
      <c r="H291" s="778"/>
      <c r="I291" s="778"/>
      <c r="J291" s="778"/>
      <c r="K291" s="778"/>
    </row>
    <row r="292" spans="2:11" ht="25.5" x14ac:dyDescent="0.35">
      <c r="B292" s="2015" t="s">
        <v>1393</v>
      </c>
      <c r="C292" s="2017" t="s">
        <v>1394</v>
      </c>
      <c r="D292" s="1003" t="s">
        <v>1395</v>
      </c>
      <c r="E292" s="778"/>
      <c r="F292" s="1037">
        <f>N112*30%</f>
        <v>0</v>
      </c>
      <c r="G292" s="1037">
        <f>N112*70%</f>
        <v>0</v>
      </c>
      <c r="H292" s="1038">
        <f>+Assum!I53</f>
        <v>9.9056164383561657E-2</v>
      </c>
      <c r="I292" s="778">
        <v>9</v>
      </c>
      <c r="J292" s="778">
        <v>5</v>
      </c>
      <c r="K292" s="1039" t="s">
        <v>1400</v>
      </c>
    </row>
    <row r="293" spans="2:11" x14ac:dyDescent="0.35">
      <c r="B293" s="2016"/>
      <c r="C293" s="2022"/>
      <c r="D293" s="1003"/>
      <c r="E293" s="778"/>
      <c r="F293" s="778"/>
      <c r="G293" s="778"/>
      <c r="H293" s="778"/>
      <c r="I293" s="778"/>
      <c r="J293" s="778"/>
      <c r="K293" s="778"/>
    </row>
    <row r="294" spans="2:11" x14ac:dyDescent="0.35">
      <c r="B294" s="1007" t="s">
        <v>478</v>
      </c>
      <c r="C294" s="778"/>
      <c r="D294" s="778"/>
      <c r="E294" s="778"/>
      <c r="F294" s="778"/>
      <c r="G294" s="778"/>
      <c r="H294" s="778"/>
      <c r="I294" s="778"/>
      <c r="J294" s="778"/>
      <c r="K294" s="778"/>
    </row>
    <row r="295" spans="2:11" x14ac:dyDescent="0.35">
      <c r="B295" s="778" t="s">
        <v>239</v>
      </c>
      <c r="C295" s="778"/>
      <c r="D295" s="778"/>
      <c r="E295" s="778"/>
      <c r="F295" s="778"/>
      <c r="G295" s="778"/>
      <c r="H295" s="778"/>
      <c r="I295" s="778"/>
      <c r="J295" s="778"/>
      <c r="K295" s="778"/>
    </row>
    <row r="296" spans="2:11" x14ac:dyDescent="0.35">
      <c r="B296" s="778" t="s">
        <v>239</v>
      </c>
      <c r="C296" s="778"/>
      <c r="D296" s="778"/>
      <c r="E296" s="778"/>
      <c r="F296" s="778"/>
      <c r="G296" s="778"/>
      <c r="H296" s="778"/>
      <c r="I296" s="778"/>
      <c r="J296" s="778"/>
      <c r="K296" s="778"/>
    </row>
    <row r="297" spans="2:11" x14ac:dyDescent="0.35">
      <c r="B297" s="779" t="s">
        <v>479</v>
      </c>
      <c r="C297" s="778"/>
      <c r="D297" s="778"/>
      <c r="E297" s="778"/>
      <c r="F297" s="778"/>
      <c r="G297" s="778"/>
      <c r="H297" s="778"/>
      <c r="I297" s="778"/>
      <c r="J297" s="778"/>
      <c r="K297" s="778"/>
    </row>
    <row r="298" spans="2:11" x14ac:dyDescent="0.35">
      <c r="B298" s="778" t="s">
        <v>1401</v>
      </c>
      <c r="C298" s="778"/>
      <c r="D298" s="778"/>
      <c r="E298" s="778"/>
      <c r="F298" s="1037">
        <f>SUM(N119:N123)*30%</f>
        <v>1.4924973000000001E-3</v>
      </c>
      <c r="G298" s="1037">
        <f>SUM(N119:N123)*70%</f>
        <v>3.4824937000000004E-3</v>
      </c>
      <c r="H298" s="1038">
        <f>+H292</f>
        <v>9.9056164383561657E-2</v>
      </c>
      <c r="I298" s="778"/>
      <c r="J298" s="778"/>
      <c r="K298" s="778"/>
    </row>
    <row r="299" spans="2:11" x14ac:dyDescent="0.35">
      <c r="B299" s="778" t="s">
        <v>239</v>
      </c>
      <c r="C299" s="778"/>
      <c r="D299" s="778"/>
      <c r="E299" s="778"/>
      <c r="F299" s="778"/>
      <c r="G299" s="778"/>
      <c r="H299" s="778"/>
      <c r="I299" s="778"/>
      <c r="J299" s="778"/>
      <c r="K299" s="778"/>
    </row>
    <row r="300" spans="2:11" x14ac:dyDescent="0.35">
      <c r="B300" s="1023"/>
      <c r="C300" s="778"/>
      <c r="D300" s="778"/>
      <c r="E300" s="778"/>
      <c r="F300" s="778"/>
      <c r="G300" s="778"/>
      <c r="H300" s="778"/>
      <c r="I300" s="778"/>
      <c r="J300" s="778"/>
      <c r="K300" s="778"/>
    </row>
    <row r="301" spans="2:11" x14ac:dyDescent="0.35">
      <c r="B301" s="1006" t="s">
        <v>113</v>
      </c>
      <c r="C301" s="778"/>
      <c r="D301" s="778"/>
      <c r="E301" s="778"/>
      <c r="F301" s="778"/>
      <c r="G301" s="778"/>
      <c r="H301" s="778"/>
      <c r="I301" s="778"/>
      <c r="J301" s="778"/>
      <c r="K301" s="778"/>
    </row>
    <row r="302" spans="2:11" x14ac:dyDescent="0.35">
      <c r="B302" s="1007" t="s">
        <v>477</v>
      </c>
      <c r="C302" s="778"/>
      <c r="D302" s="778"/>
      <c r="E302" s="778"/>
      <c r="F302" s="778"/>
      <c r="G302" s="778"/>
      <c r="H302" s="778"/>
      <c r="I302" s="778"/>
      <c r="J302" s="778"/>
      <c r="K302" s="778"/>
    </row>
    <row r="303" spans="2:11" ht="25.5" x14ac:dyDescent="0.35">
      <c r="B303" s="2015" t="s">
        <v>1393</v>
      </c>
      <c r="C303" s="2017" t="s">
        <v>1394</v>
      </c>
      <c r="D303" s="1003" t="s">
        <v>1395</v>
      </c>
      <c r="E303" s="778"/>
      <c r="F303" s="1037">
        <f>N128*30%</f>
        <v>2.7590145599999998E-2</v>
      </c>
      <c r="G303" s="1037">
        <f>N128*70%</f>
        <v>6.4377006399999992E-2</v>
      </c>
      <c r="H303" s="1038">
        <f>+Assum!J53</f>
        <v>9.9056164383561657E-2</v>
      </c>
      <c r="I303" s="778">
        <v>9</v>
      </c>
      <c r="J303" s="778">
        <v>5</v>
      </c>
      <c r="K303" s="1039" t="s">
        <v>1400</v>
      </c>
    </row>
    <row r="304" spans="2:11" x14ac:dyDescent="0.35">
      <c r="B304" s="2016"/>
      <c r="C304" s="2022"/>
      <c r="D304" s="1003"/>
      <c r="E304" s="778"/>
      <c r="F304" s="778"/>
      <c r="G304" s="778"/>
      <c r="H304" s="778"/>
      <c r="I304" s="778"/>
      <c r="J304" s="778"/>
      <c r="K304" s="778"/>
    </row>
    <row r="305" spans="2:11" x14ac:dyDescent="0.35">
      <c r="B305" s="778" t="s">
        <v>239</v>
      </c>
      <c r="C305" s="778"/>
      <c r="D305" s="778"/>
      <c r="E305" s="778"/>
      <c r="F305" s="778"/>
      <c r="G305" s="778"/>
      <c r="H305" s="778"/>
      <c r="I305" s="778"/>
      <c r="J305" s="778"/>
      <c r="K305" s="778"/>
    </row>
    <row r="306" spans="2:11" x14ac:dyDescent="0.35">
      <c r="B306" s="779" t="s">
        <v>479</v>
      </c>
      <c r="C306" s="778"/>
      <c r="D306" s="778"/>
      <c r="E306" s="778"/>
      <c r="F306" s="778"/>
      <c r="G306" s="778"/>
      <c r="H306" s="778"/>
      <c r="I306" s="778"/>
      <c r="J306" s="778"/>
      <c r="K306" s="778"/>
    </row>
    <row r="307" spans="2:11" x14ac:dyDescent="0.35">
      <c r="B307" s="778" t="s">
        <v>1401</v>
      </c>
      <c r="C307" s="778"/>
      <c r="D307" s="778"/>
      <c r="E307" s="778"/>
      <c r="F307" s="1037">
        <f>SUM(N132:N136)*30%</f>
        <v>1.0918623749999998E-2</v>
      </c>
      <c r="G307" s="1037">
        <f>SUM(N132:N136)*70%</f>
        <v>2.5476788749999996E-2</v>
      </c>
      <c r="H307" s="1038">
        <f>+H303</f>
        <v>9.9056164383561657E-2</v>
      </c>
      <c r="I307" s="778"/>
      <c r="J307" s="778"/>
      <c r="K307" s="778"/>
    </row>
    <row r="308" spans="2:11" x14ac:dyDescent="0.35">
      <c r="B308" s="1017"/>
      <c r="C308" s="1018"/>
      <c r="D308" s="1003"/>
      <c r="E308" s="778"/>
      <c r="F308" s="778"/>
      <c r="G308" s="778"/>
      <c r="H308" s="778"/>
      <c r="I308" s="778"/>
      <c r="J308" s="778"/>
      <c r="K308" s="778"/>
    </row>
    <row r="309" spans="2:11" x14ac:dyDescent="0.35">
      <c r="B309" s="1006" t="s">
        <v>114</v>
      </c>
      <c r="C309" s="778"/>
      <c r="D309" s="778"/>
      <c r="E309" s="778"/>
      <c r="F309" s="778"/>
      <c r="G309" s="778"/>
      <c r="H309" s="778"/>
      <c r="I309" s="778"/>
      <c r="J309" s="778"/>
      <c r="K309" s="778"/>
    </row>
    <row r="310" spans="2:11" x14ac:dyDescent="0.35">
      <c r="B310" s="1007" t="s">
        <v>477</v>
      </c>
      <c r="C310" s="1168"/>
      <c r="D310" s="1003"/>
      <c r="E310" s="778"/>
      <c r="F310" s="778"/>
      <c r="G310" s="778"/>
      <c r="H310" s="778"/>
      <c r="I310" s="778"/>
      <c r="J310" s="778"/>
      <c r="K310" s="778"/>
    </row>
    <row r="311" spans="2:11" ht="25.5" x14ac:dyDescent="0.35">
      <c r="B311" s="2015" t="s">
        <v>1393</v>
      </c>
      <c r="C311" s="2017" t="s">
        <v>1394</v>
      </c>
      <c r="D311" s="1003" t="s">
        <v>1395</v>
      </c>
      <c r="E311" s="778"/>
      <c r="F311" s="1037">
        <f>N142*30%</f>
        <v>0</v>
      </c>
      <c r="G311" s="1037">
        <f>N142*70%</f>
        <v>0</v>
      </c>
      <c r="H311" s="1038">
        <f>+Assum!K53</f>
        <v>9.9056164383561657E-2</v>
      </c>
      <c r="I311" s="778">
        <v>9</v>
      </c>
      <c r="J311" s="778">
        <v>5</v>
      </c>
      <c r="K311" s="1039" t="s">
        <v>1400</v>
      </c>
    </row>
    <row r="312" spans="2:11" x14ac:dyDescent="0.35">
      <c r="B312" s="2016"/>
      <c r="C312" s="2022"/>
      <c r="D312" s="1003"/>
      <c r="E312" s="778"/>
      <c r="F312" s="778"/>
      <c r="G312" s="778"/>
      <c r="H312" s="778"/>
      <c r="I312" s="778"/>
      <c r="J312" s="778"/>
      <c r="K312" s="778"/>
    </row>
    <row r="313" spans="2:11" x14ac:dyDescent="0.35">
      <c r="B313" s="779" t="s">
        <v>479</v>
      </c>
      <c r="C313" s="778"/>
      <c r="D313" s="778"/>
      <c r="E313" s="778"/>
      <c r="F313" s="778"/>
      <c r="G313" s="778"/>
      <c r="H313" s="778"/>
      <c r="I313" s="778"/>
      <c r="J313" s="778"/>
      <c r="K313" s="778"/>
    </row>
    <row r="314" spans="2:11" x14ac:dyDescent="0.35">
      <c r="B314" s="778" t="s">
        <v>1401</v>
      </c>
      <c r="C314" s="778"/>
      <c r="D314" s="778"/>
      <c r="E314" s="778"/>
      <c r="F314" s="1037">
        <f>SUM(N145:N149)*30%</f>
        <v>3.9197354999999994E-3</v>
      </c>
      <c r="G314" s="1037">
        <f>SUM(N145:N149)*70%</f>
        <v>9.1460494999999996E-3</v>
      </c>
      <c r="H314" s="1038">
        <f>+H311</f>
        <v>9.9056164383561657E-2</v>
      </c>
      <c r="I314" s="778"/>
      <c r="J314" s="778"/>
      <c r="K314" s="778"/>
    </row>
    <row r="315" spans="2:11" x14ac:dyDescent="0.35">
      <c r="B315" s="778"/>
      <c r="C315" s="778"/>
      <c r="D315" s="778"/>
      <c r="E315" s="778"/>
      <c r="F315" s="778"/>
      <c r="G315" s="778"/>
      <c r="H315" s="778"/>
      <c r="I315" s="778"/>
      <c r="J315" s="778"/>
      <c r="K315" s="778"/>
    </row>
    <row r="316" spans="2:11" x14ac:dyDescent="0.35">
      <c r="B316" s="779" t="s">
        <v>1438</v>
      </c>
      <c r="C316" s="778"/>
      <c r="D316" s="778"/>
      <c r="E316" s="778"/>
      <c r="F316" s="778"/>
      <c r="G316" s="778"/>
      <c r="H316" s="778"/>
      <c r="I316" s="778"/>
      <c r="J316" s="778"/>
      <c r="K316" s="778"/>
    </row>
    <row r="317" spans="2:11" x14ac:dyDescent="0.35">
      <c r="B317" s="1007" t="s">
        <v>1439</v>
      </c>
      <c r="C317" s="778"/>
      <c r="D317" s="778"/>
      <c r="E317" s="778"/>
      <c r="F317" s="778"/>
      <c r="G317" s="778"/>
      <c r="H317" s="1038">
        <f>+Assum!L53</f>
        <v>9.9056164383561657E-2</v>
      </c>
      <c r="I317" s="778"/>
      <c r="J317" s="778"/>
      <c r="K317" s="778"/>
    </row>
    <row r="318" spans="2:11" x14ac:dyDescent="0.35">
      <c r="B318" s="778" t="s">
        <v>479</v>
      </c>
      <c r="C318" s="778"/>
      <c r="D318" s="778"/>
      <c r="E318" s="778"/>
      <c r="F318" s="1037">
        <f>SUM($N$161:$N$215)*30%</f>
        <v>0.10679298</v>
      </c>
      <c r="G318" s="1037">
        <f>SUM($N$161:$N$215)*70%</f>
        <v>0.24918361999999997</v>
      </c>
      <c r="H318" s="1038">
        <f>+H317</f>
        <v>9.9056164383561657E-2</v>
      </c>
      <c r="I318" s="778"/>
      <c r="J318" s="778"/>
      <c r="K318" s="778"/>
    </row>
    <row r="319" spans="2:11" x14ac:dyDescent="0.35">
      <c r="B319" s="778"/>
      <c r="C319" s="778"/>
      <c r="D319" s="778"/>
      <c r="E319" s="778"/>
      <c r="F319" s="778"/>
      <c r="G319" s="778"/>
      <c r="H319" s="778"/>
      <c r="I319" s="778"/>
      <c r="J319" s="778"/>
      <c r="K319" s="778"/>
    </row>
    <row r="320" spans="2:11" x14ac:dyDescent="0.35">
      <c r="B320" s="1027" t="s">
        <v>480</v>
      </c>
      <c r="C320" s="1028"/>
      <c r="D320" s="1028"/>
      <c r="E320" s="1028"/>
      <c r="F320" s="1029">
        <f>SUM(F240:F318)</f>
        <v>21.969720985937638</v>
      </c>
      <c r="G320" s="1029">
        <f>SUM(G240:G318)</f>
        <v>51.262682300521142</v>
      </c>
      <c r="H320" s="1028"/>
      <c r="I320" s="1028"/>
      <c r="J320" s="1028"/>
      <c r="K320" s="1028"/>
    </row>
    <row r="321" spans="2:28" x14ac:dyDescent="0.35">
      <c r="F321" s="814"/>
      <c r="G321" s="1032"/>
    </row>
    <row r="322" spans="2:28" x14ac:dyDescent="0.35">
      <c r="F322" s="1032"/>
    </row>
    <row r="323" spans="2:28" x14ac:dyDescent="0.35">
      <c r="B323" s="996" t="s">
        <v>149</v>
      </c>
      <c r="C323" s="995"/>
      <c r="D323" s="995"/>
      <c r="E323" s="995"/>
      <c r="F323" s="460"/>
      <c r="G323" s="460"/>
      <c r="H323" s="460"/>
      <c r="I323" s="460"/>
      <c r="J323" s="460"/>
      <c r="K323" s="460"/>
      <c r="L323" s="460"/>
      <c r="M323" s="460"/>
      <c r="N323" s="460"/>
      <c r="O323" s="460"/>
      <c r="P323" s="460"/>
      <c r="Q323" s="460"/>
      <c r="R323" s="460"/>
      <c r="S323" s="460"/>
      <c r="T323" s="460"/>
      <c r="U323" s="460"/>
      <c r="V323" s="460"/>
      <c r="W323" s="460"/>
      <c r="X323" s="460"/>
      <c r="Y323" s="460"/>
      <c r="Z323" s="460"/>
      <c r="AA323" s="460"/>
      <c r="AB323" s="460"/>
    </row>
    <row r="324" spans="2:28" x14ac:dyDescent="0.35">
      <c r="B324" s="994"/>
      <c r="C324" s="995"/>
      <c r="D324" s="995"/>
      <c r="E324" s="995"/>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row>
    <row r="325" spans="2:28" ht="15.75" customHeight="1" x14ac:dyDescent="0.35">
      <c r="B325" s="995" t="s">
        <v>458</v>
      </c>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row>
    <row r="326" spans="2:28" x14ac:dyDescent="0.35">
      <c r="B326" s="994"/>
      <c r="C326" s="994"/>
      <c r="D326" s="994"/>
      <c r="E326" s="994"/>
      <c r="F326" s="460"/>
      <c r="G326" s="460"/>
      <c r="H326" s="460"/>
      <c r="I326" s="460"/>
      <c r="J326" s="460"/>
      <c r="K326" s="460"/>
      <c r="L326" s="460"/>
      <c r="M326" s="460"/>
      <c r="S326" s="415" t="s">
        <v>110</v>
      </c>
      <c r="T326" s="415"/>
      <c r="U326" s="415"/>
      <c r="V326" s="415"/>
      <c r="W326" s="415"/>
      <c r="X326" s="415"/>
      <c r="Y326" s="460"/>
      <c r="Z326" s="460"/>
      <c r="AA326" s="460"/>
    </row>
    <row r="327" spans="2:28" s="461" customFormat="1" ht="14.1" customHeight="1" x14ac:dyDescent="0.35">
      <c r="B327" s="2038" t="s">
        <v>459</v>
      </c>
      <c r="C327" s="2038" t="s">
        <v>460</v>
      </c>
      <c r="D327" s="2026" t="s">
        <v>461</v>
      </c>
      <c r="E327" s="2026" t="s">
        <v>462</v>
      </c>
      <c r="F327" s="2026" t="s">
        <v>463</v>
      </c>
      <c r="G327" s="2030" t="s">
        <v>464</v>
      </c>
      <c r="H327" s="2031"/>
      <c r="I327" s="2032"/>
      <c r="J327" s="2030" t="s">
        <v>465</v>
      </c>
      <c r="K327" s="2031"/>
      <c r="L327" s="2032"/>
      <c r="M327" s="2030" t="s">
        <v>466</v>
      </c>
      <c r="N327" s="2031"/>
      <c r="O327" s="2031"/>
      <c r="P327" s="2031"/>
      <c r="Q327" s="2031"/>
      <c r="R327" s="2031"/>
      <c r="S327" s="2032"/>
    </row>
    <row r="328" spans="2:28" s="461" customFormat="1" ht="48" customHeight="1" x14ac:dyDescent="0.35">
      <c r="B328" s="2038"/>
      <c r="C328" s="2038"/>
      <c r="D328" s="2026"/>
      <c r="E328" s="2026"/>
      <c r="F328" s="2026"/>
      <c r="G328" s="2033" t="s">
        <v>467</v>
      </c>
      <c r="H328" s="2033" t="s">
        <v>468</v>
      </c>
      <c r="I328" s="2033" t="s">
        <v>469</v>
      </c>
      <c r="J328" s="2033" t="s">
        <v>467</v>
      </c>
      <c r="K328" s="2033" t="s">
        <v>468</v>
      </c>
      <c r="L328" s="2033" t="s">
        <v>186</v>
      </c>
      <c r="M328" s="2027" t="s">
        <v>1402</v>
      </c>
      <c r="N328" s="2027" t="s">
        <v>1392</v>
      </c>
      <c r="O328" s="2035" t="s">
        <v>470</v>
      </c>
      <c r="P328" s="2036"/>
      <c r="Q328" s="2036"/>
      <c r="R328" s="2036"/>
      <c r="S328" s="2037"/>
    </row>
    <row r="329" spans="2:28" ht="25.5" x14ac:dyDescent="0.35">
      <c r="B329" s="2038"/>
      <c r="C329" s="2038"/>
      <c r="D329" s="2026"/>
      <c r="E329" s="2026"/>
      <c r="F329" s="2026"/>
      <c r="G329" s="2034"/>
      <c r="H329" s="2034"/>
      <c r="I329" s="2034"/>
      <c r="J329" s="2034"/>
      <c r="K329" s="2034"/>
      <c r="L329" s="2034"/>
      <c r="M329" s="2028"/>
      <c r="N329" s="2028"/>
      <c r="O329" s="1001" t="s">
        <v>471</v>
      </c>
      <c r="P329" s="997" t="s">
        <v>472</v>
      </c>
      <c r="Q329" s="997" t="s">
        <v>473</v>
      </c>
      <c r="R329" s="997" t="s">
        <v>474</v>
      </c>
      <c r="S329" s="997" t="s">
        <v>475</v>
      </c>
    </row>
    <row r="330" spans="2:28" hidden="1" x14ac:dyDescent="0.35">
      <c r="B330" s="779" t="s">
        <v>1277</v>
      </c>
      <c r="C330" s="778"/>
      <c r="D330" s="778"/>
      <c r="E330" s="778"/>
      <c r="F330" s="778"/>
      <c r="G330" s="778"/>
      <c r="H330" s="778"/>
      <c r="I330" s="778"/>
      <c r="J330" s="778"/>
      <c r="K330" s="778"/>
      <c r="L330" s="778"/>
      <c r="M330" s="778"/>
      <c r="N330" s="778"/>
      <c r="O330" s="1040"/>
      <c r="P330" s="451"/>
      <c r="Q330" s="451"/>
      <c r="R330" s="451"/>
      <c r="S330" s="451"/>
    </row>
    <row r="331" spans="2:28" hidden="1" x14ac:dyDescent="0.35">
      <c r="B331" s="1006" t="s">
        <v>476</v>
      </c>
      <c r="C331" s="778"/>
      <c r="D331" s="778"/>
      <c r="E331" s="778"/>
      <c r="F331" s="778"/>
      <c r="G331" s="778"/>
      <c r="H331" s="778"/>
      <c r="I331" s="778"/>
      <c r="J331" s="778"/>
      <c r="K331" s="778"/>
      <c r="L331" s="778"/>
      <c r="M331" s="778"/>
      <c r="N331" s="778"/>
      <c r="O331" s="1040"/>
      <c r="P331" s="451"/>
      <c r="Q331" s="451"/>
      <c r="R331" s="451"/>
      <c r="S331" s="451"/>
    </row>
    <row r="332" spans="2:28" hidden="1" x14ac:dyDescent="0.35">
      <c r="B332" s="1007" t="s">
        <v>477</v>
      </c>
      <c r="C332" s="778"/>
      <c r="D332" s="778"/>
      <c r="E332" s="778"/>
      <c r="F332" s="778"/>
      <c r="G332" s="778"/>
      <c r="H332" s="778"/>
      <c r="I332" s="778"/>
      <c r="J332" s="778"/>
      <c r="K332" s="778"/>
      <c r="L332" s="778"/>
      <c r="M332" s="778"/>
      <c r="N332" s="778"/>
      <c r="O332" s="1040"/>
      <c r="P332" s="451"/>
      <c r="Q332" s="451"/>
      <c r="R332" s="451"/>
      <c r="S332" s="451"/>
    </row>
    <row r="333" spans="2:28" hidden="1" x14ac:dyDescent="0.35">
      <c r="B333" s="1008"/>
      <c r="C333" s="1041"/>
      <c r="D333" s="1003"/>
      <c r="E333" s="1010"/>
      <c r="F333" s="1003"/>
      <c r="G333" s="1010"/>
      <c r="H333" s="1003"/>
      <c r="I333" s="1010"/>
      <c r="J333" s="1003"/>
      <c r="K333" s="1003"/>
      <c r="L333" s="1011"/>
      <c r="M333" s="778"/>
      <c r="N333" s="778"/>
      <c r="O333" s="1040"/>
      <c r="P333" s="451"/>
      <c r="Q333" s="451"/>
      <c r="R333" s="451"/>
      <c r="S333" s="451"/>
    </row>
    <row r="334" spans="2:28" hidden="1" x14ac:dyDescent="0.35">
      <c r="B334" s="1003" t="s">
        <v>239</v>
      </c>
      <c r="C334" s="778"/>
      <c r="D334" s="778"/>
      <c r="E334" s="778"/>
      <c r="F334" s="778"/>
      <c r="G334" s="778"/>
      <c r="H334" s="778"/>
      <c r="I334" s="778"/>
      <c r="J334" s="778"/>
      <c r="K334" s="778"/>
      <c r="L334" s="778"/>
      <c r="M334" s="778"/>
      <c r="N334" s="778"/>
      <c r="O334" s="1040"/>
      <c r="P334" s="451"/>
      <c r="Q334" s="451"/>
      <c r="R334" s="451"/>
      <c r="S334" s="451"/>
    </row>
    <row r="335" spans="2:28" hidden="1" x14ac:dyDescent="0.35">
      <c r="B335" s="1007" t="s">
        <v>478</v>
      </c>
      <c r="C335" s="778"/>
      <c r="D335" s="778"/>
      <c r="E335" s="778"/>
      <c r="F335" s="778"/>
      <c r="G335" s="778"/>
      <c r="H335" s="778"/>
      <c r="I335" s="778"/>
      <c r="J335" s="778"/>
      <c r="K335" s="778"/>
      <c r="L335" s="778"/>
      <c r="M335" s="778"/>
      <c r="N335" s="778"/>
      <c r="O335" s="1040"/>
      <c r="P335" s="451"/>
      <c r="Q335" s="451"/>
      <c r="R335" s="451"/>
      <c r="S335" s="451"/>
    </row>
    <row r="336" spans="2:28" hidden="1" x14ac:dyDescent="0.35">
      <c r="B336" s="778" t="s">
        <v>239</v>
      </c>
      <c r="C336" s="778"/>
      <c r="D336" s="778"/>
      <c r="E336" s="778"/>
      <c r="F336" s="778"/>
      <c r="G336" s="778"/>
      <c r="H336" s="778"/>
      <c r="I336" s="778"/>
      <c r="J336" s="778"/>
      <c r="K336" s="778"/>
      <c r="L336" s="778"/>
      <c r="M336" s="778"/>
      <c r="N336" s="778"/>
      <c r="O336" s="1040"/>
      <c r="P336" s="451"/>
      <c r="Q336" s="451"/>
      <c r="R336" s="451"/>
      <c r="S336" s="451"/>
    </row>
    <row r="337" spans="2:19" hidden="1" x14ac:dyDescent="0.35">
      <c r="B337" s="778" t="s">
        <v>239</v>
      </c>
      <c r="C337" s="778"/>
      <c r="D337" s="778"/>
      <c r="E337" s="778"/>
      <c r="F337" s="778"/>
      <c r="G337" s="778"/>
      <c r="H337" s="778"/>
      <c r="I337" s="778"/>
      <c r="J337" s="778"/>
      <c r="K337" s="778"/>
      <c r="L337" s="778"/>
      <c r="M337" s="778"/>
      <c r="N337" s="778"/>
      <c r="O337" s="1040"/>
      <c r="P337" s="451"/>
      <c r="Q337" s="451"/>
      <c r="R337" s="451"/>
      <c r="S337" s="451"/>
    </row>
    <row r="338" spans="2:19" hidden="1" x14ac:dyDescent="0.35">
      <c r="B338" s="779" t="s">
        <v>479</v>
      </c>
      <c r="C338" s="778"/>
      <c r="D338" s="778"/>
      <c r="E338" s="778"/>
      <c r="F338" s="778"/>
      <c r="G338" s="778"/>
      <c r="H338" s="778"/>
      <c r="I338" s="778"/>
      <c r="J338" s="778"/>
      <c r="K338" s="778"/>
      <c r="L338" s="778"/>
      <c r="M338" s="778"/>
      <c r="N338" s="778"/>
      <c r="O338" s="1040"/>
      <c r="P338" s="451"/>
      <c r="Q338" s="451"/>
      <c r="R338" s="451"/>
      <c r="S338" s="451"/>
    </row>
    <row r="339" spans="2:19" hidden="1" x14ac:dyDescent="0.35">
      <c r="B339" s="778" t="s">
        <v>239</v>
      </c>
      <c r="C339" s="778"/>
      <c r="D339" s="778"/>
      <c r="E339" s="778"/>
      <c r="F339" s="778"/>
      <c r="G339" s="778"/>
      <c r="H339" s="778"/>
      <c r="I339" s="778"/>
      <c r="J339" s="778"/>
      <c r="K339" s="778"/>
      <c r="L339" s="778"/>
      <c r="M339" s="778"/>
      <c r="N339" s="778"/>
      <c r="O339" s="1040"/>
      <c r="P339" s="451"/>
      <c r="Q339" s="451"/>
      <c r="R339" s="451"/>
      <c r="S339" s="451"/>
    </row>
    <row r="340" spans="2:19" hidden="1" x14ac:dyDescent="0.35">
      <c r="B340" s="779" t="s">
        <v>195</v>
      </c>
      <c r="C340" s="778"/>
      <c r="D340" s="778"/>
      <c r="E340" s="778"/>
      <c r="F340" s="778"/>
      <c r="G340" s="778"/>
      <c r="H340" s="778"/>
      <c r="I340" s="778"/>
      <c r="J340" s="778"/>
      <c r="K340" s="778"/>
      <c r="L340" s="778"/>
      <c r="M340" s="778"/>
      <c r="N340" s="778"/>
      <c r="O340" s="1040"/>
      <c r="P340" s="451"/>
      <c r="Q340" s="451"/>
      <c r="R340" s="451"/>
      <c r="S340" s="451"/>
    </row>
    <row r="341" spans="2:19" hidden="1" x14ac:dyDescent="0.35">
      <c r="B341" s="1006" t="s">
        <v>476</v>
      </c>
      <c r="C341" s="778"/>
      <c r="D341" s="778"/>
      <c r="E341" s="778"/>
      <c r="F341" s="778"/>
      <c r="G341" s="778"/>
      <c r="H341" s="778"/>
      <c r="I341" s="778"/>
      <c r="J341" s="778"/>
      <c r="K341" s="778"/>
      <c r="L341" s="778"/>
      <c r="M341" s="778"/>
      <c r="N341" s="778"/>
      <c r="O341" s="778"/>
      <c r="P341" s="778"/>
      <c r="Q341" s="778"/>
      <c r="R341" s="778"/>
      <c r="S341" s="1042"/>
    </row>
    <row r="342" spans="2:19" hidden="1" x14ac:dyDescent="0.35">
      <c r="B342" s="1007" t="s">
        <v>477</v>
      </c>
      <c r="C342" s="778"/>
      <c r="D342" s="778"/>
      <c r="E342" s="778"/>
      <c r="F342" s="778"/>
      <c r="G342" s="778"/>
      <c r="H342" s="778"/>
      <c r="I342" s="778"/>
      <c r="J342" s="778"/>
      <c r="K342" s="778"/>
      <c r="L342" s="778"/>
      <c r="M342" s="778"/>
      <c r="N342" s="778"/>
      <c r="O342" s="778"/>
      <c r="P342" s="778"/>
      <c r="Q342" s="778"/>
      <c r="R342" s="778"/>
      <c r="S342" s="1042"/>
    </row>
    <row r="343" spans="2:19" hidden="1" x14ac:dyDescent="0.35">
      <c r="B343" s="1008"/>
      <c r="C343" s="778"/>
      <c r="D343" s="1003"/>
      <c r="E343" s="1010"/>
      <c r="F343" s="778"/>
      <c r="G343" s="1011"/>
      <c r="H343" s="778"/>
      <c r="I343" s="1011"/>
      <c r="J343" s="778"/>
      <c r="K343" s="778"/>
      <c r="L343" s="1011"/>
      <c r="M343" s="778"/>
      <c r="N343" s="778"/>
      <c r="O343" s="778"/>
      <c r="P343" s="778"/>
      <c r="Q343" s="778"/>
      <c r="R343" s="778"/>
      <c r="S343" s="1042"/>
    </row>
    <row r="344" spans="2:19" hidden="1" x14ac:dyDescent="0.35">
      <c r="B344" s="778" t="s">
        <v>239</v>
      </c>
      <c r="C344" s="778"/>
      <c r="D344" s="778"/>
      <c r="E344" s="778"/>
      <c r="F344" s="778"/>
      <c r="G344" s="778"/>
      <c r="H344" s="778"/>
      <c r="I344" s="778"/>
      <c r="J344" s="778"/>
      <c r="K344" s="778"/>
      <c r="L344" s="778"/>
      <c r="M344" s="778"/>
      <c r="N344" s="778"/>
      <c r="O344" s="778"/>
      <c r="P344" s="778"/>
      <c r="Q344" s="778"/>
      <c r="R344" s="778"/>
      <c r="S344" s="1042"/>
    </row>
    <row r="345" spans="2:19" hidden="1" x14ac:dyDescent="0.35">
      <c r="B345" s="1007" t="s">
        <v>478</v>
      </c>
      <c r="C345" s="778"/>
      <c r="D345" s="778"/>
      <c r="E345" s="778"/>
      <c r="F345" s="778"/>
      <c r="G345" s="778"/>
      <c r="H345" s="778"/>
      <c r="I345" s="778"/>
      <c r="J345" s="778"/>
      <c r="K345" s="778"/>
      <c r="L345" s="778"/>
      <c r="M345" s="778"/>
      <c r="N345" s="778"/>
      <c r="O345" s="778"/>
      <c r="P345" s="778"/>
      <c r="Q345" s="778"/>
      <c r="R345" s="778"/>
      <c r="S345" s="1042"/>
    </row>
    <row r="346" spans="2:19" hidden="1" x14ac:dyDescent="0.35">
      <c r="B346" s="778" t="s">
        <v>239</v>
      </c>
      <c r="C346" s="778"/>
      <c r="D346" s="778"/>
      <c r="E346" s="778"/>
      <c r="F346" s="778"/>
      <c r="G346" s="778"/>
      <c r="H346" s="778"/>
      <c r="I346" s="778"/>
      <c r="J346" s="778"/>
      <c r="K346" s="778"/>
      <c r="L346" s="778"/>
      <c r="M346" s="778"/>
      <c r="N346" s="778"/>
      <c r="O346" s="778"/>
      <c r="P346" s="778"/>
      <c r="Q346" s="778"/>
      <c r="R346" s="778"/>
      <c r="S346" s="1042"/>
    </row>
    <row r="347" spans="2:19" hidden="1" x14ac:dyDescent="0.35">
      <c r="B347" s="778" t="s">
        <v>239</v>
      </c>
      <c r="C347" s="778"/>
      <c r="D347" s="778"/>
      <c r="E347" s="778"/>
      <c r="F347" s="778"/>
      <c r="G347" s="778"/>
      <c r="H347" s="778"/>
      <c r="I347" s="778"/>
      <c r="J347" s="778"/>
      <c r="K347" s="778"/>
      <c r="L347" s="778"/>
      <c r="M347" s="778"/>
      <c r="N347" s="778"/>
      <c r="O347" s="778"/>
      <c r="P347" s="778"/>
      <c r="Q347" s="778"/>
      <c r="R347" s="778"/>
      <c r="S347" s="1042"/>
    </row>
    <row r="348" spans="2:19" hidden="1" x14ac:dyDescent="0.35">
      <c r="B348" s="779" t="s">
        <v>479</v>
      </c>
      <c r="C348" s="778"/>
      <c r="D348" s="778"/>
      <c r="E348" s="778"/>
      <c r="F348" s="778"/>
      <c r="G348" s="778"/>
      <c r="H348" s="778"/>
      <c r="I348" s="778"/>
      <c r="J348" s="778"/>
      <c r="K348" s="778"/>
      <c r="L348" s="778"/>
      <c r="M348" s="778"/>
      <c r="N348" s="778"/>
      <c r="O348" s="778"/>
      <c r="P348" s="778"/>
      <c r="Q348" s="778"/>
      <c r="R348" s="778"/>
      <c r="S348" s="1042"/>
    </row>
    <row r="349" spans="2:19" hidden="1" x14ac:dyDescent="0.35">
      <c r="B349" s="778" t="s">
        <v>239</v>
      </c>
      <c r="C349" s="778"/>
      <c r="D349" s="778"/>
      <c r="E349" s="778"/>
      <c r="F349" s="778"/>
      <c r="G349" s="778"/>
      <c r="H349" s="778"/>
      <c r="I349" s="778"/>
      <c r="J349" s="778"/>
      <c r="K349" s="778"/>
      <c r="L349" s="778"/>
      <c r="M349" s="778"/>
      <c r="N349" s="778"/>
      <c r="O349" s="778"/>
      <c r="P349" s="778"/>
      <c r="Q349" s="778"/>
      <c r="R349" s="778"/>
      <c r="S349" s="1042"/>
    </row>
    <row r="350" spans="2:19" hidden="1" x14ac:dyDescent="0.35">
      <c r="B350" s="778" t="s">
        <v>239</v>
      </c>
      <c r="C350" s="778"/>
      <c r="D350" s="778"/>
      <c r="E350" s="778"/>
      <c r="F350" s="778"/>
      <c r="G350" s="778"/>
      <c r="H350" s="778"/>
      <c r="I350" s="778"/>
      <c r="J350" s="778"/>
      <c r="K350" s="778"/>
      <c r="L350" s="778"/>
      <c r="M350" s="778"/>
      <c r="N350" s="778"/>
      <c r="O350" s="778"/>
      <c r="P350" s="778"/>
      <c r="Q350" s="778"/>
      <c r="R350" s="778"/>
      <c r="S350" s="1042"/>
    </row>
    <row r="351" spans="2:19" hidden="1" x14ac:dyDescent="0.35">
      <c r="B351" s="778"/>
      <c r="C351" s="778"/>
      <c r="D351" s="778"/>
      <c r="E351" s="778"/>
      <c r="F351" s="778"/>
      <c r="G351" s="778"/>
      <c r="H351" s="778"/>
      <c r="I351" s="778"/>
      <c r="J351" s="778"/>
      <c r="K351" s="778"/>
      <c r="L351" s="778"/>
      <c r="M351" s="778"/>
      <c r="N351" s="778"/>
      <c r="O351" s="778"/>
      <c r="P351" s="778"/>
      <c r="Q351" s="778"/>
      <c r="R351" s="778"/>
      <c r="S351" s="1042"/>
    </row>
    <row r="352" spans="2:19" x14ac:dyDescent="0.35">
      <c r="B352" s="779" t="s">
        <v>196</v>
      </c>
      <c r="C352" s="778"/>
      <c r="D352" s="778"/>
      <c r="E352" s="778"/>
      <c r="F352" s="778"/>
      <c r="G352" s="778"/>
      <c r="H352" s="778"/>
      <c r="I352" s="778"/>
      <c r="J352" s="778"/>
      <c r="K352" s="778"/>
      <c r="L352" s="778"/>
      <c r="M352" s="778"/>
      <c r="N352" s="778"/>
      <c r="O352" s="778"/>
      <c r="P352" s="778"/>
      <c r="Q352" s="778"/>
      <c r="R352" s="778"/>
      <c r="S352" s="1042"/>
    </row>
    <row r="353" spans="2:19" x14ac:dyDescent="0.35">
      <c r="B353" s="1006" t="s">
        <v>476</v>
      </c>
      <c r="C353" s="778"/>
      <c r="D353" s="778"/>
      <c r="E353" s="778"/>
      <c r="F353" s="778"/>
      <c r="G353" s="778"/>
      <c r="H353" s="778"/>
      <c r="I353" s="778"/>
      <c r="J353" s="778"/>
      <c r="K353" s="778"/>
      <c r="L353" s="778"/>
      <c r="M353" s="778"/>
      <c r="N353" s="778"/>
      <c r="O353" s="778"/>
      <c r="P353" s="778"/>
      <c r="Q353" s="778"/>
      <c r="R353" s="778"/>
      <c r="S353" s="1042"/>
    </row>
    <row r="354" spans="2:19" x14ac:dyDescent="0.35">
      <c r="B354" s="1007" t="s">
        <v>477</v>
      </c>
      <c r="C354" s="778"/>
      <c r="D354" s="778"/>
      <c r="E354" s="778"/>
      <c r="F354" s="778"/>
      <c r="G354" s="778"/>
      <c r="H354" s="778"/>
      <c r="I354" s="778"/>
      <c r="J354" s="778"/>
      <c r="K354" s="778"/>
      <c r="L354" s="778"/>
      <c r="M354" s="778"/>
      <c r="N354" s="778"/>
      <c r="O354" s="778"/>
      <c r="P354" s="778"/>
      <c r="Q354" s="778"/>
      <c r="R354" s="778"/>
      <c r="S354" s="1042"/>
    </row>
    <row r="355" spans="2:19" x14ac:dyDescent="0.35">
      <c r="B355" s="1008"/>
      <c r="C355" s="778"/>
      <c r="D355" s="1003"/>
      <c r="E355" s="1010"/>
      <c r="F355" s="778"/>
      <c r="G355" s="778"/>
      <c r="H355" s="778"/>
      <c r="I355" s="1011"/>
      <c r="J355" s="778"/>
      <c r="K355" s="778"/>
      <c r="L355" s="1011"/>
      <c r="M355" s="778"/>
      <c r="N355" s="778"/>
      <c r="O355" s="778"/>
      <c r="P355" s="778"/>
      <c r="Q355" s="778"/>
      <c r="R355" s="778"/>
      <c r="S355" s="1042"/>
    </row>
    <row r="356" spans="2:19" x14ac:dyDescent="0.35">
      <c r="B356" s="778" t="s">
        <v>239</v>
      </c>
      <c r="C356" s="778"/>
      <c r="D356" s="778"/>
      <c r="E356" s="778"/>
      <c r="F356" s="778"/>
      <c r="G356" s="778"/>
      <c r="H356" s="778"/>
      <c r="I356" s="778"/>
      <c r="J356" s="778"/>
      <c r="K356" s="778"/>
      <c r="L356" s="778"/>
      <c r="M356" s="778"/>
      <c r="N356" s="778"/>
      <c r="O356" s="778"/>
      <c r="P356" s="778"/>
      <c r="Q356" s="778"/>
      <c r="R356" s="778"/>
      <c r="S356" s="1042"/>
    </row>
    <row r="357" spans="2:19" x14ac:dyDescent="0.35">
      <c r="B357" s="1007" t="s">
        <v>478</v>
      </c>
      <c r="C357" s="778"/>
      <c r="D357" s="778"/>
      <c r="E357" s="778"/>
      <c r="F357" s="778"/>
      <c r="G357" s="778"/>
      <c r="H357" s="778"/>
      <c r="I357" s="778"/>
      <c r="J357" s="778"/>
      <c r="K357" s="778"/>
      <c r="L357" s="778"/>
      <c r="M357" s="778"/>
      <c r="N357" s="778"/>
      <c r="O357" s="778"/>
      <c r="P357" s="778"/>
      <c r="Q357" s="778"/>
      <c r="R357" s="778"/>
      <c r="S357" s="1042"/>
    </row>
    <row r="358" spans="2:19" x14ac:dyDescent="0.35">
      <c r="B358" s="778" t="s">
        <v>239</v>
      </c>
      <c r="C358" s="778"/>
      <c r="D358" s="778"/>
      <c r="E358" s="778"/>
      <c r="F358" s="778"/>
      <c r="G358" s="778"/>
      <c r="H358" s="778"/>
      <c r="I358" s="778"/>
      <c r="J358" s="778"/>
      <c r="K358" s="778"/>
      <c r="L358" s="778"/>
      <c r="M358" s="778"/>
      <c r="N358" s="778"/>
      <c r="O358" s="778"/>
      <c r="P358" s="778"/>
      <c r="Q358" s="778"/>
      <c r="R358" s="778"/>
      <c r="S358" s="1042"/>
    </row>
    <row r="359" spans="2:19" x14ac:dyDescent="0.35">
      <c r="B359" s="778" t="s">
        <v>239</v>
      </c>
      <c r="C359" s="778"/>
      <c r="D359" s="778"/>
      <c r="E359" s="778"/>
      <c r="F359" s="778"/>
      <c r="G359" s="778"/>
      <c r="H359" s="778"/>
      <c r="I359" s="778"/>
      <c r="J359" s="778"/>
      <c r="K359" s="778"/>
      <c r="L359" s="778"/>
      <c r="M359" s="778"/>
      <c r="N359" s="778"/>
      <c r="O359" s="778"/>
      <c r="P359" s="778"/>
      <c r="Q359" s="778"/>
      <c r="R359" s="778"/>
      <c r="S359" s="1042"/>
    </row>
    <row r="360" spans="2:19" x14ac:dyDescent="0.35">
      <c r="B360" s="779" t="s">
        <v>479</v>
      </c>
      <c r="C360" s="778"/>
      <c r="D360" s="778"/>
      <c r="E360" s="778"/>
      <c r="F360" s="778"/>
      <c r="G360" s="778"/>
      <c r="H360" s="778"/>
      <c r="I360" s="778"/>
      <c r="J360" s="778"/>
      <c r="K360" s="778"/>
      <c r="L360" s="778"/>
      <c r="M360" s="778"/>
      <c r="N360" s="778"/>
      <c r="O360" s="778"/>
      <c r="P360" s="778"/>
      <c r="Q360" s="778"/>
      <c r="R360" s="778"/>
      <c r="S360" s="1042"/>
    </row>
    <row r="361" spans="2:19" x14ac:dyDescent="0.35">
      <c r="B361" s="778" t="str">
        <f>Capitalisation!E12</f>
        <v>Meters</v>
      </c>
      <c r="C361" s="778"/>
      <c r="D361" s="778"/>
      <c r="E361" s="778"/>
      <c r="F361" s="778"/>
      <c r="G361" s="778"/>
      <c r="H361" s="778"/>
      <c r="I361" s="778"/>
      <c r="J361" s="778"/>
      <c r="K361" s="778"/>
      <c r="L361" s="778"/>
      <c r="M361" s="778"/>
      <c r="N361" s="1020">
        <f>Capitalisation!K12</f>
        <v>0.48908190000000001</v>
      </c>
      <c r="O361" s="778"/>
      <c r="P361" s="778"/>
      <c r="Q361" s="778"/>
      <c r="R361" s="778"/>
      <c r="S361" s="1042"/>
    </row>
    <row r="362" spans="2:19" x14ac:dyDescent="0.35">
      <c r="B362" s="778" t="str">
        <f>Capitalisation!E14</f>
        <v>Vehicles</v>
      </c>
      <c r="C362" s="778"/>
      <c r="D362" s="778"/>
      <c r="E362" s="778"/>
      <c r="F362" s="778"/>
      <c r="G362" s="778"/>
      <c r="H362" s="778"/>
      <c r="I362" s="778"/>
      <c r="J362" s="778"/>
      <c r="K362" s="778"/>
      <c r="L362" s="778"/>
      <c r="M362" s="778"/>
      <c r="N362" s="1020">
        <f>Capitalisation!K14</f>
        <v>6.5979999999999977E-4</v>
      </c>
      <c r="O362" s="778"/>
      <c r="P362" s="778"/>
      <c r="Q362" s="778"/>
      <c r="R362" s="778"/>
      <c r="S362" s="1042"/>
    </row>
    <row r="363" spans="2:19" x14ac:dyDescent="0.35">
      <c r="B363" s="778" t="str">
        <f>Capitalisation!E16</f>
        <v>I.T. equipments</v>
      </c>
      <c r="C363" s="778"/>
      <c r="D363" s="778"/>
      <c r="E363" s="778"/>
      <c r="F363" s="778"/>
      <c r="G363" s="778"/>
      <c r="H363" s="778"/>
      <c r="I363" s="778"/>
      <c r="J363" s="778"/>
      <c r="K363" s="778"/>
      <c r="L363" s="778"/>
      <c r="M363" s="778"/>
      <c r="N363" s="1020">
        <f>Capitalisation!K16</f>
        <v>1.3571147499999998E-2</v>
      </c>
      <c r="O363" s="778"/>
      <c r="P363" s="778"/>
      <c r="Q363" s="778"/>
      <c r="R363" s="778"/>
      <c r="S363" s="1042"/>
    </row>
    <row r="364" spans="2:19" x14ac:dyDescent="0.35">
      <c r="B364" s="778" t="str">
        <f>Capitalisation!E17</f>
        <v>Office furniture and fittings</v>
      </c>
      <c r="C364" s="778"/>
      <c r="D364" s="778"/>
      <c r="E364" s="778"/>
      <c r="F364" s="778"/>
      <c r="G364" s="778"/>
      <c r="H364" s="778"/>
      <c r="I364" s="778"/>
      <c r="J364" s="778"/>
      <c r="K364" s="778"/>
      <c r="L364" s="778"/>
      <c r="M364" s="778"/>
      <c r="N364" s="1020">
        <f>Capitalisation!K17</f>
        <v>2.6759100000000001E-2</v>
      </c>
      <c r="O364" s="778"/>
      <c r="P364" s="778"/>
      <c r="Q364" s="778"/>
      <c r="R364" s="778"/>
      <c r="S364" s="1042"/>
    </row>
    <row r="365" spans="2:19" x14ac:dyDescent="0.35">
      <c r="B365" s="778" t="str">
        <f>Capitalisation!E18</f>
        <v>Office equipments</v>
      </c>
      <c r="C365" s="778"/>
      <c r="D365" s="778"/>
      <c r="E365" s="778"/>
      <c r="F365" s="778"/>
      <c r="G365" s="778"/>
      <c r="H365" s="778"/>
      <c r="I365" s="778"/>
      <c r="J365" s="778"/>
      <c r="K365" s="778"/>
      <c r="L365" s="778"/>
      <c r="M365" s="778"/>
      <c r="N365" s="1020">
        <f>Capitalisation!K18</f>
        <v>2.1808600000000001E-2</v>
      </c>
      <c r="O365" s="778"/>
      <c r="P365" s="778"/>
      <c r="Q365" s="778"/>
      <c r="R365" s="778"/>
      <c r="S365" s="1042"/>
    </row>
    <row r="366" spans="2:19" x14ac:dyDescent="0.35">
      <c r="B366" s="778" t="str">
        <f>Capitalisation!E19</f>
        <v>Software Licenses</v>
      </c>
      <c r="C366" s="778"/>
      <c r="D366" s="778"/>
      <c r="E366" s="778"/>
      <c r="F366" s="778"/>
      <c r="G366" s="778"/>
      <c r="H366" s="778"/>
      <c r="I366" s="778"/>
      <c r="J366" s="778"/>
      <c r="K366" s="778"/>
      <c r="L366" s="778"/>
      <c r="M366" s="778"/>
      <c r="N366" s="1020">
        <f>Capitalisation!K19</f>
        <v>0.214033</v>
      </c>
      <c r="O366" s="778"/>
      <c r="P366" s="778"/>
      <c r="Q366" s="778"/>
      <c r="R366" s="778"/>
      <c r="S366" s="1042"/>
    </row>
    <row r="367" spans="2:19" x14ac:dyDescent="0.35">
      <c r="B367" s="778"/>
      <c r="C367" s="778"/>
      <c r="D367" s="778"/>
      <c r="E367" s="778"/>
      <c r="F367" s="778"/>
      <c r="G367" s="778"/>
      <c r="H367" s="778"/>
      <c r="I367" s="778"/>
      <c r="J367" s="778"/>
      <c r="K367" s="778"/>
      <c r="L367" s="778"/>
      <c r="M367" s="778"/>
      <c r="N367" s="778"/>
      <c r="O367" s="778"/>
      <c r="P367" s="778"/>
      <c r="Q367" s="778"/>
      <c r="R367" s="778"/>
      <c r="S367" s="1042"/>
    </row>
    <row r="368" spans="2:19" x14ac:dyDescent="0.35">
      <c r="B368" s="779" t="s">
        <v>197</v>
      </c>
      <c r="C368" s="778"/>
      <c r="D368" s="778"/>
      <c r="E368" s="778"/>
      <c r="F368" s="778"/>
      <c r="G368" s="778"/>
      <c r="H368" s="778"/>
      <c r="I368" s="778"/>
      <c r="J368" s="778"/>
      <c r="K368" s="778"/>
      <c r="L368" s="778"/>
      <c r="M368" s="778"/>
      <c r="N368" s="778"/>
      <c r="O368" s="778"/>
      <c r="P368" s="778"/>
      <c r="Q368" s="778"/>
      <c r="R368" s="778"/>
      <c r="S368" s="1042"/>
    </row>
    <row r="369" spans="2:19" x14ac:dyDescent="0.35">
      <c r="B369" s="1006" t="s">
        <v>476</v>
      </c>
      <c r="C369" s="778"/>
      <c r="D369" s="778"/>
      <c r="E369" s="778"/>
      <c r="F369" s="778"/>
      <c r="G369" s="778"/>
      <c r="H369" s="778"/>
      <c r="I369" s="778"/>
      <c r="J369" s="778"/>
      <c r="K369" s="778"/>
      <c r="L369" s="778"/>
      <c r="M369" s="778"/>
      <c r="N369" s="778"/>
      <c r="O369" s="778"/>
      <c r="P369" s="778"/>
      <c r="Q369" s="778"/>
      <c r="R369" s="778"/>
      <c r="S369" s="1042"/>
    </row>
    <row r="370" spans="2:19" x14ac:dyDescent="0.35">
      <c r="B370" s="1007" t="s">
        <v>477</v>
      </c>
      <c r="C370" s="778"/>
      <c r="D370" s="778"/>
      <c r="E370" s="778"/>
      <c r="F370" s="778"/>
      <c r="G370" s="778"/>
      <c r="H370" s="778"/>
      <c r="I370" s="778"/>
      <c r="J370" s="778"/>
      <c r="K370" s="778"/>
      <c r="L370" s="778"/>
      <c r="M370" s="778"/>
      <c r="N370" s="778"/>
      <c r="O370" s="778"/>
      <c r="P370" s="778"/>
      <c r="Q370" s="778"/>
      <c r="R370" s="778"/>
      <c r="S370" s="1042"/>
    </row>
    <row r="371" spans="2:19" x14ac:dyDescent="0.35">
      <c r="B371" s="778" t="s">
        <v>239</v>
      </c>
      <c r="C371" s="778"/>
      <c r="D371" s="778"/>
      <c r="E371" s="778"/>
      <c r="F371" s="778"/>
      <c r="G371" s="778"/>
      <c r="H371" s="778"/>
      <c r="I371" s="778"/>
      <c r="J371" s="778"/>
      <c r="K371" s="778"/>
      <c r="L371" s="778"/>
      <c r="M371" s="778"/>
      <c r="N371" s="778"/>
      <c r="O371" s="778"/>
      <c r="P371" s="778"/>
      <c r="Q371" s="778"/>
      <c r="R371" s="778"/>
      <c r="S371" s="1042"/>
    </row>
    <row r="372" spans="2:19" x14ac:dyDescent="0.35">
      <c r="B372" s="778" t="s">
        <v>239</v>
      </c>
      <c r="C372" s="778"/>
      <c r="D372" s="778"/>
      <c r="E372" s="778"/>
      <c r="F372" s="778"/>
      <c r="G372" s="778"/>
      <c r="H372" s="778"/>
      <c r="I372" s="778"/>
      <c r="J372" s="778"/>
      <c r="K372" s="778"/>
      <c r="L372" s="778"/>
      <c r="M372" s="778"/>
      <c r="N372" s="778"/>
      <c r="O372" s="778"/>
      <c r="P372" s="778"/>
      <c r="Q372" s="778"/>
      <c r="R372" s="778"/>
      <c r="S372" s="1042"/>
    </row>
    <row r="373" spans="2:19" x14ac:dyDescent="0.35">
      <c r="B373" s="1007" t="s">
        <v>478</v>
      </c>
      <c r="C373" s="778"/>
      <c r="D373" s="778"/>
      <c r="E373" s="778"/>
      <c r="F373" s="778"/>
      <c r="G373" s="778"/>
      <c r="H373" s="778"/>
      <c r="I373" s="778"/>
      <c r="J373" s="778"/>
      <c r="K373" s="778"/>
      <c r="L373" s="778"/>
      <c r="M373" s="778"/>
      <c r="N373" s="778"/>
      <c r="O373" s="778"/>
      <c r="P373" s="778"/>
      <c r="Q373" s="778"/>
      <c r="R373" s="778"/>
      <c r="S373" s="1042"/>
    </row>
    <row r="374" spans="2:19" x14ac:dyDescent="0.35">
      <c r="B374" s="778" t="s">
        <v>239</v>
      </c>
      <c r="C374" s="778"/>
      <c r="D374" s="778"/>
      <c r="E374" s="778"/>
      <c r="F374" s="778"/>
      <c r="G374" s="778"/>
      <c r="H374" s="778"/>
      <c r="I374" s="778"/>
      <c r="J374" s="778"/>
      <c r="K374" s="778"/>
      <c r="L374" s="778"/>
      <c r="M374" s="778"/>
      <c r="N374" s="778"/>
      <c r="O374" s="778"/>
      <c r="P374" s="778"/>
      <c r="Q374" s="778"/>
      <c r="R374" s="778"/>
      <c r="S374" s="1042"/>
    </row>
    <row r="375" spans="2:19" x14ac:dyDescent="0.35">
      <c r="B375" s="778" t="s">
        <v>239</v>
      </c>
      <c r="C375" s="778"/>
      <c r="D375" s="778"/>
      <c r="E375" s="778"/>
      <c r="F375" s="778"/>
      <c r="G375" s="778"/>
      <c r="H375" s="778"/>
      <c r="I375" s="778"/>
      <c r="J375" s="778"/>
      <c r="K375" s="778"/>
      <c r="L375" s="778"/>
      <c r="M375" s="778"/>
      <c r="N375" s="778"/>
      <c r="O375" s="778"/>
      <c r="P375" s="778"/>
      <c r="Q375" s="778"/>
      <c r="R375" s="778"/>
      <c r="S375" s="1042"/>
    </row>
    <row r="376" spans="2:19" x14ac:dyDescent="0.35">
      <c r="B376" s="779" t="s">
        <v>479</v>
      </c>
      <c r="C376" s="778"/>
      <c r="D376" s="778"/>
      <c r="E376" s="778"/>
      <c r="F376" s="778"/>
      <c r="G376" s="778"/>
      <c r="H376" s="778"/>
      <c r="I376" s="778"/>
      <c r="J376" s="778"/>
      <c r="K376" s="778"/>
      <c r="L376" s="778"/>
      <c r="M376" s="778"/>
      <c r="N376" s="778"/>
      <c r="O376" s="778"/>
      <c r="P376" s="778"/>
      <c r="Q376" s="778"/>
      <c r="R376" s="778"/>
      <c r="S376" s="1042"/>
    </row>
    <row r="377" spans="2:19" x14ac:dyDescent="0.35">
      <c r="B377" s="1019" t="str">
        <f t="shared" ref="B377:B382" si="1">B361</f>
        <v>Meters</v>
      </c>
      <c r="C377" s="778"/>
      <c r="D377" s="778"/>
      <c r="E377" s="778"/>
      <c r="F377" s="778"/>
      <c r="G377" s="778"/>
      <c r="H377" s="778"/>
      <c r="I377" s="778"/>
      <c r="J377" s="778"/>
      <c r="K377" s="778"/>
      <c r="L377" s="778"/>
      <c r="M377" s="778"/>
      <c r="N377" s="1020">
        <f>Capitalisation!N12</f>
        <v>1.2686292989234327</v>
      </c>
      <c r="O377" s="778"/>
      <c r="P377" s="778"/>
      <c r="Q377" s="778"/>
      <c r="R377" s="778"/>
      <c r="S377" s="1042"/>
    </row>
    <row r="378" spans="2:19" x14ac:dyDescent="0.35">
      <c r="B378" s="1019" t="str">
        <f t="shared" si="1"/>
        <v>Vehicles</v>
      </c>
      <c r="C378" s="778"/>
      <c r="D378" s="778"/>
      <c r="E378" s="778"/>
      <c r="F378" s="778"/>
      <c r="G378" s="778"/>
      <c r="H378" s="778"/>
      <c r="I378" s="778"/>
      <c r="J378" s="778"/>
      <c r="K378" s="778"/>
      <c r="L378" s="778"/>
      <c r="M378" s="778"/>
      <c r="N378" s="1020">
        <f>Capitalisation!N14</f>
        <v>0</v>
      </c>
      <c r="O378" s="778"/>
      <c r="P378" s="778"/>
      <c r="Q378" s="778"/>
      <c r="R378" s="778"/>
      <c r="S378" s="1042"/>
    </row>
    <row r="379" spans="2:19" x14ac:dyDescent="0.35">
      <c r="B379" s="1019" t="str">
        <f t="shared" si="1"/>
        <v>I.T. equipments</v>
      </c>
      <c r="C379" s="778"/>
      <c r="D379" s="778"/>
      <c r="E379" s="778"/>
      <c r="F379" s="778"/>
      <c r="G379" s="778"/>
      <c r="H379" s="778"/>
      <c r="I379" s="778"/>
      <c r="J379" s="778"/>
      <c r="K379" s="778"/>
      <c r="L379" s="778"/>
      <c r="M379" s="778"/>
      <c r="N379" s="1020">
        <f>Capitalisation!N16</f>
        <v>0</v>
      </c>
      <c r="O379" s="778"/>
      <c r="P379" s="778"/>
      <c r="Q379" s="778"/>
      <c r="R379" s="778"/>
      <c r="S379" s="1042"/>
    </row>
    <row r="380" spans="2:19" x14ac:dyDescent="0.35">
      <c r="B380" s="1019" t="str">
        <f t="shared" si="1"/>
        <v>Office furniture and fittings</v>
      </c>
      <c r="C380" s="778"/>
      <c r="D380" s="778"/>
      <c r="E380" s="778"/>
      <c r="F380" s="778"/>
      <c r="G380" s="778"/>
      <c r="H380" s="778"/>
      <c r="I380" s="778"/>
      <c r="J380" s="778"/>
      <c r="K380" s="778"/>
      <c r="L380" s="778"/>
      <c r="M380" s="778"/>
      <c r="N380" s="1020">
        <f>Capitalisation!N17</f>
        <v>0</v>
      </c>
      <c r="O380" s="778"/>
      <c r="P380" s="778"/>
      <c r="Q380" s="778"/>
      <c r="R380" s="778"/>
      <c r="S380" s="1042"/>
    </row>
    <row r="381" spans="2:19" x14ac:dyDescent="0.35">
      <c r="B381" s="1019" t="str">
        <f t="shared" si="1"/>
        <v>Office equipments</v>
      </c>
      <c r="C381" s="778"/>
      <c r="D381" s="778"/>
      <c r="E381" s="778"/>
      <c r="F381" s="778"/>
      <c r="G381" s="778"/>
      <c r="H381" s="778"/>
      <c r="I381" s="778"/>
      <c r="J381" s="778"/>
      <c r="K381" s="778"/>
      <c r="L381" s="778"/>
      <c r="M381" s="778"/>
      <c r="N381" s="1020">
        <f>Capitalisation!N18</f>
        <v>0</v>
      </c>
      <c r="O381" s="778"/>
      <c r="P381" s="778"/>
      <c r="Q381" s="778"/>
      <c r="R381" s="778"/>
      <c r="S381" s="1042"/>
    </row>
    <row r="382" spans="2:19" x14ac:dyDescent="0.35">
      <c r="B382" s="1019" t="str">
        <f t="shared" si="1"/>
        <v>Software Licenses</v>
      </c>
      <c r="C382" s="778"/>
      <c r="D382" s="778"/>
      <c r="E382" s="778"/>
      <c r="F382" s="778"/>
      <c r="G382" s="778"/>
      <c r="H382" s="778"/>
      <c r="I382" s="778"/>
      <c r="J382" s="778"/>
      <c r="K382" s="778"/>
      <c r="L382" s="778"/>
      <c r="M382" s="778"/>
      <c r="N382" s="1020">
        <f>Capitalisation!N19</f>
        <v>0</v>
      </c>
      <c r="O382" s="778"/>
      <c r="P382" s="778"/>
      <c r="Q382" s="778"/>
      <c r="R382" s="778"/>
      <c r="S382" s="1042"/>
    </row>
    <row r="383" spans="2:19" x14ac:dyDescent="0.35">
      <c r="B383" s="1019"/>
      <c r="C383" s="778"/>
      <c r="D383" s="778"/>
      <c r="E383" s="778"/>
      <c r="F383" s="778"/>
      <c r="G383" s="778"/>
      <c r="H383" s="778"/>
      <c r="I383" s="778"/>
      <c r="J383" s="778"/>
      <c r="K383" s="778"/>
      <c r="L383" s="778"/>
      <c r="M383" s="778"/>
      <c r="N383" s="778"/>
      <c r="O383" s="778"/>
      <c r="P383" s="778"/>
      <c r="Q383" s="778"/>
      <c r="R383" s="778"/>
      <c r="S383" s="1042"/>
    </row>
    <row r="384" spans="2:19" x14ac:dyDescent="0.35">
      <c r="B384" s="778"/>
      <c r="C384" s="778"/>
      <c r="D384" s="778"/>
      <c r="E384" s="778"/>
      <c r="F384" s="778"/>
      <c r="G384" s="778"/>
      <c r="H384" s="778"/>
      <c r="I384" s="778"/>
      <c r="J384" s="778"/>
      <c r="K384" s="778"/>
      <c r="L384" s="778"/>
      <c r="M384" s="778"/>
      <c r="N384" s="778"/>
      <c r="O384" s="778"/>
      <c r="P384" s="778"/>
      <c r="Q384" s="778"/>
      <c r="R384" s="778"/>
      <c r="S384" s="1042"/>
    </row>
    <row r="385" spans="2:19" x14ac:dyDescent="0.35">
      <c r="B385" s="779" t="s">
        <v>198</v>
      </c>
      <c r="C385" s="779"/>
      <c r="D385" s="779"/>
      <c r="E385" s="779"/>
      <c r="F385" s="779"/>
      <c r="G385" s="779"/>
      <c r="H385" s="779"/>
      <c r="I385" s="779"/>
      <c r="J385" s="779"/>
      <c r="K385" s="779"/>
      <c r="L385" s="779"/>
      <c r="M385" s="779"/>
      <c r="N385" s="779"/>
      <c r="O385" s="779"/>
      <c r="P385" s="779"/>
      <c r="Q385" s="779"/>
      <c r="R385" s="779"/>
      <c r="S385" s="1043"/>
    </row>
    <row r="386" spans="2:19" x14ac:dyDescent="0.35">
      <c r="B386" s="1006" t="s">
        <v>476</v>
      </c>
      <c r="C386" s="779"/>
      <c r="D386" s="779"/>
      <c r="E386" s="779"/>
      <c r="F386" s="779"/>
      <c r="G386" s="779"/>
      <c r="H386" s="779"/>
      <c r="I386" s="779"/>
      <c r="J386" s="779"/>
      <c r="K386" s="779"/>
      <c r="L386" s="779"/>
      <c r="M386" s="779"/>
      <c r="N386" s="779"/>
      <c r="O386" s="779"/>
      <c r="P386" s="779"/>
      <c r="Q386" s="779"/>
      <c r="R386" s="779"/>
      <c r="S386" s="1043"/>
    </row>
    <row r="387" spans="2:19" x14ac:dyDescent="0.35">
      <c r="B387" s="1007" t="s">
        <v>477</v>
      </c>
      <c r="C387" s="779"/>
      <c r="D387" s="779"/>
      <c r="E387" s="779"/>
      <c r="F387" s="779"/>
      <c r="G387" s="779"/>
      <c r="H387" s="779"/>
      <c r="I387" s="779"/>
      <c r="J387" s="779"/>
      <c r="K387" s="779"/>
      <c r="L387" s="779"/>
      <c r="M387" s="779"/>
      <c r="N387" s="779"/>
      <c r="O387" s="779"/>
      <c r="P387" s="779"/>
      <c r="Q387" s="779"/>
      <c r="R387" s="779"/>
      <c r="S387" s="1043"/>
    </row>
    <row r="388" spans="2:19" x14ac:dyDescent="0.35">
      <c r="B388" s="778" t="s">
        <v>239</v>
      </c>
      <c r="C388" s="779"/>
      <c r="D388" s="779"/>
      <c r="E388" s="779"/>
      <c r="F388" s="779"/>
      <c r="G388" s="779"/>
      <c r="H388" s="779"/>
      <c r="I388" s="779"/>
      <c r="J388" s="779"/>
      <c r="K388" s="779"/>
      <c r="L388" s="779"/>
      <c r="M388" s="779"/>
      <c r="N388" s="779"/>
      <c r="O388" s="779"/>
      <c r="P388" s="779"/>
      <c r="Q388" s="779"/>
      <c r="R388" s="779"/>
      <c r="S388" s="1043"/>
    </row>
    <row r="389" spans="2:19" x14ac:dyDescent="0.35">
      <c r="B389" s="778" t="s">
        <v>239</v>
      </c>
      <c r="C389" s="779"/>
      <c r="D389" s="779"/>
      <c r="E389" s="779"/>
      <c r="F389" s="779"/>
      <c r="G389" s="779"/>
      <c r="H389" s="779"/>
      <c r="I389" s="779"/>
      <c r="J389" s="779"/>
      <c r="K389" s="779"/>
      <c r="L389" s="779"/>
      <c r="M389" s="779"/>
      <c r="N389" s="779"/>
      <c r="O389" s="779"/>
      <c r="P389" s="779"/>
      <c r="Q389" s="779"/>
      <c r="R389" s="779"/>
      <c r="S389" s="1043"/>
    </row>
    <row r="390" spans="2:19" x14ac:dyDescent="0.35">
      <c r="B390" s="1007" t="s">
        <v>478</v>
      </c>
      <c r="C390" s="779"/>
      <c r="D390" s="779"/>
      <c r="E390" s="779"/>
      <c r="F390" s="779"/>
      <c r="G390" s="779"/>
      <c r="H390" s="779"/>
      <c r="I390" s="779"/>
      <c r="J390" s="779"/>
      <c r="K390" s="779"/>
      <c r="L390" s="779"/>
      <c r="M390" s="779"/>
      <c r="N390" s="779"/>
      <c r="O390" s="779"/>
      <c r="P390" s="779"/>
      <c r="Q390" s="779"/>
      <c r="R390" s="779"/>
      <c r="S390" s="1043"/>
    </row>
    <row r="391" spans="2:19" x14ac:dyDescent="0.35">
      <c r="B391" s="778" t="s">
        <v>239</v>
      </c>
      <c r="C391" s="779"/>
      <c r="D391" s="779"/>
      <c r="E391" s="779"/>
      <c r="F391" s="779"/>
      <c r="G391" s="779"/>
      <c r="H391" s="779"/>
      <c r="I391" s="779"/>
      <c r="J391" s="779"/>
      <c r="K391" s="779"/>
      <c r="L391" s="779"/>
      <c r="M391" s="779"/>
      <c r="N391" s="779"/>
      <c r="O391" s="779"/>
      <c r="P391" s="779"/>
      <c r="Q391" s="779"/>
      <c r="R391" s="779"/>
      <c r="S391" s="1043"/>
    </row>
    <row r="392" spans="2:19" x14ac:dyDescent="0.35">
      <c r="B392" s="778" t="s">
        <v>239</v>
      </c>
      <c r="C392" s="779"/>
      <c r="D392" s="779"/>
      <c r="E392" s="779"/>
      <c r="F392" s="779"/>
      <c r="G392" s="779"/>
      <c r="H392" s="779"/>
      <c r="I392" s="779"/>
      <c r="J392" s="779"/>
      <c r="K392" s="779"/>
      <c r="L392" s="779"/>
      <c r="M392" s="779"/>
      <c r="N392" s="779"/>
      <c r="O392" s="779"/>
      <c r="P392" s="779"/>
      <c r="Q392" s="779"/>
      <c r="R392" s="779"/>
      <c r="S392" s="1043"/>
    </row>
    <row r="393" spans="2:19" x14ac:dyDescent="0.35">
      <c r="B393" s="779" t="s">
        <v>479</v>
      </c>
      <c r="C393" s="779"/>
      <c r="D393" s="779"/>
      <c r="E393" s="779"/>
      <c r="F393" s="779"/>
      <c r="G393" s="779"/>
      <c r="H393" s="779"/>
      <c r="I393" s="779"/>
      <c r="J393" s="779"/>
      <c r="K393" s="779"/>
      <c r="L393" s="779"/>
      <c r="M393" s="779"/>
      <c r="N393" s="779"/>
      <c r="O393" s="779"/>
      <c r="P393" s="779"/>
      <c r="Q393" s="779"/>
      <c r="R393" s="779"/>
      <c r="S393" s="1043"/>
    </row>
    <row r="394" spans="2:19" x14ac:dyDescent="0.35">
      <c r="B394" s="1019" t="str">
        <f t="shared" ref="B394:B399" si="2">B377</f>
        <v>Meters</v>
      </c>
      <c r="C394" s="778"/>
      <c r="D394" s="778"/>
      <c r="E394" s="778"/>
      <c r="F394" s="1024"/>
      <c r="G394" s="1011"/>
      <c r="H394" s="778"/>
      <c r="I394" s="778"/>
      <c r="J394" s="1011"/>
      <c r="K394" s="778"/>
      <c r="L394" s="778"/>
      <c r="M394" s="702"/>
      <c r="N394" s="1037">
        <f>Capitalisation!Q12</f>
        <v>0</v>
      </c>
      <c r="O394" s="778"/>
      <c r="P394" s="778"/>
      <c r="Q394" s="778"/>
      <c r="R394" s="778"/>
      <c r="S394" s="1042"/>
    </row>
    <row r="395" spans="2:19" x14ac:dyDescent="0.35">
      <c r="B395" s="1019" t="str">
        <f t="shared" si="2"/>
        <v>Vehicles</v>
      </c>
      <c r="C395" s="778"/>
      <c r="D395" s="778"/>
      <c r="E395" s="778"/>
      <c r="F395" s="1024"/>
      <c r="G395" s="1011"/>
      <c r="H395" s="778"/>
      <c r="I395" s="778"/>
      <c r="J395" s="1011"/>
      <c r="K395" s="778"/>
      <c r="L395" s="778"/>
      <c r="M395" s="702"/>
      <c r="N395" s="1037">
        <f>Capitalisation!Q14</f>
        <v>0</v>
      </c>
      <c r="O395" s="778"/>
      <c r="P395" s="778"/>
      <c r="Q395" s="778"/>
      <c r="R395" s="778"/>
      <c r="S395" s="1042"/>
    </row>
    <row r="396" spans="2:19" x14ac:dyDescent="0.35">
      <c r="B396" s="1019" t="str">
        <f t="shared" si="2"/>
        <v>I.T. equipments</v>
      </c>
      <c r="C396" s="778"/>
      <c r="D396" s="778"/>
      <c r="E396" s="778"/>
      <c r="F396" s="1024"/>
      <c r="G396" s="1011"/>
      <c r="H396" s="778"/>
      <c r="I396" s="778"/>
      <c r="J396" s="1011"/>
      <c r="K396" s="778"/>
      <c r="L396" s="778"/>
      <c r="M396" s="702"/>
      <c r="N396" s="1037">
        <f>Capitalisation!Q16</f>
        <v>1.0320912E-2</v>
      </c>
      <c r="O396" s="778"/>
      <c r="P396" s="778"/>
      <c r="Q396" s="778"/>
      <c r="R396" s="778"/>
      <c r="S396" s="1042"/>
    </row>
    <row r="397" spans="2:19" x14ac:dyDescent="0.35">
      <c r="B397" s="1019" t="str">
        <f t="shared" si="2"/>
        <v>Office furniture and fittings</v>
      </c>
      <c r="C397" s="778"/>
      <c r="D397" s="778"/>
      <c r="E397" s="778"/>
      <c r="F397" s="1024"/>
      <c r="G397" s="1011"/>
      <c r="H397" s="778"/>
      <c r="I397" s="778"/>
      <c r="J397" s="1011"/>
      <c r="K397" s="778"/>
      <c r="L397" s="778"/>
      <c r="M397" s="702"/>
      <c r="N397" s="1037">
        <f>Capitalisation!Q17</f>
        <v>0</v>
      </c>
      <c r="O397" s="778"/>
      <c r="P397" s="778"/>
      <c r="Q397" s="778"/>
      <c r="R397" s="778"/>
      <c r="S397" s="1042"/>
    </row>
    <row r="398" spans="2:19" x14ac:dyDescent="0.35">
      <c r="B398" s="1019" t="str">
        <f t="shared" si="2"/>
        <v>Office equipments</v>
      </c>
      <c r="C398" s="778"/>
      <c r="D398" s="778"/>
      <c r="E398" s="778"/>
      <c r="F398" s="1024"/>
      <c r="G398" s="1011"/>
      <c r="H398" s="778"/>
      <c r="I398" s="778"/>
      <c r="J398" s="1011"/>
      <c r="K398" s="778"/>
      <c r="L398" s="778"/>
      <c r="M398" s="702"/>
      <c r="N398" s="1037">
        <f>Capitalisation!Q18</f>
        <v>0</v>
      </c>
      <c r="O398" s="778"/>
      <c r="P398" s="778"/>
      <c r="Q398" s="778"/>
      <c r="R398" s="778"/>
      <c r="S398" s="1042"/>
    </row>
    <row r="399" spans="2:19" x14ac:dyDescent="0.35">
      <c r="B399" s="1019" t="str">
        <f t="shared" si="2"/>
        <v>Software Licenses</v>
      </c>
      <c r="C399" s="778"/>
      <c r="D399" s="778"/>
      <c r="E399" s="778"/>
      <c r="F399" s="1024"/>
      <c r="G399" s="1011"/>
      <c r="H399" s="778"/>
      <c r="I399" s="778"/>
      <c r="J399" s="1011"/>
      <c r="K399" s="778"/>
      <c r="L399" s="778"/>
      <c r="M399" s="702"/>
      <c r="N399" s="1037">
        <f>Capitalisation!Q19</f>
        <v>0</v>
      </c>
      <c r="O399" s="778"/>
      <c r="P399" s="778"/>
      <c r="Q399" s="778"/>
      <c r="R399" s="778"/>
      <c r="S399" s="1042"/>
    </row>
    <row r="400" spans="2:19" x14ac:dyDescent="0.35">
      <c r="B400" s="1026"/>
      <c r="C400" s="778"/>
      <c r="D400" s="778"/>
      <c r="E400" s="778"/>
      <c r="F400" s="1024"/>
      <c r="G400" s="1011"/>
      <c r="H400" s="778"/>
      <c r="I400" s="778"/>
      <c r="J400" s="1011"/>
      <c r="K400" s="778"/>
      <c r="L400" s="778"/>
      <c r="M400" s="702"/>
      <c r="N400" s="778"/>
      <c r="O400" s="778"/>
      <c r="P400" s="778"/>
      <c r="Q400" s="778"/>
      <c r="R400" s="778"/>
      <c r="S400" s="1042"/>
    </row>
    <row r="401" spans="2:19" x14ac:dyDescent="0.35">
      <c r="B401" s="1026"/>
      <c r="C401" s="778"/>
      <c r="D401" s="778"/>
      <c r="E401" s="778"/>
      <c r="F401" s="1024"/>
      <c r="G401" s="1011"/>
      <c r="H401" s="778"/>
      <c r="I401" s="778"/>
      <c r="J401" s="1011"/>
      <c r="K401" s="778"/>
      <c r="L401" s="778"/>
      <c r="M401" s="702"/>
      <c r="N401" s="778"/>
      <c r="O401" s="778"/>
      <c r="P401" s="778"/>
      <c r="Q401" s="778"/>
      <c r="R401" s="778"/>
      <c r="S401" s="1042"/>
    </row>
    <row r="402" spans="2:19" x14ac:dyDescent="0.35">
      <c r="B402" s="1006" t="s">
        <v>199</v>
      </c>
      <c r="C402" s="778"/>
      <c r="D402" s="778"/>
      <c r="E402" s="778"/>
      <c r="F402" s="778"/>
      <c r="G402" s="778"/>
      <c r="H402" s="778"/>
      <c r="I402" s="778"/>
      <c r="J402" s="778"/>
      <c r="K402" s="778"/>
      <c r="L402" s="778"/>
      <c r="M402" s="778"/>
      <c r="N402" s="778"/>
      <c r="O402" s="778"/>
      <c r="P402" s="778"/>
      <c r="Q402" s="778"/>
      <c r="R402" s="778"/>
      <c r="S402" s="1042"/>
    </row>
    <row r="403" spans="2:19" x14ac:dyDescent="0.35">
      <c r="B403" s="1006" t="s">
        <v>476</v>
      </c>
      <c r="C403" s="778"/>
      <c r="D403" s="778"/>
      <c r="E403" s="778"/>
      <c r="F403" s="778"/>
      <c r="G403" s="778"/>
      <c r="H403" s="778"/>
      <c r="I403" s="778"/>
      <c r="J403" s="778"/>
      <c r="K403" s="778"/>
      <c r="L403" s="778"/>
      <c r="M403" s="778"/>
      <c r="N403" s="778"/>
      <c r="O403" s="778"/>
      <c r="P403" s="778"/>
      <c r="Q403" s="778"/>
      <c r="R403" s="778"/>
      <c r="S403" s="1042"/>
    </row>
    <row r="404" spans="2:19" x14ac:dyDescent="0.35">
      <c r="B404" s="1007" t="s">
        <v>477</v>
      </c>
      <c r="C404" s="778"/>
      <c r="D404" s="778"/>
      <c r="E404" s="778"/>
      <c r="F404" s="778"/>
      <c r="G404" s="778"/>
      <c r="H404" s="778"/>
      <c r="I404" s="778"/>
      <c r="J404" s="778"/>
      <c r="K404" s="778"/>
      <c r="L404" s="778"/>
      <c r="M404" s="778"/>
      <c r="N404" s="778"/>
      <c r="O404" s="778"/>
      <c r="P404" s="778"/>
      <c r="Q404" s="778"/>
      <c r="R404" s="778"/>
      <c r="S404" s="1042"/>
    </row>
    <row r="405" spans="2:19" x14ac:dyDescent="0.35">
      <c r="B405" s="778" t="s">
        <v>239</v>
      </c>
      <c r="C405" s="778"/>
      <c r="D405" s="778"/>
      <c r="E405" s="778"/>
      <c r="F405" s="778"/>
      <c r="G405" s="778"/>
      <c r="H405" s="778"/>
      <c r="I405" s="778"/>
      <c r="J405" s="778"/>
      <c r="K405" s="778"/>
      <c r="L405" s="778"/>
      <c r="M405" s="778"/>
      <c r="N405" s="778"/>
      <c r="O405" s="778"/>
      <c r="P405" s="778"/>
      <c r="Q405" s="778"/>
      <c r="R405" s="778"/>
      <c r="S405" s="1042"/>
    </row>
    <row r="406" spans="2:19" x14ac:dyDescent="0.35">
      <c r="B406" s="778" t="s">
        <v>239</v>
      </c>
      <c r="C406" s="778"/>
      <c r="D406" s="778"/>
      <c r="E406" s="778"/>
      <c r="F406" s="778"/>
      <c r="G406" s="778"/>
      <c r="H406" s="778"/>
      <c r="I406" s="778"/>
      <c r="J406" s="778"/>
      <c r="K406" s="778"/>
      <c r="L406" s="778"/>
      <c r="M406" s="778"/>
      <c r="N406" s="778"/>
      <c r="O406" s="778"/>
      <c r="P406" s="778"/>
      <c r="Q406" s="778"/>
      <c r="R406" s="778"/>
      <c r="S406" s="1042"/>
    </row>
    <row r="407" spans="2:19" x14ac:dyDescent="0.35">
      <c r="B407" s="1007" t="s">
        <v>478</v>
      </c>
      <c r="C407" s="778"/>
      <c r="D407" s="778"/>
      <c r="E407" s="778"/>
      <c r="F407" s="778"/>
      <c r="G407" s="778"/>
      <c r="H407" s="778"/>
      <c r="I407" s="778"/>
      <c r="J407" s="778"/>
      <c r="K407" s="778"/>
      <c r="L407" s="778"/>
      <c r="M407" s="778"/>
      <c r="N407" s="778"/>
      <c r="O407" s="778"/>
      <c r="P407" s="778"/>
      <c r="Q407" s="778"/>
      <c r="R407" s="778"/>
      <c r="S407" s="1042"/>
    </row>
    <row r="408" spans="2:19" x14ac:dyDescent="0.35">
      <c r="B408" s="778" t="s">
        <v>239</v>
      </c>
      <c r="C408" s="778"/>
      <c r="D408" s="778"/>
      <c r="E408" s="778"/>
      <c r="F408" s="778"/>
      <c r="G408" s="778"/>
      <c r="H408" s="778"/>
      <c r="I408" s="778"/>
      <c r="J408" s="778"/>
      <c r="K408" s="778"/>
      <c r="L408" s="778"/>
      <c r="M408" s="778"/>
      <c r="N408" s="778"/>
      <c r="O408" s="778"/>
      <c r="P408" s="778"/>
      <c r="Q408" s="778"/>
      <c r="R408" s="778"/>
      <c r="S408" s="1042"/>
    </row>
    <row r="409" spans="2:19" x14ac:dyDescent="0.35">
      <c r="B409" s="778" t="s">
        <v>239</v>
      </c>
      <c r="C409" s="778"/>
      <c r="D409" s="778"/>
      <c r="E409" s="778"/>
      <c r="F409" s="778"/>
      <c r="G409" s="778"/>
      <c r="H409" s="778"/>
      <c r="I409" s="778"/>
      <c r="J409" s="778"/>
      <c r="K409" s="778"/>
      <c r="L409" s="778"/>
      <c r="M409" s="778"/>
      <c r="N409" s="778"/>
      <c r="O409" s="778"/>
      <c r="P409" s="778"/>
      <c r="Q409" s="778"/>
      <c r="R409" s="778"/>
      <c r="S409" s="1042"/>
    </row>
    <row r="410" spans="2:19" x14ac:dyDescent="0.35">
      <c r="B410" s="779" t="s">
        <v>479</v>
      </c>
      <c r="C410" s="778"/>
      <c r="D410" s="778"/>
      <c r="E410" s="778"/>
      <c r="F410" s="778"/>
      <c r="G410" s="778"/>
      <c r="H410" s="778"/>
      <c r="I410" s="778"/>
      <c r="J410" s="778"/>
      <c r="K410" s="778"/>
      <c r="L410" s="778"/>
      <c r="M410" s="778"/>
      <c r="N410" s="778"/>
      <c r="O410" s="778"/>
      <c r="P410" s="778"/>
      <c r="Q410" s="778"/>
      <c r="R410" s="778"/>
      <c r="S410" s="1042"/>
    </row>
    <row r="411" spans="2:19" x14ac:dyDescent="0.35">
      <c r="B411" s="1019" t="str">
        <f t="shared" ref="B411:B416" si="3">B394</f>
        <v>Meters</v>
      </c>
      <c r="C411" s="778"/>
      <c r="D411" s="778"/>
      <c r="E411" s="778"/>
      <c r="F411" s="778"/>
      <c r="G411" s="778"/>
      <c r="H411" s="778"/>
      <c r="I411" s="778"/>
      <c r="J411" s="778"/>
      <c r="K411" s="778"/>
      <c r="L411" s="778"/>
      <c r="M411" s="778"/>
      <c r="N411" s="883">
        <f>+Capitalisation!T12</f>
        <v>0.291515523</v>
      </c>
      <c r="O411" s="778"/>
      <c r="P411" s="778"/>
      <c r="Q411" s="778"/>
      <c r="R411" s="778"/>
      <c r="S411" s="1042"/>
    </row>
    <row r="412" spans="2:19" x14ac:dyDescent="0.35">
      <c r="B412" s="1019" t="str">
        <f t="shared" si="3"/>
        <v>Vehicles</v>
      </c>
      <c r="C412" s="778"/>
      <c r="D412" s="778"/>
      <c r="E412" s="778"/>
      <c r="F412" s="778"/>
      <c r="G412" s="778"/>
      <c r="H412" s="778"/>
      <c r="I412" s="778"/>
      <c r="J412" s="778"/>
      <c r="K412" s="778"/>
      <c r="L412" s="778"/>
      <c r="M412" s="778"/>
      <c r="N412" s="883">
        <f>+Capitalisation!T14</f>
        <v>0</v>
      </c>
      <c r="O412" s="778"/>
      <c r="P412" s="778"/>
      <c r="Q412" s="778"/>
      <c r="R412" s="778"/>
      <c r="S412" s="1042"/>
    </row>
    <row r="413" spans="2:19" x14ac:dyDescent="0.35">
      <c r="B413" s="1019" t="str">
        <f t="shared" si="3"/>
        <v>I.T. equipments</v>
      </c>
      <c r="C413" s="778"/>
      <c r="D413" s="778"/>
      <c r="E413" s="778"/>
      <c r="F413" s="778"/>
      <c r="G413" s="778"/>
      <c r="H413" s="778"/>
      <c r="I413" s="778"/>
      <c r="J413" s="778"/>
      <c r="K413" s="778"/>
      <c r="L413" s="778"/>
      <c r="M413" s="778"/>
      <c r="N413" s="883">
        <f>+Capitalisation!T16</f>
        <v>2.2350060000000003E-3</v>
      </c>
      <c r="O413" s="778"/>
      <c r="P413" s="778"/>
      <c r="Q413" s="778"/>
      <c r="R413" s="778"/>
      <c r="S413" s="1042"/>
    </row>
    <row r="414" spans="2:19" x14ac:dyDescent="0.35">
      <c r="B414" s="1019" t="str">
        <f t="shared" si="3"/>
        <v>Office furniture and fittings</v>
      </c>
      <c r="C414" s="778"/>
      <c r="D414" s="778"/>
      <c r="E414" s="778"/>
      <c r="F414" s="1024"/>
      <c r="G414" s="1011"/>
      <c r="H414" s="778"/>
      <c r="I414" s="778"/>
      <c r="J414" s="1011"/>
      <c r="K414" s="778"/>
      <c r="L414" s="778"/>
      <c r="M414" s="778"/>
      <c r="N414" s="883">
        <f>+Capitalisation!T17</f>
        <v>0</v>
      </c>
      <c r="O414" s="778"/>
      <c r="P414" s="778"/>
      <c r="Q414" s="778"/>
      <c r="R414" s="778"/>
      <c r="S414" s="1042"/>
    </row>
    <row r="415" spans="2:19" x14ac:dyDescent="0.35">
      <c r="B415" s="1019" t="str">
        <f t="shared" si="3"/>
        <v>Office equipments</v>
      </c>
      <c r="C415" s="778"/>
      <c r="D415" s="778"/>
      <c r="E415" s="778"/>
      <c r="F415" s="778"/>
      <c r="G415" s="778"/>
      <c r="H415" s="778"/>
      <c r="I415" s="778"/>
      <c r="J415" s="778"/>
      <c r="K415" s="778"/>
      <c r="L415" s="778"/>
      <c r="M415" s="778"/>
      <c r="N415" s="883">
        <f>+Capitalisation!T18</f>
        <v>1.25139E-2</v>
      </c>
      <c r="O415" s="778"/>
      <c r="P415" s="778"/>
      <c r="Q415" s="778"/>
      <c r="R415" s="778"/>
      <c r="S415" s="1042"/>
    </row>
    <row r="416" spans="2:19" x14ac:dyDescent="0.35">
      <c r="B416" s="1019" t="str">
        <f t="shared" si="3"/>
        <v>Software Licenses</v>
      </c>
      <c r="C416" s="778"/>
      <c r="D416" s="778"/>
      <c r="E416" s="778"/>
      <c r="F416" s="778"/>
      <c r="G416" s="778"/>
      <c r="H416" s="778"/>
      <c r="I416" s="778"/>
      <c r="J416" s="778"/>
      <c r="K416" s="778"/>
      <c r="L416" s="778"/>
      <c r="M416" s="778"/>
      <c r="N416" s="883">
        <f>+Capitalisation!T19</f>
        <v>0</v>
      </c>
      <c r="O416" s="778"/>
      <c r="P416" s="778"/>
      <c r="Q416" s="778"/>
      <c r="R416" s="778"/>
      <c r="S416" s="1042"/>
    </row>
    <row r="417" spans="2:19" x14ac:dyDescent="0.35">
      <c r="B417" s="1019"/>
      <c r="C417" s="778"/>
      <c r="D417" s="778"/>
      <c r="E417" s="778"/>
      <c r="F417" s="778"/>
      <c r="G417" s="778"/>
      <c r="H417" s="778"/>
      <c r="I417" s="778"/>
      <c r="J417" s="778"/>
      <c r="K417" s="778"/>
      <c r="L417" s="778"/>
      <c r="M417" s="778"/>
      <c r="N417" s="778"/>
      <c r="O417" s="778"/>
      <c r="P417" s="778"/>
      <c r="Q417" s="778"/>
      <c r="R417" s="778"/>
      <c r="S417" s="1042"/>
    </row>
    <row r="418" spans="2:19" x14ac:dyDescent="0.35">
      <c r="B418" s="1006" t="s">
        <v>112</v>
      </c>
      <c r="C418" s="778"/>
      <c r="D418" s="778"/>
      <c r="E418" s="778"/>
      <c r="F418" s="778"/>
      <c r="G418" s="778"/>
      <c r="H418" s="778"/>
      <c r="I418" s="778"/>
      <c r="J418" s="778"/>
      <c r="K418" s="778"/>
      <c r="L418" s="778"/>
      <c r="M418" s="778"/>
      <c r="N418" s="778"/>
      <c r="O418" s="778"/>
      <c r="P418" s="778"/>
      <c r="Q418" s="778"/>
      <c r="R418" s="778"/>
      <c r="S418" s="1042"/>
    </row>
    <row r="419" spans="2:19" x14ac:dyDescent="0.35">
      <c r="B419" s="1006" t="s">
        <v>476</v>
      </c>
      <c r="C419" s="778"/>
      <c r="D419" s="778"/>
      <c r="E419" s="778"/>
      <c r="F419" s="778"/>
      <c r="G419" s="778"/>
      <c r="H419" s="778"/>
      <c r="I419" s="778"/>
      <c r="J419" s="778"/>
      <c r="K419" s="778"/>
      <c r="L419" s="778"/>
      <c r="M419" s="778"/>
      <c r="N419" s="778"/>
      <c r="O419" s="778"/>
      <c r="P419" s="778"/>
      <c r="Q419" s="778"/>
      <c r="R419" s="778"/>
      <c r="S419" s="1042"/>
    </row>
    <row r="420" spans="2:19" x14ac:dyDescent="0.35">
      <c r="B420" s="1007" t="s">
        <v>477</v>
      </c>
      <c r="C420" s="778"/>
      <c r="D420" s="778"/>
      <c r="E420" s="778"/>
      <c r="F420" s="778"/>
      <c r="G420" s="778"/>
      <c r="H420" s="778"/>
      <c r="I420" s="778"/>
      <c r="J420" s="778"/>
      <c r="K420" s="778"/>
      <c r="L420" s="778"/>
      <c r="M420" s="778"/>
      <c r="N420" s="778"/>
      <c r="O420" s="778"/>
      <c r="P420" s="778"/>
      <c r="Q420" s="778"/>
      <c r="R420" s="778"/>
      <c r="S420" s="1042"/>
    </row>
    <row r="421" spans="2:19" x14ac:dyDescent="0.35">
      <c r="B421" s="778" t="s">
        <v>239</v>
      </c>
      <c r="C421" s="778"/>
      <c r="D421" s="778"/>
      <c r="E421" s="778"/>
      <c r="F421" s="778"/>
      <c r="G421" s="778"/>
      <c r="H421" s="778"/>
      <c r="I421" s="778"/>
      <c r="J421" s="778"/>
      <c r="K421" s="778"/>
      <c r="L421" s="778"/>
      <c r="M421" s="778"/>
      <c r="N421" s="778"/>
      <c r="O421" s="778"/>
      <c r="P421" s="778"/>
      <c r="Q421" s="778"/>
      <c r="R421" s="778"/>
      <c r="S421" s="1042"/>
    </row>
    <row r="422" spans="2:19" x14ac:dyDescent="0.35">
      <c r="B422" s="778" t="s">
        <v>239</v>
      </c>
      <c r="C422" s="778"/>
      <c r="D422" s="778"/>
      <c r="E422" s="778"/>
      <c r="F422" s="778"/>
      <c r="G422" s="778"/>
      <c r="H422" s="778"/>
      <c r="I422" s="778"/>
      <c r="J422" s="778"/>
      <c r="K422" s="778"/>
      <c r="L422" s="778"/>
      <c r="M422" s="778"/>
      <c r="N422" s="778"/>
      <c r="O422" s="778"/>
      <c r="P422" s="778"/>
      <c r="Q422" s="778"/>
      <c r="R422" s="778"/>
      <c r="S422" s="1042"/>
    </row>
    <row r="423" spans="2:19" x14ac:dyDescent="0.35">
      <c r="B423" s="1007" t="s">
        <v>478</v>
      </c>
      <c r="C423" s="778"/>
      <c r="D423" s="778"/>
      <c r="E423" s="778"/>
      <c r="F423" s="778"/>
      <c r="G423" s="778"/>
      <c r="H423" s="778"/>
      <c r="I423" s="778"/>
      <c r="J423" s="778"/>
      <c r="K423" s="778"/>
      <c r="L423" s="778"/>
      <c r="M423" s="778"/>
      <c r="N423" s="778"/>
      <c r="O423" s="778"/>
      <c r="P423" s="778"/>
      <c r="Q423" s="778"/>
      <c r="R423" s="778"/>
      <c r="S423" s="1042"/>
    </row>
    <row r="424" spans="2:19" x14ac:dyDescent="0.35">
      <c r="B424" s="778" t="s">
        <v>239</v>
      </c>
      <c r="C424" s="778"/>
      <c r="D424" s="778"/>
      <c r="E424" s="778"/>
      <c r="F424" s="778"/>
      <c r="G424" s="778"/>
      <c r="H424" s="778"/>
      <c r="I424" s="778"/>
      <c r="J424" s="778"/>
      <c r="K424" s="778"/>
      <c r="L424" s="778"/>
      <c r="M424" s="778"/>
      <c r="N424" s="778"/>
      <c r="O424" s="778"/>
      <c r="P424" s="778"/>
      <c r="Q424" s="778"/>
      <c r="R424" s="778"/>
      <c r="S424" s="1042"/>
    </row>
    <row r="425" spans="2:19" x14ac:dyDescent="0.35">
      <c r="B425" s="778" t="s">
        <v>239</v>
      </c>
      <c r="C425" s="778"/>
      <c r="D425" s="778"/>
      <c r="E425" s="778"/>
      <c r="F425" s="778"/>
      <c r="G425" s="778"/>
      <c r="H425" s="778"/>
      <c r="I425" s="778"/>
      <c r="J425" s="778"/>
      <c r="K425" s="778"/>
      <c r="L425" s="778"/>
      <c r="M425" s="778"/>
      <c r="N425" s="778"/>
      <c r="O425" s="778"/>
      <c r="P425" s="778"/>
      <c r="Q425" s="778"/>
      <c r="R425" s="778"/>
      <c r="S425" s="1042"/>
    </row>
    <row r="426" spans="2:19" x14ac:dyDescent="0.35">
      <c r="B426" s="779" t="s">
        <v>479</v>
      </c>
      <c r="C426" s="778"/>
      <c r="D426" s="778"/>
      <c r="E426" s="778"/>
      <c r="F426" s="778"/>
      <c r="G426" s="778"/>
      <c r="H426" s="778"/>
      <c r="I426" s="778"/>
      <c r="J426" s="778"/>
      <c r="K426" s="778"/>
      <c r="L426" s="778"/>
      <c r="M426" s="778"/>
      <c r="N426" s="778"/>
      <c r="O426" s="778"/>
      <c r="P426" s="778"/>
      <c r="Q426" s="778"/>
      <c r="R426" s="778"/>
      <c r="S426" s="1042"/>
    </row>
    <row r="427" spans="2:19" x14ac:dyDescent="0.35">
      <c r="B427" s="1019" t="str">
        <f t="shared" ref="B427:B432" si="4">+B411</f>
        <v>Meters</v>
      </c>
      <c r="C427" s="778"/>
      <c r="D427" s="778"/>
      <c r="E427" s="778"/>
      <c r="F427" s="778"/>
      <c r="G427" s="778"/>
      <c r="H427" s="778"/>
      <c r="I427" s="778"/>
      <c r="J427" s="778"/>
      <c r="K427" s="778"/>
      <c r="L427" s="778"/>
      <c r="M427" s="778"/>
      <c r="N427" s="883">
        <f>+Capitalisation!W12</f>
        <v>1.196946608</v>
      </c>
      <c r="O427" s="778"/>
      <c r="P427" s="778"/>
      <c r="Q427" s="778"/>
      <c r="R427" s="778"/>
      <c r="S427" s="1042"/>
    </row>
    <row r="428" spans="2:19" x14ac:dyDescent="0.35">
      <c r="B428" s="1019" t="str">
        <f t="shared" si="4"/>
        <v>Vehicles</v>
      </c>
      <c r="C428" s="778"/>
      <c r="D428" s="778"/>
      <c r="E428" s="778"/>
      <c r="F428" s="778"/>
      <c r="G428" s="778"/>
      <c r="H428" s="778"/>
      <c r="I428" s="778"/>
      <c r="J428" s="778"/>
      <c r="K428" s="778"/>
      <c r="L428" s="778"/>
      <c r="M428" s="778"/>
      <c r="N428" s="883">
        <f>+Capitalisation!W14</f>
        <v>0</v>
      </c>
      <c r="O428" s="778"/>
      <c r="P428" s="778"/>
      <c r="Q428" s="778"/>
      <c r="R428" s="778"/>
      <c r="S428" s="1042"/>
    </row>
    <row r="429" spans="2:19" x14ac:dyDescent="0.35">
      <c r="B429" s="1019" t="str">
        <f t="shared" si="4"/>
        <v>I.T. equipments</v>
      </c>
      <c r="C429" s="778"/>
      <c r="D429" s="778"/>
      <c r="E429" s="778"/>
      <c r="F429" s="778"/>
      <c r="G429" s="778"/>
      <c r="H429" s="778"/>
      <c r="I429" s="778"/>
      <c r="J429" s="778"/>
      <c r="K429" s="778"/>
      <c r="L429" s="778"/>
      <c r="M429" s="778"/>
      <c r="N429" s="883">
        <f>+Capitalisation!W16</f>
        <v>4.9749910000000007E-3</v>
      </c>
      <c r="O429" s="778"/>
      <c r="P429" s="778"/>
      <c r="Q429" s="778"/>
      <c r="R429" s="778"/>
      <c r="S429" s="1042"/>
    </row>
    <row r="430" spans="2:19" x14ac:dyDescent="0.35">
      <c r="B430" s="1019" t="str">
        <f t="shared" si="4"/>
        <v>Office furniture and fittings</v>
      </c>
      <c r="C430" s="778"/>
      <c r="D430" s="778"/>
      <c r="E430" s="778"/>
      <c r="F430" s="1024"/>
      <c r="G430" s="1011"/>
      <c r="H430" s="778"/>
      <c r="I430" s="778"/>
      <c r="J430" s="1011"/>
      <c r="K430" s="778"/>
      <c r="L430" s="778"/>
      <c r="M430" s="778"/>
      <c r="N430" s="883">
        <f>+Capitalisation!W17</f>
        <v>0</v>
      </c>
      <c r="O430" s="778"/>
      <c r="P430" s="778"/>
      <c r="Q430" s="778"/>
      <c r="R430" s="778"/>
      <c r="S430" s="1042"/>
    </row>
    <row r="431" spans="2:19" x14ac:dyDescent="0.35">
      <c r="B431" s="1019" t="str">
        <f t="shared" si="4"/>
        <v>Office equipments</v>
      </c>
      <c r="C431" s="778"/>
      <c r="D431" s="778"/>
      <c r="E431" s="778"/>
      <c r="F431" s="778"/>
      <c r="G431" s="778"/>
      <c r="H431" s="778"/>
      <c r="I431" s="778"/>
      <c r="J431" s="778"/>
      <c r="K431" s="778"/>
      <c r="L431" s="778"/>
      <c r="M431" s="778"/>
      <c r="N431" s="883">
        <f>+Capitalisation!W18</f>
        <v>0</v>
      </c>
      <c r="O431" s="778"/>
      <c r="P431" s="778"/>
      <c r="Q431" s="778"/>
      <c r="R431" s="778"/>
      <c r="S431" s="1042"/>
    </row>
    <row r="432" spans="2:19" x14ac:dyDescent="0.35">
      <c r="B432" s="1019" t="str">
        <f t="shared" si="4"/>
        <v>Software Licenses</v>
      </c>
      <c r="C432" s="778"/>
      <c r="D432" s="778"/>
      <c r="E432" s="778"/>
      <c r="F432" s="1024"/>
      <c r="G432" s="1011"/>
      <c r="H432" s="778"/>
      <c r="I432" s="778"/>
      <c r="J432" s="1011"/>
      <c r="K432" s="778"/>
      <c r="L432" s="778"/>
      <c r="M432" s="778"/>
      <c r="N432" s="883">
        <f>+Capitalisation!W19</f>
        <v>2.65028E-2</v>
      </c>
      <c r="O432" s="778"/>
      <c r="P432" s="778"/>
      <c r="Q432" s="778"/>
      <c r="R432" s="778"/>
      <c r="S432" s="1042"/>
    </row>
    <row r="433" spans="2:19" x14ac:dyDescent="0.35">
      <c r="B433" s="778" t="s">
        <v>239</v>
      </c>
      <c r="C433" s="778"/>
      <c r="D433" s="778"/>
      <c r="E433" s="778"/>
      <c r="F433" s="437"/>
      <c r="G433" s="778"/>
      <c r="H433" s="778"/>
      <c r="I433" s="778"/>
      <c r="J433" s="778"/>
      <c r="K433" s="778"/>
      <c r="L433" s="778"/>
      <c r="M433" s="778"/>
      <c r="N433" s="778"/>
      <c r="O433" s="778"/>
      <c r="P433" s="778"/>
      <c r="Q433" s="778"/>
      <c r="R433" s="778"/>
      <c r="S433" s="1042"/>
    </row>
    <row r="434" spans="2:19" x14ac:dyDescent="0.35">
      <c r="B434" s="1023"/>
      <c r="C434" s="778"/>
      <c r="D434" s="778"/>
      <c r="E434" s="778"/>
      <c r="F434" s="437"/>
      <c r="G434" s="778"/>
      <c r="H434" s="778"/>
      <c r="I434" s="778"/>
      <c r="J434" s="778"/>
      <c r="K434" s="778"/>
      <c r="L434" s="778"/>
      <c r="M434" s="778"/>
      <c r="N434" s="778"/>
      <c r="O434" s="778"/>
      <c r="P434" s="778"/>
      <c r="Q434" s="778"/>
      <c r="R434" s="778"/>
      <c r="S434" s="1042"/>
    </row>
    <row r="435" spans="2:19" x14ac:dyDescent="0.35">
      <c r="B435" s="1006" t="s">
        <v>113</v>
      </c>
      <c r="C435" s="778"/>
      <c r="D435" s="778"/>
      <c r="E435" s="778"/>
      <c r="F435" s="437"/>
      <c r="G435" s="778"/>
      <c r="H435" s="778"/>
      <c r="I435" s="778"/>
      <c r="J435" s="778"/>
      <c r="K435" s="778"/>
      <c r="L435" s="778"/>
      <c r="M435" s="778"/>
      <c r="N435" s="778"/>
      <c r="O435" s="778"/>
      <c r="P435" s="778"/>
      <c r="Q435" s="778"/>
      <c r="R435" s="778"/>
      <c r="S435" s="1042"/>
    </row>
    <row r="436" spans="2:19" x14ac:dyDescent="0.35">
      <c r="B436" s="1026"/>
      <c r="C436" s="778"/>
      <c r="D436" s="778"/>
      <c r="E436" s="778"/>
      <c r="F436" s="1024"/>
      <c r="G436" s="1011"/>
      <c r="H436" s="778"/>
      <c r="I436" s="778"/>
      <c r="J436" s="1011"/>
      <c r="K436" s="778"/>
      <c r="L436" s="778"/>
      <c r="M436" s="778"/>
      <c r="N436" s="778"/>
      <c r="O436" s="778"/>
      <c r="P436" s="778"/>
      <c r="Q436" s="778"/>
      <c r="R436" s="778"/>
      <c r="S436" s="1042"/>
    </row>
    <row r="437" spans="2:19" x14ac:dyDescent="0.35">
      <c r="B437" s="779" t="s">
        <v>479</v>
      </c>
      <c r="C437" s="778"/>
      <c r="D437" s="778"/>
      <c r="E437" s="778"/>
      <c r="F437" s="437"/>
      <c r="G437" s="778"/>
      <c r="H437" s="778"/>
      <c r="I437" s="778"/>
      <c r="J437" s="778"/>
      <c r="K437" s="778"/>
      <c r="L437" s="778"/>
      <c r="M437" s="778"/>
      <c r="N437" s="778"/>
      <c r="O437" s="778"/>
      <c r="P437" s="778"/>
      <c r="Q437" s="778"/>
      <c r="R437" s="778"/>
      <c r="S437" s="1042"/>
    </row>
    <row r="438" spans="2:19" x14ac:dyDescent="0.35">
      <c r="B438" s="1019" t="str">
        <f t="shared" ref="B438:B443" si="5">+B427</f>
        <v>Meters</v>
      </c>
      <c r="C438" s="778"/>
      <c r="D438" s="778"/>
      <c r="E438" s="778"/>
      <c r="F438" s="778"/>
      <c r="G438" s="778"/>
      <c r="H438" s="778"/>
      <c r="I438" s="778"/>
      <c r="J438" s="778"/>
      <c r="K438" s="778"/>
      <c r="L438" s="778"/>
      <c r="M438" s="778"/>
      <c r="N438" s="883">
        <f>+Capitalisation!Z12</f>
        <v>1.0655415E-2</v>
      </c>
      <c r="O438" s="778"/>
      <c r="P438" s="778"/>
      <c r="Q438" s="778"/>
      <c r="R438" s="778"/>
      <c r="S438" s="1042"/>
    </row>
    <row r="439" spans="2:19" x14ac:dyDescent="0.35">
      <c r="B439" s="1019" t="str">
        <f t="shared" si="5"/>
        <v>Vehicles</v>
      </c>
      <c r="C439" s="778"/>
      <c r="D439" s="778"/>
      <c r="E439" s="778"/>
      <c r="F439" s="778"/>
      <c r="G439" s="778"/>
      <c r="H439" s="778"/>
      <c r="I439" s="778"/>
      <c r="J439" s="778"/>
      <c r="K439" s="778"/>
      <c r="L439" s="778"/>
      <c r="M439" s="778"/>
      <c r="N439" s="883">
        <f>+Capitalisation!Z14</f>
        <v>0</v>
      </c>
      <c r="O439" s="778"/>
      <c r="P439" s="778"/>
      <c r="Q439" s="778"/>
      <c r="R439" s="778"/>
      <c r="S439" s="1042"/>
    </row>
    <row r="440" spans="2:19" x14ac:dyDescent="0.35">
      <c r="B440" s="1019" t="str">
        <f t="shared" si="5"/>
        <v>I.T. equipments</v>
      </c>
      <c r="C440" s="778"/>
      <c r="D440" s="778"/>
      <c r="E440" s="778"/>
      <c r="F440" s="778"/>
      <c r="G440" s="778"/>
      <c r="H440" s="778"/>
      <c r="I440" s="778"/>
      <c r="J440" s="778"/>
      <c r="K440" s="778"/>
      <c r="L440" s="778"/>
      <c r="M440" s="778"/>
      <c r="N440" s="883">
        <f>+Capitalisation!Z16</f>
        <v>3.5545362499999997E-2</v>
      </c>
      <c r="O440" s="778"/>
      <c r="P440" s="778"/>
      <c r="Q440" s="778"/>
      <c r="R440" s="778"/>
      <c r="S440" s="1042"/>
    </row>
    <row r="441" spans="2:19" x14ac:dyDescent="0.35">
      <c r="B441" s="1019" t="str">
        <f t="shared" si="5"/>
        <v>Office furniture and fittings</v>
      </c>
      <c r="C441" s="778"/>
      <c r="D441" s="778"/>
      <c r="E441" s="778"/>
      <c r="F441" s="1024"/>
      <c r="G441" s="1011"/>
      <c r="H441" s="778"/>
      <c r="I441" s="778"/>
      <c r="J441" s="1011"/>
      <c r="K441" s="778"/>
      <c r="L441" s="778"/>
      <c r="M441" s="778"/>
      <c r="N441" s="883">
        <f>+Capitalisation!Z17</f>
        <v>0</v>
      </c>
      <c r="O441" s="778"/>
      <c r="P441" s="778"/>
      <c r="Q441" s="778"/>
      <c r="R441" s="778"/>
      <c r="S441" s="1042"/>
    </row>
    <row r="442" spans="2:19" x14ac:dyDescent="0.35">
      <c r="B442" s="1019" t="str">
        <f t="shared" si="5"/>
        <v>Office equipments</v>
      </c>
      <c r="C442" s="778"/>
      <c r="D442" s="778"/>
      <c r="E442" s="778"/>
      <c r="F442" s="778"/>
      <c r="G442" s="778"/>
      <c r="H442" s="778"/>
      <c r="I442" s="778"/>
      <c r="J442" s="778"/>
      <c r="K442" s="778"/>
      <c r="L442" s="778"/>
      <c r="M442" s="778"/>
      <c r="N442" s="883">
        <f>+Capitalisation!Z18</f>
        <v>8.5004999999999998E-4</v>
      </c>
      <c r="O442" s="778"/>
      <c r="P442" s="778"/>
      <c r="Q442" s="778"/>
      <c r="R442" s="778"/>
      <c r="S442" s="1042"/>
    </row>
    <row r="443" spans="2:19" x14ac:dyDescent="0.35">
      <c r="B443" s="1019" t="str">
        <f t="shared" si="5"/>
        <v>Software Licenses</v>
      </c>
      <c r="C443" s="778"/>
      <c r="D443" s="778"/>
      <c r="E443" s="778"/>
      <c r="F443" s="1024"/>
      <c r="G443" s="1011"/>
      <c r="H443" s="778"/>
      <c r="I443" s="778"/>
      <c r="J443" s="1011"/>
      <c r="K443" s="778"/>
      <c r="L443" s="778"/>
      <c r="M443" s="778"/>
      <c r="N443" s="883">
        <f>+Capitalisation!Z19</f>
        <v>0</v>
      </c>
      <c r="O443" s="778"/>
      <c r="P443" s="778"/>
      <c r="Q443" s="778"/>
      <c r="R443" s="778"/>
      <c r="S443" s="1042"/>
    </row>
    <row r="444" spans="2:19" x14ac:dyDescent="0.35">
      <c r="B444" s="1023"/>
      <c r="C444" s="778"/>
      <c r="D444" s="778"/>
      <c r="E444" s="778"/>
      <c r="F444" s="437"/>
      <c r="G444" s="778"/>
      <c r="H444" s="778"/>
      <c r="I444" s="778"/>
      <c r="J444" s="778"/>
      <c r="K444" s="778"/>
      <c r="L444" s="778"/>
      <c r="M444" s="778"/>
      <c r="N444" s="778"/>
      <c r="O444" s="778"/>
      <c r="P444" s="778"/>
      <c r="Q444" s="778"/>
      <c r="R444" s="778"/>
      <c r="S444" s="1042"/>
    </row>
    <row r="445" spans="2:19" x14ac:dyDescent="0.35">
      <c r="B445" s="1006" t="s">
        <v>114</v>
      </c>
      <c r="C445" s="778"/>
      <c r="D445" s="778"/>
      <c r="E445" s="778"/>
      <c r="F445" s="437"/>
      <c r="G445" s="778"/>
      <c r="H445" s="778"/>
      <c r="I445" s="778"/>
      <c r="J445" s="778"/>
      <c r="K445" s="778"/>
      <c r="L445" s="778"/>
      <c r="M445" s="778"/>
      <c r="N445" s="778"/>
      <c r="O445" s="778"/>
      <c r="P445" s="778"/>
      <c r="Q445" s="778"/>
      <c r="R445" s="778"/>
      <c r="S445" s="1042"/>
    </row>
    <row r="446" spans="2:19" x14ac:dyDescent="0.35">
      <c r="B446" s="779" t="s">
        <v>479</v>
      </c>
      <c r="C446" s="778"/>
      <c r="D446" s="778"/>
      <c r="E446" s="778"/>
      <c r="F446" s="437"/>
      <c r="G446" s="778"/>
      <c r="H446" s="778"/>
      <c r="I446" s="778"/>
      <c r="J446" s="778"/>
      <c r="K446" s="778"/>
      <c r="L446" s="778"/>
      <c r="M446" s="778"/>
      <c r="N446" s="778"/>
      <c r="O446" s="778"/>
      <c r="P446" s="778"/>
      <c r="Q446" s="778"/>
      <c r="R446" s="778"/>
      <c r="S446" s="1042"/>
    </row>
    <row r="447" spans="2:19" x14ac:dyDescent="0.35">
      <c r="B447" s="1019" t="str">
        <f t="shared" ref="B447:B452" si="6">+B438</f>
        <v>Meters</v>
      </c>
      <c r="C447" s="778"/>
      <c r="D447" s="778"/>
      <c r="E447" s="778"/>
      <c r="F447" s="778"/>
      <c r="G447" s="778"/>
      <c r="H447" s="778"/>
      <c r="I447" s="778"/>
      <c r="J447" s="778"/>
      <c r="K447" s="778"/>
      <c r="L447" s="778"/>
      <c r="M447" s="778"/>
      <c r="N447" s="883">
        <f>+Capitalisation!AC12</f>
        <v>0</v>
      </c>
      <c r="O447" s="778"/>
      <c r="P447" s="778"/>
      <c r="Q447" s="778"/>
      <c r="R447" s="778"/>
      <c r="S447" s="1042"/>
    </row>
    <row r="448" spans="2:19" x14ac:dyDescent="0.35">
      <c r="B448" s="1019" t="str">
        <f t="shared" si="6"/>
        <v>Vehicles</v>
      </c>
      <c r="C448" s="778"/>
      <c r="D448" s="778"/>
      <c r="E448" s="778"/>
      <c r="F448" s="778"/>
      <c r="G448" s="778"/>
      <c r="H448" s="778"/>
      <c r="I448" s="778"/>
      <c r="J448" s="778"/>
      <c r="K448" s="778"/>
      <c r="L448" s="778"/>
      <c r="M448" s="778"/>
      <c r="N448" s="883">
        <f>+Capitalisation!AC14</f>
        <v>0</v>
      </c>
      <c r="O448" s="778"/>
      <c r="P448" s="778"/>
      <c r="Q448" s="778"/>
      <c r="R448" s="778"/>
      <c r="S448" s="1042"/>
    </row>
    <row r="449" spans="2:19" x14ac:dyDescent="0.35">
      <c r="B449" s="1019" t="str">
        <f t="shared" si="6"/>
        <v>I.T. equipments</v>
      </c>
      <c r="C449" s="778"/>
      <c r="D449" s="778"/>
      <c r="E449" s="778"/>
      <c r="F449" s="778"/>
      <c r="G449" s="778"/>
      <c r="H449" s="778"/>
      <c r="I449" s="778"/>
      <c r="J449" s="778"/>
      <c r="K449" s="778"/>
      <c r="L449" s="778"/>
      <c r="M449" s="778"/>
      <c r="N449" s="883">
        <f>+Capitalisation!AC16</f>
        <v>5.2556599999999997E-3</v>
      </c>
      <c r="O449" s="778"/>
      <c r="P449" s="778"/>
      <c r="Q449" s="778"/>
      <c r="R449" s="778"/>
      <c r="S449" s="1042"/>
    </row>
    <row r="450" spans="2:19" x14ac:dyDescent="0.35">
      <c r="B450" s="1019" t="str">
        <f t="shared" si="6"/>
        <v>Office furniture and fittings</v>
      </c>
      <c r="C450" s="778"/>
      <c r="D450" s="778"/>
      <c r="E450" s="778"/>
      <c r="F450" s="1024"/>
      <c r="G450" s="1011"/>
      <c r="H450" s="778"/>
      <c r="I450" s="778"/>
      <c r="J450" s="1011"/>
      <c r="K450" s="778"/>
      <c r="L450" s="778"/>
      <c r="M450" s="778"/>
      <c r="N450" s="883">
        <f>+Capitalisation!AC17</f>
        <v>5.2214999999999996E-3</v>
      </c>
      <c r="O450" s="778"/>
      <c r="P450" s="778"/>
      <c r="Q450" s="778"/>
      <c r="R450" s="778"/>
      <c r="S450" s="1042"/>
    </row>
    <row r="451" spans="2:19" x14ac:dyDescent="0.35">
      <c r="B451" s="1019" t="str">
        <f t="shared" si="6"/>
        <v>Office equipments</v>
      </c>
      <c r="C451" s="778"/>
      <c r="D451" s="778"/>
      <c r="E451" s="778"/>
      <c r="F451" s="778"/>
      <c r="G451" s="778"/>
      <c r="H451" s="778"/>
      <c r="I451" s="778"/>
      <c r="J451" s="778"/>
      <c r="K451" s="778"/>
      <c r="L451" s="778"/>
      <c r="M451" s="778"/>
      <c r="N451" s="883">
        <f>+Capitalisation!AC18</f>
        <v>2.5886250000000002E-3</v>
      </c>
      <c r="O451" s="778"/>
      <c r="P451" s="778"/>
      <c r="Q451" s="778"/>
      <c r="R451" s="778"/>
      <c r="S451" s="1042"/>
    </row>
    <row r="452" spans="2:19" x14ac:dyDescent="0.35">
      <c r="B452" s="1019" t="str">
        <f t="shared" si="6"/>
        <v>Software Licenses</v>
      </c>
      <c r="C452" s="778"/>
      <c r="D452" s="778"/>
      <c r="E452" s="778"/>
      <c r="F452" s="1024"/>
      <c r="G452" s="1011"/>
      <c r="H452" s="778"/>
      <c r="I452" s="778"/>
      <c r="J452" s="1011"/>
      <c r="K452" s="778"/>
      <c r="L452" s="778"/>
      <c r="M452" s="778"/>
      <c r="N452" s="883">
        <f>+Capitalisation!AC19</f>
        <v>7.7879999999999998E-3</v>
      </c>
      <c r="O452" s="778"/>
      <c r="P452" s="778"/>
      <c r="Q452" s="778"/>
      <c r="R452" s="778"/>
      <c r="S452" s="1042"/>
    </row>
    <row r="453" spans="2:19" x14ac:dyDescent="0.35">
      <c r="B453" s="1026"/>
      <c r="C453" s="778"/>
      <c r="D453" s="778"/>
      <c r="E453" s="778"/>
      <c r="F453" s="1024"/>
      <c r="G453" s="1011"/>
      <c r="H453" s="778"/>
      <c r="I453" s="778"/>
      <c r="J453" s="1011"/>
      <c r="K453" s="778"/>
      <c r="L453" s="778"/>
      <c r="M453" s="437"/>
      <c r="N453" s="778"/>
      <c r="O453" s="778"/>
      <c r="P453" s="778"/>
      <c r="Q453" s="778"/>
      <c r="R453" s="778"/>
      <c r="S453" s="1042"/>
    </row>
    <row r="454" spans="2:19" x14ac:dyDescent="0.35">
      <c r="B454" s="1006" t="s">
        <v>123</v>
      </c>
      <c r="C454" s="778"/>
      <c r="D454" s="778"/>
      <c r="E454" s="778"/>
      <c r="F454" s="778"/>
      <c r="G454" s="778"/>
      <c r="H454" s="778"/>
      <c r="I454" s="778"/>
      <c r="J454" s="778"/>
      <c r="K454" s="778"/>
      <c r="L454" s="778"/>
      <c r="M454" s="778"/>
      <c r="N454" s="884"/>
      <c r="O454" s="1014"/>
      <c r="P454" s="1014"/>
      <c r="Q454" s="1014"/>
      <c r="R454" s="1014"/>
      <c r="S454" s="1014"/>
    </row>
    <row r="455" spans="2:19" x14ac:dyDescent="0.35">
      <c r="B455" s="1006" t="s">
        <v>476</v>
      </c>
      <c r="C455" s="778"/>
      <c r="D455" s="778"/>
      <c r="E455" s="778"/>
      <c r="F455" s="778"/>
      <c r="G455" s="778"/>
      <c r="H455" s="778"/>
      <c r="I455" s="778"/>
      <c r="J455" s="778"/>
      <c r="K455" s="778"/>
      <c r="L455" s="778"/>
      <c r="M455" s="778"/>
      <c r="N455" s="884"/>
      <c r="O455" s="1014"/>
      <c r="P455" s="1014"/>
      <c r="Q455" s="1014"/>
      <c r="R455" s="1014"/>
      <c r="S455" s="1014"/>
    </row>
    <row r="456" spans="2:19" x14ac:dyDescent="0.35">
      <c r="B456" s="1007" t="s">
        <v>477</v>
      </c>
      <c r="C456" s="778"/>
      <c r="D456" s="778"/>
      <c r="E456" s="778"/>
      <c r="F456" s="778"/>
      <c r="G456" s="778"/>
      <c r="H456" s="778"/>
      <c r="I456" s="778"/>
      <c r="J456" s="778"/>
      <c r="K456" s="778"/>
      <c r="L456" s="778"/>
      <c r="M456" s="778"/>
      <c r="N456" s="884"/>
      <c r="O456" s="1014"/>
      <c r="P456" s="1014"/>
      <c r="Q456" s="1014"/>
      <c r="R456" s="1014"/>
      <c r="S456" s="1014"/>
    </row>
    <row r="457" spans="2:19" x14ac:dyDescent="0.35">
      <c r="B457" s="2015" t="s">
        <v>1393</v>
      </c>
      <c r="C457" s="2017" t="s">
        <v>1394</v>
      </c>
      <c r="D457" s="1003" t="s">
        <v>1395</v>
      </c>
      <c r="E457" s="1010">
        <v>43067</v>
      </c>
      <c r="F457" s="778" t="s">
        <v>1396</v>
      </c>
      <c r="G457" s="779"/>
      <c r="H457" s="779"/>
      <c r="I457" s="779"/>
      <c r="J457" s="779"/>
      <c r="K457" s="779"/>
      <c r="L457" s="779"/>
      <c r="M457" s="779"/>
      <c r="N457" s="884"/>
      <c r="O457" s="1014"/>
      <c r="P457" s="1014"/>
      <c r="Q457" s="1014"/>
      <c r="R457" s="1014"/>
      <c r="S457" s="1014"/>
    </row>
    <row r="458" spans="2:19" x14ac:dyDescent="0.35">
      <c r="B458" s="2016"/>
      <c r="C458" s="2018"/>
      <c r="D458" s="1003"/>
      <c r="E458" s="1010"/>
      <c r="F458" s="778"/>
      <c r="G458" s="779"/>
      <c r="H458" s="779"/>
      <c r="I458" s="779"/>
      <c r="J458" s="779"/>
      <c r="K458" s="779"/>
      <c r="L458" s="779"/>
      <c r="M458" s="779"/>
      <c r="N458" s="1172"/>
      <c r="O458" s="1014"/>
      <c r="P458" s="1014"/>
      <c r="Q458" s="1014"/>
      <c r="R458" s="1014"/>
      <c r="S458" s="1014"/>
    </row>
    <row r="459" spans="2:19" x14ac:dyDescent="0.35">
      <c r="B459" s="1006"/>
      <c r="C459" s="778"/>
      <c r="D459" s="778"/>
      <c r="E459" s="778"/>
      <c r="F459" s="778"/>
      <c r="G459" s="778"/>
      <c r="H459" s="778"/>
      <c r="I459" s="778"/>
      <c r="J459" s="778"/>
      <c r="K459" s="778"/>
      <c r="L459" s="778"/>
      <c r="M459" s="778"/>
      <c r="N459" s="884"/>
      <c r="O459" s="1014"/>
      <c r="P459" s="1014"/>
      <c r="Q459" s="1014"/>
      <c r="R459" s="1014"/>
      <c r="S459" s="1014"/>
    </row>
    <row r="460" spans="2:19" x14ac:dyDescent="0.35">
      <c r="B460" s="779" t="s">
        <v>479</v>
      </c>
      <c r="C460" s="778"/>
      <c r="D460" s="778"/>
      <c r="E460" s="778"/>
      <c r="F460" s="778"/>
      <c r="G460" s="778"/>
      <c r="H460" s="778"/>
      <c r="I460" s="778"/>
      <c r="J460" s="778"/>
      <c r="K460" s="778"/>
      <c r="L460" s="778"/>
      <c r="M460" s="778"/>
      <c r="N460" s="884"/>
      <c r="O460" s="1014"/>
      <c r="P460" s="1014"/>
      <c r="Q460" s="1014"/>
      <c r="R460" s="1014"/>
      <c r="S460" s="1014"/>
    </row>
    <row r="461" spans="2:19" x14ac:dyDescent="0.35">
      <c r="B461" s="1019" t="str">
        <f>+B447</f>
        <v>Meters</v>
      </c>
      <c r="C461" s="778"/>
      <c r="D461" s="778"/>
      <c r="E461" s="778"/>
      <c r="F461" s="1024"/>
      <c r="G461" s="1011"/>
      <c r="H461" s="778"/>
      <c r="I461" s="778"/>
      <c r="J461" s="1011"/>
      <c r="K461" s="778"/>
      <c r="L461" s="778"/>
      <c r="M461" s="702"/>
      <c r="N461" s="884">
        <f>1079800/10^7</f>
        <v>0.10798000000000001</v>
      </c>
      <c r="O461" s="1014"/>
      <c r="P461" s="1014"/>
      <c r="Q461" s="1022"/>
      <c r="R461" s="1022"/>
      <c r="S461" s="1014"/>
    </row>
    <row r="462" spans="2:19" x14ac:dyDescent="0.35">
      <c r="B462" s="1019" t="str">
        <f>+B448</f>
        <v>Vehicles</v>
      </c>
      <c r="C462" s="778"/>
      <c r="D462" s="778"/>
      <c r="E462" s="778"/>
      <c r="F462" s="1024"/>
      <c r="G462" s="1011"/>
      <c r="H462" s="778"/>
      <c r="I462" s="778"/>
      <c r="J462" s="1011"/>
      <c r="K462" s="778"/>
      <c r="L462" s="778"/>
      <c r="M462" s="702"/>
      <c r="N462" s="884"/>
      <c r="O462" s="1014"/>
      <c r="P462" s="1014"/>
      <c r="Q462" s="1022"/>
      <c r="R462" s="1022"/>
      <c r="S462" s="1014"/>
    </row>
    <row r="463" spans="2:19" x14ac:dyDescent="0.35">
      <c r="B463" s="1019" t="str">
        <f>+B449</f>
        <v>I.T. equipments</v>
      </c>
      <c r="C463" s="778"/>
      <c r="D463" s="778"/>
      <c r="E463" s="778"/>
      <c r="F463" s="1024"/>
      <c r="G463" s="1011"/>
      <c r="H463" s="778"/>
      <c r="I463" s="778"/>
      <c r="J463" s="1011"/>
      <c r="K463" s="778"/>
      <c r="L463" s="778"/>
      <c r="M463" s="702"/>
      <c r="N463" s="884"/>
      <c r="O463" s="1014"/>
      <c r="P463" s="1014"/>
      <c r="Q463" s="1022"/>
      <c r="R463" s="1022"/>
      <c r="S463" s="1014"/>
    </row>
    <row r="464" spans="2:19" x14ac:dyDescent="0.35">
      <c r="B464" s="1019" t="str">
        <f>+B450</f>
        <v>Office furniture and fittings</v>
      </c>
      <c r="C464" s="778"/>
      <c r="D464" s="778"/>
      <c r="E464" s="778"/>
      <c r="F464" s="1024"/>
      <c r="G464" s="1011"/>
      <c r="H464" s="778"/>
      <c r="I464" s="778"/>
      <c r="J464" s="1011"/>
      <c r="K464" s="778"/>
      <c r="L464" s="778"/>
      <c r="M464" s="702"/>
      <c r="N464" s="884"/>
      <c r="O464" s="1014"/>
      <c r="P464" s="1014"/>
      <c r="Q464" s="1022"/>
      <c r="R464" s="1022"/>
      <c r="S464" s="1014"/>
    </row>
    <row r="465" spans="2:19" x14ac:dyDescent="0.35">
      <c r="B465" s="1019" t="str">
        <f>+B451</f>
        <v>Office equipments</v>
      </c>
      <c r="C465" s="778"/>
      <c r="D465" s="778"/>
      <c r="E465" s="778"/>
      <c r="F465" s="778"/>
      <c r="G465" s="778"/>
      <c r="H465" s="778"/>
      <c r="I465" s="778"/>
      <c r="J465" s="778"/>
      <c r="K465" s="778"/>
      <c r="L465" s="778"/>
      <c r="M465" s="778"/>
      <c r="N465" s="884"/>
      <c r="O465" s="1014"/>
      <c r="P465" s="1014"/>
      <c r="Q465" s="1014"/>
      <c r="R465" s="1014"/>
      <c r="S465" s="1014"/>
    </row>
    <row r="466" spans="2:19" x14ac:dyDescent="0.35">
      <c r="B466" s="778"/>
      <c r="C466" s="779"/>
      <c r="D466" s="779"/>
      <c r="E466" s="779"/>
      <c r="F466" s="779"/>
      <c r="G466" s="779"/>
      <c r="H466" s="779"/>
      <c r="I466" s="779"/>
      <c r="J466" s="779"/>
      <c r="K466" s="779"/>
      <c r="L466" s="779"/>
      <c r="M466" s="779"/>
      <c r="N466" s="779"/>
      <c r="O466" s="779"/>
      <c r="P466" s="779"/>
      <c r="Q466" s="779"/>
      <c r="R466" s="779"/>
      <c r="S466" s="1043"/>
    </row>
    <row r="467" spans="2:19" x14ac:dyDescent="0.35">
      <c r="B467" s="1006" t="s">
        <v>124</v>
      </c>
      <c r="C467" s="778"/>
      <c r="D467" s="778"/>
      <c r="E467" s="778"/>
      <c r="F467" s="778"/>
      <c r="G467" s="778"/>
      <c r="H467" s="778"/>
      <c r="I467" s="778"/>
      <c r="J467" s="778"/>
      <c r="K467" s="778"/>
      <c r="L467" s="778"/>
      <c r="M467" s="778"/>
      <c r="N467" s="884"/>
      <c r="O467" s="1014"/>
      <c r="P467" s="1014"/>
      <c r="Q467" s="1014"/>
      <c r="R467" s="1014"/>
      <c r="S467" s="1014"/>
    </row>
    <row r="468" spans="2:19" x14ac:dyDescent="0.35">
      <c r="B468" s="1006" t="s">
        <v>476</v>
      </c>
      <c r="C468" s="778"/>
      <c r="D468" s="778"/>
      <c r="E468" s="778"/>
      <c r="F468" s="778"/>
      <c r="G468" s="778"/>
      <c r="H468" s="778"/>
      <c r="I468" s="778"/>
      <c r="J468" s="778"/>
      <c r="K468" s="778"/>
      <c r="L468" s="778"/>
      <c r="M468" s="778"/>
      <c r="N468" s="884"/>
      <c r="O468" s="1014"/>
      <c r="P468" s="1014"/>
      <c r="Q468" s="1014"/>
      <c r="R468" s="1014"/>
      <c r="S468" s="1014"/>
    </row>
    <row r="469" spans="2:19" x14ac:dyDescent="0.35">
      <c r="B469" s="1007" t="s">
        <v>477</v>
      </c>
      <c r="C469" s="778"/>
      <c r="D469" s="778"/>
      <c r="E469" s="778"/>
      <c r="F469" s="778"/>
      <c r="G469" s="778"/>
      <c r="H469" s="778"/>
      <c r="I469" s="778"/>
      <c r="J469" s="778"/>
      <c r="K469" s="778"/>
      <c r="L469" s="778"/>
      <c r="M469" s="778"/>
      <c r="N469" s="884"/>
      <c r="O469" s="1014"/>
      <c r="P469" s="1014"/>
      <c r="Q469" s="1014"/>
      <c r="R469" s="1014"/>
      <c r="S469" s="1014"/>
    </row>
    <row r="470" spans="2:19" x14ac:dyDescent="0.35">
      <c r="B470" s="2015" t="s">
        <v>1393</v>
      </c>
      <c r="C470" s="2017" t="s">
        <v>1394</v>
      </c>
      <c r="D470" s="1003" t="s">
        <v>1395</v>
      </c>
      <c r="E470" s="1010">
        <v>43067</v>
      </c>
      <c r="F470" s="778" t="s">
        <v>1396</v>
      </c>
      <c r="G470" s="779"/>
      <c r="H470" s="779"/>
      <c r="I470" s="779"/>
      <c r="J470" s="779"/>
      <c r="K470" s="779"/>
      <c r="L470" s="779"/>
      <c r="M470" s="779"/>
      <c r="N470" s="884"/>
      <c r="O470" s="1014"/>
      <c r="P470" s="1014"/>
      <c r="Q470" s="1014"/>
      <c r="R470" s="1014"/>
      <c r="S470" s="1014"/>
    </row>
    <row r="471" spans="2:19" x14ac:dyDescent="0.35">
      <c r="B471" s="2016"/>
      <c r="C471" s="2018"/>
      <c r="D471" s="1003"/>
      <c r="E471" s="1010"/>
      <c r="F471" s="778"/>
      <c r="G471" s="779"/>
      <c r="H471" s="779"/>
      <c r="I471" s="779"/>
      <c r="J471" s="779"/>
      <c r="K471" s="779"/>
      <c r="L471" s="779"/>
      <c r="M471" s="779"/>
      <c r="N471" s="1172"/>
      <c r="O471" s="1014"/>
      <c r="P471" s="1014"/>
      <c r="Q471" s="1014"/>
      <c r="R471" s="1014"/>
      <c r="S471" s="1014"/>
    </row>
    <row r="472" spans="2:19" x14ac:dyDescent="0.35">
      <c r="B472" s="1006"/>
      <c r="C472" s="778"/>
      <c r="D472" s="778"/>
      <c r="E472" s="778"/>
      <c r="F472" s="778"/>
      <c r="G472" s="778"/>
      <c r="H472" s="778"/>
      <c r="I472" s="778"/>
      <c r="J472" s="778"/>
      <c r="K472" s="778"/>
      <c r="L472" s="778"/>
      <c r="M472" s="778"/>
      <c r="N472" s="884"/>
      <c r="O472" s="1014"/>
      <c r="P472" s="1014"/>
      <c r="Q472" s="1014"/>
      <c r="R472" s="1014"/>
      <c r="S472" s="1014"/>
    </row>
    <row r="473" spans="2:19" x14ac:dyDescent="0.35">
      <c r="B473" s="779" t="s">
        <v>479</v>
      </c>
      <c r="C473" s="778"/>
      <c r="D473" s="778"/>
      <c r="E473" s="778"/>
      <c r="F473" s="778"/>
      <c r="G473" s="778"/>
      <c r="H473" s="778"/>
      <c r="I473" s="778"/>
      <c r="J473" s="778"/>
      <c r="K473" s="778"/>
      <c r="L473" s="778"/>
      <c r="M473" s="778"/>
      <c r="N473" s="884"/>
      <c r="O473" s="1014"/>
      <c r="P473" s="1014"/>
      <c r="Q473" s="1014"/>
      <c r="R473" s="1014"/>
      <c r="S473" s="1014"/>
    </row>
    <row r="474" spans="2:19" x14ac:dyDescent="0.35">
      <c r="B474" s="1019" t="str">
        <f>+B461</f>
        <v>Meters</v>
      </c>
      <c r="C474" s="778"/>
      <c r="D474" s="778"/>
      <c r="E474" s="778"/>
      <c r="F474" s="1024"/>
      <c r="G474" s="1011"/>
      <c r="H474" s="778"/>
      <c r="I474" s="778"/>
      <c r="J474" s="1011"/>
      <c r="K474" s="778"/>
      <c r="L474" s="778"/>
      <c r="M474" s="702"/>
      <c r="N474" s="884">
        <f>2194225/10^7</f>
        <v>0.21942249999999999</v>
      </c>
      <c r="O474" s="1014"/>
      <c r="P474" s="1014"/>
      <c r="Q474" s="1022"/>
      <c r="R474" s="1022"/>
      <c r="S474" s="1014"/>
    </row>
    <row r="475" spans="2:19" x14ac:dyDescent="0.35">
      <c r="B475" s="1019" t="str">
        <f>+B462</f>
        <v>Vehicles</v>
      </c>
      <c r="C475" s="778"/>
      <c r="D475" s="778"/>
      <c r="E475" s="778"/>
      <c r="F475" s="1024"/>
      <c r="G475" s="1011"/>
      <c r="H475" s="778"/>
      <c r="I475" s="778"/>
      <c r="J475" s="1011"/>
      <c r="K475" s="778"/>
      <c r="L475" s="778"/>
      <c r="M475" s="702"/>
      <c r="N475" s="884"/>
      <c r="O475" s="1014"/>
      <c r="P475" s="1014"/>
      <c r="Q475" s="1022"/>
      <c r="R475" s="1022"/>
      <c r="S475" s="1014"/>
    </row>
    <row r="476" spans="2:19" x14ac:dyDescent="0.35">
      <c r="B476" s="1019" t="str">
        <f>+B463</f>
        <v>I.T. equipments</v>
      </c>
      <c r="C476" s="778"/>
      <c r="D476" s="778"/>
      <c r="E476" s="778"/>
      <c r="F476" s="1024"/>
      <c r="G476" s="1011"/>
      <c r="H476" s="778"/>
      <c r="I476" s="778"/>
      <c r="J476" s="1011"/>
      <c r="K476" s="778"/>
      <c r="L476" s="778"/>
      <c r="M476" s="702"/>
      <c r="N476" s="884"/>
      <c r="O476" s="1014"/>
      <c r="P476" s="1014"/>
      <c r="Q476" s="1022"/>
      <c r="R476" s="1022"/>
      <c r="S476" s="1014"/>
    </row>
    <row r="477" spans="2:19" x14ac:dyDescent="0.35">
      <c r="B477" s="1019" t="str">
        <f>+B464</f>
        <v>Office furniture and fittings</v>
      </c>
      <c r="C477" s="778"/>
      <c r="D477" s="778"/>
      <c r="E477" s="778"/>
      <c r="F477" s="1024"/>
      <c r="G477" s="1011"/>
      <c r="H477" s="778"/>
      <c r="I477" s="778"/>
      <c r="J477" s="1011"/>
      <c r="K477" s="778"/>
      <c r="L477" s="778"/>
      <c r="M477" s="702"/>
      <c r="N477" s="884"/>
      <c r="O477" s="1014"/>
      <c r="P477" s="1014"/>
      <c r="Q477" s="1022"/>
      <c r="R477" s="1022"/>
      <c r="S477" s="1014"/>
    </row>
    <row r="478" spans="2:19" x14ac:dyDescent="0.35">
      <c r="B478" s="1019" t="str">
        <f>+B465</f>
        <v>Office equipments</v>
      </c>
      <c r="C478" s="778"/>
      <c r="D478" s="778"/>
      <c r="E478" s="778"/>
      <c r="F478" s="778"/>
      <c r="G478" s="778"/>
      <c r="H478" s="778"/>
      <c r="I478" s="778"/>
      <c r="J478" s="778"/>
      <c r="K478" s="778"/>
      <c r="L478" s="778"/>
      <c r="M478" s="778"/>
      <c r="N478" s="884"/>
      <c r="O478" s="1014"/>
      <c r="P478" s="1014"/>
      <c r="Q478" s="1014"/>
      <c r="R478" s="1014"/>
      <c r="S478" s="1014"/>
    </row>
    <row r="479" spans="2:19" x14ac:dyDescent="0.35">
      <c r="B479" s="1023"/>
      <c r="C479" s="778"/>
      <c r="D479" s="778"/>
      <c r="E479" s="778"/>
      <c r="F479" s="778"/>
      <c r="G479" s="778"/>
      <c r="H479" s="778"/>
      <c r="I479" s="778"/>
      <c r="J479" s="778"/>
      <c r="K479" s="778"/>
      <c r="L479" s="778"/>
      <c r="M479" s="778"/>
      <c r="N479" s="884"/>
      <c r="O479" s="1014"/>
      <c r="P479" s="1014"/>
      <c r="Q479" s="1014"/>
      <c r="R479" s="1014"/>
      <c r="S479" s="1014"/>
    </row>
    <row r="480" spans="2:19" x14ac:dyDescent="0.35">
      <c r="B480" s="1006" t="s">
        <v>125</v>
      </c>
      <c r="C480" s="778"/>
      <c r="D480" s="778"/>
      <c r="E480" s="778"/>
      <c r="F480" s="778"/>
      <c r="G480" s="778"/>
      <c r="H480" s="778"/>
      <c r="I480" s="778"/>
      <c r="J480" s="778"/>
      <c r="K480" s="778"/>
      <c r="L480" s="778"/>
      <c r="M480" s="778"/>
      <c r="N480" s="884"/>
      <c r="O480" s="1014"/>
      <c r="P480" s="1014"/>
      <c r="Q480" s="1014"/>
      <c r="R480" s="1014"/>
      <c r="S480" s="1014"/>
    </row>
    <row r="481" spans="2:19" x14ac:dyDescent="0.35">
      <c r="B481" s="1006" t="s">
        <v>476</v>
      </c>
      <c r="C481" s="778"/>
      <c r="D481" s="778"/>
      <c r="E481" s="778"/>
      <c r="F481" s="778"/>
      <c r="G481" s="778"/>
      <c r="H481" s="778"/>
      <c r="I481" s="778"/>
      <c r="J481" s="778"/>
      <c r="K481" s="778"/>
      <c r="L481" s="778"/>
      <c r="M481" s="778"/>
      <c r="N481" s="884"/>
      <c r="O481" s="1014"/>
      <c r="P481" s="1014"/>
      <c r="Q481" s="1014"/>
      <c r="R481" s="1014"/>
      <c r="S481" s="1014"/>
    </row>
    <row r="482" spans="2:19" x14ac:dyDescent="0.35">
      <c r="B482" s="1007" t="s">
        <v>477</v>
      </c>
      <c r="C482" s="778"/>
      <c r="D482" s="778"/>
      <c r="E482" s="778"/>
      <c r="F482" s="778"/>
      <c r="G482" s="778"/>
      <c r="H482" s="778"/>
      <c r="I482" s="778"/>
      <c r="J482" s="778"/>
      <c r="K482" s="778"/>
      <c r="L482" s="778"/>
      <c r="M482" s="778"/>
      <c r="N482" s="884"/>
      <c r="O482" s="1014"/>
      <c r="P482" s="1014"/>
      <c r="Q482" s="1014"/>
      <c r="R482" s="1014"/>
      <c r="S482" s="1014"/>
    </row>
    <row r="483" spans="2:19" x14ac:dyDescent="0.35">
      <c r="B483" s="2015" t="s">
        <v>1393</v>
      </c>
      <c r="C483" s="2017" t="s">
        <v>1394</v>
      </c>
      <c r="D483" s="1003" t="s">
        <v>1395</v>
      </c>
      <c r="E483" s="1010">
        <v>43067</v>
      </c>
      <c r="F483" s="778" t="s">
        <v>1396</v>
      </c>
      <c r="G483" s="779"/>
      <c r="H483" s="779"/>
      <c r="I483" s="779"/>
      <c r="J483" s="779"/>
      <c r="K483" s="779"/>
      <c r="L483" s="779"/>
      <c r="M483" s="779"/>
      <c r="N483" s="884"/>
      <c r="O483" s="1014"/>
      <c r="P483" s="1014"/>
      <c r="Q483" s="1014"/>
      <c r="R483" s="1014"/>
      <c r="S483" s="1014"/>
    </row>
    <row r="484" spans="2:19" x14ac:dyDescent="0.35">
      <c r="B484" s="2016"/>
      <c r="C484" s="2018"/>
      <c r="D484" s="1003"/>
      <c r="E484" s="1010"/>
      <c r="F484" s="778"/>
      <c r="G484" s="779"/>
      <c r="H484" s="779"/>
      <c r="I484" s="779"/>
      <c r="J484" s="779"/>
      <c r="K484" s="779"/>
      <c r="L484" s="779"/>
      <c r="M484" s="779"/>
      <c r="N484" s="1172"/>
      <c r="O484" s="1014"/>
      <c r="P484" s="1014"/>
      <c r="Q484" s="1014"/>
      <c r="R484" s="1014"/>
      <c r="S484" s="1014"/>
    </row>
    <row r="485" spans="2:19" x14ac:dyDescent="0.35">
      <c r="B485" s="1006"/>
      <c r="C485" s="778"/>
      <c r="D485" s="778"/>
      <c r="E485" s="778"/>
      <c r="F485" s="778"/>
      <c r="G485" s="778"/>
      <c r="H485" s="778"/>
      <c r="I485" s="778"/>
      <c r="J485" s="778"/>
      <c r="K485" s="778"/>
      <c r="L485" s="778"/>
      <c r="M485" s="778"/>
      <c r="N485" s="884"/>
      <c r="O485" s="1014"/>
      <c r="P485" s="1014"/>
      <c r="Q485" s="1014"/>
      <c r="R485" s="1014"/>
      <c r="S485" s="1014"/>
    </row>
    <row r="486" spans="2:19" x14ac:dyDescent="0.35">
      <c r="B486" s="779" t="s">
        <v>479</v>
      </c>
      <c r="C486" s="778"/>
      <c r="D486" s="778"/>
      <c r="E486" s="778"/>
      <c r="F486" s="778"/>
      <c r="G486" s="778"/>
      <c r="H486" s="778"/>
      <c r="I486" s="778"/>
      <c r="J486" s="778"/>
      <c r="K486" s="778"/>
      <c r="L486" s="778"/>
      <c r="M486" s="778"/>
      <c r="N486" s="884"/>
      <c r="O486" s="1014"/>
      <c r="P486" s="1014"/>
      <c r="Q486" s="1014"/>
      <c r="R486" s="1014"/>
      <c r="S486" s="1014"/>
    </row>
    <row r="487" spans="2:19" x14ac:dyDescent="0.35">
      <c r="B487" s="1019" t="str">
        <f>+B474</f>
        <v>Meters</v>
      </c>
      <c r="C487" s="778"/>
      <c r="D487" s="778"/>
      <c r="E487" s="778"/>
      <c r="F487" s="1024"/>
      <c r="G487" s="1011"/>
      <c r="H487" s="778"/>
      <c r="I487" s="778"/>
      <c r="J487" s="1011"/>
      <c r="K487" s="778"/>
      <c r="L487" s="778"/>
      <c r="M487" s="702"/>
      <c r="N487" s="884">
        <f>2948769/10^7</f>
        <v>0.2948769</v>
      </c>
      <c r="O487" s="1014"/>
      <c r="P487" s="1014"/>
      <c r="Q487" s="1022"/>
      <c r="R487" s="1022"/>
      <c r="S487" s="1014"/>
    </row>
    <row r="488" spans="2:19" x14ac:dyDescent="0.35">
      <c r="B488" s="1019" t="str">
        <f>+B475</f>
        <v>Vehicles</v>
      </c>
      <c r="C488" s="778"/>
      <c r="D488" s="778"/>
      <c r="E488" s="778"/>
      <c r="F488" s="1024"/>
      <c r="G488" s="1011"/>
      <c r="H488" s="778"/>
      <c r="I488" s="778"/>
      <c r="J488" s="1011"/>
      <c r="K488" s="778"/>
      <c r="L488" s="778"/>
      <c r="M488" s="702"/>
      <c r="N488" s="884"/>
      <c r="O488" s="1014"/>
      <c r="P488" s="1014"/>
      <c r="Q488" s="1022"/>
      <c r="R488" s="1022"/>
      <c r="S488" s="1014"/>
    </row>
    <row r="489" spans="2:19" x14ac:dyDescent="0.35">
      <c r="B489" s="1019" t="str">
        <f>+B476</f>
        <v>I.T. equipments</v>
      </c>
      <c r="C489" s="778"/>
      <c r="D489" s="778"/>
      <c r="E489" s="778"/>
      <c r="F489" s="1024"/>
      <c r="G489" s="1011"/>
      <c r="H489" s="778"/>
      <c r="I489" s="778"/>
      <c r="J489" s="1011"/>
      <c r="K489" s="778"/>
      <c r="L489" s="778"/>
      <c r="M489" s="702"/>
      <c r="N489" s="884"/>
      <c r="O489" s="1014"/>
      <c r="P489" s="1014"/>
      <c r="Q489" s="1022"/>
      <c r="R489" s="1022"/>
      <c r="S489" s="1014"/>
    </row>
    <row r="490" spans="2:19" x14ac:dyDescent="0.35">
      <c r="B490" s="1019" t="str">
        <f>+B477</f>
        <v>Office furniture and fittings</v>
      </c>
      <c r="C490" s="778"/>
      <c r="D490" s="778"/>
      <c r="E490" s="778"/>
      <c r="F490" s="1024"/>
      <c r="G490" s="1011"/>
      <c r="H490" s="778"/>
      <c r="I490" s="778"/>
      <c r="J490" s="1011"/>
      <c r="K490" s="778"/>
      <c r="L490" s="778"/>
      <c r="M490" s="702"/>
      <c r="N490" s="884"/>
      <c r="O490" s="1014"/>
      <c r="P490" s="1014"/>
      <c r="Q490" s="1022"/>
      <c r="R490" s="1022"/>
      <c r="S490" s="1014"/>
    </row>
    <row r="491" spans="2:19" x14ac:dyDescent="0.35">
      <c r="B491" s="1019" t="str">
        <f>+B478</f>
        <v>Office equipments</v>
      </c>
      <c r="C491" s="778"/>
      <c r="D491" s="778"/>
      <c r="E491" s="778"/>
      <c r="F491" s="778"/>
      <c r="G491" s="778"/>
      <c r="H491" s="778"/>
      <c r="I491" s="778"/>
      <c r="J491" s="778"/>
      <c r="K491" s="778"/>
      <c r="L491" s="778"/>
      <c r="M491" s="778"/>
      <c r="N491" s="884"/>
      <c r="O491" s="1014"/>
      <c r="P491" s="1014"/>
      <c r="Q491" s="1014"/>
      <c r="R491" s="1014"/>
      <c r="S491" s="1014"/>
    </row>
    <row r="492" spans="2:19" x14ac:dyDescent="0.35">
      <c r="B492" s="1023"/>
      <c r="C492" s="778"/>
      <c r="D492" s="778"/>
      <c r="E492" s="778"/>
      <c r="F492" s="778"/>
      <c r="G492" s="778"/>
      <c r="H492" s="778"/>
      <c r="I492" s="778"/>
      <c r="J492" s="778"/>
      <c r="K492" s="778"/>
      <c r="L492" s="778"/>
      <c r="M492" s="778"/>
      <c r="N492" s="884"/>
      <c r="O492" s="1014"/>
      <c r="P492" s="1014"/>
      <c r="Q492" s="1014"/>
      <c r="R492" s="1014"/>
      <c r="S492" s="1014"/>
    </row>
    <row r="493" spans="2:19" x14ac:dyDescent="0.35">
      <c r="B493" s="1006" t="s">
        <v>126</v>
      </c>
      <c r="C493" s="778"/>
      <c r="D493" s="778"/>
      <c r="E493" s="778"/>
      <c r="F493" s="778"/>
      <c r="G493" s="778"/>
      <c r="H493" s="778"/>
      <c r="I493" s="778"/>
      <c r="J493" s="778"/>
      <c r="K493" s="778"/>
      <c r="L493" s="778"/>
      <c r="M493" s="778"/>
      <c r="N493" s="884"/>
      <c r="O493" s="1014"/>
      <c r="P493" s="1014"/>
      <c r="Q493" s="1014"/>
      <c r="R493" s="1014"/>
      <c r="S493" s="1014"/>
    </row>
    <row r="494" spans="2:19" x14ac:dyDescent="0.35">
      <c r="B494" s="1006" t="s">
        <v>476</v>
      </c>
      <c r="C494" s="778"/>
      <c r="D494" s="778"/>
      <c r="E494" s="778"/>
      <c r="F494" s="778"/>
      <c r="G494" s="778"/>
      <c r="H494" s="778"/>
      <c r="I494" s="778"/>
      <c r="J494" s="778"/>
      <c r="K494" s="778"/>
      <c r="L494" s="778"/>
      <c r="M494" s="778"/>
      <c r="N494" s="884"/>
      <c r="O494" s="1014"/>
      <c r="P494" s="1014"/>
      <c r="Q494" s="1014"/>
      <c r="R494" s="1014"/>
      <c r="S494" s="1014"/>
    </row>
    <row r="495" spans="2:19" x14ac:dyDescent="0.35">
      <c r="B495" s="1007" t="s">
        <v>477</v>
      </c>
      <c r="C495" s="778"/>
      <c r="D495" s="778"/>
      <c r="E495" s="778"/>
      <c r="F495" s="778"/>
      <c r="G495" s="778"/>
      <c r="H495" s="778"/>
      <c r="I495" s="778"/>
      <c r="J495" s="778"/>
      <c r="K495" s="778"/>
      <c r="L495" s="778"/>
      <c r="M495" s="778"/>
      <c r="N495" s="884"/>
      <c r="O495" s="1014"/>
      <c r="P495" s="1014"/>
      <c r="Q495" s="1014"/>
      <c r="R495" s="1014"/>
      <c r="S495" s="1014"/>
    </row>
    <row r="496" spans="2:19" x14ac:dyDescent="0.35">
      <c r="B496" s="2015" t="s">
        <v>1393</v>
      </c>
      <c r="C496" s="2017" t="s">
        <v>1394</v>
      </c>
      <c r="D496" s="1003" t="s">
        <v>1395</v>
      </c>
      <c r="E496" s="1010">
        <v>43067</v>
      </c>
      <c r="F496" s="778" t="s">
        <v>1396</v>
      </c>
      <c r="G496" s="779"/>
      <c r="H496" s="779"/>
      <c r="I496" s="779"/>
      <c r="J496" s="779"/>
      <c r="K496" s="779"/>
      <c r="L496" s="779"/>
      <c r="M496" s="779"/>
      <c r="N496" s="884"/>
      <c r="O496" s="1014"/>
      <c r="P496" s="1014"/>
      <c r="Q496" s="1014"/>
      <c r="R496" s="1014"/>
      <c r="S496" s="1014"/>
    </row>
    <row r="497" spans="2:19" x14ac:dyDescent="0.35">
      <c r="B497" s="2016"/>
      <c r="C497" s="2018"/>
      <c r="D497" s="1003"/>
      <c r="E497" s="1010"/>
      <c r="F497" s="778"/>
      <c r="G497" s="779"/>
      <c r="H497" s="779"/>
      <c r="I497" s="779"/>
      <c r="J497" s="779"/>
      <c r="K497" s="779"/>
      <c r="L497" s="779"/>
      <c r="M497" s="779"/>
      <c r="N497" s="1172"/>
      <c r="O497" s="1014"/>
      <c r="P497" s="1014"/>
      <c r="Q497" s="1014"/>
      <c r="R497" s="1014"/>
      <c r="S497" s="1014"/>
    </row>
    <row r="498" spans="2:19" x14ac:dyDescent="0.35">
      <c r="B498" s="1006"/>
      <c r="C498" s="778"/>
      <c r="D498" s="778"/>
      <c r="E498" s="778"/>
      <c r="F498" s="778"/>
      <c r="G498" s="778"/>
      <c r="H498" s="778"/>
      <c r="I498" s="778"/>
      <c r="J498" s="778"/>
      <c r="K498" s="778"/>
      <c r="L498" s="778"/>
      <c r="M498" s="778"/>
      <c r="N498" s="884"/>
      <c r="O498" s="1014"/>
      <c r="P498" s="1014"/>
      <c r="Q498" s="1014"/>
      <c r="R498" s="1014"/>
      <c r="S498" s="1014"/>
    </row>
    <row r="499" spans="2:19" x14ac:dyDescent="0.35">
      <c r="B499" s="779" t="s">
        <v>479</v>
      </c>
      <c r="C499" s="778"/>
      <c r="D499" s="778"/>
      <c r="E499" s="778"/>
      <c r="F499" s="778"/>
      <c r="G499" s="778"/>
      <c r="H499" s="778"/>
      <c r="I499" s="778"/>
      <c r="J499" s="778"/>
      <c r="K499" s="778"/>
      <c r="L499" s="778"/>
      <c r="M499" s="778"/>
      <c r="N499" s="884"/>
      <c r="O499" s="1014"/>
      <c r="P499" s="1014"/>
      <c r="Q499" s="1014"/>
      <c r="R499" s="1014"/>
      <c r="S499" s="1014"/>
    </row>
    <row r="500" spans="2:19" x14ac:dyDescent="0.35">
      <c r="B500" s="1019" t="str">
        <f>+B487</f>
        <v>Meters</v>
      </c>
      <c r="C500" s="778"/>
      <c r="D500" s="778"/>
      <c r="E500" s="778"/>
      <c r="F500" s="1024"/>
      <c r="G500" s="1011"/>
      <c r="H500" s="778"/>
      <c r="I500" s="778"/>
      <c r="J500" s="1011"/>
      <c r="K500" s="778"/>
      <c r="L500" s="778"/>
      <c r="M500" s="702"/>
      <c r="N500" s="884">
        <f>4326751/10^7</f>
        <v>0.43267509999999998</v>
      </c>
      <c r="O500" s="1014"/>
      <c r="P500" s="1014"/>
      <c r="Q500" s="1022"/>
      <c r="R500" s="1022"/>
      <c r="S500" s="1014"/>
    </row>
    <row r="501" spans="2:19" x14ac:dyDescent="0.35">
      <c r="B501" s="1019" t="str">
        <f>+B488</f>
        <v>Vehicles</v>
      </c>
      <c r="C501" s="778"/>
      <c r="D501" s="778"/>
      <c r="E501" s="778"/>
      <c r="F501" s="1024"/>
      <c r="G501" s="1011"/>
      <c r="H501" s="778"/>
      <c r="I501" s="778"/>
      <c r="J501" s="1011"/>
      <c r="K501" s="778"/>
      <c r="L501" s="778"/>
      <c r="M501" s="702"/>
      <c r="N501" s="884"/>
      <c r="O501" s="1014"/>
      <c r="P501" s="1014"/>
      <c r="Q501" s="1022"/>
      <c r="R501" s="1022"/>
      <c r="S501" s="1014"/>
    </row>
    <row r="502" spans="2:19" x14ac:dyDescent="0.35">
      <c r="B502" s="1019" t="str">
        <f>+B489</f>
        <v>I.T. equipments</v>
      </c>
      <c r="C502" s="778"/>
      <c r="D502" s="778"/>
      <c r="E502" s="778"/>
      <c r="F502" s="1024"/>
      <c r="G502" s="1011"/>
      <c r="H502" s="778"/>
      <c r="I502" s="778"/>
      <c r="J502" s="1011"/>
      <c r="K502" s="778"/>
      <c r="L502" s="778"/>
      <c r="M502" s="702"/>
      <c r="N502" s="884"/>
      <c r="O502" s="1014"/>
      <c r="P502" s="1014"/>
      <c r="Q502" s="1022"/>
      <c r="R502" s="1022"/>
      <c r="S502" s="1014"/>
    </row>
    <row r="503" spans="2:19" x14ac:dyDescent="0.35">
      <c r="B503" s="1019" t="str">
        <f>+B490</f>
        <v>Office furniture and fittings</v>
      </c>
      <c r="C503" s="778"/>
      <c r="D503" s="778"/>
      <c r="E503" s="778"/>
      <c r="F503" s="1024"/>
      <c r="G503" s="1011"/>
      <c r="H503" s="778"/>
      <c r="I503" s="778"/>
      <c r="J503" s="1011"/>
      <c r="K503" s="778"/>
      <c r="L503" s="778"/>
      <c r="M503" s="702"/>
      <c r="N503" s="884"/>
      <c r="O503" s="1014"/>
      <c r="P503" s="1014"/>
      <c r="Q503" s="1022"/>
      <c r="R503" s="1022"/>
      <c r="S503" s="1014"/>
    </row>
    <row r="504" spans="2:19" x14ac:dyDescent="0.35">
      <c r="B504" s="1019" t="str">
        <f>+B491</f>
        <v>Office equipments</v>
      </c>
      <c r="C504" s="778"/>
      <c r="D504" s="778"/>
      <c r="E504" s="778"/>
      <c r="F504" s="778"/>
      <c r="G504" s="778"/>
      <c r="H504" s="778"/>
      <c r="I504" s="778"/>
      <c r="J504" s="778"/>
      <c r="K504" s="778"/>
      <c r="L504" s="778"/>
      <c r="M504" s="778"/>
      <c r="N504" s="884"/>
      <c r="O504" s="1014"/>
      <c r="P504" s="1014"/>
      <c r="Q504" s="1014"/>
      <c r="R504" s="1014"/>
      <c r="S504" s="1014"/>
    </row>
    <row r="505" spans="2:19" x14ac:dyDescent="0.35">
      <c r="B505" s="1023"/>
      <c r="C505" s="778"/>
      <c r="D505" s="778"/>
      <c r="E505" s="778"/>
      <c r="F505" s="778"/>
      <c r="G505" s="778"/>
      <c r="H505" s="778"/>
      <c r="I505" s="778"/>
      <c r="J505" s="778"/>
      <c r="K505" s="778"/>
      <c r="L505" s="778"/>
      <c r="M505" s="778"/>
      <c r="N505" s="884"/>
      <c r="O505" s="1014"/>
      <c r="P505" s="1014"/>
      <c r="Q505" s="1014"/>
      <c r="R505" s="1014"/>
      <c r="S505" s="1014"/>
    </row>
    <row r="506" spans="2:19" x14ac:dyDescent="0.35">
      <c r="B506" s="1006" t="s">
        <v>127</v>
      </c>
      <c r="C506" s="778"/>
      <c r="D506" s="778"/>
      <c r="E506" s="778"/>
      <c r="F506" s="778"/>
      <c r="G506" s="778"/>
      <c r="H506" s="778"/>
      <c r="I506" s="778"/>
      <c r="J506" s="778"/>
      <c r="K506" s="778"/>
      <c r="L506" s="778"/>
      <c r="M506" s="778"/>
      <c r="N506" s="884"/>
      <c r="O506" s="1014"/>
      <c r="P506" s="1014"/>
      <c r="Q506" s="1014"/>
      <c r="R506" s="1014"/>
      <c r="S506" s="1014"/>
    </row>
    <row r="507" spans="2:19" x14ac:dyDescent="0.35">
      <c r="B507" s="1006" t="s">
        <v>476</v>
      </c>
      <c r="C507" s="778"/>
      <c r="D507" s="778"/>
      <c r="E507" s="778"/>
      <c r="F507" s="778"/>
      <c r="G507" s="778"/>
      <c r="H507" s="778"/>
      <c r="I507" s="778"/>
      <c r="J507" s="778"/>
      <c r="K507" s="778"/>
      <c r="L507" s="778"/>
      <c r="M507" s="778"/>
      <c r="N507" s="884"/>
      <c r="O507" s="1014"/>
      <c r="P507" s="1014"/>
      <c r="Q507" s="1014"/>
      <c r="R507" s="1014"/>
      <c r="S507" s="1014"/>
    </row>
    <row r="508" spans="2:19" x14ac:dyDescent="0.35">
      <c r="B508" s="1007" t="s">
        <v>477</v>
      </c>
      <c r="C508" s="778"/>
      <c r="D508" s="778"/>
      <c r="E508" s="778"/>
      <c r="F508" s="778"/>
      <c r="G508" s="778"/>
      <c r="H508" s="778"/>
      <c r="I508" s="778"/>
      <c r="J508" s="778"/>
      <c r="K508" s="778"/>
      <c r="L508" s="778"/>
      <c r="M508" s="778"/>
      <c r="N508" s="884"/>
      <c r="O508" s="1014"/>
      <c r="P508" s="1014"/>
      <c r="Q508" s="1014"/>
      <c r="R508" s="1014"/>
      <c r="S508" s="1014"/>
    </row>
    <row r="509" spans="2:19" x14ac:dyDescent="0.35">
      <c r="B509" s="2015" t="s">
        <v>1393</v>
      </c>
      <c r="C509" s="2017" t="s">
        <v>1394</v>
      </c>
      <c r="D509" s="1003" t="s">
        <v>1395</v>
      </c>
      <c r="E509" s="1010">
        <v>43067</v>
      </c>
      <c r="F509" s="778" t="s">
        <v>1396</v>
      </c>
      <c r="G509" s="779"/>
      <c r="H509" s="779"/>
      <c r="I509" s="779"/>
      <c r="J509" s="779"/>
      <c r="K509" s="779"/>
      <c r="L509" s="779"/>
      <c r="M509" s="779"/>
      <c r="N509" s="884"/>
      <c r="O509" s="1014"/>
      <c r="P509" s="1014"/>
      <c r="Q509" s="1014"/>
      <c r="R509" s="1014"/>
      <c r="S509" s="1014"/>
    </row>
    <row r="510" spans="2:19" x14ac:dyDescent="0.35">
      <c r="B510" s="2016"/>
      <c r="C510" s="2018"/>
      <c r="D510" s="1003"/>
      <c r="E510" s="1010"/>
      <c r="F510" s="778"/>
      <c r="G510" s="779"/>
      <c r="H510" s="779"/>
      <c r="I510" s="779"/>
      <c r="J510" s="779"/>
      <c r="K510" s="779"/>
      <c r="L510" s="779"/>
      <c r="M510" s="779"/>
      <c r="N510" s="1172"/>
      <c r="O510" s="1014"/>
      <c r="P510" s="1014"/>
      <c r="Q510" s="1014"/>
      <c r="R510" s="1014"/>
      <c r="S510" s="1014"/>
    </row>
    <row r="511" spans="2:19" x14ac:dyDescent="0.35">
      <c r="B511" s="1006"/>
      <c r="C511" s="778"/>
      <c r="D511" s="778"/>
      <c r="E511" s="778"/>
      <c r="F511" s="778"/>
      <c r="G511" s="778"/>
      <c r="H511" s="778"/>
      <c r="I511" s="778"/>
      <c r="J511" s="778"/>
      <c r="K511" s="778"/>
      <c r="L511" s="778"/>
      <c r="M511" s="778"/>
      <c r="N511" s="884"/>
      <c r="O511" s="1014"/>
      <c r="P511" s="1014"/>
      <c r="Q511" s="1014"/>
      <c r="R511" s="1014"/>
      <c r="S511" s="1014"/>
    </row>
    <row r="512" spans="2:19" x14ac:dyDescent="0.35">
      <c r="B512" s="779" t="s">
        <v>479</v>
      </c>
      <c r="C512" s="778"/>
      <c r="D512" s="778"/>
      <c r="E512" s="778"/>
      <c r="F512" s="778"/>
      <c r="G512" s="778"/>
      <c r="H512" s="778"/>
      <c r="I512" s="778"/>
      <c r="J512" s="778"/>
      <c r="K512" s="778"/>
      <c r="L512" s="778"/>
      <c r="M512" s="778"/>
      <c r="N512" s="884"/>
      <c r="O512" s="1014"/>
      <c r="P512" s="1014"/>
      <c r="Q512" s="1014"/>
      <c r="R512" s="1014"/>
      <c r="S512" s="1014"/>
    </row>
    <row r="513" spans="2:28" x14ac:dyDescent="0.35">
      <c r="B513" s="1019" t="str">
        <f>+B500</f>
        <v>Meters</v>
      </c>
      <c r="C513" s="778"/>
      <c r="D513" s="778"/>
      <c r="E513" s="778"/>
      <c r="F513" s="1024"/>
      <c r="G513" s="1011"/>
      <c r="H513" s="778"/>
      <c r="I513" s="778"/>
      <c r="J513" s="1011"/>
      <c r="K513" s="778"/>
      <c r="L513" s="778"/>
      <c r="M513" s="702"/>
      <c r="N513" s="884">
        <f>4515302/10^7</f>
        <v>0.45153019999999999</v>
      </c>
      <c r="O513" s="1014"/>
      <c r="P513" s="1014"/>
      <c r="Q513" s="1022"/>
      <c r="R513" s="1022"/>
      <c r="S513" s="1014"/>
    </row>
    <row r="514" spans="2:28" x14ac:dyDescent="0.35">
      <c r="B514" s="1019" t="str">
        <f>+B501</f>
        <v>Vehicles</v>
      </c>
      <c r="C514" s="778"/>
      <c r="D514" s="778"/>
      <c r="E514" s="778"/>
      <c r="F514" s="1024"/>
      <c r="G514" s="1011"/>
      <c r="H514" s="778"/>
      <c r="I514" s="778"/>
      <c r="J514" s="1011"/>
      <c r="K514" s="778"/>
      <c r="L514" s="778"/>
      <c r="M514" s="702"/>
      <c r="N514" s="884"/>
      <c r="O514" s="1014"/>
      <c r="P514" s="1014"/>
      <c r="Q514" s="1022"/>
      <c r="R514" s="1022"/>
      <c r="S514" s="1014"/>
    </row>
    <row r="515" spans="2:28" x14ac:dyDescent="0.35">
      <c r="B515" s="1019" t="str">
        <f>+B502</f>
        <v>I.T. equipments</v>
      </c>
      <c r="C515" s="778"/>
      <c r="D515" s="778"/>
      <c r="E515" s="778"/>
      <c r="F515" s="1024"/>
      <c r="G515" s="1011"/>
      <c r="H515" s="778"/>
      <c r="I515" s="778"/>
      <c r="J515" s="1011"/>
      <c r="K515" s="778"/>
      <c r="L515" s="778"/>
      <c r="M515" s="702"/>
      <c r="N515" s="884"/>
      <c r="O515" s="1014"/>
      <c r="P515" s="1014"/>
      <c r="Q515" s="1022"/>
      <c r="R515" s="1022"/>
      <c r="S515" s="1014"/>
    </row>
    <row r="516" spans="2:28" x14ac:dyDescent="0.35">
      <c r="B516" s="1019" t="str">
        <f>+B503</f>
        <v>Office furniture and fittings</v>
      </c>
      <c r="C516" s="778"/>
      <c r="D516" s="778"/>
      <c r="E516" s="778"/>
      <c r="F516" s="1024"/>
      <c r="G516" s="1011"/>
      <c r="H516" s="778"/>
      <c r="I516" s="778"/>
      <c r="J516" s="1011"/>
      <c r="K516" s="778"/>
      <c r="L516" s="778"/>
      <c r="M516" s="702"/>
      <c r="N516" s="884"/>
      <c r="O516" s="1014"/>
      <c r="P516" s="1014"/>
      <c r="Q516" s="1022"/>
      <c r="R516" s="1022"/>
      <c r="S516" s="1014"/>
    </row>
    <row r="517" spans="2:28" x14ac:dyDescent="0.35">
      <c r="B517" s="1019" t="str">
        <f>+B504</f>
        <v>Office equipments</v>
      </c>
      <c r="C517" s="778"/>
      <c r="D517" s="778"/>
      <c r="E517" s="778"/>
      <c r="F517" s="778"/>
      <c r="G517" s="778"/>
      <c r="H517" s="778"/>
      <c r="I517" s="778"/>
      <c r="J517" s="778"/>
      <c r="K517" s="778"/>
      <c r="L517" s="778"/>
      <c r="M517" s="778"/>
      <c r="N517" s="884"/>
      <c r="O517" s="1014"/>
      <c r="P517" s="1014"/>
      <c r="Q517" s="1014"/>
      <c r="R517" s="1014"/>
      <c r="S517" s="1014"/>
    </row>
    <row r="518" spans="2:28" x14ac:dyDescent="0.35">
      <c r="B518" s="1019"/>
      <c r="C518" s="778"/>
      <c r="D518" s="778"/>
      <c r="E518" s="778"/>
      <c r="F518" s="778"/>
      <c r="G518" s="778"/>
      <c r="H518" s="778"/>
      <c r="I518" s="778"/>
      <c r="J518" s="778"/>
      <c r="K518" s="778"/>
      <c r="L518" s="778"/>
      <c r="M518" s="778"/>
      <c r="N518" s="884"/>
      <c r="O518" s="1014"/>
      <c r="P518" s="1014"/>
      <c r="Q518" s="1014"/>
      <c r="R518" s="1014"/>
      <c r="S518" s="1014"/>
    </row>
    <row r="519" spans="2:28" x14ac:dyDescent="0.35">
      <c r="B519" s="778"/>
      <c r="C519" s="778"/>
      <c r="D519" s="778"/>
      <c r="E519" s="778"/>
      <c r="F519" s="778"/>
      <c r="G519" s="778"/>
      <c r="H519" s="778"/>
      <c r="I519" s="778"/>
      <c r="J519" s="778"/>
      <c r="K519" s="778"/>
      <c r="L519" s="778"/>
      <c r="M519" s="778"/>
      <c r="N519" s="884"/>
      <c r="O519" s="1014"/>
      <c r="P519" s="1014"/>
      <c r="Q519" s="1014"/>
      <c r="R519" s="1014"/>
      <c r="S519" s="1014"/>
    </row>
    <row r="520" spans="2:28" x14ac:dyDescent="0.35">
      <c r="B520" s="778"/>
      <c r="C520" s="778"/>
      <c r="D520" s="778"/>
      <c r="E520" s="778"/>
      <c r="F520" s="778"/>
      <c r="G520" s="778"/>
      <c r="H520" s="778"/>
      <c r="I520" s="778"/>
      <c r="J520" s="778"/>
      <c r="K520" s="778"/>
      <c r="L520" s="778"/>
      <c r="M520" s="778"/>
      <c r="N520" s="778"/>
      <c r="O520" s="778"/>
      <c r="P520" s="778"/>
      <c r="Q520" s="778"/>
      <c r="R520" s="778"/>
      <c r="S520" s="1042"/>
    </row>
    <row r="521" spans="2:28" x14ac:dyDescent="0.35">
      <c r="B521" s="1027" t="s">
        <v>480</v>
      </c>
      <c r="C521" s="1028"/>
      <c r="D521" s="1028"/>
      <c r="E521" s="1028"/>
      <c r="F521" s="1028"/>
      <c r="G521" s="1028"/>
      <c r="H521" s="1028"/>
      <c r="I521" s="1028"/>
      <c r="J521" s="1028"/>
      <c r="K521" s="1028"/>
      <c r="L521" s="1028"/>
      <c r="M521" s="1044">
        <f>SUM(M331:M520)</f>
        <v>0</v>
      </c>
      <c r="N521" s="1044">
        <f>SUM(N331:N520)</f>
        <v>5.1539418989234322</v>
      </c>
      <c r="O521" s="1028"/>
      <c r="P521" s="1028"/>
      <c r="Q521" s="1028"/>
      <c r="R521" s="1028"/>
      <c r="S521" s="1045"/>
    </row>
    <row r="522" spans="2:28" x14ac:dyDescent="0.35">
      <c r="B522" s="406"/>
      <c r="M522" s="1046"/>
      <c r="N522" s="1169">
        <f>+SUM('F4'!D26:O26)-N521</f>
        <v>0</v>
      </c>
      <c r="S522" s="1047"/>
    </row>
    <row r="523" spans="2:28" ht="13.5" x14ac:dyDescent="0.35">
      <c r="B523" s="1030" t="s">
        <v>599</v>
      </c>
      <c r="N523" s="814">
        <f>+N522*10^7</f>
        <v>0</v>
      </c>
    </row>
    <row r="524" spans="2:28" x14ac:dyDescent="0.35">
      <c r="B524" s="1033" t="s">
        <v>1403</v>
      </c>
      <c r="N524" s="1048"/>
      <c r="O524" s="1049"/>
      <c r="P524" s="1049"/>
      <c r="Q524" s="1049"/>
      <c r="R524" s="1049"/>
    </row>
    <row r="525" spans="2:28" ht="15" customHeight="1" x14ac:dyDescent="0.35">
      <c r="B525" s="390"/>
      <c r="C525" s="390"/>
      <c r="D525" s="390"/>
      <c r="E525" s="390"/>
      <c r="F525" s="390"/>
      <c r="G525" s="390"/>
      <c r="H525" s="390"/>
      <c r="I525" s="390"/>
      <c r="J525" s="390"/>
      <c r="K525" s="390"/>
      <c r="L525" s="416"/>
      <c r="M525" s="416"/>
      <c r="N525" s="416"/>
      <c r="O525" s="416"/>
      <c r="P525" s="416"/>
      <c r="Q525" s="416"/>
      <c r="R525" s="416"/>
      <c r="S525" s="416"/>
      <c r="T525" s="416"/>
      <c r="U525" s="992"/>
      <c r="V525" s="992"/>
      <c r="W525" s="992"/>
      <c r="X525" s="992"/>
      <c r="Y525" s="460"/>
      <c r="Z525" s="460"/>
      <c r="AA525" s="460"/>
      <c r="AB525" s="460"/>
    </row>
    <row r="526" spans="2:28" x14ac:dyDescent="0.35">
      <c r="B526" s="406" t="s">
        <v>481</v>
      </c>
    </row>
    <row r="527" spans="2:28" x14ac:dyDescent="0.35">
      <c r="K527" s="415" t="s">
        <v>110</v>
      </c>
    </row>
    <row r="528" spans="2:28" ht="25.5" customHeight="1" x14ac:dyDescent="0.35">
      <c r="B528" s="2023" t="s">
        <v>482</v>
      </c>
      <c r="C528" s="2026" t="s">
        <v>483</v>
      </c>
      <c r="D528" s="2026"/>
      <c r="E528" s="2026"/>
      <c r="F528" s="2026"/>
      <c r="G528" s="2026"/>
      <c r="H528" s="2026"/>
      <c r="I528" s="2026"/>
      <c r="J528" s="2026"/>
      <c r="K528" s="2026"/>
      <c r="L528" s="1035"/>
      <c r="M528" s="1035"/>
    </row>
    <row r="529" spans="2:13" ht="17.45" customHeight="1" x14ac:dyDescent="0.35">
      <c r="B529" s="2024"/>
      <c r="C529" s="2027" t="s">
        <v>461</v>
      </c>
      <c r="D529" s="2027" t="s">
        <v>462</v>
      </c>
      <c r="E529" s="2027" t="s">
        <v>484</v>
      </c>
      <c r="F529" s="2027" t="s">
        <v>485</v>
      </c>
      <c r="G529" s="2026" t="s">
        <v>486</v>
      </c>
      <c r="H529" s="2029"/>
      <c r="I529" s="2029"/>
      <c r="J529" s="2029"/>
      <c r="K529" s="2029"/>
      <c r="L529" s="1036"/>
      <c r="M529" s="1036"/>
    </row>
    <row r="530" spans="2:13" ht="47.25" customHeight="1" x14ac:dyDescent="0.35">
      <c r="B530" s="2025"/>
      <c r="C530" s="2028"/>
      <c r="D530" s="2028"/>
      <c r="E530" s="2028"/>
      <c r="F530" s="2028"/>
      <c r="G530" s="1034" t="s">
        <v>487</v>
      </c>
      <c r="H530" s="1034" t="s">
        <v>488</v>
      </c>
      <c r="I530" s="1034" t="s">
        <v>489</v>
      </c>
      <c r="J530" s="1034" t="s">
        <v>490</v>
      </c>
      <c r="K530" s="1034" t="s">
        <v>491</v>
      </c>
    </row>
    <row r="531" spans="2:13" x14ac:dyDescent="0.35">
      <c r="B531" s="779" t="s">
        <v>195</v>
      </c>
      <c r="C531" s="778"/>
      <c r="D531" s="778"/>
      <c r="E531" s="778"/>
      <c r="F531" s="778"/>
      <c r="G531" s="778"/>
      <c r="H531" s="778"/>
      <c r="I531" s="778"/>
      <c r="J531" s="778"/>
      <c r="K531" s="778"/>
    </row>
    <row r="532" spans="2:13" x14ac:dyDescent="0.35">
      <c r="B532" s="1006" t="s">
        <v>476</v>
      </c>
      <c r="C532" s="778"/>
      <c r="D532" s="778"/>
      <c r="E532" s="778"/>
      <c r="F532" s="778"/>
      <c r="G532" s="778"/>
      <c r="H532" s="778"/>
      <c r="I532" s="778"/>
      <c r="J532" s="778"/>
      <c r="K532" s="778"/>
    </row>
    <row r="533" spans="2:13" x14ac:dyDescent="0.35">
      <c r="B533" s="1007" t="s">
        <v>477</v>
      </c>
      <c r="C533" s="778"/>
      <c r="D533" s="778"/>
      <c r="E533" s="778"/>
      <c r="F533" s="778"/>
      <c r="G533" s="778"/>
      <c r="H533" s="778"/>
      <c r="I533" s="778"/>
      <c r="J533" s="778"/>
      <c r="K533" s="778"/>
    </row>
    <row r="534" spans="2:13" x14ac:dyDescent="0.35">
      <c r="B534" s="778" t="s">
        <v>239</v>
      </c>
      <c r="C534" s="778"/>
      <c r="D534" s="778"/>
      <c r="E534" s="778"/>
      <c r="F534" s="778"/>
      <c r="G534" s="778"/>
      <c r="H534" s="778"/>
      <c r="I534" s="778"/>
      <c r="J534" s="778"/>
      <c r="K534" s="778"/>
    </row>
    <row r="535" spans="2:13" x14ac:dyDescent="0.35">
      <c r="B535" s="778" t="s">
        <v>239</v>
      </c>
      <c r="C535" s="778"/>
      <c r="D535" s="778"/>
      <c r="E535" s="778"/>
      <c r="F535" s="778"/>
      <c r="G535" s="778"/>
      <c r="H535" s="778"/>
      <c r="I535" s="778"/>
      <c r="J535" s="778"/>
      <c r="K535" s="778"/>
    </row>
    <row r="536" spans="2:13" x14ac:dyDescent="0.35">
      <c r="B536" s="1007" t="s">
        <v>478</v>
      </c>
      <c r="C536" s="778"/>
      <c r="D536" s="778"/>
      <c r="E536" s="778"/>
      <c r="F536" s="778"/>
      <c r="G536" s="778"/>
      <c r="H536" s="778"/>
      <c r="I536" s="778"/>
      <c r="J536" s="778"/>
      <c r="K536" s="778"/>
    </row>
    <row r="537" spans="2:13" x14ac:dyDescent="0.35">
      <c r="B537" s="778" t="s">
        <v>239</v>
      </c>
      <c r="C537" s="778"/>
      <c r="D537" s="778"/>
      <c r="E537" s="778"/>
      <c r="F537" s="778"/>
      <c r="G537" s="778"/>
      <c r="H537" s="778"/>
      <c r="I537" s="778"/>
      <c r="J537" s="778"/>
      <c r="K537" s="778"/>
    </row>
    <row r="538" spans="2:13" x14ac:dyDescent="0.35">
      <c r="B538" s="778" t="s">
        <v>239</v>
      </c>
      <c r="C538" s="778"/>
      <c r="D538" s="778"/>
      <c r="E538" s="778"/>
      <c r="F538" s="778"/>
      <c r="G538" s="778"/>
      <c r="H538" s="778"/>
      <c r="I538" s="778"/>
      <c r="J538" s="778"/>
      <c r="K538" s="778"/>
    </row>
    <row r="539" spans="2:13" x14ac:dyDescent="0.35">
      <c r="B539" s="779" t="s">
        <v>479</v>
      </c>
      <c r="C539" s="778"/>
      <c r="D539" s="778"/>
      <c r="E539" s="778"/>
      <c r="F539" s="778"/>
      <c r="G539" s="778"/>
      <c r="H539" s="778"/>
      <c r="I539" s="778"/>
      <c r="J539" s="778"/>
      <c r="K539" s="778"/>
    </row>
    <row r="540" spans="2:13" x14ac:dyDescent="0.35">
      <c r="B540" s="778" t="s">
        <v>239</v>
      </c>
      <c r="C540" s="778"/>
      <c r="D540" s="778"/>
      <c r="E540" s="778"/>
      <c r="F540" s="778"/>
      <c r="G540" s="778"/>
      <c r="H540" s="778"/>
      <c r="I540" s="778"/>
      <c r="J540" s="778"/>
      <c r="K540" s="778"/>
    </row>
    <row r="541" spans="2:13" x14ac:dyDescent="0.35">
      <c r="B541" s="778" t="s">
        <v>239</v>
      </c>
      <c r="C541" s="778"/>
      <c r="D541" s="778"/>
      <c r="E541" s="778"/>
      <c r="F541" s="778"/>
      <c r="G541" s="778"/>
      <c r="H541" s="778"/>
      <c r="I541" s="778"/>
      <c r="J541" s="778"/>
      <c r="K541" s="778"/>
    </row>
    <row r="542" spans="2:13" x14ac:dyDescent="0.35">
      <c r="B542" s="778"/>
      <c r="C542" s="778"/>
      <c r="D542" s="778"/>
      <c r="E542" s="778"/>
      <c r="F542" s="778"/>
      <c r="G542" s="778"/>
      <c r="H542" s="778"/>
      <c r="I542" s="778"/>
      <c r="J542" s="778"/>
      <c r="K542" s="778"/>
    </row>
    <row r="543" spans="2:13" x14ac:dyDescent="0.35">
      <c r="B543" s="779" t="s">
        <v>196</v>
      </c>
      <c r="C543" s="778"/>
      <c r="D543" s="778"/>
      <c r="E543" s="778"/>
      <c r="F543" s="778"/>
      <c r="G543" s="778"/>
      <c r="H543" s="778"/>
      <c r="I543" s="778"/>
      <c r="J543" s="778"/>
      <c r="K543" s="778"/>
    </row>
    <row r="544" spans="2:13" x14ac:dyDescent="0.35">
      <c r="B544" s="1006" t="s">
        <v>476</v>
      </c>
      <c r="C544" s="778"/>
      <c r="D544" s="778"/>
      <c r="E544" s="778"/>
      <c r="F544" s="778"/>
      <c r="G544" s="778"/>
      <c r="H544" s="778"/>
      <c r="I544" s="778"/>
      <c r="J544" s="778"/>
      <c r="K544" s="778"/>
    </row>
    <row r="545" spans="2:11" x14ac:dyDescent="0.35">
      <c r="B545" s="1007" t="s">
        <v>477</v>
      </c>
      <c r="C545" s="778"/>
      <c r="D545" s="778"/>
      <c r="E545" s="778"/>
      <c r="F545" s="778"/>
      <c r="G545" s="778"/>
      <c r="H545" s="778"/>
      <c r="I545" s="778"/>
      <c r="J545" s="778"/>
      <c r="K545" s="778"/>
    </row>
    <row r="546" spans="2:11" x14ac:dyDescent="0.35">
      <c r="B546" s="778" t="s">
        <v>239</v>
      </c>
      <c r="C546" s="778"/>
      <c r="D546" s="778"/>
      <c r="E546" s="778"/>
      <c r="F546" s="778"/>
      <c r="G546" s="778"/>
      <c r="H546" s="778"/>
      <c r="I546" s="778"/>
      <c r="J546" s="778"/>
      <c r="K546" s="778"/>
    </row>
    <row r="547" spans="2:11" x14ac:dyDescent="0.35">
      <c r="B547" s="778" t="s">
        <v>239</v>
      </c>
      <c r="C547" s="778"/>
      <c r="D547" s="778"/>
      <c r="E547" s="778"/>
      <c r="F547" s="778"/>
      <c r="G547" s="778"/>
      <c r="H547" s="778"/>
      <c r="I547" s="778"/>
      <c r="J547" s="778"/>
      <c r="K547" s="778"/>
    </row>
    <row r="548" spans="2:11" x14ac:dyDescent="0.35">
      <c r="B548" s="1007" t="s">
        <v>478</v>
      </c>
      <c r="C548" s="778"/>
      <c r="D548" s="778"/>
      <c r="E548" s="778"/>
      <c r="F548" s="778"/>
      <c r="G548" s="778"/>
      <c r="H548" s="778"/>
      <c r="I548" s="778"/>
      <c r="J548" s="778"/>
      <c r="K548" s="778"/>
    </row>
    <row r="549" spans="2:11" x14ac:dyDescent="0.35">
      <c r="B549" s="778" t="s">
        <v>239</v>
      </c>
      <c r="C549" s="778"/>
      <c r="D549" s="778"/>
      <c r="E549" s="778"/>
      <c r="F549" s="778"/>
      <c r="G549" s="778"/>
      <c r="H549" s="778"/>
      <c r="I549" s="778"/>
      <c r="J549" s="778"/>
      <c r="K549" s="778"/>
    </row>
    <row r="550" spans="2:11" x14ac:dyDescent="0.35">
      <c r="B550" s="778" t="s">
        <v>239</v>
      </c>
      <c r="C550" s="778"/>
      <c r="D550" s="778"/>
      <c r="E550" s="778"/>
      <c r="F550" s="778"/>
      <c r="G550" s="778"/>
      <c r="H550" s="778"/>
      <c r="I550" s="778"/>
      <c r="J550" s="778"/>
      <c r="K550" s="778"/>
    </row>
    <row r="551" spans="2:11" x14ac:dyDescent="0.35">
      <c r="B551" s="779" t="s">
        <v>479</v>
      </c>
      <c r="C551" s="778"/>
      <c r="D551" s="778"/>
      <c r="E551" s="778"/>
      <c r="F551" s="778"/>
      <c r="G551" s="778"/>
      <c r="H551" s="778"/>
      <c r="I551" s="778"/>
      <c r="J551" s="778"/>
      <c r="K551" s="778"/>
    </row>
    <row r="552" spans="2:11" x14ac:dyDescent="0.35">
      <c r="B552" s="778" t="s">
        <v>1404</v>
      </c>
      <c r="C552" s="778"/>
      <c r="D552" s="778"/>
      <c r="F552" s="884">
        <f>SUM(N361:N366)*30%</f>
        <v>0.22977406425000002</v>
      </c>
      <c r="G552" s="884">
        <f>SUM(N361:N366)*70%</f>
        <v>0.53613948325000005</v>
      </c>
      <c r="H552" s="1038">
        <f>+Assum!E52</f>
        <v>0</v>
      </c>
      <c r="I552" s="778">
        <v>9</v>
      </c>
      <c r="J552" s="778">
        <v>5</v>
      </c>
      <c r="K552" s="778" t="s">
        <v>1405</v>
      </c>
    </row>
    <row r="553" spans="2:11" x14ac:dyDescent="0.35">
      <c r="B553" s="778" t="s">
        <v>239</v>
      </c>
      <c r="C553" s="778"/>
      <c r="D553" s="778"/>
      <c r="E553" s="778"/>
      <c r="F553" s="884"/>
      <c r="G553" s="884"/>
      <c r="H553" s="778"/>
      <c r="I553" s="778"/>
      <c r="J553" s="778"/>
      <c r="K553" s="778"/>
    </row>
    <row r="554" spans="2:11" x14ac:dyDescent="0.35">
      <c r="B554" s="778"/>
      <c r="C554" s="778"/>
      <c r="D554" s="778"/>
      <c r="E554" s="778"/>
      <c r="F554" s="884"/>
      <c r="G554" s="884"/>
      <c r="H554" s="778"/>
      <c r="I554" s="778"/>
      <c r="J554" s="778"/>
      <c r="K554" s="778"/>
    </row>
    <row r="555" spans="2:11" x14ac:dyDescent="0.35">
      <c r="B555" s="779" t="s">
        <v>197</v>
      </c>
      <c r="C555" s="778"/>
      <c r="D555" s="778"/>
      <c r="E555" s="778"/>
      <c r="F555" s="884"/>
      <c r="G555" s="884"/>
      <c r="H555" s="778"/>
      <c r="I555" s="778"/>
      <c r="J555" s="778"/>
      <c r="K555" s="778"/>
    </row>
    <row r="556" spans="2:11" x14ac:dyDescent="0.35">
      <c r="B556" s="1006" t="s">
        <v>476</v>
      </c>
      <c r="C556" s="778"/>
      <c r="D556" s="778"/>
      <c r="E556" s="778"/>
      <c r="F556" s="884"/>
      <c r="G556" s="884"/>
      <c r="H556" s="778"/>
      <c r="I556" s="778"/>
      <c r="J556" s="778"/>
      <c r="K556" s="778"/>
    </row>
    <row r="557" spans="2:11" x14ac:dyDescent="0.35">
      <c r="B557" s="1007" t="s">
        <v>477</v>
      </c>
      <c r="C557" s="778"/>
      <c r="D557" s="778"/>
      <c r="E557" s="778"/>
      <c r="F557" s="884"/>
      <c r="G557" s="884"/>
      <c r="H557" s="778"/>
      <c r="I557" s="778"/>
      <c r="J557" s="778"/>
      <c r="K557" s="778"/>
    </row>
    <row r="558" spans="2:11" x14ac:dyDescent="0.35">
      <c r="B558" s="778" t="s">
        <v>239</v>
      </c>
      <c r="C558" s="778"/>
      <c r="D558" s="778"/>
      <c r="E558" s="778"/>
      <c r="F558" s="884"/>
      <c r="G558" s="884"/>
      <c r="H558" s="778"/>
      <c r="I558" s="778"/>
      <c r="J558" s="778"/>
      <c r="K558" s="778"/>
    </row>
    <row r="559" spans="2:11" x14ac:dyDescent="0.35">
      <c r="B559" s="778" t="s">
        <v>239</v>
      </c>
      <c r="C559" s="778"/>
      <c r="D559" s="778"/>
      <c r="E559" s="778"/>
      <c r="F559" s="884"/>
      <c r="G559" s="884"/>
      <c r="H559" s="778"/>
      <c r="I559" s="778"/>
      <c r="J559" s="778"/>
      <c r="K559" s="778"/>
    </row>
    <row r="560" spans="2:11" x14ac:dyDescent="0.35">
      <c r="B560" s="1007" t="s">
        <v>478</v>
      </c>
      <c r="C560" s="778"/>
      <c r="D560" s="778"/>
      <c r="E560" s="778"/>
      <c r="F560" s="884"/>
      <c r="G560" s="884"/>
      <c r="H560" s="778"/>
      <c r="I560" s="778"/>
      <c r="J560" s="778"/>
      <c r="K560" s="778"/>
    </row>
    <row r="561" spans="2:11" x14ac:dyDescent="0.35">
      <c r="B561" s="778" t="s">
        <v>239</v>
      </c>
      <c r="C561" s="778"/>
      <c r="D561" s="778"/>
      <c r="E561" s="778"/>
      <c r="F561" s="884"/>
      <c r="G561" s="884"/>
      <c r="H561" s="778"/>
      <c r="I561" s="778"/>
      <c r="J561" s="778"/>
      <c r="K561" s="778"/>
    </row>
    <row r="562" spans="2:11" x14ac:dyDescent="0.35">
      <c r="B562" s="778" t="s">
        <v>239</v>
      </c>
      <c r="C562" s="778"/>
      <c r="D562" s="778"/>
      <c r="E562" s="778"/>
      <c r="F562" s="884"/>
      <c r="G562" s="884"/>
      <c r="H562" s="778"/>
      <c r="I562" s="778"/>
      <c r="J562" s="778"/>
      <c r="K562" s="778"/>
    </row>
    <row r="563" spans="2:11" x14ac:dyDescent="0.35">
      <c r="B563" s="779" t="s">
        <v>479</v>
      </c>
      <c r="C563" s="778"/>
      <c r="D563" s="778"/>
      <c r="E563" s="778"/>
      <c r="F563" s="884"/>
      <c r="G563" s="884"/>
      <c r="H563" s="778"/>
      <c r="I563" s="778"/>
      <c r="J563" s="778"/>
      <c r="K563" s="778"/>
    </row>
    <row r="564" spans="2:11" x14ac:dyDescent="0.35">
      <c r="B564" s="778" t="s">
        <v>1404</v>
      </c>
      <c r="C564" s="778"/>
      <c r="D564" s="778"/>
      <c r="E564" s="778"/>
      <c r="F564" s="884">
        <f>SUM(N377:N382)*30%</f>
        <v>0.3805887896770298</v>
      </c>
      <c r="G564" s="884">
        <f>SUM(N377:N382)*70%</f>
        <v>0.88804050924640276</v>
      </c>
      <c r="H564" s="1038">
        <f>+Assum!F52</f>
        <v>0</v>
      </c>
      <c r="I564" s="778">
        <v>9</v>
      </c>
      <c r="J564" s="778">
        <v>5</v>
      </c>
      <c r="K564" s="778" t="s">
        <v>1405</v>
      </c>
    </row>
    <row r="565" spans="2:11" x14ac:dyDescent="0.35">
      <c r="B565" s="778" t="s">
        <v>239</v>
      </c>
      <c r="C565" s="778"/>
      <c r="D565" s="778"/>
      <c r="E565" s="778"/>
      <c r="F565" s="884"/>
      <c r="G565" s="884"/>
      <c r="H565" s="778"/>
      <c r="I565" s="778"/>
      <c r="J565" s="778"/>
      <c r="K565" s="778"/>
    </row>
    <row r="566" spans="2:11" x14ac:dyDescent="0.35">
      <c r="B566" s="778"/>
      <c r="C566" s="778"/>
      <c r="D566" s="778"/>
      <c r="E566" s="778"/>
      <c r="F566" s="884"/>
      <c r="G566" s="884"/>
      <c r="H566" s="778"/>
      <c r="I566" s="778"/>
      <c r="J566" s="778"/>
      <c r="K566" s="778"/>
    </row>
    <row r="567" spans="2:11" x14ac:dyDescent="0.35">
      <c r="B567" s="779" t="s">
        <v>198</v>
      </c>
      <c r="C567" s="778"/>
      <c r="D567" s="778"/>
      <c r="E567" s="778"/>
      <c r="F567" s="884"/>
      <c r="G567" s="884"/>
      <c r="H567" s="778"/>
      <c r="I567" s="778"/>
      <c r="J567" s="778"/>
      <c r="K567" s="778"/>
    </row>
    <row r="568" spans="2:11" x14ac:dyDescent="0.35">
      <c r="B568" s="1006" t="s">
        <v>476</v>
      </c>
      <c r="C568" s="778"/>
      <c r="D568" s="778"/>
      <c r="E568" s="778"/>
      <c r="F568" s="884"/>
      <c r="G568" s="884"/>
      <c r="H568" s="778"/>
      <c r="I568" s="778"/>
      <c r="J568" s="778"/>
      <c r="K568" s="778"/>
    </row>
    <row r="569" spans="2:11" x14ac:dyDescent="0.35">
      <c r="B569" s="1007" t="s">
        <v>477</v>
      </c>
      <c r="C569" s="778"/>
      <c r="D569" s="778"/>
      <c r="E569" s="778"/>
      <c r="F569" s="884"/>
      <c r="G569" s="884"/>
      <c r="H569" s="778"/>
      <c r="I569" s="778"/>
      <c r="J569" s="778"/>
      <c r="K569" s="778"/>
    </row>
    <row r="570" spans="2:11" x14ac:dyDescent="0.35">
      <c r="B570" s="778" t="s">
        <v>239</v>
      </c>
      <c r="C570" s="778"/>
      <c r="D570" s="778"/>
      <c r="E570" s="778"/>
      <c r="F570" s="884"/>
      <c r="G570" s="884"/>
      <c r="H570" s="778"/>
      <c r="I570" s="778"/>
      <c r="J570" s="778"/>
      <c r="K570" s="778"/>
    </row>
    <row r="571" spans="2:11" x14ac:dyDescent="0.35">
      <c r="B571" s="778" t="s">
        <v>239</v>
      </c>
      <c r="C571" s="778"/>
      <c r="D571" s="778"/>
      <c r="E571" s="778"/>
      <c r="F571" s="884"/>
      <c r="G571" s="884"/>
      <c r="H571" s="778"/>
      <c r="I571" s="778"/>
      <c r="J571" s="778"/>
      <c r="K571" s="778"/>
    </row>
    <row r="572" spans="2:11" x14ac:dyDescent="0.35">
      <c r="B572" s="1007" t="s">
        <v>478</v>
      </c>
      <c r="C572" s="778"/>
      <c r="D572" s="778"/>
      <c r="E572" s="778"/>
      <c r="F572" s="884"/>
      <c r="G572" s="884"/>
      <c r="H572" s="778"/>
      <c r="I572" s="778"/>
      <c r="J572" s="778"/>
      <c r="K572" s="778"/>
    </row>
    <row r="573" spans="2:11" x14ac:dyDescent="0.35">
      <c r="B573" s="778" t="s">
        <v>239</v>
      </c>
      <c r="C573" s="778"/>
      <c r="D573" s="778"/>
      <c r="E573" s="778"/>
      <c r="F573" s="884"/>
      <c r="G573" s="884"/>
      <c r="H573" s="778"/>
      <c r="I573" s="778"/>
      <c r="J573" s="778"/>
      <c r="K573" s="778"/>
    </row>
    <row r="574" spans="2:11" x14ac:dyDescent="0.35">
      <c r="B574" s="778" t="s">
        <v>239</v>
      </c>
      <c r="C574" s="778"/>
      <c r="D574" s="778"/>
      <c r="E574" s="778"/>
      <c r="F574" s="884"/>
      <c r="G574" s="884"/>
      <c r="H574" s="778"/>
      <c r="I574" s="778"/>
      <c r="J574" s="778"/>
      <c r="K574" s="778"/>
    </row>
    <row r="575" spans="2:11" x14ac:dyDescent="0.35">
      <c r="B575" s="779" t="s">
        <v>479</v>
      </c>
      <c r="C575" s="778"/>
      <c r="D575" s="778"/>
      <c r="E575" s="778"/>
      <c r="F575" s="884"/>
      <c r="G575" s="884"/>
      <c r="H575" s="778"/>
      <c r="I575" s="778"/>
      <c r="J575" s="778"/>
      <c r="K575" s="778"/>
    </row>
    <row r="576" spans="2:11" x14ac:dyDescent="0.35">
      <c r="B576" s="778" t="s">
        <v>1404</v>
      </c>
      <c r="C576" s="778"/>
      <c r="D576" s="778"/>
      <c r="E576" s="778"/>
      <c r="F576" s="884">
        <f>SUM(N394:N399)*30%</f>
        <v>3.0962735999999999E-3</v>
      </c>
      <c r="G576" s="884">
        <f>SUM(N394:N399)*70%</f>
        <v>7.2246383999999995E-3</v>
      </c>
      <c r="H576" s="1038">
        <f>+Assum!G52</f>
        <v>0</v>
      </c>
      <c r="I576" s="778">
        <v>9</v>
      </c>
      <c r="J576" s="778">
        <v>5</v>
      </c>
      <c r="K576" s="778" t="s">
        <v>1405</v>
      </c>
    </row>
    <row r="577" spans="2:11" x14ac:dyDescent="0.35">
      <c r="B577" s="778" t="s">
        <v>239</v>
      </c>
      <c r="C577" s="778"/>
      <c r="D577" s="778"/>
      <c r="E577" s="778"/>
      <c r="F577" s="884"/>
      <c r="G577" s="884"/>
      <c r="H577" s="778"/>
      <c r="I577" s="778"/>
      <c r="J577" s="778"/>
      <c r="K577" s="778"/>
    </row>
    <row r="578" spans="2:11" x14ac:dyDescent="0.35">
      <c r="B578" s="1023"/>
      <c r="C578" s="778"/>
      <c r="D578" s="778"/>
      <c r="E578" s="778"/>
      <c r="F578" s="884"/>
      <c r="G578" s="884"/>
      <c r="H578" s="778"/>
      <c r="I578" s="778"/>
      <c r="J578" s="778"/>
      <c r="K578" s="778"/>
    </row>
    <row r="579" spans="2:11" x14ac:dyDescent="0.35">
      <c r="B579" s="1006" t="s">
        <v>199</v>
      </c>
      <c r="C579" s="778"/>
      <c r="D579" s="778"/>
      <c r="E579" s="778"/>
      <c r="F579" s="884"/>
      <c r="G579" s="884"/>
      <c r="H579" s="778"/>
      <c r="I579" s="778"/>
      <c r="J579" s="778"/>
      <c r="K579" s="778"/>
    </row>
    <row r="580" spans="2:11" x14ac:dyDescent="0.35">
      <c r="B580" s="1006" t="s">
        <v>476</v>
      </c>
      <c r="C580" s="778"/>
      <c r="D580" s="778"/>
      <c r="E580" s="778"/>
      <c r="F580" s="884"/>
      <c r="G580" s="884"/>
      <c r="H580" s="778"/>
      <c r="I580" s="778"/>
      <c r="J580" s="778"/>
      <c r="K580" s="778"/>
    </row>
    <row r="581" spans="2:11" x14ac:dyDescent="0.35">
      <c r="B581" s="1007" t="s">
        <v>477</v>
      </c>
      <c r="C581" s="778"/>
      <c r="D581" s="778"/>
      <c r="E581" s="778"/>
      <c r="F581" s="884"/>
      <c r="G581" s="884"/>
      <c r="H581" s="778"/>
      <c r="I581" s="778"/>
      <c r="J581" s="778"/>
      <c r="K581" s="778"/>
    </row>
    <row r="582" spans="2:11" x14ac:dyDescent="0.35">
      <c r="B582" s="778" t="s">
        <v>239</v>
      </c>
      <c r="C582" s="778"/>
      <c r="D582" s="778"/>
      <c r="E582" s="778"/>
      <c r="F582" s="884"/>
      <c r="G582" s="884"/>
      <c r="H582" s="778"/>
      <c r="I582" s="778"/>
      <c r="J582" s="778"/>
      <c r="K582" s="778"/>
    </row>
    <row r="583" spans="2:11" x14ac:dyDescent="0.35">
      <c r="B583" s="778" t="s">
        <v>239</v>
      </c>
      <c r="C583" s="778"/>
      <c r="D583" s="778"/>
      <c r="E583" s="778"/>
      <c r="F583" s="884"/>
      <c r="G583" s="884"/>
      <c r="H583" s="778"/>
      <c r="I583" s="778"/>
      <c r="J583" s="778"/>
      <c r="K583" s="778"/>
    </row>
    <row r="584" spans="2:11" x14ac:dyDescent="0.35">
      <c r="B584" s="1007" t="s">
        <v>478</v>
      </c>
      <c r="C584" s="778"/>
      <c r="D584" s="778"/>
      <c r="E584" s="778"/>
      <c r="F584" s="884"/>
      <c r="G584" s="884"/>
      <c r="H584" s="778"/>
      <c r="I584" s="778"/>
      <c r="J584" s="778"/>
      <c r="K584" s="778"/>
    </row>
    <row r="585" spans="2:11" x14ac:dyDescent="0.35">
      <c r="B585" s="778" t="s">
        <v>239</v>
      </c>
      <c r="C585" s="778"/>
      <c r="D585" s="778"/>
      <c r="E585" s="778"/>
      <c r="F585" s="884"/>
      <c r="G585" s="884"/>
      <c r="H585" s="778"/>
      <c r="I585" s="778"/>
      <c r="J585" s="778"/>
      <c r="K585" s="778"/>
    </row>
    <row r="586" spans="2:11" x14ac:dyDescent="0.35">
      <c r="B586" s="778" t="s">
        <v>239</v>
      </c>
      <c r="C586" s="778"/>
      <c r="D586" s="778"/>
      <c r="E586" s="778"/>
      <c r="F586" s="884"/>
      <c r="G586" s="884"/>
      <c r="H586" s="778"/>
      <c r="I586" s="778"/>
      <c r="J586" s="778"/>
      <c r="K586" s="778"/>
    </row>
    <row r="587" spans="2:11" x14ac:dyDescent="0.35">
      <c r="B587" s="779" t="s">
        <v>479</v>
      </c>
      <c r="C587" s="778"/>
      <c r="D587" s="778"/>
      <c r="E587" s="778"/>
      <c r="F587" s="884"/>
      <c r="G587" s="884"/>
      <c r="H587" s="778"/>
      <c r="I587" s="778"/>
      <c r="J587" s="778"/>
      <c r="K587" s="778"/>
    </row>
    <row r="588" spans="2:11" x14ac:dyDescent="0.35">
      <c r="B588" s="778" t="s">
        <v>1404</v>
      </c>
      <c r="C588" s="778"/>
      <c r="D588" s="778"/>
      <c r="E588" s="778"/>
      <c r="F588" s="884">
        <f>SUM(N405:N416)*30%</f>
        <v>9.1879328699999999E-2</v>
      </c>
      <c r="G588" s="884">
        <f>SUM(N405:N416)*70%</f>
        <v>0.21438510029999999</v>
      </c>
      <c r="H588" s="1038">
        <f>+Assum!H52</f>
        <v>0</v>
      </c>
      <c r="I588" s="778">
        <v>9</v>
      </c>
      <c r="J588" s="778">
        <v>5</v>
      </c>
      <c r="K588" s="778" t="s">
        <v>1405</v>
      </c>
    </row>
    <row r="589" spans="2:11" x14ac:dyDescent="0.35">
      <c r="B589" s="778" t="s">
        <v>239</v>
      </c>
      <c r="C589" s="778"/>
      <c r="D589" s="778"/>
      <c r="E589" s="778"/>
      <c r="F589" s="884"/>
      <c r="G589" s="884"/>
      <c r="H589" s="778"/>
      <c r="I589" s="778"/>
      <c r="J589" s="778"/>
      <c r="K589" s="778"/>
    </row>
    <row r="590" spans="2:11" x14ac:dyDescent="0.35">
      <c r="B590" s="1023"/>
      <c r="C590" s="778"/>
      <c r="D590" s="778"/>
      <c r="E590" s="778"/>
      <c r="F590" s="884"/>
      <c r="G590" s="884"/>
      <c r="H590" s="778"/>
      <c r="I590" s="778"/>
      <c r="J590" s="778"/>
      <c r="K590" s="778"/>
    </row>
    <row r="591" spans="2:11" x14ac:dyDescent="0.35">
      <c r="B591" s="1006" t="s">
        <v>112</v>
      </c>
      <c r="C591" s="778"/>
      <c r="D591" s="778"/>
      <c r="E591" s="778"/>
      <c r="F591" s="884"/>
      <c r="G591" s="884"/>
      <c r="H591" s="778"/>
      <c r="I591" s="778"/>
      <c r="J591" s="778"/>
      <c r="K591" s="778"/>
    </row>
    <row r="592" spans="2:11" x14ac:dyDescent="0.35">
      <c r="B592" s="1006" t="s">
        <v>476</v>
      </c>
      <c r="C592" s="778"/>
      <c r="D592" s="778"/>
      <c r="E592" s="778"/>
      <c r="F592" s="884"/>
      <c r="G592" s="884"/>
      <c r="H592" s="778"/>
      <c r="I592" s="778"/>
      <c r="J592" s="778"/>
      <c r="K592" s="778"/>
    </row>
    <row r="593" spans="2:11" x14ac:dyDescent="0.35">
      <c r="B593" s="1007" t="s">
        <v>477</v>
      </c>
      <c r="C593" s="778"/>
      <c r="D593" s="778"/>
      <c r="E593" s="778"/>
      <c r="F593" s="884"/>
      <c r="G593" s="884"/>
      <c r="H593" s="778"/>
      <c r="I593" s="778"/>
      <c r="J593" s="778"/>
      <c r="K593" s="778"/>
    </row>
    <row r="594" spans="2:11" x14ac:dyDescent="0.35">
      <c r="B594" s="778" t="s">
        <v>239</v>
      </c>
      <c r="C594" s="778"/>
      <c r="D594" s="778"/>
      <c r="E594" s="778"/>
      <c r="F594" s="884"/>
      <c r="G594" s="884"/>
      <c r="H594" s="778"/>
      <c r="I594" s="778"/>
      <c r="J594" s="778"/>
      <c r="K594" s="778"/>
    </row>
    <row r="595" spans="2:11" x14ac:dyDescent="0.35">
      <c r="B595" s="778" t="s">
        <v>239</v>
      </c>
      <c r="C595" s="778"/>
      <c r="D595" s="778"/>
      <c r="E595" s="778"/>
      <c r="F595" s="884"/>
      <c r="G595" s="884"/>
      <c r="H595" s="778"/>
      <c r="I595" s="778"/>
      <c r="J595" s="778"/>
      <c r="K595" s="778"/>
    </row>
    <row r="596" spans="2:11" x14ac:dyDescent="0.35">
      <c r="B596" s="1007" t="s">
        <v>478</v>
      </c>
      <c r="C596" s="778"/>
      <c r="D596" s="778"/>
      <c r="E596" s="778"/>
      <c r="F596" s="884"/>
      <c r="G596" s="884"/>
      <c r="H596" s="778"/>
      <c r="I596" s="778"/>
      <c r="J596" s="778"/>
      <c r="K596" s="778"/>
    </row>
    <row r="597" spans="2:11" x14ac:dyDescent="0.35">
      <c r="B597" s="778" t="s">
        <v>239</v>
      </c>
      <c r="C597" s="778"/>
      <c r="D597" s="778"/>
      <c r="E597" s="778"/>
      <c r="F597" s="884"/>
      <c r="G597" s="884"/>
      <c r="H597" s="778"/>
      <c r="I597" s="778"/>
      <c r="J597" s="778"/>
      <c r="K597" s="778"/>
    </row>
    <row r="598" spans="2:11" x14ac:dyDescent="0.35">
      <c r="B598" s="778" t="s">
        <v>239</v>
      </c>
      <c r="C598" s="778"/>
      <c r="D598" s="778"/>
      <c r="E598" s="778"/>
      <c r="F598" s="884"/>
      <c r="G598" s="884"/>
      <c r="H598" s="778"/>
      <c r="I598" s="778"/>
      <c r="J598" s="778"/>
      <c r="K598" s="778"/>
    </row>
    <row r="599" spans="2:11" x14ac:dyDescent="0.35">
      <c r="B599" s="779" t="s">
        <v>479</v>
      </c>
      <c r="C599" s="778"/>
      <c r="D599" s="778"/>
      <c r="E599" s="778"/>
      <c r="F599" s="884"/>
      <c r="G599" s="884"/>
      <c r="H599" s="778"/>
      <c r="I599" s="778"/>
      <c r="J599" s="778"/>
      <c r="K599" s="778"/>
    </row>
    <row r="600" spans="2:11" x14ac:dyDescent="0.35">
      <c r="B600" s="778" t="s">
        <v>1404</v>
      </c>
      <c r="C600" s="778"/>
      <c r="D600" s="778"/>
      <c r="E600" s="778"/>
      <c r="F600" s="884">
        <f>SUM(N421:N432)*30%</f>
        <v>0.36852731970000002</v>
      </c>
      <c r="G600" s="884">
        <f>SUM(N421:N432)*70%</f>
        <v>0.85989707930000003</v>
      </c>
      <c r="H600" s="1038">
        <f>+Assum!I52</f>
        <v>0</v>
      </c>
      <c r="I600" s="778">
        <v>9</v>
      </c>
      <c r="J600" s="778">
        <v>5</v>
      </c>
      <c r="K600" s="778" t="s">
        <v>1405</v>
      </c>
    </row>
    <row r="601" spans="2:11" x14ac:dyDescent="0.35">
      <c r="B601" s="778" t="s">
        <v>239</v>
      </c>
      <c r="C601" s="778"/>
      <c r="D601" s="778"/>
      <c r="E601" s="778"/>
      <c r="F601" s="884"/>
      <c r="G601" s="884"/>
      <c r="H601" s="778"/>
      <c r="I601" s="778"/>
      <c r="J601" s="778"/>
      <c r="K601" s="778"/>
    </row>
    <row r="602" spans="2:11" x14ac:dyDescent="0.35">
      <c r="B602" s="1023"/>
      <c r="C602" s="778"/>
      <c r="D602" s="778"/>
      <c r="E602" s="778"/>
      <c r="F602" s="884"/>
      <c r="G602" s="884"/>
      <c r="H602" s="778"/>
      <c r="I602" s="778"/>
      <c r="J602" s="778"/>
      <c r="K602" s="778"/>
    </row>
    <row r="603" spans="2:11" x14ac:dyDescent="0.35">
      <c r="B603" s="1006" t="s">
        <v>113</v>
      </c>
      <c r="C603" s="778"/>
      <c r="D603" s="778"/>
      <c r="E603" s="778"/>
      <c r="F603" s="884"/>
      <c r="G603" s="884"/>
      <c r="H603" s="778"/>
      <c r="I603" s="778"/>
      <c r="J603" s="778"/>
      <c r="K603" s="778"/>
    </row>
    <row r="604" spans="2:11" x14ac:dyDescent="0.35">
      <c r="B604" s="779" t="s">
        <v>479</v>
      </c>
      <c r="C604" s="778"/>
      <c r="D604" s="778"/>
      <c r="E604" s="778"/>
      <c r="F604" s="884"/>
      <c r="G604" s="884"/>
      <c r="H604" s="778"/>
      <c r="I604" s="778"/>
      <c r="J604" s="778"/>
      <c r="K604" s="778"/>
    </row>
    <row r="605" spans="2:11" x14ac:dyDescent="0.35">
      <c r="B605" s="778" t="s">
        <v>1404</v>
      </c>
      <c r="C605" s="778"/>
      <c r="D605" s="778"/>
      <c r="E605" s="778"/>
      <c r="F605" s="884">
        <f>SUM(N438:N443)*30%</f>
        <v>1.4115248249999999E-2</v>
      </c>
      <c r="G605" s="884">
        <f>SUM(N438:N443)*70%</f>
        <v>3.2935579249999992E-2</v>
      </c>
      <c r="H605" s="778">
        <f>+Assum!J52</f>
        <v>0</v>
      </c>
      <c r="I605" s="778"/>
      <c r="J605" s="778"/>
      <c r="K605" s="778"/>
    </row>
    <row r="606" spans="2:11" x14ac:dyDescent="0.35">
      <c r="B606" s="1023"/>
      <c r="C606" s="778"/>
      <c r="D606" s="778"/>
      <c r="E606" s="778"/>
      <c r="F606" s="884"/>
      <c r="G606" s="884"/>
      <c r="H606" s="778"/>
      <c r="I606" s="778"/>
      <c r="J606" s="778"/>
      <c r="K606" s="778"/>
    </row>
    <row r="607" spans="2:11" x14ac:dyDescent="0.35">
      <c r="B607" s="1006" t="s">
        <v>114</v>
      </c>
      <c r="C607" s="778"/>
      <c r="D607" s="778"/>
      <c r="E607" s="778"/>
      <c r="F607" s="884"/>
      <c r="G607" s="884"/>
      <c r="H607" s="778"/>
      <c r="I607" s="778"/>
      <c r="J607" s="778"/>
      <c r="K607" s="778"/>
    </row>
    <row r="608" spans="2:11" x14ac:dyDescent="0.35">
      <c r="B608" s="779" t="s">
        <v>479</v>
      </c>
      <c r="C608" s="778"/>
      <c r="D608" s="778"/>
      <c r="E608" s="778"/>
      <c r="F608" s="884"/>
      <c r="G608" s="884"/>
      <c r="H608" s="778"/>
      <c r="I608" s="778"/>
      <c r="J608" s="778"/>
      <c r="K608" s="778"/>
    </row>
    <row r="609" spans="2:11" x14ac:dyDescent="0.35">
      <c r="B609" s="778" t="s">
        <v>1404</v>
      </c>
      <c r="C609" s="778"/>
      <c r="D609" s="778"/>
      <c r="E609" s="778"/>
      <c r="F609" s="884">
        <f>SUM(N447:N452)*30%</f>
        <v>6.2561355000000001E-3</v>
      </c>
      <c r="G609" s="884">
        <f>SUM(N447:N452)*70%</f>
        <v>1.4597649499999999E-2</v>
      </c>
      <c r="H609" s="778"/>
      <c r="I609" s="778"/>
      <c r="J609" s="778"/>
      <c r="K609" s="778"/>
    </row>
    <row r="610" spans="2:11" x14ac:dyDescent="0.35">
      <c r="B610" s="778"/>
      <c r="C610" s="778"/>
      <c r="D610" s="778"/>
      <c r="E610" s="778"/>
      <c r="F610" s="884"/>
      <c r="G610" s="884"/>
      <c r="H610" s="778"/>
      <c r="I610" s="778"/>
      <c r="J610" s="778"/>
      <c r="K610" s="778"/>
    </row>
    <row r="611" spans="2:11" x14ac:dyDescent="0.35">
      <c r="B611" s="779" t="s">
        <v>1438</v>
      </c>
      <c r="C611" s="778"/>
      <c r="D611" s="778"/>
      <c r="E611" s="778"/>
      <c r="F611" s="884"/>
      <c r="G611" s="884"/>
      <c r="H611" s="778"/>
      <c r="I611" s="778"/>
      <c r="J611" s="778"/>
      <c r="K611" s="778"/>
    </row>
    <row r="612" spans="2:11" x14ac:dyDescent="0.35">
      <c r="B612" s="1007" t="s">
        <v>1439</v>
      </c>
      <c r="C612" s="778"/>
      <c r="D612" s="778"/>
      <c r="E612" s="778"/>
      <c r="F612" s="884"/>
      <c r="G612" s="884"/>
      <c r="H612" s="778"/>
      <c r="I612" s="778"/>
      <c r="J612" s="778"/>
      <c r="K612" s="778"/>
    </row>
    <row r="613" spans="2:11" x14ac:dyDescent="0.35">
      <c r="B613" s="778" t="s">
        <v>479</v>
      </c>
      <c r="C613" s="778"/>
      <c r="D613" s="778"/>
      <c r="E613" s="778"/>
      <c r="F613" s="884">
        <f>SUM($N$456:$N$518)*30%</f>
        <v>0.45194540999999999</v>
      </c>
      <c r="G613" s="884">
        <f>SUM($N$456:$N$518)*70%</f>
        <v>1.0545392899999999</v>
      </c>
      <c r="H613" s="778"/>
      <c r="I613" s="778"/>
      <c r="J613" s="778"/>
      <c r="K613" s="778"/>
    </row>
    <row r="614" spans="2:11" x14ac:dyDescent="0.35">
      <c r="B614" s="778"/>
      <c r="C614" s="778"/>
      <c r="D614" s="778"/>
      <c r="E614" s="778"/>
      <c r="F614" s="778"/>
      <c r="G614" s="778"/>
      <c r="H614" s="778"/>
      <c r="I614" s="778"/>
      <c r="J614" s="778"/>
      <c r="K614" s="778"/>
    </row>
    <row r="615" spans="2:11" x14ac:dyDescent="0.35">
      <c r="B615" s="1027" t="s">
        <v>480</v>
      </c>
      <c r="C615" s="1028"/>
      <c r="D615" s="1028"/>
      <c r="E615" s="1028"/>
      <c r="F615" s="1029">
        <f>SUM(F532:F613)</f>
        <v>1.5461825696770297</v>
      </c>
      <c r="G615" s="1029">
        <f>SUM(G532:G613)</f>
        <v>3.6077593292464032</v>
      </c>
      <c r="H615" s="1028"/>
      <c r="I615" s="1028"/>
      <c r="J615" s="1028"/>
      <c r="K615" s="1028"/>
    </row>
    <row r="616" spans="2:11" x14ac:dyDescent="0.35">
      <c r="F616" s="814"/>
      <c r="G616" s="814"/>
    </row>
    <row r="617" spans="2:11" x14ac:dyDescent="0.35">
      <c r="B617" s="1052" t="s">
        <v>1406</v>
      </c>
      <c r="C617" s="1052"/>
      <c r="D617" s="1052"/>
      <c r="E617" s="1052"/>
      <c r="F617" s="1052"/>
      <c r="G617" s="1053"/>
      <c r="H617" s="1052"/>
      <c r="I617" s="1052"/>
    </row>
    <row r="618" spans="2:11" x14ac:dyDescent="0.35">
      <c r="B618" s="1052" t="s">
        <v>492</v>
      </c>
      <c r="C618" s="1052"/>
      <c r="D618" s="1052"/>
      <c r="E618" s="1052"/>
      <c r="F618" s="1052"/>
      <c r="G618" s="1052"/>
      <c r="H618" s="1052"/>
      <c r="I618" s="1052"/>
    </row>
  </sheetData>
  <mergeCells count="99">
    <mergeCell ref="J10:L10"/>
    <mergeCell ref="M10:S10"/>
    <mergeCell ref="G10:I10"/>
    <mergeCell ref="B10:B12"/>
    <mergeCell ref="C10:C12"/>
    <mergeCell ref="D10:D12"/>
    <mergeCell ref="E10:E12"/>
    <mergeCell ref="F10:F12"/>
    <mergeCell ref="G11:G12"/>
    <mergeCell ref="M11:M12"/>
    <mergeCell ref="N11:N12"/>
    <mergeCell ref="O11:S11"/>
    <mergeCell ref="H11:H12"/>
    <mergeCell ref="I11:I12"/>
    <mergeCell ref="J11:J12"/>
    <mergeCell ref="K11:K12"/>
    <mergeCell ref="L11:L12"/>
    <mergeCell ref="B47:B48"/>
    <mergeCell ref="C47:C48"/>
    <mergeCell ref="B63:B64"/>
    <mergeCell ref="C63:C64"/>
    <mergeCell ref="B193:B194"/>
    <mergeCell ref="C193:C194"/>
    <mergeCell ref="B80:B81"/>
    <mergeCell ref="C80:C81"/>
    <mergeCell ref="C96:C97"/>
    <mergeCell ref="B112:B113"/>
    <mergeCell ref="C112:C113"/>
    <mergeCell ref="B226:B228"/>
    <mergeCell ref="C226:K226"/>
    <mergeCell ref="C227:C228"/>
    <mergeCell ref="D227:D228"/>
    <mergeCell ref="E227:E228"/>
    <mergeCell ref="F227:F228"/>
    <mergeCell ref="G227:K227"/>
    <mergeCell ref="B244:B245"/>
    <mergeCell ref="C244:C245"/>
    <mergeCell ref="B256:B257"/>
    <mergeCell ref="C256:C257"/>
    <mergeCell ref="B268:B269"/>
    <mergeCell ref="C268:C269"/>
    <mergeCell ref="C280:C281"/>
    <mergeCell ref="B292:B293"/>
    <mergeCell ref="C292:C293"/>
    <mergeCell ref="B303:B304"/>
    <mergeCell ref="C303:C304"/>
    <mergeCell ref="B280:B281"/>
    <mergeCell ref="B311:B312"/>
    <mergeCell ref="C311:C312"/>
    <mergeCell ref="B327:B329"/>
    <mergeCell ref="C327:C329"/>
    <mergeCell ref="D327:D329"/>
    <mergeCell ref="E327:E329"/>
    <mergeCell ref="F327:F329"/>
    <mergeCell ref="G327:I327"/>
    <mergeCell ref="J327:L327"/>
    <mergeCell ref="M327:S327"/>
    <mergeCell ref="G328:G329"/>
    <mergeCell ref="H328:H329"/>
    <mergeCell ref="I328:I329"/>
    <mergeCell ref="J328:J329"/>
    <mergeCell ref="K328:K329"/>
    <mergeCell ref="L328:L329"/>
    <mergeCell ref="M328:M329"/>
    <mergeCell ref="N328:N329"/>
    <mergeCell ref="O328:S328"/>
    <mergeCell ref="B528:B530"/>
    <mergeCell ref="C528:K528"/>
    <mergeCell ref="C529:C530"/>
    <mergeCell ref="D529:D530"/>
    <mergeCell ref="E529:E530"/>
    <mergeCell ref="F529:F530"/>
    <mergeCell ref="G529:K529"/>
    <mergeCell ref="B206:B207"/>
    <mergeCell ref="B96:B97"/>
    <mergeCell ref="B2:S2"/>
    <mergeCell ref="B3:S3"/>
    <mergeCell ref="B4:S4"/>
    <mergeCell ref="B154:B155"/>
    <mergeCell ref="C154:C155"/>
    <mergeCell ref="B141:B142"/>
    <mergeCell ref="C141:C142"/>
    <mergeCell ref="B128:B129"/>
    <mergeCell ref="C128:C129"/>
    <mergeCell ref="C206:C207"/>
    <mergeCell ref="B167:B168"/>
    <mergeCell ref="C167:C168"/>
    <mergeCell ref="B180:B181"/>
    <mergeCell ref="C180:C181"/>
    <mergeCell ref="B509:B510"/>
    <mergeCell ref="C509:C510"/>
    <mergeCell ref="B457:B458"/>
    <mergeCell ref="C457:C458"/>
    <mergeCell ref="B470:B471"/>
    <mergeCell ref="C470:C471"/>
    <mergeCell ref="B483:B484"/>
    <mergeCell ref="C483:C484"/>
    <mergeCell ref="B496:B497"/>
    <mergeCell ref="C496:C497"/>
  </mergeCells>
  <pageMargins left="0.47244094488188981" right="0.19685039370078741" top="0.39370078740157483" bottom="0.35433070866141736" header="0.23622047244094491" footer="0.23622047244094491"/>
  <pageSetup paperSize="9" scale="33" fitToHeight="4" orientation="landscape" r:id="rId1"/>
  <headerFooter alignWithMargins="0">
    <oddHeader>&amp;F</oddHeader>
  </headerFooter>
  <rowBreaks count="6" manualBreakCount="6">
    <brk id="92" min="1" max="18" man="1"/>
    <brk id="202" min="1" max="18" man="1"/>
    <brk id="269" min="1" max="18" man="1"/>
    <brk id="322" min="1" max="18" man="1"/>
    <brk id="466" min="1" max="18" man="1"/>
    <brk id="525" min="1" max="18"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L59"/>
  <sheetViews>
    <sheetView showGridLines="0" view="pageBreakPreview" topLeftCell="V40" zoomScale="80" zoomScaleNormal="80" zoomScaleSheetLayoutView="80" workbookViewId="0">
      <selection activeCell="AY49" sqref="AY49"/>
    </sheetView>
  </sheetViews>
  <sheetFormatPr defaultColWidth="9.1328125" defaultRowHeight="12.75" x14ac:dyDescent="0.35"/>
  <cols>
    <col min="1" max="1" width="4.46484375" style="405" customWidth="1"/>
    <col min="2" max="2" width="8.33203125" style="405" customWidth="1"/>
    <col min="3" max="3" width="46.46484375" style="405" customWidth="1"/>
    <col min="4" max="4" width="18" style="405" customWidth="1"/>
    <col min="5" max="5" width="15.46484375" style="405" customWidth="1"/>
    <col min="6" max="6" width="14" style="405" customWidth="1"/>
    <col min="7" max="7" width="14.46484375" style="405" customWidth="1"/>
    <col min="8" max="8" width="9.6640625" style="405" customWidth="1"/>
    <col min="9" max="12" width="19.33203125" style="405" hidden="1" customWidth="1"/>
    <col min="13" max="13" width="18.86328125" style="405" hidden="1" customWidth="1"/>
    <col min="14" max="16" width="15.46484375" style="405" hidden="1" customWidth="1"/>
    <col min="17" max="29" width="10.86328125" style="405" bestFit="1" customWidth="1"/>
    <col min="30" max="34" width="14.46484375" style="405" hidden="1" customWidth="1"/>
    <col min="35" max="35" width="17.33203125" style="405" hidden="1" customWidth="1"/>
    <col min="36" max="36" width="13.33203125" style="405" hidden="1" customWidth="1"/>
    <col min="37" max="42" width="14.6640625" style="405" hidden="1" customWidth="1"/>
    <col min="43" max="43" width="14.6640625" style="405" customWidth="1"/>
    <col min="44" max="55" width="10.86328125" style="405" bestFit="1" customWidth="1"/>
    <col min="56" max="56" width="16" style="405" customWidth="1"/>
    <col min="57" max="57" width="14" style="405" customWidth="1"/>
    <col min="58" max="60" width="12.6640625" style="405" customWidth="1"/>
    <col min="61" max="61" width="15.33203125" style="405" customWidth="1"/>
    <col min="62" max="62" width="12.46484375" style="405" customWidth="1"/>
    <col min="63" max="64" width="13.46484375" style="405" customWidth="1"/>
    <col min="65" max="67" width="9.1328125" style="405"/>
    <col min="68" max="68" width="11.33203125" style="405" customWidth="1"/>
    <col min="69" max="16384" width="9.1328125" style="405"/>
  </cols>
  <sheetData>
    <row r="2" spans="2:64" x14ac:dyDescent="0.35">
      <c r="C2" s="990"/>
      <c r="D2" s="990"/>
      <c r="E2" s="990"/>
      <c r="F2" s="990"/>
      <c r="G2" s="990"/>
      <c r="H2" s="990"/>
      <c r="I2" s="990"/>
      <c r="J2" s="990"/>
      <c r="K2" s="990"/>
      <c r="L2" s="990"/>
      <c r="M2" s="990"/>
      <c r="N2" s="990"/>
      <c r="O2" s="990"/>
      <c r="P2" s="990"/>
      <c r="Q2" s="990"/>
      <c r="R2" s="990"/>
      <c r="S2" s="991"/>
      <c r="T2" s="991"/>
      <c r="U2" s="991"/>
      <c r="V2" s="991"/>
      <c r="W2" s="991"/>
      <c r="X2" s="991"/>
      <c r="Y2" s="991"/>
      <c r="Z2" s="991"/>
      <c r="AA2" s="991"/>
      <c r="AB2" s="991"/>
      <c r="AC2" s="991"/>
      <c r="AD2" s="991"/>
    </row>
    <row r="3" spans="2:64" x14ac:dyDescent="0.35">
      <c r="B3" s="2019" t="str">
        <f>Index!B2</f>
        <v>Nidar Utilities Panvel LLP</v>
      </c>
      <c r="C3" s="2019"/>
      <c r="D3" s="2019"/>
      <c r="E3" s="2019"/>
      <c r="F3" s="2019"/>
      <c r="G3" s="2019"/>
      <c r="H3" s="2019"/>
      <c r="I3" s="2019"/>
      <c r="J3" s="2019"/>
      <c r="K3" s="2019"/>
      <c r="L3" s="2019"/>
      <c r="M3" s="2019"/>
      <c r="N3" s="2019"/>
      <c r="O3" s="2019"/>
      <c r="P3" s="2019"/>
      <c r="Q3" s="2019"/>
      <c r="R3" s="2019"/>
      <c r="S3" s="2019"/>
      <c r="T3" s="2019"/>
      <c r="U3" s="2019"/>
      <c r="V3" s="2019"/>
      <c r="W3" s="2019"/>
      <c r="X3" s="2019"/>
      <c r="Y3" s="2019"/>
      <c r="Z3" s="2019"/>
      <c r="AA3" s="2019"/>
      <c r="AB3" s="2019"/>
      <c r="AC3" s="2019"/>
      <c r="AD3" s="2019"/>
      <c r="AE3" s="2019"/>
      <c r="AF3" s="2019"/>
      <c r="AG3" s="2019"/>
      <c r="AH3" s="2019"/>
      <c r="AI3" s="2019"/>
      <c r="AJ3" s="2019"/>
      <c r="AK3" s="2019"/>
      <c r="AL3" s="2019"/>
      <c r="AM3" s="2019"/>
      <c r="AN3" s="2019"/>
      <c r="AO3" s="2019"/>
      <c r="AP3" s="2019"/>
      <c r="AQ3" s="2019"/>
      <c r="AR3" s="2019"/>
      <c r="AS3" s="2019"/>
      <c r="AT3" s="2019"/>
      <c r="AU3" s="2019"/>
      <c r="AV3" s="2019"/>
      <c r="AW3" s="2019"/>
      <c r="AX3" s="2019"/>
      <c r="AY3" s="2019"/>
      <c r="AZ3" s="2019"/>
      <c r="BA3" s="2019"/>
      <c r="BB3" s="2019"/>
      <c r="BC3" s="2019"/>
      <c r="BD3" s="2019"/>
      <c r="BE3" s="2019"/>
    </row>
    <row r="4" spans="2:64" x14ac:dyDescent="0.35">
      <c r="B4" s="2020" t="s">
        <v>340</v>
      </c>
      <c r="C4" s="2020"/>
      <c r="D4" s="2020"/>
      <c r="E4" s="2020"/>
      <c r="F4" s="2020"/>
      <c r="G4" s="2020"/>
      <c r="H4" s="2020"/>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0"/>
      <c r="AI4" s="2020"/>
      <c r="AJ4" s="2020"/>
      <c r="AK4" s="2020"/>
      <c r="AL4" s="2020"/>
      <c r="AM4" s="2020"/>
      <c r="AN4" s="2020"/>
      <c r="AO4" s="2020"/>
      <c r="AP4" s="2020"/>
      <c r="AQ4" s="2020"/>
      <c r="AR4" s="2020"/>
      <c r="AS4" s="2020"/>
      <c r="AT4" s="2020"/>
      <c r="AU4" s="2020"/>
      <c r="AV4" s="2020"/>
      <c r="AW4" s="2020"/>
      <c r="AX4" s="2020"/>
      <c r="AY4" s="2020"/>
      <c r="AZ4" s="2020"/>
      <c r="BA4" s="2020"/>
      <c r="BB4" s="2020"/>
      <c r="BC4" s="2020"/>
      <c r="BD4" s="2020"/>
      <c r="BE4" s="2020"/>
    </row>
    <row r="5" spans="2:64" x14ac:dyDescent="0.35">
      <c r="B5" s="2021" t="s">
        <v>493</v>
      </c>
      <c r="C5" s="2021"/>
      <c r="D5" s="2021"/>
      <c r="E5" s="2021"/>
      <c r="F5" s="2021"/>
      <c r="G5" s="2021"/>
      <c r="H5" s="2021"/>
      <c r="I5" s="2021"/>
      <c r="J5" s="2021"/>
      <c r="K5" s="2021"/>
      <c r="L5" s="2021"/>
      <c r="M5" s="2021"/>
      <c r="N5" s="2021"/>
      <c r="O5" s="2021"/>
      <c r="P5" s="2021"/>
      <c r="Q5" s="2021"/>
      <c r="R5" s="2021"/>
      <c r="S5" s="2021"/>
      <c r="T5" s="2021"/>
      <c r="U5" s="2021"/>
      <c r="V5" s="2021"/>
      <c r="W5" s="2021"/>
      <c r="X5" s="2021"/>
      <c r="Y5" s="2021"/>
      <c r="Z5" s="2021"/>
      <c r="AA5" s="2021"/>
      <c r="AB5" s="2021"/>
      <c r="AC5" s="2021"/>
      <c r="AD5" s="2021"/>
      <c r="AE5" s="2021"/>
      <c r="AF5" s="2021"/>
      <c r="AG5" s="2021"/>
      <c r="AH5" s="2021"/>
      <c r="AI5" s="2021"/>
      <c r="AJ5" s="2021"/>
      <c r="AK5" s="2021"/>
      <c r="AL5" s="2021"/>
      <c r="AM5" s="2021"/>
      <c r="AN5" s="2021"/>
      <c r="AO5" s="2021"/>
      <c r="AP5" s="2021"/>
      <c r="AQ5" s="2021"/>
      <c r="AR5" s="2021"/>
      <c r="AS5" s="2021"/>
      <c r="AT5" s="2021"/>
      <c r="AU5" s="2021"/>
      <c r="AV5" s="2021"/>
      <c r="AW5" s="2021"/>
      <c r="AX5" s="2021"/>
      <c r="AY5" s="2021"/>
      <c r="AZ5" s="2021"/>
      <c r="BA5" s="2021"/>
      <c r="BB5" s="2021"/>
      <c r="BC5" s="2021"/>
      <c r="BD5" s="2021"/>
      <c r="BE5" s="2021"/>
      <c r="BF5" s="993"/>
      <c r="BG5" s="993"/>
      <c r="BH5" s="993"/>
      <c r="BI5" s="460"/>
      <c r="BJ5" s="460"/>
      <c r="BK5" s="460"/>
      <c r="BL5" s="460"/>
    </row>
    <row r="6" spans="2:64" x14ac:dyDescent="0.35">
      <c r="C6" s="996" t="s">
        <v>109</v>
      </c>
      <c r="D6" s="994"/>
      <c r="E6" s="994"/>
      <c r="F6" s="994"/>
      <c r="G6" s="994"/>
      <c r="H6" s="994"/>
      <c r="I6" s="994"/>
      <c r="J6" s="994"/>
      <c r="K6" s="994"/>
      <c r="L6" s="994"/>
      <c r="M6" s="995"/>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row>
    <row r="7" spans="2:64" x14ac:dyDescent="0.35">
      <c r="C7" s="994"/>
      <c r="D7" s="994"/>
      <c r="E7" s="994"/>
      <c r="F7" s="994"/>
      <c r="G7" s="994"/>
      <c r="H7" s="994"/>
      <c r="I7" s="994"/>
      <c r="J7" s="994"/>
      <c r="K7" s="994"/>
      <c r="L7" s="994"/>
      <c r="M7" s="995"/>
      <c r="N7" s="460"/>
      <c r="O7" s="460"/>
      <c r="P7" s="460"/>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row>
    <row r="8" spans="2:64" ht="15" customHeight="1" x14ac:dyDescent="0.35">
      <c r="C8" s="995" t="s">
        <v>458</v>
      </c>
      <c r="D8" s="995"/>
      <c r="E8" s="995"/>
      <c r="F8" s="995"/>
      <c r="G8" s="995"/>
      <c r="H8" s="995"/>
      <c r="I8" s="995"/>
      <c r="J8" s="995"/>
      <c r="K8" s="995"/>
      <c r="L8" s="995"/>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row>
    <row r="9" spans="2:64" x14ac:dyDescent="0.35">
      <c r="C9" s="994"/>
      <c r="D9" s="994"/>
      <c r="E9" s="994"/>
      <c r="F9" s="994"/>
      <c r="G9" s="994"/>
      <c r="H9" s="994"/>
      <c r="I9" s="994"/>
      <c r="J9" s="994"/>
      <c r="K9" s="994"/>
      <c r="L9" s="994"/>
      <c r="M9" s="994"/>
      <c r="N9" s="460"/>
      <c r="O9" s="460"/>
      <c r="P9" s="460"/>
      <c r="Q9" s="460"/>
      <c r="R9" s="460"/>
      <c r="S9" s="460"/>
      <c r="T9" s="460"/>
      <c r="U9" s="460"/>
      <c r="V9" s="460"/>
      <c r="W9" s="415" t="s">
        <v>110</v>
      </c>
      <c r="AE9" s="460"/>
      <c r="AF9" s="460"/>
      <c r="AG9" s="460"/>
      <c r="AH9" s="460"/>
      <c r="AI9" s="460"/>
      <c r="AJ9" s="460"/>
      <c r="AK9" s="415"/>
      <c r="AL9" s="415"/>
      <c r="AM9" s="415"/>
      <c r="AN9" s="415"/>
      <c r="AO9" s="415"/>
      <c r="AP9" s="415"/>
      <c r="AQ9" s="415"/>
      <c r="AS9" s="460"/>
      <c r="AT9" s="460"/>
      <c r="AU9" s="460"/>
      <c r="AV9" s="460"/>
      <c r="AX9" s="1085" t="s">
        <v>110</v>
      </c>
      <c r="AY9" s="1085"/>
      <c r="AZ9" s="1085"/>
      <c r="BA9" s="1085"/>
      <c r="BB9" s="1085"/>
      <c r="BC9" s="1085"/>
      <c r="BF9" s="415"/>
      <c r="BG9" s="415"/>
      <c r="BH9" s="415"/>
      <c r="BI9" s="460"/>
      <c r="BJ9" s="460"/>
      <c r="BK9" s="460"/>
    </row>
    <row r="10" spans="2:64" ht="14.1" customHeight="1" x14ac:dyDescent="0.35">
      <c r="B10" s="2027" t="s">
        <v>1</v>
      </c>
      <c r="C10" s="2027" t="s">
        <v>459</v>
      </c>
      <c r="D10" s="2027" t="s">
        <v>460</v>
      </c>
      <c r="E10" s="2027" t="s">
        <v>461</v>
      </c>
      <c r="F10" s="2027" t="s">
        <v>462</v>
      </c>
      <c r="G10" s="2027" t="s">
        <v>494</v>
      </c>
      <c r="H10" s="2027" t="s">
        <v>495</v>
      </c>
      <c r="I10" s="2027" t="s">
        <v>496</v>
      </c>
      <c r="J10" s="2027" t="s">
        <v>497</v>
      </c>
      <c r="K10" s="2027" t="s">
        <v>498</v>
      </c>
      <c r="L10" s="2027" t="s">
        <v>499</v>
      </c>
      <c r="M10" s="2027" t="s">
        <v>500</v>
      </c>
      <c r="N10" s="2027" t="s">
        <v>501</v>
      </c>
      <c r="O10" s="2030" t="s">
        <v>452</v>
      </c>
      <c r="P10" s="2031"/>
      <c r="Q10" s="2031"/>
      <c r="R10" s="2031"/>
      <c r="S10" s="2031"/>
      <c r="T10" s="2031"/>
      <c r="U10" s="2031"/>
      <c r="V10" s="2031"/>
      <c r="W10" s="2031"/>
      <c r="X10" s="2031"/>
      <c r="Y10" s="2031"/>
      <c r="Z10" s="2031"/>
      <c r="AA10" s="2031"/>
      <c r="AB10" s="2031"/>
      <c r="AC10" s="2032"/>
      <c r="AD10" s="2030" t="s">
        <v>502</v>
      </c>
      <c r="AE10" s="2031"/>
      <c r="AF10" s="2031"/>
      <c r="AG10" s="2031"/>
      <c r="AH10" s="2031"/>
      <c r="AI10" s="2031"/>
      <c r="AJ10" s="2031"/>
      <c r="AK10" s="2031"/>
      <c r="AL10" s="2031"/>
      <c r="AM10" s="2031"/>
      <c r="AN10" s="2031"/>
      <c r="AO10" s="2031"/>
      <c r="AP10" s="2032"/>
      <c r="AQ10" s="2030" t="s">
        <v>453</v>
      </c>
      <c r="AR10" s="2031"/>
      <c r="AS10" s="2031"/>
      <c r="AT10" s="2031"/>
      <c r="AU10" s="2031"/>
      <c r="AV10" s="2031"/>
      <c r="AW10" s="2031"/>
      <c r="AX10" s="2032"/>
      <c r="AY10" s="998"/>
      <c r="AZ10" s="998"/>
      <c r="BA10" s="998"/>
      <c r="BB10" s="998"/>
      <c r="BC10" s="998"/>
      <c r="BD10" s="2044" t="s">
        <v>503</v>
      </c>
      <c r="BE10" s="2044"/>
    </row>
    <row r="11" spans="2:64" ht="15" customHeight="1" x14ac:dyDescent="0.35">
      <c r="B11" s="2039"/>
      <c r="C11" s="2039"/>
      <c r="D11" s="2039"/>
      <c r="E11" s="2039"/>
      <c r="F11" s="2039"/>
      <c r="G11" s="2039"/>
      <c r="H11" s="2039"/>
      <c r="I11" s="2039"/>
      <c r="J11" s="2039"/>
      <c r="K11" s="2039"/>
      <c r="L11" s="2039"/>
      <c r="M11" s="2039"/>
      <c r="N11" s="2039"/>
      <c r="O11" s="2027" t="s">
        <v>1428</v>
      </c>
      <c r="P11" s="1034" t="s">
        <v>186</v>
      </c>
      <c r="Q11" s="1034" t="s">
        <v>186</v>
      </c>
      <c r="R11" s="1034" t="s">
        <v>186</v>
      </c>
      <c r="S11" s="1034" t="s">
        <v>186</v>
      </c>
      <c r="T11" s="1034" t="s">
        <v>186</v>
      </c>
      <c r="U11" s="1034" t="s">
        <v>186</v>
      </c>
      <c r="V11" s="1034" t="s">
        <v>186</v>
      </c>
      <c r="W11" s="1034" t="s">
        <v>186</v>
      </c>
      <c r="X11" s="1034" t="s">
        <v>186</v>
      </c>
      <c r="Y11" s="1034" t="s">
        <v>135</v>
      </c>
      <c r="Z11" s="1034" t="s">
        <v>135</v>
      </c>
      <c r="AA11" s="1034" t="s">
        <v>135</v>
      </c>
      <c r="AB11" s="1034" t="s">
        <v>135</v>
      </c>
      <c r="AC11" s="1034" t="s">
        <v>135</v>
      </c>
      <c r="AD11" s="2027" t="s">
        <v>1431</v>
      </c>
      <c r="AE11" s="1034" t="s">
        <v>186</v>
      </c>
      <c r="AF11" s="1034" t="s">
        <v>186</v>
      </c>
      <c r="AG11" s="1034" t="s">
        <v>186</v>
      </c>
      <c r="AH11" s="1034" t="s">
        <v>186</v>
      </c>
      <c r="AI11" s="1034" t="s">
        <v>186</v>
      </c>
      <c r="AJ11" s="1034" t="s">
        <v>186</v>
      </c>
      <c r="AK11" s="1034" t="s">
        <v>186</v>
      </c>
      <c r="AL11" s="1034" t="s">
        <v>135</v>
      </c>
      <c r="AM11" s="1034" t="s">
        <v>135</v>
      </c>
      <c r="AN11" s="1034" t="s">
        <v>135</v>
      </c>
      <c r="AO11" s="1034" t="s">
        <v>135</v>
      </c>
      <c r="AP11" s="1034" t="s">
        <v>135</v>
      </c>
      <c r="AQ11" s="2027" t="s">
        <v>1432</v>
      </c>
      <c r="AR11" s="1034" t="s">
        <v>186</v>
      </c>
      <c r="AS11" s="1034" t="s">
        <v>186</v>
      </c>
      <c r="AT11" s="1034" t="s">
        <v>186</v>
      </c>
      <c r="AU11" s="1034" t="s">
        <v>186</v>
      </c>
      <c r="AV11" s="1034" t="s">
        <v>186</v>
      </c>
      <c r="AW11" s="1034" t="s">
        <v>186</v>
      </c>
      <c r="AX11" s="1034" t="s">
        <v>186</v>
      </c>
      <c r="AY11" s="1034" t="s">
        <v>135</v>
      </c>
      <c r="AZ11" s="1034" t="s">
        <v>135</v>
      </c>
      <c r="BA11" s="1034" t="s">
        <v>135</v>
      </c>
      <c r="BB11" s="1034" t="s">
        <v>135</v>
      </c>
      <c r="BC11" s="1034" t="s">
        <v>135</v>
      </c>
      <c r="BD11" s="2040" t="s">
        <v>504</v>
      </c>
      <c r="BE11" s="2042" t="s">
        <v>505</v>
      </c>
    </row>
    <row r="12" spans="2:64" ht="27" customHeight="1" x14ac:dyDescent="0.35">
      <c r="B12" s="2028"/>
      <c r="C12" s="2028"/>
      <c r="D12" s="2028"/>
      <c r="E12" s="2028"/>
      <c r="F12" s="2028"/>
      <c r="G12" s="2028"/>
      <c r="H12" s="2028"/>
      <c r="I12" s="2028"/>
      <c r="J12" s="2028"/>
      <c r="K12" s="2028"/>
      <c r="L12" s="2028"/>
      <c r="M12" s="2028"/>
      <c r="N12" s="2028"/>
      <c r="O12" s="2028"/>
      <c r="P12" s="389" t="s">
        <v>1277</v>
      </c>
      <c r="Q12" s="389" t="s">
        <v>195</v>
      </c>
      <c r="R12" s="389" t="s">
        <v>196</v>
      </c>
      <c r="S12" s="389" t="s">
        <v>197</v>
      </c>
      <c r="T12" s="389" t="s">
        <v>198</v>
      </c>
      <c r="U12" s="389" t="s">
        <v>199</v>
      </c>
      <c r="V12" s="389" t="s">
        <v>112</v>
      </c>
      <c r="W12" s="389" t="s">
        <v>113</v>
      </c>
      <c r="X12" s="389" t="s">
        <v>114</v>
      </c>
      <c r="Y12" s="1095" t="s">
        <v>123</v>
      </c>
      <c r="Z12" s="1095" t="s">
        <v>124</v>
      </c>
      <c r="AA12" s="1095" t="s">
        <v>125</v>
      </c>
      <c r="AB12" s="1095" t="s">
        <v>126</v>
      </c>
      <c r="AC12" s="1095" t="s">
        <v>127</v>
      </c>
      <c r="AD12" s="2028"/>
      <c r="AE12" s="389" t="s">
        <v>196</v>
      </c>
      <c r="AF12" s="389" t="s">
        <v>197</v>
      </c>
      <c r="AG12" s="389" t="s">
        <v>198</v>
      </c>
      <c r="AH12" s="389" t="s">
        <v>199</v>
      </c>
      <c r="AI12" s="389" t="s">
        <v>112</v>
      </c>
      <c r="AJ12" s="389" t="s">
        <v>113</v>
      </c>
      <c r="AK12" s="389" t="s">
        <v>114</v>
      </c>
      <c r="AL12" s="1095" t="s">
        <v>123</v>
      </c>
      <c r="AM12" s="1095" t="s">
        <v>124</v>
      </c>
      <c r="AN12" s="1095" t="s">
        <v>125</v>
      </c>
      <c r="AO12" s="1095" t="s">
        <v>126</v>
      </c>
      <c r="AP12" s="1095" t="s">
        <v>127</v>
      </c>
      <c r="AQ12" s="2028"/>
      <c r="AR12" s="389" t="s">
        <v>196</v>
      </c>
      <c r="AS12" s="389" t="s">
        <v>197</v>
      </c>
      <c r="AT12" s="389" t="s">
        <v>198</v>
      </c>
      <c r="AU12" s="389" t="s">
        <v>199</v>
      </c>
      <c r="AV12" s="389" t="s">
        <v>112</v>
      </c>
      <c r="AW12" s="389" t="s">
        <v>113</v>
      </c>
      <c r="AX12" s="389" t="s">
        <v>114</v>
      </c>
      <c r="AY12" s="1095" t="s">
        <v>123</v>
      </c>
      <c r="AZ12" s="1095" t="s">
        <v>124</v>
      </c>
      <c r="BA12" s="1095" t="s">
        <v>125</v>
      </c>
      <c r="BB12" s="1095" t="s">
        <v>126</v>
      </c>
      <c r="BC12" s="1095" t="s">
        <v>127</v>
      </c>
      <c r="BD12" s="2041"/>
      <c r="BE12" s="2043"/>
    </row>
    <row r="13" spans="2:64" x14ac:dyDescent="0.35">
      <c r="B13" s="779"/>
      <c r="C13" s="779"/>
      <c r="D13" s="778"/>
      <c r="E13" s="778"/>
      <c r="F13" s="778"/>
      <c r="G13" s="778"/>
      <c r="H13" s="778"/>
      <c r="I13" s="778"/>
      <c r="J13" s="778"/>
      <c r="K13" s="778"/>
      <c r="L13" s="778"/>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row>
    <row r="14" spans="2:64" x14ac:dyDescent="0.35">
      <c r="B14" s="779"/>
      <c r="C14" s="1006" t="s">
        <v>476</v>
      </c>
      <c r="D14" s="778"/>
      <c r="E14" s="778"/>
      <c r="F14" s="778"/>
      <c r="G14" s="778"/>
      <c r="H14" s="778"/>
      <c r="I14" s="778"/>
      <c r="J14" s="778"/>
      <c r="K14" s="778"/>
      <c r="L14" s="778"/>
      <c r="M14" s="778"/>
      <c r="N14" s="778"/>
      <c r="O14" s="778"/>
      <c r="P14" s="778"/>
      <c r="Q14" s="778"/>
      <c r="R14" s="778"/>
      <c r="S14" s="778"/>
      <c r="T14" s="778"/>
      <c r="U14" s="778"/>
      <c r="V14" s="778"/>
      <c r="W14" s="778"/>
      <c r="X14" s="778"/>
      <c r="Y14" s="778"/>
      <c r="Z14" s="778"/>
      <c r="AA14" s="778"/>
      <c r="AB14" s="778"/>
      <c r="AC14" s="778"/>
      <c r="AD14" s="778"/>
      <c r="AE14" s="778"/>
      <c r="AF14" s="778"/>
      <c r="AG14" s="778"/>
      <c r="AH14" s="778"/>
      <c r="AI14" s="778"/>
      <c r="AJ14" s="778"/>
      <c r="AK14" s="778"/>
      <c r="AL14" s="778"/>
      <c r="AM14" s="778"/>
      <c r="AN14" s="778"/>
      <c r="AO14" s="778"/>
      <c r="AP14" s="778"/>
      <c r="AQ14" s="778"/>
      <c r="AR14" s="778"/>
      <c r="AS14" s="778"/>
      <c r="AT14" s="778"/>
      <c r="AU14" s="778"/>
      <c r="AV14" s="778"/>
      <c r="AW14" s="778"/>
      <c r="AX14" s="778"/>
      <c r="AY14" s="778"/>
      <c r="AZ14" s="778"/>
      <c r="BA14" s="778"/>
      <c r="BB14" s="778"/>
      <c r="BC14" s="778"/>
      <c r="BD14" s="778"/>
      <c r="BE14" s="778"/>
    </row>
    <row r="15" spans="2:64" x14ac:dyDescent="0.35">
      <c r="B15" s="779"/>
      <c r="C15" s="1007" t="s">
        <v>477</v>
      </c>
      <c r="D15" s="77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L15" s="778"/>
      <c r="AM15" s="778"/>
      <c r="AN15" s="778"/>
      <c r="AO15" s="778"/>
      <c r="AP15" s="778"/>
      <c r="AQ15" s="778"/>
      <c r="AR15" s="778"/>
      <c r="AS15" s="778"/>
      <c r="AT15" s="778"/>
      <c r="AU15" s="778"/>
      <c r="AV15" s="778"/>
      <c r="AW15" s="778"/>
      <c r="AX15" s="778"/>
      <c r="AY15" s="778"/>
      <c r="AZ15" s="778"/>
      <c r="BA15" s="778"/>
      <c r="BB15" s="778"/>
      <c r="BC15" s="778"/>
      <c r="BD15" s="778"/>
      <c r="BE15" s="778"/>
    </row>
    <row r="16" spans="2:64" s="489" customFormat="1" ht="39" customHeight="1" x14ac:dyDescent="0.35">
      <c r="B16" s="1086"/>
      <c r="C16" s="1087" t="str">
        <f>'F4.1'!B47</f>
        <v>Approved Capital Cost of Distribution System without IDC and Cost of Smart Meters</v>
      </c>
      <c r="D16" s="1087" t="str">
        <f>'F4.1'!C47</f>
        <v xml:space="preserve">NIDAR SEZ's Distribution Network System </v>
      </c>
      <c r="E16" s="1088" t="str">
        <f>'F4.1'!D47</f>
        <v>MERC/CAPEX2017-18/4787</v>
      </c>
      <c r="F16" s="1089">
        <f>'F4.1'!E47</f>
        <v>43067</v>
      </c>
      <c r="G16" s="1090">
        <f>'F4.1'!M47</f>
        <v>87.491124900000003</v>
      </c>
      <c r="H16" s="1091" t="s">
        <v>1429</v>
      </c>
      <c r="I16" s="1092"/>
      <c r="J16" s="1093"/>
      <c r="K16" s="1092"/>
      <c r="L16" s="1092"/>
      <c r="M16" s="1089"/>
      <c r="N16" s="781"/>
      <c r="O16" s="781"/>
      <c r="P16" s="781"/>
      <c r="Q16" s="1179">
        <f>'F4.3'!I55</f>
        <v>46.440812358999999</v>
      </c>
      <c r="R16" s="1177">
        <f>'F4.3'!J55</f>
        <v>15.412263187240342</v>
      </c>
      <c r="S16" s="1177">
        <f>'F4.3'!J74</f>
        <v>7.5987914007637487</v>
      </c>
      <c r="T16" s="1177">
        <f>+'F4.3'!J91</f>
        <v>2.5448657934546972</v>
      </c>
      <c r="U16" s="1177">
        <f>'F4.3'!J114</f>
        <v>0.64014373999999996</v>
      </c>
      <c r="V16" s="1177">
        <f>+'F4.3'!J133</f>
        <v>0</v>
      </c>
      <c r="W16" s="1177">
        <f>+'F4.3'!J156</f>
        <v>9.1967151999999996E-2</v>
      </c>
      <c r="X16" s="1177">
        <v>0</v>
      </c>
      <c r="Y16" s="1177"/>
      <c r="Z16" s="1177"/>
      <c r="AA16" s="1177"/>
      <c r="AB16" s="1177"/>
      <c r="AC16" s="1177"/>
      <c r="AD16" s="781"/>
      <c r="AE16" s="781"/>
      <c r="AF16" s="781"/>
      <c r="AG16" s="781"/>
      <c r="AH16" s="781"/>
      <c r="AI16" s="781"/>
      <c r="AJ16" s="781"/>
      <c r="AK16" s="781"/>
      <c r="AL16" s="781"/>
      <c r="AM16" s="781"/>
      <c r="AN16" s="781"/>
      <c r="AO16" s="781"/>
      <c r="AP16" s="781"/>
      <c r="AQ16" s="781"/>
      <c r="AR16" s="1177">
        <f>'F4.3'!N55</f>
        <v>55.478804400000001</v>
      </c>
      <c r="AS16" s="1177">
        <f>'F4.3'!N86</f>
        <v>11.561528951458783</v>
      </c>
      <c r="AT16" s="1177">
        <f>+'F4.3'!N91</f>
        <v>4.9563993889999995</v>
      </c>
      <c r="AU16" s="1177">
        <f>+'F4.3'!N114</f>
        <v>0.64014373999999996</v>
      </c>
      <c r="AV16" s="1177">
        <f>+'F4.3'!N133</f>
        <v>0</v>
      </c>
      <c r="AW16" s="1177">
        <f>+'F4.3'!N156</f>
        <v>9.1967151999999996E-2</v>
      </c>
      <c r="AX16" s="1177">
        <v>0</v>
      </c>
      <c r="AY16" s="1177"/>
      <c r="AZ16" s="1177"/>
      <c r="BA16" s="1177"/>
      <c r="BB16" s="1177"/>
      <c r="BC16" s="1177"/>
      <c r="BD16" s="781"/>
      <c r="BE16" s="781"/>
    </row>
    <row r="17" spans="2:57" x14ac:dyDescent="0.35">
      <c r="B17" s="779"/>
      <c r="C17" s="1008"/>
      <c r="D17" s="778"/>
      <c r="E17" s="1003"/>
      <c r="F17" s="1010"/>
      <c r="G17" s="1003"/>
      <c r="H17" s="1010"/>
      <c r="I17" s="1003"/>
      <c r="J17" s="1010"/>
      <c r="K17" s="1003"/>
      <c r="L17" s="1003"/>
      <c r="M17" s="1011"/>
      <c r="N17" s="778"/>
      <c r="O17" s="778"/>
      <c r="P17" s="778"/>
      <c r="Q17" s="884"/>
      <c r="R17" s="884"/>
      <c r="S17" s="884"/>
      <c r="T17" s="884"/>
      <c r="U17" s="884"/>
      <c r="V17" s="884"/>
      <c r="W17" s="884"/>
      <c r="X17" s="884"/>
      <c r="Y17" s="884"/>
      <c r="Z17" s="884"/>
      <c r="AA17" s="884"/>
      <c r="AB17" s="884"/>
      <c r="AC17" s="884"/>
      <c r="AD17" s="778"/>
      <c r="AE17" s="778"/>
      <c r="AF17" s="778"/>
      <c r="AG17" s="778"/>
      <c r="AH17" s="778"/>
      <c r="AI17" s="778"/>
      <c r="AJ17" s="778"/>
      <c r="AK17" s="778"/>
      <c r="AL17" s="778"/>
      <c r="AM17" s="778"/>
      <c r="AN17" s="778"/>
      <c r="AO17" s="778"/>
      <c r="AP17" s="778"/>
      <c r="AQ17" s="778"/>
      <c r="AR17" s="884"/>
      <c r="AS17" s="884"/>
      <c r="AT17" s="884"/>
      <c r="AU17" s="884"/>
      <c r="AV17" s="884"/>
      <c r="AW17" s="884"/>
      <c r="AX17" s="884"/>
      <c r="AY17" s="884"/>
      <c r="AZ17" s="884"/>
      <c r="BA17" s="884"/>
      <c r="BB17" s="884"/>
      <c r="BC17" s="884"/>
      <c r="BD17" s="778"/>
      <c r="BE17" s="778"/>
    </row>
    <row r="18" spans="2:57" x14ac:dyDescent="0.35">
      <c r="B18" s="779"/>
      <c r="C18" s="778"/>
      <c r="D18" s="778"/>
      <c r="E18" s="1003"/>
      <c r="F18" s="1003"/>
      <c r="G18" s="1003"/>
      <c r="H18" s="1003"/>
      <c r="I18" s="1003"/>
      <c r="J18" s="1003"/>
      <c r="K18" s="1003"/>
      <c r="L18" s="1003"/>
      <c r="M18" s="1003"/>
      <c r="N18" s="778"/>
      <c r="O18" s="778"/>
      <c r="P18" s="778"/>
      <c r="Q18" s="884"/>
      <c r="R18" s="884"/>
      <c r="S18" s="884"/>
      <c r="T18" s="884"/>
      <c r="U18" s="884"/>
      <c r="V18" s="884"/>
      <c r="W18" s="884"/>
      <c r="X18" s="884"/>
      <c r="Y18" s="884"/>
      <c r="Z18" s="884"/>
      <c r="AA18" s="884"/>
      <c r="AB18" s="884"/>
      <c r="AC18" s="884"/>
      <c r="AD18" s="778"/>
      <c r="AE18" s="778"/>
      <c r="AF18" s="778"/>
      <c r="AG18" s="778"/>
      <c r="AH18" s="778"/>
      <c r="AI18" s="778"/>
      <c r="AJ18" s="778"/>
      <c r="AK18" s="778"/>
      <c r="AL18" s="778"/>
      <c r="AM18" s="778"/>
      <c r="AN18" s="778"/>
      <c r="AO18" s="778"/>
      <c r="AP18" s="778"/>
      <c r="AQ18" s="778"/>
      <c r="AR18" s="884"/>
      <c r="AS18" s="884"/>
      <c r="AT18" s="884"/>
      <c r="AU18" s="884"/>
      <c r="AV18" s="884"/>
      <c r="AW18" s="884"/>
      <c r="AX18" s="884"/>
      <c r="AY18" s="884"/>
      <c r="AZ18" s="884"/>
      <c r="BA18" s="884"/>
      <c r="BB18" s="884"/>
      <c r="BC18" s="884"/>
      <c r="BD18" s="778"/>
      <c r="BE18" s="778"/>
    </row>
    <row r="19" spans="2:57" x14ac:dyDescent="0.35">
      <c r="B19" s="779"/>
      <c r="C19" s="1007" t="s">
        <v>478</v>
      </c>
      <c r="D19" s="778"/>
      <c r="E19" s="778"/>
      <c r="F19" s="778"/>
      <c r="G19" s="778"/>
      <c r="H19" s="778"/>
      <c r="I19" s="778"/>
      <c r="J19" s="778"/>
      <c r="K19" s="778"/>
      <c r="L19" s="778"/>
      <c r="M19" s="778"/>
      <c r="N19" s="778"/>
      <c r="O19" s="778"/>
      <c r="P19" s="778"/>
      <c r="Q19" s="884"/>
      <c r="R19" s="884"/>
      <c r="S19" s="884"/>
      <c r="T19" s="884"/>
      <c r="U19" s="884"/>
      <c r="V19" s="884"/>
      <c r="W19" s="884"/>
      <c r="X19" s="884"/>
      <c r="Y19" s="884"/>
      <c r="Z19" s="884"/>
      <c r="AA19" s="884"/>
      <c r="AB19" s="884"/>
      <c r="AC19" s="884"/>
      <c r="AD19" s="778"/>
      <c r="AE19" s="778"/>
      <c r="AF19" s="778"/>
      <c r="AG19" s="778"/>
      <c r="AH19" s="778"/>
      <c r="AI19" s="778"/>
      <c r="AJ19" s="778"/>
      <c r="AK19" s="778"/>
      <c r="AL19" s="778"/>
      <c r="AM19" s="778"/>
      <c r="AN19" s="778"/>
      <c r="AO19" s="778"/>
      <c r="AP19" s="778"/>
      <c r="AQ19" s="778"/>
      <c r="AR19" s="884"/>
      <c r="AS19" s="884"/>
      <c r="AT19" s="884"/>
      <c r="AU19" s="884"/>
      <c r="AV19" s="884"/>
      <c r="AW19" s="884"/>
      <c r="AX19" s="884"/>
      <c r="AY19" s="884"/>
      <c r="AZ19" s="884"/>
      <c r="BA19" s="884"/>
      <c r="BB19" s="884"/>
      <c r="BC19" s="884"/>
      <c r="BD19" s="778"/>
      <c r="BE19" s="778"/>
    </row>
    <row r="20" spans="2:57" x14ac:dyDescent="0.35">
      <c r="B20" s="779"/>
      <c r="C20" s="778" t="s">
        <v>239</v>
      </c>
      <c r="D20" s="778"/>
      <c r="E20" s="778"/>
      <c r="F20" s="778"/>
      <c r="G20" s="778"/>
      <c r="H20" s="778"/>
      <c r="I20" s="778"/>
      <c r="J20" s="778"/>
      <c r="K20" s="778"/>
      <c r="L20" s="778"/>
      <c r="M20" s="778"/>
      <c r="N20" s="778"/>
      <c r="O20" s="778"/>
      <c r="P20" s="778"/>
      <c r="Q20" s="884"/>
      <c r="R20" s="884"/>
      <c r="S20" s="884"/>
      <c r="T20" s="884"/>
      <c r="U20" s="884"/>
      <c r="V20" s="884"/>
      <c r="W20" s="884"/>
      <c r="X20" s="884"/>
      <c r="Y20" s="884"/>
      <c r="Z20" s="884"/>
      <c r="AA20" s="884"/>
      <c r="AB20" s="884"/>
      <c r="AC20" s="884"/>
      <c r="AD20" s="778"/>
      <c r="AE20" s="778"/>
      <c r="AF20" s="778"/>
      <c r="AG20" s="778"/>
      <c r="AH20" s="778"/>
      <c r="AI20" s="778"/>
      <c r="AJ20" s="778"/>
      <c r="AK20" s="778"/>
      <c r="AL20" s="778"/>
      <c r="AM20" s="778"/>
      <c r="AN20" s="778"/>
      <c r="AO20" s="778"/>
      <c r="AP20" s="778"/>
      <c r="AQ20" s="778"/>
      <c r="AR20" s="884"/>
      <c r="AS20" s="884"/>
      <c r="AT20" s="884"/>
      <c r="AU20" s="884"/>
      <c r="AV20" s="884"/>
      <c r="AW20" s="884"/>
      <c r="AX20" s="884"/>
      <c r="AY20" s="884"/>
      <c r="AZ20" s="884"/>
      <c r="BA20" s="884"/>
      <c r="BB20" s="884"/>
      <c r="BC20" s="884"/>
      <c r="BD20" s="778"/>
      <c r="BE20" s="778"/>
    </row>
    <row r="21" spans="2:57" x14ac:dyDescent="0.35">
      <c r="B21" s="779"/>
      <c r="C21" s="779" t="s">
        <v>479</v>
      </c>
      <c r="D21" s="778"/>
      <c r="E21" s="778"/>
      <c r="F21" s="778"/>
      <c r="G21" s="778"/>
      <c r="H21" s="778"/>
      <c r="I21" s="778"/>
      <c r="J21" s="778"/>
      <c r="K21" s="778"/>
      <c r="L21" s="778"/>
      <c r="M21" s="778"/>
      <c r="N21" s="778"/>
      <c r="O21" s="778"/>
      <c r="P21" s="778"/>
      <c r="Q21" s="884"/>
      <c r="R21" s="884"/>
      <c r="S21" s="884"/>
      <c r="T21" s="884"/>
      <c r="U21" s="884"/>
      <c r="V21" s="884"/>
      <c r="W21" s="884"/>
      <c r="X21" s="884"/>
      <c r="Y21" s="884"/>
      <c r="Z21" s="884"/>
      <c r="AA21" s="884"/>
      <c r="AB21" s="884"/>
      <c r="AC21" s="884"/>
      <c r="AD21" s="778"/>
      <c r="AE21" s="778"/>
      <c r="AF21" s="778"/>
      <c r="AG21" s="778"/>
      <c r="AH21" s="778"/>
      <c r="AI21" s="778"/>
      <c r="AJ21" s="778"/>
      <c r="AK21" s="778"/>
      <c r="AL21" s="778"/>
      <c r="AM21" s="778"/>
      <c r="AN21" s="778"/>
      <c r="AO21" s="778"/>
      <c r="AP21" s="778"/>
      <c r="AQ21" s="778"/>
      <c r="AR21" s="884"/>
      <c r="AS21" s="884"/>
      <c r="AT21" s="884"/>
      <c r="AU21" s="884"/>
      <c r="AV21" s="884"/>
      <c r="AW21" s="884"/>
      <c r="AX21" s="884"/>
      <c r="AY21" s="884"/>
      <c r="AZ21" s="884"/>
      <c r="BA21" s="884"/>
      <c r="BB21" s="884"/>
      <c r="BC21" s="884"/>
      <c r="BD21" s="778"/>
      <c r="BE21" s="778"/>
    </row>
    <row r="22" spans="2:57" x14ac:dyDescent="0.35">
      <c r="B22" s="779"/>
      <c r="C22" s="1008"/>
      <c r="D22" s="778"/>
      <c r="E22" s="778"/>
      <c r="F22" s="778"/>
      <c r="G22" s="778"/>
      <c r="H22" s="778"/>
      <c r="I22" s="778"/>
      <c r="J22" s="778"/>
      <c r="K22" s="778"/>
      <c r="L22" s="778"/>
      <c r="M22" s="778"/>
      <c r="N22" s="778"/>
      <c r="O22" s="778"/>
      <c r="P22" s="778"/>
      <c r="Q22" s="884"/>
      <c r="R22" s="884"/>
      <c r="S22" s="884"/>
      <c r="T22" s="884"/>
      <c r="U22" s="884"/>
      <c r="V22" s="884"/>
      <c r="W22" s="884"/>
      <c r="X22" s="884"/>
      <c r="Y22" s="884"/>
      <c r="Z22" s="884"/>
      <c r="AA22" s="884"/>
      <c r="AB22" s="884"/>
      <c r="AC22" s="884"/>
      <c r="AD22" s="778"/>
      <c r="AE22" s="778"/>
      <c r="AF22" s="778"/>
      <c r="AG22" s="778"/>
      <c r="AH22" s="778"/>
      <c r="AI22" s="778"/>
      <c r="AJ22" s="778"/>
      <c r="AK22" s="778"/>
      <c r="AL22" s="778"/>
      <c r="AM22" s="778"/>
      <c r="AN22" s="778"/>
      <c r="AO22" s="778"/>
      <c r="AP22" s="778"/>
      <c r="AQ22" s="778"/>
      <c r="AR22" s="884"/>
      <c r="AS22" s="884"/>
      <c r="AT22" s="884"/>
      <c r="AU22" s="884"/>
      <c r="AV22" s="884"/>
      <c r="AW22" s="884"/>
      <c r="AX22" s="884"/>
      <c r="AY22" s="884"/>
      <c r="AZ22" s="884"/>
      <c r="BA22" s="884"/>
      <c r="BB22" s="884"/>
      <c r="BC22" s="884"/>
      <c r="BD22" s="778"/>
      <c r="BE22" s="778"/>
    </row>
    <row r="23" spans="2:57" x14ac:dyDescent="0.35">
      <c r="B23" s="779"/>
      <c r="C23" s="1019" t="str">
        <f>'F4.1'!B54</f>
        <v>Vehicles</v>
      </c>
      <c r="D23" s="778"/>
      <c r="E23" s="778"/>
      <c r="F23" s="778"/>
      <c r="G23" s="778"/>
      <c r="H23" s="778"/>
      <c r="I23" s="778"/>
      <c r="J23" s="778"/>
      <c r="K23" s="778"/>
      <c r="L23" s="778"/>
      <c r="M23" s="778"/>
      <c r="N23" s="778"/>
      <c r="O23" s="778"/>
      <c r="P23" s="778"/>
      <c r="Q23" s="884"/>
      <c r="R23" s="888">
        <f>'F4.1'!N54</f>
        <v>5.9382000000000002E-3</v>
      </c>
      <c r="S23" s="888">
        <f>'F4.1'!N71</f>
        <v>0</v>
      </c>
      <c r="T23" s="888">
        <f>'F4.1'!N87</f>
        <v>0</v>
      </c>
      <c r="U23" s="884">
        <f>+'F4.1'!N103</f>
        <v>0</v>
      </c>
      <c r="V23" s="884">
        <f>+'F4.1'!N119</f>
        <v>0</v>
      </c>
      <c r="W23" s="884">
        <f>+'F4.1'!N132</f>
        <v>0</v>
      </c>
      <c r="X23" s="884">
        <f>+'F4.1'!N145</f>
        <v>0</v>
      </c>
      <c r="Y23" s="884">
        <f>+'F4.1'!N158</f>
        <v>0</v>
      </c>
      <c r="Z23" s="884">
        <f>+'F4.1'!N171</f>
        <v>0</v>
      </c>
      <c r="AA23" s="884">
        <f>+'F4.1'!N184</f>
        <v>0</v>
      </c>
      <c r="AB23" s="884">
        <f>+'F4.1'!N197</f>
        <v>0</v>
      </c>
      <c r="AC23" s="884">
        <f>+'F4.1'!N210</f>
        <v>0</v>
      </c>
      <c r="AD23" s="778"/>
      <c r="AE23" s="778"/>
      <c r="AF23" s="778"/>
      <c r="AG23" s="778"/>
      <c r="AH23" s="778"/>
      <c r="AI23" s="778"/>
      <c r="AJ23" s="778"/>
      <c r="AK23" s="778"/>
      <c r="AL23" s="778"/>
      <c r="AM23" s="778"/>
      <c r="AN23" s="778"/>
      <c r="AO23" s="778"/>
      <c r="AP23" s="778"/>
      <c r="AQ23" s="778"/>
      <c r="AR23" s="884">
        <f t="shared" ref="AR23:AX27" si="0">R23</f>
        <v>5.9382000000000002E-3</v>
      </c>
      <c r="AS23" s="884">
        <f t="shared" si="0"/>
        <v>0</v>
      </c>
      <c r="AT23" s="884">
        <f t="shared" si="0"/>
        <v>0</v>
      </c>
      <c r="AU23" s="884">
        <f t="shared" si="0"/>
        <v>0</v>
      </c>
      <c r="AV23" s="884">
        <f t="shared" si="0"/>
        <v>0</v>
      </c>
      <c r="AW23" s="884">
        <f t="shared" si="0"/>
        <v>0</v>
      </c>
      <c r="AX23" s="884">
        <f t="shared" si="0"/>
        <v>0</v>
      </c>
      <c r="AY23" s="884">
        <f t="shared" ref="AY23:BC27" si="1">Y23</f>
        <v>0</v>
      </c>
      <c r="AZ23" s="884">
        <f t="shared" si="1"/>
        <v>0</v>
      </c>
      <c r="BA23" s="884">
        <f t="shared" si="1"/>
        <v>0</v>
      </c>
      <c r="BB23" s="884">
        <f t="shared" si="1"/>
        <v>0</v>
      </c>
      <c r="BC23" s="884">
        <f t="shared" si="1"/>
        <v>0</v>
      </c>
      <c r="BD23" s="778"/>
      <c r="BE23" s="778"/>
    </row>
    <row r="24" spans="2:57" x14ac:dyDescent="0.35">
      <c r="B24" s="779"/>
      <c r="C24" s="1019" t="str">
        <f>'F4.1'!B55</f>
        <v>I.T. equipments</v>
      </c>
      <c r="D24" s="778"/>
      <c r="E24" s="778"/>
      <c r="F24" s="778"/>
      <c r="G24" s="778"/>
      <c r="H24" s="778"/>
      <c r="I24" s="778"/>
      <c r="J24" s="778"/>
      <c r="K24" s="778"/>
      <c r="L24" s="778"/>
      <c r="M24" s="778"/>
      <c r="N24" s="778"/>
      <c r="O24" s="778"/>
      <c r="P24" s="778"/>
      <c r="Q24" s="884"/>
      <c r="R24" s="888">
        <f>'F4.1'!N55</f>
        <v>1.3571147499999998E-2</v>
      </c>
      <c r="S24" s="888">
        <f>'F4.1'!N72</f>
        <v>0</v>
      </c>
      <c r="T24" s="888">
        <f>'F4.1'!N88</f>
        <v>1.0320912E-2</v>
      </c>
      <c r="U24" s="884">
        <f>+'F4.1'!N104</f>
        <v>2.2350060000000003E-3</v>
      </c>
      <c r="V24" s="884">
        <f>+'F4.1'!N120</f>
        <v>4.9749910000000007E-3</v>
      </c>
      <c r="W24" s="884">
        <f>+'F4.1'!N133</f>
        <v>3.5545362499999997E-2</v>
      </c>
      <c r="X24" s="884">
        <f>+'F4.1'!N146</f>
        <v>5.2556599999999997E-3</v>
      </c>
      <c r="Y24" s="884">
        <f>+'F4.1'!N159</f>
        <v>0</v>
      </c>
      <c r="Z24" s="884">
        <f>+'F4.1'!N172</f>
        <v>0</v>
      </c>
      <c r="AA24" s="884">
        <f>+'F4.1'!N185</f>
        <v>0</v>
      </c>
      <c r="AB24" s="884">
        <f>+'F4.1'!N198</f>
        <v>0</v>
      </c>
      <c r="AC24" s="884">
        <f>+'F4.1'!N211</f>
        <v>0</v>
      </c>
      <c r="AD24" s="778"/>
      <c r="AE24" s="778"/>
      <c r="AF24" s="778"/>
      <c r="AG24" s="778"/>
      <c r="AH24" s="778"/>
      <c r="AI24" s="778"/>
      <c r="AJ24" s="778"/>
      <c r="AK24" s="778"/>
      <c r="AL24" s="778"/>
      <c r="AM24" s="778"/>
      <c r="AN24" s="778"/>
      <c r="AO24" s="778"/>
      <c r="AP24" s="778"/>
      <c r="AQ24" s="778"/>
      <c r="AR24" s="884">
        <f t="shared" si="0"/>
        <v>1.3571147499999998E-2</v>
      </c>
      <c r="AS24" s="884">
        <f t="shared" si="0"/>
        <v>0</v>
      </c>
      <c r="AT24" s="884">
        <f t="shared" si="0"/>
        <v>1.0320912E-2</v>
      </c>
      <c r="AU24" s="884">
        <f t="shared" si="0"/>
        <v>2.2350060000000003E-3</v>
      </c>
      <c r="AV24" s="884">
        <f t="shared" si="0"/>
        <v>4.9749910000000007E-3</v>
      </c>
      <c r="AW24" s="884">
        <f t="shared" si="0"/>
        <v>3.5545362499999997E-2</v>
      </c>
      <c r="AX24" s="884">
        <f t="shared" si="0"/>
        <v>5.2556599999999997E-3</v>
      </c>
      <c r="AY24" s="884">
        <f t="shared" si="1"/>
        <v>0</v>
      </c>
      <c r="AZ24" s="884">
        <f t="shared" si="1"/>
        <v>0</v>
      </c>
      <c r="BA24" s="884">
        <f t="shared" si="1"/>
        <v>0</v>
      </c>
      <c r="BB24" s="884">
        <f t="shared" si="1"/>
        <v>0</v>
      </c>
      <c r="BC24" s="884">
        <f t="shared" si="1"/>
        <v>0</v>
      </c>
      <c r="BD24" s="778"/>
      <c r="BE24" s="778"/>
    </row>
    <row r="25" spans="2:57" x14ac:dyDescent="0.35">
      <c r="B25" s="779"/>
      <c r="C25" s="1019" t="str">
        <f>'F4.1'!B56</f>
        <v>Office furniture and fittings</v>
      </c>
      <c r="D25" s="778"/>
      <c r="E25" s="778"/>
      <c r="F25" s="778"/>
      <c r="G25" s="778"/>
      <c r="H25" s="778"/>
      <c r="I25" s="778"/>
      <c r="J25" s="778"/>
      <c r="K25" s="778"/>
      <c r="L25" s="778"/>
      <c r="M25" s="778"/>
      <c r="N25" s="778"/>
      <c r="O25" s="778"/>
      <c r="P25" s="778"/>
      <c r="Q25" s="884"/>
      <c r="R25" s="888">
        <f>'F4.1'!N56</f>
        <v>2.6759100000000001E-2</v>
      </c>
      <c r="S25" s="888">
        <f>'F4.1'!N73</f>
        <v>0</v>
      </c>
      <c r="T25" s="888">
        <f>'F4.1'!N89</f>
        <v>0</v>
      </c>
      <c r="U25" s="884">
        <f>+'F4.1'!N105</f>
        <v>0</v>
      </c>
      <c r="V25" s="884">
        <f>+'F4.1'!N121</f>
        <v>0</v>
      </c>
      <c r="W25" s="884">
        <f>+'F4.1'!N134</f>
        <v>0</v>
      </c>
      <c r="X25" s="884">
        <f>+'F4.1'!N147</f>
        <v>5.2214999999999996E-3</v>
      </c>
      <c r="Y25" s="884">
        <f>+'F4.1'!N160</f>
        <v>0</v>
      </c>
      <c r="Z25" s="884">
        <f>+'F4.1'!N173</f>
        <v>0</v>
      </c>
      <c r="AA25" s="884">
        <f>+'F4.1'!N186</f>
        <v>0</v>
      </c>
      <c r="AB25" s="884">
        <f>+'F4.1'!N199</f>
        <v>0</v>
      </c>
      <c r="AC25" s="884">
        <f>+'F4.1'!N212</f>
        <v>0</v>
      </c>
      <c r="AD25" s="778"/>
      <c r="AE25" s="778"/>
      <c r="AF25" s="778"/>
      <c r="AG25" s="778"/>
      <c r="AH25" s="778"/>
      <c r="AI25" s="778"/>
      <c r="AJ25" s="778"/>
      <c r="AK25" s="778"/>
      <c r="AL25" s="778"/>
      <c r="AM25" s="778"/>
      <c r="AN25" s="778"/>
      <c r="AO25" s="778"/>
      <c r="AP25" s="778"/>
      <c r="AQ25" s="778"/>
      <c r="AR25" s="884">
        <f t="shared" si="0"/>
        <v>2.6759100000000001E-2</v>
      </c>
      <c r="AS25" s="884">
        <f t="shared" si="0"/>
        <v>0</v>
      </c>
      <c r="AT25" s="884">
        <f t="shared" si="0"/>
        <v>0</v>
      </c>
      <c r="AU25" s="884">
        <f t="shared" si="0"/>
        <v>0</v>
      </c>
      <c r="AV25" s="884">
        <f t="shared" si="0"/>
        <v>0</v>
      </c>
      <c r="AW25" s="884">
        <f t="shared" si="0"/>
        <v>0</v>
      </c>
      <c r="AX25" s="884">
        <f t="shared" si="0"/>
        <v>5.2214999999999996E-3</v>
      </c>
      <c r="AY25" s="884">
        <f t="shared" si="1"/>
        <v>0</v>
      </c>
      <c r="AZ25" s="884">
        <f t="shared" si="1"/>
        <v>0</v>
      </c>
      <c r="BA25" s="884">
        <f t="shared" si="1"/>
        <v>0</v>
      </c>
      <c r="BB25" s="884">
        <f t="shared" si="1"/>
        <v>0</v>
      </c>
      <c r="BC25" s="884">
        <f t="shared" si="1"/>
        <v>0</v>
      </c>
      <c r="BD25" s="778"/>
      <c r="BE25" s="778"/>
    </row>
    <row r="26" spans="2:57" x14ac:dyDescent="0.35">
      <c r="B26" s="779"/>
      <c r="C26" s="1019" t="str">
        <f>'F4.1'!B57</f>
        <v>Office equipments</v>
      </c>
      <c r="D26" s="778"/>
      <c r="E26" s="778"/>
      <c r="F26" s="778"/>
      <c r="G26" s="778"/>
      <c r="H26" s="778"/>
      <c r="I26" s="778"/>
      <c r="J26" s="778"/>
      <c r="K26" s="778"/>
      <c r="L26" s="778"/>
      <c r="M26" s="778"/>
      <c r="N26" s="778"/>
      <c r="O26" s="778"/>
      <c r="P26" s="778"/>
      <c r="Q26" s="884"/>
      <c r="R26" s="888">
        <f>'F4.1'!N57</f>
        <v>2.1808600000000001E-2</v>
      </c>
      <c r="S26" s="888">
        <f>'F4.1'!N74</f>
        <v>0</v>
      </c>
      <c r="T26" s="888">
        <f>'F4.1'!N90</f>
        <v>0</v>
      </c>
      <c r="U26" s="884">
        <f>+'F4.1'!N106</f>
        <v>1.25139E-2</v>
      </c>
      <c r="V26" s="884">
        <f>+'F4.1'!N122</f>
        <v>0</v>
      </c>
      <c r="W26" s="884">
        <f>+'F4.1'!N135</f>
        <v>8.5004999999999998E-4</v>
      </c>
      <c r="X26" s="884">
        <f>+'F4.1'!N148</f>
        <v>2.5886250000000002E-3</v>
      </c>
      <c r="Y26" s="884">
        <f>+'F4.1'!N161</f>
        <v>0.29597659999999998</v>
      </c>
      <c r="Z26" s="884">
        <f>+'F4.1'!N174</f>
        <v>0.06</v>
      </c>
      <c r="AA26" s="884">
        <f>+'F4.1'!N187</f>
        <v>0</v>
      </c>
      <c r="AB26" s="884">
        <f>+'F4.1'!N200</f>
        <v>0</v>
      </c>
      <c r="AC26" s="884">
        <f>+'F4.1'!N213</f>
        <v>0</v>
      </c>
      <c r="AD26" s="778"/>
      <c r="AE26" s="778"/>
      <c r="AF26" s="778"/>
      <c r="AG26" s="778"/>
      <c r="AH26" s="778"/>
      <c r="AI26" s="778"/>
      <c r="AJ26" s="778"/>
      <c r="AK26" s="778"/>
      <c r="AL26" s="778"/>
      <c r="AM26" s="778"/>
      <c r="AN26" s="778"/>
      <c r="AO26" s="778"/>
      <c r="AP26" s="778"/>
      <c r="AQ26" s="778"/>
      <c r="AR26" s="884">
        <f t="shared" si="0"/>
        <v>2.1808600000000001E-2</v>
      </c>
      <c r="AS26" s="884">
        <f t="shared" si="0"/>
        <v>0</v>
      </c>
      <c r="AT26" s="884">
        <f t="shared" si="0"/>
        <v>0</v>
      </c>
      <c r="AU26" s="884">
        <f t="shared" si="0"/>
        <v>1.25139E-2</v>
      </c>
      <c r="AV26" s="884">
        <f t="shared" si="0"/>
        <v>0</v>
      </c>
      <c r="AW26" s="884">
        <f t="shared" si="0"/>
        <v>8.5004999999999998E-4</v>
      </c>
      <c r="AX26" s="884">
        <f t="shared" si="0"/>
        <v>2.5886250000000002E-3</v>
      </c>
      <c r="AY26" s="884">
        <f t="shared" si="1"/>
        <v>0.29597659999999998</v>
      </c>
      <c r="AZ26" s="884">
        <f t="shared" si="1"/>
        <v>0.06</v>
      </c>
      <c r="BA26" s="884">
        <f t="shared" si="1"/>
        <v>0</v>
      </c>
      <c r="BB26" s="884">
        <f t="shared" si="1"/>
        <v>0</v>
      </c>
      <c r="BC26" s="884">
        <f t="shared" si="1"/>
        <v>0</v>
      </c>
      <c r="BD26" s="778"/>
      <c r="BE26" s="778"/>
    </row>
    <row r="27" spans="2:57" x14ac:dyDescent="0.35">
      <c r="B27" s="779"/>
      <c r="C27" s="1019" t="str">
        <f>'F4.1'!B58</f>
        <v>Software Licenses</v>
      </c>
      <c r="D27" s="778"/>
      <c r="E27" s="778"/>
      <c r="F27" s="778"/>
      <c r="G27" s="778"/>
      <c r="H27" s="778"/>
      <c r="I27" s="778"/>
      <c r="J27" s="778"/>
      <c r="K27" s="778"/>
      <c r="L27" s="778"/>
      <c r="M27" s="778"/>
      <c r="N27" s="778"/>
      <c r="O27" s="778"/>
      <c r="P27" s="778"/>
      <c r="Q27" s="884"/>
      <c r="R27" s="888">
        <f>'F4.1'!N58</f>
        <v>0</v>
      </c>
      <c r="S27" s="888">
        <f>'F4.1'!N75</f>
        <v>0</v>
      </c>
      <c r="T27" s="888">
        <f>'F4.1'!N91</f>
        <v>0</v>
      </c>
      <c r="U27" s="884">
        <f>+'F4.1'!N107</f>
        <v>0</v>
      </c>
      <c r="V27" s="884">
        <f>+'F4.1'!N123</f>
        <v>0</v>
      </c>
      <c r="W27" s="884">
        <f>+'F4.1'!N136</f>
        <v>0</v>
      </c>
      <c r="X27" s="884">
        <f>+'F4.1'!N149</f>
        <v>0</v>
      </c>
      <c r="Y27" s="884">
        <f>+'F4.1'!N162</f>
        <v>0</v>
      </c>
      <c r="Z27" s="884">
        <f>+'F4.1'!N175</f>
        <v>0</v>
      </c>
      <c r="AA27" s="884">
        <f>+'F4.1'!N188</f>
        <v>0</v>
      </c>
      <c r="AB27" s="884">
        <f>+'F4.1'!N201</f>
        <v>0</v>
      </c>
      <c r="AC27" s="884">
        <f>+'F4.1'!N214</f>
        <v>0</v>
      </c>
      <c r="AD27" s="778"/>
      <c r="AE27" s="778"/>
      <c r="AF27" s="778"/>
      <c r="AG27" s="778"/>
      <c r="AH27" s="778"/>
      <c r="AI27" s="778"/>
      <c r="AJ27" s="778"/>
      <c r="AK27" s="778"/>
      <c r="AL27" s="778"/>
      <c r="AM27" s="778"/>
      <c r="AN27" s="778"/>
      <c r="AO27" s="778"/>
      <c r="AP27" s="778"/>
      <c r="AQ27" s="778"/>
      <c r="AR27" s="884">
        <f t="shared" si="0"/>
        <v>0</v>
      </c>
      <c r="AS27" s="884">
        <f t="shared" si="0"/>
        <v>0</v>
      </c>
      <c r="AT27" s="884">
        <f t="shared" si="0"/>
        <v>0</v>
      </c>
      <c r="AU27" s="884">
        <f t="shared" si="0"/>
        <v>0</v>
      </c>
      <c r="AV27" s="884">
        <f t="shared" si="0"/>
        <v>0</v>
      </c>
      <c r="AW27" s="884">
        <f t="shared" si="0"/>
        <v>0</v>
      </c>
      <c r="AX27" s="884">
        <f t="shared" si="0"/>
        <v>0</v>
      </c>
      <c r="AY27" s="884">
        <f t="shared" si="1"/>
        <v>0</v>
      </c>
      <c r="AZ27" s="884">
        <f t="shared" si="1"/>
        <v>0</v>
      </c>
      <c r="BA27" s="884">
        <f t="shared" si="1"/>
        <v>0</v>
      </c>
      <c r="BB27" s="884">
        <f t="shared" si="1"/>
        <v>0</v>
      </c>
      <c r="BC27" s="884">
        <f t="shared" si="1"/>
        <v>0</v>
      </c>
      <c r="BD27" s="778"/>
      <c r="BE27" s="778"/>
    </row>
    <row r="28" spans="2:57" x14ac:dyDescent="0.35">
      <c r="B28" s="779"/>
      <c r="C28" s="1026"/>
      <c r="D28" s="778"/>
      <c r="E28" s="778"/>
      <c r="F28" s="778"/>
      <c r="G28" s="778"/>
      <c r="H28" s="778"/>
      <c r="I28" s="778"/>
      <c r="J28" s="778"/>
      <c r="K28" s="778"/>
      <c r="L28" s="778"/>
      <c r="M28" s="778"/>
      <c r="N28" s="778"/>
      <c r="O28" s="778"/>
      <c r="P28" s="778"/>
      <c r="Q28" s="884"/>
      <c r="R28" s="884"/>
      <c r="S28" s="884"/>
      <c r="T28" s="884"/>
      <c r="U28" s="884"/>
      <c r="V28" s="884"/>
      <c r="W28" s="884"/>
      <c r="X28" s="884"/>
      <c r="Y28" s="884"/>
      <c r="Z28" s="884"/>
      <c r="AA28" s="884"/>
      <c r="AB28" s="884"/>
      <c r="AC28" s="884"/>
      <c r="AD28" s="778"/>
      <c r="AE28" s="778"/>
      <c r="AF28" s="778"/>
      <c r="AG28" s="778"/>
      <c r="AH28" s="778"/>
      <c r="AI28" s="778"/>
      <c r="AJ28" s="778"/>
      <c r="AK28" s="778"/>
      <c r="AL28" s="778"/>
      <c r="AM28" s="778"/>
      <c r="AN28" s="778"/>
      <c r="AO28" s="778"/>
      <c r="AP28" s="778"/>
      <c r="AQ28" s="778"/>
      <c r="AR28" s="884"/>
      <c r="AS28" s="884"/>
      <c r="AT28" s="884"/>
      <c r="AU28" s="884"/>
      <c r="AV28" s="884"/>
      <c r="AW28" s="884"/>
      <c r="AX28" s="884"/>
      <c r="AY28" s="884"/>
      <c r="AZ28" s="884"/>
      <c r="BA28" s="884"/>
      <c r="BB28" s="884"/>
      <c r="BC28" s="884"/>
      <c r="BD28" s="778"/>
      <c r="BE28" s="778"/>
    </row>
    <row r="29" spans="2:57" x14ac:dyDescent="0.35">
      <c r="B29" s="778"/>
      <c r="C29" s="778"/>
      <c r="D29" s="778"/>
      <c r="E29" s="778"/>
      <c r="F29" s="778"/>
      <c r="G29" s="778"/>
      <c r="H29" s="778"/>
      <c r="I29" s="778"/>
      <c r="J29" s="778"/>
      <c r="K29" s="778"/>
      <c r="L29" s="778"/>
      <c r="M29" s="778"/>
      <c r="N29" s="778"/>
      <c r="O29" s="778"/>
      <c r="P29" s="778"/>
      <c r="Q29" s="884"/>
      <c r="R29" s="884"/>
      <c r="S29" s="884"/>
      <c r="T29" s="884"/>
      <c r="U29" s="884"/>
      <c r="V29" s="884"/>
      <c r="W29" s="884"/>
      <c r="X29" s="884"/>
      <c r="Y29" s="884"/>
      <c r="Z29" s="884"/>
      <c r="AA29" s="884"/>
      <c r="AB29" s="884"/>
      <c r="AC29" s="884"/>
      <c r="AD29" s="778"/>
      <c r="AE29" s="778"/>
      <c r="AF29" s="778"/>
      <c r="AG29" s="778"/>
      <c r="AH29" s="778"/>
      <c r="AI29" s="778"/>
      <c r="AJ29" s="778"/>
      <c r="AK29" s="778"/>
      <c r="AL29" s="778"/>
      <c r="AM29" s="778"/>
      <c r="AN29" s="778"/>
      <c r="AO29" s="778"/>
      <c r="AP29" s="778"/>
      <c r="AQ29" s="778"/>
      <c r="AR29" s="884"/>
      <c r="AS29" s="884"/>
      <c r="AT29" s="884"/>
      <c r="AU29" s="884"/>
      <c r="AV29" s="884"/>
      <c r="AW29" s="884"/>
      <c r="AX29" s="884"/>
      <c r="AY29" s="884"/>
      <c r="AZ29" s="884"/>
      <c r="BA29" s="884"/>
      <c r="BB29" s="884"/>
      <c r="BC29" s="884"/>
      <c r="BD29" s="778"/>
      <c r="BE29" s="778"/>
    </row>
    <row r="30" spans="2:57" x14ac:dyDescent="0.35">
      <c r="B30" s="1028"/>
      <c r="C30" s="1027" t="s">
        <v>480</v>
      </c>
      <c r="D30" s="1028"/>
      <c r="E30" s="1028"/>
      <c r="F30" s="1028"/>
      <c r="G30" s="1028"/>
      <c r="H30" s="1028"/>
      <c r="I30" s="1028"/>
      <c r="J30" s="1028"/>
      <c r="K30" s="1028"/>
      <c r="L30" s="1028"/>
      <c r="M30" s="1028"/>
      <c r="N30" s="1028"/>
      <c r="O30" s="1044">
        <f t="shared" ref="O30:AC30" si="2">SUM(O14:O29)</f>
        <v>0</v>
      </c>
      <c r="P30" s="1044">
        <f t="shared" si="2"/>
        <v>0</v>
      </c>
      <c r="Q30" s="1173">
        <f t="shared" si="2"/>
        <v>46.440812358999999</v>
      </c>
      <c r="R30" s="1173">
        <f t="shared" si="2"/>
        <v>15.480340234740341</v>
      </c>
      <c r="S30" s="1173">
        <f t="shared" si="2"/>
        <v>7.5987914007637487</v>
      </c>
      <c r="T30" s="1173">
        <f t="shared" si="2"/>
        <v>2.5551867054546973</v>
      </c>
      <c r="U30" s="1173">
        <f t="shared" si="2"/>
        <v>0.65489264599999997</v>
      </c>
      <c r="V30" s="1173">
        <f t="shared" si="2"/>
        <v>4.9749910000000007E-3</v>
      </c>
      <c r="W30" s="1173">
        <f t="shared" si="2"/>
        <v>0.1283625645</v>
      </c>
      <c r="X30" s="1173">
        <f t="shared" si="2"/>
        <v>1.3065785E-2</v>
      </c>
      <c r="Y30" s="1173">
        <f t="shared" si="2"/>
        <v>0.29597659999999998</v>
      </c>
      <c r="Z30" s="1173">
        <f t="shared" si="2"/>
        <v>0.06</v>
      </c>
      <c r="AA30" s="1173">
        <f t="shared" si="2"/>
        <v>0</v>
      </c>
      <c r="AB30" s="1173">
        <f t="shared" si="2"/>
        <v>0</v>
      </c>
      <c r="AC30" s="1173">
        <f t="shared" si="2"/>
        <v>0</v>
      </c>
      <c r="AD30" s="1028"/>
      <c r="AE30" s="1028"/>
      <c r="AF30" s="1028"/>
      <c r="AG30" s="1028"/>
      <c r="AH30" s="1028"/>
      <c r="AI30" s="1028"/>
      <c r="AJ30" s="1028"/>
      <c r="AK30" s="1028"/>
      <c r="AL30" s="1028"/>
      <c r="AM30" s="1028"/>
      <c r="AN30" s="1028"/>
      <c r="AO30" s="1028"/>
      <c r="AP30" s="1028"/>
      <c r="AQ30" s="1044">
        <f t="shared" ref="AQ30:BC30" si="3">SUM(AQ14:AQ29)</f>
        <v>0</v>
      </c>
      <c r="AR30" s="1173">
        <f t="shared" si="3"/>
        <v>55.546881447500006</v>
      </c>
      <c r="AS30" s="1173">
        <f t="shared" si="3"/>
        <v>11.561528951458783</v>
      </c>
      <c r="AT30" s="1173">
        <f t="shared" si="3"/>
        <v>4.9667203009999996</v>
      </c>
      <c r="AU30" s="1173">
        <f t="shared" si="3"/>
        <v>0.65489264599999997</v>
      </c>
      <c r="AV30" s="1173">
        <f t="shared" si="3"/>
        <v>4.9749910000000007E-3</v>
      </c>
      <c r="AW30" s="1173">
        <f t="shared" si="3"/>
        <v>0.1283625645</v>
      </c>
      <c r="AX30" s="1173">
        <f t="shared" si="3"/>
        <v>1.3065785E-2</v>
      </c>
      <c r="AY30" s="1173">
        <f t="shared" si="3"/>
        <v>0.29597659999999998</v>
      </c>
      <c r="AZ30" s="1173">
        <f t="shared" si="3"/>
        <v>0.06</v>
      </c>
      <c r="BA30" s="1173">
        <f t="shared" si="3"/>
        <v>0</v>
      </c>
      <c r="BB30" s="1173">
        <f t="shared" si="3"/>
        <v>0</v>
      </c>
      <c r="BC30" s="1173">
        <f t="shared" si="3"/>
        <v>0</v>
      </c>
      <c r="BD30" s="1028"/>
      <c r="BE30" s="1028"/>
    </row>
    <row r="31" spans="2:57" x14ac:dyDescent="0.35">
      <c r="AR31" s="814">
        <f>SUM(AR30:BC30)-SUM(O30:AQ30)</f>
        <v>0</v>
      </c>
    </row>
    <row r="32" spans="2:57" x14ac:dyDescent="0.35">
      <c r="AR32" s="1130">
        <f>+Capitalisation!J22-AR30</f>
        <v>0</v>
      </c>
      <c r="AS32" s="1181">
        <f>+Capitalisation!M22-AS30</f>
        <v>0</v>
      </c>
      <c r="AT32" s="1032">
        <f>+Capitalisation!P22-AT30</f>
        <v>0</v>
      </c>
      <c r="AU32" s="1032">
        <f>+Capitalisation!S22-AU30</f>
        <v>0</v>
      </c>
      <c r="AV32" s="1032">
        <f>+Capitalisation!V22-AV30</f>
        <v>0</v>
      </c>
      <c r="AW32" s="1032">
        <f>+Capitalisation!Y22-AW30</f>
        <v>0</v>
      </c>
      <c r="AX32" s="1181">
        <f>+Capitalisation!AB22-AX30</f>
        <v>0</v>
      </c>
    </row>
    <row r="33" spans="2:64" x14ac:dyDescent="0.35">
      <c r="C33" s="996" t="s">
        <v>149</v>
      </c>
      <c r="D33" s="994"/>
      <c r="E33" s="994"/>
      <c r="F33" s="994"/>
      <c r="G33" s="994"/>
      <c r="H33" s="994"/>
      <c r="I33" s="994"/>
      <c r="J33" s="994"/>
      <c r="K33" s="994"/>
      <c r="L33" s="994"/>
      <c r="M33" s="995"/>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1184">
        <f t="shared" ref="AR33:AW33" si="4">+AR32*10^7</f>
        <v>0</v>
      </c>
      <c r="AS33" s="1184">
        <f t="shared" si="4"/>
        <v>0</v>
      </c>
      <c r="AT33" s="1184">
        <f t="shared" si="4"/>
        <v>0</v>
      </c>
      <c r="AU33" s="1184">
        <f t="shared" si="4"/>
        <v>0</v>
      </c>
      <c r="AV33" s="1184">
        <f t="shared" si="4"/>
        <v>0</v>
      </c>
      <c r="AW33" s="1184">
        <f t="shared" si="4"/>
        <v>0</v>
      </c>
      <c r="AX33" s="460"/>
      <c r="AY33" s="460"/>
      <c r="AZ33" s="460"/>
      <c r="BA33" s="460"/>
      <c r="BB33" s="460"/>
      <c r="BC33" s="460"/>
      <c r="BD33" s="460"/>
      <c r="BE33" s="460"/>
      <c r="BF33" s="460"/>
      <c r="BG33" s="460"/>
      <c r="BH33" s="460"/>
      <c r="BI33" s="460"/>
      <c r="BJ33" s="460"/>
      <c r="BK33" s="460"/>
      <c r="BL33" s="460"/>
    </row>
    <row r="34" spans="2:64" x14ac:dyDescent="0.35">
      <c r="C34" s="994"/>
      <c r="D34" s="994"/>
      <c r="E34" s="994"/>
      <c r="F34" s="994"/>
      <c r="G34" s="994"/>
      <c r="H34" s="994"/>
      <c r="I34" s="994"/>
      <c r="J34" s="994"/>
      <c r="K34" s="994"/>
      <c r="L34" s="994"/>
      <c r="M34" s="995"/>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row>
    <row r="35" spans="2:64" ht="15" customHeight="1" x14ac:dyDescent="0.35">
      <c r="C35" s="995" t="s">
        <v>458</v>
      </c>
      <c r="D35" s="995"/>
      <c r="E35" s="995"/>
      <c r="F35" s="995"/>
      <c r="G35" s="995"/>
      <c r="H35" s="995"/>
      <c r="I35" s="995"/>
      <c r="J35" s="995"/>
      <c r="K35" s="995"/>
      <c r="L35" s="995"/>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row>
    <row r="36" spans="2:64" x14ac:dyDescent="0.35">
      <c r="C36" s="994"/>
      <c r="D36" s="994"/>
      <c r="E36" s="994"/>
      <c r="F36" s="994"/>
      <c r="G36" s="994"/>
      <c r="H36" s="994"/>
      <c r="I36" s="994"/>
      <c r="J36" s="994"/>
      <c r="K36" s="994"/>
      <c r="L36" s="994"/>
      <c r="M36" s="994"/>
      <c r="N36" s="460"/>
      <c r="O36" s="460"/>
      <c r="P36" s="460"/>
      <c r="Q36" s="460"/>
      <c r="R36" s="460"/>
      <c r="S36" s="460"/>
      <c r="T36" s="460"/>
      <c r="U36" s="460"/>
      <c r="V36" s="460"/>
      <c r="W36" s="415" t="s">
        <v>110</v>
      </c>
      <c r="AE36" s="460"/>
      <c r="AF36" s="460"/>
      <c r="AG36" s="460"/>
      <c r="AH36" s="460"/>
      <c r="AI36" s="460"/>
      <c r="AJ36" s="460"/>
      <c r="AK36" s="415"/>
      <c r="AL36" s="415"/>
      <c r="AM36" s="415"/>
      <c r="AN36" s="415"/>
      <c r="AO36" s="415"/>
      <c r="AP36" s="415"/>
      <c r="AQ36" s="415"/>
      <c r="AS36" s="460"/>
      <c r="AT36" s="460"/>
      <c r="AU36" s="460"/>
      <c r="AV36" s="460"/>
      <c r="AX36" s="1085"/>
      <c r="AY36" s="1085"/>
      <c r="AZ36" s="1085"/>
      <c r="BA36" s="1085"/>
      <c r="BB36" s="1085"/>
      <c r="BC36" s="1085"/>
      <c r="BD36" s="1085"/>
      <c r="BE36" s="1085" t="s">
        <v>110</v>
      </c>
      <c r="BF36" s="415"/>
      <c r="BG36" s="415"/>
      <c r="BH36" s="415"/>
      <c r="BI36" s="460"/>
      <c r="BJ36" s="460"/>
      <c r="BK36" s="460"/>
    </row>
    <row r="37" spans="2:64" ht="14.1" customHeight="1" x14ac:dyDescent="0.35">
      <c r="B37" s="2027" t="s">
        <v>1</v>
      </c>
      <c r="C37" s="2027" t="s">
        <v>459</v>
      </c>
      <c r="D37" s="2027" t="s">
        <v>460</v>
      </c>
      <c r="E37" s="2027" t="s">
        <v>461</v>
      </c>
      <c r="F37" s="2027" t="s">
        <v>462</v>
      </c>
      <c r="G37" s="2027" t="s">
        <v>494</v>
      </c>
      <c r="H37" s="2027" t="s">
        <v>495</v>
      </c>
      <c r="I37" s="2027" t="s">
        <v>496</v>
      </c>
      <c r="J37" s="2027" t="s">
        <v>497</v>
      </c>
      <c r="K37" s="2027" t="s">
        <v>498</v>
      </c>
      <c r="L37" s="2027" t="s">
        <v>499</v>
      </c>
      <c r="M37" s="2027" t="s">
        <v>500</v>
      </c>
      <c r="N37" s="2027" t="s">
        <v>501</v>
      </c>
      <c r="O37" s="1094"/>
      <c r="P37" s="1096" t="s">
        <v>452</v>
      </c>
      <c r="Q37" s="2031" t="s">
        <v>452</v>
      </c>
      <c r="R37" s="2031"/>
      <c r="S37" s="2031"/>
      <c r="T37" s="2031"/>
      <c r="U37" s="2031"/>
      <c r="V37" s="2031"/>
      <c r="W37" s="2031"/>
      <c r="X37" s="2031"/>
      <c r="Y37" s="2031"/>
      <c r="Z37" s="2031"/>
      <c r="AA37" s="2031"/>
      <c r="AB37" s="2031"/>
      <c r="AC37" s="2032"/>
      <c r="AD37" s="2030" t="s">
        <v>502</v>
      </c>
      <c r="AE37" s="2031"/>
      <c r="AF37" s="2031"/>
      <c r="AG37" s="2031"/>
      <c r="AH37" s="2031"/>
      <c r="AI37" s="2031"/>
      <c r="AJ37" s="2031"/>
      <c r="AK37" s="2031"/>
      <c r="AL37" s="2031"/>
      <c r="AM37" s="2031"/>
      <c r="AN37" s="2031"/>
      <c r="AO37" s="2031"/>
      <c r="AP37" s="2031"/>
      <c r="AQ37" s="2031" t="s">
        <v>1423</v>
      </c>
      <c r="AR37" s="2031"/>
      <c r="AS37" s="2031"/>
      <c r="AT37" s="2031"/>
      <c r="AU37" s="2031"/>
      <c r="AV37" s="2031"/>
      <c r="AW37" s="2031"/>
      <c r="AX37" s="2031"/>
      <c r="AY37" s="2031"/>
      <c r="AZ37" s="2031"/>
      <c r="BA37" s="2031"/>
      <c r="BB37" s="2031"/>
      <c r="BC37" s="2032"/>
      <c r="BD37" s="998"/>
      <c r="BE37" s="2026" t="s">
        <v>503</v>
      </c>
    </row>
    <row r="38" spans="2:64" ht="14.1" customHeight="1" x14ac:dyDescent="0.35">
      <c r="B38" s="2039"/>
      <c r="C38" s="2039"/>
      <c r="D38" s="2039"/>
      <c r="E38" s="2039"/>
      <c r="F38" s="2039"/>
      <c r="G38" s="2039"/>
      <c r="H38" s="2039"/>
      <c r="I38" s="2039"/>
      <c r="J38" s="2039"/>
      <c r="K38" s="2039"/>
      <c r="L38" s="2039"/>
      <c r="M38" s="2039"/>
      <c r="N38" s="2039"/>
      <c r="O38" s="2027" t="s">
        <v>1428</v>
      </c>
      <c r="P38" s="1001" t="s">
        <v>1430</v>
      </c>
      <c r="Q38" s="1034" t="s">
        <v>186</v>
      </c>
      <c r="R38" s="1034" t="s">
        <v>186</v>
      </c>
      <c r="S38" s="1034" t="s">
        <v>186</v>
      </c>
      <c r="T38" s="1034" t="s">
        <v>186</v>
      </c>
      <c r="U38" s="1034" t="s">
        <v>186</v>
      </c>
      <c r="V38" s="1034" t="s">
        <v>186</v>
      </c>
      <c r="W38" s="1034" t="s">
        <v>186</v>
      </c>
      <c r="X38" s="1034" t="s">
        <v>186</v>
      </c>
      <c r="Y38" s="1034" t="s">
        <v>135</v>
      </c>
      <c r="Z38" s="1034" t="s">
        <v>135</v>
      </c>
      <c r="AA38" s="1034" t="s">
        <v>135</v>
      </c>
      <c r="AB38" s="1034" t="s">
        <v>135</v>
      </c>
      <c r="AC38" s="1034" t="s">
        <v>135</v>
      </c>
      <c r="AD38" s="2027" t="s">
        <v>1431</v>
      </c>
      <c r="AE38" s="1034" t="s">
        <v>186</v>
      </c>
      <c r="AF38" s="1034" t="s">
        <v>186</v>
      </c>
      <c r="AG38" s="1034" t="s">
        <v>186</v>
      </c>
      <c r="AH38" s="1034" t="s">
        <v>186</v>
      </c>
      <c r="AI38" s="1034" t="s">
        <v>186</v>
      </c>
      <c r="AJ38" s="1034" t="s">
        <v>186</v>
      </c>
      <c r="AK38" s="1034" t="s">
        <v>186</v>
      </c>
      <c r="AL38" s="1034" t="s">
        <v>135</v>
      </c>
      <c r="AM38" s="1034" t="s">
        <v>135</v>
      </c>
      <c r="AN38" s="1034" t="s">
        <v>135</v>
      </c>
      <c r="AO38" s="1034" t="s">
        <v>135</v>
      </c>
      <c r="AP38" s="1034" t="s">
        <v>135</v>
      </c>
      <c r="AQ38" s="2027" t="s">
        <v>1432</v>
      </c>
      <c r="AR38" s="1034" t="s">
        <v>186</v>
      </c>
      <c r="AS38" s="1034" t="s">
        <v>186</v>
      </c>
      <c r="AT38" s="1034" t="s">
        <v>186</v>
      </c>
      <c r="AU38" s="1034" t="s">
        <v>186</v>
      </c>
      <c r="AV38" s="1034" t="s">
        <v>186</v>
      </c>
      <c r="AW38" s="1034" t="s">
        <v>186</v>
      </c>
      <c r="AX38" s="1034" t="s">
        <v>186</v>
      </c>
      <c r="AY38" s="1034" t="s">
        <v>135</v>
      </c>
      <c r="AZ38" s="1034" t="s">
        <v>135</v>
      </c>
      <c r="BA38" s="1034" t="s">
        <v>135</v>
      </c>
      <c r="BB38" s="1034" t="s">
        <v>135</v>
      </c>
      <c r="BC38" s="1034" t="s">
        <v>135</v>
      </c>
      <c r="BD38" s="1034"/>
      <c r="BE38" s="2026"/>
    </row>
    <row r="39" spans="2:64" x14ac:dyDescent="0.35">
      <c r="B39" s="2028"/>
      <c r="C39" s="2028"/>
      <c r="D39" s="2028"/>
      <c r="E39" s="2028"/>
      <c r="F39" s="2028"/>
      <c r="G39" s="2028"/>
      <c r="H39" s="2028"/>
      <c r="I39" s="2028"/>
      <c r="J39" s="2028"/>
      <c r="K39" s="2028"/>
      <c r="L39" s="2028"/>
      <c r="M39" s="2028"/>
      <c r="N39" s="2028"/>
      <c r="O39" s="2028"/>
      <c r="P39" s="1097"/>
      <c r="Q39" s="389" t="s">
        <v>195</v>
      </c>
      <c r="R39" s="389" t="s">
        <v>196</v>
      </c>
      <c r="S39" s="389" t="s">
        <v>197</v>
      </c>
      <c r="T39" s="389" t="s">
        <v>198</v>
      </c>
      <c r="U39" s="389" t="s">
        <v>199</v>
      </c>
      <c r="V39" s="389" t="s">
        <v>112</v>
      </c>
      <c r="W39" s="389" t="s">
        <v>113</v>
      </c>
      <c r="X39" s="389" t="s">
        <v>114</v>
      </c>
      <c r="Y39" s="1095" t="s">
        <v>123</v>
      </c>
      <c r="Z39" s="1095" t="s">
        <v>124</v>
      </c>
      <c r="AA39" s="1095" t="s">
        <v>125</v>
      </c>
      <c r="AB39" s="1095" t="s">
        <v>126</v>
      </c>
      <c r="AC39" s="1095" t="s">
        <v>127</v>
      </c>
      <c r="AD39" s="2028"/>
      <c r="AE39" s="389" t="s">
        <v>196</v>
      </c>
      <c r="AF39" s="389" t="s">
        <v>197</v>
      </c>
      <c r="AG39" s="389" t="s">
        <v>198</v>
      </c>
      <c r="AH39" s="389" t="s">
        <v>199</v>
      </c>
      <c r="AI39" s="389" t="s">
        <v>112</v>
      </c>
      <c r="AJ39" s="389" t="s">
        <v>113</v>
      </c>
      <c r="AK39" s="389" t="s">
        <v>114</v>
      </c>
      <c r="AL39" s="1095" t="s">
        <v>123</v>
      </c>
      <c r="AM39" s="1095" t="s">
        <v>124</v>
      </c>
      <c r="AN39" s="1095" t="s">
        <v>125</v>
      </c>
      <c r="AO39" s="1095" t="s">
        <v>126</v>
      </c>
      <c r="AP39" s="1095" t="s">
        <v>127</v>
      </c>
      <c r="AQ39" s="2028"/>
      <c r="AR39" s="389" t="s">
        <v>196</v>
      </c>
      <c r="AS39" s="389" t="s">
        <v>197</v>
      </c>
      <c r="AT39" s="389" t="s">
        <v>198</v>
      </c>
      <c r="AU39" s="389" t="s">
        <v>199</v>
      </c>
      <c r="AV39" s="389" t="s">
        <v>112</v>
      </c>
      <c r="AW39" s="389" t="s">
        <v>113</v>
      </c>
      <c r="AX39" s="389" t="s">
        <v>114</v>
      </c>
      <c r="AY39" s="1095" t="s">
        <v>123</v>
      </c>
      <c r="AZ39" s="1095" t="s">
        <v>124</v>
      </c>
      <c r="BA39" s="1095" t="s">
        <v>125</v>
      </c>
      <c r="BB39" s="1095" t="s">
        <v>126</v>
      </c>
      <c r="BC39" s="1095" t="s">
        <v>127</v>
      </c>
      <c r="BD39" s="389"/>
      <c r="BE39" s="2026"/>
    </row>
    <row r="40" spans="2:64" x14ac:dyDescent="0.35">
      <c r="B40" s="779"/>
      <c r="C40" s="779"/>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8"/>
      <c r="BC40" s="778"/>
      <c r="BD40" s="778"/>
      <c r="BE40" s="778"/>
    </row>
    <row r="41" spans="2:64" x14ac:dyDescent="0.35">
      <c r="B41" s="779"/>
      <c r="C41" s="1006" t="s">
        <v>476</v>
      </c>
      <c r="D41" s="778"/>
      <c r="E41" s="778"/>
      <c r="F41" s="778"/>
      <c r="G41" s="778"/>
      <c r="H41" s="778"/>
      <c r="I41" s="778"/>
      <c r="J41" s="778"/>
      <c r="K41" s="778"/>
      <c r="L41" s="778"/>
      <c r="M41" s="778"/>
      <c r="N41" s="778"/>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8"/>
      <c r="BC41" s="778"/>
      <c r="BD41" s="778"/>
      <c r="BE41" s="778"/>
    </row>
    <row r="42" spans="2:64" x14ac:dyDescent="0.35">
      <c r="B42" s="779"/>
      <c r="C42" s="1007" t="s">
        <v>477</v>
      </c>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row>
    <row r="43" spans="2:64" x14ac:dyDescent="0.35">
      <c r="B43" s="779"/>
      <c r="C43" s="1008"/>
      <c r="D43" s="778"/>
      <c r="E43" s="1003"/>
      <c r="F43" s="1010"/>
      <c r="G43" s="1003"/>
      <c r="H43" s="1010"/>
      <c r="I43" s="1003"/>
      <c r="J43" s="1010"/>
      <c r="K43" s="1003"/>
      <c r="L43" s="1003"/>
      <c r="M43" s="1011"/>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8"/>
      <c r="BC43" s="778"/>
      <c r="BD43" s="778"/>
      <c r="BE43" s="778"/>
    </row>
    <row r="44" spans="2:64" x14ac:dyDescent="0.35">
      <c r="B44" s="779"/>
      <c r="C44" s="778" t="s">
        <v>239</v>
      </c>
      <c r="D44" s="778"/>
      <c r="E44" s="778"/>
      <c r="F44" s="778"/>
      <c r="G44" s="778"/>
      <c r="H44" s="778"/>
      <c r="I44" s="778"/>
      <c r="J44" s="778"/>
      <c r="K44" s="778"/>
      <c r="L44" s="778"/>
      <c r="M44" s="778"/>
      <c r="N44" s="778"/>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8"/>
      <c r="BC44" s="778"/>
      <c r="BD44" s="778"/>
      <c r="BE44" s="778"/>
    </row>
    <row r="45" spans="2:64" x14ac:dyDescent="0.35">
      <c r="B45" s="779"/>
      <c r="C45" s="1007" t="s">
        <v>478</v>
      </c>
      <c r="D45" s="778"/>
      <c r="E45" s="778"/>
      <c r="F45" s="778"/>
      <c r="G45" s="778"/>
      <c r="H45" s="778"/>
      <c r="I45" s="778"/>
      <c r="J45" s="778"/>
      <c r="K45" s="778"/>
      <c r="L45" s="778"/>
      <c r="M45" s="778"/>
      <c r="N45" s="778"/>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8"/>
      <c r="BC45" s="778"/>
      <c r="BD45" s="778"/>
      <c r="BE45" s="778"/>
    </row>
    <row r="46" spans="2:64" x14ac:dyDescent="0.35">
      <c r="B46" s="779"/>
      <c r="C46" s="778" t="s">
        <v>239</v>
      </c>
      <c r="D46" s="778"/>
      <c r="E46" s="778"/>
      <c r="F46" s="778"/>
      <c r="G46" s="778"/>
      <c r="H46" s="778"/>
      <c r="I46" s="778"/>
      <c r="J46" s="778"/>
      <c r="K46" s="778"/>
      <c r="L46" s="778"/>
      <c r="M46" s="778"/>
      <c r="N46" s="778"/>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row>
    <row r="47" spans="2:64" x14ac:dyDescent="0.35">
      <c r="B47" s="779"/>
      <c r="C47" s="778" t="s">
        <v>239</v>
      </c>
      <c r="D47" s="778"/>
      <c r="E47" s="778"/>
      <c r="F47" s="778"/>
      <c r="G47" s="778"/>
      <c r="H47" s="778"/>
      <c r="I47" s="778"/>
      <c r="J47" s="778"/>
      <c r="K47" s="778"/>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8"/>
      <c r="BC47" s="778"/>
      <c r="BD47" s="778"/>
      <c r="BE47" s="778"/>
    </row>
    <row r="48" spans="2:64" x14ac:dyDescent="0.35">
      <c r="B48" s="779"/>
      <c r="C48" s="779" t="s">
        <v>479</v>
      </c>
      <c r="D48" s="778"/>
      <c r="E48" s="778"/>
      <c r="F48" s="778"/>
      <c r="G48" s="778"/>
      <c r="H48" s="778"/>
      <c r="I48" s="778"/>
      <c r="J48" s="778"/>
      <c r="K48" s="778"/>
      <c r="L48" s="778"/>
      <c r="M48" s="778"/>
      <c r="N48" s="778"/>
      <c r="O48" s="778"/>
      <c r="P48" s="778"/>
      <c r="Q48" s="778"/>
      <c r="R48" s="884"/>
      <c r="S48" s="884"/>
      <c r="T48" s="884"/>
      <c r="U48" s="884"/>
      <c r="V48" s="884"/>
      <c r="W48" s="884"/>
      <c r="X48" s="884"/>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8"/>
      <c r="BC48" s="778"/>
      <c r="BD48" s="778"/>
      <c r="BE48" s="778"/>
    </row>
    <row r="49" spans="2:57" x14ac:dyDescent="0.35">
      <c r="B49" s="779"/>
      <c r="C49" s="778" t="str">
        <f>'F4.1'!B361</f>
        <v>Meters</v>
      </c>
      <c r="D49" s="778"/>
      <c r="E49" s="778"/>
      <c r="F49" s="778"/>
      <c r="G49" s="778"/>
      <c r="H49" s="778"/>
      <c r="I49" s="778"/>
      <c r="J49" s="778"/>
      <c r="K49" s="778"/>
      <c r="L49" s="778"/>
      <c r="M49" s="778"/>
      <c r="N49" s="778"/>
      <c r="O49" s="778"/>
      <c r="P49" s="778"/>
      <c r="Q49" s="778"/>
      <c r="R49" s="888">
        <f>'F4.3'!J255</f>
        <v>1.7392771879519964</v>
      </c>
      <c r="S49" s="888">
        <f>'F4.3'!J274</f>
        <v>1.8434010971436265E-2</v>
      </c>
      <c r="T49" s="884">
        <f>'F4.3'!J294</f>
        <v>0</v>
      </c>
      <c r="U49" s="884">
        <f>'F4.3'!J314</f>
        <v>0.291515523</v>
      </c>
      <c r="V49" s="884">
        <f>'F4.3'!J334</f>
        <v>1.196946608</v>
      </c>
      <c r="W49" s="884">
        <f>'F4.3'!J354</f>
        <v>1.0655415E-2</v>
      </c>
      <c r="X49" s="884">
        <f>'F4.3'!J373</f>
        <v>0</v>
      </c>
      <c r="Y49" s="1037">
        <f>+AY49</f>
        <v>0.10798000000000001</v>
      </c>
      <c r="Z49" s="1037">
        <f>+AZ49</f>
        <v>0.21942249999999999</v>
      </c>
      <c r="AA49" s="1037">
        <f>+BA49</f>
        <v>0.2948769</v>
      </c>
      <c r="AB49" s="1037">
        <f>+BB49</f>
        <v>0.43267509999999998</v>
      </c>
      <c r="AC49" s="1037">
        <f>+BC49</f>
        <v>0.45153019999999999</v>
      </c>
      <c r="AD49" s="778"/>
      <c r="AE49" s="778"/>
      <c r="AF49" s="778"/>
      <c r="AG49" s="778"/>
      <c r="AH49" s="778"/>
      <c r="AI49" s="778"/>
      <c r="AJ49" s="778"/>
      <c r="AK49" s="778"/>
      <c r="AL49" s="778"/>
      <c r="AM49" s="778"/>
      <c r="AN49" s="778"/>
      <c r="AO49" s="778"/>
      <c r="AP49" s="778"/>
      <c r="AQ49" s="778"/>
      <c r="AR49" s="847">
        <f>'F4.3'!N255</f>
        <v>0.48908190000000001</v>
      </c>
      <c r="AS49" s="847">
        <f>'F4.3'!N274</f>
        <v>1.2686292989234327</v>
      </c>
      <c r="AT49" s="1103">
        <f>'F4.3'!N294</f>
        <v>0</v>
      </c>
      <c r="AU49" s="1103">
        <f>'F4.3'!N314</f>
        <v>0.291515523</v>
      </c>
      <c r="AV49" s="1103">
        <f>'F4.3'!N334</f>
        <v>1.196946608</v>
      </c>
      <c r="AW49" s="1103">
        <f>'F4.3'!N354</f>
        <v>1.0655415E-2</v>
      </c>
      <c r="AX49" s="1103">
        <f>'F4.3'!N373</f>
        <v>0</v>
      </c>
      <c r="AY49" s="1103">
        <f>+'F4.1'!N461</f>
        <v>0.10798000000000001</v>
      </c>
      <c r="AZ49" s="1103">
        <f>+'F4.1'!N474</f>
        <v>0.21942249999999999</v>
      </c>
      <c r="BA49" s="1103">
        <f>+'F4.1'!N487</f>
        <v>0.2948769</v>
      </c>
      <c r="BB49" s="1103">
        <f>+'F4.1'!N500</f>
        <v>0.43267509999999998</v>
      </c>
      <c r="BC49" s="1103">
        <f>+'F4.1'!N513</f>
        <v>0.45153019999999999</v>
      </c>
      <c r="BD49" s="778"/>
      <c r="BE49" s="778"/>
    </row>
    <row r="50" spans="2:57" x14ac:dyDescent="0.35">
      <c r="B50" s="779"/>
      <c r="C50" s="778" t="str">
        <f>'F4.1'!B362</f>
        <v>Vehicles</v>
      </c>
      <c r="D50" s="778"/>
      <c r="E50" s="778"/>
      <c r="F50" s="778"/>
      <c r="G50" s="778"/>
      <c r="H50" s="778"/>
      <c r="I50" s="778"/>
      <c r="J50" s="778"/>
      <c r="K50" s="778"/>
      <c r="L50" s="778"/>
      <c r="M50" s="778"/>
      <c r="N50" s="778"/>
      <c r="O50" s="778"/>
      <c r="P50" s="778"/>
      <c r="Q50" s="778"/>
      <c r="R50" s="888">
        <f>'F4.1'!N362</f>
        <v>6.5979999999999977E-4</v>
      </c>
      <c r="S50" s="888">
        <f>'F4.1'!N378</f>
        <v>0</v>
      </c>
      <c r="T50" s="884">
        <f>'F4.3'!J295</f>
        <v>0</v>
      </c>
      <c r="U50" s="884">
        <f>'F4.3'!J315</f>
        <v>0</v>
      </c>
      <c r="V50" s="884">
        <f>'F4.3'!J335</f>
        <v>0</v>
      </c>
      <c r="W50" s="884">
        <f>'F4.3'!J355</f>
        <v>0</v>
      </c>
      <c r="X50" s="884">
        <f>'F4.3'!J374</f>
        <v>0</v>
      </c>
      <c r="Y50" s="778"/>
      <c r="Z50" s="778"/>
      <c r="AA50" s="778"/>
      <c r="AB50" s="778"/>
      <c r="AC50" s="778"/>
      <c r="AD50" s="778"/>
      <c r="AE50" s="778"/>
      <c r="AF50" s="778"/>
      <c r="AG50" s="778"/>
      <c r="AH50" s="778"/>
      <c r="AI50" s="778"/>
      <c r="AJ50" s="778"/>
      <c r="AK50" s="778"/>
      <c r="AL50" s="778"/>
      <c r="AM50" s="778"/>
      <c r="AN50" s="778"/>
      <c r="AO50" s="778"/>
      <c r="AP50" s="778"/>
      <c r="AQ50" s="778"/>
      <c r="AR50" s="847">
        <f>R50</f>
        <v>6.5979999999999977E-4</v>
      </c>
      <c r="AS50" s="847">
        <f>'F4.3'!N275</f>
        <v>0</v>
      </c>
      <c r="AT50" s="1103">
        <f>'F4.3'!N295</f>
        <v>0</v>
      </c>
      <c r="AU50" s="1103">
        <f>'F4.3'!N315</f>
        <v>0</v>
      </c>
      <c r="AV50" s="1103">
        <f>'F4.3'!N335</f>
        <v>0</v>
      </c>
      <c r="AW50" s="1103">
        <f>'F4.3'!N355</f>
        <v>0</v>
      </c>
      <c r="AX50" s="1103">
        <f>'F4.3'!N374</f>
        <v>0</v>
      </c>
      <c r="AY50" s="1103"/>
      <c r="AZ50" s="1103"/>
      <c r="BA50" s="1103"/>
      <c r="BB50" s="1103"/>
      <c r="BC50" s="1103"/>
      <c r="BD50" s="778"/>
      <c r="BE50" s="778"/>
    </row>
    <row r="51" spans="2:57" x14ac:dyDescent="0.35">
      <c r="B51" s="779"/>
      <c r="C51" s="778" t="str">
        <f>'F4.1'!B363</f>
        <v>I.T. equipments</v>
      </c>
      <c r="D51" s="778"/>
      <c r="E51" s="778"/>
      <c r="F51" s="778"/>
      <c r="G51" s="778"/>
      <c r="H51" s="778"/>
      <c r="I51" s="778"/>
      <c r="J51" s="778"/>
      <c r="K51" s="778"/>
      <c r="L51" s="778"/>
      <c r="M51" s="778"/>
      <c r="N51" s="778"/>
      <c r="O51" s="778"/>
      <c r="P51" s="778"/>
      <c r="Q51" s="778"/>
      <c r="R51" s="888">
        <f>'F4.1'!N363</f>
        <v>1.3571147499999998E-2</v>
      </c>
      <c r="S51" s="888">
        <f>'F4.1'!N379</f>
        <v>0</v>
      </c>
      <c r="T51" s="884">
        <f>'F4.3'!J296</f>
        <v>1.0320912E-2</v>
      </c>
      <c r="U51" s="884">
        <f>'F4.3'!J316</f>
        <v>2.2350060000000003E-3</v>
      </c>
      <c r="V51" s="884">
        <f>'F4.3'!J336</f>
        <v>4.9749910000000007E-3</v>
      </c>
      <c r="W51" s="884">
        <f>'F4.3'!J356</f>
        <v>3.5545362499999997E-2</v>
      </c>
      <c r="X51" s="884">
        <f>'F4.3'!J375</f>
        <v>5.2556599999999997E-3</v>
      </c>
      <c r="Y51" s="778"/>
      <c r="Z51" s="778"/>
      <c r="AA51" s="778"/>
      <c r="AB51" s="778"/>
      <c r="AC51" s="778"/>
      <c r="AD51" s="778"/>
      <c r="AE51" s="778"/>
      <c r="AF51" s="778"/>
      <c r="AG51" s="778"/>
      <c r="AH51" s="778"/>
      <c r="AI51" s="778"/>
      <c r="AJ51" s="778"/>
      <c r="AK51" s="778"/>
      <c r="AL51" s="778"/>
      <c r="AM51" s="778"/>
      <c r="AN51" s="778"/>
      <c r="AO51" s="778"/>
      <c r="AP51" s="778"/>
      <c r="AQ51" s="778"/>
      <c r="AR51" s="847">
        <f>R51</f>
        <v>1.3571147499999998E-2</v>
      </c>
      <c r="AS51" s="847">
        <f>'F4.3'!N276</f>
        <v>0</v>
      </c>
      <c r="AT51" s="1103">
        <f>'F4.3'!N296</f>
        <v>1.0320912E-2</v>
      </c>
      <c r="AU51" s="1103">
        <f>'F4.3'!N316</f>
        <v>2.2350060000000003E-3</v>
      </c>
      <c r="AV51" s="1103">
        <f>'F4.3'!N336</f>
        <v>4.9749910000000007E-3</v>
      </c>
      <c r="AW51" s="1103">
        <f>'F4.3'!N356</f>
        <v>3.5545362499999997E-2</v>
      </c>
      <c r="AX51" s="1103">
        <f>'F4.3'!N375</f>
        <v>5.2556599999999997E-3</v>
      </c>
      <c r="AY51" s="1103"/>
      <c r="AZ51" s="1103"/>
      <c r="BA51" s="1103"/>
      <c r="BB51" s="1103"/>
      <c r="BC51" s="1103"/>
      <c r="BD51" s="778"/>
      <c r="BE51" s="778"/>
    </row>
    <row r="52" spans="2:57" x14ac:dyDescent="0.35">
      <c r="B52" s="779"/>
      <c r="C52" s="778" t="str">
        <f>'F4.1'!B364</f>
        <v>Office furniture and fittings</v>
      </c>
      <c r="D52" s="778"/>
      <c r="E52" s="778"/>
      <c r="F52" s="778"/>
      <c r="G52" s="778"/>
      <c r="H52" s="778"/>
      <c r="I52" s="778"/>
      <c r="J52" s="778"/>
      <c r="K52" s="778"/>
      <c r="L52" s="778"/>
      <c r="M52" s="778"/>
      <c r="N52" s="778"/>
      <c r="O52" s="778"/>
      <c r="P52" s="778"/>
      <c r="Q52" s="778"/>
      <c r="R52" s="888">
        <f>'F4.1'!N364</f>
        <v>2.6759100000000001E-2</v>
      </c>
      <c r="S52" s="888">
        <f>'F4.1'!N380</f>
        <v>0</v>
      </c>
      <c r="T52" s="884">
        <f>'F4.3'!J297</f>
        <v>0</v>
      </c>
      <c r="U52" s="884">
        <f>'F4.3'!J317</f>
        <v>0</v>
      </c>
      <c r="V52" s="884">
        <f>'F4.3'!J337</f>
        <v>0</v>
      </c>
      <c r="W52" s="884">
        <f>'F4.3'!J357</f>
        <v>0</v>
      </c>
      <c r="X52" s="884">
        <f>'F4.3'!J376</f>
        <v>5.2214999999999996E-3</v>
      </c>
      <c r="Y52" s="778"/>
      <c r="Z52" s="778"/>
      <c r="AA52" s="778"/>
      <c r="AB52" s="778"/>
      <c r="AC52" s="778"/>
      <c r="AD52" s="778"/>
      <c r="AE52" s="778"/>
      <c r="AF52" s="778"/>
      <c r="AG52" s="778"/>
      <c r="AH52" s="778"/>
      <c r="AI52" s="778"/>
      <c r="AJ52" s="778"/>
      <c r="AK52" s="778"/>
      <c r="AL52" s="778"/>
      <c r="AM52" s="778"/>
      <c r="AN52" s="778"/>
      <c r="AO52" s="778"/>
      <c r="AP52" s="778"/>
      <c r="AQ52" s="778"/>
      <c r="AR52" s="847">
        <f>R52</f>
        <v>2.6759100000000001E-2</v>
      </c>
      <c r="AS52" s="847">
        <f>'F4.3'!N277</f>
        <v>0</v>
      </c>
      <c r="AT52" s="1103">
        <f>'F4.3'!N297</f>
        <v>0</v>
      </c>
      <c r="AU52" s="1103">
        <f>'F4.3'!N317</f>
        <v>0</v>
      </c>
      <c r="AV52" s="1103">
        <f>'F4.3'!N337</f>
        <v>0</v>
      </c>
      <c r="AW52" s="1103">
        <f>'F4.3'!N357</f>
        <v>0</v>
      </c>
      <c r="AX52" s="1103">
        <f>'F4.3'!N376</f>
        <v>5.2214999999999996E-3</v>
      </c>
      <c r="AY52" s="1103"/>
      <c r="AZ52" s="1103"/>
      <c r="BA52" s="1103"/>
      <c r="BB52" s="1103"/>
      <c r="BC52" s="1103"/>
      <c r="BD52" s="778"/>
      <c r="BE52" s="778"/>
    </row>
    <row r="53" spans="2:57" x14ac:dyDescent="0.35">
      <c r="B53" s="779"/>
      <c r="C53" s="778" t="str">
        <f>'F4.1'!B365</f>
        <v>Office equipments</v>
      </c>
      <c r="D53" s="778"/>
      <c r="E53" s="778"/>
      <c r="F53" s="778"/>
      <c r="G53" s="778"/>
      <c r="H53" s="778"/>
      <c r="I53" s="778"/>
      <c r="J53" s="778"/>
      <c r="K53" s="778"/>
      <c r="L53" s="778"/>
      <c r="M53" s="778"/>
      <c r="N53" s="778"/>
      <c r="O53" s="778"/>
      <c r="P53" s="778"/>
      <c r="Q53" s="778"/>
      <c r="R53" s="888">
        <f>'F4.1'!N365</f>
        <v>2.1808600000000001E-2</v>
      </c>
      <c r="S53" s="888">
        <f>'F4.1'!N381</f>
        <v>0</v>
      </c>
      <c r="T53" s="884">
        <f>'F4.3'!J298</f>
        <v>0</v>
      </c>
      <c r="U53" s="884">
        <f>'F4.3'!J318</f>
        <v>1.25139E-2</v>
      </c>
      <c r="V53" s="884">
        <f>'F4.3'!J338</f>
        <v>0</v>
      </c>
      <c r="W53" s="884">
        <f>'F4.3'!J358</f>
        <v>8.5004999999999998E-4</v>
      </c>
      <c r="X53" s="884">
        <f>'F4.3'!J377</f>
        <v>2.5886250000000002E-3</v>
      </c>
      <c r="Y53" s="778"/>
      <c r="Z53" s="778"/>
      <c r="AA53" s="778"/>
      <c r="AB53" s="778"/>
      <c r="AC53" s="778"/>
      <c r="AD53" s="778"/>
      <c r="AE53" s="778"/>
      <c r="AF53" s="778"/>
      <c r="AG53" s="778"/>
      <c r="AH53" s="778"/>
      <c r="AI53" s="778"/>
      <c r="AJ53" s="778"/>
      <c r="AK53" s="778"/>
      <c r="AL53" s="778"/>
      <c r="AM53" s="778"/>
      <c r="AN53" s="778"/>
      <c r="AO53" s="778"/>
      <c r="AP53" s="778"/>
      <c r="AQ53" s="778"/>
      <c r="AR53" s="847">
        <f>R53</f>
        <v>2.1808600000000001E-2</v>
      </c>
      <c r="AS53" s="847">
        <f>'F4.3'!N278</f>
        <v>0</v>
      </c>
      <c r="AT53" s="1103">
        <f>'F4.3'!N298</f>
        <v>0</v>
      </c>
      <c r="AU53" s="1103">
        <f>'F4.3'!N318</f>
        <v>1.25139E-2</v>
      </c>
      <c r="AV53" s="1103">
        <f>'F4.3'!N338</f>
        <v>0</v>
      </c>
      <c r="AW53" s="1103">
        <f>'F4.3'!N358</f>
        <v>8.5004999999999998E-4</v>
      </c>
      <c r="AX53" s="1103">
        <f>'F4.3'!N377</f>
        <v>2.5886250000000002E-3</v>
      </c>
      <c r="AY53" s="1103"/>
      <c r="AZ53" s="1103"/>
      <c r="BA53" s="1103"/>
      <c r="BB53" s="1103"/>
      <c r="BC53" s="1103"/>
      <c r="BD53" s="778"/>
      <c r="BE53" s="778"/>
    </row>
    <row r="54" spans="2:57" x14ac:dyDescent="0.35">
      <c r="B54" s="779"/>
      <c r="C54" s="778" t="str">
        <f>'F4.1'!B366</f>
        <v>Software Licenses</v>
      </c>
      <c r="D54" s="778"/>
      <c r="E54" s="778"/>
      <c r="F54" s="778"/>
      <c r="G54" s="778"/>
      <c r="H54" s="778"/>
      <c r="I54" s="778"/>
      <c r="J54" s="778"/>
      <c r="K54" s="778"/>
      <c r="L54" s="778"/>
      <c r="M54" s="778"/>
      <c r="N54" s="778"/>
      <c r="O54" s="778"/>
      <c r="P54" s="778"/>
      <c r="Q54" s="778"/>
      <c r="R54" s="888">
        <f>'F4.1'!N366</f>
        <v>0.214033</v>
      </c>
      <c r="S54" s="888">
        <f>'F4.1'!N382</f>
        <v>0</v>
      </c>
      <c r="T54" s="884">
        <f>'F4.3'!J299</f>
        <v>0</v>
      </c>
      <c r="U54" s="884">
        <f>'F4.3'!J319</f>
        <v>0</v>
      </c>
      <c r="V54" s="884">
        <f>'F4.3'!J339</f>
        <v>2.65028E-2</v>
      </c>
      <c r="W54" s="884">
        <f>'F4.3'!J359</f>
        <v>0</v>
      </c>
      <c r="X54" s="884">
        <f>'F4.3'!J378</f>
        <v>7.7879999999999998E-3</v>
      </c>
      <c r="Y54" s="778"/>
      <c r="Z54" s="778"/>
      <c r="AA54" s="778"/>
      <c r="AB54" s="778"/>
      <c r="AC54" s="778"/>
      <c r="AD54" s="778"/>
      <c r="AE54" s="778"/>
      <c r="AF54" s="778"/>
      <c r="AG54" s="778"/>
      <c r="AH54" s="778"/>
      <c r="AI54" s="778"/>
      <c r="AJ54" s="778"/>
      <c r="AK54" s="778"/>
      <c r="AL54" s="778"/>
      <c r="AM54" s="778"/>
      <c r="AN54" s="778"/>
      <c r="AO54" s="778"/>
      <c r="AP54" s="778"/>
      <c r="AQ54" s="778"/>
      <c r="AR54" s="847">
        <f>R54</f>
        <v>0.214033</v>
      </c>
      <c r="AS54" s="847">
        <f>'F4.3'!N279</f>
        <v>0</v>
      </c>
      <c r="AT54" s="1103">
        <f>'F4.3'!N299</f>
        <v>0</v>
      </c>
      <c r="AU54" s="1103">
        <f>'F4.3'!N319</f>
        <v>0</v>
      </c>
      <c r="AV54" s="1103">
        <f>'F4.3'!N339</f>
        <v>2.65028E-2</v>
      </c>
      <c r="AW54" s="1103">
        <f>'F4.3'!N359</f>
        <v>0</v>
      </c>
      <c r="AX54" s="1103">
        <f>'F4.3'!N378</f>
        <v>7.7879999999999998E-3</v>
      </c>
      <c r="AY54" s="1103"/>
      <c r="AZ54" s="1103"/>
      <c r="BA54" s="1103"/>
      <c r="BB54" s="1103"/>
      <c r="BC54" s="1103"/>
      <c r="BD54" s="778"/>
      <c r="BE54" s="778"/>
    </row>
    <row r="55" spans="2:57" x14ac:dyDescent="0.35">
      <c r="B55" s="778"/>
      <c r="C55" s="778"/>
      <c r="D55" s="778"/>
      <c r="E55" s="778"/>
      <c r="F55" s="778"/>
      <c r="G55" s="778"/>
      <c r="H55" s="778"/>
      <c r="I55" s="778"/>
      <c r="J55" s="778"/>
      <c r="K55" s="778"/>
      <c r="L55" s="778"/>
      <c r="M55" s="778"/>
      <c r="N55" s="778"/>
      <c r="O55" s="778"/>
      <c r="P55" s="778"/>
      <c r="Q55" s="778"/>
      <c r="R55" s="888"/>
      <c r="S55" s="888"/>
      <c r="T55" s="884"/>
      <c r="U55" s="884"/>
      <c r="V55" s="884"/>
      <c r="W55" s="884"/>
      <c r="X55" s="884"/>
      <c r="Y55" s="778"/>
      <c r="Z55" s="778"/>
      <c r="AA55" s="778"/>
      <c r="AB55" s="778"/>
      <c r="AC55" s="778"/>
      <c r="AD55" s="778"/>
      <c r="AE55" s="778"/>
      <c r="AF55" s="778"/>
      <c r="AG55" s="778"/>
      <c r="AH55" s="778"/>
      <c r="AI55" s="778"/>
      <c r="AJ55" s="778"/>
      <c r="AK55" s="778"/>
      <c r="AL55" s="778"/>
      <c r="AM55" s="778"/>
      <c r="AN55" s="778"/>
      <c r="AO55" s="778"/>
      <c r="AP55" s="778"/>
      <c r="AQ55" s="778"/>
      <c r="AR55" s="1103"/>
      <c r="AS55" s="1103"/>
      <c r="AT55" s="1103"/>
      <c r="AU55" s="1103"/>
      <c r="AV55" s="1103"/>
      <c r="AW55" s="1103"/>
      <c r="AX55" s="1103"/>
      <c r="AY55" s="1103"/>
      <c r="AZ55" s="1103"/>
      <c r="BA55" s="1103"/>
      <c r="BB55" s="1103"/>
      <c r="BC55" s="1103"/>
      <c r="BD55" s="778"/>
      <c r="BE55" s="778"/>
    </row>
    <row r="56" spans="2:57" x14ac:dyDescent="0.35">
      <c r="B56" s="1028"/>
      <c r="C56" s="1027" t="s">
        <v>480</v>
      </c>
      <c r="D56" s="1028"/>
      <c r="E56" s="1028"/>
      <c r="F56" s="1028"/>
      <c r="G56" s="1028"/>
      <c r="H56" s="1028"/>
      <c r="I56" s="1028"/>
      <c r="J56" s="1028"/>
      <c r="K56" s="1028"/>
      <c r="L56" s="1028"/>
      <c r="M56" s="1028"/>
      <c r="N56" s="1028"/>
      <c r="O56" s="1029">
        <f t="shared" ref="O56:AC56" si="5">SUM(O41:O55)</f>
        <v>0</v>
      </c>
      <c r="P56" s="1029">
        <f t="shared" si="5"/>
        <v>0</v>
      </c>
      <c r="Q56" s="1029">
        <f t="shared" si="5"/>
        <v>0</v>
      </c>
      <c r="R56" s="1173">
        <f t="shared" si="5"/>
        <v>2.0161088354519965</v>
      </c>
      <c r="S56" s="1173">
        <f t="shared" si="5"/>
        <v>1.8434010971436265E-2</v>
      </c>
      <c r="T56" s="1173">
        <f t="shared" si="5"/>
        <v>1.0320912E-2</v>
      </c>
      <c r="U56" s="1173">
        <f t="shared" si="5"/>
        <v>0.306264429</v>
      </c>
      <c r="V56" s="1173">
        <f t="shared" si="5"/>
        <v>1.2284243990000001</v>
      </c>
      <c r="W56" s="1173">
        <f t="shared" si="5"/>
        <v>4.7050827499999996E-2</v>
      </c>
      <c r="X56" s="1173">
        <f t="shared" si="5"/>
        <v>2.0853785E-2</v>
      </c>
      <c r="Y56" s="1173">
        <f t="shared" si="5"/>
        <v>0.10798000000000001</v>
      </c>
      <c r="Z56" s="1173">
        <f t="shared" si="5"/>
        <v>0.21942249999999999</v>
      </c>
      <c r="AA56" s="1173">
        <f t="shared" si="5"/>
        <v>0.2948769</v>
      </c>
      <c r="AB56" s="1173">
        <f t="shared" si="5"/>
        <v>0.43267509999999998</v>
      </c>
      <c r="AC56" s="1173">
        <f t="shared" si="5"/>
        <v>0.45153019999999999</v>
      </c>
      <c r="AD56" s="1051"/>
      <c r="AE56" s="1051"/>
      <c r="AF56" s="1051"/>
      <c r="AG56" s="1051"/>
      <c r="AH56" s="1051"/>
      <c r="AI56" s="1051"/>
      <c r="AJ56" s="1051"/>
      <c r="AK56" s="1051"/>
      <c r="AL56" s="1051"/>
      <c r="AM56" s="1051"/>
      <c r="AN56" s="1051"/>
      <c r="AO56" s="1051"/>
      <c r="AP56" s="1051"/>
      <c r="AQ56" s="1029">
        <f t="shared" ref="AQ56:BC56" si="6">SUM(AQ41:AQ55)</f>
        <v>0</v>
      </c>
      <c r="AR56" s="1182">
        <f t="shared" si="6"/>
        <v>0.76591354750000007</v>
      </c>
      <c r="AS56" s="1182">
        <f t="shared" si="6"/>
        <v>1.2686292989234327</v>
      </c>
      <c r="AT56" s="1182">
        <f t="shared" si="6"/>
        <v>1.0320912E-2</v>
      </c>
      <c r="AU56" s="1182">
        <f t="shared" si="6"/>
        <v>0.306264429</v>
      </c>
      <c r="AV56" s="1182">
        <f t="shared" si="6"/>
        <v>1.2284243990000001</v>
      </c>
      <c r="AW56" s="1182">
        <f t="shared" si="6"/>
        <v>4.7050827499999996E-2</v>
      </c>
      <c r="AX56" s="1182">
        <f t="shared" si="6"/>
        <v>2.0853785E-2</v>
      </c>
      <c r="AY56" s="1182">
        <f t="shared" si="6"/>
        <v>0.10798000000000001</v>
      </c>
      <c r="AZ56" s="1182">
        <f t="shared" si="6"/>
        <v>0.21942249999999999</v>
      </c>
      <c r="BA56" s="1182">
        <f t="shared" si="6"/>
        <v>0.2948769</v>
      </c>
      <c r="BB56" s="1182">
        <f t="shared" si="6"/>
        <v>0.43267509999999998</v>
      </c>
      <c r="BC56" s="1182">
        <f t="shared" si="6"/>
        <v>0.45153019999999999</v>
      </c>
      <c r="BD56" s="1028"/>
      <c r="BE56" s="1028"/>
    </row>
    <row r="57" spans="2:57" x14ac:dyDescent="0.35">
      <c r="AR57" s="814">
        <f>SUM(AR56:AX56)-SUM(O56:X56)</f>
        <v>0</v>
      </c>
    </row>
    <row r="58" spans="2:57" x14ac:dyDescent="0.35">
      <c r="B58" s="1052" t="s">
        <v>1406</v>
      </c>
      <c r="C58" s="1052"/>
      <c r="D58" s="1052"/>
      <c r="E58" s="1052"/>
      <c r="F58" s="1052"/>
      <c r="G58" s="1052"/>
      <c r="H58" s="1052"/>
      <c r="I58" s="1052"/>
      <c r="AQ58" s="1530"/>
      <c r="AR58" s="1032">
        <f>+Capitalisation!K22-AR56</f>
        <v>0</v>
      </c>
      <c r="AS58" s="1183">
        <f>+Capitalisation!N22-AS56</f>
        <v>0</v>
      </c>
      <c r="AT58" s="1183">
        <f>+Capitalisation!Q22-AT56</f>
        <v>0</v>
      </c>
      <c r="AU58" s="1183">
        <f>+Capitalisation!T22-AU56</f>
        <v>0</v>
      </c>
      <c r="AV58" s="1183">
        <f>+Capitalisation!W22-AV56</f>
        <v>0</v>
      </c>
      <c r="AW58" s="1183">
        <f>+Capitalisation!Z22-AW56</f>
        <v>0</v>
      </c>
      <c r="AX58" s="1183">
        <f>+Capitalisation!AC22-AX56</f>
        <v>0</v>
      </c>
    </row>
    <row r="59" spans="2:57" x14ac:dyDescent="0.35">
      <c r="B59" s="1052" t="s">
        <v>492</v>
      </c>
      <c r="C59" s="1052"/>
      <c r="D59" s="1052"/>
      <c r="E59" s="1052"/>
      <c r="F59" s="1052"/>
      <c r="G59" s="1052"/>
      <c r="H59" s="1052"/>
      <c r="I59" s="1052"/>
    </row>
  </sheetData>
  <mergeCells count="45">
    <mergeCell ref="B3:BE3"/>
    <mergeCell ref="B4:BE4"/>
    <mergeCell ref="B5:BE5"/>
    <mergeCell ref="AQ10:AX10"/>
    <mergeCell ref="BD10:BE10"/>
    <mergeCell ref="O10:AC10"/>
    <mergeCell ref="AD10:AP10"/>
    <mergeCell ref="N10:N12"/>
    <mergeCell ref="B10:B12"/>
    <mergeCell ref="C10:C12"/>
    <mergeCell ref="D10:D12"/>
    <mergeCell ref="E10:E12"/>
    <mergeCell ref="F10:F12"/>
    <mergeCell ref="G10:G12"/>
    <mergeCell ref="H10:H12"/>
    <mergeCell ref="J10:J12"/>
    <mergeCell ref="O11:O12"/>
    <mergeCell ref="K10:K12"/>
    <mergeCell ref="L10:L12"/>
    <mergeCell ref="M10:M12"/>
    <mergeCell ref="I10:I12"/>
    <mergeCell ref="AD11:AD12"/>
    <mergeCell ref="AQ11:AQ12"/>
    <mergeCell ref="BD11:BD12"/>
    <mergeCell ref="BE11:BE12"/>
    <mergeCell ref="B37:B39"/>
    <mergeCell ref="C37:C39"/>
    <mergeCell ref="D37:D39"/>
    <mergeCell ref="E37:E39"/>
    <mergeCell ref="F37:F39"/>
    <mergeCell ref="L37:L39"/>
    <mergeCell ref="M37:M39"/>
    <mergeCell ref="N37:N39"/>
    <mergeCell ref="G37:G39"/>
    <mergeCell ref="H37:H39"/>
    <mergeCell ref="I37:I39"/>
    <mergeCell ref="J37:J39"/>
    <mergeCell ref="K37:K39"/>
    <mergeCell ref="BE37:BE39"/>
    <mergeCell ref="O38:O39"/>
    <mergeCell ref="AD38:AD39"/>
    <mergeCell ref="AQ38:AQ39"/>
    <mergeCell ref="Q37:AC37"/>
    <mergeCell ref="AD37:AP37"/>
    <mergeCell ref="AQ37:BC37"/>
  </mergeCells>
  <printOptions verticalCentered="1"/>
  <pageMargins left="0" right="0" top="0.23622047244094491" bottom="0.23622047244094491" header="0.23622047244094491" footer="0.23622047244094491"/>
  <pageSetup paperSize="9" scale="26" fitToHeight="2" orientation="landscape" r:id="rId1"/>
  <headerFooter alignWithMargins="0">
    <oddHeader>&amp;F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F061-77EC-469C-8E05-D6DF1655898D}">
  <dimension ref="A1:AG95"/>
  <sheetViews>
    <sheetView showGridLines="0" topLeftCell="A60" zoomScaleNormal="100" zoomScaleSheetLayoutView="90" workbookViewId="0">
      <selection activeCell="C45" sqref="C45:N45"/>
    </sheetView>
  </sheetViews>
  <sheetFormatPr defaultColWidth="8.86328125" defaultRowHeight="13.9" x14ac:dyDescent="0.35"/>
  <cols>
    <col min="1" max="1" width="21.46484375" style="577" bestFit="1" customWidth="1"/>
    <col min="2" max="2" width="5" style="578" bestFit="1" customWidth="1"/>
    <col min="3" max="15" width="9.86328125" style="579" customWidth="1"/>
    <col min="16" max="17" width="9.86328125" style="580" customWidth="1"/>
    <col min="18" max="18" width="4.53125" style="580" bestFit="1" customWidth="1"/>
    <col min="19" max="19" width="9.46484375" style="580" bestFit="1" customWidth="1"/>
    <col min="20" max="20" width="8" style="580" bestFit="1" customWidth="1"/>
    <col min="21" max="21" width="7.19921875" style="580" bestFit="1" customWidth="1"/>
    <col min="22" max="22" width="7.1328125" style="580" bestFit="1" customWidth="1"/>
    <col min="23" max="23" width="8.86328125" style="580" bestFit="1" customWidth="1"/>
    <col min="24" max="24" width="11.33203125" style="580" bestFit="1" customWidth="1"/>
    <col min="25" max="25" width="10.53125" style="580" bestFit="1" customWidth="1"/>
    <col min="26" max="26" width="10.796875" style="580" bestFit="1" customWidth="1"/>
    <col min="27" max="27" width="10.6640625" style="580" bestFit="1" customWidth="1"/>
    <col min="28" max="30" width="10.53125" style="580" bestFit="1" customWidth="1"/>
    <col min="31" max="31" width="8.86328125" style="580"/>
    <col min="32" max="32" width="27.1328125" style="580" bestFit="1" customWidth="1"/>
    <col min="33" max="33" width="3.86328125" style="580" bestFit="1" customWidth="1"/>
    <col min="34" max="16384" width="8.86328125" style="580"/>
  </cols>
  <sheetData>
    <row r="1" spans="1:33" x14ac:dyDescent="0.35">
      <c r="S1" s="580">
        <v>30</v>
      </c>
      <c r="T1" s="580">
        <v>31</v>
      </c>
      <c r="U1" s="580">
        <v>30</v>
      </c>
      <c r="V1" s="580">
        <v>31</v>
      </c>
      <c r="W1" s="580">
        <v>31</v>
      </c>
      <c r="X1" s="580">
        <v>30</v>
      </c>
      <c r="Y1" s="580">
        <v>31</v>
      </c>
      <c r="Z1" s="580">
        <v>30</v>
      </c>
      <c r="AA1" s="580">
        <v>31</v>
      </c>
      <c r="AB1" s="580">
        <v>31</v>
      </c>
      <c r="AC1" s="580">
        <v>28</v>
      </c>
      <c r="AD1" s="580">
        <v>31</v>
      </c>
    </row>
    <row r="2" spans="1:33" x14ac:dyDescent="0.4">
      <c r="A2" s="1892" t="s">
        <v>1153</v>
      </c>
      <c r="B2" s="1892"/>
      <c r="C2" s="1892"/>
      <c r="D2" s="1892"/>
      <c r="E2" s="1892"/>
      <c r="F2" s="1892"/>
      <c r="G2" s="1892"/>
      <c r="H2" s="1892"/>
      <c r="I2" s="1892"/>
      <c r="J2" s="1892"/>
      <c r="K2" s="1892"/>
      <c r="L2" s="1892"/>
      <c r="M2" s="1892"/>
      <c r="N2" s="1892"/>
      <c r="O2" s="581"/>
      <c r="Q2" s="1893" t="s">
        <v>1154</v>
      </c>
      <c r="R2" s="1893"/>
      <c r="S2" s="1893"/>
      <c r="T2" s="1893"/>
      <c r="U2" s="1893"/>
      <c r="V2" s="1893"/>
      <c r="W2" s="1893"/>
      <c r="X2" s="1893"/>
      <c r="Y2" s="1893"/>
      <c r="Z2" s="1893"/>
      <c r="AA2" s="1893"/>
      <c r="AB2" s="1893"/>
      <c r="AC2" s="1893"/>
      <c r="AD2" s="1893"/>
      <c r="AF2" s="582"/>
      <c r="AG2" s="583"/>
    </row>
    <row r="3" spans="1:33" x14ac:dyDescent="0.35">
      <c r="P3" s="584" t="s">
        <v>1166</v>
      </c>
      <c r="Q3" s="584" t="s">
        <v>1167</v>
      </c>
      <c r="R3" s="584" t="s">
        <v>624</v>
      </c>
      <c r="S3" s="584">
        <v>45748</v>
      </c>
      <c r="T3" s="584">
        <v>45778</v>
      </c>
      <c r="U3" s="584">
        <v>45809</v>
      </c>
      <c r="V3" s="584">
        <v>45839</v>
      </c>
      <c r="W3" s="584">
        <v>45870</v>
      </c>
      <c r="X3" s="584">
        <v>45901</v>
      </c>
      <c r="Y3" s="584">
        <v>45931</v>
      </c>
      <c r="Z3" s="584">
        <v>45962</v>
      </c>
      <c r="AA3" s="584">
        <v>45992</v>
      </c>
      <c r="AB3" s="584">
        <v>46023</v>
      </c>
      <c r="AC3" s="584">
        <v>46054</v>
      </c>
      <c r="AD3" s="584">
        <v>46082</v>
      </c>
    </row>
    <row r="4" spans="1:33" ht="27.75" x14ac:dyDescent="0.35">
      <c r="A4" s="577" t="s">
        <v>1168</v>
      </c>
      <c r="B4" s="578" t="s">
        <v>1169</v>
      </c>
      <c r="C4" s="579">
        <v>18000</v>
      </c>
      <c r="D4" s="579">
        <v>18000</v>
      </c>
      <c r="E4" s="579">
        <v>18000</v>
      </c>
      <c r="F4" s="579">
        <v>21000</v>
      </c>
      <c r="G4" s="579">
        <v>21000</v>
      </c>
      <c r="H4" s="579">
        <v>21000</v>
      </c>
      <c r="I4" s="579">
        <v>22000</v>
      </c>
      <c r="J4" s="579">
        <v>22000</v>
      </c>
      <c r="K4" s="579">
        <v>22000</v>
      </c>
      <c r="L4" s="579">
        <v>23000</v>
      </c>
      <c r="M4" s="579">
        <v>23000</v>
      </c>
      <c r="N4" s="579">
        <v>23000</v>
      </c>
      <c r="P4" s="585">
        <v>0.9</v>
      </c>
      <c r="Q4" s="586" t="s">
        <v>1168</v>
      </c>
      <c r="R4" s="587" t="s">
        <v>236</v>
      </c>
      <c r="S4" s="588">
        <f t="shared" ref="S4:AD5" si="0">+C5*S$1*24/1000*$P4</f>
        <v>9.1562400000000004</v>
      </c>
      <c r="T4" s="588">
        <f t="shared" si="0"/>
        <v>9.4614480000000025</v>
      </c>
      <c r="U4" s="588">
        <f t="shared" si="0"/>
        <v>9.1562400000000004</v>
      </c>
      <c r="V4" s="588">
        <f t="shared" si="0"/>
        <v>11.038356</v>
      </c>
      <c r="W4" s="588">
        <f t="shared" si="0"/>
        <v>11.038356</v>
      </c>
      <c r="X4" s="588">
        <f t="shared" si="0"/>
        <v>10.68228</v>
      </c>
      <c r="Y4" s="588">
        <f t="shared" si="0"/>
        <v>11.637647999999999</v>
      </c>
      <c r="Z4" s="588">
        <f t="shared" si="0"/>
        <v>11.262239999999998</v>
      </c>
      <c r="AA4" s="588">
        <f t="shared" si="0"/>
        <v>11.637647999999999</v>
      </c>
      <c r="AB4" s="588">
        <f t="shared" si="0"/>
        <v>12.166632000000003</v>
      </c>
      <c r="AC4" s="588">
        <f t="shared" si="0"/>
        <v>10.989216000000003</v>
      </c>
      <c r="AD4" s="588">
        <f t="shared" si="0"/>
        <v>12.166632000000003</v>
      </c>
      <c r="AE4" s="589">
        <f>SUM(S4:AD4)</f>
        <v>130.39293599999999</v>
      </c>
      <c r="AF4" s="590">
        <f>AE4/AE6</f>
        <v>0.92973158621029528</v>
      </c>
    </row>
    <row r="5" spans="1:33" x14ac:dyDescent="0.35">
      <c r="A5" s="577" t="s">
        <v>1538</v>
      </c>
      <c r="B5" s="578" t="s">
        <v>1170</v>
      </c>
      <c r="C5" s="591">
        <f t="shared" ref="C5:H5" si="1">C4*0.785/1000</f>
        <v>14.13</v>
      </c>
      <c r="D5" s="591">
        <f t="shared" si="1"/>
        <v>14.13</v>
      </c>
      <c r="E5" s="591">
        <f t="shared" si="1"/>
        <v>14.13</v>
      </c>
      <c r="F5" s="591">
        <f t="shared" si="1"/>
        <v>16.484999999999999</v>
      </c>
      <c r="G5" s="591">
        <f t="shared" si="1"/>
        <v>16.484999999999999</v>
      </c>
      <c r="H5" s="591">
        <f t="shared" si="1"/>
        <v>16.484999999999999</v>
      </c>
      <c r="I5" s="591">
        <f t="shared" ref="I5:N5" si="2">I4*0.79/1000</f>
        <v>17.38</v>
      </c>
      <c r="J5" s="591">
        <f t="shared" si="2"/>
        <v>17.38</v>
      </c>
      <c r="K5" s="591">
        <f t="shared" si="2"/>
        <v>17.38</v>
      </c>
      <c r="L5" s="591">
        <f t="shared" si="2"/>
        <v>18.170000000000002</v>
      </c>
      <c r="M5" s="591">
        <f t="shared" si="2"/>
        <v>18.170000000000002</v>
      </c>
      <c r="N5" s="591">
        <f t="shared" si="2"/>
        <v>18.170000000000002</v>
      </c>
      <c r="O5" s="591"/>
      <c r="P5" s="585">
        <v>0.9</v>
      </c>
      <c r="Q5" s="586" t="s">
        <v>1171</v>
      </c>
      <c r="R5" s="587" t="s">
        <v>236</v>
      </c>
      <c r="S5" s="588">
        <f t="shared" si="0"/>
        <v>0.81</v>
      </c>
      <c r="T5" s="588">
        <f t="shared" si="0"/>
        <v>0.83700000000000008</v>
      </c>
      <c r="U5" s="588">
        <f t="shared" si="0"/>
        <v>0.81</v>
      </c>
      <c r="V5" s="588">
        <f t="shared" si="0"/>
        <v>0.83700000000000008</v>
      </c>
      <c r="W5" s="588">
        <f t="shared" si="0"/>
        <v>0.83700000000000008</v>
      </c>
      <c r="X5" s="588">
        <f t="shared" si="0"/>
        <v>0.81</v>
      </c>
      <c r="Y5" s="588">
        <f t="shared" si="0"/>
        <v>0.83700000000000008</v>
      </c>
      <c r="Z5" s="588">
        <f t="shared" si="0"/>
        <v>0.81</v>
      </c>
      <c r="AA5" s="588">
        <f t="shared" si="0"/>
        <v>0.83700000000000008</v>
      </c>
      <c r="AB5" s="588">
        <f t="shared" si="0"/>
        <v>0.83700000000000008</v>
      </c>
      <c r="AC5" s="588">
        <f t="shared" si="0"/>
        <v>0.75600000000000001</v>
      </c>
      <c r="AD5" s="588">
        <f t="shared" si="0"/>
        <v>0.83700000000000008</v>
      </c>
      <c r="AE5" s="589">
        <f>SUM(S5:AD5)</f>
        <v>9.8550000000000004</v>
      </c>
    </row>
    <row r="6" spans="1:33" x14ac:dyDescent="0.35">
      <c r="A6" s="577" t="s">
        <v>1172</v>
      </c>
      <c r="B6" s="578" t="s">
        <v>1170</v>
      </c>
      <c r="C6" s="579">
        <v>1.25</v>
      </c>
      <c r="D6" s="579">
        <f>+C6</f>
        <v>1.25</v>
      </c>
      <c r="E6" s="579">
        <f t="shared" ref="E6:N6" si="3">+D6</f>
        <v>1.25</v>
      </c>
      <c r="F6" s="579">
        <f t="shared" si="3"/>
        <v>1.25</v>
      </c>
      <c r="G6" s="579">
        <f t="shared" si="3"/>
        <v>1.25</v>
      </c>
      <c r="H6" s="579">
        <f t="shared" si="3"/>
        <v>1.25</v>
      </c>
      <c r="I6" s="579">
        <f t="shared" si="3"/>
        <v>1.25</v>
      </c>
      <c r="J6" s="579">
        <f t="shared" si="3"/>
        <v>1.25</v>
      </c>
      <c r="K6" s="579">
        <f t="shared" si="3"/>
        <v>1.25</v>
      </c>
      <c r="L6" s="579">
        <f t="shared" si="3"/>
        <v>1.25</v>
      </c>
      <c r="M6" s="579">
        <f t="shared" si="3"/>
        <v>1.25</v>
      </c>
      <c r="N6" s="579">
        <f t="shared" si="3"/>
        <v>1.25</v>
      </c>
      <c r="P6" s="592"/>
      <c r="Q6" s="593" t="s">
        <v>164</v>
      </c>
      <c r="R6" s="594" t="s">
        <v>236</v>
      </c>
      <c r="S6" s="595">
        <f>+S4+S5</f>
        <v>9.9662400000000009</v>
      </c>
      <c r="T6" s="595">
        <f t="shared" ref="T6:AD6" si="4">+T4+T5</f>
        <v>10.298448000000002</v>
      </c>
      <c r="U6" s="595">
        <f t="shared" si="4"/>
        <v>9.9662400000000009</v>
      </c>
      <c r="V6" s="595">
        <f t="shared" si="4"/>
        <v>11.875356</v>
      </c>
      <c r="W6" s="595">
        <f t="shared" si="4"/>
        <v>11.875356</v>
      </c>
      <c r="X6" s="595">
        <f t="shared" si="4"/>
        <v>11.492280000000001</v>
      </c>
      <c r="Y6" s="595">
        <f t="shared" si="4"/>
        <v>12.474647999999998</v>
      </c>
      <c r="Z6" s="595">
        <f t="shared" si="4"/>
        <v>12.072239999999999</v>
      </c>
      <c r="AA6" s="595">
        <f t="shared" si="4"/>
        <v>12.474647999999998</v>
      </c>
      <c r="AB6" s="595">
        <f t="shared" si="4"/>
        <v>13.003632000000003</v>
      </c>
      <c r="AC6" s="595">
        <f t="shared" si="4"/>
        <v>11.745216000000003</v>
      </c>
      <c r="AD6" s="595">
        <f t="shared" si="4"/>
        <v>13.003632000000003</v>
      </c>
      <c r="AE6" s="589">
        <f>SUM(S6:AD6)</f>
        <v>140.24793600000001</v>
      </c>
    </row>
    <row r="7" spans="1:33" x14ac:dyDescent="0.35">
      <c r="A7" s="577" t="s">
        <v>164</v>
      </c>
      <c r="B7" s="578" t="s">
        <v>1170</v>
      </c>
      <c r="C7" s="591">
        <f>MROUND(C5+C6,0.1)</f>
        <v>15.4</v>
      </c>
      <c r="D7" s="591">
        <f t="shared" ref="D7:N7" si="5">MROUND(D5+D6,0.1)</f>
        <v>15.4</v>
      </c>
      <c r="E7" s="591">
        <f t="shared" si="5"/>
        <v>15.4</v>
      </c>
      <c r="F7" s="591">
        <f t="shared" si="5"/>
        <v>17.7</v>
      </c>
      <c r="G7" s="591">
        <f t="shared" si="5"/>
        <v>17.7</v>
      </c>
      <c r="H7" s="591">
        <f t="shared" si="5"/>
        <v>17.7</v>
      </c>
      <c r="I7" s="591">
        <f t="shared" si="5"/>
        <v>18.600000000000001</v>
      </c>
      <c r="J7" s="591">
        <f t="shared" si="5"/>
        <v>18.600000000000001</v>
      </c>
      <c r="K7" s="591">
        <f t="shared" si="5"/>
        <v>18.600000000000001</v>
      </c>
      <c r="L7" s="591">
        <f t="shared" si="5"/>
        <v>19.400000000000002</v>
      </c>
      <c r="M7" s="591">
        <f t="shared" si="5"/>
        <v>19.400000000000002</v>
      </c>
      <c r="N7" s="591">
        <f t="shared" si="5"/>
        <v>19.400000000000002</v>
      </c>
      <c r="O7" s="591"/>
      <c r="Q7" s="577"/>
      <c r="R7" s="578"/>
      <c r="S7" s="579"/>
      <c r="T7" s="579"/>
      <c r="U7" s="579"/>
      <c r="V7" s="579"/>
      <c r="W7" s="579"/>
      <c r="X7" s="579"/>
      <c r="Y7" s="579"/>
      <c r="Z7" s="579"/>
      <c r="AA7" s="579"/>
      <c r="AB7" s="579"/>
      <c r="AC7" s="579"/>
      <c r="AD7" s="579"/>
      <c r="AE7" s="589">
        <f>SUM(S7:AD7)</f>
        <v>0</v>
      </c>
    </row>
    <row r="8" spans="1:33" x14ac:dyDescent="0.35">
      <c r="A8" s="577" t="s">
        <v>1173</v>
      </c>
      <c r="B8" s="578" t="s">
        <v>1170</v>
      </c>
      <c r="C8" s="591">
        <f>+C7-12.5</f>
        <v>2.9000000000000004</v>
      </c>
      <c r="D8" s="579">
        <f>D7-C7</f>
        <v>0</v>
      </c>
      <c r="E8" s="579">
        <f t="shared" ref="E8:N8" si="6">E7-D7</f>
        <v>0</v>
      </c>
      <c r="F8" s="579">
        <f t="shared" si="6"/>
        <v>2.2999999999999989</v>
      </c>
      <c r="G8" s="579">
        <f t="shared" si="6"/>
        <v>0</v>
      </c>
      <c r="H8" s="579">
        <f t="shared" si="6"/>
        <v>0</v>
      </c>
      <c r="I8" s="579">
        <f t="shared" si="6"/>
        <v>0.90000000000000213</v>
      </c>
      <c r="J8" s="579">
        <f t="shared" si="6"/>
        <v>0</v>
      </c>
      <c r="K8" s="579">
        <f t="shared" si="6"/>
        <v>0</v>
      </c>
      <c r="L8" s="579">
        <f t="shared" si="6"/>
        <v>0.80000000000000071</v>
      </c>
      <c r="M8" s="579">
        <f t="shared" si="6"/>
        <v>0</v>
      </c>
      <c r="N8" s="579">
        <f t="shared" si="6"/>
        <v>0</v>
      </c>
      <c r="Q8" s="577"/>
      <c r="R8" s="578"/>
      <c r="S8" s="579"/>
      <c r="T8" s="579"/>
      <c r="U8" s="579"/>
      <c r="V8" s="579"/>
      <c r="W8" s="579"/>
      <c r="X8" s="579"/>
      <c r="Y8" s="579"/>
      <c r="Z8" s="579"/>
      <c r="AA8" s="579"/>
      <c r="AB8" s="579"/>
      <c r="AC8" s="579"/>
      <c r="AD8" s="579"/>
    </row>
    <row r="9" spans="1:33" x14ac:dyDescent="0.35">
      <c r="A9" s="596" t="s">
        <v>123</v>
      </c>
      <c r="B9" s="597"/>
      <c r="C9" s="584">
        <v>45748</v>
      </c>
      <c r="D9" s="584">
        <v>45778</v>
      </c>
      <c r="E9" s="584">
        <v>45809</v>
      </c>
      <c r="F9" s="584">
        <v>45839</v>
      </c>
      <c r="G9" s="584">
        <v>45870</v>
      </c>
      <c r="H9" s="584">
        <v>45901</v>
      </c>
      <c r="I9" s="584">
        <v>45931</v>
      </c>
      <c r="J9" s="584">
        <v>45962</v>
      </c>
      <c r="K9" s="584">
        <v>45992</v>
      </c>
      <c r="L9" s="584">
        <v>46023</v>
      </c>
      <c r="M9" s="584">
        <v>46054</v>
      </c>
      <c r="N9" s="598">
        <v>46082</v>
      </c>
      <c r="O9" s="615"/>
      <c r="Q9" s="599"/>
      <c r="R9" s="581"/>
      <c r="S9" s="600"/>
      <c r="T9" s="600"/>
      <c r="U9" s="600"/>
      <c r="V9" s="600"/>
      <c r="W9" s="600"/>
      <c r="X9" s="600"/>
      <c r="Y9" s="600"/>
      <c r="Z9" s="600"/>
      <c r="AA9" s="600"/>
      <c r="AB9" s="600"/>
      <c r="AC9" s="600"/>
      <c r="AD9" s="600"/>
    </row>
    <row r="10" spans="1:33" x14ac:dyDescent="0.35">
      <c r="A10" s="586" t="s">
        <v>1174</v>
      </c>
      <c r="B10" s="587" t="s">
        <v>1170</v>
      </c>
      <c r="C10" s="601">
        <f t="shared" ref="C10:N10" si="7">C8</f>
        <v>2.9000000000000004</v>
      </c>
      <c r="D10" s="601">
        <f t="shared" si="7"/>
        <v>0</v>
      </c>
      <c r="E10" s="601">
        <f t="shared" si="7"/>
        <v>0</v>
      </c>
      <c r="F10" s="601">
        <f t="shared" si="7"/>
        <v>2.2999999999999989</v>
      </c>
      <c r="G10" s="601">
        <f t="shared" si="7"/>
        <v>0</v>
      </c>
      <c r="H10" s="601">
        <f t="shared" si="7"/>
        <v>0</v>
      </c>
      <c r="I10" s="601">
        <f t="shared" si="7"/>
        <v>0.90000000000000213</v>
      </c>
      <c r="J10" s="601">
        <f t="shared" si="7"/>
        <v>0</v>
      </c>
      <c r="K10" s="601">
        <f t="shared" si="7"/>
        <v>0</v>
      </c>
      <c r="L10" s="601">
        <f t="shared" si="7"/>
        <v>0.80000000000000071</v>
      </c>
      <c r="M10" s="601">
        <f t="shared" si="7"/>
        <v>0</v>
      </c>
      <c r="N10" s="602">
        <f t="shared" si="7"/>
        <v>0</v>
      </c>
      <c r="Q10" s="577"/>
      <c r="R10" s="578"/>
      <c r="S10" s="579"/>
      <c r="T10" s="579"/>
      <c r="U10" s="579"/>
      <c r="V10" s="579"/>
      <c r="W10" s="579"/>
      <c r="X10" s="579"/>
      <c r="Y10" s="579"/>
      <c r="Z10" s="579"/>
      <c r="AA10" s="579"/>
      <c r="AB10" s="579"/>
      <c r="AC10" s="579"/>
      <c r="AD10" s="579"/>
    </row>
    <row r="11" spans="1:33" ht="27" x14ac:dyDescent="0.35">
      <c r="A11" s="593" t="s">
        <v>1175</v>
      </c>
      <c r="B11" s="594" t="s">
        <v>1170</v>
      </c>
      <c r="C11" s="603">
        <f>C7</f>
        <v>15.4</v>
      </c>
      <c r="D11" s="603">
        <f>C11+D10</f>
        <v>15.4</v>
      </c>
      <c r="E11" s="603">
        <f t="shared" ref="E11:N11" si="8">D11+E10</f>
        <v>15.4</v>
      </c>
      <c r="F11" s="603">
        <f t="shared" si="8"/>
        <v>17.7</v>
      </c>
      <c r="G11" s="603">
        <f t="shared" si="8"/>
        <v>17.7</v>
      </c>
      <c r="H11" s="603">
        <f t="shared" si="8"/>
        <v>17.7</v>
      </c>
      <c r="I11" s="603">
        <f t="shared" si="8"/>
        <v>18.600000000000001</v>
      </c>
      <c r="J11" s="603">
        <f t="shared" si="8"/>
        <v>18.600000000000001</v>
      </c>
      <c r="K11" s="603">
        <f t="shared" si="8"/>
        <v>18.600000000000001</v>
      </c>
      <c r="L11" s="603">
        <f t="shared" si="8"/>
        <v>19.400000000000002</v>
      </c>
      <c r="M11" s="603">
        <f t="shared" si="8"/>
        <v>19.400000000000002</v>
      </c>
      <c r="N11" s="604">
        <f t="shared" si="8"/>
        <v>19.400000000000002</v>
      </c>
      <c r="O11" s="605"/>
      <c r="Q11" s="599"/>
      <c r="R11" s="581"/>
      <c r="S11" s="605"/>
      <c r="T11" s="605"/>
      <c r="U11" s="605"/>
      <c r="V11" s="605"/>
      <c r="W11" s="605"/>
      <c r="X11" s="605"/>
      <c r="Y11" s="605"/>
      <c r="Z11" s="605"/>
      <c r="AA11" s="605"/>
      <c r="AB11" s="605"/>
      <c r="AC11" s="605"/>
      <c r="AD11" s="605"/>
    </row>
    <row r="12" spans="1:33" x14ac:dyDescent="0.35">
      <c r="A12" s="599"/>
      <c r="B12" s="581"/>
      <c r="C12" s="605"/>
      <c r="D12" s="605"/>
      <c r="E12" s="605"/>
      <c r="F12" s="605"/>
      <c r="G12" s="605"/>
      <c r="H12" s="605"/>
      <c r="I12" s="605"/>
      <c r="J12" s="605"/>
      <c r="K12" s="605"/>
      <c r="L12" s="605"/>
      <c r="M12" s="605"/>
      <c r="N12" s="605"/>
      <c r="O12" s="605"/>
      <c r="Q12" s="599"/>
      <c r="R12" s="581"/>
      <c r="S12" s="605"/>
      <c r="T12" s="605"/>
      <c r="U12" s="605"/>
      <c r="V12" s="605"/>
      <c r="W12" s="605"/>
      <c r="X12" s="605"/>
      <c r="Y12" s="605"/>
      <c r="Z12" s="605"/>
      <c r="AA12" s="605"/>
      <c r="AB12" s="605"/>
      <c r="AC12" s="605"/>
      <c r="AD12" s="605"/>
    </row>
    <row r="13" spans="1:33" x14ac:dyDescent="0.35">
      <c r="A13" s="599"/>
      <c r="B13" s="581"/>
      <c r="C13" s="605"/>
      <c r="D13" s="605"/>
      <c r="E13" s="605"/>
      <c r="F13" s="605"/>
      <c r="G13" s="605"/>
      <c r="H13" s="605"/>
      <c r="I13" s="605"/>
      <c r="J13" s="605"/>
      <c r="K13" s="605"/>
      <c r="L13" s="605"/>
      <c r="M13" s="605"/>
      <c r="N13" s="605"/>
      <c r="O13" s="605"/>
      <c r="Q13" s="599"/>
      <c r="R13" s="581"/>
      <c r="S13" s="605"/>
      <c r="T13" s="605"/>
      <c r="U13" s="605"/>
      <c r="V13" s="605"/>
      <c r="W13" s="605"/>
      <c r="X13" s="605"/>
      <c r="Y13" s="605"/>
      <c r="Z13" s="605"/>
      <c r="AA13" s="605"/>
      <c r="AB13" s="605"/>
      <c r="AC13" s="605"/>
      <c r="AD13" s="605"/>
    </row>
    <row r="14" spans="1:33" x14ac:dyDescent="0.35">
      <c r="Q14" s="577"/>
      <c r="R14" s="578"/>
      <c r="S14" s="579"/>
      <c r="T14" s="579"/>
      <c r="U14" s="579"/>
      <c r="V14" s="579"/>
      <c r="W14" s="579"/>
      <c r="X14" s="579"/>
      <c r="Y14" s="579"/>
      <c r="Z14" s="579"/>
      <c r="AA14" s="579"/>
      <c r="AB14" s="579"/>
      <c r="AC14" s="579"/>
      <c r="AD14" s="579"/>
    </row>
    <row r="15" spans="1:33" x14ac:dyDescent="0.35">
      <c r="P15" s="584" t="s">
        <v>1166</v>
      </c>
      <c r="Q15" s="584" t="s">
        <v>1167</v>
      </c>
      <c r="R15" s="584" t="s">
        <v>624</v>
      </c>
      <c r="S15" s="584">
        <v>46113</v>
      </c>
      <c r="T15" s="584">
        <v>46143</v>
      </c>
      <c r="U15" s="584">
        <v>46174</v>
      </c>
      <c r="V15" s="584">
        <v>46204</v>
      </c>
      <c r="W15" s="584">
        <v>46235</v>
      </c>
      <c r="X15" s="584">
        <v>46266</v>
      </c>
      <c r="Y15" s="584">
        <v>46296</v>
      </c>
      <c r="Z15" s="584">
        <v>46327</v>
      </c>
      <c r="AA15" s="584">
        <v>46357</v>
      </c>
      <c r="AB15" s="584">
        <v>46388</v>
      </c>
      <c r="AC15" s="584">
        <v>46419</v>
      </c>
      <c r="AD15" s="584">
        <v>46447</v>
      </c>
    </row>
    <row r="16" spans="1:33" ht="27.75" x14ac:dyDescent="0.35">
      <c r="A16" s="577" t="s">
        <v>1168</v>
      </c>
      <c r="B16" s="578" t="s">
        <v>1169</v>
      </c>
      <c r="C16" s="579">
        <v>23000</v>
      </c>
      <c r="D16" s="579">
        <v>23000</v>
      </c>
      <c r="E16" s="579">
        <v>23000</v>
      </c>
      <c r="F16" s="579">
        <v>23000</v>
      </c>
      <c r="G16" s="579">
        <v>23000</v>
      </c>
      <c r="H16" s="579">
        <v>23000</v>
      </c>
      <c r="I16" s="579">
        <v>23000</v>
      </c>
      <c r="J16" s="579">
        <v>23000</v>
      </c>
      <c r="K16" s="579">
        <v>23000</v>
      </c>
      <c r="L16" s="579">
        <v>23000</v>
      </c>
      <c r="M16" s="579">
        <v>23000</v>
      </c>
      <c r="N16" s="579">
        <v>23000</v>
      </c>
      <c r="P16" s="585">
        <v>0.9</v>
      </c>
      <c r="Q16" s="586" t="s">
        <v>1168</v>
      </c>
      <c r="R16" s="587" t="s">
        <v>236</v>
      </c>
      <c r="S16" s="588">
        <f t="shared" ref="S16:AD18" si="9">+C17*S$1*24/1000*$P16</f>
        <v>11.9232</v>
      </c>
      <c r="T16" s="588">
        <f t="shared" si="9"/>
        <v>12.320639999999999</v>
      </c>
      <c r="U16" s="588">
        <f t="shared" si="9"/>
        <v>11.9232</v>
      </c>
      <c r="V16" s="588">
        <f t="shared" si="9"/>
        <v>12.320639999999999</v>
      </c>
      <c r="W16" s="588">
        <f t="shared" si="9"/>
        <v>12.320639999999999</v>
      </c>
      <c r="X16" s="588">
        <f t="shared" si="9"/>
        <v>11.9232</v>
      </c>
      <c r="Y16" s="588">
        <f t="shared" si="9"/>
        <v>12.320639999999999</v>
      </c>
      <c r="Z16" s="588">
        <f t="shared" si="9"/>
        <v>11.9232</v>
      </c>
      <c r="AA16" s="588">
        <f t="shared" si="9"/>
        <v>12.320639999999999</v>
      </c>
      <c r="AB16" s="588">
        <f t="shared" si="9"/>
        <v>12.320639999999999</v>
      </c>
      <c r="AC16" s="588">
        <f t="shared" si="9"/>
        <v>11.128319999999999</v>
      </c>
      <c r="AD16" s="588">
        <f t="shared" si="9"/>
        <v>12.320639999999999</v>
      </c>
      <c r="AE16" s="589">
        <f>SUM(S16:AD16)</f>
        <v>145.06559999999996</v>
      </c>
      <c r="AF16" s="590">
        <f>AE16/AE19</f>
        <v>0.83188020836917376</v>
      </c>
    </row>
    <row r="17" spans="1:32" x14ac:dyDescent="0.35">
      <c r="A17" s="577" t="s">
        <v>1176</v>
      </c>
      <c r="B17" s="578" t="s">
        <v>1170</v>
      </c>
      <c r="C17" s="579">
        <f>C16*0.8/1000</f>
        <v>18.399999999999999</v>
      </c>
      <c r="D17" s="579">
        <f t="shared" ref="D17:N17" si="10">D16*0.8/1000</f>
        <v>18.399999999999999</v>
      </c>
      <c r="E17" s="579">
        <f t="shared" si="10"/>
        <v>18.399999999999999</v>
      </c>
      <c r="F17" s="579">
        <f t="shared" si="10"/>
        <v>18.399999999999999</v>
      </c>
      <c r="G17" s="579">
        <f t="shared" si="10"/>
        <v>18.399999999999999</v>
      </c>
      <c r="H17" s="579">
        <f t="shared" si="10"/>
        <v>18.399999999999999</v>
      </c>
      <c r="I17" s="579">
        <f t="shared" si="10"/>
        <v>18.399999999999999</v>
      </c>
      <c r="J17" s="579">
        <f t="shared" si="10"/>
        <v>18.399999999999999</v>
      </c>
      <c r="K17" s="579">
        <f t="shared" si="10"/>
        <v>18.399999999999999</v>
      </c>
      <c r="L17" s="579">
        <f t="shared" si="10"/>
        <v>18.399999999999999</v>
      </c>
      <c r="M17" s="579">
        <f t="shared" si="10"/>
        <v>18.399999999999999</v>
      </c>
      <c r="N17" s="579">
        <f t="shared" si="10"/>
        <v>18.399999999999999</v>
      </c>
      <c r="P17" s="585">
        <v>0.9</v>
      </c>
      <c r="Q17" s="586" t="s">
        <v>1171</v>
      </c>
      <c r="R17" s="587" t="s">
        <v>236</v>
      </c>
      <c r="S17" s="588">
        <f t="shared" si="9"/>
        <v>0.97200000000000009</v>
      </c>
      <c r="T17" s="588">
        <f t="shared" si="9"/>
        <v>1.0044000000000002</v>
      </c>
      <c r="U17" s="588">
        <f t="shared" si="9"/>
        <v>0.97200000000000009</v>
      </c>
      <c r="V17" s="588">
        <f t="shared" si="9"/>
        <v>1.0044000000000002</v>
      </c>
      <c r="W17" s="588">
        <f t="shared" si="9"/>
        <v>1.0044000000000002</v>
      </c>
      <c r="X17" s="588">
        <f t="shared" si="9"/>
        <v>0.97200000000000009</v>
      </c>
      <c r="Y17" s="588">
        <f t="shared" si="9"/>
        <v>1.0044000000000002</v>
      </c>
      <c r="Z17" s="588">
        <f t="shared" si="9"/>
        <v>0.97200000000000009</v>
      </c>
      <c r="AA17" s="588">
        <f t="shared" si="9"/>
        <v>1.0044000000000002</v>
      </c>
      <c r="AB17" s="588">
        <f t="shared" si="9"/>
        <v>1.0044000000000002</v>
      </c>
      <c r="AC17" s="588">
        <f t="shared" si="9"/>
        <v>0.90720000000000001</v>
      </c>
      <c r="AD17" s="588">
        <f t="shared" si="9"/>
        <v>1.0044000000000002</v>
      </c>
      <c r="AE17" s="589">
        <f>SUM(S17:AD17)</f>
        <v>11.826000000000002</v>
      </c>
    </row>
    <row r="18" spans="1:32" x14ac:dyDescent="0.35">
      <c r="A18" s="577" t="s">
        <v>1172</v>
      </c>
      <c r="B18" s="578" t="s">
        <v>1170</v>
      </c>
      <c r="C18" s="579">
        <f>+N6+0.25</f>
        <v>1.5</v>
      </c>
      <c r="D18" s="579">
        <f>+C18</f>
        <v>1.5</v>
      </c>
      <c r="E18" s="579">
        <f t="shared" ref="E18:N18" si="11">+D18</f>
        <v>1.5</v>
      </c>
      <c r="F18" s="579">
        <f t="shared" si="11"/>
        <v>1.5</v>
      </c>
      <c r="G18" s="579">
        <f t="shared" si="11"/>
        <v>1.5</v>
      </c>
      <c r="H18" s="579">
        <f t="shared" si="11"/>
        <v>1.5</v>
      </c>
      <c r="I18" s="579">
        <f t="shared" si="11"/>
        <v>1.5</v>
      </c>
      <c r="J18" s="579">
        <f t="shared" si="11"/>
        <v>1.5</v>
      </c>
      <c r="K18" s="579">
        <f t="shared" si="11"/>
        <v>1.5</v>
      </c>
      <c r="L18" s="579">
        <f t="shared" si="11"/>
        <v>1.5</v>
      </c>
      <c r="M18" s="579">
        <f t="shared" si="11"/>
        <v>1.5</v>
      </c>
      <c r="N18" s="579">
        <f t="shared" si="11"/>
        <v>1.5</v>
      </c>
      <c r="P18" s="606">
        <v>0.8</v>
      </c>
      <c r="Q18" s="580" t="s">
        <v>1177</v>
      </c>
      <c r="R18" s="587" t="s">
        <v>236</v>
      </c>
      <c r="S18" s="588">
        <f t="shared" si="9"/>
        <v>0.57599999999999996</v>
      </c>
      <c r="T18" s="588">
        <f t="shared" si="9"/>
        <v>0.59520000000000006</v>
      </c>
      <c r="U18" s="588">
        <f t="shared" si="9"/>
        <v>0.57599999999999996</v>
      </c>
      <c r="V18" s="588">
        <f t="shared" si="9"/>
        <v>1.1904000000000001</v>
      </c>
      <c r="W18" s="588">
        <f t="shared" si="9"/>
        <v>1.1904000000000001</v>
      </c>
      <c r="X18" s="588">
        <f t="shared" si="9"/>
        <v>1.1519999999999999</v>
      </c>
      <c r="Y18" s="588">
        <f t="shared" si="9"/>
        <v>1.7856000000000003</v>
      </c>
      <c r="Z18" s="588">
        <f t="shared" si="9"/>
        <v>1.7280000000000002</v>
      </c>
      <c r="AA18" s="588">
        <f t="shared" si="9"/>
        <v>1.7856000000000003</v>
      </c>
      <c r="AB18" s="588">
        <f t="shared" si="9"/>
        <v>2.3808000000000002</v>
      </c>
      <c r="AC18" s="588">
        <f t="shared" si="9"/>
        <v>2.1504000000000003</v>
      </c>
      <c r="AD18" s="588">
        <f t="shared" si="9"/>
        <v>2.3808000000000002</v>
      </c>
      <c r="AE18" s="589">
        <f>SUM(S18:AD18)</f>
        <v>17.491200000000003</v>
      </c>
    </row>
    <row r="19" spans="1:32" x14ac:dyDescent="0.35">
      <c r="A19" s="607" t="s">
        <v>1177</v>
      </c>
      <c r="B19" s="578" t="s">
        <v>1170</v>
      </c>
      <c r="C19" s="579">
        <v>1</v>
      </c>
      <c r="D19" s="579">
        <v>1</v>
      </c>
      <c r="E19" s="579">
        <v>1</v>
      </c>
      <c r="F19" s="579">
        <v>2</v>
      </c>
      <c r="G19" s="579">
        <v>2</v>
      </c>
      <c r="H19" s="579">
        <v>2</v>
      </c>
      <c r="I19" s="579">
        <v>3</v>
      </c>
      <c r="J19" s="579">
        <v>3</v>
      </c>
      <c r="K19" s="579">
        <v>3</v>
      </c>
      <c r="L19" s="579">
        <v>4</v>
      </c>
      <c r="M19" s="579">
        <v>4</v>
      </c>
      <c r="N19" s="579">
        <v>4</v>
      </c>
      <c r="P19" s="592"/>
      <c r="Q19" s="593" t="s">
        <v>164</v>
      </c>
      <c r="R19" s="594" t="s">
        <v>236</v>
      </c>
      <c r="S19" s="595">
        <f>+S16+S17+S18</f>
        <v>13.4712</v>
      </c>
      <c r="T19" s="595">
        <f t="shared" ref="T19:AD19" si="12">+T16+T17+T18</f>
        <v>13.92024</v>
      </c>
      <c r="U19" s="595">
        <f t="shared" si="12"/>
        <v>13.4712</v>
      </c>
      <c r="V19" s="595">
        <f t="shared" si="12"/>
        <v>14.51544</v>
      </c>
      <c r="W19" s="595">
        <f t="shared" si="12"/>
        <v>14.51544</v>
      </c>
      <c r="X19" s="595">
        <f t="shared" si="12"/>
        <v>14.047199999999998</v>
      </c>
      <c r="Y19" s="595">
        <f t="shared" si="12"/>
        <v>15.11064</v>
      </c>
      <c r="Z19" s="595">
        <f t="shared" si="12"/>
        <v>14.623199999999999</v>
      </c>
      <c r="AA19" s="595">
        <f t="shared" si="12"/>
        <v>15.11064</v>
      </c>
      <c r="AB19" s="595">
        <f t="shared" si="12"/>
        <v>15.70584</v>
      </c>
      <c r="AC19" s="595">
        <f t="shared" si="12"/>
        <v>14.185919999999999</v>
      </c>
      <c r="AD19" s="595">
        <f t="shared" si="12"/>
        <v>15.70584</v>
      </c>
      <c r="AE19" s="589">
        <f>SUM(S19:AD19)</f>
        <v>174.3828</v>
      </c>
    </row>
    <row r="20" spans="1:32" x14ac:dyDescent="0.35">
      <c r="A20" s="577" t="s">
        <v>164</v>
      </c>
      <c r="B20" s="578" t="s">
        <v>1170</v>
      </c>
      <c r="C20" s="579">
        <f>C17+C18+C19</f>
        <v>20.9</v>
      </c>
      <c r="D20" s="579">
        <f t="shared" ref="D20:N20" si="13">D17+D18+D19</f>
        <v>20.9</v>
      </c>
      <c r="E20" s="579">
        <f t="shared" si="13"/>
        <v>20.9</v>
      </c>
      <c r="F20" s="579">
        <f t="shared" si="13"/>
        <v>21.9</v>
      </c>
      <c r="G20" s="579">
        <f t="shared" si="13"/>
        <v>21.9</v>
      </c>
      <c r="H20" s="579">
        <f t="shared" si="13"/>
        <v>21.9</v>
      </c>
      <c r="I20" s="579">
        <f t="shared" si="13"/>
        <v>22.9</v>
      </c>
      <c r="J20" s="579">
        <f t="shared" si="13"/>
        <v>22.9</v>
      </c>
      <c r="K20" s="579">
        <f t="shared" si="13"/>
        <v>22.9</v>
      </c>
      <c r="L20" s="579">
        <f t="shared" si="13"/>
        <v>23.9</v>
      </c>
      <c r="M20" s="579">
        <f t="shared" si="13"/>
        <v>23.9</v>
      </c>
      <c r="N20" s="579">
        <f t="shared" si="13"/>
        <v>23.9</v>
      </c>
      <c r="Q20" s="577"/>
      <c r="R20" s="578"/>
      <c r="S20" s="579"/>
      <c r="T20" s="579"/>
      <c r="U20" s="579"/>
      <c r="V20" s="579"/>
      <c r="W20" s="579"/>
      <c r="X20" s="579"/>
      <c r="Y20" s="579"/>
      <c r="Z20" s="579"/>
      <c r="AA20" s="579"/>
      <c r="AB20" s="579"/>
      <c r="AC20" s="579"/>
      <c r="AD20" s="579"/>
    </row>
    <row r="21" spans="1:32" x14ac:dyDescent="0.35">
      <c r="A21" s="577" t="s">
        <v>1173</v>
      </c>
      <c r="B21" s="578" t="s">
        <v>1170</v>
      </c>
      <c r="C21" s="579">
        <f>C20-N7</f>
        <v>1.4999999999999964</v>
      </c>
      <c r="D21" s="579">
        <f>D20-C20</f>
        <v>0</v>
      </c>
      <c r="E21" s="579">
        <f t="shared" ref="E21:N21" si="14">E20-D20</f>
        <v>0</v>
      </c>
      <c r="F21" s="579">
        <f t="shared" si="14"/>
        <v>1</v>
      </c>
      <c r="G21" s="579">
        <f t="shared" si="14"/>
        <v>0</v>
      </c>
      <c r="H21" s="579">
        <f t="shared" si="14"/>
        <v>0</v>
      </c>
      <c r="I21" s="579">
        <f t="shared" si="14"/>
        <v>1</v>
      </c>
      <c r="J21" s="579">
        <f t="shared" si="14"/>
        <v>0</v>
      </c>
      <c r="K21" s="579">
        <f t="shared" si="14"/>
        <v>0</v>
      </c>
      <c r="L21" s="579">
        <f t="shared" si="14"/>
        <v>1</v>
      </c>
      <c r="M21" s="579">
        <f t="shared" si="14"/>
        <v>0</v>
      </c>
      <c r="N21" s="579">
        <f t="shared" si="14"/>
        <v>0</v>
      </c>
      <c r="Q21" s="577"/>
      <c r="R21" s="578"/>
      <c r="S21" s="579"/>
      <c r="T21" s="579"/>
      <c r="U21" s="579"/>
      <c r="V21" s="579"/>
      <c r="W21" s="579"/>
      <c r="X21" s="579"/>
      <c r="Y21" s="579"/>
      <c r="Z21" s="579"/>
      <c r="AA21" s="579"/>
      <c r="AB21" s="579"/>
      <c r="AC21" s="579"/>
      <c r="AD21" s="579"/>
    </row>
    <row r="22" spans="1:32" x14ac:dyDescent="0.35">
      <c r="A22" s="596" t="s">
        <v>124</v>
      </c>
      <c r="B22" s="597"/>
      <c r="C22" s="584">
        <v>46113</v>
      </c>
      <c r="D22" s="584">
        <v>46143</v>
      </c>
      <c r="E22" s="584">
        <v>46174</v>
      </c>
      <c r="F22" s="584">
        <v>46204</v>
      </c>
      <c r="G22" s="584">
        <v>46235</v>
      </c>
      <c r="H22" s="584">
        <v>46266</v>
      </c>
      <c r="I22" s="584">
        <v>46296</v>
      </c>
      <c r="J22" s="584">
        <v>46327</v>
      </c>
      <c r="K22" s="584">
        <v>46357</v>
      </c>
      <c r="L22" s="584">
        <v>46388</v>
      </c>
      <c r="M22" s="584">
        <v>46419</v>
      </c>
      <c r="N22" s="584">
        <v>46447</v>
      </c>
      <c r="O22" s="615"/>
      <c r="Q22" s="577"/>
      <c r="R22" s="578"/>
      <c r="S22" s="579"/>
      <c r="T22" s="579"/>
      <c r="U22" s="579"/>
      <c r="V22" s="579"/>
      <c r="W22" s="579"/>
      <c r="X22" s="579"/>
      <c r="Y22" s="579"/>
      <c r="Z22" s="579"/>
      <c r="AA22" s="579"/>
      <c r="AB22" s="579"/>
      <c r="AC22" s="579"/>
      <c r="AD22" s="579"/>
    </row>
    <row r="23" spans="1:32" x14ac:dyDescent="0.35">
      <c r="A23" s="586" t="s">
        <v>1174</v>
      </c>
      <c r="B23" s="587" t="s">
        <v>1170</v>
      </c>
      <c r="C23" s="601">
        <f>C21</f>
        <v>1.4999999999999964</v>
      </c>
      <c r="D23" s="601">
        <f t="shared" ref="D23:N23" si="15">D21</f>
        <v>0</v>
      </c>
      <c r="E23" s="601">
        <f t="shared" si="15"/>
        <v>0</v>
      </c>
      <c r="F23" s="601">
        <f t="shared" si="15"/>
        <v>1</v>
      </c>
      <c r="G23" s="601">
        <f t="shared" si="15"/>
        <v>0</v>
      </c>
      <c r="H23" s="601">
        <f t="shared" si="15"/>
        <v>0</v>
      </c>
      <c r="I23" s="601">
        <f t="shared" si="15"/>
        <v>1</v>
      </c>
      <c r="J23" s="601">
        <f t="shared" si="15"/>
        <v>0</v>
      </c>
      <c r="K23" s="601">
        <f t="shared" si="15"/>
        <v>0</v>
      </c>
      <c r="L23" s="601">
        <f t="shared" si="15"/>
        <v>1</v>
      </c>
      <c r="M23" s="601">
        <f t="shared" si="15"/>
        <v>0</v>
      </c>
      <c r="N23" s="601">
        <f t="shared" si="15"/>
        <v>0</v>
      </c>
      <c r="Q23" s="577"/>
      <c r="R23" s="578"/>
      <c r="S23" s="579"/>
      <c r="T23" s="579"/>
      <c r="U23" s="579"/>
      <c r="V23" s="579"/>
      <c r="W23" s="579"/>
      <c r="X23" s="579"/>
      <c r="Y23" s="579"/>
      <c r="Z23" s="579"/>
      <c r="AA23" s="579"/>
      <c r="AB23" s="579"/>
      <c r="AC23" s="579"/>
      <c r="AD23" s="579"/>
    </row>
    <row r="24" spans="1:32" ht="27" x14ac:dyDescent="0.35">
      <c r="A24" s="593" t="s">
        <v>1175</v>
      </c>
      <c r="B24" s="594" t="s">
        <v>1170</v>
      </c>
      <c r="C24" s="603">
        <f>C20</f>
        <v>20.9</v>
      </c>
      <c r="D24" s="603">
        <f>C24+D23</f>
        <v>20.9</v>
      </c>
      <c r="E24" s="603">
        <f t="shared" ref="E24:N24" si="16">D24+E23</f>
        <v>20.9</v>
      </c>
      <c r="F24" s="603">
        <f t="shared" si="16"/>
        <v>21.9</v>
      </c>
      <c r="G24" s="603">
        <f t="shared" si="16"/>
        <v>21.9</v>
      </c>
      <c r="H24" s="603">
        <f t="shared" si="16"/>
        <v>21.9</v>
      </c>
      <c r="I24" s="603">
        <f t="shared" si="16"/>
        <v>22.9</v>
      </c>
      <c r="J24" s="603">
        <f t="shared" si="16"/>
        <v>22.9</v>
      </c>
      <c r="K24" s="603">
        <f t="shared" si="16"/>
        <v>22.9</v>
      </c>
      <c r="L24" s="603">
        <f t="shared" si="16"/>
        <v>23.9</v>
      </c>
      <c r="M24" s="603">
        <f t="shared" si="16"/>
        <v>23.9</v>
      </c>
      <c r="N24" s="603">
        <f t="shared" si="16"/>
        <v>23.9</v>
      </c>
      <c r="O24" s="605"/>
      <c r="Q24" s="577"/>
      <c r="R24" s="578"/>
      <c r="S24" s="579"/>
      <c r="T24" s="579"/>
      <c r="U24" s="579"/>
      <c r="V24" s="579"/>
      <c r="W24" s="579"/>
      <c r="X24" s="579"/>
      <c r="Y24" s="579"/>
      <c r="Z24" s="579"/>
      <c r="AA24" s="579"/>
      <c r="AB24" s="579"/>
      <c r="AC24" s="579"/>
      <c r="AD24" s="579"/>
    </row>
    <row r="25" spans="1:32" x14ac:dyDescent="0.35">
      <c r="A25" s="599"/>
      <c r="B25" s="581"/>
      <c r="C25" s="605"/>
      <c r="D25" s="605"/>
      <c r="E25" s="605"/>
      <c r="F25" s="605"/>
      <c r="G25" s="605"/>
      <c r="H25" s="605"/>
      <c r="I25" s="605"/>
      <c r="J25" s="605"/>
      <c r="K25" s="605"/>
      <c r="L25" s="605"/>
      <c r="M25" s="605"/>
      <c r="N25" s="605"/>
      <c r="O25" s="605"/>
      <c r="Q25" s="577"/>
      <c r="R25" s="578"/>
      <c r="S25" s="579"/>
      <c r="T25" s="579"/>
      <c r="U25" s="579"/>
      <c r="V25" s="579"/>
      <c r="W25" s="579"/>
      <c r="X25" s="579"/>
      <c r="Y25" s="579"/>
      <c r="Z25" s="579"/>
      <c r="AA25" s="579"/>
      <c r="AB25" s="579"/>
      <c r="AC25" s="579"/>
      <c r="AD25" s="579"/>
    </row>
    <row r="26" spans="1:32" x14ac:dyDescent="0.35">
      <c r="A26" s="599"/>
      <c r="B26" s="581"/>
      <c r="C26" s="605"/>
      <c r="D26" s="605"/>
      <c r="E26" s="605"/>
      <c r="F26" s="605"/>
      <c r="G26" s="605"/>
      <c r="H26" s="605"/>
      <c r="I26" s="605"/>
      <c r="J26" s="605"/>
      <c r="K26" s="605"/>
      <c r="L26" s="605"/>
      <c r="M26" s="605"/>
      <c r="N26" s="605"/>
      <c r="O26" s="605"/>
      <c r="Q26" s="577"/>
      <c r="R26" s="578"/>
      <c r="S26" s="579"/>
      <c r="T26" s="579"/>
      <c r="U26" s="579"/>
      <c r="V26" s="579"/>
      <c r="W26" s="579"/>
      <c r="X26" s="579"/>
      <c r="Y26" s="579"/>
      <c r="Z26" s="579"/>
      <c r="AA26" s="579"/>
      <c r="AB26" s="579"/>
      <c r="AC26" s="579"/>
      <c r="AD26" s="579"/>
    </row>
    <row r="27" spans="1:32" x14ac:dyDescent="0.35">
      <c r="Q27" s="577"/>
      <c r="R27" s="578"/>
      <c r="S27" s="579"/>
      <c r="T27" s="579"/>
      <c r="U27" s="579"/>
      <c r="V27" s="579"/>
      <c r="W27" s="579"/>
      <c r="X27" s="579"/>
      <c r="Y27" s="579"/>
      <c r="Z27" s="579"/>
      <c r="AA27" s="579"/>
      <c r="AB27" s="579"/>
      <c r="AC27" s="579"/>
      <c r="AD27" s="579"/>
    </row>
    <row r="28" spans="1:32" x14ac:dyDescent="0.35">
      <c r="P28" s="584" t="s">
        <v>1166</v>
      </c>
      <c r="Q28" s="584" t="s">
        <v>1167</v>
      </c>
      <c r="R28" s="584" t="s">
        <v>624</v>
      </c>
      <c r="S28" s="584">
        <v>46478</v>
      </c>
      <c r="T28" s="584">
        <v>46508</v>
      </c>
      <c r="U28" s="584">
        <v>46539</v>
      </c>
      <c r="V28" s="584">
        <v>46569</v>
      </c>
      <c r="W28" s="584">
        <v>46600</v>
      </c>
      <c r="X28" s="584">
        <v>46631</v>
      </c>
      <c r="Y28" s="584">
        <v>46661</v>
      </c>
      <c r="Z28" s="584">
        <v>46692</v>
      </c>
      <c r="AA28" s="584">
        <v>46722</v>
      </c>
      <c r="AB28" s="584">
        <v>46753</v>
      </c>
      <c r="AC28" s="584">
        <v>46784</v>
      </c>
      <c r="AD28" s="584">
        <v>46813</v>
      </c>
    </row>
    <row r="29" spans="1:32" ht="27.75" x14ac:dyDescent="0.35">
      <c r="A29" s="577" t="s">
        <v>1168</v>
      </c>
      <c r="B29" s="578" t="s">
        <v>1169</v>
      </c>
      <c r="C29" s="579">
        <v>23000</v>
      </c>
      <c r="D29" s="579">
        <v>23000</v>
      </c>
      <c r="E29" s="579">
        <v>23000</v>
      </c>
      <c r="F29" s="579">
        <v>23000</v>
      </c>
      <c r="G29" s="579">
        <v>23000</v>
      </c>
      <c r="H29" s="579">
        <v>23000</v>
      </c>
      <c r="I29" s="579">
        <v>23000</v>
      </c>
      <c r="J29" s="579">
        <v>23000</v>
      </c>
      <c r="K29" s="579">
        <v>23000</v>
      </c>
      <c r="L29" s="579">
        <v>23000</v>
      </c>
      <c r="M29" s="579">
        <v>23000</v>
      </c>
      <c r="N29" s="579">
        <v>23000</v>
      </c>
      <c r="P29" s="585">
        <v>0.9</v>
      </c>
      <c r="Q29" s="586" t="s">
        <v>1168</v>
      </c>
      <c r="R29" s="587" t="s">
        <v>236</v>
      </c>
      <c r="S29" s="588">
        <f t="shared" ref="S29:AD31" si="17">+C30*S$1*24/1000*$P29</f>
        <v>12.6684</v>
      </c>
      <c r="T29" s="588">
        <f t="shared" si="17"/>
        <v>13.090680000000001</v>
      </c>
      <c r="U29" s="588">
        <f t="shared" si="17"/>
        <v>12.6684</v>
      </c>
      <c r="V29" s="588">
        <f t="shared" si="17"/>
        <v>13.090680000000001</v>
      </c>
      <c r="W29" s="588">
        <f t="shared" si="17"/>
        <v>13.090680000000001</v>
      </c>
      <c r="X29" s="588">
        <f t="shared" si="17"/>
        <v>12.6684</v>
      </c>
      <c r="Y29" s="588">
        <f t="shared" si="17"/>
        <v>13.090680000000001</v>
      </c>
      <c r="Z29" s="588">
        <f t="shared" si="17"/>
        <v>12.6684</v>
      </c>
      <c r="AA29" s="588">
        <f t="shared" si="17"/>
        <v>13.090680000000001</v>
      </c>
      <c r="AB29" s="588">
        <f t="shared" si="17"/>
        <v>13.090680000000001</v>
      </c>
      <c r="AC29" s="588">
        <f t="shared" si="17"/>
        <v>11.823839999999999</v>
      </c>
      <c r="AD29" s="588">
        <f t="shared" si="17"/>
        <v>13.090680000000001</v>
      </c>
      <c r="AE29" s="589">
        <f>SUM(S29:AD29)</f>
        <v>154.13220000000001</v>
      </c>
      <c r="AF29" s="590">
        <f>AE29/AE32</f>
        <v>0.71703869525290231</v>
      </c>
    </row>
    <row r="30" spans="1:32" x14ac:dyDescent="0.35">
      <c r="A30" s="607" t="s">
        <v>1178</v>
      </c>
      <c r="B30" s="578" t="s">
        <v>1170</v>
      </c>
      <c r="C30" s="579">
        <f>C29*0.85/1000</f>
        <v>19.55</v>
      </c>
      <c r="D30" s="579">
        <f t="shared" ref="D30:N30" si="18">D29*0.85/1000</f>
        <v>19.55</v>
      </c>
      <c r="E30" s="579">
        <f t="shared" si="18"/>
        <v>19.55</v>
      </c>
      <c r="F30" s="579">
        <f t="shared" si="18"/>
        <v>19.55</v>
      </c>
      <c r="G30" s="579">
        <f t="shared" si="18"/>
        <v>19.55</v>
      </c>
      <c r="H30" s="579">
        <f t="shared" si="18"/>
        <v>19.55</v>
      </c>
      <c r="I30" s="579">
        <f t="shared" si="18"/>
        <v>19.55</v>
      </c>
      <c r="J30" s="579">
        <f t="shared" si="18"/>
        <v>19.55</v>
      </c>
      <c r="K30" s="579">
        <f t="shared" si="18"/>
        <v>19.55</v>
      </c>
      <c r="L30" s="579">
        <f t="shared" si="18"/>
        <v>19.55</v>
      </c>
      <c r="M30" s="579">
        <f t="shared" si="18"/>
        <v>19.55</v>
      </c>
      <c r="N30" s="579">
        <f t="shared" si="18"/>
        <v>19.55</v>
      </c>
      <c r="P30" s="585">
        <v>0.9</v>
      </c>
      <c r="Q30" s="586" t="s">
        <v>1171</v>
      </c>
      <c r="R30" s="587" t="s">
        <v>236</v>
      </c>
      <c r="S30" s="588">
        <f t="shared" si="17"/>
        <v>0.97200000000000009</v>
      </c>
      <c r="T30" s="588">
        <f t="shared" si="17"/>
        <v>1.0044000000000002</v>
      </c>
      <c r="U30" s="588">
        <f t="shared" si="17"/>
        <v>0.97200000000000009</v>
      </c>
      <c r="V30" s="588">
        <f t="shared" si="17"/>
        <v>1.0044000000000002</v>
      </c>
      <c r="W30" s="588">
        <f t="shared" si="17"/>
        <v>1.0044000000000002</v>
      </c>
      <c r="X30" s="588">
        <f t="shared" si="17"/>
        <v>0.97200000000000009</v>
      </c>
      <c r="Y30" s="588">
        <f t="shared" si="17"/>
        <v>1.0044000000000002</v>
      </c>
      <c r="Z30" s="588">
        <f t="shared" si="17"/>
        <v>0.97200000000000009</v>
      </c>
      <c r="AA30" s="588">
        <f t="shared" si="17"/>
        <v>1.0044000000000002</v>
      </c>
      <c r="AB30" s="588">
        <f t="shared" si="17"/>
        <v>1.0044000000000002</v>
      </c>
      <c r="AC30" s="588">
        <f t="shared" si="17"/>
        <v>0.90720000000000001</v>
      </c>
      <c r="AD30" s="588">
        <f t="shared" si="17"/>
        <v>1.0044000000000002</v>
      </c>
      <c r="AE30" s="589">
        <f>SUM(S30:AD30)</f>
        <v>11.826000000000002</v>
      </c>
    </row>
    <row r="31" spans="1:32" x14ac:dyDescent="0.35">
      <c r="A31" s="577" t="s">
        <v>1172</v>
      </c>
      <c r="B31" s="578" t="s">
        <v>1170</v>
      </c>
      <c r="C31" s="579">
        <f>+N18</f>
        <v>1.5</v>
      </c>
      <c r="D31" s="579">
        <f>+C31</f>
        <v>1.5</v>
      </c>
      <c r="E31" s="579">
        <f t="shared" ref="E31:N31" si="19">+D31</f>
        <v>1.5</v>
      </c>
      <c r="F31" s="579">
        <f t="shared" si="19"/>
        <v>1.5</v>
      </c>
      <c r="G31" s="579">
        <f t="shared" si="19"/>
        <v>1.5</v>
      </c>
      <c r="H31" s="579">
        <f t="shared" si="19"/>
        <v>1.5</v>
      </c>
      <c r="I31" s="579">
        <f t="shared" si="19"/>
        <v>1.5</v>
      </c>
      <c r="J31" s="579">
        <f t="shared" si="19"/>
        <v>1.5</v>
      </c>
      <c r="K31" s="579">
        <f t="shared" si="19"/>
        <v>1.5</v>
      </c>
      <c r="L31" s="579">
        <f t="shared" si="19"/>
        <v>1.5</v>
      </c>
      <c r="M31" s="579">
        <f t="shared" si="19"/>
        <v>1.5</v>
      </c>
      <c r="N31" s="579">
        <f t="shared" si="19"/>
        <v>1.5</v>
      </c>
      <c r="P31" s="606">
        <v>0.8</v>
      </c>
      <c r="Q31" s="580" t="s">
        <v>1177</v>
      </c>
      <c r="R31" s="587" t="s">
        <v>236</v>
      </c>
      <c r="S31" s="588">
        <f t="shared" si="17"/>
        <v>2.3039999999999998</v>
      </c>
      <c r="T31" s="588">
        <f t="shared" si="17"/>
        <v>2.3808000000000002</v>
      </c>
      <c r="U31" s="588">
        <f t="shared" si="17"/>
        <v>2.3039999999999998</v>
      </c>
      <c r="V31" s="588">
        <f t="shared" si="17"/>
        <v>3.5712000000000006</v>
      </c>
      <c r="W31" s="588">
        <f t="shared" si="17"/>
        <v>3.5712000000000006</v>
      </c>
      <c r="X31" s="588">
        <f t="shared" si="17"/>
        <v>3.4560000000000004</v>
      </c>
      <c r="Y31" s="588">
        <f t="shared" si="17"/>
        <v>4.7616000000000005</v>
      </c>
      <c r="Z31" s="588">
        <f t="shared" si="17"/>
        <v>4.6079999999999997</v>
      </c>
      <c r="AA31" s="588">
        <f t="shared" si="17"/>
        <v>4.7616000000000005</v>
      </c>
      <c r="AB31" s="588">
        <f t="shared" si="17"/>
        <v>5.9520000000000008</v>
      </c>
      <c r="AC31" s="588">
        <f t="shared" si="17"/>
        <v>5.3760000000000003</v>
      </c>
      <c r="AD31" s="588">
        <f t="shared" si="17"/>
        <v>5.9520000000000008</v>
      </c>
      <c r="AE31" s="589">
        <f>SUM(S31:AD31)</f>
        <v>48.998400000000004</v>
      </c>
    </row>
    <row r="32" spans="1:32" x14ac:dyDescent="0.35">
      <c r="A32" s="608" t="s">
        <v>1177</v>
      </c>
      <c r="B32" s="578" t="s">
        <v>1170</v>
      </c>
      <c r="C32" s="579">
        <v>4</v>
      </c>
      <c r="D32" s="579">
        <v>4</v>
      </c>
      <c r="E32" s="579">
        <v>4</v>
      </c>
      <c r="F32" s="579">
        <v>6</v>
      </c>
      <c r="G32" s="579">
        <v>6</v>
      </c>
      <c r="H32" s="579">
        <v>6</v>
      </c>
      <c r="I32" s="579">
        <v>8</v>
      </c>
      <c r="J32" s="579">
        <v>8</v>
      </c>
      <c r="K32" s="579">
        <v>8</v>
      </c>
      <c r="L32" s="579">
        <v>10</v>
      </c>
      <c r="M32" s="579">
        <v>10</v>
      </c>
      <c r="N32" s="579">
        <v>10</v>
      </c>
      <c r="P32" s="592"/>
      <c r="Q32" s="593" t="s">
        <v>164</v>
      </c>
      <c r="R32" s="594" t="s">
        <v>236</v>
      </c>
      <c r="S32" s="595">
        <f>+S29+S30+S31</f>
        <v>15.9444</v>
      </c>
      <c r="T32" s="595">
        <f t="shared" ref="T32:AD32" si="20">+T29+T30+T31</f>
        <v>16.47588</v>
      </c>
      <c r="U32" s="595">
        <f t="shared" si="20"/>
        <v>15.9444</v>
      </c>
      <c r="V32" s="595">
        <f t="shared" si="20"/>
        <v>17.66628</v>
      </c>
      <c r="W32" s="595">
        <f t="shared" si="20"/>
        <v>17.66628</v>
      </c>
      <c r="X32" s="595">
        <f t="shared" si="20"/>
        <v>17.096399999999999</v>
      </c>
      <c r="Y32" s="595">
        <f t="shared" si="20"/>
        <v>18.856680000000001</v>
      </c>
      <c r="Z32" s="595">
        <f t="shared" si="20"/>
        <v>18.2484</v>
      </c>
      <c r="AA32" s="595">
        <f t="shared" si="20"/>
        <v>18.856680000000001</v>
      </c>
      <c r="AB32" s="595">
        <f t="shared" si="20"/>
        <v>20.047080000000001</v>
      </c>
      <c r="AC32" s="595">
        <f t="shared" si="20"/>
        <v>18.107039999999998</v>
      </c>
      <c r="AD32" s="595">
        <f t="shared" si="20"/>
        <v>20.047080000000001</v>
      </c>
      <c r="AE32" s="589">
        <f>SUM(S32:AD32)</f>
        <v>214.95659999999998</v>
      </c>
    </row>
    <row r="33" spans="1:32" x14ac:dyDescent="0.35">
      <c r="A33" s="577" t="s">
        <v>164</v>
      </c>
      <c r="B33" s="578" t="s">
        <v>1170</v>
      </c>
      <c r="C33" s="579">
        <f>C30+C31+C32</f>
        <v>25.05</v>
      </c>
      <c r="D33" s="579">
        <f t="shared" ref="D33:N33" si="21">D30+D31+D32</f>
        <v>25.05</v>
      </c>
      <c r="E33" s="579">
        <f t="shared" si="21"/>
        <v>25.05</v>
      </c>
      <c r="F33" s="579">
        <f t="shared" si="21"/>
        <v>27.05</v>
      </c>
      <c r="G33" s="579">
        <f t="shared" si="21"/>
        <v>27.05</v>
      </c>
      <c r="H33" s="579">
        <f t="shared" si="21"/>
        <v>27.05</v>
      </c>
      <c r="I33" s="579">
        <f t="shared" si="21"/>
        <v>29.05</v>
      </c>
      <c r="J33" s="579">
        <f t="shared" si="21"/>
        <v>29.05</v>
      </c>
      <c r="K33" s="579">
        <f t="shared" si="21"/>
        <v>29.05</v>
      </c>
      <c r="L33" s="579">
        <f t="shared" si="21"/>
        <v>31.05</v>
      </c>
      <c r="M33" s="579">
        <f t="shared" si="21"/>
        <v>31.05</v>
      </c>
      <c r="N33" s="579">
        <f t="shared" si="21"/>
        <v>31.05</v>
      </c>
      <c r="Q33" s="577"/>
      <c r="R33" s="578"/>
      <c r="S33" s="579"/>
      <c r="T33" s="579"/>
      <c r="U33" s="579"/>
      <c r="V33" s="579"/>
      <c r="W33" s="579"/>
      <c r="X33" s="579"/>
      <c r="Y33" s="579"/>
      <c r="Z33" s="579"/>
      <c r="AA33" s="579"/>
      <c r="AB33" s="579"/>
      <c r="AC33" s="579"/>
      <c r="AD33" s="579"/>
    </row>
    <row r="34" spans="1:32" x14ac:dyDescent="0.35">
      <c r="A34" s="577" t="s">
        <v>1173</v>
      </c>
      <c r="B34" s="578" t="s">
        <v>1170</v>
      </c>
      <c r="C34" s="579">
        <f>C33-N20</f>
        <v>1.1500000000000021</v>
      </c>
      <c r="D34" s="579">
        <f>D33-C33</f>
        <v>0</v>
      </c>
      <c r="E34" s="579">
        <f t="shared" ref="E34:N34" si="22">E33-D33</f>
        <v>0</v>
      </c>
      <c r="F34" s="579">
        <f t="shared" si="22"/>
        <v>2</v>
      </c>
      <c r="G34" s="579">
        <f t="shared" si="22"/>
        <v>0</v>
      </c>
      <c r="H34" s="579">
        <f t="shared" si="22"/>
        <v>0</v>
      </c>
      <c r="I34" s="579">
        <f t="shared" si="22"/>
        <v>2</v>
      </c>
      <c r="J34" s="579">
        <f t="shared" si="22"/>
        <v>0</v>
      </c>
      <c r="K34" s="579">
        <f t="shared" si="22"/>
        <v>0</v>
      </c>
      <c r="L34" s="579">
        <f t="shared" si="22"/>
        <v>2</v>
      </c>
      <c r="M34" s="579">
        <f t="shared" si="22"/>
        <v>0</v>
      </c>
      <c r="N34" s="579">
        <f t="shared" si="22"/>
        <v>0</v>
      </c>
      <c r="Q34" s="577"/>
      <c r="R34" s="578"/>
      <c r="S34" s="579"/>
      <c r="T34" s="579"/>
      <c r="U34" s="579"/>
      <c r="V34" s="579"/>
      <c r="W34" s="579"/>
      <c r="X34" s="579"/>
      <c r="Y34" s="579"/>
      <c r="Z34" s="579"/>
      <c r="AA34" s="579"/>
      <c r="AB34" s="579"/>
      <c r="AC34" s="579"/>
      <c r="AD34" s="579"/>
    </row>
    <row r="35" spans="1:32" x14ac:dyDescent="0.35">
      <c r="A35" s="596" t="s">
        <v>125</v>
      </c>
      <c r="B35" s="597"/>
      <c r="C35" s="584">
        <v>46478</v>
      </c>
      <c r="D35" s="584">
        <v>46508</v>
      </c>
      <c r="E35" s="584">
        <v>46539</v>
      </c>
      <c r="F35" s="584">
        <v>46569</v>
      </c>
      <c r="G35" s="584">
        <v>46600</v>
      </c>
      <c r="H35" s="584">
        <v>46631</v>
      </c>
      <c r="I35" s="584">
        <v>46661</v>
      </c>
      <c r="J35" s="584">
        <v>46692</v>
      </c>
      <c r="K35" s="584">
        <v>46722</v>
      </c>
      <c r="L35" s="584">
        <v>46753</v>
      </c>
      <c r="M35" s="584">
        <v>46784</v>
      </c>
      <c r="N35" s="584">
        <v>46813</v>
      </c>
      <c r="O35" s="615"/>
      <c r="Q35" s="577"/>
      <c r="R35" s="578"/>
      <c r="S35" s="579"/>
      <c r="T35" s="579"/>
      <c r="U35" s="579"/>
      <c r="V35" s="579"/>
      <c r="W35" s="579"/>
      <c r="X35" s="579"/>
      <c r="Y35" s="579"/>
      <c r="Z35" s="579"/>
      <c r="AA35" s="579"/>
      <c r="AB35" s="579"/>
      <c r="AC35" s="579"/>
      <c r="AD35" s="579"/>
    </row>
    <row r="36" spans="1:32" x14ac:dyDescent="0.35">
      <c r="A36" s="586" t="s">
        <v>1174</v>
      </c>
      <c r="B36" s="587" t="s">
        <v>1170</v>
      </c>
      <c r="C36" s="601">
        <f>C34</f>
        <v>1.1500000000000021</v>
      </c>
      <c r="D36" s="601">
        <f t="shared" ref="D36:N36" si="23">D34</f>
        <v>0</v>
      </c>
      <c r="E36" s="601">
        <f t="shared" si="23"/>
        <v>0</v>
      </c>
      <c r="F36" s="601">
        <f t="shared" si="23"/>
        <v>2</v>
      </c>
      <c r="G36" s="601">
        <f t="shared" si="23"/>
        <v>0</v>
      </c>
      <c r="H36" s="601">
        <f t="shared" si="23"/>
        <v>0</v>
      </c>
      <c r="I36" s="601">
        <f t="shared" si="23"/>
        <v>2</v>
      </c>
      <c r="J36" s="601">
        <f t="shared" si="23"/>
        <v>0</v>
      </c>
      <c r="K36" s="601">
        <f t="shared" si="23"/>
        <v>0</v>
      </c>
      <c r="L36" s="601">
        <f t="shared" si="23"/>
        <v>2</v>
      </c>
      <c r="M36" s="601">
        <f t="shared" si="23"/>
        <v>0</v>
      </c>
      <c r="N36" s="601">
        <f t="shared" si="23"/>
        <v>0</v>
      </c>
      <c r="Q36" s="577"/>
      <c r="R36" s="578"/>
      <c r="S36" s="579"/>
      <c r="T36" s="579"/>
      <c r="U36" s="579"/>
      <c r="V36" s="579"/>
      <c r="W36" s="579"/>
      <c r="X36" s="579"/>
      <c r="Y36" s="579"/>
      <c r="Z36" s="579"/>
      <c r="AA36" s="579"/>
      <c r="AB36" s="579"/>
      <c r="AC36" s="579"/>
      <c r="AD36" s="579"/>
    </row>
    <row r="37" spans="1:32" ht="27" x14ac:dyDescent="0.35">
      <c r="A37" s="593" t="s">
        <v>1175</v>
      </c>
      <c r="B37" s="594" t="s">
        <v>1170</v>
      </c>
      <c r="C37" s="603">
        <f>C33</f>
        <v>25.05</v>
      </c>
      <c r="D37" s="603">
        <f>C37+D36</f>
        <v>25.05</v>
      </c>
      <c r="E37" s="603">
        <f t="shared" ref="E37:N37" si="24">D37+E36</f>
        <v>25.05</v>
      </c>
      <c r="F37" s="603">
        <f t="shared" si="24"/>
        <v>27.05</v>
      </c>
      <c r="G37" s="603">
        <f t="shared" si="24"/>
        <v>27.05</v>
      </c>
      <c r="H37" s="603">
        <f t="shared" si="24"/>
        <v>27.05</v>
      </c>
      <c r="I37" s="603">
        <f t="shared" si="24"/>
        <v>29.05</v>
      </c>
      <c r="J37" s="603">
        <f t="shared" si="24"/>
        <v>29.05</v>
      </c>
      <c r="K37" s="603">
        <f t="shared" si="24"/>
        <v>29.05</v>
      </c>
      <c r="L37" s="603">
        <f t="shared" si="24"/>
        <v>31.05</v>
      </c>
      <c r="M37" s="603">
        <f t="shared" si="24"/>
        <v>31.05</v>
      </c>
      <c r="N37" s="603">
        <f t="shared" si="24"/>
        <v>31.05</v>
      </c>
      <c r="O37" s="605"/>
      <c r="Q37" s="577"/>
      <c r="R37" s="578"/>
      <c r="S37" s="579"/>
      <c r="T37" s="579"/>
      <c r="U37" s="579"/>
      <c r="V37" s="579"/>
      <c r="W37" s="579"/>
      <c r="X37" s="579"/>
      <c r="Y37" s="579"/>
      <c r="Z37" s="579"/>
      <c r="AA37" s="579"/>
      <c r="AB37" s="579"/>
      <c r="AC37" s="579"/>
      <c r="AD37" s="579"/>
    </row>
    <row r="38" spans="1:32" x14ac:dyDescent="0.35">
      <c r="A38" s="599"/>
      <c r="B38" s="581"/>
      <c r="C38" s="605"/>
      <c r="D38" s="605"/>
      <c r="E38" s="605"/>
      <c r="F38" s="605"/>
      <c r="G38" s="605"/>
      <c r="H38" s="605"/>
      <c r="I38" s="605"/>
      <c r="J38" s="605"/>
      <c r="K38" s="605"/>
      <c r="L38" s="605"/>
      <c r="M38" s="605"/>
      <c r="N38" s="605"/>
      <c r="O38" s="605"/>
      <c r="Q38" s="577"/>
      <c r="R38" s="578"/>
      <c r="S38" s="579"/>
      <c r="T38" s="579"/>
      <c r="U38" s="579"/>
      <c r="V38" s="579"/>
      <c r="W38" s="579"/>
      <c r="X38" s="579"/>
      <c r="Y38" s="579"/>
      <c r="Z38" s="579"/>
      <c r="AA38" s="579"/>
      <c r="AB38" s="579"/>
      <c r="AC38" s="579"/>
      <c r="AD38" s="579"/>
    </row>
    <row r="39" spans="1:32" x14ac:dyDescent="0.35">
      <c r="A39" s="599"/>
      <c r="B39" s="581"/>
      <c r="C39" s="605"/>
      <c r="D39" s="605"/>
      <c r="E39" s="605"/>
      <c r="F39" s="605"/>
      <c r="G39" s="605"/>
      <c r="H39" s="605"/>
      <c r="I39" s="605"/>
      <c r="J39" s="605"/>
      <c r="K39" s="605"/>
      <c r="L39" s="605"/>
      <c r="M39" s="605"/>
      <c r="N39" s="605"/>
      <c r="O39" s="605"/>
      <c r="Q39" s="577"/>
      <c r="R39" s="578"/>
      <c r="S39" s="579"/>
      <c r="T39" s="579"/>
      <c r="U39" s="579"/>
      <c r="V39" s="579"/>
      <c r="W39" s="579"/>
      <c r="X39" s="579"/>
      <c r="Y39" s="579"/>
      <c r="Z39" s="579"/>
      <c r="AA39" s="579"/>
      <c r="AB39" s="579"/>
      <c r="AC39" s="579"/>
      <c r="AD39" s="579"/>
    </row>
    <row r="40" spans="1:32" x14ac:dyDescent="0.35">
      <c r="Q40" s="577"/>
      <c r="R40" s="578"/>
      <c r="S40" s="579"/>
      <c r="T40" s="579"/>
      <c r="U40" s="579"/>
      <c r="V40" s="579"/>
      <c r="W40" s="579"/>
      <c r="X40" s="579"/>
      <c r="Y40" s="579"/>
      <c r="Z40" s="579"/>
      <c r="AA40" s="579"/>
      <c r="AB40" s="579"/>
      <c r="AC40" s="579"/>
      <c r="AD40" s="579"/>
    </row>
    <row r="41" spans="1:32" x14ac:dyDescent="0.35">
      <c r="P41" s="584" t="s">
        <v>1166</v>
      </c>
      <c r="Q41" s="584" t="s">
        <v>1167</v>
      </c>
      <c r="R41" s="584" t="s">
        <v>624</v>
      </c>
      <c r="S41" s="584">
        <v>46844</v>
      </c>
      <c r="T41" s="584">
        <v>46874</v>
      </c>
      <c r="U41" s="584">
        <v>46905</v>
      </c>
      <c r="V41" s="584">
        <v>46935</v>
      </c>
      <c r="W41" s="584">
        <v>46966</v>
      </c>
      <c r="X41" s="584">
        <v>46997</v>
      </c>
      <c r="Y41" s="584">
        <v>47027</v>
      </c>
      <c r="Z41" s="584">
        <v>47058</v>
      </c>
      <c r="AA41" s="584">
        <v>47088</v>
      </c>
      <c r="AB41" s="584">
        <v>47119</v>
      </c>
      <c r="AC41" s="584">
        <v>47150</v>
      </c>
      <c r="AD41" s="584">
        <v>47178</v>
      </c>
    </row>
    <row r="42" spans="1:32" ht="27.75" x14ac:dyDescent="0.35">
      <c r="A42" s="577" t="s">
        <v>1168</v>
      </c>
      <c r="B42" s="578" t="s">
        <v>1169</v>
      </c>
      <c r="C42" s="579">
        <v>23000</v>
      </c>
      <c r="D42" s="579">
        <v>23000</v>
      </c>
      <c r="E42" s="579">
        <v>23000</v>
      </c>
      <c r="F42" s="579">
        <v>23000</v>
      </c>
      <c r="G42" s="579">
        <v>23000</v>
      </c>
      <c r="H42" s="579">
        <v>23000</v>
      </c>
      <c r="I42" s="579">
        <v>23000</v>
      </c>
      <c r="J42" s="579">
        <v>23000</v>
      </c>
      <c r="K42" s="579">
        <v>23000</v>
      </c>
      <c r="L42" s="579">
        <v>23000</v>
      </c>
      <c r="M42" s="579">
        <v>23000</v>
      </c>
      <c r="N42" s="579">
        <v>23000</v>
      </c>
      <c r="P42" s="585">
        <v>0.9</v>
      </c>
      <c r="Q42" s="586" t="s">
        <v>1168</v>
      </c>
      <c r="R42" s="587" t="s">
        <v>236</v>
      </c>
      <c r="S42" s="588">
        <f t="shared" ref="S42:AD44" si="25">+C43*S$1*24/1000*$P42</f>
        <v>13.413600000000001</v>
      </c>
      <c r="T42" s="588">
        <f t="shared" si="25"/>
        <v>13.860719999999999</v>
      </c>
      <c r="U42" s="588">
        <f t="shared" si="25"/>
        <v>13.413600000000001</v>
      </c>
      <c r="V42" s="588">
        <f t="shared" si="25"/>
        <v>13.860719999999999</v>
      </c>
      <c r="W42" s="588">
        <f t="shared" si="25"/>
        <v>13.860719999999999</v>
      </c>
      <c r="X42" s="588">
        <f t="shared" si="25"/>
        <v>13.413600000000001</v>
      </c>
      <c r="Y42" s="588">
        <f t="shared" si="25"/>
        <v>13.860719999999999</v>
      </c>
      <c r="Z42" s="588">
        <f t="shared" si="25"/>
        <v>13.413600000000001</v>
      </c>
      <c r="AA42" s="588">
        <f t="shared" si="25"/>
        <v>13.860719999999999</v>
      </c>
      <c r="AB42" s="588">
        <f t="shared" si="25"/>
        <v>13.860719999999999</v>
      </c>
      <c r="AC42" s="588">
        <f t="shared" si="25"/>
        <v>12.519360000000001</v>
      </c>
      <c r="AD42" s="588">
        <f t="shared" si="25"/>
        <v>13.860719999999999</v>
      </c>
      <c r="AE42" s="589">
        <f>SUM(S42:AD42)</f>
        <v>163.19879999999998</v>
      </c>
      <c r="AF42" s="590">
        <f>AE42/AE45</f>
        <v>0.62882441336261696</v>
      </c>
    </row>
    <row r="43" spans="1:32" x14ac:dyDescent="0.35">
      <c r="A43" s="607" t="s">
        <v>1179</v>
      </c>
      <c r="B43" s="578" t="s">
        <v>1170</v>
      </c>
      <c r="C43" s="579">
        <f>C42*0.9/1000</f>
        <v>20.7</v>
      </c>
      <c r="D43" s="579">
        <f t="shared" ref="D43:N43" si="26">D42*0.9/1000</f>
        <v>20.7</v>
      </c>
      <c r="E43" s="579">
        <f t="shared" si="26"/>
        <v>20.7</v>
      </c>
      <c r="F43" s="579">
        <f t="shared" si="26"/>
        <v>20.7</v>
      </c>
      <c r="G43" s="579">
        <f t="shared" si="26"/>
        <v>20.7</v>
      </c>
      <c r="H43" s="579">
        <f t="shared" si="26"/>
        <v>20.7</v>
      </c>
      <c r="I43" s="579">
        <f t="shared" si="26"/>
        <v>20.7</v>
      </c>
      <c r="J43" s="579">
        <f t="shared" si="26"/>
        <v>20.7</v>
      </c>
      <c r="K43" s="579">
        <f t="shared" si="26"/>
        <v>20.7</v>
      </c>
      <c r="L43" s="579">
        <f t="shared" si="26"/>
        <v>20.7</v>
      </c>
      <c r="M43" s="579">
        <f t="shared" si="26"/>
        <v>20.7</v>
      </c>
      <c r="N43" s="579">
        <f t="shared" si="26"/>
        <v>20.7</v>
      </c>
      <c r="P43" s="585">
        <v>0.9</v>
      </c>
      <c r="Q43" s="586" t="s">
        <v>1171</v>
      </c>
      <c r="R43" s="587" t="s">
        <v>236</v>
      </c>
      <c r="S43" s="588">
        <f t="shared" si="25"/>
        <v>1.296</v>
      </c>
      <c r="T43" s="588">
        <f t="shared" si="25"/>
        <v>1.3391999999999999</v>
      </c>
      <c r="U43" s="588">
        <f t="shared" si="25"/>
        <v>1.296</v>
      </c>
      <c r="V43" s="588">
        <f t="shared" si="25"/>
        <v>1.3391999999999999</v>
      </c>
      <c r="W43" s="588">
        <f t="shared" si="25"/>
        <v>1.3391999999999999</v>
      </c>
      <c r="X43" s="588">
        <f t="shared" si="25"/>
        <v>1.296</v>
      </c>
      <c r="Y43" s="588">
        <f t="shared" si="25"/>
        <v>1.3391999999999999</v>
      </c>
      <c r="Z43" s="588">
        <f t="shared" si="25"/>
        <v>1.296</v>
      </c>
      <c r="AA43" s="588">
        <f t="shared" si="25"/>
        <v>1.3391999999999999</v>
      </c>
      <c r="AB43" s="588">
        <f t="shared" si="25"/>
        <v>1.3391999999999999</v>
      </c>
      <c r="AC43" s="588">
        <f t="shared" si="25"/>
        <v>1.2096</v>
      </c>
      <c r="AD43" s="588">
        <f t="shared" si="25"/>
        <v>1.3391999999999999</v>
      </c>
      <c r="AE43" s="589">
        <f>SUM(S43:AD43)</f>
        <v>15.768000000000001</v>
      </c>
    </row>
    <row r="44" spans="1:32" x14ac:dyDescent="0.35">
      <c r="A44" s="577" t="s">
        <v>1172</v>
      </c>
      <c r="B44" s="578" t="s">
        <v>1170</v>
      </c>
      <c r="C44" s="579">
        <f>+N31+0.5</f>
        <v>2</v>
      </c>
      <c r="D44" s="579">
        <f>+C44</f>
        <v>2</v>
      </c>
      <c r="E44" s="579">
        <f t="shared" ref="E44:N44" si="27">+D44</f>
        <v>2</v>
      </c>
      <c r="F44" s="579">
        <f t="shared" si="27"/>
        <v>2</v>
      </c>
      <c r="G44" s="579">
        <f t="shared" si="27"/>
        <v>2</v>
      </c>
      <c r="H44" s="579">
        <f t="shared" si="27"/>
        <v>2</v>
      </c>
      <c r="I44" s="579">
        <f t="shared" si="27"/>
        <v>2</v>
      </c>
      <c r="J44" s="579">
        <f t="shared" si="27"/>
        <v>2</v>
      </c>
      <c r="K44" s="579">
        <f t="shared" si="27"/>
        <v>2</v>
      </c>
      <c r="L44" s="579">
        <f t="shared" si="27"/>
        <v>2</v>
      </c>
      <c r="M44" s="579">
        <f t="shared" si="27"/>
        <v>2</v>
      </c>
      <c r="N44" s="579">
        <f t="shared" si="27"/>
        <v>2</v>
      </c>
      <c r="P44" s="606">
        <v>0.8</v>
      </c>
      <c r="Q44" s="580" t="s">
        <v>1177</v>
      </c>
      <c r="R44" s="587" t="s">
        <v>236</v>
      </c>
      <c r="S44" s="588">
        <f t="shared" si="25"/>
        <v>5.7600000000000007</v>
      </c>
      <c r="T44" s="588">
        <f t="shared" si="25"/>
        <v>5.9520000000000008</v>
      </c>
      <c r="U44" s="588">
        <f t="shared" si="25"/>
        <v>5.7600000000000007</v>
      </c>
      <c r="V44" s="588">
        <f t="shared" si="25"/>
        <v>6.5472000000000001</v>
      </c>
      <c r="W44" s="588">
        <f t="shared" si="25"/>
        <v>6.5472000000000001</v>
      </c>
      <c r="X44" s="588">
        <f t="shared" si="25"/>
        <v>6.3360000000000003</v>
      </c>
      <c r="Y44" s="588">
        <f t="shared" si="25"/>
        <v>7.1424000000000012</v>
      </c>
      <c r="Z44" s="588">
        <f t="shared" si="25"/>
        <v>6.9120000000000008</v>
      </c>
      <c r="AA44" s="588">
        <f t="shared" si="25"/>
        <v>7.1424000000000012</v>
      </c>
      <c r="AB44" s="588">
        <f t="shared" si="25"/>
        <v>7.7376000000000005</v>
      </c>
      <c r="AC44" s="588">
        <f t="shared" si="25"/>
        <v>6.9888000000000012</v>
      </c>
      <c r="AD44" s="588">
        <f t="shared" si="25"/>
        <v>7.7376000000000005</v>
      </c>
      <c r="AE44" s="589">
        <f>SUM(S44:AD44)</f>
        <v>80.563200000000009</v>
      </c>
    </row>
    <row r="45" spans="1:32" x14ac:dyDescent="0.35">
      <c r="A45" s="608" t="s">
        <v>1177</v>
      </c>
      <c r="B45" s="578" t="s">
        <v>1170</v>
      </c>
      <c r="C45" s="579">
        <v>10</v>
      </c>
      <c r="D45" s="579">
        <v>10</v>
      </c>
      <c r="E45" s="579">
        <v>10</v>
      </c>
      <c r="F45" s="579">
        <v>11</v>
      </c>
      <c r="G45" s="579">
        <v>11</v>
      </c>
      <c r="H45" s="579">
        <v>11</v>
      </c>
      <c r="I45" s="579">
        <v>12</v>
      </c>
      <c r="J45" s="579">
        <v>12</v>
      </c>
      <c r="K45" s="579">
        <v>12</v>
      </c>
      <c r="L45" s="579">
        <v>13</v>
      </c>
      <c r="M45" s="579">
        <v>13</v>
      </c>
      <c r="N45" s="579">
        <v>13</v>
      </c>
      <c r="P45" s="592"/>
      <c r="Q45" s="593" t="s">
        <v>164</v>
      </c>
      <c r="R45" s="594" t="s">
        <v>236</v>
      </c>
      <c r="S45" s="595">
        <f>+S42+S43+S44</f>
        <v>20.4696</v>
      </c>
      <c r="T45" s="595">
        <f t="shared" ref="T45:AD45" si="28">+T42+T43+T44</f>
        <v>21.15192</v>
      </c>
      <c r="U45" s="595">
        <f t="shared" si="28"/>
        <v>20.4696</v>
      </c>
      <c r="V45" s="595">
        <f t="shared" si="28"/>
        <v>21.747119999999999</v>
      </c>
      <c r="W45" s="595">
        <f t="shared" si="28"/>
        <v>21.747119999999999</v>
      </c>
      <c r="X45" s="595">
        <f t="shared" si="28"/>
        <v>21.0456</v>
      </c>
      <c r="Y45" s="595">
        <f t="shared" si="28"/>
        <v>22.342320000000001</v>
      </c>
      <c r="Z45" s="595">
        <f t="shared" si="28"/>
        <v>21.621600000000001</v>
      </c>
      <c r="AA45" s="595">
        <f t="shared" si="28"/>
        <v>22.342320000000001</v>
      </c>
      <c r="AB45" s="595">
        <f t="shared" si="28"/>
        <v>22.937519999999999</v>
      </c>
      <c r="AC45" s="595">
        <f t="shared" si="28"/>
        <v>20.717760000000002</v>
      </c>
      <c r="AD45" s="595">
        <f t="shared" si="28"/>
        <v>22.937519999999999</v>
      </c>
      <c r="AE45" s="589">
        <f>SUM(S45:AD45)</f>
        <v>259.52999999999997</v>
      </c>
    </row>
    <row r="46" spans="1:32" x14ac:dyDescent="0.35">
      <c r="A46" s="577" t="s">
        <v>164</v>
      </c>
      <c r="B46" s="578" t="s">
        <v>1170</v>
      </c>
      <c r="C46" s="579">
        <f>C43+C44+C45</f>
        <v>32.700000000000003</v>
      </c>
      <c r="D46" s="579">
        <f t="shared" ref="D46:N46" si="29">D43+D44+D45</f>
        <v>32.700000000000003</v>
      </c>
      <c r="E46" s="579">
        <f t="shared" si="29"/>
        <v>32.700000000000003</v>
      </c>
      <c r="F46" s="579">
        <f t="shared" si="29"/>
        <v>33.700000000000003</v>
      </c>
      <c r="G46" s="579">
        <f t="shared" si="29"/>
        <v>33.700000000000003</v>
      </c>
      <c r="H46" s="579">
        <f t="shared" si="29"/>
        <v>33.700000000000003</v>
      </c>
      <c r="I46" s="579">
        <f t="shared" si="29"/>
        <v>34.700000000000003</v>
      </c>
      <c r="J46" s="579">
        <f t="shared" si="29"/>
        <v>34.700000000000003</v>
      </c>
      <c r="K46" s="579">
        <f t="shared" si="29"/>
        <v>34.700000000000003</v>
      </c>
      <c r="L46" s="579">
        <f t="shared" si="29"/>
        <v>35.700000000000003</v>
      </c>
      <c r="M46" s="579">
        <f t="shared" si="29"/>
        <v>35.700000000000003</v>
      </c>
      <c r="N46" s="579">
        <f t="shared" si="29"/>
        <v>35.700000000000003</v>
      </c>
      <c r="Q46" s="577"/>
      <c r="R46" s="578"/>
      <c r="S46" s="579"/>
      <c r="T46" s="579"/>
      <c r="U46" s="579"/>
      <c r="V46" s="579"/>
      <c r="W46" s="579"/>
      <c r="X46" s="579"/>
      <c r="Y46" s="579"/>
      <c r="Z46" s="579"/>
      <c r="AA46" s="579"/>
      <c r="AB46" s="579"/>
      <c r="AC46" s="579"/>
      <c r="AD46" s="579"/>
    </row>
    <row r="47" spans="1:32" x14ac:dyDescent="0.35">
      <c r="A47" s="577" t="s">
        <v>1173</v>
      </c>
      <c r="B47" s="578" t="s">
        <v>1170</v>
      </c>
      <c r="C47" s="579">
        <f>C46-N33</f>
        <v>1.6500000000000021</v>
      </c>
      <c r="D47" s="579">
        <f>D46-C46</f>
        <v>0</v>
      </c>
      <c r="E47" s="579">
        <f t="shared" ref="E47:N47" si="30">E46-D46</f>
        <v>0</v>
      </c>
      <c r="F47" s="579">
        <f t="shared" si="30"/>
        <v>1</v>
      </c>
      <c r="G47" s="579">
        <f t="shared" si="30"/>
        <v>0</v>
      </c>
      <c r="H47" s="579">
        <f t="shared" si="30"/>
        <v>0</v>
      </c>
      <c r="I47" s="579">
        <f t="shared" si="30"/>
        <v>1</v>
      </c>
      <c r="J47" s="579">
        <f t="shared" si="30"/>
        <v>0</v>
      </c>
      <c r="K47" s="579">
        <f t="shared" si="30"/>
        <v>0</v>
      </c>
      <c r="L47" s="579">
        <f t="shared" si="30"/>
        <v>1</v>
      </c>
      <c r="M47" s="579">
        <f t="shared" si="30"/>
        <v>0</v>
      </c>
      <c r="N47" s="579">
        <f t="shared" si="30"/>
        <v>0</v>
      </c>
      <c r="Q47" s="577"/>
      <c r="R47" s="578"/>
      <c r="S47" s="579"/>
      <c r="T47" s="579"/>
      <c r="U47" s="579"/>
      <c r="V47" s="579"/>
      <c r="W47" s="579"/>
      <c r="X47" s="579"/>
      <c r="Y47" s="579"/>
      <c r="Z47" s="579"/>
      <c r="AA47" s="579"/>
      <c r="AB47" s="579"/>
      <c r="AC47" s="579"/>
      <c r="AD47" s="579"/>
    </row>
    <row r="48" spans="1:32" x14ac:dyDescent="0.35">
      <c r="A48" s="596" t="s">
        <v>126</v>
      </c>
      <c r="B48" s="597"/>
      <c r="C48" s="584">
        <v>46844</v>
      </c>
      <c r="D48" s="584">
        <v>46874</v>
      </c>
      <c r="E48" s="584">
        <v>46905</v>
      </c>
      <c r="F48" s="584">
        <v>46935</v>
      </c>
      <c r="G48" s="584">
        <v>46966</v>
      </c>
      <c r="H48" s="584">
        <v>46997</v>
      </c>
      <c r="I48" s="584">
        <v>47027</v>
      </c>
      <c r="J48" s="584">
        <v>47058</v>
      </c>
      <c r="K48" s="584">
        <v>47088</v>
      </c>
      <c r="L48" s="584">
        <v>47119</v>
      </c>
      <c r="M48" s="584">
        <v>47150</v>
      </c>
      <c r="N48" s="584">
        <v>47178</v>
      </c>
      <c r="O48" s="615"/>
      <c r="Q48" s="577"/>
      <c r="R48" s="578"/>
      <c r="S48" s="579"/>
      <c r="T48" s="579"/>
      <c r="U48" s="579"/>
      <c r="V48" s="579"/>
      <c r="W48" s="579"/>
      <c r="X48" s="579"/>
      <c r="Y48" s="579"/>
      <c r="Z48" s="579"/>
      <c r="AA48" s="579"/>
      <c r="AB48" s="579"/>
      <c r="AC48" s="579"/>
      <c r="AD48" s="579"/>
    </row>
    <row r="49" spans="1:32" x14ac:dyDescent="0.35">
      <c r="A49" s="586" t="s">
        <v>1174</v>
      </c>
      <c r="B49" s="587" t="s">
        <v>1170</v>
      </c>
      <c r="C49" s="601">
        <f>C47</f>
        <v>1.6500000000000021</v>
      </c>
      <c r="D49" s="601">
        <f t="shared" ref="D49:N49" si="31">D47</f>
        <v>0</v>
      </c>
      <c r="E49" s="601">
        <f t="shared" si="31"/>
        <v>0</v>
      </c>
      <c r="F49" s="601">
        <f t="shared" si="31"/>
        <v>1</v>
      </c>
      <c r="G49" s="601">
        <f t="shared" si="31"/>
        <v>0</v>
      </c>
      <c r="H49" s="601">
        <f t="shared" si="31"/>
        <v>0</v>
      </c>
      <c r="I49" s="601">
        <f t="shared" si="31"/>
        <v>1</v>
      </c>
      <c r="J49" s="601">
        <f t="shared" si="31"/>
        <v>0</v>
      </c>
      <c r="K49" s="601">
        <f t="shared" si="31"/>
        <v>0</v>
      </c>
      <c r="L49" s="601">
        <f t="shared" si="31"/>
        <v>1</v>
      </c>
      <c r="M49" s="601">
        <f t="shared" si="31"/>
        <v>0</v>
      </c>
      <c r="N49" s="601">
        <f t="shared" si="31"/>
        <v>0</v>
      </c>
      <c r="Q49" s="577"/>
      <c r="R49" s="578"/>
      <c r="S49" s="579"/>
      <c r="T49" s="579"/>
      <c r="U49" s="579"/>
      <c r="V49" s="579"/>
      <c r="W49" s="579"/>
      <c r="X49" s="579"/>
      <c r="Y49" s="579"/>
      <c r="Z49" s="579"/>
      <c r="AA49" s="579"/>
      <c r="AB49" s="579"/>
      <c r="AC49" s="579"/>
      <c r="AD49" s="579"/>
    </row>
    <row r="50" spans="1:32" ht="27" x14ac:dyDescent="0.35">
      <c r="A50" s="593" t="s">
        <v>1175</v>
      </c>
      <c r="B50" s="594" t="s">
        <v>1170</v>
      </c>
      <c r="C50" s="603">
        <f>C46</f>
        <v>32.700000000000003</v>
      </c>
      <c r="D50" s="603">
        <f>C50+D49</f>
        <v>32.700000000000003</v>
      </c>
      <c r="E50" s="603">
        <f t="shared" ref="E50:N50" si="32">D50+E49</f>
        <v>32.700000000000003</v>
      </c>
      <c r="F50" s="603">
        <f t="shared" si="32"/>
        <v>33.700000000000003</v>
      </c>
      <c r="G50" s="603">
        <f t="shared" si="32"/>
        <v>33.700000000000003</v>
      </c>
      <c r="H50" s="603">
        <f t="shared" si="32"/>
        <v>33.700000000000003</v>
      </c>
      <c r="I50" s="603">
        <f t="shared" si="32"/>
        <v>34.700000000000003</v>
      </c>
      <c r="J50" s="603">
        <f t="shared" si="32"/>
        <v>34.700000000000003</v>
      </c>
      <c r="K50" s="603">
        <f t="shared" si="32"/>
        <v>34.700000000000003</v>
      </c>
      <c r="L50" s="603">
        <f t="shared" si="32"/>
        <v>35.700000000000003</v>
      </c>
      <c r="M50" s="603">
        <f t="shared" si="32"/>
        <v>35.700000000000003</v>
      </c>
      <c r="N50" s="603">
        <f t="shared" si="32"/>
        <v>35.700000000000003</v>
      </c>
      <c r="O50" s="605"/>
      <c r="Q50" s="577"/>
      <c r="R50" s="578"/>
      <c r="S50" s="579"/>
      <c r="T50" s="579"/>
      <c r="U50" s="579"/>
      <c r="V50" s="579"/>
      <c r="W50" s="579"/>
      <c r="X50" s="579"/>
      <c r="Y50" s="579"/>
      <c r="Z50" s="579"/>
      <c r="AA50" s="579"/>
      <c r="AB50" s="579"/>
      <c r="AC50" s="579"/>
      <c r="AD50" s="579"/>
    </row>
    <row r="51" spans="1:32" x14ac:dyDescent="0.35">
      <c r="Q51" s="577"/>
      <c r="R51" s="578"/>
      <c r="S51" s="579"/>
      <c r="T51" s="579"/>
      <c r="U51" s="579"/>
      <c r="V51" s="579"/>
      <c r="W51" s="579"/>
      <c r="X51" s="579"/>
      <c r="Y51" s="579"/>
      <c r="Z51" s="579"/>
      <c r="AA51" s="579"/>
      <c r="AB51" s="579"/>
      <c r="AC51" s="579"/>
      <c r="AD51" s="579"/>
    </row>
    <row r="52" spans="1:32" x14ac:dyDescent="0.35">
      <c r="Q52" s="577"/>
      <c r="R52" s="578"/>
      <c r="S52" s="579"/>
      <c r="T52" s="579"/>
      <c r="U52" s="579"/>
      <c r="V52" s="579"/>
      <c r="W52" s="579"/>
      <c r="X52" s="579"/>
      <c r="Y52" s="579"/>
      <c r="Z52" s="579"/>
      <c r="AA52" s="579"/>
      <c r="AB52" s="579"/>
      <c r="AC52" s="579"/>
      <c r="AD52" s="579"/>
    </row>
    <row r="53" spans="1:32" x14ac:dyDescent="0.35">
      <c r="Q53" s="577"/>
      <c r="R53" s="578"/>
      <c r="S53" s="579"/>
      <c r="T53" s="579"/>
      <c r="U53" s="579"/>
      <c r="V53" s="579"/>
      <c r="W53" s="579"/>
      <c r="X53" s="579"/>
      <c r="Y53" s="579"/>
      <c r="Z53" s="579"/>
      <c r="AA53" s="579"/>
      <c r="AB53" s="579"/>
      <c r="AC53" s="579"/>
      <c r="AD53" s="579"/>
    </row>
    <row r="54" spans="1:32" x14ac:dyDescent="0.35">
      <c r="P54" s="584" t="s">
        <v>1166</v>
      </c>
      <c r="Q54" s="584" t="s">
        <v>1167</v>
      </c>
      <c r="R54" s="584" t="s">
        <v>624</v>
      </c>
      <c r="S54" s="584">
        <v>47209</v>
      </c>
      <c r="T54" s="584">
        <v>47239</v>
      </c>
      <c r="U54" s="584">
        <v>47270</v>
      </c>
      <c r="V54" s="584">
        <v>47300</v>
      </c>
      <c r="W54" s="584">
        <v>47331</v>
      </c>
      <c r="X54" s="584">
        <v>47362</v>
      </c>
      <c r="Y54" s="584">
        <v>47392</v>
      </c>
      <c r="Z54" s="584">
        <v>47423</v>
      </c>
      <c r="AA54" s="584">
        <v>47453</v>
      </c>
      <c r="AB54" s="584">
        <v>47484</v>
      </c>
      <c r="AC54" s="584">
        <v>47515</v>
      </c>
      <c r="AD54" s="584">
        <v>47543</v>
      </c>
    </row>
    <row r="55" spans="1:32" ht="27.75" x14ac:dyDescent="0.35">
      <c r="A55" s="577" t="s">
        <v>1168</v>
      </c>
      <c r="B55" s="578" t="s">
        <v>1169</v>
      </c>
      <c r="C55" s="579">
        <v>23000</v>
      </c>
      <c r="D55" s="579">
        <v>23000</v>
      </c>
      <c r="E55" s="579">
        <v>23000</v>
      </c>
      <c r="F55" s="579">
        <v>23000</v>
      </c>
      <c r="G55" s="579">
        <v>23000</v>
      </c>
      <c r="H55" s="579">
        <v>23000</v>
      </c>
      <c r="I55" s="579">
        <v>23000</v>
      </c>
      <c r="J55" s="579">
        <v>23000</v>
      </c>
      <c r="K55" s="579">
        <v>23000</v>
      </c>
      <c r="L55" s="579">
        <v>23000</v>
      </c>
      <c r="M55" s="579">
        <v>23000</v>
      </c>
      <c r="N55" s="579">
        <v>23000</v>
      </c>
      <c r="P55" s="585">
        <v>0.9</v>
      </c>
      <c r="Q55" s="586" t="s">
        <v>1168</v>
      </c>
      <c r="R55" s="587" t="s">
        <v>236</v>
      </c>
      <c r="S55" s="588">
        <f t="shared" ref="S55:AD57" si="33">+C56*S$1*24/1000*$P55</f>
        <v>13.413600000000001</v>
      </c>
      <c r="T55" s="588">
        <f t="shared" si="33"/>
        <v>13.860719999999999</v>
      </c>
      <c r="U55" s="588">
        <f t="shared" si="33"/>
        <v>13.413600000000001</v>
      </c>
      <c r="V55" s="588">
        <f t="shared" si="33"/>
        <v>13.860719999999999</v>
      </c>
      <c r="W55" s="588">
        <f t="shared" si="33"/>
        <v>13.860719999999999</v>
      </c>
      <c r="X55" s="588">
        <f t="shared" si="33"/>
        <v>13.413600000000001</v>
      </c>
      <c r="Y55" s="588">
        <f t="shared" si="33"/>
        <v>13.860719999999999</v>
      </c>
      <c r="Z55" s="588">
        <f t="shared" si="33"/>
        <v>13.413600000000001</v>
      </c>
      <c r="AA55" s="588">
        <f t="shared" si="33"/>
        <v>13.860719999999999</v>
      </c>
      <c r="AB55" s="588">
        <f t="shared" si="33"/>
        <v>13.860719999999999</v>
      </c>
      <c r="AC55" s="588">
        <f t="shared" si="33"/>
        <v>12.519360000000001</v>
      </c>
      <c r="AD55" s="588">
        <f t="shared" si="33"/>
        <v>13.860719999999999</v>
      </c>
      <c r="AE55" s="589">
        <f>SUM(S55:AD55)</f>
        <v>163.19879999999998</v>
      </c>
      <c r="AF55" s="590">
        <f>AE55/AE58</f>
        <v>0.58170191834727003</v>
      </c>
    </row>
    <row r="56" spans="1:32" x14ac:dyDescent="0.35">
      <c r="A56" s="607" t="s">
        <v>1179</v>
      </c>
      <c r="B56" s="578" t="s">
        <v>1170</v>
      </c>
      <c r="C56" s="579">
        <f>C55*0.9/1000</f>
        <v>20.7</v>
      </c>
      <c r="D56" s="579">
        <f t="shared" ref="D56:N56" si="34">D55*0.9/1000</f>
        <v>20.7</v>
      </c>
      <c r="E56" s="579">
        <f t="shared" si="34"/>
        <v>20.7</v>
      </c>
      <c r="F56" s="579">
        <f t="shared" si="34"/>
        <v>20.7</v>
      </c>
      <c r="G56" s="579">
        <f t="shared" si="34"/>
        <v>20.7</v>
      </c>
      <c r="H56" s="579">
        <f t="shared" si="34"/>
        <v>20.7</v>
      </c>
      <c r="I56" s="579">
        <f t="shared" si="34"/>
        <v>20.7</v>
      </c>
      <c r="J56" s="579">
        <f t="shared" si="34"/>
        <v>20.7</v>
      </c>
      <c r="K56" s="579">
        <f t="shared" si="34"/>
        <v>20.7</v>
      </c>
      <c r="L56" s="579">
        <f t="shared" si="34"/>
        <v>20.7</v>
      </c>
      <c r="M56" s="579">
        <f t="shared" si="34"/>
        <v>20.7</v>
      </c>
      <c r="N56" s="579">
        <f t="shared" si="34"/>
        <v>20.7</v>
      </c>
      <c r="P56" s="585">
        <v>0.9</v>
      </c>
      <c r="Q56" s="586" t="s">
        <v>1171</v>
      </c>
      <c r="R56" s="587" t="s">
        <v>236</v>
      </c>
      <c r="S56" s="588">
        <f t="shared" si="33"/>
        <v>1.296</v>
      </c>
      <c r="T56" s="588">
        <f t="shared" si="33"/>
        <v>1.3391999999999999</v>
      </c>
      <c r="U56" s="588">
        <f t="shared" si="33"/>
        <v>1.296</v>
      </c>
      <c r="V56" s="588">
        <f t="shared" si="33"/>
        <v>1.3391999999999999</v>
      </c>
      <c r="W56" s="588">
        <f t="shared" si="33"/>
        <v>1.3391999999999999</v>
      </c>
      <c r="X56" s="588">
        <f t="shared" si="33"/>
        <v>1.296</v>
      </c>
      <c r="Y56" s="588">
        <f t="shared" si="33"/>
        <v>1.3391999999999999</v>
      </c>
      <c r="Z56" s="588">
        <f t="shared" si="33"/>
        <v>1.296</v>
      </c>
      <c r="AA56" s="588">
        <f t="shared" si="33"/>
        <v>1.3391999999999999</v>
      </c>
      <c r="AB56" s="588">
        <f t="shared" si="33"/>
        <v>1.3391999999999999</v>
      </c>
      <c r="AC56" s="588">
        <f t="shared" si="33"/>
        <v>1.2096</v>
      </c>
      <c r="AD56" s="588">
        <f t="shared" si="33"/>
        <v>1.3391999999999999</v>
      </c>
      <c r="AE56" s="589">
        <f>SUM(S56:AD56)</f>
        <v>15.768000000000001</v>
      </c>
    </row>
    <row r="57" spans="1:32" x14ac:dyDescent="0.35">
      <c r="A57" s="577" t="s">
        <v>1172</v>
      </c>
      <c r="B57" s="578" t="s">
        <v>1170</v>
      </c>
      <c r="C57" s="579">
        <f>+N44</f>
        <v>2</v>
      </c>
      <c r="D57" s="579">
        <f>+C57</f>
        <v>2</v>
      </c>
      <c r="E57" s="579">
        <f t="shared" ref="E57:N57" si="35">+D57</f>
        <v>2</v>
      </c>
      <c r="F57" s="579">
        <f t="shared" si="35"/>
        <v>2</v>
      </c>
      <c r="G57" s="579">
        <f t="shared" si="35"/>
        <v>2</v>
      </c>
      <c r="H57" s="579">
        <f t="shared" si="35"/>
        <v>2</v>
      </c>
      <c r="I57" s="579">
        <f t="shared" si="35"/>
        <v>2</v>
      </c>
      <c r="J57" s="579">
        <f t="shared" si="35"/>
        <v>2</v>
      </c>
      <c r="K57" s="579">
        <f t="shared" si="35"/>
        <v>2</v>
      </c>
      <c r="L57" s="579">
        <f t="shared" si="35"/>
        <v>2</v>
      </c>
      <c r="M57" s="579">
        <f t="shared" si="35"/>
        <v>2</v>
      </c>
      <c r="N57" s="579">
        <f t="shared" si="35"/>
        <v>2</v>
      </c>
      <c r="P57" s="606">
        <v>0.8</v>
      </c>
      <c r="Q57" s="580" t="s">
        <v>1177</v>
      </c>
      <c r="R57" s="587" t="s">
        <v>236</v>
      </c>
      <c r="S57" s="588">
        <f t="shared" si="33"/>
        <v>7.4879999999999995</v>
      </c>
      <c r="T57" s="588">
        <f t="shared" si="33"/>
        <v>7.7376000000000005</v>
      </c>
      <c r="U57" s="588">
        <f t="shared" si="33"/>
        <v>7.4879999999999995</v>
      </c>
      <c r="V57" s="588">
        <f t="shared" si="33"/>
        <v>8.3328000000000007</v>
      </c>
      <c r="W57" s="588">
        <f t="shared" si="33"/>
        <v>8.3328000000000007</v>
      </c>
      <c r="X57" s="588">
        <f t="shared" si="33"/>
        <v>8.0640000000000001</v>
      </c>
      <c r="Y57" s="588">
        <f t="shared" si="33"/>
        <v>8.9280000000000008</v>
      </c>
      <c r="Z57" s="588">
        <f t="shared" si="33"/>
        <v>8.64</v>
      </c>
      <c r="AA57" s="588">
        <f t="shared" si="33"/>
        <v>8.9280000000000008</v>
      </c>
      <c r="AB57" s="588">
        <f t="shared" si="33"/>
        <v>9.523200000000001</v>
      </c>
      <c r="AC57" s="588">
        <f t="shared" si="33"/>
        <v>8.6016000000000012</v>
      </c>
      <c r="AD57" s="588">
        <f t="shared" si="33"/>
        <v>9.523200000000001</v>
      </c>
      <c r="AE57" s="589">
        <f>SUM(S57:AD57)</f>
        <v>101.58720000000001</v>
      </c>
    </row>
    <row r="58" spans="1:32" x14ac:dyDescent="0.35">
      <c r="A58" s="608" t="s">
        <v>1177</v>
      </c>
      <c r="B58" s="578" t="s">
        <v>1170</v>
      </c>
      <c r="C58" s="579">
        <v>13</v>
      </c>
      <c r="D58" s="579">
        <v>13</v>
      </c>
      <c r="E58" s="579">
        <v>13</v>
      </c>
      <c r="F58" s="579">
        <v>14</v>
      </c>
      <c r="G58" s="579">
        <v>14</v>
      </c>
      <c r="H58" s="579">
        <v>14</v>
      </c>
      <c r="I58" s="579">
        <v>15</v>
      </c>
      <c r="J58" s="579">
        <v>15</v>
      </c>
      <c r="K58" s="579">
        <v>15</v>
      </c>
      <c r="L58" s="579">
        <v>16</v>
      </c>
      <c r="M58" s="579">
        <v>16</v>
      </c>
      <c r="N58" s="579">
        <v>16</v>
      </c>
      <c r="P58" s="592"/>
      <c r="Q58" s="593" t="s">
        <v>164</v>
      </c>
      <c r="R58" s="594" t="s">
        <v>236</v>
      </c>
      <c r="S58" s="595">
        <f>+S55+S56+S57</f>
        <v>22.197600000000001</v>
      </c>
      <c r="T58" s="595">
        <f t="shared" ref="T58:AD58" si="36">+T55+T56+T57</f>
        <v>22.937519999999999</v>
      </c>
      <c r="U58" s="595">
        <f t="shared" si="36"/>
        <v>22.197600000000001</v>
      </c>
      <c r="V58" s="595">
        <f t="shared" si="36"/>
        <v>23.532719999999998</v>
      </c>
      <c r="W58" s="595">
        <f t="shared" si="36"/>
        <v>23.532719999999998</v>
      </c>
      <c r="X58" s="595">
        <f t="shared" si="36"/>
        <v>22.773600000000002</v>
      </c>
      <c r="Y58" s="595">
        <f t="shared" si="36"/>
        <v>24.12792</v>
      </c>
      <c r="Z58" s="595">
        <f t="shared" si="36"/>
        <v>23.349600000000002</v>
      </c>
      <c r="AA58" s="595">
        <f t="shared" si="36"/>
        <v>24.12792</v>
      </c>
      <c r="AB58" s="595">
        <f t="shared" si="36"/>
        <v>24.723120000000002</v>
      </c>
      <c r="AC58" s="595">
        <f t="shared" si="36"/>
        <v>22.330560000000002</v>
      </c>
      <c r="AD58" s="595">
        <f t="shared" si="36"/>
        <v>24.723120000000002</v>
      </c>
      <c r="AE58" s="589">
        <f>SUM(S58:AD58)</f>
        <v>280.55399999999997</v>
      </c>
    </row>
    <row r="59" spans="1:32" x14ac:dyDescent="0.35">
      <c r="A59" s="577" t="s">
        <v>164</v>
      </c>
      <c r="B59" s="578" t="s">
        <v>1170</v>
      </c>
      <c r="C59" s="579">
        <f>C56+C57+C58</f>
        <v>35.700000000000003</v>
      </c>
      <c r="D59" s="579">
        <f t="shared" ref="D59:N59" si="37">D56+D57+D58</f>
        <v>35.700000000000003</v>
      </c>
      <c r="E59" s="579">
        <f t="shared" si="37"/>
        <v>35.700000000000003</v>
      </c>
      <c r="F59" s="579">
        <f t="shared" si="37"/>
        <v>36.700000000000003</v>
      </c>
      <c r="G59" s="579">
        <f t="shared" si="37"/>
        <v>36.700000000000003</v>
      </c>
      <c r="H59" s="579">
        <f t="shared" si="37"/>
        <v>36.700000000000003</v>
      </c>
      <c r="I59" s="579">
        <f t="shared" si="37"/>
        <v>37.700000000000003</v>
      </c>
      <c r="J59" s="579">
        <f t="shared" si="37"/>
        <v>37.700000000000003</v>
      </c>
      <c r="K59" s="579">
        <f t="shared" si="37"/>
        <v>37.700000000000003</v>
      </c>
      <c r="L59" s="579">
        <f t="shared" si="37"/>
        <v>38.700000000000003</v>
      </c>
      <c r="M59" s="579">
        <f t="shared" si="37"/>
        <v>38.700000000000003</v>
      </c>
      <c r="N59" s="579">
        <f t="shared" si="37"/>
        <v>38.700000000000003</v>
      </c>
      <c r="Q59" s="577"/>
      <c r="R59" s="578"/>
      <c r="S59" s="579"/>
      <c r="T59" s="579"/>
      <c r="U59" s="579"/>
      <c r="V59" s="579"/>
      <c r="W59" s="579"/>
      <c r="X59" s="579"/>
      <c r="Y59" s="579"/>
      <c r="Z59" s="579"/>
      <c r="AA59" s="579"/>
      <c r="AB59" s="579"/>
      <c r="AC59" s="579"/>
      <c r="AD59" s="579"/>
    </row>
    <row r="60" spans="1:32" x14ac:dyDescent="0.35">
      <c r="A60" s="577" t="s">
        <v>1173</v>
      </c>
      <c r="B60" s="578" t="s">
        <v>1170</v>
      </c>
      <c r="C60" s="579">
        <f>C59-N46</f>
        <v>0</v>
      </c>
      <c r="D60" s="579">
        <f>D59-C59</f>
        <v>0</v>
      </c>
      <c r="E60" s="579">
        <f t="shared" ref="E60:N60" si="38">E59-D59</f>
        <v>0</v>
      </c>
      <c r="F60" s="579">
        <f t="shared" si="38"/>
        <v>1</v>
      </c>
      <c r="G60" s="579">
        <f t="shared" si="38"/>
        <v>0</v>
      </c>
      <c r="H60" s="579">
        <f t="shared" si="38"/>
        <v>0</v>
      </c>
      <c r="I60" s="579">
        <f t="shared" si="38"/>
        <v>1</v>
      </c>
      <c r="J60" s="579">
        <f t="shared" si="38"/>
        <v>0</v>
      </c>
      <c r="K60" s="579">
        <f t="shared" si="38"/>
        <v>0</v>
      </c>
      <c r="L60" s="579">
        <f t="shared" si="38"/>
        <v>1</v>
      </c>
      <c r="M60" s="579">
        <f t="shared" si="38"/>
        <v>0</v>
      </c>
      <c r="N60" s="579">
        <f t="shared" si="38"/>
        <v>0</v>
      </c>
      <c r="Q60" s="577"/>
      <c r="R60" s="578"/>
      <c r="S60" s="579"/>
      <c r="T60" s="579"/>
      <c r="U60" s="579"/>
      <c r="V60" s="579"/>
      <c r="W60" s="579"/>
      <c r="X60" s="579"/>
      <c r="Y60" s="579"/>
      <c r="Z60" s="579"/>
      <c r="AA60" s="579"/>
      <c r="AB60" s="579"/>
      <c r="AC60" s="579"/>
      <c r="AD60" s="579"/>
    </row>
    <row r="61" spans="1:32" x14ac:dyDescent="0.35">
      <c r="A61" s="596" t="s">
        <v>127</v>
      </c>
      <c r="B61" s="597"/>
      <c r="C61" s="584">
        <v>47209</v>
      </c>
      <c r="D61" s="584">
        <v>47239</v>
      </c>
      <c r="E61" s="584">
        <v>47270</v>
      </c>
      <c r="F61" s="584">
        <v>47300</v>
      </c>
      <c r="G61" s="584">
        <v>47331</v>
      </c>
      <c r="H61" s="584">
        <v>47362</v>
      </c>
      <c r="I61" s="584">
        <v>47392</v>
      </c>
      <c r="J61" s="584">
        <v>47423</v>
      </c>
      <c r="K61" s="584">
        <v>47453</v>
      </c>
      <c r="L61" s="584">
        <v>47484</v>
      </c>
      <c r="M61" s="584">
        <v>47515</v>
      </c>
      <c r="N61" s="584">
        <v>47543</v>
      </c>
      <c r="O61" s="615"/>
      <c r="Q61" s="577"/>
      <c r="R61" s="578"/>
      <c r="S61" s="579"/>
      <c r="T61" s="579"/>
      <c r="U61" s="579"/>
      <c r="V61" s="579"/>
      <c r="W61" s="579"/>
      <c r="X61" s="579"/>
      <c r="Y61" s="579"/>
      <c r="Z61" s="579"/>
      <c r="AA61" s="579"/>
      <c r="AB61" s="579"/>
      <c r="AC61" s="579"/>
      <c r="AD61" s="579"/>
    </row>
    <row r="62" spans="1:32" x14ac:dyDescent="0.35">
      <c r="A62" s="586" t="s">
        <v>1174</v>
      </c>
      <c r="B62" s="587" t="s">
        <v>1170</v>
      </c>
      <c r="C62" s="601">
        <f>C60</f>
        <v>0</v>
      </c>
      <c r="D62" s="601">
        <f t="shared" ref="D62:N62" si="39">D60</f>
        <v>0</v>
      </c>
      <c r="E62" s="601">
        <f t="shared" si="39"/>
        <v>0</v>
      </c>
      <c r="F62" s="601">
        <f t="shared" si="39"/>
        <v>1</v>
      </c>
      <c r="G62" s="601">
        <f t="shared" si="39"/>
        <v>0</v>
      </c>
      <c r="H62" s="601">
        <f t="shared" si="39"/>
        <v>0</v>
      </c>
      <c r="I62" s="601">
        <f t="shared" si="39"/>
        <v>1</v>
      </c>
      <c r="J62" s="601">
        <f t="shared" si="39"/>
        <v>0</v>
      </c>
      <c r="K62" s="601">
        <f t="shared" si="39"/>
        <v>0</v>
      </c>
      <c r="L62" s="601">
        <f t="shared" si="39"/>
        <v>1</v>
      </c>
      <c r="M62" s="601">
        <f t="shared" si="39"/>
        <v>0</v>
      </c>
      <c r="N62" s="601">
        <f t="shared" si="39"/>
        <v>0</v>
      </c>
      <c r="Q62" s="577"/>
      <c r="R62" s="578"/>
      <c r="S62" s="579"/>
      <c r="T62" s="579"/>
      <c r="U62" s="579"/>
      <c r="V62" s="579"/>
      <c r="W62" s="579"/>
      <c r="X62" s="579"/>
      <c r="Y62" s="579"/>
      <c r="Z62" s="579"/>
      <c r="AA62" s="579"/>
      <c r="AB62" s="579"/>
      <c r="AC62" s="579"/>
      <c r="AD62" s="579"/>
    </row>
    <row r="63" spans="1:32" ht="27" x14ac:dyDescent="0.35">
      <c r="A63" s="593" t="s">
        <v>1175</v>
      </c>
      <c r="B63" s="594" t="s">
        <v>1170</v>
      </c>
      <c r="C63" s="603">
        <f>C59</f>
        <v>35.700000000000003</v>
      </c>
      <c r="D63" s="603">
        <f>C63+D62</f>
        <v>35.700000000000003</v>
      </c>
      <c r="E63" s="603">
        <f t="shared" ref="E63:N63" si="40">D63+E62</f>
        <v>35.700000000000003</v>
      </c>
      <c r="F63" s="603">
        <f t="shared" si="40"/>
        <v>36.700000000000003</v>
      </c>
      <c r="G63" s="603">
        <f t="shared" si="40"/>
        <v>36.700000000000003</v>
      </c>
      <c r="H63" s="603">
        <f t="shared" si="40"/>
        <v>36.700000000000003</v>
      </c>
      <c r="I63" s="603">
        <f t="shared" si="40"/>
        <v>37.700000000000003</v>
      </c>
      <c r="J63" s="603">
        <f t="shared" si="40"/>
        <v>37.700000000000003</v>
      </c>
      <c r="K63" s="603">
        <f t="shared" si="40"/>
        <v>37.700000000000003</v>
      </c>
      <c r="L63" s="603">
        <f t="shared" si="40"/>
        <v>38.700000000000003</v>
      </c>
      <c r="M63" s="603">
        <f t="shared" si="40"/>
        <v>38.700000000000003</v>
      </c>
      <c r="N63" s="603">
        <f t="shared" si="40"/>
        <v>38.700000000000003</v>
      </c>
      <c r="O63" s="605"/>
      <c r="Q63" s="577"/>
      <c r="R63" s="578"/>
      <c r="S63" s="579"/>
      <c r="T63" s="579"/>
      <c r="U63" s="579"/>
      <c r="V63" s="579"/>
      <c r="W63" s="579"/>
      <c r="X63" s="579"/>
      <c r="Y63" s="579"/>
      <c r="Z63" s="579"/>
      <c r="AA63" s="579"/>
      <c r="AB63" s="579"/>
      <c r="AC63" s="579"/>
      <c r="AD63" s="579"/>
    </row>
    <row r="64" spans="1:32" x14ac:dyDescent="0.35">
      <c r="Q64" s="577"/>
      <c r="R64" s="578"/>
      <c r="S64" s="579"/>
      <c r="T64" s="579"/>
      <c r="U64" s="579"/>
      <c r="V64" s="579"/>
      <c r="W64" s="579"/>
      <c r="X64" s="579"/>
      <c r="Y64" s="579"/>
      <c r="Z64" s="579"/>
      <c r="AA64" s="579"/>
      <c r="AB64" s="579"/>
      <c r="AC64" s="579"/>
      <c r="AD64" s="579"/>
    </row>
    <row r="66" spans="1:17" ht="27" x14ac:dyDescent="0.35">
      <c r="A66" s="599" t="s">
        <v>1182</v>
      </c>
      <c r="B66" s="581" t="s">
        <v>236</v>
      </c>
      <c r="C66" s="610">
        <f>+AE5</f>
        <v>9.8550000000000004</v>
      </c>
      <c r="D66" s="610">
        <f>+AE17</f>
        <v>11.826000000000002</v>
      </c>
      <c r="E66" s="610">
        <f>+AE30</f>
        <v>11.826000000000002</v>
      </c>
      <c r="F66" s="610">
        <f>+AE43</f>
        <v>15.768000000000001</v>
      </c>
      <c r="G66" s="610">
        <f>+AE56</f>
        <v>15.768000000000001</v>
      </c>
    </row>
    <row r="68" spans="1:17" ht="27" x14ac:dyDescent="0.35">
      <c r="A68" s="217" t="s">
        <v>1180</v>
      </c>
      <c r="C68" s="217" t="s">
        <v>123</v>
      </c>
      <c r="D68" s="217" t="s">
        <v>124</v>
      </c>
      <c r="E68" s="217" t="s">
        <v>125</v>
      </c>
      <c r="F68" s="217" t="s">
        <v>126</v>
      </c>
      <c r="G68" s="217" t="s">
        <v>127</v>
      </c>
      <c r="H68" s="217" t="s">
        <v>123</v>
      </c>
      <c r="I68" s="217" t="s">
        <v>124</v>
      </c>
      <c r="J68" s="217" t="s">
        <v>125</v>
      </c>
      <c r="K68" s="217" t="s">
        <v>126</v>
      </c>
      <c r="L68" s="217" t="s">
        <v>127</v>
      </c>
      <c r="M68" s="217" t="s">
        <v>123</v>
      </c>
      <c r="N68" s="217" t="s">
        <v>124</v>
      </c>
      <c r="O68" s="217" t="s">
        <v>125</v>
      </c>
      <c r="P68" s="217" t="s">
        <v>126</v>
      </c>
      <c r="Q68" s="217" t="s">
        <v>127</v>
      </c>
    </row>
    <row r="69" spans="1:17" x14ac:dyDescent="0.35">
      <c r="C69" s="1894" t="s">
        <v>1181</v>
      </c>
      <c r="D69" s="1894"/>
      <c r="E69" s="1894"/>
      <c r="F69" s="1894"/>
      <c r="G69" s="1894"/>
      <c r="H69" s="1894" t="s">
        <v>1025</v>
      </c>
      <c r="I69" s="1894"/>
      <c r="J69" s="1894"/>
      <c r="K69" s="1894"/>
      <c r="L69" s="1894"/>
      <c r="M69" s="1895" t="s">
        <v>1026</v>
      </c>
      <c r="N69" s="1896"/>
      <c r="O69" s="1896"/>
      <c r="P69" s="1896"/>
      <c r="Q69" s="1897"/>
    </row>
    <row r="70" spans="1:17" x14ac:dyDescent="0.35">
      <c r="A70" s="569" t="s">
        <v>161</v>
      </c>
      <c r="C70" s="601"/>
      <c r="D70" s="601"/>
      <c r="E70" s="601"/>
      <c r="F70" s="601"/>
      <c r="G70" s="601"/>
      <c r="H70" s="601"/>
      <c r="I70" s="601"/>
      <c r="J70" s="601"/>
      <c r="K70" s="601"/>
      <c r="L70" s="601"/>
      <c r="M70" s="601"/>
      <c r="N70" s="601"/>
      <c r="O70" s="601"/>
      <c r="P70" s="592"/>
      <c r="Q70" s="592"/>
    </row>
    <row r="71" spans="1:17" x14ac:dyDescent="0.35">
      <c r="A71" s="570" t="s">
        <v>1129</v>
      </c>
      <c r="B71" s="578" t="s">
        <v>236</v>
      </c>
      <c r="C71" s="612">
        <f>+H71+M71</f>
        <v>130.57773499999999</v>
      </c>
      <c r="D71" s="612">
        <f>+I71+N71</f>
        <v>162.74159899999995</v>
      </c>
      <c r="E71" s="612">
        <f>+J71+O71</f>
        <v>203.31539900000001</v>
      </c>
      <c r="F71" s="612">
        <f>+K71+P71</f>
        <v>243.946799</v>
      </c>
      <c r="G71" s="612">
        <f>+L71+Q71</f>
        <v>264.970799</v>
      </c>
      <c r="H71" s="612">
        <f>+AE4</f>
        <v>130.39293599999999</v>
      </c>
      <c r="I71" s="612">
        <f>+AE16+AE18</f>
        <v>162.55679999999995</v>
      </c>
      <c r="J71" s="612">
        <f>+AE29+AE31</f>
        <v>203.13060000000002</v>
      </c>
      <c r="K71" s="612">
        <f>+AE42+AE44</f>
        <v>243.762</v>
      </c>
      <c r="L71" s="612">
        <f>+AE55+AE57</f>
        <v>264.786</v>
      </c>
      <c r="M71" s="624">
        <f>+'F1 Non-SEZ'!I12</f>
        <v>0.18479900000000216</v>
      </c>
      <c r="N71" s="624">
        <f>+M71</f>
        <v>0.18479900000000216</v>
      </c>
      <c r="O71" s="624">
        <f>+N71</f>
        <v>0.18479900000000216</v>
      </c>
      <c r="P71" s="624">
        <f>+O71</f>
        <v>0.18479900000000216</v>
      </c>
      <c r="Q71" s="624">
        <f>+P71</f>
        <v>0.18479900000000216</v>
      </c>
    </row>
    <row r="72" spans="1:17" x14ac:dyDescent="0.35">
      <c r="A72" s="570" t="s">
        <v>1130</v>
      </c>
      <c r="B72" s="578" t="s">
        <v>236</v>
      </c>
      <c r="C72" s="613">
        <f>+C$66*Assum!$H10</f>
        <v>0.62262236209784649</v>
      </c>
      <c r="D72" s="613">
        <f>+D$66*Assum!$H10</f>
        <v>0.74714683451741593</v>
      </c>
      <c r="E72" s="613">
        <f>+E$66*Assum!$H10</f>
        <v>0.74714683451741593</v>
      </c>
      <c r="F72" s="613">
        <f>+F$66*Assum!$H10</f>
        <v>0.99619577935655435</v>
      </c>
      <c r="G72" s="613">
        <f>+G$66*Assum!$H10</f>
        <v>0.99619577935655435</v>
      </c>
      <c r="H72" s="613">
        <f>+C72*Assum!$I10</f>
        <v>2.9878305404821962E-2</v>
      </c>
      <c r="I72" s="613">
        <f>+D72*Assum!$I10</f>
        <v>3.5853966485786364E-2</v>
      </c>
      <c r="J72" s="613">
        <f>+E72*Assum!$I10</f>
        <v>3.5853966485786364E-2</v>
      </c>
      <c r="K72" s="613">
        <f>+F72*Assum!$I10</f>
        <v>4.780528864771514E-2</v>
      </c>
      <c r="L72" s="613">
        <f>+G72*Assum!$I10</f>
        <v>4.780528864771514E-2</v>
      </c>
      <c r="M72" s="624">
        <f>+C72*Assum!$J10</f>
        <v>0.59274405669302443</v>
      </c>
      <c r="N72" s="624">
        <f>+D72*Assum!$J10</f>
        <v>0.7112928680316295</v>
      </c>
      <c r="O72" s="624">
        <f>+E72*Assum!$J10</f>
        <v>0.7112928680316295</v>
      </c>
      <c r="P72" s="624">
        <f>+F72*Assum!$J10</f>
        <v>0.94839049070883907</v>
      </c>
      <c r="Q72" s="624">
        <f>+G72*Assum!$J10</f>
        <v>0.94839049070883907</v>
      </c>
    </row>
    <row r="73" spans="1:17" x14ac:dyDescent="0.35">
      <c r="A73" s="570" t="s">
        <v>1131</v>
      </c>
      <c r="B73" s="578" t="s">
        <v>236</v>
      </c>
      <c r="C73" s="613">
        <f>+C$66*Assum!$H11</f>
        <v>0</v>
      </c>
      <c r="D73" s="613">
        <f>+D$66*Assum!$H11</f>
        <v>0</v>
      </c>
      <c r="E73" s="613">
        <f>+E$66*Assum!$H11</f>
        <v>0</v>
      </c>
      <c r="F73" s="613">
        <f>+F$66*Assum!$H11</f>
        <v>0</v>
      </c>
      <c r="G73" s="613">
        <f>+G$66*Assum!$H11</f>
        <v>0</v>
      </c>
      <c r="H73" s="601"/>
      <c r="I73" s="601"/>
      <c r="J73" s="601"/>
      <c r="K73" s="601"/>
      <c r="L73" s="601"/>
      <c r="M73" s="624"/>
      <c r="N73" s="624"/>
      <c r="O73" s="624"/>
      <c r="P73" s="625"/>
      <c r="Q73" s="625"/>
    </row>
    <row r="74" spans="1:17" ht="26.25" x14ac:dyDescent="0.35">
      <c r="A74" s="570" t="s">
        <v>1132</v>
      </c>
      <c r="B74" s="578" t="s">
        <v>236</v>
      </c>
      <c r="C74" s="613">
        <f>+C$66*Assum!$H12</f>
        <v>0</v>
      </c>
      <c r="D74" s="613">
        <f>+D$66*Assum!$H12</f>
        <v>0</v>
      </c>
      <c r="E74" s="613">
        <f>+E$66*Assum!$H12</f>
        <v>0</v>
      </c>
      <c r="F74" s="613">
        <f>+F$66*Assum!$H12</f>
        <v>0</v>
      </c>
      <c r="G74" s="613">
        <f>+G$66*Assum!$H12</f>
        <v>0</v>
      </c>
      <c r="H74" s="601"/>
      <c r="I74" s="601"/>
      <c r="J74" s="601"/>
      <c r="K74" s="601"/>
      <c r="L74" s="601"/>
      <c r="M74" s="624"/>
      <c r="N74" s="624"/>
      <c r="O74" s="624"/>
      <c r="P74" s="625"/>
      <c r="Q74" s="625"/>
    </row>
    <row r="75" spans="1:17" x14ac:dyDescent="0.35">
      <c r="A75" s="571" t="s">
        <v>162</v>
      </c>
      <c r="B75" s="578" t="s">
        <v>236</v>
      </c>
      <c r="C75" s="614">
        <f t="shared" ref="C75:Q75" si="41">SUM(C71:C74)</f>
        <v>131.20035736209783</v>
      </c>
      <c r="D75" s="614">
        <f t="shared" si="41"/>
        <v>163.48874583451737</v>
      </c>
      <c r="E75" s="614">
        <f t="shared" si="41"/>
        <v>204.06254583451744</v>
      </c>
      <c r="F75" s="614">
        <f t="shared" si="41"/>
        <v>244.94299477935655</v>
      </c>
      <c r="G75" s="614">
        <f t="shared" si="41"/>
        <v>265.96699477935653</v>
      </c>
      <c r="H75" s="614">
        <f t="shared" si="41"/>
        <v>130.42281430540481</v>
      </c>
      <c r="I75" s="614">
        <f t="shared" si="41"/>
        <v>162.59265396648573</v>
      </c>
      <c r="J75" s="614">
        <f t="shared" si="41"/>
        <v>203.16645396648579</v>
      </c>
      <c r="K75" s="614">
        <f t="shared" si="41"/>
        <v>243.80980528864771</v>
      </c>
      <c r="L75" s="614">
        <f t="shared" si="41"/>
        <v>264.83380528864774</v>
      </c>
      <c r="M75" s="626">
        <f t="shared" si="41"/>
        <v>0.77754305669302659</v>
      </c>
      <c r="N75" s="626">
        <f t="shared" si="41"/>
        <v>0.89609186803163166</v>
      </c>
      <c r="O75" s="626">
        <f t="shared" si="41"/>
        <v>0.89609186803163166</v>
      </c>
      <c r="P75" s="626">
        <f t="shared" si="41"/>
        <v>1.1331894907088413</v>
      </c>
      <c r="Q75" s="626">
        <f t="shared" si="41"/>
        <v>1.1331894907088413</v>
      </c>
    </row>
    <row r="76" spans="1:17" x14ac:dyDescent="0.35">
      <c r="A76" s="569" t="s">
        <v>163</v>
      </c>
      <c r="B76" s="578" t="s">
        <v>236</v>
      </c>
      <c r="C76" s="601"/>
      <c r="D76" s="601"/>
      <c r="E76" s="601"/>
      <c r="F76" s="601"/>
      <c r="G76" s="601"/>
      <c r="H76" s="601"/>
      <c r="I76" s="601"/>
      <c r="J76" s="601"/>
      <c r="K76" s="601"/>
      <c r="L76" s="601"/>
      <c r="M76" s="624"/>
      <c r="N76" s="624"/>
      <c r="O76" s="624"/>
      <c r="P76" s="625"/>
      <c r="Q76" s="625"/>
    </row>
    <row r="77" spans="1:17" x14ac:dyDescent="0.35">
      <c r="A77" s="572" t="s">
        <v>1133</v>
      </c>
      <c r="B77" s="578" t="s">
        <v>236</v>
      </c>
      <c r="C77" s="601"/>
      <c r="D77" s="601"/>
      <c r="E77" s="601"/>
      <c r="F77" s="601"/>
      <c r="G77" s="601"/>
      <c r="H77" s="601"/>
      <c r="I77" s="601"/>
      <c r="J77" s="601"/>
      <c r="K77" s="601"/>
      <c r="L77" s="601"/>
      <c r="M77" s="624"/>
      <c r="N77" s="624"/>
      <c r="O77" s="624"/>
      <c r="P77" s="625"/>
      <c r="Q77" s="625"/>
    </row>
    <row r="78" spans="1:17" x14ac:dyDescent="0.35">
      <c r="A78" s="573" t="s">
        <v>1106</v>
      </c>
      <c r="B78" s="578" t="s">
        <v>236</v>
      </c>
      <c r="C78" s="613">
        <f>+C$66*Assum!$H16</f>
        <v>1.6685011957773752</v>
      </c>
      <c r="D78" s="613">
        <f>+D$66*Assum!$H16</f>
        <v>2.0022014349328505</v>
      </c>
      <c r="E78" s="613">
        <f>+E$66*Assum!$H16</f>
        <v>2.0022014349328505</v>
      </c>
      <c r="F78" s="613">
        <f>+F$66*Assum!$H16</f>
        <v>2.6696019132438003</v>
      </c>
      <c r="G78" s="613">
        <f>+G$66*Assum!$H16</f>
        <v>2.6696019132438003</v>
      </c>
      <c r="H78" s="613">
        <f>+C78*Assum!$I16</f>
        <v>0</v>
      </c>
      <c r="I78" s="613">
        <f>+D78*Assum!$I16</f>
        <v>0</v>
      </c>
      <c r="J78" s="613">
        <f>+E78*Assum!$I16</f>
        <v>0</v>
      </c>
      <c r="K78" s="613">
        <f>+F78*Assum!$I16</f>
        <v>0</v>
      </c>
      <c r="L78" s="613">
        <f>+G78*Assum!$I16</f>
        <v>0</v>
      </c>
      <c r="M78" s="624">
        <f>+C78*Assum!$J16</f>
        <v>1.6685011957773752</v>
      </c>
      <c r="N78" s="624">
        <f>+D78*Assum!$J16</f>
        <v>2.0022014349328505</v>
      </c>
      <c r="O78" s="624">
        <f>+E78*Assum!$J16</f>
        <v>2.0022014349328505</v>
      </c>
      <c r="P78" s="624">
        <f>+F78*Assum!$J16</f>
        <v>2.6696019132438003</v>
      </c>
      <c r="Q78" s="624">
        <f>+G78*Assum!$J16</f>
        <v>2.6696019132438003</v>
      </c>
    </row>
    <row r="79" spans="1:17" x14ac:dyDescent="0.35">
      <c r="A79" s="573" t="s">
        <v>1107</v>
      </c>
      <c r="B79" s="578" t="s">
        <v>236</v>
      </c>
      <c r="C79" s="613">
        <f>+C$66*Assum!$H17</f>
        <v>1.6157569013759476</v>
      </c>
      <c r="D79" s="613">
        <f>+D$66*Assum!$H17</f>
        <v>1.9389082816511376</v>
      </c>
      <c r="E79" s="613">
        <f>+E$66*Assum!$H17</f>
        <v>1.9389082816511376</v>
      </c>
      <c r="F79" s="613">
        <f>+F$66*Assum!$H17</f>
        <v>2.5852110422015162</v>
      </c>
      <c r="G79" s="613">
        <f>+G$66*Assum!$H17</f>
        <v>2.5852110422015162</v>
      </c>
      <c r="H79" s="613">
        <f>+C79*Assum!$I17</f>
        <v>0</v>
      </c>
      <c r="I79" s="613">
        <f>+D79*Assum!$I17</f>
        <v>0</v>
      </c>
      <c r="J79" s="613">
        <f>+E79*Assum!$I17</f>
        <v>0</v>
      </c>
      <c r="K79" s="613">
        <f>+F79*Assum!$I17</f>
        <v>0</v>
      </c>
      <c r="L79" s="613">
        <f>+G79*Assum!$I17</f>
        <v>0</v>
      </c>
      <c r="M79" s="624">
        <f>+C79*Assum!$J17</f>
        <v>1.6157569013759476</v>
      </c>
      <c r="N79" s="624">
        <f>+D79*Assum!$J17</f>
        <v>1.9389082816511376</v>
      </c>
      <c r="O79" s="624">
        <f>+E79*Assum!$J17</f>
        <v>1.9389082816511376</v>
      </c>
      <c r="P79" s="624">
        <f>+F79*Assum!$J17</f>
        <v>2.5852110422015162</v>
      </c>
      <c r="Q79" s="624">
        <f>+G79*Assum!$J17</f>
        <v>2.5852110422015162</v>
      </c>
    </row>
    <row r="80" spans="1:17" x14ac:dyDescent="0.35">
      <c r="A80" s="573" t="s">
        <v>1108</v>
      </c>
      <c r="B80" s="578" t="s">
        <v>236</v>
      </c>
      <c r="C80" s="613">
        <f>+C$66*Assum!$H18</f>
        <v>0.56593028060698403</v>
      </c>
      <c r="D80" s="613">
        <f>+D$66*Assum!$H18</f>
        <v>0.67911633672838101</v>
      </c>
      <c r="E80" s="613">
        <f>+E$66*Assum!$H18</f>
        <v>0.67911633672838101</v>
      </c>
      <c r="F80" s="613">
        <f>+F$66*Assum!$H18</f>
        <v>0.90548844897117453</v>
      </c>
      <c r="G80" s="613">
        <f>+G$66*Assum!$H18</f>
        <v>0.90548844897117453</v>
      </c>
      <c r="H80" s="613">
        <f>+C80*Assum!$I18</f>
        <v>0</v>
      </c>
      <c r="I80" s="613">
        <f>+D80*Assum!$I18</f>
        <v>0</v>
      </c>
      <c r="J80" s="613">
        <f>+E80*Assum!$I18</f>
        <v>0</v>
      </c>
      <c r="K80" s="613">
        <f>+F80*Assum!$I18</f>
        <v>0</v>
      </c>
      <c r="L80" s="613">
        <f>+G80*Assum!$I18</f>
        <v>0</v>
      </c>
      <c r="M80" s="624">
        <f>+C80*Assum!$J18</f>
        <v>0.56593028060698403</v>
      </c>
      <c r="N80" s="624">
        <f>+D80*Assum!$J18</f>
        <v>0.67911633672838101</v>
      </c>
      <c r="O80" s="624">
        <f>+E80*Assum!$J18</f>
        <v>0.67911633672838101</v>
      </c>
      <c r="P80" s="624">
        <f>+F80*Assum!$J18</f>
        <v>0.90548844897117453</v>
      </c>
      <c r="Q80" s="624">
        <f>+G80*Assum!$J18</f>
        <v>0.90548844897117453</v>
      </c>
    </row>
    <row r="81" spans="1:17" x14ac:dyDescent="0.35">
      <c r="A81" s="573" t="s">
        <v>1109</v>
      </c>
      <c r="B81" s="578" t="s">
        <v>236</v>
      </c>
      <c r="C81" s="613">
        <f>+C$66*Assum!$H19</f>
        <v>3.3263661062430674</v>
      </c>
      <c r="D81" s="613">
        <f>+D$66*Assum!$H19</f>
        <v>3.9916393274916815</v>
      </c>
      <c r="E81" s="613">
        <f>+E$66*Assum!$H19</f>
        <v>3.9916393274916815</v>
      </c>
      <c r="F81" s="613">
        <f>+F$66*Assum!$H19</f>
        <v>5.3221857699889075</v>
      </c>
      <c r="G81" s="613">
        <f>+G$66*Assum!$H19</f>
        <v>5.3221857699889075</v>
      </c>
      <c r="H81" s="613">
        <f>+C81*Assum!$I19</f>
        <v>0</v>
      </c>
      <c r="I81" s="613">
        <f>+D81*Assum!$I19</f>
        <v>0</v>
      </c>
      <c r="J81" s="613">
        <f>+E81*Assum!$I19</f>
        <v>0</v>
      </c>
      <c r="K81" s="613">
        <f>+F81*Assum!$I19</f>
        <v>0</v>
      </c>
      <c r="L81" s="613">
        <f>+G81*Assum!$I19</f>
        <v>0</v>
      </c>
      <c r="M81" s="624">
        <f>+C81*Assum!$J19</f>
        <v>3.3263661062430674</v>
      </c>
      <c r="N81" s="624">
        <f>+D81*Assum!$J19</f>
        <v>3.9916393274916815</v>
      </c>
      <c r="O81" s="624">
        <f>+E81*Assum!$J19</f>
        <v>3.9916393274916815</v>
      </c>
      <c r="P81" s="624">
        <f>+F81*Assum!$J19</f>
        <v>5.3221857699889075</v>
      </c>
      <c r="Q81" s="624">
        <f>+G81*Assum!$J19</f>
        <v>5.3221857699889075</v>
      </c>
    </row>
    <row r="82" spans="1:17" x14ac:dyDescent="0.35">
      <c r="A82" s="573" t="s">
        <v>1110</v>
      </c>
      <c r="B82" s="578" t="s">
        <v>236</v>
      </c>
      <c r="C82" s="613">
        <f>+C$66*Assum!$H20</f>
        <v>0</v>
      </c>
      <c r="D82" s="613">
        <f>+D$66*Assum!$H20</f>
        <v>0</v>
      </c>
      <c r="E82" s="613">
        <f>+E$66*Assum!$H20</f>
        <v>0</v>
      </c>
      <c r="F82" s="613">
        <f>+F$66*Assum!$H20</f>
        <v>0</v>
      </c>
      <c r="G82" s="613">
        <f>+G$66*Assum!$H20</f>
        <v>0</v>
      </c>
      <c r="H82" s="613">
        <f>+C82*Assum!$I20</f>
        <v>0</v>
      </c>
      <c r="I82" s="613">
        <f>+D82*Assum!$I20</f>
        <v>0</v>
      </c>
      <c r="J82" s="613">
        <f>+E82*Assum!$I20</f>
        <v>0</v>
      </c>
      <c r="K82" s="613">
        <f>+F82*Assum!$I20</f>
        <v>0</v>
      </c>
      <c r="L82" s="613">
        <f>+G82*Assum!$I20</f>
        <v>0</v>
      </c>
      <c r="M82" s="624">
        <f>+C82*Assum!$J20</f>
        <v>0</v>
      </c>
      <c r="N82" s="624">
        <f>+D82*Assum!$J20</f>
        <v>0</v>
      </c>
      <c r="O82" s="624">
        <f>+E82*Assum!$J20</f>
        <v>0</v>
      </c>
      <c r="P82" s="624">
        <f>+F82*Assum!$J20</f>
        <v>0</v>
      </c>
      <c r="Q82" s="624">
        <f>+G82*Assum!$J20</f>
        <v>0</v>
      </c>
    </row>
    <row r="83" spans="1:17" ht="26.25" x14ac:dyDescent="0.35">
      <c r="A83" s="572" t="s">
        <v>1139</v>
      </c>
      <c r="B83" s="578" t="s">
        <v>236</v>
      </c>
      <c r="C83" s="613">
        <f>+C$66*Assum!$H21</f>
        <v>0</v>
      </c>
      <c r="D83" s="613">
        <f>+D$66*Assum!$H21</f>
        <v>0</v>
      </c>
      <c r="E83" s="613">
        <f>+E$66*Assum!$H21</f>
        <v>0</v>
      </c>
      <c r="F83" s="613">
        <f>+F$66*Assum!$H21</f>
        <v>0</v>
      </c>
      <c r="G83" s="613">
        <f>+G$66*Assum!$H21</f>
        <v>0</v>
      </c>
      <c r="H83" s="613">
        <f>+C83*Assum!$I21</f>
        <v>0</v>
      </c>
      <c r="I83" s="613">
        <f>+D83*Assum!$I21</f>
        <v>0</v>
      </c>
      <c r="J83" s="613">
        <f>+E83*Assum!$I21</f>
        <v>0</v>
      </c>
      <c r="K83" s="613">
        <f>+F83*Assum!$I21</f>
        <v>0</v>
      </c>
      <c r="L83" s="613">
        <f>+G83*Assum!$I21</f>
        <v>0</v>
      </c>
      <c r="M83" s="624">
        <f>+C83*Assum!$J21</f>
        <v>0</v>
      </c>
      <c r="N83" s="624">
        <f>+D83*Assum!$J21</f>
        <v>0</v>
      </c>
      <c r="O83" s="624">
        <f>+E83*Assum!$J21</f>
        <v>0</v>
      </c>
      <c r="P83" s="624">
        <f>+F83*Assum!$J21</f>
        <v>0</v>
      </c>
      <c r="Q83" s="624">
        <f>+G83*Assum!$J21</f>
        <v>0</v>
      </c>
    </row>
    <row r="84" spans="1:17" x14ac:dyDescent="0.35">
      <c r="A84" s="573" t="s">
        <v>1140</v>
      </c>
      <c r="B84" s="578" t="s">
        <v>236</v>
      </c>
      <c r="C84" s="613">
        <f>+C$66*Assum!$H22</f>
        <v>0.28030741261949632</v>
      </c>
      <c r="D84" s="613">
        <f>+D$66*Assum!$H22</f>
        <v>0.33636889514339563</v>
      </c>
      <c r="E84" s="613">
        <f>+E$66*Assum!$H22</f>
        <v>0.33636889514339563</v>
      </c>
      <c r="F84" s="613">
        <f>+F$66*Assum!$H22</f>
        <v>0.44849186019119414</v>
      </c>
      <c r="G84" s="613">
        <f>+G$66*Assum!$H22</f>
        <v>0.44849186019119414</v>
      </c>
      <c r="H84" s="613">
        <f>+C84*Assum!$I22</f>
        <v>0</v>
      </c>
      <c r="I84" s="613">
        <f>+D84*Assum!$I22</f>
        <v>0</v>
      </c>
      <c r="J84" s="613">
        <f>+E84*Assum!$I22</f>
        <v>0</v>
      </c>
      <c r="K84" s="613">
        <f>+F84*Assum!$I22</f>
        <v>0</v>
      </c>
      <c r="L84" s="613">
        <f>+G84*Assum!$I22</f>
        <v>0</v>
      </c>
      <c r="M84" s="624">
        <f>+C84*Assum!$J22</f>
        <v>0.28030741261949632</v>
      </c>
      <c r="N84" s="624">
        <f>+D84*Assum!$J22</f>
        <v>0.33636889514339563</v>
      </c>
      <c r="O84" s="624">
        <f>+E84*Assum!$J22</f>
        <v>0.33636889514339563</v>
      </c>
      <c r="P84" s="624">
        <f>+F84*Assum!$J22</f>
        <v>0.44849186019119414</v>
      </c>
      <c r="Q84" s="624">
        <f>+G84*Assum!$J22</f>
        <v>0.44849186019119414</v>
      </c>
    </row>
    <row r="85" spans="1:17" x14ac:dyDescent="0.35">
      <c r="A85" s="573" t="s">
        <v>1144</v>
      </c>
      <c r="B85" s="578" t="s">
        <v>236</v>
      </c>
      <c r="C85" s="613">
        <f>+C$66*Assum!$H23</f>
        <v>0.49242957191723191</v>
      </c>
      <c r="D85" s="613">
        <f>+D$66*Assum!$H23</f>
        <v>0.59091548630067836</v>
      </c>
      <c r="E85" s="613">
        <f>+E$66*Assum!$H23</f>
        <v>0.59091548630067836</v>
      </c>
      <c r="F85" s="613">
        <f>+F$66*Assum!$H23</f>
        <v>0.78788731506757104</v>
      </c>
      <c r="G85" s="613">
        <f>+G$66*Assum!$H23</f>
        <v>0.78788731506757104</v>
      </c>
      <c r="H85" s="613">
        <f>+C85*Assum!$I23</f>
        <v>0</v>
      </c>
      <c r="I85" s="613">
        <f>+D85*Assum!$I23</f>
        <v>0</v>
      </c>
      <c r="J85" s="613">
        <f>+E85*Assum!$I23</f>
        <v>0</v>
      </c>
      <c r="K85" s="613">
        <f>+F85*Assum!$I23</f>
        <v>0</v>
      </c>
      <c r="L85" s="613">
        <f>+G85*Assum!$I23</f>
        <v>0</v>
      </c>
      <c r="M85" s="624">
        <f>+C85*Assum!$J23</f>
        <v>0.49242957191723191</v>
      </c>
      <c r="N85" s="624">
        <f>+D85*Assum!$J23</f>
        <v>0.59091548630067836</v>
      </c>
      <c r="O85" s="624">
        <f>+E85*Assum!$J23</f>
        <v>0.59091548630067836</v>
      </c>
      <c r="P85" s="624">
        <f>+F85*Assum!$J23</f>
        <v>0.78788731506757104</v>
      </c>
      <c r="Q85" s="624">
        <f>+G85*Assum!$J23</f>
        <v>0.78788731506757104</v>
      </c>
    </row>
    <row r="86" spans="1:17" x14ac:dyDescent="0.35">
      <c r="A86" s="573" t="s">
        <v>1143</v>
      </c>
      <c r="B86" s="578" t="s">
        <v>236</v>
      </c>
      <c r="C86" s="613">
        <f>+C$66*Assum!$H24</f>
        <v>0.14664364979036104</v>
      </c>
      <c r="D86" s="613">
        <f>+D$66*Assum!$H24</f>
        <v>0.17597237974843327</v>
      </c>
      <c r="E86" s="613">
        <f>+E$66*Assum!$H24</f>
        <v>0.17597237974843327</v>
      </c>
      <c r="F86" s="613">
        <f>+F$66*Assum!$H24</f>
        <v>0.23462983966457768</v>
      </c>
      <c r="G86" s="613">
        <f>+G$66*Assum!$H24</f>
        <v>0.23462983966457768</v>
      </c>
      <c r="H86" s="613">
        <f>+C86*Assum!$I24</f>
        <v>0</v>
      </c>
      <c r="I86" s="613">
        <f>+D86*Assum!$I24</f>
        <v>0</v>
      </c>
      <c r="J86" s="613">
        <f>+E86*Assum!$I24</f>
        <v>0</v>
      </c>
      <c r="K86" s="613">
        <f>+F86*Assum!$I24</f>
        <v>0</v>
      </c>
      <c r="L86" s="613">
        <f>+G86*Assum!$I24</f>
        <v>0</v>
      </c>
      <c r="M86" s="624">
        <f>+C86*Assum!$J24</f>
        <v>0.14664364979036104</v>
      </c>
      <c r="N86" s="624">
        <f>+D86*Assum!$J24</f>
        <v>0.17597237974843327</v>
      </c>
      <c r="O86" s="624">
        <f>+E86*Assum!$J24</f>
        <v>0.17597237974843327</v>
      </c>
      <c r="P86" s="624">
        <f>+F86*Assum!$J24</f>
        <v>0.23462983966457768</v>
      </c>
      <c r="Q86" s="624">
        <f>+G86*Assum!$J24</f>
        <v>0.23462983966457768</v>
      </c>
    </row>
    <row r="87" spans="1:17" ht="39.4" x14ac:dyDescent="0.35">
      <c r="A87" s="572" t="s">
        <v>1111</v>
      </c>
      <c r="B87" s="578" t="s">
        <v>236</v>
      </c>
      <c r="C87" s="613">
        <f>+C$66*Assum!$H25</f>
        <v>0.81663970777495454</v>
      </c>
      <c r="D87" s="613">
        <f>+D$66*Assum!$H25</f>
        <v>0.97996764932994562</v>
      </c>
      <c r="E87" s="613">
        <f>+E$66*Assum!$H25</f>
        <v>0.97996764932994562</v>
      </c>
      <c r="F87" s="613">
        <f>+F$66*Assum!$H25</f>
        <v>1.3066235324399273</v>
      </c>
      <c r="G87" s="613">
        <f>+G$66*Assum!$H25</f>
        <v>1.3066235324399273</v>
      </c>
      <c r="H87" s="613">
        <f>+C87*Assum!$I25</f>
        <v>0</v>
      </c>
      <c r="I87" s="613">
        <f>+D87*Assum!$I25</f>
        <v>0</v>
      </c>
      <c r="J87" s="613">
        <f>+E87*Assum!$I25</f>
        <v>0</v>
      </c>
      <c r="K87" s="613">
        <f>+F87*Assum!$I25</f>
        <v>0</v>
      </c>
      <c r="L87" s="613">
        <f>+G87*Assum!$I25</f>
        <v>0</v>
      </c>
      <c r="M87" s="624">
        <f>+C87*Assum!$J25</f>
        <v>0.81663970777495454</v>
      </c>
      <c r="N87" s="624">
        <f>+D87*Assum!$J25</f>
        <v>0.97996764932994562</v>
      </c>
      <c r="O87" s="624">
        <f>+E87*Assum!$J25</f>
        <v>0.97996764932994562</v>
      </c>
      <c r="P87" s="624">
        <f>+F87*Assum!$J25</f>
        <v>1.3066235324399273</v>
      </c>
      <c r="Q87" s="624">
        <f>+G87*Assum!$J25</f>
        <v>1.3066235324399273</v>
      </c>
    </row>
    <row r="88" spans="1:17" ht="26.25" x14ac:dyDescent="0.35">
      <c r="A88" s="572" t="s">
        <v>1135</v>
      </c>
      <c r="B88" s="578" t="s">
        <v>236</v>
      </c>
      <c r="C88" s="613">
        <f>+C$66*Assum!$H26</f>
        <v>0.30281255260355716</v>
      </c>
      <c r="D88" s="613">
        <f>+D$66*Assum!$H26</f>
        <v>0.36337506312426865</v>
      </c>
      <c r="E88" s="613">
        <f>+E$66*Assum!$H26</f>
        <v>0.36337506312426865</v>
      </c>
      <c r="F88" s="613">
        <f>+F$66*Assum!$H26</f>
        <v>0.48450008416569151</v>
      </c>
      <c r="G88" s="613">
        <f>+G$66*Assum!$H26</f>
        <v>0.48450008416569151</v>
      </c>
      <c r="H88" s="613">
        <f>+C88*Assum!$I26</f>
        <v>0.28149877689981795</v>
      </c>
      <c r="I88" s="613">
        <f>+D88*Assum!$I26</f>
        <v>0.33779853227978163</v>
      </c>
      <c r="J88" s="613">
        <f>+E88*Assum!$I26</f>
        <v>0.33779853227978163</v>
      </c>
      <c r="K88" s="613">
        <f>+F88*Assum!$I26</f>
        <v>0.45039804303970882</v>
      </c>
      <c r="L88" s="613">
        <f>+G88*Assum!$I26</f>
        <v>0.45039804303970882</v>
      </c>
      <c r="M88" s="624">
        <f>+C88*Assum!$J26</f>
        <v>2.1313775703739202E-2</v>
      </c>
      <c r="N88" s="624">
        <f>+D88*Assum!$J26</f>
        <v>2.557653084448705E-2</v>
      </c>
      <c r="O88" s="624">
        <f>+E88*Assum!$J26</f>
        <v>2.557653084448705E-2</v>
      </c>
      <c r="P88" s="624">
        <f>+F88*Assum!$J26</f>
        <v>3.4102041125982731E-2</v>
      </c>
      <c r="Q88" s="624">
        <f>+G88*Assum!$J26</f>
        <v>3.4102041125982731E-2</v>
      </c>
    </row>
    <row r="89" spans="1:17" ht="39.4" x14ac:dyDescent="0.35">
      <c r="A89" s="572" t="s">
        <v>1136</v>
      </c>
      <c r="B89" s="578" t="s">
        <v>236</v>
      </c>
      <c r="C89" s="613">
        <f>+C$66*Assum!$H27</f>
        <v>0</v>
      </c>
      <c r="D89" s="613">
        <f>+D$66*Assum!$H27</f>
        <v>0</v>
      </c>
      <c r="E89" s="613">
        <f>+E$66*Assum!$H27</f>
        <v>0</v>
      </c>
      <c r="F89" s="613">
        <f>+F$66*Assum!$H27</f>
        <v>0</v>
      </c>
      <c r="G89" s="613">
        <f>+G$66*Assum!$H27</f>
        <v>0</v>
      </c>
      <c r="H89" s="613">
        <f>+C89*Assum!$I27</f>
        <v>0</v>
      </c>
      <c r="I89" s="613">
        <f>+D89*Assum!$I27</f>
        <v>0</v>
      </c>
      <c r="J89" s="613">
        <f>+E89*Assum!$I27</f>
        <v>0</v>
      </c>
      <c r="K89" s="613">
        <f>+F89*Assum!$I27</f>
        <v>0</v>
      </c>
      <c r="L89" s="613">
        <f>+G89*Assum!$I27</f>
        <v>0</v>
      </c>
      <c r="M89" s="624">
        <f>+C89*Assum!$J27</f>
        <v>0</v>
      </c>
      <c r="N89" s="624">
        <f>+D89*Assum!$J27</f>
        <v>0</v>
      </c>
      <c r="O89" s="624">
        <f>+E89*Assum!$J27</f>
        <v>0</v>
      </c>
      <c r="P89" s="624">
        <f>+F89*Assum!$J27</f>
        <v>0</v>
      </c>
      <c r="Q89" s="624">
        <f>+G89*Assum!$J27</f>
        <v>0</v>
      </c>
    </row>
    <row r="90" spans="1:17" ht="26.25" x14ac:dyDescent="0.4">
      <c r="A90" s="574" t="s">
        <v>1142</v>
      </c>
      <c r="B90" s="578" t="s">
        <v>236</v>
      </c>
      <c r="C90" s="613">
        <f>+C$66*Assum!$H28</f>
        <v>1.6990259193169727E-2</v>
      </c>
      <c r="D90" s="613">
        <f>+D$66*Assum!$H28</f>
        <v>2.0388311031803674E-2</v>
      </c>
      <c r="E90" s="613">
        <f>+E$66*Assum!$H28</f>
        <v>2.0388311031803674E-2</v>
      </c>
      <c r="F90" s="613">
        <f>+F$66*Assum!$H28</f>
        <v>2.7184414709071562E-2</v>
      </c>
      <c r="G90" s="613">
        <f>+G$66*Assum!$H28</f>
        <v>2.7184414709071562E-2</v>
      </c>
      <c r="H90" s="613">
        <f>+C90*Assum!$I28</f>
        <v>0</v>
      </c>
      <c r="I90" s="613">
        <f>+D90*Assum!$I28</f>
        <v>0</v>
      </c>
      <c r="J90" s="613">
        <f>+E90*Assum!$I28</f>
        <v>0</v>
      </c>
      <c r="K90" s="613">
        <f>+F90*Assum!$I28</f>
        <v>0</v>
      </c>
      <c r="L90" s="613">
        <f>+G90*Assum!$I28</f>
        <v>0</v>
      </c>
      <c r="M90" s="624">
        <f>+C90*Assum!$J28</f>
        <v>1.6990259193169727E-2</v>
      </c>
      <c r="N90" s="624">
        <f>+D90*Assum!$J28</f>
        <v>2.0388311031803674E-2</v>
      </c>
      <c r="O90" s="624">
        <f>+E90*Assum!$J28</f>
        <v>2.0388311031803674E-2</v>
      </c>
      <c r="P90" s="624">
        <f>+F90*Assum!$J28</f>
        <v>2.7184414709071562E-2</v>
      </c>
      <c r="Q90" s="624">
        <f>+G90*Assum!$J28</f>
        <v>2.7184414709071562E-2</v>
      </c>
    </row>
    <row r="91" spans="1:17" x14ac:dyDescent="0.35">
      <c r="A91" s="571" t="s">
        <v>162</v>
      </c>
      <c r="B91" s="578" t="s">
        <v>236</v>
      </c>
      <c r="C91" s="614">
        <f t="shared" ref="C91:Q91" si="42">SUM(C78:C90)</f>
        <v>9.2323776379021467</v>
      </c>
      <c r="D91" s="614">
        <f t="shared" si="42"/>
        <v>11.078853165482577</v>
      </c>
      <c r="E91" s="614">
        <f t="shared" si="42"/>
        <v>11.078853165482577</v>
      </c>
      <c r="F91" s="614">
        <f t="shared" si="42"/>
        <v>14.771804220643432</v>
      </c>
      <c r="G91" s="614">
        <f t="shared" si="42"/>
        <v>14.771804220643432</v>
      </c>
      <c r="H91" s="614">
        <f t="shared" si="42"/>
        <v>0.28149877689981795</v>
      </c>
      <c r="I91" s="614">
        <f t="shared" si="42"/>
        <v>0.33779853227978163</v>
      </c>
      <c r="J91" s="614">
        <f t="shared" si="42"/>
        <v>0.33779853227978163</v>
      </c>
      <c r="K91" s="614">
        <f t="shared" si="42"/>
        <v>0.45039804303970882</v>
      </c>
      <c r="L91" s="614">
        <f t="shared" si="42"/>
        <v>0.45039804303970882</v>
      </c>
      <c r="M91" s="626">
        <f t="shared" si="42"/>
        <v>8.9508788610023284</v>
      </c>
      <c r="N91" s="626">
        <f t="shared" si="42"/>
        <v>10.741054633202797</v>
      </c>
      <c r="O91" s="626">
        <f t="shared" si="42"/>
        <v>10.741054633202797</v>
      </c>
      <c r="P91" s="626">
        <f t="shared" si="42"/>
        <v>14.321406177603723</v>
      </c>
      <c r="Q91" s="626">
        <f t="shared" si="42"/>
        <v>14.321406177603723</v>
      </c>
    </row>
    <row r="92" spans="1:17" x14ac:dyDescent="0.35">
      <c r="A92" s="575"/>
      <c r="C92" s="601"/>
      <c r="D92" s="601"/>
      <c r="E92" s="601"/>
      <c r="F92" s="601"/>
      <c r="G92" s="601"/>
      <c r="H92" s="601"/>
      <c r="I92" s="601"/>
      <c r="J92" s="601"/>
      <c r="K92" s="601"/>
      <c r="L92" s="601"/>
      <c r="M92" s="624"/>
      <c r="N92" s="624"/>
      <c r="O92" s="624"/>
      <c r="P92" s="624"/>
      <c r="Q92" s="624"/>
    </row>
    <row r="93" spans="1:17" x14ac:dyDescent="0.35">
      <c r="A93" s="43" t="s">
        <v>164</v>
      </c>
      <c r="B93" s="578" t="s">
        <v>236</v>
      </c>
      <c r="C93" s="614">
        <f t="shared" ref="C93:Q93" si="43">+C91+C75</f>
        <v>140.43273499999998</v>
      </c>
      <c r="D93" s="614">
        <f t="shared" si="43"/>
        <v>174.56759899999994</v>
      </c>
      <c r="E93" s="614">
        <f t="shared" si="43"/>
        <v>215.14139900000001</v>
      </c>
      <c r="F93" s="614">
        <f t="shared" si="43"/>
        <v>259.71479899999997</v>
      </c>
      <c r="G93" s="614">
        <f t="shared" si="43"/>
        <v>280.73879899999997</v>
      </c>
      <c r="H93" s="614">
        <f t="shared" si="43"/>
        <v>130.70431308230462</v>
      </c>
      <c r="I93" s="614">
        <f t="shared" si="43"/>
        <v>162.9304524987655</v>
      </c>
      <c r="J93" s="614">
        <f t="shared" si="43"/>
        <v>203.50425249876557</v>
      </c>
      <c r="K93" s="614">
        <f t="shared" si="43"/>
        <v>244.26020333168742</v>
      </c>
      <c r="L93" s="614">
        <f t="shared" si="43"/>
        <v>265.28420333168742</v>
      </c>
      <c r="M93" s="626">
        <f t="shared" si="43"/>
        <v>9.7284219176953552</v>
      </c>
      <c r="N93" s="626">
        <f t="shared" si="43"/>
        <v>11.63714650123443</v>
      </c>
      <c r="O93" s="626">
        <f t="shared" si="43"/>
        <v>11.63714650123443</v>
      </c>
      <c r="P93" s="626">
        <f t="shared" si="43"/>
        <v>15.454595668312564</v>
      </c>
      <c r="Q93" s="626">
        <f t="shared" si="43"/>
        <v>15.454595668312564</v>
      </c>
    </row>
    <row r="94" spans="1:17" x14ac:dyDescent="0.35">
      <c r="C94" s="611">
        <f>+C93-H93-M93</f>
        <v>0</v>
      </c>
      <c r="D94" s="611">
        <f>+D93-I93-N93</f>
        <v>0</v>
      </c>
      <c r="E94" s="611">
        <f>+E93-J93-O93</f>
        <v>0</v>
      </c>
      <c r="F94" s="611">
        <f>+F93-K93-P93</f>
        <v>-1.4210854715202004E-14</v>
      </c>
      <c r="G94" s="611">
        <f>+G93-L93-Q93</f>
        <v>-1.4210854715202004E-14</v>
      </c>
      <c r="H94" s="609">
        <f>+'F1 SEZ'!J34-H93</f>
        <v>0</v>
      </c>
      <c r="I94" s="609">
        <f>+'F1 SEZ'!K34-I93</f>
        <v>0</v>
      </c>
      <c r="J94" s="609">
        <f>+'F1 SEZ'!L34-J93</f>
        <v>0</v>
      </c>
      <c r="K94" s="609">
        <f>+'F1 SEZ'!M34-K93</f>
        <v>0</v>
      </c>
      <c r="L94" s="609">
        <f>+'F1 SEZ'!N34-L93</f>
        <v>0</v>
      </c>
    </row>
    <row r="95" spans="1:17" x14ac:dyDescent="0.35">
      <c r="N95" s="611"/>
      <c r="O95" s="611"/>
    </row>
  </sheetData>
  <mergeCells count="5">
    <mergeCell ref="A2:N2"/>
    <mergeCell ref="Q2:AD2"/>
    <mergeCell ref="C69:G69"/>
    <mergeCell ref="H69:L69"/>
    <mergeCell ref="M69:Q69"/>
  </mergeCells>
  <printOptions horizontalCentered="1"/>
  <pageMargins left="0.70866141732283472" right="0.70866141732283472" top="0.74803149606299213" bottom="0.74803149606299213" header="0.31496062992125984" footer="0.31496062992125984"/>
  <pageSetup scale="58" orientation="portrait" r:id="rId1"/>
  <colBreaks count="1" manualBreakCount="1">
    <brk id="15"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B389"/>
  <sheetViews>
    <sheetView showGridLines="0" view="pageBreakPreview" zoomScale="60" zoomScaleNormal="80" workbookViewId="0">
      <selection activeCell="J375" sqref="J375"/>
    </sheetView>
  </sheetViews>
  <sheetFormatPr defaultColWidth="9.1328125" defaultRowHeight="12.75" x14ac:dyDescent="0.35"/>
  <cols>
    <col min="1" max="1" width="4.46484375" style="405" customWidth="1"/>
    <col min="2" max="2" width="8.33203125" style="405" customWidth="1"/>
    <col min="3" max="3" width="46.46484375" style="405" customWidth="1"/>
    <col min="4" max="4" width="25.1328125" style="405" customWidth="1"/>
    <col min="5" max="7" width="17.86328125" style="405" customWidth="1"/>
    <col min="8" max="8" width="16.6640625" style="405" customWidth="1"/>
    <col min="9" max="10" width="15.46484375" style="405" customWidth="1"/>
    <col min="11" max="11" width="15.33203125" style="405" customWidth="1"/>
    <col min="12" max="12" width="14.46484375" style="405" customWidth="1"/>
    <col min="13" max="13" width="14.6640625" style="405" customWidth="1"/>
    <col min="14" max="14" width="16.86328125" style="405" customWidth="1"/>
    <col min="15" max="15" width="13.33203125" style="405" customWidth="1"/>
    <col min="16" max="16" width="14.86328125" style="405" customWidth="1"/>
    <col min="17" max="17" width="12.86328125" style="405" customWidth="1"/>
    <col min="18" max="18" width="14.46484375" style="405" customWidth="1"/>
    <col min="19" max="19" width="16" style="405" customWidth="1"/>
    <col min="20" max="20" width="12.6640625" style="405" customWidth="1"/>
    <col min="21" max="21" width="14" style="405" customWidth="1"/>
    <col min="22" max="24" width="12.6640625" style="405" customWidth="1"/>
    <col min="25" max="25" width="15.33203125" style="405" customWidth="1"/>
    <col min="26" max="26" width="12.46484375" style="405" customWidth="1"/>
    <col min="27" max="28" width="13.46484375" style="405" customWidth="1"/>
    <col min="29" max="31" width="9.1328125" style="405"/>
    <col min="32" max="32" width="11.33203125" style="405" customWidth="1"/>
    <col min="33" max="16384" width="9.1328125" style="405"/>
  </cols>
  <sheetData>
    <row r="1" spans="2:28" ht="15.75" customHeight="1" x14ac:dyDescent="0.35"/>
    <row r="2" spans="2:28" ht="15" customHeight="1" x14ac:dyDescent="0.35">
      <c r="B2" s="2019" t="str">
        <f>Index!B2</f>
        <v>Nidar Utilities Panvel LLP</v>
      </c>
      <c r="C2" s="2019"/>
      <c r="D2" s="2019"/>
      <c r="E2" s="2019"/>
      <c r="F2" s="2019"/>
      <c r="G2" s="2019"/>
      <c r="H2" s="2019"/>
      <c r="I2" s="2019"/>
      <c r="J2" s="2019"/>
      <c r="K2" s="2019"/>
      <c r="L2" s="2019"/>
      <c r="M2" s="2019"/>
      <c r="N2" s="2019"/>
      <c r="O2" s="2019"/>
    </row>
    <row r="3" spans="2:28" ht="15" customHeight="1" x14ac:dyDescent="0.35">
      <c r="B3" s="2020" t="s">
        <v>340</v>
      </c>
      <c r="C3" s="2020"/>
      <c r="D3" s="2020"/>
      <c r="E3" s="2020"/>
      <c r="F3" s="2020"/>
      <c r="G3" s="2020"/>
      <c r="H3" s="2020"/>
      <c r="I3" s="2020"/>
      <c r="J3" s="2020"/>
      <c r="K3" s="2020"/>
      <c r="L3" s="2020"/>
      <c r="M3" s="2020"/>
      <c r="N3" s="2020"/>
      <c r="O3" s="2020"/>
    </row>
    <row r="4" spans="2:28" ht="15" customHeight="1" x14ac:dyDescent="0.35">
      <c r="B4" s="2021" t="s">
        <v>506</v>
      </c>
      <c r="C4" s="2021"/>
      <c r="D4" s="2021"/>
      <c r="E4" s="2021"/>
      <c r="F4" s="2021"/>
      <c r="G4" s="2021"/>
      <c r="H4" s="2021"/>
      <c r="I4" s="2021"/>
      <c r="J4" s="2021"/>
      <c r="K4" s="2021"/>
      <c r="L4" s="2021"/>
      <c r="M4" s="2021"/>
      <c r="N4" s="2021"/>
      <c r="O4" s="2021"/>
    </row>
    <row r="5" spans="2:28" x14ac:dyDescent="0.35">
      <c r="C5" s="994"/>
      <c r="D5" s="994"/>
      <c r="E5" s="994"/>
      <c r="F5" s="994"/>
      <c r="G5" s="994"/>
      <c r="H5" s="995"/>
      <c r="I5" s="460"/>
      <c r="J5" s="460"/>
      <c r="K5" s="460"/>
      <c r="L5" s="460"/>
      <c r="M5" s="460"/>
      <c r="N5" s="460"/>
      <c r="O5" s="460"/>
      <c r="P5" s="460"/>
      <c r="Q5" s="460"/>
      <c r="R5" s="460"/>
      <c r="S5" s="460"/>
      <c r="T5" s="460"/>
      <c r="U5" s="460"/>
      <c r="V5" s="460"/>
      <c r="W5" s="460"/>
      <c r="X5" s="460"/>
      <c r="Y5" s="460"/>
      <c r="Z5" s="460"/>
      <c r="AA5" s="460"/>
      <c r="AB5" s="460"/>
    </row>
    <row r="6" spans="2:28" x14ac:dyDescent="0.35">
      <c r="D6" s="994"/>
      <c r="E6" s="994"/>
      <c r="F6" s="994"/>
      <c r="G6" s="994"/>
      <c r="H6" s="995"/>
      <c r="I6" s="460"/>
      <c r="J6" s="460"/>
      <c r="K6" s="460"/>
      <c r="L6" s="460"/>
      <c r="M6" s="460"/>
      <c r="N6" s="460"/>
      <c r="O6" s="460"/>
      <c r="P6" s="460"/>
      <c r="Q6" s="460"/>
      <c r="R6" s="460"/>
      <c r="S6" s="460"/>
      <c r="T6" s="460"/>
      <c r="U6" s="460"/>
      <c r="V6" s="460"/>
      <c r="W6" s="460"/>
      <c r="X6" s="460"/>
      <c r="Y6" s="460"/>
      <c r="Z6" s="460"/>
      <c r="AA6" s="460"/>
      <c r="AB6" s="460"/>
    </row>
    <row r="7" spans="2:28" x14ac:dyDescent="0.35">
      <c r="C7" s="995" t="s">
        <v>458</v>
      </c>
      <c r="D7" s="994"/>
      <c r="E7" s="994"/>
      <c r="F7" s="994"/>
      <c r="G7" s="994"/>
      <c r="H7" s="995"/>
      <c r="I7" s="460"/>
      <c r="J7" s="460"/>
      <c r="K7" s="460"/>
      <c r="L7" s="460"/>
      <c r="M7" s="460"/>
      <c r="N7" s="460"/>
      <c r="O7" s="460"/>
      <c r="P7" s="460"/>
      <c r="Q7" s="460"/>
      <c r="R7" s="460"/>
      <c r="S7" s="460"/>
      <c r="T7" s="460"/>
      <c r="U7" s="460"/>
      <c r="V7" s="460"/>
      <c r="W7" s="460"/>
      <c r="X7" s="460"/>
      <c r="Y7" s="460"/>
      <c r="Z7" s="460"/>
      <c r="AA7" s="460"/>
      <c r="AB7" s="460"/>
    </row>
    <row r="8" spans="2:28" ht="15.75" customHeight="1" x14ac:dyDescent="0.35">
      <c r="C8" s="415"/>
      <c r="D8" s="415"/>
      <c r="E8" s="415"/>
      <c r="F8" s="415"/>
      <c r="G8" s="415"/>
      <c r="H8" s="415"/>
      <c r="I8" s="1054"/>
      <c r="J8" s="1054"/>
      <c r="K8" s="1054"/>
      <c r="L8" s="1054"/>
      <c r="M8" s="1054"/>
      <c r="O8" s="415" t="s">
        <v>110</v>
      </c>
      <c r="P8" s="460"/>
      <c r="Q8" s="460"/>
      <c r="R8" s="460"/>
      <c r="S8" s="460"/>
      <c r="T8" s="460"/>
      <c r="U8" s="460"/>
      <c r="V8" s="460"/>
      <c r="W8" s="460"/>
      <c r="X8" s="460"/>
      <c r="Y8" s="460"/>
      <c r="Z8" s="460"/>
      <c r="AA8" s="460"/>
      <c r="AB8" s="460"/>
    </row>
    <row r="9" spans="2:28" ht="25.5" customHeight="1" x14ac:dyDescent="0.35">
      <c r="B9" s="2027" t="s">
        <v>1</v>
      </c>
      <c r="C9" s="2027" t="s">
        <v>459</v>
      </c>
      <c r="D9" s="997" t="s">
        <v>461</v>
      </c>
      <c r="E9" s="2027" t="s">
        <v>462</v>
      </c>
      <c r="F9" s="2027" t="s">
        <v>1433</v>
      </c>
      <c r="G9" s="2027" t="s">
        <v>508</v>
      </c>
      <c r="H9" s="2027" t="s">
        <v>509</v>
      </c>
      <c r="I9" s="2027" t="s">
        <v>510</v>
      </c>
      <c r="J9" s="2027" t="s">
        <v>511</v>
      </c>
      <c r="K9" s="2045" t="s">
        <v>512</v>
      </c>
      <c r="L9" s="2046"/>
      <c r="M9" s="2046"/>
      <c r="N9" s="2047"/>
      <c r="O9" s="997" t="s">
        <v>513</v>
      </c>
      <c r="P9" s="460"/>
      <c r="Q9" s="460"/>
      <c r="T9" s="415"/>
      <c r="U9" s="415"/>
      <c r="V9" s="415"/>
      <c r="W9" s="415"/>
      <c r="X9" s="415"/>
      <c r="Y9" s="460"/>
      <c r="Z9" s="460"/>
      <c r="AA9" s="460"/>
    </row>
    <row r="10" spans="2:28" ht="12.6" customHeight="1" x14ac:dyDescent="0.35">
      <c r="B10" s="2039"/>
      <c r="C10" s="2039"/>
      <c r="D10" s="999"/>
      <c r="E10" s="2039"/>
      <c r="F10" s="2039"/>
      <c r="G10" s="2039"/>
      <c r="H10" s="2039"/>
      <c r="I10" s="2039"/>
      <c r="J10" s="2039"/>
      <c r="K10" s="2048"/>
      <c r="L10" s="2049"/>
      <c r="M10" s="2049"/>
      <c r="N10" s="2050"/>
      <c r="O10" s="2039"/>
    </row>
    <row r="11" spans="2:28" ht="25.5" x14ac:dyDescent="0.35">
      <c r="B11" s="2028"/>
      <c r="C11" s="2028"/>
      <c r="D11" s="1000"/>
      <c r="E11" s="2028"/>
      <c r="F11" s="2028"/>
      <c r="G11" s="2028"/>
      <c r="H11" s="2028"/>
      <c r="I11" s="2028"/>
      <c r="J11" s="2028"/>
      <c r="K11" s="1034" t="s">
        <v>514</v>
      </c>
      <c r="L11" s="1034" t="s">
        <v>515</v>
      </c>
      <c r="M11" s="1034" t="s">
        <v>516</v>
      </c>
      <c r="N11" s="1034" t="s">
        <v>517</v>
      </c>
      <c r="O11" s="2028"/>
    </row>
    <row r="12" spans="2:28" x14ac:dyDescent="0.35">
      <c r="C12" s="996" t="s">
        <v>109</v>
      </c>
    </row>
    <row r="13" spans="2:28" hidden="1" x14ac:dyDescent="0.35">
      <c r="B13" s="779"/>
      <c r="C13" s="779" t="s">
        <v>1277</v>
      </c>
      <c r="D13" s="779"/>
      <c r="E13" s="779"/>
      <c r="F13" s="778"/>
      <c r="G13" s="778"/>
      <c r="H13" s="778"/>
      <c r="I13" s="778"/>
      <c r="J13" s="778"/>
      <c r="K13" s="778"/>
      <c r="L13" s="778"/>
      <c r="M13" s="778"/>
      <c r="N13" s="778"/>
      <c r="O13" s="778"/>
    </row>
    <row r="14" spans="2:28" hidden="1" x14ac:dyDescent="0.35">
      <c r="B14" s="779"/>
      <c r="C14" s="1006" t="s">
        <v>476</v>
      </c>
      <c r="D14" s="1006"/>
      <c r="E14" s="1006"/>
      <c r="F14" s="778"/>
      <c r="G14" s="778"/>
      <c r="H14" s="778"/>
      <c r="I14" s="778"/>
      <c r="J14" s="778"/>
      <c r="K14" s="778"/>
      <c r="L14" s="778"/>
      <c r="M14" s="778"/>
      <c r="N14" s="778"/>
      <c r="O14" s="778"/>
    </row>
    <row r="15" spans="2:28" hidden="1" x14ac:dyDescent="0.35">
      <c r="B15" s="779"/>
      <c r="C15" s="1007" t="s">
        <v>477</v>
      </c>
      <c r="D15" s="1007"/>
      <c r="E15" s="1007"/>
      <c r="F15" s="778"/>
      <c r="G15" s="778"/>
      <c r="H15" s="778"/>
      <c r="I15" s="778"/>
      <c r="J15" s="778"/>
      <c r="K15" s="778"/>
      <c r="L15" s="778"/>
      <c r="M15" s="778"/>
      <c r="N15" s="778"/>
      <c r="O15" s="778"/>
    </row>
    <row r="16" spans="2:28" hidden="1" x14ac:dyDescent="0.35">
      <c r="B16" s="779"/>
      <c r="C16" s="1008"/>
      <c r="D16" s="1003"/>
      <c r="E16" s="1010"/>
      <c r="F16" s="778"/>
      <c r="G16" s="778"/>
      <c r="H16" s="778"/>
      <c r="I16" s="778"/>
      <c r="J16" s="778"/>
      <c r="K16" s="778"/>
      <c r="L16" s="778"/>
      <c r="M16" s="778"/>
      <c r="N16" s="778"/>
      <c r="O16" s="778"/>
    </row>
    <row r="17" spans="2:15" hidden="1" x14ac:dyDescent="0.35">
      <c r="B17" s="779"/>
      <c r="C17" s="1008"/>
      <c r="D17" s="1003"/>
      <c r="E17" s="1010"/>
      <c r="F17" s="778"/>
      <c r="G17" s="778"/>
      <c r="H17" s="778"/>
      <c r="I17" s="778"/>
      <c r="J17" s="778"/>
      <c r="K17" s="778"/>
      <c r="L17" s="778"/>
      <c r="M17" s="778"/>
      <c r="N17" s="778"/>
      <c r="O17" s="778"/>
    </row>
    <row r="18" spans="2:15" hidden="1" x14ac:dyDescent="0.35">
      <c r="B18" s="779"/>
      <c r="C18" s="1008"/>
      <c r="D18" s="1003"/>
      <c r="E18" s="1010"/>
      <c r="F18" s="778"/>
      <c r="G18" s="778"/>
      <c r="H18" s="778"/>
      <c r="I18" s="778"/>
      <c r="J18" s="702"/>
      <c r="K18" s="702"/>
      <c r="L18" s="702"/>
      <c r="M18" s="702"/>
      <c r="N18" s="702"/>
      <c r="O18" s="778"/>
    </row>
    <row r="19" spans="2:15" hidden="1" x14ac:dyDescent="0.35">
      <c r="B19" s="779"/>
      <c r="C19" s="778" t="s">
        <v>239</v>
      </c>
      <c r="D19" s="778"/>
      <c r="E19" s="778"/>
      <c r="F19" s="778"/>
      <c r="G19" s="778"/>
      <c r="H19" s="778"/>
      <c r="I19" s="778"/>
      <c r="J19" s="778"/>
      <c r="K19" s="778"/>
      <c r="L19" s="778"/>
      <c r="M19" s="778"/>
      <c r="N19" s="778"/>
      <c r="O19" s="778"/>
    </row>
    <row r="20" spans="2:15" hidden="1" x14ac:dyDescent="0.35">
      <c r="B20" s="779"/>
      <c r="C20" s="1007" t="s">
        <v>478</v>
      </c>
      <c r="D20" s="1007"/>
      <c r="E20" s="1007"/>
      <c r="F20" s="778"/>
      <c r="G20" s="778"/>
      <c r="H20" s="778"/>
      <c r="I20" s="778"/>
      <c r="J20" s="778"/>
      <c r="K20" s="778"/>
      <c r="L20" s="778"/>
      <c r="M20" s="778"/>
      <c r="N20" s="778"/>
      <c r="O20" s="778"/>
    </row>
    <row r="21" spans="2:15" hidden="1" x14ac:dyDescent="0.35">
      <c r="B21" s="779"/>
      <c r="C21" s="778" t="s">
        <v>239</v>
      </c>
      <c r="D21" s="778"/>
      <c r="E21" s="778"/>
      <c r="F21" s="778"/>
      <c r="G21" s="778"/>
      <c r="H21" s="778"/>
      <c r="I21" s="778"/>
      <c r="J21" s="778"/>
      <c r="K21" s="778"/>
      <c r="L21" s="778"/>
      <c r="M21" s="778"/>
      <c r="N21" s="778"/>
      <c r="O21" s="778"/>
    </row>
    <row r="22" spans="2:15" hidden="1" x14ac:dyDescent="0.35">
      <c r="B22" s="779"/>
      <c r="C22" s="778" t="s">
        <v>239</v>
      </c>
      <c r="D22" s="778"/>
      <c r="E22" s="778"/>
      <c r="F22" s="778"/>
      <c r="G22" s="778"/>
      <c r="H22" s="778"/>
      <c r="I22" s="778"/>
      <c r="J22" s="778"/>
      <c r="K22" s="778"/>
      <c r="L22" s="778"/>
      <c r="M22" s="778"/>
      <c r="N22" s="778"/>
      <c r="O22" s="778"/>
    </row>
    <row r="23" spans="2:15" hidden="1" x14ac:dyDescent="0.35">
      <c r="B23" s="779"/>
      <c r="C23" s="779" t="s">
        <v>479</v>
      </c>
      <c r="D23" s="779"/>
      <c r="E23" s="779"/>
      <c r="F23" s="778"/>
      <c r="G23" s="778"/>
      <c r="H23" s="778"/>
      <c r="I23" s="778"/>
      <c r="J23" s="778"/>
      <c r="K23" s="778"/>
      <c r="L23" s="778"/>
      <c r="M23" s="778"/>
      <c r="N23" s="778"/>
      <c r="O23" s="778"/>
    </row>
    <row r="24" spans="2:15" hidden="1" x14ac:dyDescent="0.35">
      <c r="B24" s="779"/>
      <c r="C24" s="1008"/>
      <c r="D24" s="779"/>
      <c r="E24" s="779"/>
      <c r="F24" s="778"/>
      <c r="G24" s="778"/>
      <c r="H24" s="778"/>
      <c r="I24" s="778"/>
      <c r="J24" s="778"/>
      <c r="K24" s="778"/>
      <c r="L24" s="778"/>
      <c r="M24" s="778"/>
      <c r="N24" s="778"/>
      <c r="O24" s="778"/>
    </row>
    <row r="25" spans="2:15" hidden="1" x14ac:dyDescent="0.35">
      <c r="B25" s="779"/>
      <c r="C25" s="1055"/>
      <c r="D25" s="779"/>
      <c r="E25" s="779"/>
      <c r="F25" s="778"/>
      <c r="G25" s="778"/>
      <c r="H25" s="778"/>
      <c r="I25" s="778"/>
      <c r="J25" s="778"/>
      <c r="K25" s="778"/>
      <c r="L25" s="778"/>
      <c r="M25" s="778"/>
      <c r="N25" s="778"/>
      <c r="O25" s="778"/>
    </row>
    <row r="26" spans="2:15" hidden="1" x14ac:dyDescent="0.35">
      <c r="B26" s="779"/>
      <c r="C26" s="1025"/>
      <c r="D26" s="779"/>
      <c r="E26" s="779"/>
      <c r="F26" s="778"/>
      <c r="G26" s="778"/>
      <c r="H26" s="778"/>
      <c r="I26" s="778"/>
      <c r="J26" s="778"/>
      <c r="K26" s="778"/>
      <c r="L26" s="778"/>
      <c r="M26" s="778"/>
      <c r="N26" s="778"/>
      <c r="O26" s="778"/>
    </row>
    <row r="27" spans="2:15" hidden="1" x14ac:dyDescent="0.35">
      <c r="B27" s="779"/>
      <c r="C27" s="1055"/>
      <c r="D27" s="779"/>
      <c r="E27" s="779"/>
      <c r="F27" s="778"/>
      <c r="G27" s="778"/>
      <c r="H27" s="778"/>
      <c r="I27" s="778"/>
      <c r="J27" s="778"/>
      <c r="K27" s="778"/>
      <c r="L27" s="778"/>
      <c r="M27" s="778"/>
      <c r="N27" s="778"/>
      <c r="O27" s="778"/>
    </row>
    <row r="28" spans="2:15" hidden="1" x14ac:dyDescent="0.35">
      <c r="B28" s="779"/>
      <c r="C28" s="1025"/>
      <c r="D28" s="779"/>
      <c r="E28" s="779"/>
      <c r="F28" s="778"/>
      <c r="G28" s="778"/>
      <c r="H28" s="778"/>
      <c r="I28" s="778"/>
      <c r="J28" s="778"/>
      <c r="K28" s="778"/>
      <c r="L28" s="778"/>
      <c r="M28" s="778"/>
      <c r="N28" s="778"/>
      <c r="O28" s="778"/>
    </row>
    <row r="29" spans="2:15" hidden="1" x14ac:dyDescent="0.35">
      <c r="B29" s="779"/>
      <c r="C29" s="1026"/>
      <c r="D29" s="778"/>
      <c r="E29" s="778"/>
      <c r="F29" s="778"/>
      <c r="G29" s="778"/>
      <c r="H29" s="778"/>
      <c r="I29" s="778"/>
      <c r="J29" s="778"/>
      <c r="K29" s="778"/>
      <c r="L29" s="778"/>
      <c r="M29" s="778"/>
      <c r="N29" s="778"/>
      <c r="O29" s="778"/>
    </row>
    <row r="30" spans="2:15" hidden="1" x14ac:dyDescent="0.35">
      <c r="B30" s="779"/>
      <c r="C30" s="1026"/>
      <c r="D30" s="778"/>
      <c r="E30" s="778"/>
      <c r="F30" s="778"/>
      <c r="G30" s="778"/>
      <c r="H30" s="778"/>
      <c r="I30" s="778"/>
      <c r="J30" s="778"/>
      <c r="K30" s="778"/>
      <c r="L30" s="778"/>
      <c r="M30" s="778"/>
      <c r="N30" s="778"/>
      <c r="O30" s="778"/>
    </row>
    <row r="31" spans="2:15" hidden="1" x14ac:dyDescent="0.35">
      <c r="B31" s="779"/>
      <c r="C31" s="778"/>
      <c r="D31" s="778"/>
      <c r="E31" s="778"/>
      <c r="F31" s="778"/>
      <c r="G31" s="778"/>
      <c r="H31" s="778"/>
      <c r="I31" s="778"/>
      <c r="J31" s="778"/>
      <c r="K31" s="778"/>
      <c r="L31" s="778"/>
      <c r="M31" s="778"/>
      <c r="N31" s="778"/>
      <c r="O31" s="778"/>
    </row>
    <row r="32" spans="2:15" hidden="1" x14ac:dyDescent="0.35">
      <c r="B32" s="779"/>
      <c r="C32" s="779" t="s">
        <v>195</v>
      </c>
      <c r="D32" s="779"/>
      <c r="E32" s="779"/>
      <c r="F32" s="778"/>
      <c r="G32" s="778"/>
      <c r="H32" s="778"/>
      <c r="I32" s="778"/>
      <c r="J32" s="778"/>
      <c r="K32" s="778"/>
      <c r="L32" s="778"/>
      <c r="M32" s="778"/>
      <c r="N32" s="778"/>
      <c r="O32" s="778"/>
    </row>
    <row r="33" spans="2:15" hidden="1" x14ac:dyDescent="0.35">
      <c r="B33" s="779"/>
      <c r="C33" s="1006" t="s">
        <v>476</v>
      </c>
      <c r="D33" s="1006"/>
      <c r="E33" s="1006"/>
      <c r="F33" s="778"/>
      <c r="G33" s="778"/>
      <c r="H33" s="778"/>
      <c r="I33" s="778"/>
      <c r="J33" s="778"/>
      <c r="K33" s="778"/>
      <c r="L33" s="778"/>
      <c r="M33" s="778"/>
      <c r="N33" s="778"/>
      <c r="O33" s="778"/>
    </row>
    <row r="34" spans="2:15" hidden="1" x14ac:dyDescent="0.35">
      <c r="B34" s="779"/>
      <c r="C34" s="1007" t="s">
        <v>477</v>
      </c>
      <c r="D34" s="1007"/>
      <c r="E34" s="1007"/>
      <c r="F34" s="778"/>
      <c r="G34" s="778"/>
      <c r="H34" s="778"/>
      <c r="I34" s="778"/>
      <c r="J34" s="778"/>
      <c r="K34" s="778"/>
      <c r="L34" s="778"/>
      <c r="M34" s="778"/>
      <c r="N34" s="778"/>
      <c r="O34" s="778"/>
    </row>
    <row r="35" spans="2:15" hidden="1" x14ac:dyDescent="0.35">
      <c r="B35" s="779"/>
      <c r="C35" s="1008"/>
      <c r="D35" s="1003"/>
      <c r="E35" s="1010"/>
      <c r="F35" s="778"/>
      <c r="G35" s="778"/>
      <c r="H35" s="778"/>
      <c r="I35" s="778"/>
      <c r="J35" s="778"/>
      <c r="K35" s="778"/>
      <c r="L35" s="778"/>
      <c r="M35" s="778"/>
      <c r="N35" s="778"/>
      <c r="O35" s="778"/>
    </row>
    <row r="36" spans="2:15" hidden="1" x14ac:dyDescent="0.35">
      <c r="B36" s="779"/>
      <c r="C36" s="1008"/>
      <c r="D36" s="1003"/>
      <c r="E36" s="1010"/>
      <c r="F36" s="778"/>
      <c r="G36" s="778"/>
      <c r="H36" s="778"/>
      <c r="I36" s="778"/>
      <c r="J36" s="778"/>
      <c r="K36" s="778"/>
      <c r="L36" s="778"/>
      <c r="M36" s="778"/>
      <c r="N36" s="778"/>
      <c r="O36" s="778"/>
    </row>
    <row r="37" spans="2:15" hidden="1" x14ac:dyDescent="0.35">
      <c r="B37" s="779"/>
      <c r="C37" s="1008"/>
      <c r="D37" s="1003"/>
      <c r="E37" s="1010"/>
      <c r="F37" s="778"/>
      <c r="G37" s="778"/>
      <c r="H37" s="778"/>
      <c r="I37" s="778"/>
      <c r="J37" s="702"/>
      <c r="K37" s="702"/>
      <c r="L37" s="778"/>
      <c r="M37" s="778"/>
      <c r="N37" s="702"/>
      <c r="O37" s="778"/>
    </row>
    <row r="38" spans="2:15" hidden="1" x14ac:dyDescent="0.35">
      <c r="B38" s="779"/>
      <c r="C38" s="778" t="s">
        <v>239</v>
      </c>
      <c r="D38" s="778"/>
      <c r="E38" s="778"/>
      <c r="F38" s="778"/>
      <c r="G38" s="778"/>
      <c r="H38" s="778"/>
      <c r="I38" s="778"/>
      <c r="J38" s="778"/>
      <c r="K38" s="778"/>
      <c r="L38" s="778"/>
      <c r="M38" s="778"/>
      <c r="N38" s="778"/>
      <c r="O38" s="778"/>
    </row>
    <row r="39" spans="2:15" hidden="1" x14ac:dyDescent="0.35">
      <c r="B39" s="779"/>
      <c r="C39" s="1007" t="s">
        <v>478</v>
      </c>
      <c r="D39" s="1007"/>
      <c r="E39" s="1007"/>
      <c r="F39" s="778"/>
      <c r="G39" s="778"/>
      <c r="H39" s="778"/>
      <c r="I39" s="778"/>
      <c r="J39" s="778"/>
      <c r="K39" s="778"/>
      <c r="L39" s="778"/>
      <c r="M39" s="778"/>
      <c r="N39" s="778"/>
      <c r="O39" s="778"/>
    </row>
    <row r="40" spans="2:15" hidden="1" x14ac:dyDescent="0.35">
      <c r="B40" s="779"/>
      <c r="C40" s="778" t="s">
        <v>239</v>
      </c>
      <c r="D40" s="778"/>
      <c r="E40" s="778"/>
      <c r="F40" s="778"/>
      <c r="G40" s="778"/>
      <c r="H40" s="778"/>
      <c r="I40" s="778"/>
      <c r="J40" s="778"/>
      <c r="K40" s="778"/>
      <c r="L40" s="778"/>
      <c r="M40" s="778"/>
      <c r="N40" s="778"/>
      <c r="O40" s="778"/>
    </row>
    <row r="41" spans="2:15" hidden="1" x14ac:dyDescent="0.35">
      <c r="B41" s="779"/>
      <c r="C41" s="778" t="s">
        <v>239</v>
      </c>
      <c r="D41" s="778"/>
      <c r="E41" s="778"/>
      <c r="F41" s="778"/>
      <c r="G41" s="778"/>
      <c r="H41" s="778"/>
      <c r="I41" s="778"/>
      <c r="J41" s="778"/>
      <c r="K41" s="778"/>
      <c r="L41" s="778"/>
      <c r="M41" s="778"/>
      <c r="N41" s="778"/>
      <c r="O41" s="778"/>
    </row>
    <row r="42" spans="2:15" hidden="1" x14ac:dyDescent="0.35">
      <c r="B42" s="779"/>
      <c r="C42" s="779" t="s">
        <v>479</v>
      </c>
      <c r="D42" s="779"/>
      <c r="E42" s="779"/>
      <c r="F42" s="778"/>
      <c r="G42" s="778"/>
      <c r="H42" s="778"/>
      <c r="I42" s="778"/>
      <c r="J42" s="778"/>
      <c r="K42" s="778"/>
      <c r="L42" s="778"/>
      <c r="M42" s="778"/>
      <c r="N42" s="778"/>
      <c r="O42" s="778"/>
    </row>
    <row r="43" spans="2:15" hidden="1" x14ac:dyDescent="0.35">
      <c r="B43" s="779"/>
      <c r="C43" s="1008"/>
      <c r="D43" s="779"/>
      <c r="E43" s="779"/>
      <c r="F43" s="778"/>
      <c r="G43" s="778"/>
      <c r="H43" s="778"/>
      <c r="I43" s="778"/>
      <c r="J43" s="778"/>
      <c r="K43" s="778"/>
      <c r="L43" s="778"/>
      <c r="M43" s="778"/>
      <c r="N43" s="702"/>
      <c r="O43" s="778"/>
    </row>
    <row r="44" spans="2:15" hidden="1" x14ac:dyDescent="0.35">
      <c r="B44" s="779"/>
      <c r="C44" s="1055"/>
      <c r="D44" s="779"/>
      <c r="E44" s="779"/>
      <c r="F44" s="778"/>
      <c r="G44" s="778"/>
      <c r="H44" s="778"/>
      <c r="I44" s="778"/>
      <c r="J44" s="778"/>
      <c r="K44" s="778"/>
      <c r="L44" s="778"/>
      <c r="M44" s="778"/>
      <c r="N44" s="778"/>
      <c r="O44" s="778"/>
    </row>
    <row r="45" spans="2:15" hidden="1" x14ac:dyDescent="0.35">
      <c r="B45" s="779"/>
      <c r="C45" s="1025"/>
      <c r="D45" s="779"/>
      <c r="E45" s="779"/>
      <c r="F45" s="778"/>
      <c r="G45" s="778"/>
      <c r="H45" s="778"/>
      <c r="I45" s="778"/>
      <c r="J45" s="778"/>
      <c r="K45" s="778"/>
      <c r="L45" s="778"/>
      <c r="M45" s="778"/>
      <c r="N45" s="778"/>
      <c r="O45" s="778"/>
    </row>
    <row r="46" spans="2:15" hidden="1" x14ac:dyDescent="0.35">
      <c r="B46" s="779"/>
      <c r="C46" s="1055"/>
      <c r="D46" s="779"/>
      <c r="E46" s="779"/>
      <c r="F46" s="778"/>
      <c r="G46" s="778"/>
      <c r="H46" s="778"/>
      <c r="I46" s="778"/>
      <c r="J46" s="778"/>
      <c r="K46" s="778"/>
      <c r="L46" s="778"/>
      <c r="M46" s="778"/>
      <c r="N46" s="778"/>
      <c r="O46" s="778"/>
    </row>
    <row r="47" spans="2:15" hidden="1" x14ac:dyDescent="0.35">
      <c r="B47" s="779"/>
      <c r="C47" s="1025"/>
      <c r="D47" s="779"/>
      <c r="E47" s="779"/>
      <c r="F47" s="778"/>
      <c r="G47" s="778"/>
      <c r="H47" s="778"/>
      <c r="I47" s="778"/>
      <c r="J47" s="778"/>
      <c r="K47" s="778"/>
      <c r="L47" s="778"/>
      <c r="M47" s="778"/>
      <c r="N47" s="778"/>
      <c r="O47" s="778"/>
    </row>
    <row r="48" spans="2:15" hidden="1" x14ac:dyDescent="0.35">
      <c r="B48" s="779"/>
      <c r="C48" s="1026"/>
      <c r="D48" s="779"/>
      <c r="E48" s="779"/>
      <c r="F48" s="778"/>
      <c r="G48" s="778"/>
      <c r="H48" s="778"/>
      <c r="I48" s="778"/>
      <c r="J48" s="778"/>
      <c r="K48" s="778"/>
      <c r="L48" s="778"/>
      <c r="M48" s="778"/>
      <c r="N48" s="778"/>
      <c r="O48" s="778"/>
    </row>
    <row r="49" spans="2:16" hidden="1" x14ac:dyDescent="0.35">
      <c r="B49" s="779"/>
      <c r="C49" s="1026"/>
      <c r="D49" s="778"/>
      <c r="E49" s="778"/>
      <c r="F49" s="778"/>
      <c r="G49" s="778"/>
      <c r="H49" s="778"/>
      <c r="I49" s="778"/>
      <c r="J49" s="778"/>
      <c r="K49" s="778"/>
      <c r="L49" s="778"/>
      <c r="M49" s="778"/>
      <c r="N49" s="778"/>
      <c r="O49" s="778"/>
    </row>
    <row r="50" spans="2:16" hidden="1" x14ac:dyDescent="0.35">
      <c r="B50" s="779"/>
      <c r="C50" s="778" t="s">
        <v>239</v>
      </c>
      <c r="D50" s="778"/>
      <c r="E50" s="778"/>
      <c r="F50" s="778"/>
      <c r="G50" s="778"/>
      <c r="H50" s="778"/>
      <c r="I50" s="778"/>
      <c r="J50" s="778"/>
      <c r="K50" s="778"/>
      <c r="L50" s="778"/>
      <c r="M50" s="778"/>
      <c r="N50" s="778"/>
      <c r="O50" s="778"/>
    </row>
    <row r="51" spans="2:16" hidden="1" x14ac:dyDescent="0.35">
      <c r="B51" s="779"/>
      <c r="C51" s="778"/>
      <c r="D51" s="778"/>
      <c r="E51" s="778"/>
      <c r="F51" s="778"/>
      <c r="G51" s="778"/>
      <c r="H51" s="778"/>
      <c r="I51" s="778"/>
      <c r="J51" s="778"/>
      <c r="K51" s="778"/>
      <c r="L51" s="778"/>
      <c r="M51" s="778"/>
      <c r="N51" s="778"/>
      <c r="O51" s="778"/>
    </row>
    <row r="52" spans="2:16" x14ac:dyDescent="0.35">
      <c r="B52" s="779"/>
      <c r="C52" s="779" t="s">
        <v>196</v>
      </c>
      <c r="D52" s="778"/>
      <c r="E52" s="778"/>
      <c r="F52" s="778"/>
      <c r="G52" s="778"/>
      <c r="H52" s="778"/>
      <c r="I52" s="778"/>
      <c r="J52" s="778"/>
      <c r="K52" s="778"/>
      <c r="L52" s="778"/>
      <c r="M52" s="778"/>
      <c r="N52" s="778"/>
      <c r="O52" s="778"/>
    </row>
    <row r="53" spans="2:16" x14ac:dyDescent="0.35">
      <c r="B53" s="779"/>
      <c r="C53" s="1006" t="s">
        <v>476</v>
      </c>
      <c r="D53" s="778"/>
      <c r="E53" s="778"/>
      <c r="F53" s="778"/>
      <c r="G53" s="778"/>
      <c r="H53" s="778"/>
      <c r="I53" s="778"/>
      <c r="J53" s="778"/>
      <c r="K53" s="778"/>
      <c r="L53" s="778"/>
      <c r="M53" s="778"/>
      <c r="N53" s="778"/>
      <c r="O53" s="778"/>
    </row>
    <row r="54" spans="2:16" x14ac:dyDescent="0.35">
      <c r="B54" s="779"/>
      <c r="C54" s="1007" t="s">
        <v>477</v>
      </c>
      <c r="D54" s="778"/>
      <c r="E54" s="778"/>
      <c r="F54" s="778"/>
      <c r="G54" s="778"/>
      <c r="H54" s="778"/>
      <c r="I54" s="778"/>
      <c r="J54" s="778"/>
      <c r="K54" s="778"/>
      <c r="L54" s="778"/>
      <c r="M54" s="778"/>
      <c r="N54" s="778"/>
      <c r="O54" s="778"/>
    </row>
    <row r="55" spans="2:16" ht="25.5" x14ac:dyDescent="0.35">
      <c r="B55" s="779"/>
      <c r="C55" s="1098" t="str">
        <f>'F4.2'!C16</f>
        <v>Approved Capital Cost of Distribution System without IDC and Cost of Smart Meters</v>
      </c>
      <c r="D55" s="1098" t="str">
        <f>'F4.2'!E16</f>
        <v>MERC/CAPEX2017-18/4787</v>
      </c>
      <c r="E55" s="1089">
        <f>'F4.2'!F16</f>
        <v>43067</v>
      </c>
      <c r="F55" s="1090">
        <f>'F4.2'!G16</f>
        <v>87.491124900000003</v>
      </c>
      <c r="G55" s="778"/>
      <c r="H55" s="778"/>
      <c r="I55" s="453">
        <v>46.440812358999999</v>
      </c>
      <c r="J55" s="1099">
        <f>N55+O55-I55</f>
        <v>15.412263187240342</v>
      </c>
      <c r="K55" s="1099">
        <f>+N55-M55-L55</f>
        <v>38.311599135272587</v>
      </c>
      <c r="L55" s="453">
        <f>+'F4.1'!Q47</f>
        <v>5.0193942198043082</v>
      </c>
      <c r="M55" s="453">
        <f>+'F4.1'!R47</f>
        <v>12.147811044923106</v>
      </c>
      <c r="N55" s="1100">
        <f>+'F4.1'!N47</f>
        <v>55.478804400000001</v>
      </c>
      <c r="O55" s="1101">
        <v>6.3742711462403365</v>
      </c>
      <c r="P55" s="1032"/>
    </row>
    <row r="56" spans="2:16" x14ac:dyDescent="0.35">
      <c r="B56" s="779"/>
      <c r="C56" s="1008"/>
      <c r="D56" s="1003"/>
      <c r="E56" s="1010"/>
      <c r="F56" s="778"/>
      <c r="G56" s="778"/>
      <c r="H56" s="778"/>
      <c r="I56" s="778"/>
      <c r="J56" s="702"/>
      <c r="K56" s="702"/>
      <c r="L56" s="778"/>
      <c r="M56" s="778"/>
      <c r="N56" s="778"/>
      <c r="O56" s="778"/>
    </row>
    <row r="57" spans="2:16" x14ac:dyDescent="0.35">
      <c r="B57" s="779"/>
      <c r="C57" s="1008"/>
      <c r="D57" s="1003"/>
      <c r="E57" s="1010"/>
      <c r="F57" s="778"/>
      <c r="G57" s="778"/>
      <c r="H57" s="778"/>
      <c r="I57" s="778"/>
      <c r="J57" s="702"/>
      <c r="K57" s="702"/>
      <c r="L57" s="778"/>
      <c r="M57" s="778"/>
      <c r="N57" s="778"/>
      <c r="O57" s="778"/>
    </row>
    <row r="58" spans="2:16" x14ac:dyDescent="0.35">
      <c r="B58" s="779"/>
      <c r="C58" s="778" t="s">
        <v>239</v>
      </c>
      <c r="D58" s="778"/>
      <c r="E58" s="778"/>
      <c r="F58" s="778"/>
      <c r="G58" s="778"/>
      <c r="H58" s="778"/>
      <c r="I58" s="778"/>
      <c r="J58" s="778"/>
      <c r="K58" s="778"/>
      <c r="L58" s="778"/>
      <c r="M58" s="778"/>
      <c r="N58" s="778"/>
      <c r="O58" s="778"/>
    </row>
    <row r="59" spans="2:16" x14ac:dyDescent="0.35">
      <c r="B59" s="779"/>
      <c r="C59" s="1007" t="s">
        <v>478</v>
      </c>
      <c r="D59" s="778"/>
      <c r="E59" s="778"/>
      <c r="F59" s="778"/>
      <c r="G59" s="778"/>
      <c r="H59" s="778"/>
      <c r="I59" s="778"/>
      <c r="J59" s="778"/>
      <c r="K59" s="778"/>
      <c r="L59" s="778"/>
      <c r="M59" s="778"/>
      <c r="N59" s="778"/>
      <c r="O59" s="778"/>
    </row>
    <row r="60" spans="2:16" x14ac:dyDescent="0.35">
      <c r="B60" s="779"/>
      <c r="C60" s="778" t="s">
        <v>239</v>
      </c>
      <c r="D60" s="778"/>
      <c r="E60" s="778"/>
      <c r="F60" s="778"/>
      <c r="G60" s="778"/>
      <c r="H60" s="778"/>
      <c r="I60" s="778"/>
      <c r="J60" s="778"/>
      <c r="K60" s="778"/>
      <c r="L60" s="778"/>
      <c r="M60" s="778"/>
      <c r="N60" s="778"/>
      <c r="O60" s="778"/>
    </row>
    <row r="61" spans="2:16" x14ac:dyDescent="0.35">
      <c r="B61" s="779"/>
      <c r="C61" s="778" t="s">
        <v>239</v>
      </c>
      <c r="D61" s="778"/>
      <c r="E61" s="778"/>
      <c r="F61" s="778"/>
      <c r="G61" s="778"/>
      <c r="H61" s="778"/>
      <c r="I61" s="778"/>
      <c r="J61" s="778"/>
      <c r="K61" s="778"/>
      <c r="L61" s="778"/>
      <c r="M61" s="778"/>
      <c r="N61" s="778"/>
      <c r="O61" s="778"/>
    </row>
    <row r="62" spans="2:16" x14ac:dyDescent="0.35">
      <c r="B62" s="779"/>
      <c r="C62" s="779" t="s">
        <v>479</v>
      </c>
      <c r="D62" s="778"/>
      <c r="E62" s="778"/>
      <c r="F62" s="778"/>
      <c r="G62" s="778"/>
      <c r="H62" s="778"/>
      <c r="I62" s="778"/>
      <c r="J62" s="778"/>
      <c r="K62" s="778"/>
      <c r="L62" s="778"/>
      <c r="M62" s="778"/>
      <c r="N62" s="778"/>
      <c r="O62" s="778"/>
    </row>
    <row r="63" spans="2:16" x14ac:dyDescent="0.35">
      <c r="B63" s="779"/>
      <c r="C63" s="1008"/>
      <c r="D63" s="778"/>
      <c r="E63" s="778"/>
      <c r="F63" s="778"/>
      <c r="G63" s="778"/>
      <c r="H63" s="778"/>
      <c r="I63" s="778"/>
      <c r="J63" s="1102"/>
      <c r="K63" s="1102"/>
      <c r="L63" s="778"/>
      <c r="M63" s="778"/>
      <c r="N63" s="778"/>
      <c r="O63" s="778"/>
    </row>
    <row r="64" spans="2:16" x14ac:dyDescent="0.35">
      <c r="B64" s="779"/>
      <c r="C64" s="1025" t="str">
        <f>'F4.2'!C23</f>
        <v>Vehicles</v>
      </c>
      <c r="D64" s="778"/>
      <c r="E64" s="778"/>
      <c r="F64" s="778"/>
      <c r="G64" s="778"/>
      <c r="H64" s="778"/>
      <c r="I64" s="685">
        <v>0</v>
      </c>
      <c r="J64" s="847">
        <f>+'F4.2'!R23</f>
        <v>5.9382000000000002E-3</v>
      </c>
      <c r="K64" s="1103">
        <f>+'F4.2'!AR23</f>
        <v>5.9382000000000002E-3</v>
      </c>
      <c r="L64" s="778"/>
      <c r="M64" s="778"/>
      <c r="N64" s="453">
        <f>SUM(K64:M64)</f>
        <v>5.9382000000000002E-3</v>
      </c>
      <c r="O64" s="1104">
        <f>I64+J64-N64</f>
        <v>0</v>
      </c>
    </row>
    <row r="65" spans="2:17" x14ac:dyDescent="0.35">
      <c r="B65" s="779"/>
      <c r="C65" s="1025" t="str">
        <f>'F4.2'!C24</f>
        <v>I.T. equipments</v>
      </c>
      <c r="D65" s="778"/>
      <c r="E65" s="778"/>
      <c r="F65" s="778"/>
      <c r="G65" s="778"/>
      <c r="H65" s="778"/>
      <c r="I65" s="685">
        <v>0</v>
      </c>
      <c r="J65" s="847">
        <f>+'F4.2'!R24</f>
        <v>1.3571147499999998E-2</v>
      </c>
      <c r="K65" s="1103">
        <f>+'F4.2'!AR24</f>
        <v>1.3571147499999998E-2</v>
      </c>
      <c r="L65" s="778"/>
      <c r="M65" s="778"/>
      <c r="N65" s="453">
        <f>SUM(K65:M65)</f>
        <v>1.3571147499999998E-2</v>
      </c>
      <c r="O65" s="1104">
        <f>I65+J65-N65</f>
        <v>0</v>
      </c>
    </row>
    <row r="66" spans="2:17" x14ac:dyDescent="0.35">
      <c r="B66" s="779"/>
      <c r="C66" s="1025" t="str">
        <f>'F4.2'!C25</f>
        <v>Office furniture and fittings</v>
      </c>
      <c r="D66" s="778"/>
      <c r="E66" s="778"/>
      <c r="F66" s="778"/>
      <c r="G66" s="778"/>
      <c r="H66" s="778"/>
      <c r="I66" s="685">
        <v>0</v>
      </c>
      <c r="J66" s="847">
        <f>+'F4.2'!R25</f>
        <v>2.6759100000000001E-2</v>
      </c>
      <c r="K66" s="1103">
        <f>+'F4.2'!AR25</f>
        <v>2.6759100000000001E-2</v>
      </c>
      <c r="L66" s="778"/>
      <c r="M66" s="778"/>
      <c r="N66" s="453">
        <f>SUM(K66:M66)</f>
        <v>2.6759100000000001E-2</v>
      </c>
      <c r="O66" s="1104">
        <f>I66+J66-N66</f>
        <v>0</v>
      </c>
    </row>
    <row r="67" spans="2:17" x14ac:dyDescent="0.35">
      <c r="B67" s="779"/>
      <c r="C67" s="1025" t="str">
        <f>'F4.2'!C26</f>
        <v>Office equipments</v>
      </c>
      <c r="D67" s="778"/>
      <c r="E67" s="778"/>
      <c r="F67" s="778"/>
      <c r="G67" s="778"/>
      <c r="H67" s="778"/>
      <c r="I67" s="685">
        <v>0</v>
      </c>
      <c r="J67" s="847">
        <f>+'F4.2'!R26</f>
        <v>2.1808600000000001E-2</v>
      </c>
      <c r="K67" s="1103">
        <f>+'F4.2'!AR26</f>
        <v>2.1808600000000001E-2</v>
      </c>
      <c r="L67" s="778"/>
      <c r="M67" s="778"/>
      <c r="N67" s="453">
        <f>SUM(K67:M67)</f>
        <v>2.1808600000000001E-2</v>
      </c>
      <c r="O67" s="1104">
        <f>I67+J67-N67</f>
        <v>0</v>
      </c>
    </row>
    <row r="68" spans="2:17" x14ac:dyDescent="0.35">
      <c r="B68" s="779"/>
      <c r="C68" s="1025" t="str">
        <f>'F4.2'!C27</f>
        <v>Software Licenses</v>
      </c>
      <c r="D68" s="778"/>
      <c r="E68" s="778"/>
      <c r="F68" s="778"/>
      <c r="G68" s="778"/>
      <c r="H68" s="778"/>
      <c r="I68" s="685">
        <v>0</v>
      </c>
      <c r="J68" s="847">
        <f>+'F4.2'!R27</f>
        <v>0</v>
      </c>
      <c r="K68" s="1103">
        <f>+'F4.2'!AR27</f>
        <v>0</v>
      </c>
      <c r="L68" s="778"/>
      <c r="M68" s="778"/>
      <c r="N68" s="453">
        <f>SUM(K68:M68)</f>
        <v>0</v>
      </c>
      <c r="O68" s="778"/>
    </row>
    <row r="69" spans="2:17" x14ac:dyDescent="0.35">
      <c r="B69" s="1105"/>
      <c r="C69" s="1106"/>
      <c r="D69" s="1107"/>
      <c r="E69" s="1107"/>
      <c r="F69" s="1108">
        <f>SUM(F55:F68)</f>
        <v>87.491124900000003</v>
      </c>
      <c r="G69" s="1107"/>
      <c r="H69" s="1107"/>
      <c r="I69" s="1108">
        <f t="shared" ref="I69:O69" si="0">SUM(I55:I68)</f>
        <v>46.440812358999999</v>
      </c>
      <c r="J69" s="1108">
        <f t="shared" si="0"/>
        <v>15.480340234740341</v>
      </c>
      <c r="K69" s="1108">
        <f t="shared" si="0"/>
        <v>38.379676182772592</v>
      </c>
      <c r="L69" s="1108">
        <f t="shared" si="0"/>
        <v>5.0193942198043082</v>
      </c>
      <c r="M69" s="1108">
        <f t="shared" si="0"/>
        <v>12.147811044923106</v>
      </c>
      <c r="N69" s="1108">
        <f t="shared" si="0"/>
        <v>55.546881447500006</v>
      </c>
      <c r="O69" s="1108">
        <f t="shared" si="0"/>
        <v>6.3742711462403365</v>
      </c>
      <c r="P69" s="1032"/>
      <c r="Q69" s="1032"/>
    </row>
    <row r="70" spans="2:17" x14ac:dyDescent="0.35">
      <c r="B70" s="779"/>
      <c r="C70" s="778"/>
      <c r="D70" s="778"/>
      <c r="E70" s="778"/>
      <c r="F70" s="778"/>
      <c r="G70" s="778"/>
      <c r="H70" s="778"/>
      <c r="I70" s="778"/>
      <c r="J70" s="778"/>
      <c r="K70" s="778"/>
      <c r="L70" s="778"/>
      <c r="M70" s="778"/>
      <c r="N70" s="778"/>
      <c r="O70" s="778"/>
    </row>
    <row r="71" spans="2:17" x14ac:dyDescent="0.35">
      <c r="B71" s="779"/>
      <c r="C71" s="779" t="s">
        <v>197</v>
      </c>
      <c r="D71" s="778"/>
      <c r="E71" s="778"/>
      <c r="F71" s="778"/>
      <c r="G71" s="778"/>
      <c r="H71" s="778"/>
      <c r="I71" s="778"/>
      <c r="J71" s="778"/>
      <c r="K71" s="778"/>
      <c r="L71" s="778"/>
      <c r="M71" s="778"/>
      <c r="N71" s="778"/>
      <c r="O71" s="778"/>
    </row>
    <row r="72" spans="2:17" x14ac:dyDescent="0.35">
      <c r="B72" s="779"/>
      <c r="C72" s="1006" t="s">
        <v>476</v>
      </c>
      <c r="D72" s="778"/>
      <c r="E72" s="778"/>
      <c r="F72" s="778"/>
      <c r="G72" s="778"/>
      <c r="H72" s="778"/>
      <c r="I72" s="778"/>
      <c r="J72" s="778"/>
      <c r="K72" s="778"/>
      <c r="L72" s="778"/>
      <c r="M72" s="778"/>
      <c r="N72" s="778"/>
      <c r="O72" s="778"/>
    </row>
    <row r="73" spans="2:17" x14ac:dyDescent="0.35">
      <c r="B73" s="779"/>
      <c r="C73" s="1007" t="s">
        <v>477</v>
      </c>
      <c r="D73" s="778"/>
      <c r="E73" s="778"/>
      <c r="F73" s="778"/>
      <c r="G73" s="778"/>
      <c r="H73" s="778"/>
      <c r="I73" s="778"/>
      <c r="J73" s="778"/>
      <c r="K73" s="778"/>
      <c r="L73" s="778"/>
      <c r="M73" s="778"/>
      <c r="N73" s="778"/>
      <c r="O73" s="778"/>
    </row>
    <row r="74" spans="2:17" ht="25.5" x14ac:dyDescent="0.35">
      <c r="B74" s="779"/>
      <c r="C74" s="1098" t="str">
        <f>'F4.1'!B63</f>
        <v>Approved Capital Cost of Distribution System without IDC and Cost of Smart Meters</v>
      </c>
      <c r="D74" s="1098" t="str">
        <f>'F4.1'!D63</f>
        <v>MERC/CAPEX2017-18/4787</v>
      </c>
      <c r="E74" s="1109">
        <f>'F4.1'!E63</f>
        <v>43067</v>
      </c>
      <c r="F74" s="1110">
        <f>F55</f>
        <v>87.491124900000003</v>
      </c>
      <c r="G74" s="778"/>
      <c r="H74" s="778"/>
      <c r="I74" s="1101">
        <f>O55</f>
        <v>6.3742711462403365</v>
      </c>
      <c r="J74" s="1099">
        <f>N74+O74-I74</f>
        <v>7.5987914007637487</v>
      </c>
      <c r="K74" s="1099">
        <f>+N74-M74-L74</f>
        <v>10.54364340234955</v>
      </c>
      <c r="L74" s="453">
        <f>+'F4.1'!Q63</f>
        <v>0.47430042660022659</v>
      </c>
      <c r="M74" s="453">
        <f>+'F4.1'!R63</f>
        <v>0.54358512250900615</v>
      </c>
      <c r="N74" s="1111">
        <f>+'F4.1'!N63</f>
        <v>11.561528951458783</v>
      </c>
      <c r="O74" s="1111">
        <v>2.4115335955453023</v>
      </c>
    </row>
    <row r="75" spans="2:17" x14ac:dyDescent="0.35">
      <c r="B75" s="779"/>
      <c r="C75" s="778" t="s">
        <v>239</v>
      </c>
      <c r="D75" s="778"/>
      <c r="E75" s="778"/>
      <c r="F75" s="778"/>
      <c r="G75" s="778"/>
      <c r="H75" s="778"/>
      <c r="I75" s="778"/>
      <c r="J75" s="778"/>
      <c r="K75" s="778"/>
      <c r="L75" s="778"/>
      <c r="M75" s="778"/>
      <c r="N75" s="778"/>
      <c r="O75" s="778"/>
    </row>
    <row r="76" spans="2:17" x14ac:dyDescent="0.35">
      <c r="B76" s="779"/>
      <c r="C76" s="1007" t="s">
        <v>478</v>
      </c>
      <c r="D76" s="778"/>
      <c r="E76" s="778"/>
      <c r="F76" s="778"/>
      <c r="G76" s="778"/>
      <c r="H76" s="778"/>
      <c r="I76" s="778"/>
      <c r="J76" s="778"/>
      <c r="K76" s="778"/>
      <c r="L76" s="778"/>
      <c r="M76" s="778"/>
      <c r="N76" s="778"/>
      <c r="O76" s="778"/>
    </row>
    <row r="77" spans="2:17" x14ac:dyDescent="0.35">
      <c r="B77" s="779"/>
      <c r="C77" s="778" t="s">
        <v>239</v>
      </c>
      <c r="D77" s="778"/>
      <c r="E77" s="778"/>
      <c r="F77" s="778"/>
      <c r="G77" s="778"/>
      <c r="H77" s="778"/>
      <c r="I77" s="778"/>
      <c r="J77" s="778"/>
      <c r="K77" s="778"/>
      <c r="L77" s="778"/>
      <c r="M77" s="778"/>
      <c r="N77" s="778"/>
      <c r="O77" s="778"/>
    </row>
    <row r="78" spans="2:17" x14ac:dyDescent="0.35">
      <c r="B78" s="779"/>
      <c r="C78" s="778" t="s">
        <v>239</v>
      </c>
      <c r="D78" s="778"/>
      <c r="E78" s="778"/>
      <c r="F78" s="778"/>
      <c r="G78" s="778"/>
      <c r="H78" s="778"/>
      <c r="I78" s="778"/>
      <c r="J78" s="778"/>
      <c r="K78" s="778"/>
      <c r="L78" s="778"/>
      <c r="M78" s="778"/>
      <c r="N78" s="778"/>
      <c r="O78" s="778"/>
    </row>
    <row r="79" spans="2:17" x14ac:dyDescent="0.35">
      <c r="B79" s="779"/>
      <c r="C79" s="779" t="s">
        <v>479</v>
      </c>
      <c r="D79" s="778"/>
      <c r="E79" s="778"/>
      <c r="F79" s="778"/>
      <c r="G79" s="778"/>
      <c r="H79" s="778"/>
      <c r="I79" s="778"/>
      <c r="J79" s="778"/>
      <c r="K79" s="778"/>
      <c r="L79" s="778"/>
      <c r="M79" s="778"/>
      <c r="N79" s="778"/>
      <c r="O79" s="778"/>
    </row>
    <row r="80" spans="2:17" x14ac:dyDescent="0.35">
      <c r="B80" s="779"/>
      <c r="C80" s="1008" t="str">
        <f>C64</f>
        <v>Vehicles</v>
      </c>
      <c r="D80" s="778"/>
      <c r="E80" s="778"/>
      <c r="F80" s="778"/>
      <c r="G80" s="778"/>
      <c r="H80" s="778"/>
      <c r="I80" s="685">
        <f>O64</f>
        <v>0</v>
      </c>
      <c r="J80" s="685">
        <f>+'F4.2'!S23</f>
        <v>0</v>
      </c>
      <c r="K80" s="685">
        <f>+'F4.2'!AS23</f>
        <v>0</v>
      </c>
      <c r="L80" s="778"/>
      <c r="M80" s="778"/>
      <c r="N80" s="459">
        <f>SUM(K80:M80)</f>
        <v>0</v>
      </c>
      <c r="O80" s="1037">
        <f>I80+J80-N80</f>
        <v>0</v>
      </c>
    </row>
    <row r="81" spans="2:17" x14ac:dyDescent="0.35">
      <c r="B81" s="779"/>
      <c r="C81" s="1008" t="str">
        <f>C65</f>
        <v>I.T. equipments</v>
      </c>
      <c r="D81" s="778"/>
      <c r="E81" s="778"/>
      <c r="F81" s="778"/>
      <c r="G81" s="778"/>
      <c r="H81" s="778"/>
      <c r="I81" s="685">
        <f>O65</f>
        <v>0</v>
      </c>
      <c r="J81" s="685">
        <f>+'F4.2'!S24</f>
        <v>0</v>
      </c>
      <c r="K81" s="685">
        <f>+'F4.2'!AS24</f>
        <v>0</v>
      </c>
      <c r="L81" s="778"/>
      <c r="M81" s="778"/>
      <c r="N81" s="459">
        <f>SUM(K81:M81)</f>
        <v>0</v>
      </c>
      <c r="O81" s="1037">
        <f>I81+J81-N81</f>
        <v>0</v>
      </c>
    </row>
    <row r="82" spans="2:17" x14ac:dyDescent="0.35">
      <c r="B82" s="779"/>
      <c r="C82" s="1008" t="str">
        <f>C66</f>
        <v>Office furniture and fittings</v>
      </c>
      <c r="D82" s="778"/>
      <c r="E82" s="778"/>
      <c r="F82" s="778"/>
      <c r="G82" s="778"/>
      <c r="H82" s="778"/>
      <c r="I82" s="685">
        <f>O66</f>
        <v>0</v>
      </c>
      <c r="J82" s="685">
        <f>+'F4.2'!S25</f>
        <v>0</v>
      </c>
      <c r="K82" s="685">
        <f>+'F4.2'!AS25</f>
        <v>0</v>
      </c>
      <c r="L82" s="778"/>
      <c r="M82" s="778"/>
      <c r="N82" s="459">
        <f>SUM(K82:M82)</f>
        <v>0</v>
      </c>
      <c r="O82" s="1037">
        <f>I82+J82-N82</f>
        <v>0</v>
      </c>
    </row>
    <row r="83" spans="2:17" x14ac:dyDescent="0.35">
      <c r="B83" s="779"/>
      <c r="C83" s="1008" t="str">
        <f>C67</f>
        <v>Office equipments</v>
      </c>
      <c r="D83" s="778"/>
      <c r="E83" s="778"/>
      <c r="F83" s="778"/>
      <c r="G83" s="778"/>
      <c r="H83" s="778"/>
      <c r="I83" s="685">
        <f>O67</f>
        <v>0</v>
      </c>
      <c r="J83" s="685">
        <f>+'F4.2'!S26</f>
        <v>0</v>
      </c>
      <c r="K83" s="685">
        <f>+'F4.2'!AS26</f>
        <v>0</v>
      </c>
      <c r="L83" s="778"/>
      <c r="M83" s="778"/>
      <c r="N83" s="459">
        <f>SUM(K83:M83)</f>
        <v>0</v>
      </c>
      <c r="O83" s="1037">
        <f>I83+J83-N83</f>
        <v>0</v>
      </c>
    </row>
    <row r="84" spans="2:17" x14ac:dyDescent="0.35">
      <c r="B84" s="779"/>
      <c r="C84" s="1008" t="str">
        <f>C68</f>
        <v>Software Licenses</v>
      </c>
      <c r="D84" s="778"/>
      <c r="E84" s="778"/>
      <c r="F84" s="778"/>
      <c r="G84" s="778"/>
      <c r="H84" s="778"/>
      <c r="I84" s="685">
        <f>O68</f>
        <v>0</v>
      </c>
      <c r="J84" s="685">
        <f>+'F4.2'!S27</f>
        <v>0</v>
      </c>
      <c r="K84" s="685">
        <f>+'F4.2'!AS27</f>
        <v>0</v>
      </c>
      <c r="L84" s="778"/>
      <c r="M84" s="778"/>
      <c r="N84" s="459">
        <f>SUM(K84:M84)</f>
        <v>0</v>
      </c>
      <c r="O84" s="1037">
        <f>I84+J84-N84</f>
        <v>0</v>
      </c>
    </row>
    <row r="85" spans="2:17" x14ac:dyDescent="0.35">
      <c r="B85" s="779"/>
      <c r="C85" s="1026"/>
      <c r="D85" s="778"/>
      <c r="E85" s="778"/>
      <c r="F85" s="778"/>
      <c r="G85" s="778"/>
      <c r="H85" s="778"/>
      <c r="I85" s="778"/>
      <c r="J85" s="778"/>
      <c r="K85" s="778"/>
      <c r="L85" s="778"/>
      <c r="M85" s="778"/>
      <c r="N85" s="778"/>
      <c r="O85" s="778"/>
    </row>
    <row r="86" spans="2:17" x14ac:dyDescent="0.35">
      <c r="B86" s="1105"/>
      <c r="C86" s="1106"/>
      <c r="D86" s="1107"/>
      <c r="E86" s="1107"/>
      <c r="F86" s="1108">
        <f>SUM(F72:F85)</f>
        <v>87.491124900000003</v>
      </c>
      <c r="G86" s="1107"/>
      <c r="H86" s="1107"/>
      <c r="I86" s="1108">
        <f t="shared" ref="I86:O86" si="1">SUM(I72:I85)</f>
        <v>6.3742711462403365</v>
      </c>
      <c r="J86" s="1108">
        <f t="shared" si="1"/>
        <v>7.5987914007637487</v>
      </c>
      <c r="K86" s="1108">
        <f t="shared" si="1"/>
        <v>10.54364340234955</v>
      </c>
      <c r="L86" s="1108">
        <f t="shared" si="1"/>
        <v>0.47430042660022659</v>
      </c>
      <c r="M86" s="1108">
        <f t="shared" si="1"/>
        <v>0.54358512250900615</v>
      </c>
      <c r="N86" s="1108">
        <f t="shared" si="1"/>
        <v>11.561528951458783</v>
      </c>
      <c r="O86" s="1108">
        <f t="shared" si="1"/>
        <v>2.4115335955453023</v>
      </c>
      <c r="P86" s="1032"/>
      <c r="Q86" s="1032"/>
    </row>
    <row r="87" spans="2:17" x14ac:dyDescent="0.35">
      <c r="B87" s="779"/>
      <c r="C87" s="778"/>
      <c r="D87" s="778"/>
      <c r="E87" s="778"/>
      <c r="F87" s="778"/>
      <c r="G87" s="778"/>
      <c r="H87" s="778"/>
      <c r="I87" s="778"/>
      <c r="J87" s="778"/>
      <c r="K87" s="778"/>
      <c r="L87" s="778"/>
      <c r="M87" s="778"/>
      <c r="N87" s="778"/>
      <c r="O87" s="778"/>
    </row>
    <row r="88" spans="2:17" x14ac:dyDescent="0.35">
      <c r="B88" s="779"/>
      <c r="C88" s="779" t="s">
        <v>198</v>
      </c>
      <c r="D88" s="779"/>
      <c r="E88" s="779"/>
      <c r="F88" s="778"/>
      <c r="G88" s="778"/>
      <c r="H88" s="778"/>
      <c r="I88" s="778"/>
      <c r="J88" s="778"/>
      <c r="K88" s="778"/>
      <c r="L88" s="778"/>
      <c r="M88" s="778"/>
      <c r="N88" s="778"/>
      <c r="O88" s="778"/>
    </row>
    <row r="89" spans="2:17" x14ac:dyDescent="0.35">
      <c r="B89" s="779"/>
      <c r="C89" s="1006" t="s">
        <v>476</v>
      </c>
      <c r="D89" s="1006"/>
      <c r="E89" s="1006"/>
      <c r="F89" s="778"/>
      <c r="G89" s="778"/>
      <c r="H89" s="778"/>
      <c r="I89" s="778"/>
      <c r="J89" s="778"/>
      <c r="K89" s="778"/>
      <c r="L89" s="778"/>
      <c r="M89" s="778"/>
      <c r="N89" s="778"/>
      <c r="O89" s="778"/>
    </row>
    <row r="90" spans="2:17" x14ac:dyDescent="0.35">
      <c r="B90" s="779"/>
      <c r="C90" s="1007" t="s">
        <v>477</v>
      </c>
      <c r="D90" s="1007"/>
      <c r="E90" s="1007"/>
      <c r="F90" s="778"/>
      <c r="G90" s="778"/>
      <c r="H90" s="778"/>
      <c r="I90" s="778"/>
      <c r="J90" s="778"/>
      <c r="K90" s="778"/>
      <c r="L90" s="778"/>
      <c r="M90" s="778"/>
      <c r="N90" s="778"/>
      <c r="O90" s="778"/>
    </row>
    <row r="91" spans="2:17" ht="25.5" x14ac:dyDescent="0.35">
      <c r="B91" s="779"/>
      <c r="C91" s="1039" t="str">
        <f>C74</f>
        <v>Approved Capital Cost of Distribution System without IDC and Cost of Smart Meters</v>
      </c>
      <c r="D91" s="401" t="str">
        <f>D74</f>
        <v>MERC/CAPEX2017-18/4787</v>
      </c>
      <c r="E91" s="1112">
        <f>E74</f>
        <v>43067</v>
      </c>
      <c r="F91" s="1113">
        <f>F74</f>
        <v>87.491124900000003</v>
      </c>
      <c r="G91" s="778"/>
      <c r="H91" s="778"/>
      <c r="I91" s="884">
        <f>O74</f>
        <v>2.4115335955453023</v>
      </c>
      <c r="J91" s="884">
        <f>N91+O91-I91</f>
        <v>2.5448657934546972</v>
      </c>
      <c r="K91" s="881">
        <f>+N91-M91-L91</f>
        <v>4.4308574785610828</v>
      </c>
      <c r="L91" s="1180">
        <f>+'F4.1'!Q80</f>
        <v>0.11712920877838137</v>
      </c>
      <c r="M91" s="1180">
        <f>+'F4.1'!R80</f>
        <v>0.40841270166053534</v>
      </c>
      <c r="N91" s="888">
        <f>+'F4.1'!N80</f>
        <v>4.9563993889999995</v>
      </c>
      <c r="O91" s="884">
        <v>0</v>
      </c>
    </row>
    <row r="92" spans="2:17" x14ac:dyDescent="0.35">
      <c r="B92" s="779"/>
      <c r="C92" s="1007"/>
      <c r="D92" s="1007"/>
      <c r="E92" s="1007"/>
      <c r="F92" s="778"/>
      <c r="G92" s="778"/>
      <c r="H92" s="778"/>
      <c r="I92" s="884"/>
      <c r="J92" s="884"/>
      <c r="K92" s="884"/>
      <c r="L92" s="884"/>
      <c r="M92" s="884"/>
      <c r="N92" s="884"/>
      <c r="O92" s="884"/>
    </row>
    <row r="93" spans="2:17" x14ac:dyDescent="0.35">
      <c r="B93" s="779"/>
      <c r="C93" s="778" t="s">
        <v>239</v>
      </c>
      <c r="D93" s="778"/>
      <c r="E93" s="778"/>
      <c r="F93" s="778"/>
      <c r="G93" s="778"/>
      <c r="H93" s="778"/>
      <c r="I93" s="884"/>
      <c r="J93" s="884"/>
      <c r="K93" s="884"/>
      <c r="L93" s="884"/>
      <c r="M93" s="884"/>
      <c r="N93" s="884"/>
      <c r="O93" s="884"/>
    </row>
    <row r="94" spans="2:17" x14ac:dyDescent="0.35">
      <c r="B94" s="779"/>
      <c r="C94" s="778" t="s">
        <v>239</v>
      </c>
      <c r="D94" s="778"/>
      <c r="E94" s="778"/>
      <c r="F94" s="778"/>
      <c r="G94" s="778"/>
      <c r="H94" s="778"/>
      <c r="I94" s="884"/>
      <c r="J94" s="884"/>
      <c r="K94" s="884"/>
      <c r="L94" s="884"/>
      <c r="M94" s="884"/>
      <c r="N94" s="884"/>
      <c r="O94" s="884"/>
    </row>
    <row r="95" spans="2:17" x14ac:dyDescent="0.35">
      <c r="B95" s="779"/>
      <c r="C95" s="1007" t="s">
        <v>478</v>
      </c>
      <c r="D95" s="1007"/>
      <c r="E95" s="1007"/>
      <c r="F95" s="778"/>
      <c r="G95" s="778"/>
      <c r="H95" s="778"/>
      <c r="I95" s="884"/>
      <c r="J95" s="884"/>
      <c r="K95" s="884"/>
      <c r="L95" s="884"/>
      <c r="M95" s="884"/>
      <c r="N95" s="884"/>
      <c r="O95" s="884"/>
    </row>
    <row r="96" spans="2:17" x14ac:dyDescent="0.35">
      <c r="B96" s="779"/>
      <c r="C96" s="778" t="s">
        <v>239</v>
      </c>
      <c r="D96" s="778"/>
      <c r="E96" s="778"/>
      <c r="F96" s="778"/>
      <c r="G96" s="778"/>
      <c r="H96" s="778"/>
      <c r="I96" s="884"/>
      <c r="J96" s="884"/>
      <c r="K96" s="884"/>
      <c r="L96" s="884"/>
      <c r="M96" s="884"/>
      <c r="N96" s="884"/>
      <c r="O96" s="884"/>
    </row>
    <row r="97" spans="2:17" x14ac:dyDescent="0.35">
      <c r="B97" s="779"/>
      <c r="C97" s="778" t="s">
        <v>239</v>
      </c>
      <c r="D97" s="778"/>
      <c r="E97" s="778"/>
      <c r="F97" s="778"/>
      <c r="G97" s="778"/>
      <c r="H97" s="778"/>
      <c r="I97" s="884"/>
      <c r="J97" s="884"/>
      <c r="K97" s="884"/>
      <c r="L97" s="884"/>
      <c r="M97" s="884"/>
      <c r="N97" s="884"/>
      <c r="O97" s="884"/>
    </row>
    <row r="98" spans="2:17" x14ac:dyDescent="0.35">
      <c r="B98" s="779"/>
      <c r="C98" s="779" t="s">
        <v>479</v>
      </c>
      <c r="D98" s="779"/>
      <c r="E98" s="779"/>
      <c r="F98" s="778"/>
      <c r="G98" s="778"/>
      <c r="H98" s="778"/>
      <c r="I98" s="884"/>
      <c r="J98" s="884"/>
      <c r="K98" s="884"/>
      <c r="L98" s="884"/>
      <c r="M98" s="884"/>
      <c r="N98" s="884"/>
      <c r="O98" s="884"/>
    </row>
    <row r="99" spans="2:17" x14ac:dyDescent="0.35">
      <c r="B99" s="779"/>
      <c r="C99" s="1008" t="str">
        <f>+C80</f>
        <v>Vehicles</v>
      </c>
      <c r="D99" s="778"/>
      <c r="E99" s="778"/>
      <c r="F99" s="778"/>
      <c r="G99" s="778"/>
      <c r="H99" s="778"/>
      <c r="I99" s="888">
        <f>O80</f>
        <v>0</v>
      </c>
      <c r="J99" s="888">
        <f>+'F4.2'!T23</f>
        <v>0</v>
      </c>
      <c r="K99" s="888">
        <f>+'F4.2'!AT23</f>
        <v>0</v>
      </c>
      <c r="L99" s="884"/>
      <c r="M99" s="884"/>
      <c r="N99" s="884">
        <f>SUM(K99:M99)</f>
        <v>0</v>
      </c>
      <c r="O99" s="884">
        <f>I99+J99-N99</f>
        <v>0</v>
      </c>
    </row>
    <row r="100" spans="2:17" x14ac:dyDescent="0.35">
      <c r="B100" s="779"/>
      <c r="C100" s="1008" t="str">
        <f>+C81</f>
        <v>I.T. equipments</v>
      </c>
      <c r="D100" s="778"/>
      <c r="E100" s="778"/>
      <c r="F100" s="778"/>
      <c r="G100" s="778"/>
      <c r="H100" s="778"/>
      <c r="I100" s="888">
        <f>O81</f>
        <v>0</v>
      </c>
      <c r="J100" s="888">
        <f>+'F4.2'!T24</f>
        <v>1.0320912E-2</v>
      </c>
      <c r="K100" s="888">
        <f>+'F4.2'!AT24</f>
        <v>1.0320912E-2</v>
      </c>
      <c r="L100" s="884"/>
      <c r="M100" s="884"/>
      <c r="N100" s="884">
        <f>SUM(K100:M100)</f>
        <v>1.0320912E-2</v>
      </c>
      <c r="O100" s="884">
        <f>I100+J100-N100</f>
        <v>0</v>
      </c>
    </row>
    <row r="101" spans="2:17" x14ac:dyDescent="0.35">
      <c r="B101" s="779"/>
      <c r="C101" s="1008" t="str">
        <f>+C82</f>
        <v>Office furniture and fittings</v>
      </c>
      <c r="D101" s="778"/>
      <c r="E101" s="778"/>
      <c r="F101" s="778"/>
      <c r="G101" s="778"/>
      <c r="H101" s="778"/>
      <c r="I101" s="888">
        <f>O82</f>
        <v>0</v>
      </c>
      <c r="J101" s="888">
        <f>+'F4.2'!T25</f>
        <v>0</v>
      </c>
      <c r="K101" s="888">
        <f>+'F4.2'!AT25</f>
        <v>0</v>
      </c>
      <c r="L101" s="884"/>
      <c r="M101" s="884"/>
      <c r="N101" s="884">
        <f>SUM(K101:M101)</f>
        <v>0</v>
      </c>
      <c r="O101" s="884">
        <f>I101+J101-N101</f>
        <v>0</v>
      </c>
    </row>
    <row r="102" spans="2:17" x14ac:dyDescent="0.35">
      <c r="B102" s="779"/>
      <c r="C102" s="1008" t="str">
        <f>+C83</f>
        <v>Office equipments</v>
      </c>
      <c r="D102" s="778"/>
      <c r="E102" s="778"/>
      <c r="F102" s="778"/>
      <c r="G102" s="778"/>
      <c r="H102" s="778"/>
      <c r="I102" s="888">
        <f>O83</f>
        <v>0</v>
      </c>
      <c r="J102" s="888">
        <f>+'F4.2'!T26</f>
        <v>0</v>
      </c>
      <c r="K102" s="888">
        <f>+'F4.2'!AT26</f>
        <v>0</v>
      </c>
      <c r="L102" s="884"/>
      <c r="M102" s="884"/>
      <c r="N102" s="884">
        <f>SUM(K102:M102)</f>
        <v>0</v>
      </c>
      <c r="O102" s="884">
        <f>I102+J102-N102</f>
        <v>0</v>
      </c>
    </row>
    <row r="103" spans="2:17" x14ac:dyDescent="0.35">
      <c r="B103" s="779"/>
      <c r="C103" s="1008" t="str">
        <f>+C84</f>
        <v>Software Licenses</v>
      </c>
      <c r="D103" s="778"/>
      <c r="E103" s="778"/>
      <c r="F103" s="778"/>
      <c r="G103" s="778"/>
      <c r="H103" s="778"/>
      <c r="I103" s="888">
        <f>O84</f>
        <v>0</v>
      </c>
      <c r="J103" s="888">
        <f>+'F4.2'!T27</f>
        <v>0</v>
      </c>
      <c r="K103" s="888">
        <f>+'F4.2'!AT27</f>
        <v>0</v>
      </c>
      <c r="L103" s="884"/>
      <c r="M103" s="884"/>
      <c r="N103" s="884">
        <f>SUM(K103:M103)</f>
        <v>0</v>
      </c>
      <c r="O103" s="884">
        <f>I103+J103-N103</f>
        <v>0</v>
      </c>
    </row>
    <row r="104" spans="2:17" x14ac:dyDescent="0.35">
      <c r="B104" s="779"/>
      <c r="C104" s="1008"/>
      <c r="D104" s="779"/>
      <c r="E104" s="779"/>
      <c r="F104" s="778"/>
      <c r="G104" s="778"/>
      <c r="H104" s="778"/>
      <c r="I104" s="884"/>
      <c r="J104" s="884"/>
      <c r="K104" s="884"/>
      <c r="L104" s="884"/>
      <c r="M104" s="884"/>
      <c r="N104" s="884"/>
      <c r="O104" s="884"/>
    </row>
    <row r="105" spans="2:17" hidden="1" x14ac:dyDescent="0.35">
      <c r="B105" s="779"/>
      <c r="C105" s="1055"/>
      <c r="D105" s="779"/>
      <c r="E105" s="779"/>
      <c r="F105" s="778"/>
      <c r="G105" s="778"/>
      <c r="H105" s="778"/>
      <c r="I105" s="884"/>
      <c r="J105" s="884"/>
      <c r="K105" s="884"/>
      <c r="L105" s="884"/>
      <c r="M105" s="884"/>
      <c r="N105" s="884"/>
      <c r="O105" s="884"/>
    </row>
    <row r="106" spans="2:17" hidden="1" x14ac:dyDescent="0.35">
      <c r="B106" s="779"/>
      <c r="C106" s="1025"/>
      <c r="D106" s="779"/>
      <c r="E106" s="779"/>
      <c r="F106" s="778"/>
      <c r="G106" s="778"/>
      <c r="H106" s="778"/>
      <c r="I106" s="884"/>
      <c r="J106" s="884"/>
      <c r="K106" s="884"/>
      <c r="L106" s="884"/>
      <c r="M106" s="884"/>
      <c r="N106" s="884"/>
      <c r="O106" s="884"/>
    </row>
    <row r="107" spans="2:17" hidden="1" x14ac:dyDescent="0.35">
      <c r="B107" s="779"/>
      <c r="C107" s="1055"/>
      <c r="D107" s="779"/>
      <c r="E107" s="779"/>
      <c r="F107" s="778"/>
      <c r="G107" s="778"/>
      <c r="H107" s="778"/>
      <c r="I107" s="884"/>
      <c r="J107" s="884"/>
      <c r="K107" s="884"/>
      <c r="L107" s="884"/>
      <c r="M107" s="884"/>
      <c r="N107" s="884"/>
      <c r="O107" s="884"/>
    </row>
    <row r="108" spans="2:17" hidden="1" x14ac:dyDescent="0.35">
      <c r="B108" s="779"/>
      <c r="C108" s="1025"/>
      <c r="D108" s="779"/>
      <c r="E108" s="779"/>
      <c r="F108" s="778"/>
      <c r="G108" s="778"/>
      <c r="H108" s="778"/>
      <c r="I108" s="884"/>
      <c r="J108" s="884"/>
      <c r="K108" s="884"/>
      <c r="L108" s="884"/>
      <c r="M108" s="884"/>
      <c r="N108" s="884"/>
      <c r="O108" s="884"/>
    </row>
    <row r="109" spans="2:17" x14ac:dyDescent="0.35">
      <c r="B109" s="1105"/>
      <c r="C109" s="1106"/>
      <c r="D109" s="1107"/>
      <c r="E109" s="1107"/>
      <c r="F109" s="1108">
        <f>SUM(F91:F108)</f>
        <v>87.491124900000003</v>
      </c>
      <c r="G109" s="1107"/>
      <c r="H109" s="1107"/>
      <c r="I109" s="1185">
        <f t="shared" ref="I109:O109" si="2">SUM(I91:I108)</f>
        <v>2.4115335955453023</v>
      </c>
      <c r="J109" s="1185">
        <f t="shared" si="2"/>
        <v>2.5551867054546973</v>
      </c>
      <c r="K109" s="1185">
        <f t="shared" si="2"/>
        <v>4.4411783905610829</v>
      </c>
      <c r="L109" s="1185">
        <f t="shared" si="2"/>
        <v>0.11712920877838137</v>
      </c>
      <c r="M109" s="1185">
        <f t="shared" si="2"/>
        <v>0.40841270166053534</v>
      </c>
      <c r="N109" s="1185">
        <f t="shared" si="2"/>
        <v>4.9667203009999996</v>
      </c>
      <c r="O109" s="1185">
        <f t="shared" si="2"/>
        <v>0</v>
      </c>
      <c r="P109" s="1032"/>
      <c r="Q109" s="1032"/>
    </row>
    <row r="110" spans="2:17" x14ac:dyDescent="0.35">
      <c r="B110" s="779"/>
      <c r="C110" s="1023"/>
      <c r="D110" s="1023"/>
      <c r="E110" s="1023"/>
      <c r="F110" s="778"/>
      <c r="G110" s="778"/>
      <c r="H110" s="778"/>
      <c r="I110" s="778"/>
      <c r="J110" s="778"/>
      <c r="K110" s="778"/>
      <c r="L110" s="778"/>
      <c r="M110" s="778"/>
      <c r="N110" s="778"/>
      <c r="O110" s="778"/>
    </row>
    <row r="111" spans="2:17" x14ac:dyDescent="0.35">
      <c r="B111" s="779"/>
      <c r="C111" s="1006" t="s">
        <v>199</v>
      </c>
      <c r="D111" s="1006"/>
      <c r="E111" s="1006"/>
      <c r="F111" s="778"/>
      <c r="G111" s="778"/>
      <c r="H111" s="778"/>
      <c r="I111" s="778"/>
      <c r="J111" s="778"/>
      <c r="K111" s="778"/>
      <c r="L111" s="778"/>
      <c r="M111" s="778"/>
      <c r="N111" s="778"/>
      <c r="O111" s="778"/>
    </row>
    <row r="112" spans="2:17" x14ac:dyDescent="0.35">
      <c r="B112" s="779"/>
      <c r="C112" s="1006" t="s">
        <v>476</v>
      </c>
      <c r="D112" s="1006"/>
      <c r="E112" s="1006"/>
      <c r="F112" s="778"/>
      <c r="G112" s="778"/>
      <c r="H112" s="778"/>
      <c r="I112" s="778"/>
      <c r="J112" s="778"/>
      <c r="K112" s="778"/>
      <c r="L112" s="778"/>
      <c r="M112" s="778"/>
      <c r="N112" s="778"/>
      <c r="O112" s="778"/>
    </row>
    <row r="113" spans="2:17" x14ac:dyDescent="0.35">
      <c r="B113" s="779"/>
      <c r="C113" s="1007" t="s">
        <v>477</v>
      </c>
      <c r="D113" s="1007"/>
      <c r="E113" s="1007"/>
      <c r="F113" s="778"/>
      <c r="G113" s="778"/>
      <c r="H113" s="778"/>
      <c r="I113" s="778"/>
      <c r="J113" s="778"/>
      <c r="K113" s="778"/>
      <c r="L113" s="778"/>
      <c r="M113" s="778"/>
      <c r="N113" s="778"/>
      <c r="O113" s="778"/>
    </row>
    <row r="114" spans="2:17" ht="25.5" x14ac:dyDescent="0.35">
      <c r="B114" s="779"/>
      <c r="C114" s="1039" t="str">
        <f>C91</f>
        <v>Approved Capital Cost of Distribution System without IDC and Cost of Smart Meters</v>
      </c>
      <c r="D114" s="401" t="str">
        <f>D91</f>
        <v>MERC/CAPEX2017-18/4787</v>
      </c>
      <c r="E114" s="1112">
        <f>E91</f>
        <v>43067</v>
      </c>
      <c r="F114" s="1113">
        <f>F91</f>
        <v>87.491124900000003</v>
      </c>
      <c r="G114" s="778"/>
      <c r="H114" s="778"/>
      <c r="I114" s="1176">
        <f>O91</f>
        <v>0</v>
      </c>
      <c r="J114" s="1176">
        <f>N114+O114-I114</f>
        <v>0.64014373999999996</v>
      </c>
      <c r="K114" s="1176">
        <f>+N114-M114-L114</f>
        <v>0.64014373999999996</v>
      </c>
      <c r="L114" s="1176">
        <f>+'F4.1'!Q96</f>
        <v>0</v>
      </c>
      <c r="M114" s="1176">
        <f>+'F4.1'!R96</f>
        <v>0</v>
      </c>
      <c r="N114" s="1178">
        <f>+'F4.1'!N96</f>
        <v>0.64014373999999996</v>
      </c>
      <c r="O114" s="1037">
        <v>0</v>
      </c>
    </row>
    <row r="115" spans="2:17" x14ac:dyDescent="0.35">
      <c r="B115" s="779"/>
      <c r="C115" s="1007"/>
      <c r="D115" s="1007"/>
      <c r="E115" s="1007"/>
      <c r="F115" s="778"/>
      <c r="G115" s="778"/>
      <c r="H115" s="778"/>
      <c r="I115" s="778"/>
      <c r="J115" s="778"/>
      <c r="K115" s="778"/>
      <c r="L115" s="778"/>
      <c r="M115" s="778"/>
      <c r="N115" s="778"/>
      <c r="O115" s="778"/>
    </row>
    <row r="116" spans="2:17" x14ac:dyDescent="0.35">
      <c r="B116" s="779"/>
      <c r="C116" s="778" t="s">
        <v>239</v>
      </c>
      <c r="D116" s="778"/>
      <c r="E116" s="778"/>
      <c r="F116" s="778"/>
      <c r="G116" s="778"/>
      <c r="H116" s="778"/>
      <c r="I116" s="778"/>
      <c r="J116" s="778"/>
      <c r="K116" s="778"/>
      <c r="L116" s="778"/>
      <c r="M116" s="778"/>
      <c r="N116" s="778"/>
      <c r="O116" s="778"/>
    </row>
    <row r="117" spans="2:17" x14ac:dyDescent="0.35">
      <c r="B117" s="779"/>
      <c r="C117" s="778" t="s">
        <v>239</v>
      </c>
      <c r="D117" s="778"/>
      <c r="E117" s="778"/>
      <c r="F117" s="778"/>
      <c r="G117" s="778"/>
      <c r="H117" s="778"/>
      <c r="I117" s="778"/>
      <c r="J117" s="778"/>
      <c r="K117" s="778"/>
      <c r="L117" s="778"/>
      <c r="M117" s="778"/>
      <c r="N117" s="778"/>
      <c r="O117" s="778"/>
    </row>
    <row r="118" spans="2:17" x14ac:dyDescent="0.35">
      <c r="B118" s="779"/>
      <c r="C118" s="1007" t="s">
        <v>478</v>
      </c>
      <c r="D118" s="1007"/>
      <c r="E118" s="1007"/>
      <c r="F118" s="778"/>
      <c r="G118" s="778"/>
      <c r="H118" s="778"/>
      <c r="I118" s="778"/>
      <c r="J118" s="778"/>
      <c r="K118" s="778"/>
      <c r="L118" s="778"/>
      <c r="M118" s="778"/>
      <c r="N118" s="778"/>
      <c r="O118" s="778"/>
    </row>
    <row r="119" spans="2:17" x14ac:dyDescent="0.35">
      <c r="B119" s="779"/>
      <c r="C119" s="778" t="s">
        <v>239</v>
      </c>
      <c r="D119" s="778"/>
      <c r="E119" s="778"/>
      <c r="F119" s="778"/>
      <c r="G119" s="778"/>
      <c r="H119" s="778"/>
      <c r="I119" s="778"/>
      <c r="J119" s="778"/>
      <c r="K119" s="778"/>
      <c r="L119" s="778"/>
      <c r="M119" s="778"/>
      <c r="N119" s="778"/>
      <c r="O119" s="778"/>
    </row>
    <row r="120" spans="2:17" x14ac:dyDescent="0.35">
      <c r="B120" s="779"/>
      <c r="C120" s="778" t="s">
        <v>239</v>
      </c>
      <c r="D120" s="778"/>
      <c r="E120" s="778"/>
      <c r="F120" s="778"/>
      <c r="G120" s="778"/>
      <c r="H120" s="778"/>
      <c r="I120" s="778"/>
      <c r="J120" s="778"/>
      <c r="K120" s="778"/>
      <c r="L120" s="778"/>
      <c r="M120" s="778"/>
      <c r="N120" s="778"/>
      <c r="O120" s="778"/>
    </row>
    <row r="121" spans="2:17" x14ac:dyDescent="0.35">
      <c r="B121" s="779"/>
      <c r="C121" s="779" t="s">
        <v>479</v>
      </c>
      <c r="D121" s="779"/>
      <c r="E121" s="779"/>
      <c r="F121" s="778"/>
      <c r="G121" s="778"/>
      <c r="H121" s="778"/>
      <c r="I121" s="778"/>
      <c r="J121" s="778"/>
      <c r="K121" s="778"/>
      <c r="L121" s="778"/>
      <c r="M121" s="778"/>
      <c r="N121" s="778"/>
      <c r="O121" s="778"/>
    </row>
    <row r="122" spans="2:17" x14ac:dyDescent="0.35">
      <c r="B122" s="779"/>
      <c r="C122" s="1008" t="str">
        <f>+C99</f>
        <v>Vehicles</v>
      </c>
      <c r="D122" s="778"/>
      <c r="E122" s="778"/>
      <c r="F122" s="778"/>
      <c r="G122" s="778"/>
      <c r="H122" s="778"/>
      <c r="I122" s="685">
        <f>+O99</f>
        <v>0</v>
      </c>
      <c r="J122" s="685">
        <f>+'F4.2'!U23</f>
        <v>0</v>
      </c>
      <c r="K122" s="685">
        <f>+'F4.2'!AU23</f>
        <v>0</v>
      </c>
      <c r="L122" s="778"/>
      <c r="M122" s="778"/>
      <c r="N122" s="459">
        <f>SUM(K122:M122)</f>
        <v>0</v>
      </c>
      <c r="O122" s="1037">
        <f>I122+J122-N122</f>
        <v>0</v>
      </c>
    </row>
    <row r="123" spans="2:17" x14ac:dyDescent="0.35">
      <c r="B123" s="779"/>
      <c r="C123" s="1008" t="str">
        <f>+C100</f>
        <v>I.T. equipments</v>
      </c>
      <c r="D123" s="778"/>
      <c r="E123" s="778"/>
      <c r="F123" s="778"/>
      <c r="G123" s="778"/>
      <c r="H123" s="778"/>
      <c r="I123" s="685">
        <f>+O100</f>
        <v>0</v>
      </c>
      <c r="J123" s="685">
        <f>+'F4.2'!U24</f>
        <v>2.2350060000000003E-3</v>
      </c>
      <c r="K123" s="685">
        <f>+'F4.2'!AU24</f>
        <v>2.2350060000000003E-3</v>
      </c>
      <c r="L123" s="778"/>
      <c r="M123" s="778"/>
      <c r="N123" s="459">
        <f>SUM(K123:M123)</f>
        <v>2.2350060000000003E-3</v>
      </c>
      <c r="O123" s="1037">
        <f>I123+J123-N123</f>
        <v>0</v>
      </c>
    </row>
    <row r="124" spans="2:17" x14ac:dyDescent="0.35">
      <c r="B124" s="779"/>
      <c r="C124" s="1008" t="str">
        <f>+C101</f>
        <v>Office furniture and fittings</v>
      </c>
      <c r="D124" s="778"/>
      <c r="E124" s="778"/>
      <c r="F124" s="778"/>
      <c r="G124" s="778"/>
      <c r="H124" s="778"/>
      <c r="I124" s="685">
        <f>+O101</f>
        <v>0</v>
      </c>
      <c r="J124" s="685">
        <f>+'F4.2'!U25</f>
        <v>0</v>
      </c>
      <c r="K124" s="685">
        <f>+'F4.2'!AU25</f>
        <v>0</v>
      </c>
      <c r="L124" s="778"/>
      <c r="M124" s="778"/>
      <c r="N124" s="459">
        <f>SUM(K124:M124)</f>
        <v>0</v>
      </c>
      <c r="O124" s="1037">
        <f>I124+J124-N124</f>
        <v>0</v>
      </c>
    </row>
    <row r="125" spans="2:17" x14ac:dyDescent="0.35">
      <c r="B125" s="779"/>
      <c r="C125" s="1008" t="str">
        <f>+C102</f>
        <v>Office equipments</v>
      </c>
      <c r="D125" s="778"/>
      <c r="E125" s="778"/>
      <c r="F125" s="778"/>
      <c r="G125" s="778"/>
      <c r="H125" s="778"/>
      <c r="I125" s="685">
        <f>+O102</f>
        <v>0</v>
      </c>
      <c r="J125" s="685">
        <f>+'F4.2'!U26</f>
        <v>1.25139E-2</v>
      </c>
      <c r="K125" s="685">
        <f>+'F4.2'!AU26</f>
        <v>1.25139E-2</v>
      </c>
      <c r="L125" s="778"/>
      <c r="M125" s="778"/>
      <c r="N125" s="459">
        <f>SUM(K125:M125)</f>
        <v>1.25139E-2</v>
      </c>
      <c r="O125" s="1037">
        <f>I125+J125-N125</f>
        <v>0</v>
      </c>
    </row>
    <row r="126" spans="2:17" x14ac:dyDescent="0.35">
      <c r="B126" s="779"/>
      <c r="C126" s="1008" t="str">
        <f>+C103</f>
        <v>Software Licenses</v>
      </c>
      <c r="D126" s="778"/>
      <c r="E126" s="778"/>
      <c r="F126" s="778"/>
      <c r="G126" s="778"/>
      <c r="H126" s="778"/>
      <c r="I126" s="685">
        <f>+O103</f>
        <v>0</v>
      </c>
      <c r="J126" s="685">
        <f>+'F4.2'!U27</f>
        <v>0</v>
      </c>
      <c r="K126" s="685">
        <f>+'F4.2'!AU27</f>
        <v>0</v>
      </c>
      <c r="L126" s="778"/>
      <c r="M126" s="778"/>
      <c r="N126" s="459">
        <f>SUM(K126:M126)</f>
        <v>0</v>
      </c>
      <c r="O126" s="1037">
        <f>I126+J126-N126</f>
        <v>0</v>
      </c>
    </row>
    <row r="127" spans="2:17" x14ac:dyDescent="0.35">
      <c r="B127" s="779"/>
      <c r="C127" s="1026"/>
      <c r="D127" s="778"/>
      <c r="E127" s="778"/>
      <c r="F127" s="778"/>
      <c r="G127" s="778"/>
      <c r="H127" s="778"/>
      <c r="I127" s="778"/>
      <c r="J127" s="778"/>
      <c r="K127" s="778"/>
      <c r="L127" s="778"/>
      <c r="M127" s="778"/>
      <c r="N127" s="778"/>
      <c r="O127" s="778"/>
    </row>
    <row r="128" spans="2:17" x14ac:dyDescent="0.35">
      <c r="B128" s="1105"/>
      <c r="C128" s="1106"/>
      <c r="D128" s="1107"/>
      <c r="E128" s="1107"/>
      <c r="F128" s="1108">
        <f t="shared" ref="F128:O128" si="3">SUM(F114:F127)</f>
        <v>87.491124900000003</v>
      </c>
      <c r="G128" s="1108">
        <f t="shared" si="3"/>
        <v>0</v>
      </c>
      <c r="H128" s="1108">
        <f t="shared" si="3"/>
        <v>0</v>
      </c>
      <c r="I128" s="1108">
        <f t="shared" si="3"/>
        <v>0</v>
      </c>
      <c r="J128" s="1108">
        <f t="shared" si="3"/>
        <v>0.65489264599999997</v>
      </c>
      <c r="K128" s="1108">
        <f t="shared" si="3"/>
        <v>0.65489264599999997</v>
      </c>
      <c r="L128" s="1108">
        <f t="shared" si="3"/>
        <v>0</v>
      </c>
      <c r="M128" s="1108">
        <f t="shared" si="3"/>
        <v>0</v>
      </c>
      <c r="N128" s="1108">
        <f t="shared" si="3"/>
        <v>0.65489264599999997</v>
      </c>
      <c r="O128" s="1108">
        <f t="shared" si="3"/>
        <v>0</v>
      </c>
      <c r="P128" s="1032"/>
      <c r="Q128" s="1032"/>
    </row>
    <row r="129" spans="2:15" x14ac:dyDescent="0.35">
      <c r="B129" s="779"/>
      <c r="C129" s="1023"/>
      <c r="D129" s="1023"/>
      <c r="E129" s="1023"/>
      <c r="F129" s="778"/>
      <c r="G129" s="778"/>
      <c r="H129" s="778"/>
      <c r="I129" s="778"/>
      <c r="J129" s="778"/>
      <c r="K129" s="778"/>
      <c r="L129" s="778"/>
      <c r="M129" s="778"/>
      <c r="N129" s="778"/>
      <c r="O129" s="778"/>
    </row>
    <row r="130" spans="2:15" x14ac:dyDescent="0.35">
      <c r="B130" s="779"/>
      <c r="C130" s="1006" t="s">
        <v>112</v>
      </c>
      <c r="D130" s="1006"/>
      <c r="E130" s="1006"/>
      <c r="F130" s="778"/>
      <c r="G130" s="778"/>
      <c r="H130" s="778"/>
      <c r="I130" s="778"/>
      <c r="J130" s="778"/>
      <c r="K130" s="778"/>
      <c r="L130" s="778"/>
      <c r="M130" s="778"/>
      <c r="N130" s="778"/>
      <c r="O130" s="778"/>
    </row>
    <row r="131" spans="2:15" x14ac:dyDescent="0.35">
      <c r="B131" s="779"/>
      <c r="C131" s="1006" t="s">
        <v>476</v>
      </c>
      <c r="D131" s="1006"/>
      <c r="E131" s="1006"/>
      <c r="F131" s="778"/>
      <c r="G131" s="778"/>
      <c r="H131" s="778"/>
      <c r="I131" s="778"/>
      <c r="J131" s="778"/>
      <c r="K131" s="778"/>
      <c r="L131" s="778"/>
      <c r="M131" s="778"/>
      <c r="N131" s="778"/>
      <c r="O131" s="778"/>
    </row>
    <row r="132" spans="2:15" x14ac:dyDescent="0.35">
      <c r="B132" s="779"/>
      <c r="C132" s="1007" t="s">
        <v>477</v>
      </c>
      <c r="D132" s="1007"/>
      <c r="E132" s="1007"/>
      <c r="F132" s="778"/>
      <c r="G132" s="778"/>
      <c r="H132" s="778"/>
      <c r="I132" s="778"/>
      <c r="J132" s="778"/>
      <c r="K132" s="778"/>
      <c r="L132" s="778"/>
      <c r="M132" s="778"/>
      <c r="N132" s="778"/>
      <c r="O132" s="778"/>
    </row>
    <row r="133" spans="2:15" ht="25.5" x14ac:dyDescent="0.35">
      <c r="B133" s="779"/>
      <c r="C133" s="1039" t="str">
        <f>C114</f>
        <v>Approved Capital Cost of Distribution System without IDC and Cost of Smart Meters</v>
      </c>
      <c r="D133" s="401" t="str">
        <f>D114</f>
        <v>MERC/CAPEX2017-18/4787</v>
      </c>
      <c r="E133" s="1112">
        <f>E114</f>
        <v>43067</v>
      </c>
      <c r="F133" s="1113">
        <f>F114</f>
        <v>87.491124900000003</v>
      </c>
      <c r="G133" s="778"/>
      <c r="H133" s="778"/>
      <c r="I133" s="1037">
        <f>O114</f>
        <v>0</v>
      </c>
      <c r="J133" s="1037">
        <f>N133+O133-I133</f>
        <v>0</v>
      </c>
      <c r="K133" s="1176">
        <f>+N133-M133-L133</f>
        <v>0</v>
      </c>
      <c r="L133" s="778"/>
      <c r="M133" s="778"/>
      <c r="N133" s="685">
        <f>+'F4.1'!N112</f>
        <v>0</v>
      </c>
      <c r="O133" s="1037">
        <v>0</v>
      </c>
    </row>
    <row r="134" spans="2:15" x14ac:dyDescent="0.35">
      <c r="B134" s="779"/>
      <c r="C134" s="1007"/>
      <c r="D134" s="1007"/>
      <c r="E134" s="1007"/>
      <c r="F134" s="778"/>
      <c r="G134" s="778"/>
      <c r="H134" s="778"/>
      <c r="I134" s="778"/>
      <c r="J134" s="778"/>
      <c r="K134" s="778"/>
      <c r="L134" s="778"/>
      <c r="M134" s="778"/>
      <c r="N134" s="778"/>
      <c r="O134" s="778"/>
    </row>
    <row r="135" spans="2:15" x14ac:dyDescent="0.35">
      <c r="B135" s="779"/>
      <c r="C135" s="778" t="s">
        <v>239</v>
      </c>
      <c r="D135" s="778"/>
      <c r="E135" s="778"/>
      <c r="F135" s="778"/>
      <c r="G135" s="778"/>
      <c r="H135" s="778"/>
      <c r="I135" s="778"/>
      <c r="J135" s="778"/>
      <c r="K135" s="778"/>
      <c r="L135" s="778"/>
      <c r="M135" s="778"/>
      <c r="N135" s="778"/>
      <c r="O135" s="778"/>
    </row>
    <row r="136" spans="2:15" x14ac:dyDescent="0.35">
      <c r="B136" s="779"/>
      <c r="C136" s="778" t="s">
        <v>239</v>
      </c>
      <c r="D136" s="778"/>
      <c r="E136" s="778"/>
      <c r="F136" s="778"/>
      <c r="G136" s="778"/>
      <c r="H136" s="778"/>
      <c r="I136" s="778"/>
      <c r="J136" s="778"/>
      <c r="K136" s="778"/>
      <c r="L136" s="778"/>
      <c r="M136" s="778"/>
      <c r="N136" s="778"/>
      <c r="O136" s="778"/>
    </row>
    <row r="137" spans="2:15" x14ac:dyDescent="0.35">
      <c r="B137" s="779"/>
      <c r="C137" s="1007" t="s">
        <v>478</v>
      </c>
      <c r="D137" s="1007"/>
      <c r="E137" s="1007"/>
      <c r="F137" s="778"/>
      <c r="G137" s="778"/>
      <c r="H137" s="778"/>
      <c r="I137" s="778"/>
      <c r="J137" s="778"/>
      <c r="K137" s="778"/>
      <c r="L137" s="778"/>
      <c r="M137" s="778"/>
      <c r="N137" s="778"/>
      <c r="O137" s="778"/>
    </row>
    <row r="138" spans="2:15" x14ac:dyDescent="0.35">
      <c r="B138" s="779"/>
      <c r="C138" s="778" t="s">
        <v>239</v>
      </c>
      <c r="D138" s="778"/>
      <c r="E138" s="778"/>
      <c r="F138" s="778"/>
      <c r="G138" s="778"/>
      <c r="H138" s="778"/>
      <c r="I138" s="778"/>
      <c r="J138" s="778"/>
      <c r="K138" s="778"/>
      <c r="L138" s="778"/>
      <c r="M138" s="778"/>
      <c r="N138" s="778"/>
      <c r="O138" s="778"/>
    </row>
    <row r="139" spans="2:15" x14ac:dyDescent="0.35">
      <c r="B139" s="779"/>
      <c r="C139" s="778" t="s">
        <v>239</v>
      </c>
      <c r="D139" s="778"/>
      <c r="E139" s="778"/>
      <c r="F139" s="778"/>
      <c r="G139" s="778"/>
      <c r="H139" s="778"/>
      <c r="I139" s="778"/>
      <c r="J139" s="778"/>
      <c r="K139" s="778"/>
      <c r="L139" s="778"/>
      <c r="M139" s="778"/>
      <c r="N139" s="778"/>
      <c r="O139" s="778"/>
    </row>
    <row r="140" spans="2:15" x14ac:dyDescent="0.35">
      <c r="B140" s="779"/>
      <c r="C140" s="779" t="s">
        <v>479</v>
      </c>
      <c r="D140" s="779"/>
      <c r="E140" s="779"/>
      <c r="F140" s="778"/>
      <c r="G140" s="778"/>
      <c r="H140" s="778"/>
      <c r="I140" s="778"/>
      <c r="J140" s="778"/>
      <c r="K140" s="778"/>
      <c r="L140" s="778"/>
      <c r="M140" s="778"/>
      <c r="N140" s="778"/>
      <c r="O140" s="778"/>
    </row>
    <row r="141" spans="2:15" hidden="1" x14ac:dyDescent="0.35">
      <c r="B141" s="779"/>
      <c r="C141" s="1008"/>
      <c r="D141" s="779"/>
      <c r="E141" s="779"/>
      <c r="F141" s="778"/>
      <c r="G141" s="778"/>
      <c r="H141" s="778"/>
      <c r="I141" s="778"/>
      <c r="J141" s="778"/>
      <c r="K141" s="778"/>
      <c r="L141" s="778"/>
      <c r="M141" s="778"/>
      <c r="N141" s="778"/>
      <c r="O141" s="778"/>
    </row>
    <row r="142" spans="2:15" hidden="1" x14ac:dyDescent="0.35">
      <c r="B142" s="779"/>
      <c r="C142" s="1055"/>
      <c r="D142" s="779"/>
      <c r="E142" s="779"/>
      <c r="F142" s="778"/>
      <c r="G142" s="778"/>
      <c r="H142" s="778"/>
      <c r="I142" s="778"/>
      <c r="J142" s="778"/>
      <c r="K142" s="778"/>
      <c r="L142" s="778"/>
      <c r="M142" s="778"/>
      <c r="N142" s="778"/>
      <c r="O142" s="778"/>
    </row>
    <row r="143" spans="2:15" hidden="1" x14ac:dyDescent="0.35">
      <c r="B143" s="779"/>
      <c r="C143" s="1025"/>
      <c r="D143" s="779"/>
      <c r="E143" s="779"/>
      <c r="F143" s="778"/>
      <c r="G143" s="778"/>
      <c r="H143" s="778"/>
      <c r="I143" s="778"/>
      <c r="J143" s="778"/>
      <c r="K143" s="778"/>
      <c r="L143" s="778"/>
      <c r="M143" s="778"/>
      <c r="N143" s="778"/>
      <c r="O143" s="778"/>
    </row>
    <row r="144" spans="2:15" hidden="1" x14ac:dyDescent="0.35">
      <c r="B144" s="779"/>
      <c r="C144" s="1055"/>
      <c r="D144" s="779"/>
      <c r="E144" s="779"/>
      <c r="F144" s="778"/>
      <c r="G144" s="778"/>
      <c r="H144" s="778"/>
      <c r="I144" s="778"/>
      <c r="J144" s="778"/>
      <c r="K144" s="778"/>
      <c r="L144" s="778"/>
      <c r="M144" s="778"/>
      <c r="N144" s="778"/>
      <c r="O144" s="778"/>
    </row>
    <row r="145" spans="2:17" x14ac:dyDescent="0.35">
      <c r="B145" s="779"/>
      <c r="C145" s="1008" t="str">
        <f>+C122</f>
        <v>Vehicles</v>
      </c>
      <c r="D145" s="778"/>
      <c r="E145" s="778"/>
      <c r="F145" s="778"/>
      <c r="G145" s="778"/>
      <c r="H145" s="778"/>
      <c r="I145" s="685">
        <f>+O122</f>
        <v>0</v>
      </c>
      <c r="J145" s="685">
        <f>+'F4.2'!V23</f>
        <v>0</v>
      </c>
      <c r="K145" s="685">
        <f>+'F4.2'!AV23</f>
        <v>0</v>
      </c>
      <c r="L145" s="778"/>
      <c r="M145" s="778"/>
      <c r="N145" s="459">
        <f>SUM(K145:M145)</f>
        <v>0</v>
      </c>
      <c r="O145" s="1037">
        <f>I145+J145-N145</f>
        <v>0</v>
      </c>
    </row>
    <row r="146" spans="2:17" x14ac:dyDescent="0.35">
      <c r="B146" s="779"/>
      <c r="C146" s="1008" t="str">
        <f>+C123</f>
        <v>I.T. equipments</v>
      </c>
      <c r="D146" s="778"/>
      <c r="E146" s="778"/>
      <c r="F146" s="778"/>
      <c r="G146" s="778"/>
      <c r="H146" s="778"/>
      <c r="I146" s="685">
        <f>+O123</f>
        <v>0</v>
      </c>
      <c r="J146" s="685">
        <f>+'F4.2'!V24</f>
        <v>4.9749910000000007E-3</v>
      </c>
      <c r="K146" s="685">
        <f>+'F4.2'!AV24</f>
        <v>4.9749910000000007E-3</v>
      </c>
      <c r="L146" s="778"/>
      <c r="M146" s="778"/>
      <c r="N146" s="459">
        <f>SUM(K146:M146)</f>
        <v>4.9749910000000007E-3</v>
      </c>
      <c r="O146" s="1037">
        <f>I146+J146-N146</f>
        <v>0</v>
      </c>
    </row>
    <row r="147" spans="2:17" x14ac:dyDescent="0.35">
      <c r="B147" s="779"/>
      <c r="C147" s="1008" t="str">
        <f>+C124</f>
        <v>Office furniture and fittings</v>
      </c>
      <c r="D147" s="778"/>
      <c r="E147" s="778"/>
      <c r="F147" s="778"/>
      <c r="G147" s="778"/>
      <c r="H147" s="778"/>
      <c r="I147" s="685">
        <f>+O124</f>
        <v>0</v>
      </c>
      <c r="J147" s="685">
        <f>+'F4.2'!V25</f>
        <v>0</v>
      </c>
      <c r="K147" s="685">
        <f>+'F4.2'!AV25</f>
        <v>0</v>
      </c>
      <c r="L147" s="778"/>
      <c r="M147" s="778"/>
      <c r="N147" s="459">
        <f>SUM(K147:M147)</f>
        <v>0</v>
      </c>
      <c r="O147" s="1037">
        <f>I147+J147-N147</f>
        <v>0</v>
      </c>
    </row>
    <row r="148" spans="2:17" x14ac:dyDescent="0.35">
      <c r="B148" s="779"/>
      <c r="C148" s="1008" t="str">
        <f>+C125</f>
        <v>Office equipments</v>
      </c>
      <c r="D148" s="778"/>
      <c r="E148" s="778"/>
      <c r="F148" s="778"/>
      <c r="G148" s="778"/>
      <c r="H148" s="778"/>
      <c r="I148" s="685">
        <f>+O125</f>
        <v>0</v>
      </c>
      <c r="J148" s="685">
        <f>+'F4.2'!V26</f>
        <v>0</v>
      </c>
      <c r="K148" s="685">
        <f>+'F4.2'!AV26</f>
        <v>0</v>
      </c>
      <c r="L148" s="778"/>
      <c r="M148" s="778"/>
      <c r="N148" s="459">
        <f>SUM(K148:M148)</f>
        <v>0</v>
      </c>
      <c r="O148" s="1037">
        <f>I148+J148-N148</f>
        <v>0</v>
      </c>
    </row>
    <row r="149" spans="2:17" x14ac:dyDescent="0.35">
      <c r="B149" s="779"/>
      <c r="C149" s="1008" t="str">
        <f>+C126</f>
        <v>Software Licenses</v>
      </c>
      <c r="D149" s="778"/>
      <c r="E149" s="778"/>
      <c r="F149" s="778"/>
      <c r="G149" s="778"/>
      <c r="H149" s="778"/>
      <c r="I149" s="685">
        <f>+O126</f>
        <v>0</v>
      </c>
      <c r="J149" s="685">
        <f>+'F4.2'!V27</f>
        <v>0</v>
      </c>
      <c r="K149" s="685">
        <f>+'F4.2'!AV27</f>
        <v>0</v>
      </c>
      <c r="L149" s="778"/>
      <c r="M149" s="778"/>
      <c r="N149" s="459">
        <f>SUM(K149:M149)</f>
        <v>0</v>
      </c>
      <c r="O149" s="1037">
        <f>I149+J149-N149</f>
        <v>0</v>
      </c>
    </row>
    <row r="150" spans="2:17" x14ac:dyDescent="0.35">
      <c r="B150" s="779"/>
      <c r="C150" s="1025"/>
      <c r="D150" s="779"/>
      <c r="E150" s="779"/>
      <c r="F150" s="778"/>
      <c r="G150" s="778"/>
      <c r="H150" s="778"/>
      <c r="I150" s="778"/>
      <c r="J150" s="778"/>
      <c r="K150" s="778"/>
      <c r="L150" s="778"/>
      <c r="M150" s="778"/>
      <c r="N150" s="778"/>
      <c r="O150" s="778"/>
    </row>
    <row r="151" spans="2:17" x14ac:dyDescent="0.35">
      <c r="B151" s="1105"/>
      <c r="C151" s="1106"/>
      <c r="D151" s="1107"/>
      <c r="E151" s="1107"/>
      <c r="F151" s="1108">
        <f>SUM(F133:F150)</f>
        <v>87.491124900000003</v>
      </c>
      <c r="G151" s="1108">
        <f t="shared" ref="G151:O151" si="4">SUM(G133:G150)</f>
        <v>0</v>
      </c>
      <c r="H151" s="1108">
        <f t="shared" si="4"/>
        <v>0</v>
      </c>
      <c r="I151" s="1108">
        <f t="shared" si="4"/>
        <v>0</v>
      </c>
      <c r="J151" s="1108">
        <f t="shared" si="4"/>
        <v>4.9749910000000007E-3</v>
      </c>
      <c r="K151" s="1108">
        <f t="shared" si="4"/>
        <v>4.9749910000000007E-3</v>
      </c>
      <c r="L151" s="1108">
        <f t="shared" si="4"/>
        <v>0</v>
      </c>
      <c r="M151" s="1108">
        <f t="shared" si="4"/>
        <v>0</v>
      </c>
      <c r="N151" s="1108">
        <f t="shared" si="4"/>
        <v>4.9749910000000007E-3</v>
      </c>
      <c r="O151" s="1108">
        <f t="shared" si="4"/>
        <v>0</v>
      </c>
      <c r="P151" s="1032"/>
      <c r="Q151" s="1032"/>
    </row>
    <row r="152" spans="2:17" x14ac:dyDescent="0.35">
      <c r="B152" s="779"/>
      <c r="C152" s="1023"/>
      <c r="D152" s="1023"/>
      <c r="E152" s="1023"/>
      <c r="F152" s="778"/>
      <c r="G152" s="778"/>
      <c r="H152" s="778"/>
      <c r="I152" s="778"/>
      <c r="J152" s="778"/>
      <c r="K152" s="778"/>
      <c r="L152" s="778"/>
      <c r="M152" s="778"/>
      <c r="N152" s="778"/>
      <c r="O152" s="778"/>
    </row>
    <row r="153" spans="2:17" x14ac:dyDescent="0.35">
      <c r="B153" s="779"/>
      <c r="C153" s="1006" t="s">
        <v>113</v>
      </c>
      <c r="D153" s="1006"/>
      <c r="E153" s="1006"/>
      <c r="F153" s="778"/>
      <c r="G153" s="778"/>
      <c r="H153" s="778"/>
      <c r="I153" s="778"/>
      <c r="J153" s="778"/>
      <c r="K153" s="778"/>
      <c r="L153" s="778"/>
      <c r="M153" s="778"/>
      <c r="N153" s="778"/>
      <c r="O153" s="778"/>
    </row>
    <row r="154" spans="2:17" x14ac:dyDescent="0.35">
      <c r="B154" s="779"/>
      <c r="C154" s="1006" t="s">
        <v>476</v>
      </c>
      <c r="D154" s="1006"/>
      <c r="E154" s="1006"/>
      <c r="F154" s="778"/>
      <c r="G154" s="778"/>
      <c r="H154" s="778"/>
      <c r="I154" s="778"/>
      <c r="J154" s="778"/>
      <c r="K154" s="778"/>
      <c r="L154" s="778"/>
      <c r="M154" s="778"/>
      <c r="N154" s="778"/>
      <c r="O154" s="778"/>
    </row>
    <row r="155" spans="2:17" x14ac:dyDescent="0.35">
      <c r="B155" s="779"/>
      <c r="C155" s="1007" t="s">
        <v>477</v>
      </c>
      <c r="D155" s="1007"/>
      <c r="E155" s="1007"/>
      <c r="F155" s="778"/>
      <c r="G155" s="778"/>
      <c r="H155" s="778"/>
      <c r="I155" s="778"/>
      <c r="J155" s="778"/>
      <c r="K155" s="778"/>
      <c r="L155" s="778"/>
      <c r="M155" s="778"/>
      <c r="N155" s="778"/>
      <c r="O155" s="778"/>
    </row>
    <row r="156" spans="2:17" ht="25.5" x14ac:dyDescent="0.35">
      <c r="B156" s="779"/>
      <c r="C156" s="1039" t="str">
        <f>C133</f>
        <v>Approved Capital Cost of Distribution System without IDC and Cost of Smart Meters</v>
      </c>
      <c r="D156" s="1039" t="str">
        <f>D133</f>
        <v>MERC/CAPEX2017-18/4787</v>
      </c>
      <c r="E156" s="1114">
        <f>E133</f>
        <v>43067</v>
      </c>
      <c r="F156" s="1115">
        <f>F133</f>
        <v>87.491124900000003</v>
      </c>
      <c r="G156" s="778"/>
      <c r="H156" s="778"/>
      <c r="I156" s="1037">
        <f>O133</f>
        <v>0</v>
      </c>
      <c r="J156" s="1037">
        <f>N156+O156-I156</f>
        <v>9.1967151999999996E-2</v>
      </c>
      <c r="K156" s="1176">
        <f>+N156-M156-L156</f>
        <v>9.1967151999999996E-2</v>
      </c>
      <c r="L156" s="778"/>
      <c r="M156" s="778"/>
      <c r="N156" s="685">
        <f>+'F4.1'!N128</f>
        <v>9.1967151999999996E-2</v>
      </c>
      <c r="O156" s="1037">
        <v>0</v>
      </c>
    </row>
    <row r="157" spans="2:17" x14ac:dyDescent="0.35">
      <c r="B157" s="779"/>
      <c r="C157" s="1007"/>
      <c r="D157" s="1007"/>
      <c r="E157" s="1007"/>
      <c r="F157" s="778"/>
      <c r="G157" s="778"/>
      <c r="H157" s="778"/>
      <c r="I157" s="778"/>
      <c r="J157" s="778"/>
      <c r="K157" s="778"/>
      <c r="L157" s="778"/>
      <c r="M157" s="778"/>
      <c r="N157" s="778"/>
      <c r="O157" s="778"/>
    </row>
    <row r="158" spans="2:17" x14ac:dyDescent="0.35">
      <c r="B158" s="779"/>
      <c r="C158" s="779" t="s">
        <v>479</v>
      </c>
      <c r="D158" s="779"/>
      <c r="E158" s="779"/>
      <c r="F158" s="778"/>
      <c r="G158" s="778"/>
      <c r="H158" s="778"/>
      <c r="I158" s="778"/>
      <c r="J158" s="778"/>
      <c r="K158" s="778"/>
      <c r="L158" s="778"/>
      <c r="M158" s="778"/>
      <c r="N158" s="778"/>
      <c r="O158" s="778"/>
    </row>
    <row r="159" spans="2:17" x14ac:dyDescent="0.35">
      <c r="B159" s="779"/>
      <c r="C159" s="1008" t="str">
        <f>+C145</f>
        <v>Vehicles</v>
      </c>
      <c r="D159" s="778"/>
      <c r="E159" s="778"/>
      <c r="F159" s="778"/>
      <c r="G159" s="778"/>
      <c r="H159" s="778"/>
      <c r="I159" s="685">
        <f>+O145</f>
        <v>0</v>
      </c>
      <c r="J159" s="685">
        <f>+'F4.2'!W23</f>
        <v>0</v>
      </c>
      <c r="K159" s="685">
        <f>+'F4.2'!AW23</f>
        <v>0</v>
      </c>
      <c r="L159" s="778"/>
      <c r="M159" s="778"/>
      <c r="N159" s="459">
        <f>SUM(K159:M159)</f>
        <v>0</v>
      </c>
      <c r="O159" s="1037">
        <f>I159+J159-N159</f>
        <v>0</v>
      </c>
    </row>
    <row r="160" spans="2:17" x14ac:dyDescent="0.35">
      <c r="B160" s="779"/>
      <c r="C160" s="1008" t="str">
        <f>+C146</f>
        <v>I.T. equipments</v>
      </c>
      <c r="D160" s="778"/>
      <c r="E160" s="778"/>
      <c r="F160" s="778"/>
      <c r="G160" s="778"/>
      <c r="H160" s="778"/>
      <c r="I160" s="685">
        <f>+O146</f>
        <v>0</v>
      </c>
      <c r="J160" s="685">
        <f>+'F4.2'!W24</f>
        <v>3.5545362499999997E-2</v>
      </c>
      <c r="K160" s="685">
        <f>+'F4.2'!AW24</f>
        <v>3.5545362499999997E-2</v>
      </c>
      <c r="L160" s="778"/>
      <c r="M160" s="778"/>
      <c r="N160" s="459">
        <f>SUM(K160:M160)</f>
        <v>3.5545362499999997E-2</v>
      </c>
      <c r="O160" s="1037">
        <f>I160+J160-N160</f>
        <v>0</v>
      </c>
    </row>
    <row r="161" spans="2:17" x14ac:dyDescent="0.35">
      <c r="B161" s="779"/>
      <c r="C161" s="1008" t="str">
        <f>+C147</f>
        <v>Office furniture and fittings</v>
      </c>
      <c r="D161" s="778"/>
      <c r="E161" s="778"/>
      <c r="F161" s="778"/>
      <c r="G161" s="778"/>
      <c r="H161" s="778"/>
      <c r="I161" s="685">
        <f>+O147</f>
        <v>0</v>
      </c>
      <c r="J161" s="685">
        <f>+'F4.2'!W25</f>
        <v>0</v>
      </c>
      <c r="K161" s="685">
        <f>+'F4.2'!AW25</f>
        <v>0</v>
      </c>
      <c r="L161" s="778"/>
      <c r="M161" s="778"/>
      <c r="N161" s="459">
        <f>SUM(K161:M161)</f>
        <v>0</v>
      </c>
      <c r="O161" s="1037">
        <f>I161+J161-N161</f>
        <v>0</v>
      </c>
    </row>
    <row r="162" spans="2:17" x14ac:dyDescent="0.35">
      <c r="B162" s="779"/>
      <c r="C162" s="1008" t="str">
        <f>+C148</f>
        <v>Office equipments</v>
      </c>
      <c r="D162" s="778"/>
      <c r="E162" s="778"/>
      <c r="F162" s="778"/>
      <c r="G162" s="778"/>
      <c r="H162" s="778"/>
      <c r="I162" s="685">
        <f>+O148</f>
        <v>0</v>
      </c>
      <c r="J162" s="685">
        <f>+'F4.2'!W26</f>
        <v>8.5004999999999998E-4</v>
      </c>
      <c r="K162" s="685">
        <f>+'F4.2'!AW26</f>
        <v>8.5004999999999998E-4</v>
      </c>
      <c r="L162" s="778"/>
      <c r="M162" s="778"/>
      <c r="N162" s="459">
        <f>SUM(K162:M162)</f>
        <v>8.5004999999999998E-4</v>
      </c>
      <c r="O162" s="1037">
        <f>I162+J162-N162</f>
        <v>0</v>
      </c>
    </row>
    <row r="163" spans="2:17" x14ac:dyDescent="0.35">
      <c r="B163" s="779"/>
      <c r="C163" s="1008" t="str">
        <f>+C149</f>
        <v>Software Licenses</v>
      </c>
      <c r="D163" s="778"/>
      <c r="E163" s="778"/>
      <c r="F163" s="778"/>
      <c r="G163" s="778"/>
      <c r="H163" s="778"/>
      <c r="I163" s="685">
        <f>+O149</f>
        <v>0</v>
      </c>
      <c r="J163" s="685">
        <f>+'F4.2'!W27</f>
        <v>0</v>
      </c>
      <c r="K163" s="685">
        <f>+'F4.2'!AW27</f>
        <v>0</v>
      </c>
      <c r="L163" s="778"/>
      <c r="M163" s="778"/>
      <c r="N163" s="459">
        <f>SUM(K163:M163)</f>
        <v>0</v>
      </c>
      <c r="O163" s="1037">
        <f>I163+J163-N163</f>
        <v>0</v>
      </c>
    </row>
    <row r="164" spans="2:17" x14ac:dyDescent="0.35">
      <c r="B164" s="779"/>
      <c r="C164" s="778" t="s">
        <v>239</v>
      </c>
      <c r="D164" s="778"/>
      <c r="E164" s="778"/>
      <c r="F164" s="778"/>
      <c r="G164" s="778"/>
      <c r="H164" s="778"/>
      <c r="I164" s="778"/>
      <c r="J164" s="778"/>
      <c r="K164" s="778"/>
      <c r="L164" s="778"/>
      <c r="M164" s="778"/>
      <c r="N164" s="778"/>
      <c r="O164" s="778"/>
    </row>
    <row r="165" spans="2:17" x14ac:dyDescent="0.35">
      <c r="B165" s="1105"/>
      <c r="C165" s="1106"/>
      <c r="D165" s="1107"/>
      <c r="E165" s="1107"/>
      <c r="F165" s="1108">
        <f t="shared" ref="F165:O165" si="5">SUM(F154:F164)</f>
        <v>87.491124900000003</v>
      </c>
      <c r="G165" s="1108">
        <f t="shared" si="5"/>
        <v>0</v>
      </c>
      <c r="H165" s="1108">
        <f t="shared" si="5"/>
        <v>0</v>
      </c>
      <c r="I165" s="1108">
        <f t="shared" si="5"/>
        <v>0</v>
      </c>
      <c r="J165" s="1108">
        <f t="shared" si="5"/>
        <v>0.1283625645</v>
      </c>
      <c r="K165" s="1108">
        <f t="shared" si="5"/>
        <v>0.1283625645</v>
      </c>
      <c r="L165" s="1108">
        <f t="shared" si="5"/>
        <v>0</v>
      </c>
      <c r="M165" s="1108">
        <f t="shared" si="5"/>
        <v>0</v>
      </c>
      <c r="N165" s="1108">
        <f t="shared" si="5"/>
        <v>0.1283625645</v>
      </c>
      <c r="O165" s="1108">
        <f t="shared" si="5"/>
        <v>0</v>
      </c>
      <c r="P165" s="1032"/>
      <c r="Q165" s="1032"/>
    </row>
    <row r="166" spans="2:17" x14ac:dyDescent="0.35">
      <c r="B166" s="779"/>
      <c r="C166" s="1055"/>
      <c r="D166" s="778"/>
      <c r="E166" s="778"/>
      <c r="F166" s="1116"/>
      <c r="G166" s="1116"/>
      <c r="H166" s="1116"/>
      <c r="I166" s="1116"/>
      <c r="J166" s="1116"/>
      <c r="K166" s="1116"/>
      <c r="L166" s="1116"/>
      <c r="M166" s="1116"/>
      <c r="N166" s="1116"/>
      <c r="O166" s="1116"/>
    </row>
    <row r="167" spans="2:17" x14ac:dyDescent="0.35">
      <c r="B167" s="779"/>
      <c r="C167" s="1006" t="s">
        <v>114</v>
      </c>
      <c r="D167" s="1006"/>
      <c r="E167" s="1006"/>
      <c r="F167" s="778"/>
      <c r="G167" s="778"/>
      <c r="H167" s="778"/>
      <c r="I167" s="778"/>
      <c r="J167" s="778"/>
      <c r="K167" s="778"/>
      <c r="L167" s="778"/>
      <c r="M167" s="778"/>
      <c r="N167" s="778"/>
      <c r="O167" s="778"/>
    </row>
    <row r="168" spans="2:17" x14ac:dyDescent="0.35">
      <c r="B168" s="779"/>
      <c r="C168" s="1006" t="s">
        <v>476</v>
      </c>
      <c r="D168" s="1006"/>
      <c r="E168" s="1006"/>
      <c r="F168" s="778"/>
      <c r="G168" s="778"/>
      <c r="H168" s="778"/>
      <c r="I168" s="778"/>
      <c r="J168" s="778"/>
      <c r="K168" s="778"/>
      <c r="L168" s="778"/>
      <c r="M168" s="778"/>
      <c r="N168" s="778"/>
      <c r="O168" s="778"/>
    </row>
    <row r="169" spans="2:17" x14ac:dyDescent="0.35">
      <c r="B169" s="779"/>
      <c r="C169" s="1007" t="s">
        <v>477</v>
      </c>
      <c r="D169" s="1007"/>
      <c r="E169" s="1007"/>
      <c r="F169" s="778"/>
      <c r="G169" s="778"/>
      <c r="H169" s="778"/>
      <c r="I169" s="778"/>
      <c r="J169" s="778"/>
      <c r="K169" s="778"/>
      <c r="L169" s="778"/>
      <c r="M169" s="778"/>
      <c r="N169" s="778"/>
      <c r="O169" s="778"/>
    </row>
    <row r="170" spans="2:17" ht="25.5" x14ac:dyDescent="0.35">
      <c r="B170" s="779"/>
      <c r="C170" s="1039" t="str">
        <f>C156</f>
        <v>Approved Capital Cost of Distribution System without IDC and Cost of Smart Meters</v>
      </c>
      <c r="D170" s="1039" t="str">
        <f>D156</f>
        <v>MERC/CAPEX2017-18/4787</v>
      </c>
      <c r="E170" s="1114">
        <f>E156</f>
        <v>43067</v>
      </c>
      <c r="F170" s="1115">
        <f>F156</f>
        <v>87.491124900000003</v>
      </c>
      <c r="G170" s="778"/>
      <c r="H170" s="778"/>
      <c r="I170" s="1037">
        <f>O156</f>
        <v>0</v>
      </c>
      <c r="J170" s="1037">
        <f>N170+O170-I170</f>
        <v>0</v>
      </c>
      <c r="K170" s="778"/>
      <c r="L170" s="778"/>
      <c r="M170" s="778"/>
      <c r="N170" s="685">
        <v>0</v>
      </c>
      <c r="O170" s="1037">
        <v>0</v>
      </c>
    </row>
    <row r="171" spans="2:17" x14ac:dyDescent="0.35">
      <c r="B171" s="779"/>
      <c r="C171" s="1039"/>
      <c r="D171" s="1039"/>
      <c r="E171" s="1114"/>
      <c r="F171" s="1115"/>
      <c r="G171" s="778"/>
      <c r="H171" s="778"/>
      <c r="I171" s="1037"/>
      <c r="J171" s="1037"/>
      <c r="K171" s="778"/>
      <c r="L171" s="778"/>
      <c r="M171" s="778"/>
      <c r="N171" s="685"/>
      <c r="O171" s="1037"/>
    </row>
    <row r="172" spans="2:17" x14ac:dyDescent="0.35">
      <c r="B172" s="779"/>
      <c r="C172" s="779" t="s">
        <v>479</v>
      </c>
      <c r="D172" s="779"/>
      <c r="E172" s="779"/>
      <c r="F172" s="778"/>
      <c r="G172" s="778"/>
      <c r="H172" s="778"/>
      <c r="I172" s="778"/>
      <c r="J172" s="778"/>
      <c r="K172" s="778"/>
      <c r="L172" s="778"/>
      <c r="M172" s="778"/>
      <c r="N172" s="778"/>
      <c r="O172" s="778"/>
    </row>
    <row r="173" spans="2:17" hidden="1" x14ac:dyDescent="0.35">
      <c r="B173" s="779"/>
      <c r="C173" s="1008"/>
      <c r="D173" s="779"/>
      <c r="E173" s="779"/>
      <c r="F173" s="778"/>
      <c r="G173" s="778"/>
      <c r="H173" s="778"/>
      <c r="I173" s="778"/>
      <c r="J173" s="778"/>
      <c r="K173" s="778"/>
      <c r="L173" s="778"/>
      <c r="M173" s="778"/>
      <c r="N173" s="778"/>
      <c r="O173" s="778"/>
    </row>
    <row r="174" spans="2:17" hidden="1" x14ac:dyDescent="0.35">
      <c r="B174" s="779"/>
      <c r="C174" s="1055"/>
      <c r="D174" s="779"/>
      <c r="E174" s="779"/>
      <c r="F174" s="778"/>
      <c r="G174" s="778"/>
      <c r="H174" s="778"/>
      <c r="I174" s="778"/>
      <c r="J174" s="778"/>
      <c r="K174" s="778"/>
      <c r="L174" s="778"/>
      <c r="M174" s="778"/>
      <c r="N174" s="778"/>
      <c r="O174" s="778"/>
    </row>
    <row r="175" spans="2:17" hidden="1" x14ac:dyDescent="0.35">
      <c r="B175" s="779"/>
      <c r="C175" s="1025"/>
      <c r="D175" s="779"/>
      <c r="E175" s="779"/>
      <c r="F175" s="778"/>
      <c r="G175" s="778"/>
      <c r="H175" s="778"/>
      <c r="I175" s="778"/>
      <c r="J175" s="778"/>
      <c r="K175" s="778"/>
      <c r="L175" s="778"/>
      <c r="M175" s="778"/>
      <c r="N175" s="778"/>
      <c r="O175" s="778"/>
    </row>
    <row r="176" spans="2:17" hidden="1" x14ac:dyDescent="0.35">
      <c r="B176" s="779"/>
      <c r="C176" s="1055"/>
      <c r="D176" s="779"/>
      <c r="E176" s="779"/>
      <c r="F176" s="778"/>
      <c r="G176" s="778"/>
      <c r="H176" s="778"/>
      <c r="I176" s="778"/>
      <c r="J176" s="778"/>
      <c r="K176" s="778"/>
      <c r="L176" s="778"/>
      <c r="M176" s="778"/>
      <c r="N176" s="778"/>
      <c r="O176" s="778"/>
    </row>
    <row r="177" spans="2:17" x14ac:dyDescent="0.35">
      <c r="B177" s="779"/>
      <c r="C177" s="1008" t="str">
        <f>+C159</f>
        <v>Vehicles</v>
      </c>
      <c r="D177" s="778"/>
      <c r="E177" s="778"/>
      <c r="F177" s="778"/>
      <c r="G177" s="778"/>
      <c r="H177" s="778"/>
      <c r="I177" s="685">
        <f>+O159</f>
        <v>0</v>
      </c>
      <c r="J177" s="685">
        <f>+'F4.2'!X23</f>
        <v>0</v>
      </c>
      <c r="K177" s="685">
        <f>+'F4.2'!AX23</f>
        <v>0</v>
      </c>
      <c r="L177" s="778"/>
      <c r="M177" s="778"/>
      <c r="N177" s="459">
        <f>SUM(K177:M177)</f>
        <v>0</v>
      </c>
      <c r="O177" s="1037">
        <f>I177+J177-N177</f>
        <v>0</v>
      </c>
    </row>
    <row r="178" spans="2:17" x14ac:dyDescent="0.35">
      <c r="B178" s="779"/>
      <c r="C178" s="1008" t="str">
        <f>+C160</f>
        <v>I.T. equipments</v>
      </c>
      <c r="D178" s="778"/>
      <c r="E178" s="778"/>
      <c r="F178" s="778"/>
      <c r="G178" s="778"/>
      <c r="H178" s="778"/>
      <c r="I178" s="685">
        <f>+O160</f>
        <v>0</v>
      </c>
      <c r="J178" s="685">
        <f>+'F4.2'!X24</f>
        <v>5.2556599999999997E-3</v>
      </c>
      <c r="K178" s="685">
        <f>+'F4.2'!AX24</f>
        <v>5.2556599999999997E-3</v>
      </c>
      <c r="L178" s="778"/>
      <c r="M178" s="778"/>
      <c r="N178" s="459">
        <f>SUM(K178:M178)</f>
        <v>5.2556599999999997E-3</v>
      </c>
      <c r="O178" s="1037">
        <f>I178+J178-N178</f>
        <v>0</v>
      </c>
    </row>
    <row r="179" spans="2:17" x14ac:dyDescent="0.35">
      <c r="B179" s="779"/>
      <c r="C179" s="1008" t="str">
        <f>+C161</f>
        <v>Office furniture and fittings</v>
      </c>
      <c r="D179" s="778"/>
      <c r="E179" s="778"/>
      <c r="F179" s="778"/>
      <c r="G179" s="778"/>
      <c r="H179" s="778"/>
      <c r="I179" s="685">
        <f>+O161</f>
        <v>0</v>
      </c>
      <c r="J179" s="685">
        <f>+'F4.2'!X25</f>
        <v>5.2214999999999996E-3</v>
      </c>
      <c r="K179" s="685">
        <f>+'F4.2'!AX25</f>
        <v>5.2214999999999996E-3</v>
      </c>
      <c r="L179" s="778"/>
      <c r="M179" s="778"/>
      <c r="N179" s="459">
        <f>SUM(K179:M179)</f>
        <v>5.2214999999999996E-3</v>
      </c>
      <c r="O179" s="1037">
        <f>I179+J179-N179</f>
        <v>0</v>
      </c>
    </row>
    <row r="180" spans="2:17" x14ac:dyDescent="0.35">
      <c r="B180" s="779"/>
      <c r="C180" s="1008" t="str">
        <f>+C162</f>
        <v>Office equipments</v>
      </c>
      <c r="D180" s="778"/>
      <c r="E180" s="778"/>
      <c r="F180" s="778"/>
      <c r="G180" s="778"/>
      <c r="H180" s="778"/>
      <c r="I180" s="685">
        <f>+O162</f>
        <v>0</v>
      </c>
      <c r="J180" s="685">
        <f>+'F4.2'!X26</f>
        <v>2.5886250000000002E-3</v>
      </c>
      <c r="K180" s="685">
        <f>+'F4.2'!AX26</f>
        <v>2.5886250000000002E-3</v>
      </c>
      <c r="L180" s="778"/>
      <c r="M180" s="778"/>
      <c r="N180" s="459">
        <f>SUM(K180:M180)</f>
        <v>2.5886250000000002E-3</v>
      </c>
      <c r="O180" s="1037">
        <f>I180+J180-N180</f>
        <v>0</v>
      </c>
    </row>
    <row r="181" spans="2:17" x14ac:dyDescent="0.35">
      <c r="B181" s="779"/>
      <c r="C181" s="1008" t="str">
        <f>+C163</f>
        <v>Software Licenses</v>
      </c>
      <c r="D181" s="778"/>
      <c r="E181" s="778"/>
      <c r="F181" s="778"/>
      <c r="G181" s="778"/>
      <c r="H181" s="778"/>
      <c r="I181" s="685">
        <f>+O163</f>
        <v>0</v>
      </c>
      <c r="J181" s="685">
        <f>+'F4.2'!X27</f>
        <v>0</v>
      </c>
      <c r="K181" s="685">
        <f>+'F4.2'!AX27</f>
        <v>0</v>
      </c>
      <c r="L181" s="778"/>
      <c r="M181" s="778"/>
      <c r="N181" s="459">
        <f>SUM(K181:M181)</f>
        <v>0</v>
      </c>
      <c r="O181" s="1037">
        <f>I181+J181-N181</f>
        <v>0</v>
      </c>
    </row>
    <row r="182" spans="2:17" x14ac:dyDescent="0.35">
      <c r="B182" s="779"/>
      <c r="C182" s="1008"/>
      <c r="D182" s="778"/>
      <c r="E182" s="1007"/>
      <c r="F182" s="778"/>
      <c r="G182" s="778"/>
      <c r="H182" s="778"/>
      <c r="I182" s="778"/>
      <c r="J182" s="778"/>
      <c r="K182" s="778"/>
      <c r="L182" s="778"/>
      <c r="M182" s="778"/>
      <c r="N182" s="778"/>
      <c r="O182" s="778"/>
    </row>
    <row r="183" spans="2:17" x14ac:dyDescent="0.35">
      <c r="B183" s="1105"/>
      <c r="C183" s="1106"/>
      <c r="D183" s="1107"/>
      <c r="E183" s="1107"/>
      <c r="F183" s="1108">
        <f>SUM(F168:F182)</f>
        <v>87.491124900000003</v>
      </c>
      <c r="G183" s="1108">
        <f t="shared" ref="G183:O183" si="6">SUM(G168:G182)</f>
        <v>0</v>
      </c>
      <c r="H183" s="1108">
        <f t="shared" si="6"/>
        <v>0</v>
      </c>
      <c r="I183" s="1108">
        <f t="shared" si="6"/>
        <v>0</v>
      </c>
      <c r="J183" s="1108">
        <f t="shared" si="6"/>
        <v>1.3065785E-2</v>
      </c>
      <c r="K183" s="1108">
        <f t="shared" si="6"/>
        <v>1.3065785E-2</v>
      </c>
      <c r="L183" s="1108">
        <f t="shared" si="6"/>
        <v>0</v>
      </c>
      <c r="M183" s="1108">
        <f t="shared" si="6"/>
        <v>0</v>
      </c>
      <c r="N183" s="1108">
        <f t="shared" si="6"/>
        <v>1.3065785E-2</v>
      </c>
      <c r="O183" s="1108">
        <f t="shared" si="6"/>
        <v>0</v>
      </c>
      <c r="P183" s="1032"/>
      <c r="Q183" s="1032"/>
    </row>
    <row r="184" spans="2:17" x14ac:dyDescent="0.35">
      <c r="B184" s="779"/>
      <c r="C184" s="1055"/>
      <c r="D184" s="778"/>
      <c r="E184" s="778"/>
      <c r="F184" s="1116"/>
      <c r="G184" s="1116"/>
      <c r="H184" s="1116"/>
      <c r="I184" s="1116"/>
      <c r="J184" s="1116"/>
      <c r="K184" s="1116"/>
      <c r="L184" s="1116"/>
      <c r="M184" s="1116"/>
      <c r="N184" s="1116"/>
      <c r="O184" s="1116"/>
    </row>
    <row r="185" spans="2:17" x14ac:dyDescent="0.35">
      <c r="B185" s="779"/>
      <c r="C185" s="1006" t="s">
        <v>123</v>
      </c>
      <c r="D185" s="1006"/>
      <c r="E185" s="1006"/>
      <c r="F185" s="778"/>
      <c r="G185" s="778"/>
      <c r="H185" s="778"/>
      <c r="I185" s="778"/>
      <c r="J185" s="778"/>
      <c r="K185" s="778"/>
      <c r="L185" s="778"/>
      <c r="M185" s="778"/>
      <c r="N185" s="778"/>
      <c r="O185" s="778"/>
    </row>
    <row r="186" spans="2:17" x14ac:dyDescent="0.35">
      <c r="B186" s="779"/>
      <c r="C186" s="1006" t="s">
        <v>476</v>
      </c>
      <c r="D186" s="1006"/>
      <c r="E186" s="1006"/>
      <c r="F186" s="778"/>
      <c r="G186" s="778"/>
      <c r="H186" s="778"/>
      <c r="I186" s="778"/>
      <c r="J186" s="778"/>
      <c r="K186" s="778"/>
      <c r="L186" s="778"/>
      <c r="M186" s="778"/>
      <c r="N186" s="778"/>
      <c r="O186" s="778"/>
    </row>
    <row r="187" spans="2:17" x14ac:dyDescent="0.35">
      <c r="B187" s="779"/>
      <c r="C187" s="1007" t="s">
        <v>477</v>
      </c>
      <c r="D187" s="1007"/>
      <c r="E187" s="1007"/>
      <c r="F187" s="778"/>
      <c r="G187" s="778"/>
      <c r="H187" s="778"/>
      <c r="I187" s="778"/>
      <c r="J187" s="778"/>
      <c r="K187" s="778"/>
      <c r="L187" s="778"/>
      <c r="M187" s="778"/>
      <c r="N187" s="778"/>
      <c r="O187" s="778"/>
    </row>
    <row r="188" spans="2:17" ht="25.5" x14ac:dyDescent="0.35">
      <c r="B188" s="779"/>
      <c r="C188" s="1039" t="str">
        <f>+C170</f>
        <v>Approved Capital Cost of Distribution System without IDC and Cost of Smart Meters</v>
      </c>
      <c r="D188" s="1039" t="str">
        <f>+D170</f>
        <v>MERC/CAPEX2017-18/4787</v>
      </c>
      <c r="E188" s="1114">
        <f>+E170</f>
        <v>43067</v>
      </c>
      <c r="F188" s="1115">
        <f>F174</f>
        <v>0</v>
      </c>
      <c r="G188" s="778"/>
      <c r="H188" s="778"/>
      <c r="I188" s="1037">
        <f>O174</f>
        <v>0</v>
      </c>
      <c r="J188" s="1037">
        <f>N188+O188-I188</f>
        <v>0</v>
      </c>
      <c r="K188" s="778"/>
      <c r="L188" s="778"/>
      <c r="M188" s="778"/>
      <c r="N188" s="685">
        <v>0</v>
      </c>
      <c r="O188" s="1037">
        <v>0</v>
      </c>
    </row>
    <row r="189" spans="2:17" x14ac:dyDescent="0.35">
      <c r="B189" s="779"/>
      <c r="C189" s="1039"/>
      <c r="D189" s="1039"/>
      <c r="E189" s="1114"/>
      <c r="F189" s="1115"/>
      <c r="G189" s="778"/>
      <c r="H189" s="778"/>
      <c r="I189" s="1037"/>
      <c r="J189" s="1037"/>
      <c r="K189" s="778"/>
      <c r="L189" s="778"/>
      <c r="M189" s="778"/>
      <c r="N189" s="685"/>
      <c r="O189" s="1037"/>
    </row>
    <row r="190" spans="2:17" x14ac:dyDescent="0.35">
      <c r="B190" s="779"/>
      <c r="C190" s="779" t="s">
        <v>479</v>
      </c>
      <c r="D190" s="779"/>
      <c r="E190" s="779"/>
      <c r="F190" s="778"/>
      <c r="G190" s="778"/>
      <c r="H190" s="778"/>
      <c r="I190" s="778"/>
      <c r="J190" s="778"/>
      <c r="K190" s="778"/>
      <c r="L190" s="778"/>
      <c r="M190" s="778"/>
      <c r="N190" s="778"/>
      <c r="O190" s="778"/>
    </row>
    <row r="191" spans="2:17" hidden="1" x14ac:dyDescent="0.35">
      <c r="B191" s="779"/>
      <c r="C191" s="1008"/>
      <c r="D191" s="779"/>
      <c r="E191" s="779"/>
      <c r="F191" s="778"/>
      <c r="G191" s="778"/>
      <c r="H191" s="778"/>
      <c r="I191" s="778"/>
      <c r="J191" s="778"/>
      <c r="K191" s="778"/>
      <c r="L191" s="778"/>
      <c r="M191" s="778"/>
      <c r="N191" s="778"/>
      <c r="O191" s="778"/>
    </row>
    <row r="192" spans="2:17" hidden="1" x14ac:dyDescent="0.35">
      <c r="B192" s="779"/>
      <c r="C192" s="1055"/>
      <c r="D192" s="779"/>
      <c r="E192" s="779"/>
      <c r="F192" s="778"/>
      <c r="G192" s="778"/>
      <c r="H192" s="778"/>
      <c r="I192" s="778"/>
      <c r="J192" s="778"/>
      <c r="K192" s="778"/>
      <c r="L192" s="778"/>
      <c r="M192" s="778"/>
      <c r="N192" s="778"/>
      <c r="O192" s="778"/>
    </row>
    <row r="193" spans="2:28" hidden="1" x14ac:dyDescent="0.35">
      <c r="B193" s="779"/>
      <c r="C193" s="1025"/>
      <c r="D193" s="779"/>
      <c r="E193" s="779"/>
      <c r="F193" s="778"/>
      <c r="G193" s="778"/>
      <c r="H193" s="778"/>
      <c r="I193" s="778"/>
      <c r="J193" s="778"/>
      <c r="K193" s="778"/>
      <c r="L193" s="778"/>
      <c r="M193" s="778"/>
      <c r="N193" s="778"/>
      <c r="O193" s="778"/>
    </row>
    <row r="194" spans="2:28" hidden="1" x14ac:dyDescent="0.35">
      <c r="B194" s="779"/>
      <c r="C194" s="1055"/>
      <c r="D194" s="779"/>
      <c r="E194" s="779"/>
      <c r="F194" s="778"/>
      <c r="G194" s="778"/>
      <c r="H194" s="778"/>
      <c r="I194" s="778"/>
      <c r="J194" s="778"/>
      <c r="K194" s="778"/>
      <c r="L194" s="778"/>
      <c r="M194" s="778"/>
      <c r="N194" s="778"/>
      <c r="O194" s="778"/>
    </row>
    <row r="195" spans="2:28" x14ac:dyDescent="0.35">
      <c r="B195" s="779"/>
      <c r="C195" s="1008" t="str">
        <f>+C177</f>
        <v>Vehicles</v>
      </c>
      <c r="D195" s="778"/>
      <c r="E195" s="778"/>
      <c r="F195" s="778"/>
      <c r="G195" s="778"/>
      <c r="H195" s="778"/>
      <c r="I195" s="685">
        <f>+O177</f>
        <v>0</v>
      </c>
      <c r="J195" s="685">
        <f>+'F4.2'!X41</f>
        <v>0</v>
      </c>
      <c r="K195" s="685">
        <f>+'F4.2'!AX41</f>
        <v>0</v>
      </c>
      <c r="L195" s="778"/>
      <c r="M195" s="778"/>
      <c r="N195" s="459">
        <f>SUM(K195:M195)</f>
        <v>0</v>
      </c>
      <c r="O195" s="1037">
        <f>I195+J195-N195</f>
        <v>0</v>
      </c>
    </row>
    <row r="196" spans="2:28" x14ac:dyDescent="0.35">
      <c r="B196" s="779"/>
      <c r="C196" s="1008" t="str">
        <f>+C178</f>
        <v>I.T. equipments</v>
      </c>
      <c r="D196" s="778"/>
      <c r="E196" s="778"/>
      <c r="F196" s="778"/>
      <c r="G196" s="778"/>
      <c r="H196" s="778"/>
      <c r="I196" s="685">
        <f>+O178</f>
        <v>0</v>
      </c>
      <c r="J196" s="685">
        <f>+'F4.2'!X42</f>
        <v>0</v>
      </c>
      <c r="K196" s="685">
        <f>+'F4.2'!AX42</f>
        <v>0</v>
      </c>
      <c r="L196" s="778"/>
      <c r="M196" s="778"/>
      <c r="N196" s="459">
        <f>SUM(K196:M196)</f>
        <v>0</v>
      </c>
      <c r="O196" s="1037">
        <f>I196+J196-N196</f>
        <v>0</v>
      </c>
    </row>
    <row r="197" spans="2:28" x14ac:dyDescent="0.35">
      <c r="B197" s="779"/>
      <c r="C197" s="1008" t="str">
        <f>+C179</f>
        <v>Office furniture and fittings</v>
      </c>
      <c r="D197" s="778"/>
      <c r="E197" s="778"/>
      <c r="F197" s="778"/>
      <c r="G197" s="778"/>
      <c r="H197" s="778"/>
      <c r="I197" s="685">
        <f>+O179</f>
        <v>0</v>
      </c>
      <c r="J197" s="685">
        <f>+'F4.2'!X43</f>
        <v>0</v>
      </c>
      <c r="K197" s="685">
        <f>+'F4.2'!AX43</f>
        <v>0</v>
      </c>
      <c r="L197" s="778"/>
      <c r="M197" s="778"/>
      <c r="N197" s="459">
        <f>SUM(K197:M197)</f>
        <v>0</v>
      </c>
      <c r="O197" s="1037">
        <f>I197+J197-N197</f>
        <v>0</v>
      </c>
    </row>
    <row r="198" spans="2:28" x14ac:dyDescent="0.35">
      <c r="B198" s="779"/>
      <c r="C198" s="1008" t="str">
        <f>+C180</f>
        <v>Office equipments</v>
      </c>
      <c r="D198" s="778"/>
      <c r="E198" s="778"/>
      <c r="F198" s="778"/>
      <c r="G198" s="778"/>
      <c r="H198" s="778"/>
      <c r="I198" s="685">
        <f>+O180</f>
        <v>0</v>
      </c>
      <c r="J198" s="685">
        <f>+'F4.2'!X44</f>
        <v>0</v>
      </c>
      <c r="K198" s="685">
        <f>+'F4.2'!AX44</f>
        <v>0</v>
      </c>
      <c r="L198" s="778"/>
      <c r="M198" s="778"/>
      <c r="N198" s="459">
        <f>SUM(K198:M198)</f>
        <v>0</v>
      </c>
      <c r="O198" s="1037">
        <f>I198+J198-N198</f>
        <v>0</v>
      </c>
    </row>
    <row r="199" spans="2:28" x14ac:dyDescent="0.35">
      <c r="B199" s="779"/>
      <c r="C199" s="1008" t="str">
        <f>+C181</f>
        <v>Software Licenses</v>
      </c>
      <c r="D199" s="778"/>
      <c r="E199" s="778"/>
      <c r="F199" s="778"/>
      <c r="G199" s="778"/>
      <c r="H199" s="778"/>
      <c r="I199" s="685">
        <f>+O181</f>
        <v>0</v>
      </c>
      <c r="J199" s="685">
        <f>+'F4.2'!X45</f>
        <v>0</v>
      </c>
      <c r="K199" s="685">
        <f>+'F4.2'!AX45</f>
        <v>0</v>
      </c>
      <c r="L199" s="778"/>
      <c r="M199" s="778"/>
      <c r="N199" s="459">
        <f>SUM(K199:M199)</f>
        <v>0</v>
      </c>
      <c r="O199" s="1037">
        <f>I199+J199-N199</f>
        <v>0</v>
      </c>
    </row>
    <row r="200" spans="2:28" x14ac:dyDescent="0.35">
      <c r="B200" s="779"/>
      <c r="C200" s="1008"/>
      <c r="D200" s="778"/>
      <c r="E200" s="1007"/>
      <c r="F200" s="778"/>
      <c r="G200" s="778"/>
      <c r="H200" s="778"/>
      <c r="I200" s="778"/>
      <c r="J200" s="778"/>
      <c r="K200" s="778"/>
      <c r="L200" s="778"/>
      <c r="M200" s="778"/>
      <c r="N200" s="778"/>
      <c r="O200" s="778"/>
    </row>
    <row r="201" spans="2:28" x14ac:dyDescent="0.35">
      <c r="B201" s="1105"/>
      <c r="C201" s="1106"/>
      <c r="D201" s="1107"/>
      <c r="E201" s="1107"/>
      <c r="F201" s="1108">
        <f>SUM(F186:F200)</f>
        <v>0</v>
      </c>
      <c r="G201" s="1108">
        <f t="shared" ref="G201:O201" si="7">SUM(G186:G200)</f>
        <v>0</v>
      </c>
      <c r="H201" s="1108">
        <f t="shared" si="7"/>
        <v>0</v>
      </c>
      <c r="I201" s="1108">
        <f t="shared" si="7"/>
        <v>0</v>
      </c>
      <c r="J201" s="1108">
        <f t="shared" si="7"/>
        <v>0</v>
      </c>
      <c r="K201" s="1108">
        <f t="shared" si="7"/>
        <v>0</v>
      </c>
      <c r="L201" s="1108">
        <f t="shared" si="7"/>
        <v>0</v>
      </c>
      <c r="M201" s="1108">
        <f t="shared" si="7"/>
        <v>0</v>
      </c>
      <c r="N201" s="1108">
        <f t="shared" si="7"/>
        <v>0</v>
      </c>
      <c r="O201" s="1108">
        <f t="shared" si="7"/>
        <v>0</v>
      </c>
      <c r="P201" s="1032"/>
      <c r="Q201" s="1032"/>
    </row>
    <row r="202" spans="2:28" x14ac:dyDescent="0.35">
      <c r="B202" s="778"/>
      <c r="C202" s="778"/>
      <c r="D202" s="778"/>
      <c r="E202" s="778"/>
      <c r="F202" s="778"/>
      <c r="G202" s="778"/>
      <c r="H202" s="778"/>
      <c r="I202" s="778"/>
      <c r="J202" s="778"/>
      <c r="K202" s="778"/>
      <c r="L202" s="778"/>
      <c r="M202" s="778"/>
      <c r="N202" s="778"/>
      <c r="O202" s="778"/>
    </row>
    <row r="203" spans="2:28" x14ac:dyDescent="0.35">
      <c r="B203" s="1028"/>
      <c r="C203" s="1027" t="s">
        <v>480</v>
      </c>
      <c r="D203" s="1027"/>
      <c r="E203" s="1027"/>
      <c r="F203" s="1117">
        <f>F55</f>
        <v>87.491124900000003</v>
      </c>
      <c r="G203" s="1027"/>
      <c r="H203" s="1027"/>
      <c r="I203" s="1117">
        <f>I69</f>
        <v>46.440812358999999</v>
      </c>
      <c r="J203" s="1118">
        <f>J69+J86+J109+J128+J151+J165+J183</f>
        <v>26.43561432745879</v>
      </c>
      <c r="K203" s="1118">
        <f>K69+K86+K109+K128+K151+K165+K183</f>
        <v>54.16579396218323</v>
      </c>
      <c r="L203" s="1118">
        <f>L69+L86+L109+L128+L151+L165+L183</f>
        <v>5.6108238551829164</v>
      </c>
      <c r="M203" s="1118">
        <f>M69+M86+M109+M128+M151+M165+M183</f>
        <v>13.099808869092648</v>
      </c>
      <c r="N203" s="1118">
        <f>N69+N86+N109+N128+N151+N165+N183</f>
        <v>72.876426686458771</v>
      </c>
      <c r="O203" s="1118">
        <f>+I203+J203-N203</f>
        <v>0</v>
      </c>
    </row>
    <row r="205" spans="2:28" x14ac:dyDescent="0.35">
      <c r="C205" s="996" t="s">
        <v>149</v>
      </c>
      <c r="D205" s="994"/>
      <c r="E205" s="994"/>
      <c r="F205" s="994"/>
      <c r="G205" s="994"/>
      <c r="H205" s="995"/>
      <c r="I205" s="460"/>
      <c r="J205" s="460"/>
      <c r="K205" s="460"/>
      <c r="L205" s="460"/>
      <c r="M205" s="460"/>
      <c r="N205" s="460"/>
      <c r="O205" s="460"/>
      <c r="P205" s="460"/>
      <c r="Q205" s="460"/>
      <c r="R205" s="460"/>
      <c r="S205" s="460"/>
      <c r="T205" s="460"/>
      <c r="U205" s="460"/>
      <c r="V205" s="460"/>
      <c r="W205" s="460"/>
      <c r="X205" s="460"/>
      <c r="Y205" s="460"/>
      <c r="Z205" s="460"/>
      <c r="AA205" s="460"/>
      <c r="AB205" s="460"/>
    </row>
    <row r="206" spans="2:28" x14ac:dyDescent="0.35">
      <c r="C206" s="996"/>
      <c r="D206" s="994"/>
      <c r="E206" s="994"/>
      <c r="F206" s="994"/>
      <c r="G206" s="994"/>
      <c r="H206" s="995"/>
      <c r="I206" s="460"/>
      <c r="J206" s="460"/>
      <c r="K206" s="460"/>
      <c r="L206" s="460"/>
      <c r="M206" s="460"/>
      <c r="N206" s="460"/>
      <c r="O206" s="460"/>
      <c r="P206" s="460"/>
      <c r="Q206" s="460"/>
      <c r="R206" s="460"/>
      <c r="S206" s="460"/>
      <c r="T206" s="460"/>
      <c r="U206" s="460"/>
      <c r="V206" s="460"/>
      <c r="W206" s="460"/>
      <c r="X206" s="460"/>
      <c r="Y206" s="460"/>
      <c r="Z206" s="460"/>
      <c r="AA206" s="460"/>
      <c r="AB206" s="460"/>
    </row>
    <row r="207" spans="2:28" ht="15.75" customHeight="1" x14ac:dyDescent="0.35">
      <c r="C207" s="995" t="s">
        <v>458</v>
      </c>
      <c r="D207" s="995"/>
      <c r="E207" s="995"/>
      <c r="F207" s="995"/>
      <c r="G207" s="995"/>
      <c r="I207" s="460"/>
      <c r="J207" s="460"/>
      <c r="K207" s="460"/>
      <c r="L207" s="460"/>
      <c r="M207" s="460"/>
      <c r="N207" s="460"/>
      <c r="O207" s="460"/>
      <c r="P207" s="460"/>
      <c r="Q207" s="460"/>
      <c r="R207" s="460"/>
      <c r="S207" s="460"/>
      <c r="T207" s="460"/>
      <c r="U207" s="460"/>
      <c r="V207" s="460"/>
      <c r="W207" s="460"/>
      <c r="X207" s="460"/>
      <c r="Y207" s="460"/>
      <c r="Z207" s="460"/>
      <c r="AA207" s="460"/>
      <c r="AB207" s="460"/>
    </row>
    <row r="208" spans="2:28" ht="15.75" customHeight="1" x14ac:dyDescent="0.35">
      <c r="C208" s="415"/>
      <c r="D208" s="415"/>
      <c r="E208" s="415"/>
      <c r="F208" s="415"/>
      <c r="G208" s="415"/>
      <c r="H208" s="415"/>
      <c r="I208" s="1054"/>
      <c r="J208" s="1054"/>
      <c r="K208" s="1054"/>
      <c r="L208" s="1054"/>
      <c r="M208" s="1054"/>
      <c r="O208" s="415" t="s">
        <v>110</v>
      </c>
      <c r="P208" s="460"/>
      <c r="Q208" s="460"/>
      <c r="R208" s="460"/>
      <c r="S208" s="460"/>
      <c r="T208" s="460"/>
      <c r="U208" s="460"/>
      <c r="V208" s="460"/>
      <c r="W208" s="460"/>
      <c r="X208" s="460"/>
      <c r="Y208" s="460"/>
      <c r="Z208" s="460"/>
      <c r="AA208" s="460"/>
      <c r="AB208" s="460"/>
    </row>
    <row r="209" spans="2:27" ht="25.5" customHeight="1" x14ac:dyDescent="0.35">
      <c r="B209" s="2027" t="s">
        <v>1</v>
      </c>
      <c r="C209" s="2027" t="s">
        <v>459</v>
      </c>
      <c r="D209" s="997" t="s">
        <v>461</v>
      </c>
      <c r="E209" s="2027" t="s">
        <v>462</v>
      </c>
      <c r="F209" s="2027" t="s">
        <v>1433</v>
      </c>
      <c r="G209" s="2027" t="s">
        <v>508</v>
      </c>
      <c r="H209" s="2027" t="s">
        <v>509</v>
      </c>
      <c r="I209" s="2027" t="s">
        <v>510</v>
      </c>
      <c r="J209" s="2027" t="s">
        <v>511</v>
      </c>
      <c r="K209" s="2045" t="s">
        <v>512</v>
      </c>
      <c r="L209" s="2046"/>
      <c r="M209" s="2046"/>
      <c r="N209" s="2047"/>
      <c r="O209" s="997" t="s">
        <v>513</v>
      </c>
      <c r="P209" s="460"/>
      <c r="Q209" s="460"/>
      <c r="T209" s="415"/>
      <c r="U209" s="415"/>
      <c r="V209" s="415"/>
      <c r="W209" s="415"/>
      <c r="X209" s="415"/>
      <c r="Y209" s="460"/>
      <c r="Z209" s="460"/>
      <c r="AA209" s="460"/>
    </row>
    <row r="210" spans="2:27" ht="12.6" customHeight="1" x14ac:dyDescent="0.35">
      <c r="B210" s="2039"/>
      <c r="C210" s="2039"/>
      <c r="D210" s="999"/>
      <c r="E210" s="2039"/>
      <c r="F210" s="2039"/>
      <c r="G210" s="2039"/>
      <c r="H210" s="2039"/>
      <c r="I210" s="2039"/>
      <c r="J210" s="2039"/>
      <c r="K210" s="2048"/>
      <c r="L210" s="2049"/>
      <c r="M210" s="2049"/>
      <c r="N210" s="2050"/>
      <c r="O210" s="2039"/>
    </row>
    <row r="211" spans="2:27" ht="25.5" x14ac:dyDescent="0.35">
      <c r="B211" s="2028"/>
      <c r="C211" s="2028"/>
      <c r="D211" s="1000"/>
      <c r="E211" s="2028"/>
      <c r="F211" s="2028"/>
      <c r="G211" s="2028"/>
      <c r="H211" s="2028"/>
      <c r="I211" s="2028"/>
      <c r="J211" s="2028"/>
      <c r="K211" s="1034" t="s">
        <v>514</v>
      </c>
      <c r="L211" s="1034" t="s">
        <v>515</v>
      </c>
      <c r="M211" s="1034" t="s">
        <v>516</v>
      </c>
      <c r="N211" s="1034" t="s">
        <v>517</v>
      </c>
      <c r="O211" s="2028"/>
    </row>
    <row r="212" spans="2:27" hidden="1" x14ac:dyDescent="0.35">
      <c r="B212" s="2026" t="s">
        <v>1</v>
      </c>
      <c r="C212" s="2026" t="s">
        <v>459</v>
      </c>
      <c r="D212" s="2026" t="s">
        <v>461</v>
      </c>
      <c r="E212" s="2026" t="s">
        <v>462</v>
      </c>
      <c r="F212" s="2026" t="s">
        <v>507</v>
      </c>
      <c r="G212" s="2026" t="s">
        <v>508</v>
      </c>
      <c r="H212" s="2026" t="s">
        <v>509</v>
      </c>
      <c r="I212" s="2026" t="s">
        <v>510</v>
      </c>
      <c r="J212" s="2026" t="s">
        <v>511</v>
      </c>
      <c r="K212" s="2026" t="s">
        <v>512</v>
      </c>
      <c r="L212" s="2026"/>
      <c r="M212" s="2026"/>
      <c r="N212" s="2026"/>
      <c r="O212" s="2026" t="s">
        <v>513</v>
      </c>
    </row>
    <row r="213" spans="2:27" hidden="1" x14ac:dyDescent="0.35">
      <c r="B213" s="2026"/>
      <c r="C213" s="2026"/>
      <c r="D213" s="2026"/>
      <c r="E213" s="2026"/>
      <c r="F213" s="2026"/>
      <c r="G213" s="2026"/>
      <c r="H213" s="2026"/>
      <c r="I213" s="2026"/>
      <c r="J213" s="2026"/>
      <c r="K213" s="2026"/>
      <c r="L213" s="2026"/>
      <c r="M213" s="2026"/>
      <c r="N213" s="2026"/>
      <c r="O213" s="2026"/>
    </row>
    <row r="214" spans="2:27" ht="25.5" hidden="1" x14ac:dyDescent="0.35">
      <c r="B214" s="2026"/>
      <c r="C214" s="2026"/>
      <c r="D214" s="2026"/>
      <c r="E214" s="2026"/>
      <c r="F214" s="2026"/>
      <c r="G214" s="2026"/>
      <c r="H214" s="2026"/>
      <c r="I214" s="2026"/>
      <c r="J214" s="2026"/>
      <c r="K214" s="1034" t="s">
        <v>514</v>
      </c>
      <c r="L214" s="1034" t="s">
        <v>515</v>
      </c>
      <c r="M214" s="1034" t="s">
        <v>516</v>
      </c>
      <c r="N214" s="1034" t="s">
        <v>517</v>
      </c>
      <c r="O214" s="2026"/>
    </row>
    <row r="215" spans="2:27" hidden="1" x14ac:dyDescent="0.35">
      <c r="B215" s="779"/>
      <c r="C215" s="779" t="s">
        <v>1277</v>
      </c>
      <c r="D215" s="779"/>
      <c r="E215" s="779"/>
      <c r="F215" s="778"/>
      <c r="G215" s="778"/>
      <c r="H215" s="778"/>
      <c r="I215" s="778"/>
      <c r="J215" s="778"/>
      <c r="K215" s="778"/>
      <c r="L215" s="778"/>
      <c r="M215" s="778"/>
      <c r="N215" s="778"/>
      <c r="O215" s="778"/>
    </row>
    <row r="216" spans="2:27" hidden="1" x14ac:dyDescent="0.35">
      <c r="B216" s="779"/>
      <c r="C216" s="1006" t="s">
        <v>476</v>
      </c>
      <c r="D216" s="1006"/>
      <c r="E216" s="1006"/>
      <c r="F216" s="778"/>
      <c r="G216" s="778"/>
      <c r="H216" s="778"/>
      <c r="I216" s="778"/>
      <c r="J216" s="778"/>
      <c r="K216" s="778"/>
      <c r="L216" s="778"/>
      <c r="M216" s="778"/>
      <c r="N216" s="778"/>
      <c r="O216" s="778"/>
    </row>
    <row r="217" spans="2:27" hidden="1" x14ac:dyDescent="0.35">
      <c r="B217" s="779"/>
      <c r="C217" s="1007" t="s">
        <v>477</v>
      </c>
      <c r="D217" s="1007"/>
      <c r="E217" s="1007"/>
      <c r="F217" s="778"/>
      <c r="G217" s="778"/>
      <c r="H217" s="778"/>
      <c r="I217" s="778"/>
      <c r="J217" s="778"/>
      <c r="K217" s="778"/>
      <c r="L217" s="778"/>
      <c r="M217" s="778"/>
      <c r="N217" s="778"/>
      <c r="O217" s="778"/>
    </row>
    <row r="218" spans="2:27" hidden="1" x14ac:dyDescent="0.35">
      <c r="B218" s="779"/>
      <c r="C218" s="1008"/>
      <c r="D218" s="1007"/>
      <c r="E218" s="1007"/>
      <c r="F218" s="778"/>
      <c r="G218" s="778"/>
      <c r="H218" s="778"/>
      <c r="I218" s="778"/>
      <c r="J218" s="778"/>
      <c r="K218" s="778"/>
      <c r="L218" s="778"/>
      <c r="M218" s="778"/>
      <c r="N218" s="702"/>
      <c r="O218" s="778"/>
    </row>
    <row r="219" spans="2:27" hidden="1" x14ac:dyDescent="0.35">
      <c r="B219" s="779"/>
      <c r="C219" s="1007"/>
      <c r="D219" s="1007"/>
      <c r="E219" s="1007"/>
      <c r="F219" s="778"/>
      <c r="G219" s="778"/>
      <c r="H219" s="778"/>
      <c r="I219" s="778"/>
      <c r="J219" s="778"/>
      <c r="K219" s="778"/>
      <c r="L219" s="778"/>
      <c r="M219" s="778"/>
      <c r="N219" s="778"/>
      <c r="O219" s="778"/>
    </row>
    <row r="220" spans="2:27" hidden="1" x14ac:dyDescent="0.35">
      <c r="B220" s="779"/>
      <c r="C220" s="778" t="s">
        <v>239</v>
      </c>
      <c r="D220" s="778"/>
      <c r="E220" s="778"/>
      <c r="F220" s="778"/>
      <c r="G220" s="778"/>
      <c r="H220" s="778"/>
      <c r="I220" s="778"/>
      <c r="J220" s="778"/>
      <c r="K220" s="778"/>
      <c r="L220" s="778"/>
      <c r="M220" s="778"/>
      <c r="N220" s="778"/>
      <c r="O220" s="778"/>
    </row>
    <row r="221" spans="2:27" hidden="1" x14ac:dyDescent="0.35">
      <c r="B221" s="779"/>
      <c r="C221" s="778" t="s">
        <v>239</v>
      </c>
      <c r="D221" s="778"/>
      <c r="E221" s="778"/>
      <c r="F221" s="778"/>
      <c r="G221" s="778"/>
      <c r="H221" s="778"/>
      <c r="I221" s="778"/>
      <c r="J221" s="778"/>
      <c r="K221" s="778"/>
      <c r="L221" s="778"/>
      <c r="M221" s="778"/>
      <c r="N221" s="778"/>
      <c r="O221" s="778"/>
    </row>
    <row r="222" spans="2:27" hidden="1" x14ac:dyDescent="0.35">
      <c r="B222" s="779"/>
      <c r="C222" s="1007" t="s">
        <v>478</v>
      </c>
      <c r="D222" s="1007"/>
      <c r="E222" s="1007"/>
      <c r="F222" s="778"/>
      <c r="G222" s="778"/>
      <c r="H222" s="778"/>
      <c r="I222" s="778"/>
      <c r="J222" s="778"/>
      <c r="K222" s="778"/>
      <c r="L222" s="778"/>
      <c r="M222" s="778"/>
      <c r="N222" s="778"/>
      <c r="O222" s="778"/>
    </row>
    <row r="223" spans="2:27" hidden="1" x14ac:dyDescent="0.35">
      <c r="B223" s="779"/>
      <c r="C223" s="778" t="s">
        <v>239</v>
      </c>
      <c r="D223" s="778"/>
      <c r="E223" s="778"/>
      <c r="F223" s="778"/>
      <c r="G223" s="778"/>
      <c r="H223" s="778"/>
      <c r="I223" s="778"/>
      <c r="J223" s="778"/>
      <c r="K223" s="778"/>
      <c r="L223" s="778"/>
      <c r="M223" s="778"/>
      <c r="N223" s="778"/>
      <c r="O223" s="778"/>
    </row>
    <row r="224" spans="2:27" hidden="1" x14ac:dyDescent="0.35">
      <c r="B224" s="779"/>
      <c r="C224" s="778" t="s">
        <v>239</v>
      </c>
      <c r="D224" s="778"/>
      <c r="E224" s="778"/>
      <c r="F224" s="778"/>
      <c r="G224" s="778"/>
      <c r="H224" s="778"/>
      <c r="I224" s="778"/>
      <c r="J224" s="778"/>
      <c r="K224" s="778"/>
      <c r="L224" s="778"/>
      <c r="M224" s="778"/>
      <c r="N224" s="778"/>
      <c r="O224" s="778"/>
    </row>
    <row r="225" spans="2:15" hidden="1" x14ac:dyDescent="0.35">
      <c r="B225" s="779"/>
      <c r="C225" s="779" t="s">
        <v>479</v>
      </c>
      <c r="D225" s="779"/>
      <c r="E225" s="779"/>
      <c r="F225" s="778"/>
      <c r="G225" s="778"/>
      <c r="H225" s="778"/>
      <c r="I225" s="778"/>
      <c r="J225" s="778"/>
      <c r="K225" s="778"/>
      <c r="L225" s="778"/>
      <c r="M225" s="778"/>
      <c r="N225" s="778"/>
      <c r="O225" s="778"/>
    </row>
    <row r="226" spans="2:15" hidden="1" x14ac:dyDescent="0.35">
      <c r="B226" s="779"/>
      <c r="C226" s="779"/>
      <c r="D226" s="779"/>
      <c r="E226" s="779"/>
      <c r="F226" s="778"/>
      <c r="G226" s="778"/>
      <c r="H226" s="778"/>
      <c r="I226" s="778"/>
      <c r="J226" s="778"/>
      <c r="K226" s="778"/>
      <c r="L226" s="778"/>
      <c r="M226" s="778"/>
      <c r="N226" s="778"/>
      <c r="O226" s="778"/>
    </row>
    <row r="227" spans="2:15" hidden="1" x14ac:dyDescent="0.35">
      <c r="B227" s="779"/>
      <c r="C227" s="779"/>
      <c r="D227" s="779"/>
      <c r="E227" s="779"/>
      <c r="F227" s="778"/>
      <c r="G227" s="778"/>
      <c r="H227" s="778"/>
      <c r="I227" s="778"/>
      <c r="J227" s="778"/>
      <c r="K227" s="778"/>
      <c r="L227" s="778"/>
      <c r="M227" s="778"/>
      <c r="N227" s="778"/>
      <c r="O227" s="778"/>
    </row>
    <row r="228" spans="2:15" hidden="1" x14ac:dyDescent="0.35">
      <c r="B228" s="779"/>
      <c r="C228" s="778" t="s">
        <v>239</v>
      </c>
      <c r="D228" s="778"/>
      <c r="E228" s="778"/>
      <c r="F228" s="778"/>
      <c r="G228" s="778"/>
      <c r="H228" s="778"/>
      <c r="I228" s="778"/>
      <c r="J228" s="778"/>
      <c r="K228" s="778"/>
      <c r="L228" s="778"/>
      <c r="M228" s="778"/>
      <c r="N228" s="778"/>
      <c r="O228" s="778"/>
    </row>
    <row r="229" spans="2:15" hidden="1" x14ac:dyDescent="0.35">
      <c r="B229" s="779"/>
      <c r="C229" s="778" t="s">
        <v>239</v>
      </c>
      <c r="D229" s="778"/>
      <c r="E229" s="778"/>
      <c r="F229" s="778"/>
      <c r="G229" s="778"/>
      <c r="H229" s="778"/>
      <c r="I229" s="778"/>
      <c r="J229" s="778"/>
      <c r="K229" s="778"/>
      <c r="L229" s="778"/>
      <c r="M229" s="778"/>
      <c r="N229" s="778"/>
      <c r="O229" s="778"/>
    </row>
    <row r="230" spans="2:15" hidden="1" x14ac:dyDescent="0.35">
      <c r="B230" s="779"/>
      <c r="C230" s="779" t="s">
        <v>195</v>
      </c>
      <c r="D230" s="779"/>
      <c r="E230" s="779"/>
      <c r="F230" s="778"/>
      <c r="G230" s="778"/>
      <c r="H230" s="778"/>
      <c r="I230" s="778"/>
      <c r="J230" s="778"/>
      <c r="K230" s="778"/>
      <c r="L230" s="778"/>
      <c r="M230" s="778"/>
      <c r="N230" s="778"/>
      <c r="O230" s="778"/>
    </row>
    <row r="231" spans="2:15" hidden="1" x14ac:dyDescent="0.35">
      <c r="B231" s="779"/>
      <c r="C231" s="1006" t="s">
        <v>476</v>
      </c>
      <c r="D231" s="1006"/>
      <c r="E231" s="1006"/>
      <c r="F231" s="778"/>
      <c r="G231" s="778"/>
      <c r="H231" s="778"/>
      <c r="I231" s="778"/>
      <c r="J231" s="778"/>
      <c r="K231" s="778"/>
      <c r="L231" s="778"/>
      <c r="M231" s="778"/>
      <c r="N231" s="778"/>
      <c r="O231" s="778"/>
    </row>
    <row r="232" spans="2:15" hidden="1" x14ac:dyDescent="0.35">
      <c r="B232" s="779"/>
      <c r="C232" s="1007" t="s">
        <v>477</v>
      </c>
      <c r="D232" s="1007"/>
      <c r="E232" s="1007"/>
      <c r="F232" s="778"/>
      <c r="G232" s="778"/>
      <c r="H232" s="778"/>
      <c r="I232" s="778"/>
      <c r="J232" s="778"/>
      <c r="K232" s="778"/>
      <c r="L232" s="778"/>
      <c r="M232" s="778"/>
      <c r="N232" s="778"/>
      <c r="O232" s="778"/>
    </row>
    <row r="233" spans="2:15" hidden="1" x14ac:dyDescent="0.35">
      <c r="B233" s="779"/>
      <c r="C233" s="1008"/>
      <c r="D233" s="1007"/>
      <c r="E233" s="1007"/>
      <c r="F233" s="778"/>
      <c r="G233" s="778"/>
      <c r="H233" s="778"/>
      <c r="I233" s="778"/>
      <c r="J233" s="778"/>
      <c r="K233" s="778"/>
      <c r="L233" s="778"/>
      <c r="M233" s="778"/>
      <c r="N233" s="702"/>
      <c r="O233" s="778"/>
    </row>
    <row r="234" spans="2:15" hidden="1" x14ac:dyDescent="0.35">
      <c r="B234" s="779"/>
      <c r="C234" s="1007"/>
      <c r="D234" s="1007"/>
      <c r="E234" s="1007"/>
      <c r="F234" s="778"/>
      <c r="G234" s="778"/>
      <c r="H234" s="778"/>
      <c r="I234" s="778"/>
      <c r="J234" s="778"/>
      <c r="K234" s="778"/>
      <c r="L234" s="778"/>
      <c r="M234" s="778"/>
      <c r="N234" s="778"/>
      <c r="O234" s="778"/>
    </row>
    <row r="235" spans="2:15" hidden="1" x14ac:dyDescent="0.35">
      <c r="B235" s="779"/>
      <c r="C235" s="778" t="s">
        <v>239</v>
      </c>
      <c r="D235" s="778"/>
      <c r="E235" s="778"/>
      <c r="F235" s="778"/>
      <c r="G235" s="778"/>
      <c r="H235" s="778"/>
      <c r="I235" s="778"/>
      <c r="J235" s="778"/>
      <c r="K235" s="778"/>
      <c r="L235" s="778"/>
      <c r="M235" s="778"/>
      <c r="N235" s="778"/>
      <c r="O235" s="778"/>
    </row>
    <row r="236" spans="2:15" hidden="1" x14ac:dyDescent="0.35">
      <c r="B236" s="779"/>
      <c r="C236" s="778" t="s">
        <v>239</v>
      </c>
      <c r="D236" s="778"/>
      <c r="E236" s="778"/>
      <c r="F236" s="778"/>
      <c r="G236" s="778"/>
      <c r="H236" s="778"/>
      <c r="I236" s="778"/>
      <c r="J236" s="778"/>
      <c r="K236" s="778"/>
      <c r="L236" s="778"/>
      <c r="M236" s="778"/>
      <c r="N236" s="778"/>
      <c r="O236" s="778"/>
    </row>
    <row r="237" spans="2:15" hidden="1" x14ac:dyDescent="0.35">
      <c r="B237" s="779"/>
      <c r="C237" s="1007" t="s">
        <v>478</v>
      </c>
      <c r="D237" s="1007"/>
      <c r="E237" s="1007"/>
      <c r="F237" s="778"/>
      <c r="G237" s="778"/>
      <c r="H237" s="778"/>
      <c r="I237" s="778"/>
      <c r="J237" s="778"/>
      <c r="K237" s="778"/>
      <c r="L237" s="778"/>
      <c r="M237" s="778"/>
      <c r="N237" s="778"/>
      <c r="O237" s="778"/>
    </row>
    <row r="238" spans="2:15" hidden="1" x14ac:dyDescent="0.35">
      <c r="B238" s="779"/>
      <c r="C238" s="778" t="s">
        <v>239</v>
      </c>
      <c r="D238" s="778"/>
      <c r="E238" s="778"/>
      <c r="F238" s="778"/>
      <c r="G238" s="778"/>
      <c r="H238" s="778"/>
      <c r="I238" s="778"/>
      <c r="J238" s="778"/>
      <c r="K238" s="778"/>
      <c r="L238" s="778"/>
      <c r="M238" s="778"/>
      <c r="N238" s="778"/>
      <c r="O238" s="778"/>
    </row>
    <row r="239" spans="2:15" hidden="1" x14ac:dyDescent="0.35">
      <c r="B239" s="779"/>
      <c r="C239" s="778" t="s">
        <v>239</v>
      </c>
      <c r="D239" s="778"/>
      <c r="E239" s="778"/>
      <c r="F239" s="778"/>
      <c r="G239" s="778"/>
      <c r="H239" s="778"/>
      <c r="I239" s="778"/>
      <c r="J239" s="778"/>
      <c r="K239" s="778"/>
      <c r="L239" s="778"/>
      <c r="M239" s="778"/>
      <c r="N239" s="778"/>
      <c r="O239" s="778"/>
    </row>
    <row r="240" spans="2:15" hidden="1" x14ac:dyDescent="0.35">
      <c r="B240" s="779"/>
      <c r="C240" s="779" t="s">
        <v>479</v>
      </c>
      <c r="D240" s="779"/>
      <c r="E240" s="779"/>
      <c r="F240" s="778"/>
      <c r="G240" s="778"/>
      <c r="H240" s="778"/>
      <c r="I240" s="778"/>
      <c r="J240" s="778"/>
      <c r="K240" s="778"/>
      <c r="L240" s="778"/>
      <c r="M240" s="778"/>
      <c r="N240" s="778"/>
      <c r="O240" s="778"/>
    </row>
    <row r="241" spans="2:17" hidden="1" x14ac:dyDescent="0.35">
      <c r="B241" s="779"/>
      <c r="C241" s="779"/>
      <c r="D241" s="779"/>
      <c r="E241" s="779"/>
      <c r="F241" s="778"/>
      <c r="G241" s="778"/>
      <c r="H241" s="778"/>
      <c r="I241" s="778"/>
      <c r="J241" s="778"/>
      <c r="K241" s="778"/>
      <c r="L241" s="778"/>
      <c r="M241" s="778"/>
      <c r="N241" s="778"/>
      <c r="O241" s="778"/>
    </row>
    <row r="242" spans="2:17" hidden="1" x14ac:dyDescent="0.35">
      <c r="B242" s="779"/>
      <c r="C242" s="779"/>
      <c r="D242" s="779"/>
      <c r="E242" s="779"/>
      <c r="F242" s="778"/>
      <c r="G242" s="778"/>
      <c r="H242" s="778"/>
      <c r="I242" s="778"/>
      <c r="J242" s="778"/>
      <c r="K242" s="778"/>
      <c r="L242" s="778"/>
      <c r="M242" s="778"/>
      <c r="N242" s="778"/>
      <c r="O242" s="778"/>
    </row>
    <row r="243" spans="2:17" hidden="1" x14ac:dyDescent="0.35">
      <c r="B243" s="779"/>
      <c r="C243" s="778" t="s">
        <v>239</v>
      </c>
      <c r="D243" s="778"/>
      <c r="E243" s="778"/>
      <c r="F243" s="778"/>
      <c r="G243" s="778"/>
      <c r="H243" s="778"/>
      <c r="I243" s="778"/>
      <c r="J243" s="778"/>
      <c r="K243" s="778"/>
      <c r="L243" s="778"/>
      <c r="M243" s="778"/>
      <c r="N243" s="778"/>
      <c r="O243" s="778"/>
    </row>
    <row r="244" spans="2:17" hidden="1" x14ac:dyDescent="0.35">
      <c r="B244" s="779"/>
      <c r="C244" s="778" t="s">
        <v>239</v>
      </c>
      <c r="D244" s="778"/>
      <c r="E244" s="778"/>
      <c r="F244" s="778"/>
      <c r="G244" s="778"/>
      <c r="H244" s="778"/>
      <c r="I244" s="778"/>
      <c r="J244" s="778"/>
      <c r="K244" s="778"/>
      <c r="L244" s="778"/>
      <c r="M244" s="778"/>
      <c r="N244" s="778"/>
      <c r="O244" s="778"/>
    </row>
    <row r="245" spans="2:17" hidden="1" x14ac:dyDescent="0.35">
      <c r="B245" s="779"/>
      <c r="C245" s="778"/>
      <c r="D245" s="778"/>
      <c r="E245" s="778"/>
      <c r="F245" s="778"/>
      <c r="G245" s="778"/>
      <c r="H245" s="778"/>
      <c r="I245" s="778"/>
      <c r="J245" s="778"/>
      <c r="K245" s="778"/>
      <c r="L245" s="778"/>
      <c r="M245" s="778"/>
      <c r="N245" s="778"/>
      <c r="O245" s="778"/>
    </row>
    <row r="246" spans="2:17" x14ac:dyDescent="0.35">
      <c r="B246" s="779"/>
      <c r="C246" s="779" t="s">
        <v>196</v>
      </c>
      <c r="D246" s="778"/>
      <c r="E246" s="778"/>
      <c r="F246" s="778"/>
      <c r="G246" s="778"/>
      <c r="H246" s="778"/>
      <c r="I246" s="778"/>
      <c r="J246" s="778"/>
      <c r="K246" s="778"/>
      <c r="L246" s="778"/>
      <c r="M246" s="778"/>
      <c r="N246" s="778"/>
      <c r="O246" s="778"/>
    </row>
    <row r="247" spans="2:17" x14ac:dyDescent="0.35">
      <c r="B247" s="779"/>
      <c r="C247" s="1006" t="s">
        <v>476</v>
      </c>
      <c r="D247" s="778"/>
      <c r="E247" s="778"/>
      <c r="F247" s="778"/>
      <c r="G247" s="778"/>
      <c r="H247" s="778"/>
      <c r="I247" s="778"/>
      <c r="J247" s="778"/>
      <c r="K247" s="778"/>
      <c r="L247" s="778"/>
      <c r="M247" s="778"/>
      <c r="N247" s="778"/>
      <c r="O247" s="778"/>
    </row>
    <row r="248" spans="2:17" x14ac:dyDescent="0.35">
      <c r="B248" s="779"/>
      <c r="C248" s="1007" t="s">
        <v>477</v>
      </c>
      <c r="D248" s="778"/>
      <c r="E248" s="778"/>
      <c r="F248" s="778"/>
      <c r="G248" s="778"/>
      <c r="H248" s="778"/>
      <c r="I248" s="778"/>
      <c r="J248" s="778"/>
      <c r="K248" s="778"/>
      <c r="L248" s="778"/>
      <c r="M248" s="778"/>
      <c r="N248" s="778"/>
      <c r="O248" s="778"/>
    </row>
    <row r="249" spans="2:17" x14ac:dyDescent="0.35">
      <c r="B249" s="779"/>
      <c r="C249" s="1008"/>
      <c r="D249" s="778"/>
      <c r="E249" s="778"/>
      <c r="F249" s="778"/>
      <c r="G249" s="778"/>
      <c r="H249" s="778"/>
      <c r="I249" s="778"/>
      <c r="J249" s="778"/>
      <c r="K249" s="778"/>
      <c r="L249" s="778"/>
      <c r="M249" s="778"/>
      <c r="N249" s="702"/>
      <c r="O249" s="778"/>
    </row>
    <row r="250" spans="2:17" x14ac:dyDescent="0.35">
      <c r="B250" s="779"/>
      <c r="C250" s="1007"/>
      <c r="D250" s="778"/>
      <c r="E250" s="778"/>
      <c r="F250" s="778"/>
      <c r="G250" s="778"/>
      <c r="H250" s="778"/>
      <c r="I250" s="778"/>
      <c r="J250" s="778"/>
      <c r="K250" s="778"/>
      <c r="L250" s="778"/>
      <c r="M250" s="778"/>
      <c r="N250" s="778"/>
      <c r="O250" s="778"/>
    </row>
    <row r="251" spans="2:17" x14ac:dyDescent="0.35">
      <c r="B251" s="779"/>
      <c r="C251" s="1007" t="s">
        <v>478</v>
      </c>
      <c r="D251" s="778"/>
      <c r="E251" s="778"/>
      <c r="F251" s="778"/>
      <c r="G251" s="778"/>
      <c r="H251" s="778"/>
      <c r="I251" s="778"/>
      <c r="J251" s="778"/>
      <c r="K251" s="778"/>
      <c r="L251" s="778"/>
      <c r="M251" s="778"/>
      <c r="N251" s="778"/>
      <c r="O251" s="778"/>
    </row>
    <row r="252" spans="2:17" x14ac:dyDescent="0.35">
      <c r="B252" s="779"/>
      <c r="C252" s="778" t="s">
        <v>239</v>
      </c>
      <c r="D252" s="778"/>
      <c r="E252" s="778"/>
      <c r="F252" s="778"/>
      <c r="G252" s="778"/>
      <c r="H252" s="778"/>
      <c r="I252" s="778"/>
      <c r="J252" s="778"/>
      <c r="K252" s="778"/>
      <c r="L252" s="778"/>
      <c r="M252" s="778"/>
      <c r="N252" s="778"/>
      <c r="O252" s="778"/>
    </row>
    <row r="253" spans="2:17" x14ac:dyDescent="0.35">
      <c r="B253" s="779"/>
      <c r="C253" s="778" t="s">
        <v>239</v>
      </c>
      <c r="D253" s="778"/>
      <c r="E253" s="778"/>
      <c r="F253" s="778"/>
      <c r="G253" s="778"/>
      <c r="H253" s="778"/>
      <c r="I253" s="778"/>
      <c r="J253" s="778"/>
      <c r="K253" s="778"/>
      <c r="L253" s="778"/>
      <c r="M253" s="778"/>
      <c r="N253" s="778"/>
      <c r="O253" s="778"/>
    </row>
    <row r="254" spans="2:17" x14ac:dyDescent="0.35">
      <c r="B254" s="779"/>
      <c r="C254" s="779" t="s">
        <v>479</v>
      </c>
      <c r="D254" s="778"/>
      <c r="E254" s="778"/>
      <c r="F254" s="778"/>
      <c r="G254" s="778"/>
      <c r="H254" s="778"/>
      <c r="I254" s="778"/>
      <c r="J254" s="778"/>
      <c r="K254" s="778"/>
      <c r="L254" s="778"/>
      <c r="M254" s="778"/>
      <c r="N254" s="778"/>
      <c r="O254" s="778"/>
    </row>
    <row r="255" spans="2:17" x14ac:dyDescent="0.35">
      <c r="B255" s="779"/>
      <c r="C255" s="778" t="str">
        <f>'F4.2'!C49</f>
        <v>Meters</v>
      </c>
      <c r="D255" s="778"/>
      <c r="E255" s="778"/>
      <c r="F255" s="778"/>
      <c r="G255" s="778"/>
      <c r="H255" s="778"/>
      <c r="I255" s="685">
        <v>0</v>
      </c>
      <c r="J255" s="1119">
        <v>1.7392771879519964</v>
      </c>
      <c r="K255" s="837">
        <f t="shared" ref="K255:K260" si="8">+N255-L255-M255</f>
        <v>0.48908190000000001</v>
      </c>
      <c r="L255" s="837"/>
      <c r="M255" s="837"/>
      <c r="N255" s="1050">
        <f>+'F4.1'!N361</f>
        <v>0.48908190000000001</v>
      </c>
      <c r="O255" s="1037">
        <f t="shared" ref="O255:O260" si="9">+I255+J255-N255</f>
        <v>1.2501952879519964</v>
      </c>
      <c r="P255" s="1032"/>
      <c r="Q255" s="1032"/>
    </row>
    <row r="256" spans="2:17" x14ac:dyDescent="0.35">
      <c r="B256" s="779"/>
      <c r="C256" s="778" t="str">
        <f>'F4.2'!C50</f>
        <v>Vehicles</v>
      </c>
      <c r="D256" s="778"/>
      <c r="E256" s="778"/>
      <c r="F256" s="778"/>
      <c r="G256" s="778"/>
      <c r="H256" s="778"/>
      <c r="I256" s="685">
        <v>0</v>
      </c>
      <c r="J256" s="1119">
        <f>+N256</f>
        <v>6.5979999999999977E-4</v>
      </c>
      <c r="K256" s="837">
        <f t="shared" si="8"/>
        <v>6.5979999999999977E-4</v>
      </c>
      <c r="L256" s="778"/>
      <c r="M256" s="778"/>
      <c r="N256" s="1050">
        <f>+'F4.1'!N362</f>
        <v>6.5979999999999977E-4</v>
      </c>
      <c r="O256" s="1037">
        <f t="shared" si="9"/>
        <v>0</v>
      </c>
    </row>
    <row r="257" spans="2:15" x14ac:dyDescent="0.35">
      <c r="B257" s="779"/>
      <c r="C257" s="778" t="str">
        <f>'F4.2'!C51</f>
        <v>I.T. equipments</v>
      </c>
      <c r="D257" s="778"/>
      <c r="E257" s="778"/>
      <c r="F257" s="778"/>
      <c r="G257" s="778"/>
      <c r="H257" s="778"/>
      <c r="I257" s="685">
        <v>0</v>
      </c>
      <c r="J257" s="1119">
        <f>+N257</f>
        <v>1.3571147499999998E-2</v>
      </c>
      <c r="K257" s="837">
        <f t="shared" si="8"/>
        <v>1.3571147499999998E-2</v>
      </c>
      <c r="L257" s="778"/>
      <c r="M257" s="778"/>
      <c r="N257" s="1050">
        <f>+'F4.1'!N363</f>
        <v>1.3571147499999998E-2</v>
      </c>
      <c r="O257" s="1037">
        <f t="shared" si="9"/>
        <v>0</v>
      </c>
    </row>
    <row r="258" spans="2:15" x14ac:dyDescent="0.35">
      <c r="B258" s="779"/>
      <c r="C258" s="778" t="str">
        <f>'F4.2'!C52</f>
        <v>Office furniture and fittings</v>
      </c>
      <c r="D258" s="778"/>
      <c r="E258" s="778"/>
      <c r="F258" s="778"/>
      <c r="G258" s="778"/>
      <c r="H258" s="778"/>
      <c r="I258" s="685">
        <v>0</v>
      </c>
      <c r="J258" s="1119">
        <f>+N258</f>
        <v>2.6759100000000001E-2</v>
      </c>
      <c r="K258" s="837">
        <f t="shared" si="8"/>
        <v>2.6759100000000001E-2</v>
      </c>
      <c r="L258" s="778"/>
      <c r="M258" s="778"/>
      <c r="N258" s="1050">
        <f>+'F4.1'!N364</f>
        <v>2.6759100000000001E-2</v>
      </c>
      <c r="O258" s="1037">
        <f t="shared" si="9"/>
        <v>0</v>
      </c>
    </row>
    <row r="259" spans="2:15" x14ac:dyDescent="0.35">
      <c r="B259" s="779"/>
      <c r="C259" s="778" t="str">
        <f>'F4.2'!C53</f>
        <v>Office equipments</v>
      </c>
      <c r="D259" s="778"/>
      <c r="E259" s="778"/>
      <c r="F259" s="778"/>
      <c r="G259" s="778"/>
      <c r="H259" s="778"/>
      <c r="I259" s="685">
        <v>0</v>
      </c>
      <c r="J259" s="1119">
        <f>+N259</f>
        <v>2.1808600000000001E-2</v>
      </c>
      <c r="K259" s="837">
        <f t="shared" si="8"/>
        <v>2.1808600000000001E-2</v>
      </c>
      <c r="L259" s="778"/>
      <c r="M259" s="778"/>
      <c r="N259" s="1050">
        <f>+'F4.1'!N365</f>
        <v>2.1808600000000001E-2</v>
      </c>
      <c r="O259" s="1037">
        <f t="shared" si="9"/>
        <v>0</v>
      </c>
    </row>
    <row r="260" spans="2:15" x14ac:dyDescent="0.35">
      <c r="B260" s="779"/>
      <c r="C260" s="778" t="str">
        <f>'F4.2'!C54</f>
        <v>Software Licenses</v>
      </c>
      <c r="D260" s="778"/>
      <c r="E260" s="778"/>
      <c r="F260" s="778"/>
      <c r="G260" s="778"/>
      <c r="H260" s="778"/>
      <c r="I260" s="685"/>
      <c r="J260" s="1119">
        <f>+N260</f>
        <v>0.214033</v>
      </c>
      <c r="K260" s="837">
        <f t="shared" si="8"/>
        <v>0.214033</v>
      </c>
      <c r="L260" s="778"/>
      <c r="M260" s="778"/>
      <c r="N260" s="1050">
        <f>+'F4.1'!N366</f>
        <v>0.214033</v>
      </c>
      <c r="O260" s="1037">
        <f t="shared" si="9"/>
        <v>0</v>
      </c>
    </row>
    <row r="261" spans="2:15" x14ac:dyDescent="0.35">
      <c r="B261" s="1120"/>
      <c r="C261" s="1121"/>
      <c r="D261" s="1121"/>
      <c r="E261" s="1121"/>
      <c r="F261" s="1121"/>
      <c r="G261" s="1121"/>
      <c r="H261" s="1121"/>
      <c r="I261" s="1122">
        <f>SUM(I249:I260)</f>
        <v>0</v>
      </c>
      <c r="J261" s="1122">
        <f t="shared" ref="J261:O261" si="10">SUM(J249:J260)</f>
        <v>2.0161088354519965</v>
      </c>
      <c r="K261" s="1122">
        <f t="shared" si="10"/>
        <v>0.76591354750000007</v>
      </c>
      <c r="L261" s="1122">
        <f t="shared" si="10"/>
        <v>0</v>
      </c>
      <c r="M261" s="1122">
        <f t="shared" si="10"/>
        <v>0</v>
      </c>
      <c r="N261" s="1122">
        <f t="shared" si="10"/>
        <v>0.76591354750000007</v>
      </c>
      <c r="O261" s="1122">
        <f t="shared" si="10"/>
        <v>1.2501952879519964</v>
      </c>
    </row>
    <row r="262" spans="2:15" x14ac:dyDescent="0.35">
      <c r="B262" s="779"/>
      <c r="C262" s="778"/>
      <c r="D262" s="778"/>
      <c r="E262" s="778"/>
      <c r="F262" s="778"/>
      <c r="G262" s="778"/>
      <c r="H262" s="778"/>
      <c r="I262" s="778"/>
      <c r="J262" s="778"/>
      <c r="K262" s="778"/>
      <c r="L262" s="778"/>
      <c r="M262" s="778"/>
      <c r="N262" s="778"/>
      <c r="O262" s="778"/>
    </row>
    <row r="263" spans="2:15" x14ac:dyDescent="0.35">
      <c r="B263" s="779"/>
      <c r="C263" s="779" t="s">
        <v>197</v>
      </c>
      <c r="D263" s="778"/>
      <c r="E263" s="778"/>
      <c r="F263" s="778"/>
      <c r="G263" s="778"/>
      <c r="H263" s="778"/>
      <c r="I263" s="778"/>
      <c r="J263" s="778"/>
      <c r="K263" s="778"/>
      <c r="L263" s="778"/>
      <c r="M263" s="778"/>
      <c r="N263" s="778"/>
      <c r="O263" s="778"/>
    </row>
    <row r="264" spans="2:15" x14ac:dyDescent="0.35">
      <c r="B264" s="779"/>
      <c r="C264" s="1006" t="s">
        <v>476</v>
      </c>
      <c r="D264" s="778"/>
      <c r="E264" s="778"/>
      <c r="F264" s="778"/>
      <c r="G264" s="778"/>
      <c r="H264" s="778"/>
      <c r="I264" s="778"/>
      <c r="J264" s="778"/>
      <c r="K264" s="778"/>
      <c r="L264" s="778"/>
      <c r="M264" s="778"/>
      <c r="N264" s="778"/>
      <c r="O264" s="778"/>
    </row>
    <row r="265" spans="2:15" x14ac:dyDescent="0.35">
      <c r="B265" s="779"/>
      <c r="C265" s="1007" t="s">
        <v>477</v>
      </c>
      <c r="D265" s="778"/>
      <c r="E265" s="778"/>
      <c r="F265" s="778"/>
      <c r="G265" s="778"/>
      <c r="H265" s="778"/>
      <c r="I265" s="778"/>
      <c r="J265" s="778"/>
      <c r="K265" s="778"/>
      <c r="L265" s="778"/>
      <c r="M265" s="778"/>
      <c r="N265" s="778"/>
      <c r="O265" s="778"/>
    </row>
    <row r="266" spans="2:15" x14ac:dyDescent="0.35">
      <c r="B266" s="779"/>
      <c r="C266" s="1008"/>
      <c r="D266" s="778"/>
      <c r="E266" s="778"/>
      <c r="F266" s="778"/>
      <c r="G266" s="778"/>
      <c r="H266" s="778"/>
      <c r="I266" s="778"/>
      <c r="J266" s="778"/>
      <c r="K266" s="778"/>
      <c r="L266" s="778"/>
      <c r="M266" s="778"/>
      <c r="N266" s="778"/>
      <c r="O266" s="778"/>
    </row>
    <row r="267" spans="2:15" x14ac:dyDescent="0.35">
      <c r="B267" s="779"/>
      <c r="C267" s="1007"/>
      <c r="D267" s="778"/>
      <c r="E267" s="778"/>
      <c r="F267" s="778"/>
      <c r="G267" s="778"/>
      <c r="H267" s="778"/>
      <c r="I267" s="778"/>
      <c r="J267" s="778"/>
      <c r="K267" s="778"/>
      <c r="L267" s="778"/>
      <c r="M267" s="778"/>
      <c r="N267" s="778"/>
      <c r="O267" s="778"/>
    </row>
    <row r="268" spans="2:15" x14ac:dyDescent="0.35">
      <c r="B268" s="779"/>
      <c r="C268" s="778" t="s">
        <v>239</v>
      </c>
      <c r="D268" s="778"/>
      <c r="E268" s="778"/>
      <c r="F268" s="778"/>
      <c r="G268" s="778"/>
      <c r="H268" s="778"/>
      <c r="I268" s="778"/>
      <c r="J268" s="778"/>
      <c r="K268" s="778"/>
      <c r="L268" s="778"/>
      <c r="M268" s="778"/>
      <c r="N268" s="778"/>
      <c r="O268" s="778"/>
    </row>
    <row r="269" spans="2:15" x14ac:dyDescent="0.35">
      <c r="B269" s="779"/>
      <c r="C269" s="778" t="s">
        <v>239</v>
      </c>
      <c r="D269" s="778"/>
      <c r="E269" s="778"/>
      <c r="F269" s="778"/>
      <c r="G269" s="778"/>
      <c r="H269" s="778"/>
      <c r="I269" s="778"/>
      <c r="J269" s="778"/>
      <c r="K269" s="778"/>
      <c r="L269" s="778"/>
      <c r="M269" s="778"/>
      <c r="N269" s="778"/>
      <c r="O269" s="778"/>
    </row>
    <row r="270" spans="2:15" x14ac:dyDescent="0.35">
      <c r="B270" s="779"/>
      <c r="C270" s="1007" t="s">
        <v>478</v>
      </c>
      <c r="D270" s="778"/>
      <c r="E270" s="778"/>
      <c r="F270" s="778"/>
      <c r="G270" s="778"/>
      <c r="H270" s="778"/>
      <c r="I270" s="778"/>
      <c r="J270" s="778"/>
      <c r="K270" s="778"/>
      <c r="L270" s="778"/>
      <c r="M270" s="778"/>
      <c r="N270" s="778"/>
      <c r="O270" s="778"/>
    </row>
    <row r="271" spans="2:15" x14ac:dyDescent="0.35">
      <c r="B271" s="779"/>
      <c r="C271" s="778" t="s">
        <v>239</v>
      </c>
      <c r="D271" s="778"/>
      <c r="E271" s="778"/>
      <c r="F271" s="778"/>
      <c r="G271" s="778"/>
      <c r="H271" s="778"/>
      <c r="I271" s="778"/>
      <c r="J271" s="778"/>
      <c r="K271" s="778"/>
      <c r="L271" s="778"/>
      <c r="M271" s="778"/>
      <c r="N271" s="778"/>
      <c r="O271" s="778"/>
    </row>
    <row r="272" spans="2:15" x14ac:dyDescent="0.35">
      <c r="B272" s="779"/>
      <c r="C272" s="778" t="s">
        <v>239</v>
      </c>
      <c r="D272" s="778"/>
      <c r="E272" s="778"/>
      <c r="F272" s="778"/>
      <c r="G272" s="778"/>
      <c r="H272" s="778"/>
      <c r="I272" s="778"/>
      <c r="J272" s="778"/>
      <c r="K272" s="778"/>
      <c r="L272" s="778"/>
      <c r="M272" s="778"/>
      <c r="N272" s="778"/>
      <c r="O272" s="778"/>
    </row>
    <row r="273" spans="2:15" x14ac:dyDescent="0.35">
      <c r="B273" s="779"/>
      <c r="C273" s="779" t="s">
        <v>479</v>
      </c>
      <c r="D273" s="778"/>
      <c r="E273" s="778"/>
      <c r="F273" s="778"/>
      <c r="G273" s="778"/>
      <c r="H273" s="778"/>
      <c r="I273" s="778"/>
      <c r="J273" s="778"/>
      <c r="K273" s="778"/>
      <c r="L273" s="778"/>
      <c r="M273" s="778"/>
      <c r="N273" s="778"/>
      <c r="O273" s="778"/>
    </row>
    <row r="274" spans="2:15" x14ac:dyDescent="0.35">
      <c r="B274" s="779"/>
      <c r="C274" s="778" t="str">
        <f t="shared" ref="C274:C279" si="11">C255</f>
        <v>Meters</v>
      </c>
      <c r="D274" s="778"/>
      <c r="E274" s="778"/>
      <c r="F274" s="778"/>
      <c r="G274" s="778"/>
      <c r="H274" s="778"/>
      <c r="I274" s="1037">
        <f t="shared" ref="I274:I279" si="12">O255</f>
        <v>1.2501952879519964</v>
      </c>
      <c r="J274" s="1119">
        <f>+N274-I274</f>
        <v>1.8434010971436265E-2</v>
      </c>
      <c r="K274" s="837">
        <f t="shared" ref="K274:K279" si="13">+N274-L274-M274</f>
        <v>1.2686292989234327</v>
      </c>
      <c r="L274" s="837"/>
      <c r="M274" s="837"/>
      <c r="N274" s="883">
        <f>+'F4.1'!N377</f>
        <v>1.2686292989234327</v>
      </c>
      <c r="O274" s="1037">
        <f t="shared" ref="O274:O280" si="14">+I274+J274-N274</f>
        <v>0</v>
      </c>
    </row>
    <row r="275" spans="2:15" x14ac:dyDescent="0.35">
      <c r="B275" s="779"/>
      <c r="C275" s="778" t="str">
        <f t="shared" si="11"/>
        <v>Vehicles</v>
      </c>
      <c r="D275" s="778"/>
      <c r="E275" s="778"/>
      <c r="F275" s="778"/>
      <c r="G275" s="778"/>
      <c r="H275" s="778"/>
      <c r="I275" s="1037">
        <f t="shared" si="12"/>
        <v>0</v>
      </c>
      <c r="J275" s="1119">
        <f>+N275</f>
        <v>0</v>
      </c>
      <c r="K275" s="837">
        <f t="shared" si="13"/>
        <v>0</v>
      </c>
      <c r="L275" s="778"/>
      <c r="M275" s="778"/>
      <c r="N275" s="883">
        <f>+'F4.1'!N378</f>
        <v>0</v>
      </c>
      <c r="O275" s="1037">
        <f t="shared" si="14"/>
        <v>0</v>
      </c>
    </row>
    <row r="276" spans="2:15" x14ac:dyDescent="0.35">
      <c r="B276" s="779"/>
      <c r="C276" s="778" t="str">
        <f t="shared" si="11"/>
        <v>I.T. equipments</v>
      </c>
      <c r="D276" s="778"/>
      <c r="E276" s="778"/>
      <c r="F276" s="778"/>
      <c r="G276" s="778"/>
      <c r="H276" s="778"/>
      <c r="I276" s="1037">
        <f t="shared" si="12"/>
        <v>0</v>
      </c>
      <c r="J276" s="1119">
        <f>+N276</f>
        <v>0</v>
      </c>
      <c r="K276" s="837">
        <f t="shared" si="13"/>
        <v>0</v>
      </c>
      <c r="L276" s="778"/>
      <c r="M276" s="778"/>
      <c r="N276" s="883">
        <f>+'F4.1'!N379</f>
        <v>0</v>
      </c>
      <c r="O276" s="1037">
        <f t="shared" si="14"/>
        <v>0</v>
      </c>
    </row>
    <row r="277" spans="2:15" x14ac:dyDescent="0.35">
      <c r="B277" s="779"/>
      <c r="C277" s="778" t="str">
        <f t="shared" si="11"/>
        <v>Office furniture and fittings</v>
      </c>
      <c r="D277" s="778"/>
      <c r="E277" s="778"/>
      <c r="F277" s="778"/>
      <c r="G277" s="778"/>
      <c r="H277" s="778"/>
      <c r="I277" s="1037">
        <f t="shared" si="12"/>
        <v>0</v>
      </c>
      <c r="J277" s="1119">
        <f>+N277</f>
        <v>0</v>
      </c>
      <c r="K277" s="837">
        <f t="shared" si="13"/>
        <v>0</v>
      </c>
      <c r="L277" s="778"/>
      <c r="M277" s="778"/>
      <c r="N277" s="883">
        <f>+'F4.1'!N380</f>
        <v>0</v>
      </c>
      <c r="O277" s="1037">
        <f t="shared" si="14"/>
        <v>0</v>
      </c>
    </row>
    <row r="278" spans="2:15" x14ac:dyDescent="0.35">
      <c r="B278" s="779"/>
      <c r="C278" s="778" t="str">
        <f t="shared" si="11"/>
        <v>Office equipments</v>
      </c>
      <c r="D278" s="778"/>
      <c r="E278" s="778"/>
      <c r="F278" s="778"/>
      <c r="G278" s="778"/>
      <c r="H278" s="778"/>
      <c r="I278" s="1037">
        <f t="shared" si="12"/>
        <v>0</v>
      </c>
      <c r="J278" s="1119">
        <f>+N278</f>
        <v>0</v>
      </c>
      <c r="K278" s="837">
        <f t="shared" si="13"/>
        <v>0</v>
      </c>
      <c r="L278" s="778"/>
      <c r="M278" s="778"/>
      <c r="N278" s="883">
        <f>+'F4.1'!N381</f>
        <v>0</v>
      </c>
      <c r="O278" s="1037">
        <f t="shared" si="14"/>
        <v>0</v>
      </c>
    </row>
    <row r="279" spans="2:15" x14ac:dyDescent="0.35">
      <c r="B279" s="779"/>
      <c r="C279" s="778" t="str">
        <f t="shared" si="11"/>
        <v>Software Licenses</v>
      </c>
      <c r="D279" s="778"/>
      <c r="E279" s="778"/>
      <c r="F279" s="778"/>
      <c r="G279" s="778"/>
      <c r="H279" s="778"/>
      <c r="I279" s="1037">
        <f t="shared" si="12"/>
        <v>0</v>
      </c>
      <c r="J279" s="1119">
        <f>+N279</f>
        <v>0</v>
      </c>
      <c r="K279" s="837">
        <f t="shared" si="13"/>
        <v>0</v>
      </c>
      <c r="L279" s="778"/>
      <c r="M279" s="778"/>
      <c r="N279" s="883">
        <f>+'F4.1'!N382</f>
        <v>0</v>
      </c>
      <c r="O279" s="1037">
        <f t="shared" si="14"/>
        <v>0</v>
      </c>
    </row>
    <row r="280" spans="2:15" x14ac:dyDescent="0.35">
      <c r="B280" s="779"/>
      <c r="C280" s="1026"/>
      <c r="D280" s="778"/>
      <c r="E280" s="778"/>
      <c r="F280" s="778"/>
      <c r="G280" s="778"/>
      <c r="H280" s="778"/>
      <c r="I280" s="778"/>
      <c r="J280" s="778"/>
      <c r="K280" s="778"/>
      <c r="L280" s="778"/>
      <c r="M280" s="778"/>
      <c r="N280" s="883">
        <f>+'F4.1'!N383</f>
        <v>0</v>
      </c>
      <c r="O280" s="1037">
        <f t="shared" si="14"/>
        <v>0</v>
      </c>
    </row>
    <row r="281" spans="2:15" x14ac:dyDescent="0.35">
      <c r="B281" s="779"/>
      <c r="C281" s="1026"/>
      <c r="D281" s="778"/>
      <c r="E281" s="778"/>
      <c r="F281" s="778"/>
      <c r="G281" s="778"/>
      <c r="H281" s="778"/>
      <c r="I281" s="778"/>
      <c r="J281" s="778"/>
      <c r="K281" s="778"/>
      <c r="L281" s="778"/>
      <c r="M281" s="778"/>
      <c r="N281" s="778"/>
      <c r="O281" s="778"/>
    </row>
    <row r="282" spans="2:15" x14ac:dyDescent="0.35">
      <c r="B282" s="1120"/>
      <c r="C282" s="1121"/>
      <c r="D282" s="1121"/>
      <c r="E282" s="1121"/>
      <c r="F282" s="1121"/>
      <c r="G282" s="1121"/>
      <c r="H282" s="1121"/>
      <c r="I282" s="1122">
        <f t="shared" ref="I282:O282" si="15">SUM(I266:I281)</f>
        <v>1.2501952879519964</v>
      </c>
      <c r="J282" s="1122">
        <f t="shared" si="15"/>
        <v>1.8434010971436265E-2</v>
      </c>
      <c r="K282" s="1122">
        <f t="shared" si="15"/>
        <v>1.2686292989234327</v>
      </c>
      <c r="L282" s="1122">
        <f t="shared" si="15"/>
        <v>0</v>
      </c>
      <c r="M282" s="1122">
        <f t="shared" si="15"/>
        <v>0</v>
      </c>
      <c r="N282" s="1122">
        <f t="shared" si="15"/>
        <v>1.2686292989234327</v>
      </c>
      <c r="O282" s="1122">
        <f t="shared" si="15"/>
        <v>0</v>
      </c>
    </row>
    <row r="283" spans="2:15" x14ac:dyDescent="0.35">
      <c r="B283" s="779"/>
      <c r="C283" s="779" t="s">
        <v>198</v>
      </c>
      <c r="D283" s="779"/>
      <c r="E283" s="779"/>
      <c r="F283" s="778"/>
      <c r="G283" s="778"/>
      <c r="H283" s="778"/>
      <c r="I283" s="778"/>
      <c r="J283" s="778"/>
      <c r="K283" s="778"/>
      <c r="L283" s="778"/>
      <c r="M283" s="778"/>
      <c r="N283" s="778"/>
      <c r="O283" s="778"/>
    </row>
    <row r="284" spans="2:15" x14ac:dyDescent="0.35">
      <c r="B284" s="779"/>
      <c r="C284" s="1006" t="s">
        <v>476</v>
      </c>
      <c r="D284" s="1006"/>
      <c r="E284" s="1006"/>
      <c r="F284" s="778"/>
      <c r="G284" s="778"/>
      <c r="H284" s="778"/>
      <c r="I284" s="778"/>
      <c r="J284" s="778"/>
      <c r="K284" s="778"/>
      <c r="L284" s="778"/>
      <c r="M284" s="778"/>
      <c r="N284" s="778"/>
      <c r="O284" s="778"/>
    </row>
    <row r="285" spans="2:15" x14ac:dyDescent="0.35">
      <c r="B285" s="779"/>
      <c r="C285" s="1007" t="s">
        <v>477</v>
      </c>
      <c r="D285" s="1007"/>
      <c r="E285" s="1007"/>
      <c r="F285" s="778"/>
      <c r="G285" s="778"/>
      <c r="H285" s="778"/>
      <c r="I285" s="778"/>
      <c r="J285" s="778"/>
      <c r="K285" s="778"/>
      <c r="L285" s="778"/>
      <c r="M285" s="778"/>
      <c r="N285" s="778"/>
      <c r="O285" s="778"/>
    </row>
    <row r="286" spans="2:15" x14ac:dyDescent="0.35">
      <c r="B286" s="779"/>
      <c r="C286" s="1039" t="str">
        <f>C269</f>
        <v>…</v>
      </c>
      <c r="D286" s="401"/>
      <c r="E286" s="1112"/>
      <c r="F286" s="1113">
        <f>F269</f>
        <v>0</v>
      </c>
      <c r="G286" s="778"/>
      <c r="H286" s="778"/>
      <c r="I286" s="459">
        <f>O269</f>
        <v>0</v>
      </c>
      <c r="J286" s="1037">
        <f>N286+O286-I286</f>
        <v>0</v>
      </c>
      <c r="K286" s="778"/>
      <c r="L286" s="778"/>
      <c r="M286" s="778"/>
      <c r="N286" s="685">
        <f>Capitalisation!P161</f>
        <v>0</v>
      </c>
      <c r="O286" s="1037">
        <v>0</v>
      </c>
    </row>
    <row r="287" spans="2:15" x14ac:dyDescent="0.35">
      <c r="B287" s="779"/>
      <c r="C287" s="1007"/>
      <c r="D287" s="1007"/>
      <c r="E287" s="1007"/>
      <c r="F287" s="778"/>
      <c r="G287" s="778"/>
      <c r="H287" s="778"/>
      <c r="I287" s="778"/>
      <c r="J287" s="778"/>
      <c r="K287" s="778"/>
      <c r="L287" s="778"/>
      <c r="M287" s="778"/>
      <c r="N287" s="778"/>
      <c r="O287" s="778"/>
    </row>
    <row r="288" spans="2:15" x14ac:dyDescent="0.35">
      <c r="B288" s="779"/>
      <c r="C288" s="778" t="s">
        <v>239</v>
      </c>
      <c r="D288" s="778"/>
      <c r="E288" s="778"/>
      <c r="F288" s="778"/>
      <c r="G288" s="778"/>
      <c r="H288" s="778"/>
      <c r="I288" s="778"/>
      <c r="J288" s="778"/>
      <c r="K288" s="778"/>
      <c r="L288" s="778"/>
      <c r="M288" s="778"/>
      <c r="N288" s="778"/>
      <c r="O288" s="778"/>
    </row>
    <row r="289" spans="2:15" x14ac:dyDescent="0.35">
      <c r="B289" s="779"/>
      <c r="C289" s="778" t="s">
        <v>239</v>
      </c>
      <c r="D289" s="778"/>
      <c r="E289" s="778"/>
      <c r="F289" s="778"/>
      <c r="G289" s="778"/>
      <c r="H289" s="778"/>
      <c r="I289" s="778"/>
      <c r="J289" s="778"/>
      <c r="K289" s="778"/>
      <c r="L289" s="778"/>
      <c r="M289" s="778"/>
      <c r="N289" s="778"/>
      <c r="O289" s="778"/>
    </row>
    <row r="290" spans="2:15" x14ac:dyDescent="0.35">
      <c r="B290" s="779"/>
      <c r="C290" s="1007" t="s">
        <v>478</v>
      </c>
      <c r="D290" s="1007"/>
      <c r="E290" s="1007"/>
      <c r="F290" s="778"/>
      <c r="G290" s="778"/>
      <c r="H290" s="778"/>
      <c r="I290" s="778"/>
      <c r="J290" s="778"/>
      <c r="K290" s="778"/>
      <c r="L290" s="778"/>
      <c r="M290" s="778"/>
      <c r="N290" s="778"/>
      <c r="O290" s="778"/>
    </row>
    <row r="291" spans="2:15" x14ac:dyDescent="0.35">
      <c r="B291" s="779"/>
      <c r="C291" s="778" t="s">
        <v>239</v>
      </c>
      <c r="D291" s="778"/>
      <c r="E291" s="778"/>
      <c r="F291" s="778"/>
      <c r="G291" s="778"/>
      <c r="H291" s="778"/>
      <c r="I291" s="778"/>
      <c r="J291" s="778"/>
      <c r="K291" s="778"/>
      <c r="L291" s="778"/>
      <c r="M291" s="778"/>
      <c r="N291" s="778"/>
      <c r="O291" s="778"/>
    </row>
    <row r="292" spans="2:15" x14ac:dyDescent="0.35">
      <c r="B292" s="779"/>
      <c r="C292" s="778" t="s">
        <v>239</v>
      </c>
      <c r="D292" s="778"/>
      <c r="E292" s="778"/>
      <c r="F292" s="778"/>
      <c r="G292" s="778"/>
      <c r="H292" s="778"/>
      <c r="I292" s="778"/>
      <c r="J292" s="778"/>
      <c r="K292" s="778"/>
      <c r="L292" s="778"/>
      <c r="M292" s="778"/>
      <c r="N292" s="778"/>
      <c r="O292" s="778"/>
    </row>
    <row r="293" spans="2:15" x14ac:dyDescent="0.35">
      <c r="B293" s="779"/>
      <c r="C293" s="779" t="s">
        <v>479</v>
      </c>
      <c r="D293" s="779"/>
      <c r="E293" s="779"/>
      <c r="F293" s="778"/>
      <c r="G293" s="778"/>
      <c r="H293" s="778"/>
      <c r="I293" s="778"/>
      <c r="J293" s="778"/>
      <c r="K293" s="778"/>
      <c r="L293" s="778"/>
      <c r="M293" s="778"/>
      <c r="N293" s="778"/>
      <c r="O293" s="778"/>
    </row>
    <row r="294" spans="2:15" x14ac:dyDescent="0.35">
      <c r="B294" s="779"/>
      <c r="C294" s="1008" t="str">
        <f t="shared" ref="C294:C299" si="16">C274</f>
        <v>Meters</v>
      </c>
      <c r="D294" s="779"/>
      <c r="E294" s="779"/>
      <c r="F294" s="778"/>
      <c r="G294" s="778"/>
      <c r="H294" s="778"/>
      <c r="I294" s="459">
        <f t="shared" ref="I294:I299" si="17">O274</f>
        <v>0</v>
      </c>
      <c r="J294" s="1037">
        <f t="shared" ref="J294:J299" si="18">+N294</f>
        <v>0</v>
      </c>
      <c r="K294" s="778"/>
      <c r="L294" s="778"/>
      <c r="M294" s="778"/>
      <c r="N294" s="685">
        <f>+'F4.1'!N394</f>
        <v>0</v>
      </c>
      <c r="O294" s="1037">
        <f t="shared" ref="O294:O299" si="19">+I294+J294-N294</f>
        <v>0</v>
      </c>
    </row>
    <row r="295" spans="2:15" x14ac:dyDescent="0.35">
      <c r="B295" s="779"/>
      <c r="C295" s="1008" t="str">
        <f t="shared" si="16"/>
        <v>Vehicles</v>
      </c>
      <c r="D295" s="779"/>
      <c r="E295" s="779"/>
      <c r="F295" s="778"/>
      <c r="G295" s="778"/>
      <c r="H295" s="778"/>
      <c r="I295" s="459">
        <f t="shared" si="17"/>
        <v>0</v>
      </c>
      <c r="J295" s="1037">
        <f t="shared" si="18"/>
        <v>0</v>
      </c>
      <c r="K295" s="702"/>
      <c r="L295" s="778"/>
      <c r="M295" s="778"/>
      <c r="N295" s="685">
        <f>+'F4.1'!N395</f>
        <v>0</v>
      </c>
      <c r="O295" s="1037">
        <f t="shared" si="19"/>
        <v>0</v>
      </c>
    </row>
    <row r="296" spans="2:15" x14ac:dyDescent="0.35">
      <c r="B296" s="779"/>
      <c r="C296" s="1008" t="str">
        <f t="shared" si="16"/>
        <v>I.T. equipments</v>
      </c>
      <c r="D296" s="779"/>
      <c r="E296" s="779"/>
      <c r="F296" s="778"/>
      <c r="G296" s="778"/>
      <c r="H296" s="778"/>
      <c r="I296" s="459">
        <f t="shared" si="17"/>
        <v>0</v>
      </c>
      <c r="J296" s="1037">
        <f t="shared" si="18"/>
        <v>1.0320912E-2</v>
      </c>
      <c r="K296" s="702"/>
      <c r="L296" s="778"/>
      <c r="M296" s="778"/>
      <c r="N296" s="685">
        <f>+'F4.1'!N396</f>
        <v>1.0320912E-2</v>
      </c>
      <c r="O296" s="1037">
        <f t="shared" si="19"/>
        <v>0</v>
      </c>
    </row>
    <row r="297" spans="2:15" x14ac:dyDescent="0.35">
      <c r="B297" s="779"/>
      <c r="C297" s="1008" t="str">
        <f t="shared" si="16"/>
        <v>Office furniture and fittings</v>
      </c>
      <c r="D297" s="779"/>
      <c r="E297" s="779"/>
      <c r="F297" s="778"/>
      <c r="G297" s="778"/>
      <c r="H297" s="778"/>
      <c r="I297" s="459">
        <f t="shared" si="17"/>
        <v>0</v>
      </c>
      <c r="J297" s="1037">
        <f t="shared" si="18"/>
        <v>0</v>
      </c>
      <c r="K297" s="702"/>
      <c r="L297" s="778"/>
      <c r="M297" s="778"/>
      <c r="N297" s="685">
        <f>+'F4.1'!N397</f>
        <v>0</v>
      </c>
      <c r="O297" s="1037">
        <f t="shared" si="19"/>
        <v>0</v>
      </c>
    </row>
    <row r="298" spans="2:15" x14ac:dyDescent="0.35">
      <c r="B298" s="779"/>
      <c r="C298" s="1008" t="str">
        <f t="shared" si="16"/>
        <v>Office equipments</v>
      </c>
      <c r="D298" s="779"/>
      <c r="E298" s="779"/>
      <c r="F298" s="778"/>
      <c r="G298" s="778"/>
      <c r="H298" s="778"/>
      <c r="I298" s="459">
        <f t="shared" si="17"/>
        <v>0</v>
      </c>
      <c r="J298" s="1037">
        <f t="shared" si="18"/>
        <v>0</v>
      </c>
      <c r="K298" s="702"/>
      <c r="L298" s="778"/>
      <c r="M298" s="778"/>
      <c r="N298" s="685">
        <f>+'F4.1'!N398</f>
        <v>0</v>
      </c>
      <c r="O298" s="1037">
        <f t="shared" si="19"/>
        <v>0</v>
      </c>
    </row>
    <row r="299" spans="2:15" x14ac:dyDescent="0.35">
      <c r="B299" s="779"/>
      <c r="C299" s="1008" t="str">
        <f t="shared" si="16"/>
        <v>Software Licenses</v>
      </c>
      <c r="D299" s="778"/>
      <c r="E299" s="778"/>
      <c r="F299" s="778"/>
      <c r="G299" s="778"/>
      <c r="H299" s="778"/>
      <c r="I299" s="459">
        <f t="shared" si="17"/>
        <v>0</v>
      </c>
      <c r="J299" s="1037">
        <f t="shared" si="18"/>
        <v>0</v>
      </c>
      <c r="K299" s="778"/>
      <c r="L299" s="778"/>
      <c r="M299" s="778"/>
      <c r="N299" s="685">
        <f>+'F4.1'!N399</f>
        <v>0</v>
      </c>
      <c r="O299" s="1037">
        <f t="shared" si="19"/>
        <v>0</v>
      </c>
    </row>
    <row r="300" spans="2:15" x14ac:dyDescent="0.35">
      <c r="B300" s="779"/>
      <c r="C300" s="1008"/>
      <c r="D300" s="778"/>
      <c r="E300" s="778"/>
      <c r="F300" s="778"/>
      <c r="G300" s="778"/>
      <c r="H300" s="778"/>
      <c r="I300" s="778"/>
      <c r="J300" s="778"/>
      <c r="K300" s="778"/>
      <c r="L300" s="778"/>
      <c r="M300" s="778"/>
      <c r="N300" s="778"/>
      <c r="O300" s="778"/>
    </row>
    <row r="301" spans="2:15" x14ac:dyDescent="0.35">
      <c r="B301" s="1105"/>
      <c r="C301" s="1106"/>
      <c r="D301" s="1107"/>
      <c r="E301" s="1107"/>
      <c r="F301" s="1108">
        <f>SUM(F286:F299)</f>
        <v>0</v>
      </c>
      <c r="G301" s="1107"/>
      <c r="H301" s="1107"/>
      <c r="I301" s="1108">
        <f t="shared" ref="I301:O301" si="20">SUM(I286:I299)</f>
        <v>0</v>
      </c>
      <c r="J301" s="1108">
        <f t="shared" si="20"/>
        <v>1.0320912E-2</v>
      </c>
      <c r="K301" s="1108">
        <f t="shared" si="20"/>
        <v>0</v>
      </c>
      <c r="L301" s="1108">
        <f t="shared" si="20"/>
        <v>0</v>
      </c>
      <c r="M301" s="1108">
        <f t="shared" si="20"/>
        <v>0</v>
      </c>
      <c r="N301" s="1108">
        <f t="shared" si="20"/>
        <v>1.0320912E-2</v>
      </c>
      <c r="O301" s="1108">
        <f t="shared" si="20"/>
        <v>0</v>
      </c>
    </row>
    <row r="302" spans="2:15" x14ac:dyDescent="0.35">
      <c r="B302" s="779"/>
      <c r="C302" s="1023"/>
      <c r="D302" s="1023"/>
      <c r="E302" s="1023"/>
      <c r="F302" s="778"/>
      <c r="G302" s="778"/>
      <c r="H302" s="778"/>
      <c r="I302" s="778"/>
      <c r="J302" s="778"/>
      <c r="K302" s="778"/>
      <c r="L302" s="778"/>
      <c r="M302" s="778"/>
      <c r="N302" s="778"/>
      <c r="O302" s="778"/>
    </row>
    <row r="303" spans="2:15" x14ac:dyDescent="0.35">
      <c r="B303" s="779"/>
      <c r="C303" s="1006" t="s">
        <v>199</v>
      </c>
      <c r="D303" s="1006"/>
      <c r="E303" s="1006"/>
      <c r="F303" s="778"/>
      <c r="G303" s="778"/>
      <c r="H303" s="778"/>
      <c r="I303" s="778"/>
      <c r="J303" s="778"/>
      <c r="K303" s="778"/>
      <c r="L303" s="778"/>
      <c r="M303" s="778"/>
      <c r="N303" s="778"/>
      <c r="O303" s="778"/>
    </row>
    <row r="304" spans="2:15" x14ac:dyDescent="0.35">
      <c r="B304" s="779"/>
      <c r="C304" s="1006" t="s">
        <v>476</v>
      </c>
      <c r="D304" s="1006"/>
      <c r="E304" s="1006"/>
      <c r="F304" s="778"/>
      <c r="G304" s="778"/>
      <c r="H304" s="778"/>
      <c r="I304" s="778"/>
      <c r="J304" s="778"/>
      <c r="K304" s="778"/>
      <c r="L304" s="778"/>
      <c r="M304" s="778"/>
      <c r="N304" s="778"/>
      <c r="O304" s="778"/>
    </row>
    <row r="305" spans="2:15" x14ac:dyDescent="0.35">
      <c r="B305" s="779"/>
      <c r="C305" s="1007" t="s">
        <v>477</v>
      </c>
      <c r="D305" s="1007"/>
      <c r="E305" s="1007"/>
      <c r="F305" s="778"/>
      <c r="G305" s="778"/>
      <c r="H305" s="778"/>
      <c r="I305" s="778"/>
      <c r="J305" s="778"/>
      <c r="K305" s="778"/>
      <c r="L305" s="778"/>
      <c r="M305" s="778"/>
      <c r="N305" s="778"/>
      <c r="O305" s="778"/>
    </row>
    <row r="306" spans="2:15" x14ac:dyDescent="0.35">
      <c r="B306" s="779"/>
      <c r="C306" s="1039" t="str">
        <f>C286</f>
        <v>…</v>
      </c>
      <c r="D306" s="401"/>
      <c r="E306" s="1112"/>
      <c r="F306" s="1113"/>
      <c r="G306" s="778"/>
      <c r="H306" s="778"/>
      <c r="I306" s="1037"/>
      <c r="J306" s="1037"/>
      <c r="K306" s="778"/>
      <c r="L306" s="778"/>
      <c r="M306" s="778"/>
      <c r="N306" s="685"/>
      <c r="O306" s="1037"/>
    </row>
    <row r="307" spans="2:15" x14ac:dyDescent="0.35">
      <c r="B307" s="779"/>
      <c r="C307" s="1007"/>
      <c r="D307" s="1007"/>
      <c r="E307" s="1007"/>
      <c r="F307" s="778"/>
      <c r="G307" s="778"/>
      <c r="H307" s="778"/>
      <c r="I307" s="778"/>
      <c r="J307" s="778"/>
      <c r="K307" s="778"/>
      <c r="L307" s="778"/>
      <c r="M307" s="778"/>
      <c r="N307" s="778"/>
      <c r="O307" s="778"/>
    </row>
    <row r="308" spans="2:15" x14ac:dyDescent="0.35">
      <c r="B308" s="779"/>
      <c r="C308" s="778" t="s">
        <v>239</v>
      </c>
      <c r="D308" s="778"/>
      <c r="E308" s="778"/>
      <c r="F308" s="778"/>
      <c r="G308" s="778"/>
      <c r="H308" s="778"/>
      <c r="I308" s="778"/>
      <c r="J308" s="778"/>
      <c r="K308" s="778"/>
      <c r="L308" s="778"/>
      <c r="M308" s="778"/>
      <c r="N308" s="778"/>
      <c r="O308" s="778"/>
    </row>
    <row r="309" spans="2:15" x14ac:dyDescent="0.35">
      <c r="B309" s="779"/>
      <c r="C309" s="778" t="s">
        <v>239</v>
      </c>
      <c r="D309" s="778"/>
      <c r="E309" s="778"/>
      <c r="F309" s="778"/>
      <c r="G309" s="778"/>
      <c r="H309" s="778"/>
      <c r="I309" s="778"/>
      <c r="J309" s="778"/>
      <c r="K309" s="778"/>
      <c r="L309" s="778"/>
      <c r="M309" s="778"/>
      <c r="N309" s="778"/>
      <c r="O309" s="778"/>
    </row>
    <row r="310" spans="2:15" x14ac:dyDescent="0.35">
      <c r="B310" s="779"/>
      <c r="C310" s="1007" t="s">
        <v>478</v>
      </c>
      <c r="D310" s="1007"/>
      <c r="E310" s="1007"/>
      <c r="F310" s="778"/>
      <c r="G310" s="778"/>
      <c r="H310" s="778"/>
      <c r="I310" s="778"/>
      <c r="J310" s="778"/>
      <c r="K310" s="778"/>
      <c r="L310" s="778"/>
      <c r="M310" s="778"/>
      <c r="N310" s="778"/>
      <c r="O310" s="778"/>
    </row>
    <row r="311" spans="2:15" x14ac:dyDescent="0.35">
      <c r="B311" s="779"/>
      <c r="C311" s="778" t="s">
        <v>239</v>
      </c>
      <c r="D311" s="778"/>
      <c r="E311" s="778"/>
      <c r="F311" s="778"/>
      <c r="G311" s="778"/>
      <c r="H311" s="778"/>
      <c r="I311" s="778"/>
      <c r="J311" s="778"/>
      <c r="K311" s="778"/>
      <c r="L311" s="778"/>
      <c r="M311" s="778"/>
      <c r="N311" s="778"/>
      <c r="O311" s="778"/>
    </row>
    <row r="312" spans="2:15" x14ac:dyDescent="0.35">
      <c r="B312" s="779"/>
      <c r="C312" s="778" t="s">
        <v>239</v>
      </c>
      <c r="D312" s="778"/>
      <c r="E312" s="778"/>
      <c r="F312" s="778"/>
      <c r="G312" s="778"/>
      <c r="H312" s="778"/>
      <c r="I312" s="778"/>
      <c r="J312" s="778"/>
      <c r="K312" s="778"/>
      <c r="L312" s="778"/>
      <c r="M312" s="778"/>
      <c r="N312" s="778"/>
      <c r="O312" s="778"/>
    </row>
    <row r="313" spans="2:15" x14ac:dyDescent="0.35">
      <c r="B313" s="779"/>
      <c r="C313" s="779" t="s">
        <v>479</v>
      </c>
      <c r="D313" s="779"/>
      <c r="E313" s="779"/>
      <c r="F313" s="778"/>
      <c r="G313" s="778"/>
      <c r="H313" s="778"/>
      <c r="I313" s="778"/>
      <c r="J313" s="778"/>
      <c r="K313" s="778"/>
      <c r="L313" s="778"/>
      <c r="M313" s="778"/>
      <c r="N313" s="778"/>
      <c r="O313" s="778"/>
    </row>
    <row r="314" spans="2:15" x14ac:dyDescent="0.35">
      <c r="B314" s="779"/>
      <c r="C314" s="1123" t="str">
        <f t="shared" ref="C314:C319" si="21">C294</f>
        <v>Meters</v>
      </c>
      <c r="D314" s="779"/>
      <c r="E314" s="779"/>
      <c r="F314" s="778"/>
      <c r="G314" s="778"/>
      <c r="H314" s="778"/>
      <c r="I314" s="1037">
        <f t="shared" ref="I314:I319" si="22">O294</f>
        <v>0</v>
      </c>
      <c r="J314" s="1037">
        <f t="shared" ref="J314:J319" si="23">+N314</f>
        <v>0.291515523</v>
      </c>
      <c r="K314" s="778"/>
      <c r="L314" s="778"/>
      <c r="M314" s="778"/>
      <c r="N314" s="685">
        <f>+'F4.1'!N411</f>
        <v>0.291515523</v>
      </c>
      <c r="O314" s="1037">
        <v>0</v>
      </c>
    </row>
    <row r="315" spans="2:15" x14ac:dyDescent="0.35">
      <c r="B315" s="779"/>
      <c r="C315" s="1123" t="str">
        <f t="shared" si="21"/>
        <v>Vehicles</v>
      </c>
      <c r="D315" s="779"/>
      <c r="E315" s="779"/>
      <c r="F315" s="778"/>
      <c r="G315" s="778"/>
      <c r="H315" s="778"/>
      <c r="I315" s="1037">
        <f t="shared" si="22"/>
        <v>0</v>
      </c>
      <c r="J315" s="1037">
        <f t="shared" si="23"/>
        <v>0</v>
      </c>
      <c r="K315" s="702"/>
      <c r="L315" s="778"/>
      <c r="M315" s="778"/>
      <c r="N315" s="685">
        <f>+'F4.1'!N412</f>
        <v>0</v>
      </c>
      <c r="O315" s="1037">
        <v>0</v>
      </c>
    </row>
    <row r="316" spans="2:15" x14ac:dyDescent="0.35">
      <c r="B316" s="779"/>
      <c r="C316" s="1123" t="str">
        <f t="shared" si="21"/>
        <v>I.T. equipments</v>
      </c>
      <c r="D316" s="779"/>
      <c r="E316" s="779"/>
      <c r="F316" s="778"/>
      <c r="G316" s="778"/>
      <c r="H316" s="778"/>
      <c r="I316" s="1037">
        <f t="shared" si="22"/>
        <v>0</v>
      </c>
      <c r="J316" s="1037">
        <f t="shared" si="23"/>
        <v>2.2350060000000003E-3</v>
      </c>
      <c r="K316" s="702"/>
      <c r="L316" s="778"/>
      <c r="M316" s="778"/>
      <c r="N316" s="685">
        <f>+'F4.1'!N413</f>
        <v>2.2350060000000003E-3</v>
      </c>
      <c r="O316" s="1037">
        <v>0</v>
      </c>
    </row>
    <row r="317" spans="2:15" x14ac:dyDescent="0.35">
      <c r="B317" s="779"/>
      <c r="C317" s="1123" t="str">
        <f t="shared" si="21"/>
        <v>Office furniture and fittings</v>
      </c>
      <c r="D317" s="779"/>
      <c r="E317" s="779"/>
      <c r="F317" s="778"/>
      <c r="G317" s="778"/>
      <c r="H317" s="778"/>
      <c r="I317" s="1037">
        <f t="shared" si="22"/>
        <v>0</v>
      </c>
      <c r="J317" s="1037">
        <f t="shared" si="23"/>
        <v>0</v>
      </c>
      <c r="K317" s="702"/>
      <c r="L317" s="778"/>
      <c r="M317" s="778"/>
      <c r="N317" s="685">
        <f>+'F4.1'!N414</f>
        <v>0</v>
      </c>
      <c r="O317" s="1037">
        <v>0</v>
      </c>
    </row>
    <row r="318" spans="2:15" x14ac:dyDescent="0.35">
      <c r="B318" s="779"/>
      <c r="C318" s="1123" t="str">
        <f t="shared" si="21"/>
        <v>Office equipments</v>
      </c>
      <c r="D318" s="779"/>
      <c r="E318" s="779"/>
      <c r="F318" s="778"/>
      <c r="G318" s="778"/>
      <c r="H318" s="778"/>
      <c r="I318" s="1037">
        <f t="shared" si="22"/>
        <v>0</v>
      </c>
      <c r="J318" s="1037">
        <f t="shared" si="23"/>
        <v>1.25139E-2</v>
      </c>
      <c r="K318" s="702"/>
      <c r="L318" s="778"/>
      <c r="M318" s="778"/>
      <c r="N318" s="685">
        <f>+'F4.1'!N415</f>
        <v>1.25139E-2</v>
      </c>
      <c r="O318" s="1037">
        <v>0</v>
      </c>
    </row>
    <row r="319" spans="2:15" x14ac:dyDescent="0.35">
      <c r="B319" s="779"/>
      <c r="C319" s="1123" t="str">
        <f t="shared" si="21"/>
        <v>Software Licenses</v>
      </c>
      <c r="D319" s="779"/>
      <c r="E319" s="779"/>
      <c r="F319" s="778"/>
      <c r="G319" s="778"/>
      <c r="H319" s="778"/>
      <c r="I319" s="1037">
        <f t="shared" si="22"/>
        <v>0</v>
      </c>
      <c r="J319" s="1037">
        <f t="shared" si="23"/>
        <v>0</v>
      </c>
      <c r="K319" s="778"/>
      <c r="L319" s="778"/>
      <c r="M319" s="778"/>
      <c r="N319" s="685">
        <f>+'F4.1'!N416</f>
        <v>0</v>
      </c>
      <c r="O319" s="1037">
        <v>0</v>
      </c>
    </row>
    <row r="320" spans="2:15" x14ac:dyDescent="0.35">
      <c r="B320" s="779"/>
      <c r="C320" s="1026"/>
      <c r="D320" s="778"/>
      <c r="E320" s="778"/>
      <c r="F320" s="778"/>
      <c r="G320" s="778"/>
      <c r="H320" s="778"/>
      <c r="I320" s="778"/>
      <c r="J320" s="778"/>
      <c r="K320" s="778"/>
      <c r="L320" s="778"/>
      <c r="M320" s="778"/>
      <c r="N320" s="778"/>
      <c r="O320" s="778"/>
    </row>
    <row r="321" spans="2:15" x14ac:dyDescent="0.35">
      <c r="B321" s="1105"/>
      <c r="C321" s="1106"/>
      <c r="D321" s="1107"/>
      <c r="E321" s="1107"/>
      <c r="F321" s="1108">
        <f t="shared" ref="F321:O321" si="24">SUM(F306:F320)</f>
        <v>0</v>
      </c>
      <c r="G321" s="1108">
        <f t="shared" si="24"/>
        <v>0</v>
      </c>
      <c r="H321" s="1108">
        <f t="shared" si="24"/>
        <v>0</v>
      </c>
      <c r="I321" s="1108">
        <f t="shared" si="24"/>
        <v>0</v>
      </c>
      <c r="J321" s="1108">
        <f t="shared" si="24"/>
        <v>0.306264429</v>
      </c>
      <c r="K321" s="1108">
        <f t="shared" si="24"/>
        <v>0</v>
      </c>
      <c r="L321" s="1108">
        <f t="shared" si="24"/>
        <v>0</v>
      </c>
      <c r="M321" s="1108">
        <f t="shared" si="24"/>
        <v>0</v>
      </c>
      <c r="N321" s="1108">
        <f t="shared" si="24"/>
        <v>0.306264429</v>
      </c>
      <c r="O321" s="1108">
        <f t="shared" si="24"/>
        <v>0</v>
      </c>
    </row>
    <row r="322" spans="2:15" x14ac:dyDescent="0.35">
      <c r="B322" s="779"/>
      <c r="C322" s="1023"/>
      <c r="D322" s="1023"/>
      <c r="E322" s="1023"/>
      <c r="F322" s="778"/>
      <c r="G322" s="778"/>
      <c r="H322" s="778"/>
      <c r="I322" s="778"/>
      <c r="J322" s="778"/>
      <c r="K322" s="778"/>
      <c r="L322" s="778"/>
      <c r="M322" s="778"/>
      <c r="N322" s="778"/>
      <c r="O322" s="778"/>
    </row>
    <row r="323" spans="2:15" x14ac:dyDescent="0.35">
      <c r="B323" s="779"/>
      <c r="C323" s="1006" t="s">
        <v>112</v>
      </c>
      <c r="D323" s="1006"/>
      <c r="E323" s="1006"/>
      <c r="F323" s="778"/>
      <c r="G323" s="778"/>
      <c r="H323" s="778"/>
      <c r="I323" s="778"/>
      <c r="J323" s="778"/>
      <c r="K323" s="778"/>
      <c r="L323" s="778"/>
      <c r="M323" s="778"/>
      <c r="N323" s="778"/>
      <c r="O323" s="778"/>
    </row>
    <row r="324" spans="2:15" x14ac:dyDescent="0.35">
      <c r="B324" s="779"/>
      <c r="C324" s="1006" t="s">
        <v>476</v>
      </c>
      <c r="D324" s="1006"/>
      <c r="E324" s="1006"/>
      <c r="F324" s="778"/>
      <c r="G324" s="778"/>
      <c r="H324" s="778"/>
      <c r="I324" s="778"/>
      <c r="J324" s="778"/>
      <c r="K324" s="778"/>
      <c r="L324" s="778"/>
      <c r="M324" s="778"/>
      <c r="N324" s="778"/>
      <c r="O324" s="778"/>
    </row>
    <row r="325" spans="2:15" x14ac:dyDescent="0.35">
      <c r="B325" s="779"/>
      <c r="C325" s="1007" t="s">
        <v>477</v>
      </c>
      <c r="D325" s="1007"/>
      <c r="E325" s="1007"/>
      <c r="F325" s="778"/>
      <c r="G325" s="778"/>
      <c r="H325" s="778"/>
      <c r="I325" s="778"/>
      <c r="J325" s="778"/>
      <c r="K325" s="778"/>
      <c r="L325" s="778"/>
      <c r="M325" s="778"/>
      <c r="N325" s="778"/>
      <c r="O325" s="778"/>
    </row>
    <row r="326" spans="2:15" x14ac:dyDescent="0.35">
      <c r="B326" s="779"/>
      <c r="C326" s="1039" t="str">
        <f>C306</f>
        <v>…</v>
      </c>
      <c r="D326" s="401"/>
      <c r="E326" s="1112"/>
      <c r="F326" s="1113">
        <f>F306</f>
        <v>0</v>
      </c>
      <c r="G326" s="778"/>
      <c r="H326" s="778"/>
      <c r="I326" s="1037"/>
      <c r="J326" s="1037"/>
      <c r="K326" s="778"/>
      <c r="L326" s="778"/>
      <c r="M326" s="778"/>
      <c r="N326" s="685"/>
      <c r="O326" s="1037"/>
    </row>
    <row r="327" spans="2:15" x14ac:dyDescent="0.35">
      <c r="B327" s="779"/>
      <c r="C327" s="1007"/>
      <c r="D327" s="1007"/>
      <c r="E327" s="1007"/>
      <c r="F327" s="778"/>
      <c r="G327" s="778"/>
      <c r="H327" s="778"/>
      <c r="I327" s="778"/>
      <c r="J327" s="778"/>
      <c r="K327" s="778"/>
      <c r="L327" s="778"/>
      <c r="M327" s="778"/>
      <c r="N327" s="778"/>
      <c r="O327" s="778"/>
    </row>
    <row r="328" spans="2:15" x14ac:dyDescent="0.35">
      <c r="B328" s="779"/>
      <c r="C328" s="778" t="s">
        <v>239</v>
      </c>
      <c r="D328" s="778"/>
      <c r="E328" s="778"/>
      <c r="F328" s="778"/>
      <c r="G328" s="778"/>
      <c r="H328" s="778"/>
      <c r="I328" s="778"/>
      <c r="J328" s="778"/>
      <c r="K328" s="778"/>
      <c r="L328" s="778"/>
      <c r="M328" s="778"/>
      <c r="N328" s="778"/>
      <c r="O328" s="778"/>
    </row>
    <row r="329" spans="2:15" x14ac:dyDescent="0.35">
      <c r="B329" s="779"/>
      <c r="C329" s="778" t="s">
        <v>239</v>
      </c>
      <c r="D329" s="778"/>
      <c r="E329" s="778"/>
      <c r="F329" s="778"/>
      <c r="G329" s="778"/>
      <c r="H329" s="778"/>
      <c r="I329" s="778"/>
      <c r="J329" s="778"/>
      <c r="K329" s="778"/>
      <c r="L329" s="778"/>
      <c r="M329" s="778"/>
      <c r="N329" s="778"/>
      <c r="O329" s="778"/>
    </row>
    <row r="330" spans="2:15" x14ac:dyDescent="0.35">
      <c r="B330" s="779"/>
      <c r="C330" s="1007" t="s">
        <v>478</v>
      </c>
      <c r="D330" s="1007"/>
      <c r="E330" s="1007"/>
      <c r="F330" s="778"/>
      <c r="G330" s="778"/>
      <c r="H330" s="778"/>
      <c r="I330" s="778"/>
      <c r="J330" s="778"/>
      <c r="K330" s="778"/>
      <c r="L330" s="778"/>
      <c r="M330" s="778"/>
      <c r="N330" s="778"/>
      <c r="O330" s="778"/>
    </row>
    <row r="331" spans="2:15" x14ac:dyDescent="0.35">
      <c r="B331" s="779"/>
      <c r="C331" s="778" t="s">
        <v>239</v>
      </c>
      <c r="D331" s="778"/>
      <c r="E331" s="778"/>
      <c r="F331" s="778"/>
      <c r="G331" s="778"/>
      <c r="H331" s="778"/>
      <c r="I331" s="778"/>
      <c r="J331" s="778"/>
      <c r="K331" s="778"/>
      <c r="L331" s="778"/>
      <c r="M331" s="778"/>
      <c r="N331" s="778"/>
      <c r="O331" s="778"/>
    </row>
    <row r="332" spans="2:15" x14ac:dyDescent="0.35">
      <c r="B332" s="779"/>
      <c r="C332" s="778" t="s">
        <v>239</v>
      </c>
      <c r="D332" s="778"/>
      <c r="E332" s="778"/>
      <c r="F332" s="778"/>
      <c r="G332" s="778"/>
      <c r="H332" s="778"/>
      <c r="I332" s="778"/>
      <c r="J332" s="778"/>
      <c r="K332" s="778"/>
      <c r="L332" s="778"/>
      <c r="M332" s="778"/>
      <c r="N332" s="778"/>
      <c r="O332" s="778"/>
    </row>
    <row r="333" spans="2:15" x14ac:dyDescent="0.35">
      <c r="B333" s="779"/>
      <c r="C333" s="779" t="s">
        <v>479</v>
      </c>
      <c r="D333" s="779"/>
      <c r="E333" s="779"/>
      <c r="F333" s="778"/>
      <c r="G333" s="778"/>
      <c r="H333" s="778"/>
      <c r="I333" s="778"/>
      <c r="J333" s="778"/>
      <c r="K333" s="778"/>
      <c r="L333" s="778"/>
      <c r="M333" s="778"/>
      <c r="N333" s="778"/>
      <c r="O333" s="778"/>
    </row>
    <row r="334" spans="2:15" x14ac:dyDescent="0.35">
      <c r="B334" s="779"/>
      <c r="C334" s="1123" t="str">
        <f t="shared" ref="C334:C339" si="25">C314</f>
        <v>Meters</v>
      </c>
      <c r="D334" s="779"/>
      <c r="E334" s="779"/>
      <c r="F334" s="778"/>
      <c r="G334" s="778"/>
      <c r="H334" s="778"/>
      <c r="I334" s="1037">
        <f t="shared" ref="I334:I339" si="26">O314</f>
        <v>0</v>
      </c>
      <c r="J334" s="1037">
        <f t="shared" ref="J334:J339" si="27">+N334</f>
        <v>1.196946608</v>
      </c>
      <c r="K334" s="778"/>
      <c r="L334" s="778"/>
      <c r="M334" s="778"/>
      <c r="N334" s="685">
        <f>+'F4.1'!N427</f>
        <v>1.196946608</v>
      </c>
      <c r="O334" s="1037">
        <v>0</v>
      </c>
    </row>
    <row r="335" spans="2:15" x14ac:dyDescent="0.35">
      <c r="B335" s="779"/>
      <c r="C335" s="1123" t="str">
        <f t="shared" si="25"/>
        <v>Vehicles</v>
      </c>
      <c r="D335" s="779"/>
      <c r="E335" s="779"/>
      <c r="F335" s="778"/>
      <c r="G335" s="778"/>
      <c r="H335" s="778"/>
      <c r="I335" s="1037">
        <f t="shared" si="26"/>
        <v>0</v>
      </c>
      <c r="J335" s="1037">
        <f t="shared" si="27"/>
        <v>0</v>
      </c>
      <c r="K335" s="702"/>
      <c r="L335" s="778"/>
      <c r="M335" s="778"/>
      <c r="N335" s="685">
        <f>+'F4.1'!N428</f>
        <v>0</v>
      </c>
      <c r="O335" s="1037">
        <v>0</v>
      </c>
    </row>
    <row r="336" spans="2:15" x14ac:dyDescent="0.35">
      <c r="B336" s="779"/>
      <c r="C336" s="1123" t="str">
        <f t="shared" si="25"/>
        <v>I.T. equipments</v>
      </c>
      <c r="D336" s="779"/>
      <c r="E336" s="779"/>
      <c r="F336" s="778"/>
      <c r="G336" s="778"/>
      <c r="H336" s="778"/>
      <c r="I336" s="1037">
        <f t="shared" si="26"/>
        <v>0</v>
      </c>
      <c r="J336" s="1037">
        <f t="shared" si="27"/>
        <v>4.9749910000000007E-3</v>
      </c>
      <c r="K336" s="702"/>
      <c r="L336" s="778"/>
      <c r="M336" s="778"/>
      <c r="N336" s="685">
        <f>+'F4.1'!N429</f>
        <v>4.9749910000000007E-3</v>
      </c>
      <c r="O336" s="1037">
        <v>0</v>
      </c>
    </row>
    <row r="337" spans="2:15" x14ac:dyDescent="0.35">
      <c r="B337" s="779"/>
      <c r="C337" s="1123" t="str">
        <f t="shared" si="25"/>
        <v>Office furniture and fittings</v>
      </c>
      <c r="D337" s="779"/>
      <c r="E337" s="779"/>
      <c r="F337" s="778"/>
      <c r="G337" s="778"/>
      <c r="H337" s="778"/>
      <c r="I337" s="1037">
        <f t="shared" si="26"/>
        <v>0</v>
      </c>
      <c r="J337" s="1037">
        <f t="shared" si="27"/>
        <v>0</v>
      </c>
      <c r="K337" s="702"/>
      <c r="L337" s="778"/>
      <c r="M337" s="778"/>
      <c r="N337" s="685">
        <f>+'F4.1'!N430</f>
        <v>0</v>
      </c>
      <c r="O337" s="1037">
        <v>0</v>
      </c>
    </row>
    <row r="338" spans="2:15" x14ac:dyDescent="0.35">
      <c r="B338" s="779"/>
      <c r="C338" s="1123" t="str">
        <f t="shared" si="25"/>
        <v>Office equipments</v>
      </c>
      <c r="D338" s="779"/>
      <c r="E338" s="779"/>
      <c r="F338" s="778"/>
      <c r="G338" s="778"/>
      <c r="H338" s="778"/>
      <c r="I338" s="1037">
        <f t="shared" si="26"/>
        <v>0</v>
      </c>
      <c r="J338" s="1037">
        <f t="shared" si="27"/>
        <v>0</v>
      </c>
      <c r="K338" s="702"/>
      <c r="L338" s="778"/>
      <c r="M338" s="778"/>
      <c r="N338" s="685">
        <f>+'F4.1'!N431</f>
        <v>0</v>
      </c>
      <c r="O338" s="1037">
        <v>0</v>
      </c>
    </row>
    <row r="339" spans="2:15" x14ac:dyDescent="0.35">
      <c r="B339" s="779"/>
      <c r="C339" s="1123" t="str">
        <f t="shared" si="25"/>
        <v>Software Licenses</v>
      </c>
      <c r="D339" s="779"/>
      <c r="E339" s="779"/>
      <c r="F339" s="778"/>
      <c r="G339" s="778"/>
      <c r="H339" s="778"/>
      <c r="I339" s="1037">
        <f t="shared" si="26"/>
        <v>0</v>
      </c>
      <c r="J339" s="1037">
        <f t="shared" si="27"/>
        <v>2.65028E-2</v>
      </c>
      <c r="K339" s="778"/>
      <c r="L339" s="778"/>
      <c r="M339" s="778"/>
      <c r="N339" s="685">
        <f>+'F4.1'!N432</f>
        <v>2.65028E-2</v>
      </c>
      <c r="O339" s="1037">
        <v>0</v>
      </c>
    </row>
    <row r="340" spans="2:15" x14ac:dyDescent="0.35">
      <c r="B340" s="779"/>
      <c r="C340" s="1025"/>
      <c r="D340" s="779"/>
      <c r="E340" s="779"/>
      <c r="F340" s="778"/>
      <c r="G340" s="778"/>
      <c r="H340" s="778"/>
      <c r="I340" s="778"/>
      <c r="J340" s="778"/>
      <c r="K340" s="778"/>
      <c r="L340" s="778"/>
      <c r="M340" s="778"/>
      <c r="N340" s="778"/>
      <c r="O340" s="778"/>
    </row>
    <row r="341" spans="2:15" x14ac:dyDescent="0.35">
      <c r="B341" s="1105"/>
      <c r="C341" s="1106"/>
      <c r="D341" s="1107"/>
      <c r="E341" s="1107"/>
      <c r="F341" s="1108">
        <f t="shared" ref="F341:O341" si="28">SUM(F326:F340)</f>
        <v>0</v>
      </c>
      <c r="G341" s="1108">
        <f t="shared" si="28"/>
        <v>0</v>
      </c>
      <c r="H341" s="1108">
        <f t="shared" si="28"/>
        <v>0</v>
      </c>
      <c r="I341" s="1108">
        <f t="shared" si="28"/>
        <v>0</v>
      </c>
      <c r="J341" s="1108">
        <f t="shared" si="28"/>
        <v>1.2284243990000001</v>
      </c>
      <c r="K341" s="1108">
        <f t="shared" si="28"/>
        <v>0</v>
      </c>
      <c r="L341" s="1108">
        <f t="shared" si="28"/>
        <v>0</v>
      </c>
      <c r="M341" s="1108">
        <f t="shared" si="28"/>
        <v>0</v>
      </c>
      <c r="N341" s="1108">
        <f t="shared" si="28"/>
        <v>1.2284243990000001</v>
      </c>
      <c r="O341" s="1108">
        <f t="shared" si="28"/>
        <v>0</v>
      </c>
    </row>
    <row r="342" spans="2:15" x14ac:dyDescent="0.35">
      <c r="B342" s="779"/>
      <c r="C342" s="1026"/>
      <c r="D342" s="778"/>
      <c r="E342" s="778"/>
      <c r="F342" s="778"/>
      <c r="G342" s="778"/>
      <c r="H342" s="778"/>
      <c r="I342" s="778"/>
      <c r="J342" s="702"/>
      <c r="K342" s="702"/>
      <c r="L342" s="778"/>
      <c r="M342" s="778"/>
      <c r="N342" s="702"/>
      <c r="O342" s="778"/>
    </row>
    <row r="343" spans="2:15" x14ac:dyDescent="0.35">
      <c r="B343" s="779"/>
      <c r="C343" s="1006" t="s">
        <v>113</v>
      </c>
      <c r="D343" s="1006"/>
      <c r="E343" s="1006"/>
      <c r="F343" s="778"/>
      <c r="G343" s="778"/>
      <c r="H343" s="778"/>
      <c r="I343" s="778"/>
      <c r="J343" s="778"/>
      <c r="K343" s="778"/>
      <c r="L343" s="778"/>
      <c r="M343" s="778"/>
      <c r="N343" s="778"/>
      <c r="O343" s="778"/>
    </row>
    <row r="344" spans="2:15" x14ac:dyDescent="0.35">
      <c r="B344" s="779"/>
      <c r="C344" s="1006" t="s">
        <v>476</v>
      </c>
      <c r="D344" s="1006"/>
      <c r="E344" s="1006"/>
      <c r="F344" s="778"/>
      <c r="G344" s="778"/>
      <c r="H344" s="778"/>
      <c r="I344" s="778"/>
      <c r="J344" s="778"/>
      <c r="K344" s="778"/>
      <c r="L344" s="778"/>
      <c r="M344" s="778"/>
      <c r="N344" s="778"/>
      <c r="O344" s="778"/>
    </row>
    <row r="345" spans="2:15" x14ac:dyDescent="0.35">
      <c r="B345" s="779"/>
      <c r="C345" s="1007" t="s">
        <v>477</v>
      </c>
      <c r="D345" s="1007"/>
      <c r="E345" s="1007"/>
      <c r="F345" s="778"/>
      <c r="G345" s="778"/>
      <c r="H345" s="778"/>
      <c r="I345" s="778"/>
      <c r="J345" s="778"/>
      <c r="K345" s="778"/>
      <c r="L345" s="778"/>
      <c r="M345" s="778"/>
      <c r="N345" s="778"/>
      <c r="O345" s="778"/>
    </row>
    <row r="346" spans="2:15" x14ac:dyDescent="0.35">
      <c r="B346" s="779"/>
      <c r="C346" s="1039" t="str">
        <f>C326</f>
        <v>…</v>
      </c>
      <c r="D346" s="401"/>
      <c r="E346" s="1112"/>
      <c r="F346" s="1113">
        <f>F326</f>
        <v>0</v>
      </c>
      <c r="G346" s="778"/>
      <c r="H346" s="778"/>
      <c r="I346" s="1037"/>
      <c r="J346" s="1037"/>
      <c r="K346" s="778"/>
      <c r="L346" s="778"/>
      <c r="M346" s="778"/>
      <c r="N346" s="685"/>
      <c r="O346" s="1037"/>
    </row>
    <row r="347" spans="2:15" x14ac:dyDescent="0.35">
      <c r="B347" s="779"/>
      <c r="C347" s="1007"/>
      <c r="D347" s="1007"/>
      <c r="E347" s="1007"/>
      <c r="F347" s="778"/>
      <c r="G347" s="778"/>
      <c r="H347" s="778"/>
      <c r="I347" s="778"/>
      <c r="J347" s="778"/>
      <c r="K347" s="778"/>
      <c r="L347" s="778"/>
      <c r="M347" s="778"/>
      <c r="N347" s="778"/>
      <c r="O347" s="778"/>
    </row>
    <row r="348" spans="2:15" x14ac:dyDescent="0.35">
      <c r="B348" s="779"/>
      <c r="C348" s="778" t="s">
        <v>239</v>
      </c>
      <c r="D348" s="778"/>
      <c r="E348" s="778"/>
      <c r="F348" s="778"/>
      <c r="G348" s="778"/>
      <c r="H348" s="778"/>
      <c r="I348" s="778"/>
      <c r="J348" s="778"/>
      <c r="K348" s="778"/>
      <c r="L348" s="778"/>
      <c r="M348" s="778"/>
      <c r="N348" s="778"/>
      <c r="O348" s="778"/>
    </row>
    <row r="349" spans="2:15" x14ac:dyDescent="0.35">
      <c r="B349" s="779"/>
      <c r="C349" s="778" t="s">
        <v>239</v>
      </c>
      <c r="D349" s="778"/>
      <c r="E349" s="778"/>
      <c r="F349" s="778"/>
      <c r="G349" s="778"/>
      <c r="H349" s="778"/>
      <c r="I349" s="778"/>
      <c r="J349" s="778"/>
      <c r="K349" s="778"/>
      <c r="L349" s="778"/>
      <c r="M349" s="778"/>
      <c r="N349" s="778"/>
      <c r="O349" s="778"/>
    </row>
    <row r="350" spans="2:15" x14ac:dyDescent="0.35">
      <c r="B350" s="779"/>
      <c r="C350" s="1007" t="s">
        <v>478</v>
      </c>
      <c r="D350" s="1007"/>
      <c r="E350" s="1007"/>
      <c r="F350" s="778"/>
      <c r="G350" s="778"/>
      <c r="H350" s="778"/>
      <c r="I350" s="778"/>
      <c r="J350" s="778"/>
      <c r="K350" s="778"/>
      <c r="L350" s="778"/>
      <c r="M350" s="778"/>
      <c r="N350" s="778"/>
      <c r="O350" s="778"/>
    </row>
    <row r="351" spans="2:15" x14ac:dyDescent="0.35">
      <c r="B351" s="779"/>
      <c r="C351" s="778" t="s">
        <v>239</v>
      </c>
      <c r="D351" s="778"/>
      <c r="E351" s="778"/>
      <c r="F351" s="778"/>
      <c r="G351" s="778"/>
      <c r="H351" s="778"/>
      <c r="I351" s="778"/>
      <c r="J351" s="778"/>
      <c r="K351" s="778"/>
      <c r="L351" s="778"/>
      <c r="M351" s="778"/>
      <c r="N351" s="778"/>
      <c r="O351" s="778"/>
    </row>
    <row r="352" spans="2:15" x14ac:dyDescent="0.35">
      <c r="B352" s="779"/>
      <c r="C352" s="778" t="s">
        <v>239</v>
      </c>
      <c r="D352" s="778"/>
      <c r="E352" s="778"/>
      <c r="F352" s="778"/>
      <c r="G352" s="778"/>
      <c r="H352" s="778"/>
      <c r="I352" s="778"/>
      <c r="J352" s="778"/>
      <c r="K352" s="778"/>
      <c r="L352" s="778"/>
      <c r="M352" s="778"/>
      <c r="N352" s="778"/>
      <c r="O352" s="778"/>
    </row>
    <row r="353" spans="2:15" x14ac:dyDescent="0.35">
      <c r="B353" s="779"/>
      <c r="C353" s="779" t="s">
        <v>479</v>
      </c>
      <c r="D353" s="779"/>
      <c r="E353" s="779"/>
      <c r="F353" s="778"/>
      <c r="G353" s="778"/>
      <c r="H353" s="778"/>
      <c r="I353" s="778"/>
      <c r="J353" s="778"/>
      <c r="K353" s="778"/>
      <c r="L353" s="778"/>
      <c r="M353" s="778"/>
      <c r="N353" s="778"/>
      <c r="O353" s="778"/>
    </row>
    <row r="354" spans="2:15" x14ac:dyDescent="0.35">
      <c r="B354" s="779"/>
      <c r="C354" s="1123" t="str">
        <f t="shared" ref="C354:C359" si="29">C334</f>
        <v>Meters</v>
      </c>
      <c r="D354" s="779"/>
      <c r="E354" s="779"/>
      <c r="F354" s="778"/>
      <c r="G354" s="778"/>
      <c r="H354" s="778"/>
      <c r="I354" s="1037">
        <f t="shared" ref="I354:I359" si="30">O334</f>
        <v>0</v>
      </c>
      <c r="J354" s="1037">
        <f t="shared" ref="J354:J359" si="31">+N354</f>
        <v>1.0655415E-2</v>
      </c>
      <c r="K354" s="778"/>
      <c r="L354" s="778"/>
      <c r="M354" s="778"/>
      <c r="N354" s="685">
        <f>+'F4.1'!N438</f>
        <v>1.0655415E-2</v>
      </c>
      <c r="O354" s="1037">
        <v>0</v>
      </c>
    </row>
    <row r="355" spans="2:15" x14ac:dyDescent="0.35">
      <c r="B355" s="779"/>
      <c r="C355" s="1123" t="str">
        <f t="shared" si="29"/>
        <v>Vehicles</v>
      </c>
      <c r="D355" s="779"/>
      <c r="E355" s="779"/>
      <c r="F355" s="778"/>
      <c r="G355" s="778"/>
      <c r="H355" s="778"/>
      <c r="I355" s="1037">
        <f t="shared" si="30"/>
        <v>0</v>
      </c>
      <c r="J355" s="1037">
        <f t="shared" si="31"/>
        <v>0</v>
      </c>
      <c r="K355" s="702"/>
      <c r="L355" s="778"/>
      <c r="M355" s="778"/>
      <c r="N355" s="685">
        <f>+'F4.1'!N439</f>
        <v>0</v>
      </c>
      <c r="O355" s="1037">
        <v>0</v>
      </c>
    </row>
    <row r="356" spans="2:15" x14ac:dyDescent="0.35">
      <c r="B356" s="779"/>
      <c r="C356" s="1123" t="str">
        <f t="shared" si="29"/>
        <v>I.T. equipments</v>
      </c>
      <c r="D356" s="779"/>
      <c r="E356" s="779"/>
      <c r="F356" s="778"/>
      <c r="G356" s="778"/>
      <c r="H356" s="778"/>
      <c r="I356" s="1037">
        <f t="shared" si="30"/>
        <v>0</v>
      </c>
      <c r="J356" s="1037">
        <f t="shared" si="31"/>
        <v>3.5545362499999997E-2</v>
      </c>
      <c r="K356" s="702"/>
      <c r="L356" s="778"/>
      <c r="M356" s="778"/>
      <c r="N356" s="685">
        <f>+'F4.1'!N440</f>
        <v>3.5545362499999997E-2</v>
      </c>
      <c r="O356" s="1037">
        <v>0</v>
      </c>
    </row>
    <row r="357" spans="2:15" x14ac:dyDescent="0.35">
      <c r="B357" s="779"/>
      <c r="C357" s="1123" t="str">
        <f t="shared" si="29"/>
        <v>Office furniture and fittings</v>
      </c>
      <c r="D357" s="779"/>
      <c r="E357" s="779"/>
      <c r="F357" s="778"/>
      <c r="G357" s="778"/>
      <c r="H357" s="778"/>
      <c r="I357" s="1037">
        <f t="shared" si="30"/>
        <v>0</v>
      </c>
      <c r="J357" s="1037">
        <f t="shared" si="31"/>
        <v>0</v>
      </c>
      <c r="K357" s="702"/>
      <c r="L357" s="778"/>
      <c r="M357" s="778"/>
      <c r="N357" s="685">
        <f>+'F4.1'!N441</f>
        <v>0</v>
      </c>
      <c r="O357" s="1037">
        <v>0</v>
      </c>
    </row>
    <row r="358" spans="2:15" x14ac:dyDescent="0.35">
      <c r="B358" s="779"/>
      <c r="C358" s="1123" t="str">
        <f t="shared" si="29"/>
        <v>Office equipments</v>
      </c>
      <c r="D358" s="779"/>
      <c r="E358" s="779"/>
      <c r="F358" s="778"/>
      <c r="G358" s="778"/>
      <c r="H358" s="778"/>
      <c r="I358" s="1037">
        <f t="shared" si="30"/>
        <v>0</v>
      </c>
      <c r="J358" s="1037">
        <f t="shared" si="31"/>
        <v>8.5004999999999998E-4</v>
      </c>
      <c r="K358" s="702"/>
      <c r="L358" s="778"/>
      <c r="M358" s="778"/>
      <c r="N358" s="685">
        <f>+'F4.1'!N442</f>
        <v>8.5004999999999998E-4</v>
      </c>
      <c r="O358" s="1037">
        <v>0</v>
      </c>
    </row>
    <row r="359" spans="2:15" x14ac:dyDescent="0.35">
      <c r="B359" s="779"/>
      <c r="C359" s="1123" t="str">
        <f t="shared" si="29"/>
        <v>Software Licenses</v>
      </c>
      <c r="D359" s="779"/>
      <c r="E359" s="779"/>
      <c r="F359" s="778"/>
      <c r="G359" s="778"/>
      <c r="H359" s="778"/>
      <c r="I359" s="1037">
        <f t="shared" si="30"/>
        <v>0</v>
      </c>
      <c r="J359" s="1037">
        <f t="shared" si="31"/>
        <v>0</v>
      </c>
      <c r="K359" s="778"/>
      <c r="L359" s="778"/>
      <c r="M359" s="778"/>
      <c r="N359" s="685">
        <f>+'F4.1'!N443</f>
        <v>0</v>
      </c>
      <c r="O359" s="1037">
        <v>0</v>
      </c>
    </row>
    <row r="360" spans="2:15" x14ac:dyDescent="0.35">
      <c r="B360" s="1105"/>
      <c r="C360" s="1106"/>
      <c r="D360" s="1107"/>
      <c r="E360" s="1107"/>
      <c r="F360" s="1108">
        <f t="shared" ref="F360:O360" si="32">SUM(F345:F359)</f>
        <v>0</v>
      </c>
      <c r="G360" s="1108">
        <f t="shared" si="32"/>
        <v>0</v>
      </c>
      <c r="H360" s="1108">
        <f t="shared" si="32"/>
        <v>0</v>
      </c>
      <c r="I360" s="1108">
        <f t="shared" si="32"/>
        <v>0</v>
      </c>
      <c r="J360" s="1108">
        <f t="shared" si="32"/>
        <v>4.7050827499999996E-2</v>
      </c>
      <c r="K360" s="1108">
        <f t="shared" si="32"/>
        <v>0</v>
      </c>
      <c r="L360" s="1108">
        <f t="shared" si="32"/>
        <v>0</v>
      </c>
      <c r="M360" s="1108">
        <f t="shared" si="32"/>
        <v>0</v>
      </c>
      <c r="N360" s="1108">
        <f t="shared" si="32"/>
        <v>4.7050827499999996E-2</v>
      </c>
      <c r="O360" s="1108">
        <f t="shared" si="32"/>
        <v>0</v>
      </c>
    </row>
    <row r="361" spans="2:15" x14ac:dyDescent="0.35">
      <c r="B361" s="779"/>
      <c r="C361" s="1055"/>
      <c r="D361" s="778"/>
      <c r="E361" s="778"/>
      <c r="F361" s="1116"/>
      <c r="G361" s="1116"/>
      <c r="H361" s="1116"/>
      <c r="I361" s="1116"/>
      <c r="J361" s="1116"/>
      <c r="K361" s="1116"/>
      <c r="L361" s="1116"/>
      <c r="M361" s="1116"/>
      <c r="N361" s="1116"/>
      <c r="O361" s="1116"/>
    </row>
    <row r="362" spans="2:15" x14ac:dyDescent="0.35">
      <c r="B362" s="779"/>
      <c r="C362" s="1006" t="s">
        <v>114</v>
      </c>
      <c r="D362" s="1006"/>
      <c r="E362" s="1006"/>
      <c r="F362" s="778"/>
      <c r="G362" s="778"/>
      <c r="H362" s="778"/>
      <c r="I362" s="778"/>
      <c r="J362" s="778"/>
      <c r="K362" s="778"/>
      <c r="L362" s="778"/>
      <c r="M362" s="778"/>
      <c r="N362" s="778"/>
      <c r="O362" s="778"/>
    </row>
    <row r="363" spans="2:15" x14ac:dyDescent="0.35">
      <c r="B363" s="779"/>
      <c r="C363" s="1006" t="s">
        <v>476</v>
      </c>
      <c r="D363" s="1006"/>
      <c r="E363" s="1006"/>
      <c r="F363" s="778"/>
      <c r="G363" s="778"/>
      <c r="H363" s="778"/>
      <c r="I363" s="778"/>
      <c r="J363" s="778"/>
      <c r="K363" s="778"/>
      <c r="L363" s="778"/>
      <c r="M363" s="778"/>
      <c r="N363" s="778"/>
      <c r="O363" s="778"/>
    </row>
    <row r="364" spans="2:15" x14ac:dyDescent="0.35">
      <c r="B364" s="779"/>
      <c r="C364" s="1007" t="s">
        <v>477</v>
      </c>
      <c r="D364" s="1007"/>
      <c r="E364" s="1007"/>
      <c r="F364" s="778"/>
      <c r="G364" s="778"/>
      <c r="H364" s="778"/>
      <c r="I364" s="778"/>
      <c r="J364" s="778"/>
      <c r="K364" s="778"/>
      <c r="L364" s="778"/>
      <c r="M364" s="778"/>
      <c r="N364" s="778"/>
      <c r="O364" s="778"/>
    </row>
    <row r="365" spans="2:15" x14ac:dyDescent="0.35">
      <c r="B365" s="779"/>
      <c r="C365" s="1039" t="str">
        <f>C345</f>
        <v>(i) In-principle approved by MERC</v>
      </c>
      <c r="D365" s="401"/>
      <c r="E365" s="1112"/>
      <c r="F365" s="1113"/>
      <c r="G365" s="778"/>
      <c r="H365" s="778"/>
      <c r="I365" s="1037"/>
      <c r="J365" s="1037"/>
      <c r="K365" s="778"/>
      <c r="L365" s="778"/>
      <c r="M365" s="778"/>
      <c r="N365" s="685"/>
      <c r="O365" s="1037"/>
    </row>
    <row r="366" spans="2:15" x14ac:dyDescent="0.35">
      <c r="B366" s="779"/>
      <c r="C366" s="1007"/>
      <c r="D366" s="1007"/>
      <c r="E366" s="1007"/>
      <c r="F366" s="778"/>
      <c r="G366" s="778"/>
      <c r="H366" s="778"/>
      <c r="I366" s="778"/>
      <c r="J366" s="778"/>
      <c r="K366" s="778"/>
      <c r="L366" s="778"/>
      <c r="M366" s="778"/>
      <c r="N366" s="778"/>
      <c r="O366" s="778"/>
    </row>
    <row r="367" spans="2:15" x14ac:dyDescent="0.35">
      <c r="B367" s="779"/>
      <c r="C367" s="778" t="s">
        <v>239</v>
      </c>
      <c r="D367" s="778"/>
      <c r="E367" s="778"/>
      <c r="F367" s="778"/>
      <c r="G367" s="778"/>
      <c r="H367" s="778"/>
      <c r="I367" s="778"/>
      <c r="J367" s="778"/>
      <c r="K367" s="778"/>
      <c r="L367" s="778"/>
      <c r="M367" s="778"/>
      <c r="N367" s="778"/>
      <c r="O367" s="778"/>
    </row>
    <row r="368" spans="2:15" x14ac:dyDescent="0.35">
      <c r="B368" s="779"/>
      <c r="C368" s="778" t="s">
        <v>239</v>
      </c>
      <c r="D368" s="778"/>
      <c r="E368" s="778"/>
      <c r="F368" s="778"/>
      <c r="G368" s="778"/>
      <c r="H368" s="778"/>
      <c r="I368" s="778"/>
      <c r="J368" s="778"/>
      <c r="K368" s="778"/>
      <c r="L368" s="778"/>
      <c r="M368" s="778"/>
      <c r="N368" s="778"/>
      <c r="O368" s="778"/>
    </row>
    <row r="369" spans="2:15" x14ac:dyDescent="0.35">
      <c r="B369" s="779"/>
      <c r="C369" s="1007" t="s">
        <v>478</v>
      </c>
      <c r="D369" s="1007"/>
      <c r="E369" s="1007"/>
      <c r="F369" s="778"/>
      <c r="G369" s="778"/>
      <c r="H369" s="778"/>
      <c r="I369" s="778"/>
      <c r="J369" s="778"/>
      <c r="K369" s="778"/>
      <c r="L369" s="778"/>
      <c r="M369" s="778"/>
      <c r="N369" s="778"/>
      <c r="O369" s="778"/>
    </row>
    <row r="370" spans="2:15" x14ac:dyDescent="0.35">
      <c r="B370" s="779"/>
      <c r="C370" s="778" t="s">
        <v>239</v>
      </c>
      <c r="D370" s="778"/>
      <c r="E370" s="778"/>
      <c r="F370" s="778"/>
      <c r="G370" s="778"/>
      <c r="H370" s="778"/>
      <c r="I370" s="778"/>
      <c r="J370" s="778"/>
      <c r="K370" s="778"/>
      <c r="L370" s="778"/>
      <c r="M370" s="778"/>
      <c r="N370" s="778"/>
      <c r="O370" s="778"/>
    </row>
    <row r="371" spans="2:15" x14ac:dyDescent="0.35">
      <c r="B371" s="779"/>
      <c r="C371" s="778" t="s">
        <v>239</v>
      </c>
      <c r="D371" s="778"/>
      <c r="E371" s="778"/>
      <c r="F371" s="778"/>
      <c r="G371" s="778"/>
      <c r="H371" s="778"/>
      <c r="I371" s="778"/>
      <c r="J371" s="778"/>
      <c r="K371" s="778"/>
      <c r="L371" s="778"/>
      <c r="M371" s="778"/>
      <c r="N371" s="778"/>
      <c r="O371" s="778"/>
    </row>
    <row r="372" spans="2:15" x14ac:dyDescent="0.35">
      <c r="B372" s="779"/>
      <c r="C372" s="779" t="s">
        <v>479</v>
      </c>
      <c r="D372" s="779"/>
      <c r="E372" s="779"/>
      <c r="F372" s="778"/>
      <c r="G372" s="778"/>
      <c r="H372" s="778"/>
      <c r="I372" s="778"/>
      <c r="J372" s="778"/>
      <c r="K372" s="778"/>
      <c r="L372" s="778"/>
      <c r="M372" s="778"/>
      <c r="N372" s="778"/>
      <c r="O372" s="778"/>
    </row>
    <row r="373" spans="2:15" x14ac:dyDescent="0.35">
      <c r="B373" s="779"/>
      <c r="C373" s="1123" t="str">
        <f t="shared" ref="C373:C378" si="33">C353</f>
        <v>b) Non-DPR Schemes</v>
      </c>
      <c r="D373" s="779"/>
      <c r="E373" s="779"/>
      <c r="F373" s="778"/>
      <c r="G373" s="778"/>
      <c r="H373" s="778"/>
      <c r="I373" s="1037">
        <f t="shared" ref="I373:I378" si="34">O353</f>
        <v>0</v>
      </c>
      <c r="J373" s="1037">
        <f t="shared" ref="J373:J378" si="35">+N373</f>
        <v>0</v>
      </c>
      <c r="K373" s="778"/>
      <c r="L373" s="778"/>
      <c r="M373" s="778"/>
      <c r="N373" s="685">
        <f>+'F4.1'!N447</f>
        <v>0</v>
      </c>
      <c r="O373" s="1037">
        <v>0</v>
      </c>
    </row>
    <row r="374" spans="2:15" x14ac:dyDescent="0.35">
      <c r="B374" s="779"/>
      <c r="C374" s="1123" t="str">
        <f t="shared" si="33"/>
        <v>Meters</v>
      </c>
      <c r="D374" s="779"/>
      <c r="E374" s="779"/>
      <c r="F374" s="778"/>
      <c r="G374" s="778"/>
      <c r="H374" s="778"/>
      <c r="I374" s="1037">
        <f t="shared" si="34"/>
        <v>0</v>
      </c>
      <c r="J374" s="1037">
        <f t="shared" si="35"/>
        <v>0</v>
      </c>
      <c r="K374" s="702"/>
      <c r="L374" s="778"/>
      <c r="M374" s="778"/>
      <c r="N374" s="685">
        <f>+'F4.1'!N448</f>
        <v>0</v>
      </c>
      <c r="O374" s="1037">
        <v>0</v>
      </c>
    </row>
    <row r="375" spans="2:15" x14ac:dyDescent="0.35">
      <c r="B375" s="779"/>
      <c r="C375" s="1123" t="str">
        <f t="shared" si="33"/>
        <v>Vehicles</v>
      </c>
      <c r="D375" s="779"/>
      <c r="E375" s="779"/>
      <c r="F375" s="778"/>
      <c r="G375" s="778"/>
      <c r="H375" s="778"/>
      <c r="I375" s="1037">
        <f t="shared" si="34"/>
        <v>0</v>
      </c>
      <c r="J375" s="1037">
        <f t="shared" si="35"/>
        <v>5.2556599999999997E-3</v>
      </c>
      <c r="K375" s="702"/>
      <c r="L375" s="778"/>
      <c r="M375" s="778"/>
      <c r="N375" s="685">
        <f>+'F4.1'!N449</f>
        <v>5.2556599999999997E-3</v>
      </c>
      <c r="O375" s="1037">
        <v>0</v>
      </c>
    </row>
    <row r="376" spans="2:15" x14ac:dyDescent="0.35">
      <c r="B376" s="779"/>
      <c r="C376" s="1123" t="str">
        <f t="shared" si="33"/>
        <v>I.T. equipments</v>
      </c>
      <c r="D376" s="779"/>
      <c r="E376" s="779"/>
      <c r="F376" s="778"/>
      <c r="G376" s="778"/>
      <c r="H376" s="778"/>
      <c r="I376" s="1037">
        <f t="shared" si="34"/>
        <v>0</v>
      </c>
      <c r="J376" s="1037">
        <f t="shared" si="35"/>
        <v>5.2214999999999996E-3</v>
      </c>
      <c r="K376" s="702"/>
      <c r="L376" s="778"/>
      <c r="M376" s="778"/>
      <c r="N376" s="685">
        <f>+'F4.1'!N450</f>
        <v>5.2214999999999996E-3</v>
      </c>
      <c r="O376" s="1037">
        <v>0</v>
      </c>
    </row>
    <row r="377" spans="2:15" x14ac:dyDescent="0.35">
      <c r="B377" s="779"/>
      <c r="C377" s="1123" t="str">
        <f t="shared" si="33"/>
        <v>Office furniture and fittings</v>
      </c>
      <c r="D377" s="779"/>
      <c r="E377" s="779"/>
      <c r="F377" s="778"/>
      <c r="G377" s="778"/>
      <c r="H377" s="778"/>
      <c r="I377" s="1037">
        <f t="shared" si="34"/>
        <v>0</v>
      </c>
      <c r="J377" s="1037">
        <f t="shared" si="35"/>
        <v>2.5886250000000002E-3</v>
      </c>
      <c r="K377" s="702"/>
      <c r="L377" s="778"/>
      <c r="M377" s="778"/>
      <c r="N377" s="685">
        <f>+'F4.1'!N451</f>
        <v>2.5886250000000002E-3</v>
      </c>
      <c r="O377" s="1037">
        <v>0</v>
      </c>
    </row>
    <row r="378" spans="2:15" x14ac:dyDescent="0.35">
      <c r="B378" s="779"/>
      <c r="C378" s="1123" t="str">
        <f t="shared" si="33"/>
        <v>Office equipments</v>
      </c>
      <c r="D378" s="779"/>
      <c r="E378" s="779"/>
      <c r="F378" s="778"/>
      <c r="G378" s="778"/>
      <c r="H378" s="778"/>
      <c r="I378" s="1037">
        <f t="shared" si="34"/>
        <v>0</v>
      </c>
      <c r="J378" s="1037">
        <f t="shared" si="35"/>
        <v>7.7879999999999998E-3</v>
      </c>
      <c r="K378" s="778"/>
      <c r="L378" s="778"/>
      <c r="M378" s="778"/>
      <c r="N378" s="685">
        <f>+'F4.1'!N452</f>
        <v>7.7879999999999998E-3</v>
      </c>
      <c r="O378" s="1037">
        <v>0</v>
      </c>
    </row>
    <row r="379" spans="2:15" x14ac:dyDescent="0.35">
      <c r="B379" s="1105"/>
      <c r="C379" s="1106"/>
      <c r="D379" s="1107"/>
      <c r="E379" s="1107"/>
      <c r="F379" s="1108">
        <f t="shared" ref="F379:O379" si="36">SUM(F364:F378)</f>
        <v>0</v>
      </c>
      <c r="G379" s="1108">
        <f t="shared" si="36"/>
        <v>0</v>
      </c>
      <c r="H379" s="1108">
        <f t="shared" si="36"/>
        <v>0</v>
      </c>
      <c r="I379" s="1108">
        <f t="shared" si="36"/>
        <v>0</v>
      </c>
      <c r="J379" s="1108">
        <f t="shared" si="36"/>
        <v>2.0853785E-2</v>
      </c>
      <c r="K379" s="1108">
        <f t="shared" si="36"/>
        <v>0</v>
      </c>
      <c r="L379" s="1108">
        <f t="shared" si="36"/>
        <v>0</v>
      </c>
      <c r="M379" s="1108">
        <f t="shared" si="36"/>
        <v>0</v>
      </c>
      <c r="N379" s="1108">
        <f t="shared" si="36"/>
        <v>2.0853785E-2</v>
      </c>
      <c r="O379" s="1108">
        <f t="shared" si="36"/>
        <v>0</v>
      </c>
    </row>
    <row r="380" spans="2:15" x14ac:dyDescent="0.35">
      <c r="B380" s="778"/>
      <c r="C380" s="778"/>
      <c r="D380" s="778"/>
      <c r="E380" s="778"/>
      <c r="F380" s="778"/>
      <c r="G380" s="778"/>
      <c r="H380" s="778"/>
      <c r="I380" s="778"/>
      <c r="J380" s="778"/>
      <c r="K380" s="778"/>
      <c r="L380" s="778"/>
      <c r="M380" s="778"/>
      <c r="N380" s="778"/>
      <c r="O380" s="778"/>
    </row>
    <row r="381" spans="2:15" x14ac:dyDescent="0.35">
      <c r="B381" s="1028"/>
      <c r="C381" s="1027" t="s">
        <v>480</v>
      </c>
      <c r="D381" s="1027"/>
      <c r="E381" s="1027"/>
      <c r="F381" s="1117">
        <f>F261</f>
        <v>0</v>
      </c>
      <c r="G381" s="1027"/>
      <c r="H381" s="1027"/>
      <c r="I381" s="1117">
        <f>I261</f>
        <v>0</v>
      </c>
      <c r="J381" s="1118">
        <f>J261+J282+J301+J321+J341+J360+J379</f>
        <v>3.647457198923433</v>
      </c>
      <c r="K381" s="1028"/>
      <c r="L381" s="1028"/>
      <c r="M381" s="1028"/>
      <c r="N381" s="1118">
        <f>N261+N282+N301+N321+N341+N360+N379</f>
        <v>3.647457198923433</v>
      </c>
      <c r="O381" s="1118">
        <f>O379</f>
        <v>0</v>
      </c>
    </row>
    <row r="383" spans="2:15" x14ac:dyDescent="0.35">
      <c r="B383" s="1052" t="s">
        <v>1406</v>
      </c>
      <c r="C383" s="1052"/>
      <c r="D383" s="1052"/>
      <c r="E383" s="1052"/>
      <c r="F383" s="1052"/>
      <c r="G383" s="1052"/>
      <c r="H383" s="1052"/>
      <c r="I383" s="1052"/>
    </row>
    <row r="384" spans="2:15" x14ac:dyDescent="0.35">
      <c r="B384" s="1052" t="s">
        <v>492</v>
      </c>
      <c r="C384" s="1052"/>
      <c r="D384" s="1052"/>
      <c r="E384" s="1052"/>
      <c r="F384" s="1052"/>
      <c r="G384" s="1052"/>
      <c r="H384" s="1052"/>
      <c r="I384" s="1052"/>
    </row>
    <row r="387" spans="9:16" x14ac:dyDescent="0.35">
      <c r="I387" s="1032"/>
    </row>
    <row r="388" spans="9:16" x14ac:dyDescent="0.35">
      <c r="I388" s="1032"/>
      <c r="J388" s="1032"/>
      <c r="K388" s="1032"/>
      <c r="L388" s="1032"/>
      <c r="M388" s="1032"/>
      <c r="N388" s="814"/>
      <c r="O388" s="1032"/>
      <c r="P388" s="1032"/>
    </row>
    <row r="389" spans="9:16" x14ac:dyDescent="0.35">
      <c r="I389" s="814"/>
      <c r="J389" s="1032"/>
      <c r="K389" s="1032"/>
      <c r="L389" s="1032"/>
      <c r="M389" s="1032"/>
      <c r="N389" s="1032"/>
      <c r="O389" s="1032"/>
      <c r="P389" s="1032"/>
    </row>
  </sheetData>
  <mergeCells count="34">
    <mergeCell ref="B9:B11"/>
    <mergeCell ref="C9:C11"/>
    <mergeCell ref="E9:E11"/>
    <mergeCell ref="F9:F11"/>
    <mergeCell ref="G9:G11"/>
    <mergeCell ref="H9:H11"/>
    <mergeCell ref="I9:I11"/>
    <mergeCell ref="J9:J11"/>
    <mergeCell ref="K9:N10"/>
    <mergeCell ref="O10:O11"/>
    <mergeCell ref="I212:I214"/>
    <mergeCell ref="J212:J214"/>
    <mergeCell ref="K212:N213"/>
    <mergeCell ref="B212:B214"/>
    <mergeCell ref="C212:C214"/>
    <mergeCell ref="D212:D214"/>
    <mergeCell ref="E212:E214"/>
    <mergeCell ref="F212:F214"/>
    <mergeCell ref="O212:O214"/>
    <mergeCell ref="B2:O2"/>
    <mergeCell ref="B3:O3"/>
    <mergeCell ref="B4:O4"/>
    <mergeCell ref="B209:B211"/>
    <mergeCell ref="C209:C211"/>
    <mergeCell ref="E209:E211"/>
    <mergeCell ref="F209:F211"/>
    <mergeCell ref="G209:G211"/>
    <mergeCell ref="H209:H211"/>
    <mergeCell ref="I209:I211"/>
    <mergeCell ref="J209:J211"/>
    <mergeCell ref="K209:N210"/>
    <mergeCell ref="O210:O211"/>
    <mergeCell ref="G212:G214"/>
    <mergeCell ref="H212:H214"/>
  </mergeCells>
  <printOptions verticalCentered="1"/>
  <pageMargins left="0" right="0" top="0.23622047244094491" bottom="0.23622047244094491" header="0.23622047244094491" footer="0.23622047244094491"/>
  <pageSetup paperSize="9" scale="41" fitToHeight="2" orientation="landscape" r:id="rId1"/>
  <headerFooter alignWithMargins="0">
    <oddHeader>&amp;F</oddHeader>
  </headerFooter>
  <rowBreaks count="3" manualBreakCount="3">
    <brk id="87" max="14" man="1"/>
    <brk id="203" max="14" man="1"/>
    <brk id="322"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23BA1-5529-4E3A-8932-DDBA63C21279}">
  <dimension ref="A2:AJ296"/>
  <sheetViews>
    <sheetView showGridLines="0" zoomScale="62" zoomScaleNormal="40" workbookViewId="0">
      <pane xSplit="2" ySplit="7" topLeftCell="C8" activePane="bottomRight" state="frozen"/>
      <selection pane="topRight" activeCell="C1" sqref="C1"/>
      <selection pane="bottomLeft" activeCell="A8" sqref="A8"/>
      <selection pane="bottomRight" activeCell="C8" sqref="C8"/>
    </sheetView>
  </sheetViews>
  <sheetFormatPr defaultColWidth="9.33203125" defaultRowHeight="12.75" x14ac:dyDescent="0.35"/>
  <cols>
    <col min="1" max="1" width="14.6640625" style="221" customWidth="1"/>
    <col min="2" max="2" width="32.6640625" style="238" bestFit="1" customWidth="1"/>
    <col min="3" max="3" width="23.1328125" style="1862" customWidth="1"/>
    <col min="4" max="4" width="19.6640625" style="221" customWidth="1"/>
    <col min="5" max="5" width="19" style="1866" customWidth="1"/>
    <col min="6" max="14" width="22.33203125" style="221" hidden="1" customWidth="1"/>
    <col min="15" max="15" width="23.46484375" style="221" hidden="1" customWidth="1"/>
    <col min="16" max="18" width="22.33203125" style="221" hidden="1" customWidth="1"/>
    <col min="19" max="30" width="22.33203125" style="221" customWidth="1"/>
    <col min="31" max="31" width="30.1328125" style="221" customWidth="1"/>
    <col min="32" max="32" width="29.6640625" style="221" customWidth="1"/>
    <col min="33" max="33" width="28.33203125" style="221" customWidth="1"/>
    <col min="34" max="34" width="9.33203125" style="221"/>
    <col min="35" max="35" width="25.6640625" style="221" customWidth="1"/>
    <col min="36" max="36" width="22.33203125" style="221" customWidth="1"/>
    <col min="37" max="16384" width="9.33203125" style="221"/>
  </cols>
  <sheetData>
    <row r="2" spans="1:33" ht="13.5" x14ac:dyDescent="0.35">
      <c r="A2" s="1875" t="s">
        <v>838</v>
      </c>
      <c r="B2" s="1876"/>
      <c r="C2" s="1876"/>
      <c r="D2" s="1876"/>
      <c r="E2" s="1876"/>
      <c r="F2" s="1876"/>
      <c r="G2" s="1876"/>
      <c r="H2" s="1876"/>
      <c r="I2" s="1876"/>
      <c r="J2" s="1876"/>
      <c r="K2" s="1876"/>
      <c r="L2" s="1876"/>
      <c r="M2" s="1876"/>
      <c r="N2" s="1876"/>
      <c r="O2" s="1876"/>
      <c r="P2" s="1876"/>
      <c r="Q2" s="1876"/>
      <c r="R2" s="1876"/>
      <c r="S2" s="1876"/>
      <c r="T2" s="1876"/>
    </row>
    <row r="3" spans="1:33" ht="13.5" x14ac:dyDescent="0.35">
      <c r="A3" s="1875" t="s">
        <v>107</v>
      </c>
      <c r="B3" s="1876"/>
      <c r="C3" s="1876"/>
      <c r="D3" s="1876"/>
      <c r="E3" s="1876"/>
      <c r="F3" s="1876"/>
      <c r="G3" s="1876"/>
      <c r="H3" s="1876"/>
      <c r="I3" s="1876"/>
      <c r="J3" s="1876"/>
      <c r="K3" s="1876"/>
      <c r="L3" s="1876"/>
      <c r="M3" s="1876"/>
      <c r="N3" s="1876"/>
      <c r="O3" s="1876"/>
      <c r="P3" s="1876"/>
      <c r="Q3" s="1876"/>
      <c r="R3" s="1876"/>
      <c r="S3" s="1876"/>
      <c r="T3" s="1876"/>
    </row>
    <row r="4" spans="1:33" ht="13.5" x14ac:dyDescent="0.35">
      <c r="A4" s="1877" t="s">
        <v>839</v>
      </c>
      <c r="B4" s="1878"/>
      <c r="C4" s="1878"/>
      <c r="D4" s="1878"/>
      <c r="E4" s="1878"/>
      <c r="F4" s="1878"/>
      <c r="G4" s="1878"/>
      <c r="H4" s="1878"/>
      <c r="I4" s="1878"/>
      <c r="J4" s="1878"/>
      <c r="K4" s="1878"/>
      <c r="L4" s="1878"/>
      <c r="M4" s="1878"/>
      <c r="N4" s="1878"/>
      <c r="O4" s="1878"/>
      <c r="P4" s="1878"/>
      <c r="Q4" s="1878"/>
      <c r="R4" s="1878"/>
      <c r="S4" s="1878"/>
      <c r="T4" s="1878"/>
    </row>
    <row r="5" spans="1:33" ht="13.15" x14ac:dyDescent="0.4">
      <c r="B5" s="222" t="s">
        <v>840</v>
      </c>
      <c r="F5" s="243" t="s">
        <v>110</v>
      </c>
    </row>
    <row r="6" spans="1:33" ht="26.25" x14ac:dyDescent="0.4">
      <c r="A6" s="223"/>
      <c r="B6" s="1879" t="s">
        <v>841</v>
      </c>
      <c r="C6" s="1881" t="s">
        <v>842</v>
      </c>
      <c r="D6" s="1883" t="s">
        <v>843</v>
      </c>
      <c r="E6" s="1885" t="s">
        <v>844</v>
      </c>
      <c r="F6" s="1887" t="s">
        <v>845</v>
      </c>
      <c r="G6" s="1888"/>
      <c r="H6" s="1888"/>
      <c r="I6" s="1888"/>
      <c r="J6" s="1888"/>
      <c r="K6" s="1888"/>
      <c r="L6" s="1888"/>
      <c r="M6" s="1888"/>
      <c r="N6" s="1888"/>
      <c r="O6" s="1888"/>
      <c r="P6" s="1888"/>
      <c r="Q6" s="1888"/>
      <c r="R6" s="1888"/>
      <c r="S6" s="1888"/>
      <c r="T6" s="1888"/>
      <c r="U6" s="1888"/>
      <c r="V6" s="1888"/>
      <c r="W6" s="1888"/>
      <c r="X6" s="1888"/>
      <c r="Y6" s="1888"/>
      <c r="Z6" s="1888"/>
      <c r="AA6" s="1888"/>
      <c r="AB6" s="1888"/>
      <c r="AC6" s="1888"/>
      <c r="AD6" s="1889"/>
      <c r="AE6" s="244" t="s">
        <v>846</v>
      </c>
      <c r="AF6" s="244" t="s">
        <v>847</v>
      </c>
      <c r="AG6" s="244" t="s">
        <v>848</v>
      </c>
    </row>
    <row r="7" spans="1:33" ht="13.15" x14ac:dyDescent="0.35">
      <c r="A7" s="223"/>
      <c r="B7" s="1880"/>
      <c r="C7" s="1882"/>
      <c r="D7" s="1884"/>
      <c r="E7" s="1886"/>
      <c r="F7" s="226" t="s">
        <v>849</v>
      </c>
      <c r="G7" s="226" t="s">
        <v>850</v>
      </c>
      <c r="H7" s="226" t="s">
        <v>851</v>
      </c>
      <c r="I7" s="226" t="s">
        <v>852</v>
      </c>
      <c r="J7" s="226" t="s">
        <v>853</v>
      </c>
      <c r="K7" s="226" t="s">
        <v>854</v>
      </c>
      <c r="L7" s="226" t="s">
        <v>855</v>
      </c>
      <c r="M7" s="226" t="s">
        <v>856</v>
      </c>
      <c r="N7" s="226" t="s">
        <v>857</v>
      </c>
      <c r="O7" s="226" t="s">
        <v>858</v>
      </c>
      <c r="P7" s="226" t="s">
        <v>859</v>
      </c>
      <c r="Q7" s="226" t="s">
        <v>860</v>
      </c>
      <c r="R7" s="226" t="s">
        <v>861</v>
      </c>
      <c r="S7" s="226" t="s">
        <v>862</v>
      </c>
      <c r="T7" s="226" t="s">
        <v>197</v>
      </c>
      <c r="U7" s="226" t="s">
        <v>198</v>
      </c>
      <c r="V7" s="226" t="s">
        <v>199</v>
      </c>
      <c r="W7" s="226" t="s">
        <v>112</v>
      </c>
      <c r="X7" s="226" t="s">
        <v>113</v>
      </c>
      <c r="Y7" s="226" t="s">
        <v>114</v>
      </c>
      <c r="Z7" s="226" t="s">
        <v>123</v>
      </c>
      <c r="AA7" s="226" t="s">
        <v>124</v>
      </c>
      <c r="AB7" s="226" t="s">
        <v>125</v>
      </c>
      <c r="AC7" s="226" t="s">
        <v>126</v>
      </c>
      <c r="AD7" s="226" t="s">
        <v>127</v>
      </c>
      <c r="AE7" s="244"/>
      <c r="AF7" s="244"/>
      <c r="AG7" s="244"/>
    </row>
    <row r="8" spans="1:33" x14ac:dyDescent="0.35">
      <c r="A8" s="227" t="s">
        <v>863</v>
      </c>
      <c r="B8" s="228">
        <v>2005</v>
      </c>
      <c r="C8" s="1863"/>
      <c r="D8" s="229"/>
      <c r="E8" s="186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29"/>
      <c r="AF8" s="229"/>
      <c r="AG8" s="229"/>
    </row>
    <row r="9" spans="1:33" x14ac:dyDescent="0.35">
      <c r="A9" s="227" t="s">
        <v>864</v>
      </c>
      <c r="B9" s="228" t="s">
        <v>849</v>
      </c>
      <c r="C9" s="1863"/>
      <c r="D9" s="229"/>
      <c r="E9" s="1865"/>
      <c r="F9" s="230"/>
      <c r="G9" s="245"/>
      <c r="H9" s="245"/>
      <c r="I9" s="245"/>
      <c r="J9" s="245"/>
      <c r="K9" s="245"/>
      <c r="L9" s="245"/>
      <c r="M9" s="245"/>
      <c r="N9" s="245"/>
      <c r="O9" s="245"/>
      <c r="P9" s="245"/>
      <c r="Q9" s="245"/>
      <c r="R9" s="245"/>
      <c r="S9" s="245"/>
      <c r="T9" s="245"/>
      <c r="U9" s="245"/>
      <c r="V9" s="245"/>
      <c r="W9" s="245"/>
      <c r="X9" s="245"/>
      <c r="Y9" s="245"/>
      <c r="Z9" s="245"/>
      <c r="AA9" s="245"/>
      <c r="AB9" s="245"/>
      <c r="AC9" s="245"/>
      <c r="AD9" s="245"/>
      <c r="AE9" s="229"/>
      <c r="AF9" s="229"/>
      <c r="AG9" s="229"/>
    </row>
    <row r="10" spans="1:33" x14ac:dyDescent="0.35">
      <c r="A10" s="227" t="s">
        <v>864</v>
      </c>
      <c r="B10" s="228" t="s">
        <v>850</v>
      </c>
      <c r="C10" s="1863"/>
      <c r="D10" s="229"/>
      <c r="E10" s="1865"/>
      <c r="F10" s="246"/>
      <c r="G10" s="230"/>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29"/>
      <c r="AF10" s="229"/>
      <c r="AG10" s="229"/>
    </row>
    <row r="11" spans="1:33" x14ac:dyDescent="0.35">
      <c r="A11" s="227" t="s">
        <v>864</v>
      </c>
      <c r="B11" s="228" t="s">
        <v>851</v>
      </c>
      <c r="C11" s="1863"/>
      <c r="D11" s="229"/>
      <c r="E11" s="1865"/>
      <c r="F11" s="246"/>
      <c r="G11" s="246"/>
      <c r="H11" s="230"/>
      <c r="I11" s="245"/>
      <c r="J11" s="245"/>
      <c r="K11" s="245"/>
      <c r="L11" s="245"/>
      <c r="M11" s="245"/>
      <c r="N11" s="245"/>
      <c r="O11" s="245"/>
      <c r="P11" s="245"/>
      <c r="Q11" s="245"/>
      <c r="R11" s="245"/>
      <c r="S11" s="245"/>
      <c r="T11" s="245"/>
      <c r="U11" s="245"/>
      <c r="V11" s="245"/>
      <c r="W11" s="245"/>
      <c r="X11" s="245"/>
      <c r="Y11" s="245"/>
      <c r="Z11" s="245"/>
      <c r="AA11" s="245"/>
      <c r="AB11" s="245"/>
      <c r="AC11" s="245"/>
      <c r="AD11" s="245"/>
      <c r="AE11" s="229"/>
      <c r="AF11" s="229"/>
      <c r="AG11" s="229"/>
    </row>
    <row r="12" spans="1:33" x14ac:dyDescent="0.35">
      <c r="A12" s="227" t="s">
        <v>864</v>
      </c>
      <c r="B12" s="228" t="s">
        <v>852</v>
      </c>
      <c r="C12" s="1863"/>
      <c r="D12" s="229"/>
      <c r="E12" s="1865"/>
      <c r="F12" s="246"/>
      <c r="G12" s="246"/>
      <c r="H12" s="246"/>
      <c r="I12" s="230"/>
      <c r="J12" s="245"/>
      <c r="K12" s="245"/>
      <c r="L12" s="245"/>
      <c r="M12" s="245"/>
      <c r="N12" s="245"/>
      <c r="O12" s="245"/>
      <c r="P12" s="245"/>
      <c r="Q12" s="245"/>
      <c r="R12" s="245"/>
      <c r="S12" s="245"/>
      <c r="T12" s="245"/>
      <c r="U12" s="245"/>
      <c r="V12" s="245"/>
      <c r="W12" s="245"/>
      <c r="X12" s="245"/>
      <c r="Y12" s="245"/>
      <c r="Z12" s="245"/>
      <c r="AA12" s="245"/>
      <c r="AB12" s="245"/>
      <c r="AC12" s="245"/>
      <c r="AD12" s="245"/>
      <c r="AE12" s="229"/>
      <c r="AF12" s="229"/>
      <c r="AG12" s="229"/>
    </row>
    <row r="13" spans="1:33" x14ac:dyDescent="0.35">
      <c r="A13" s="227" t="s">
        <v>864</v>
      </c>
      <c r="B13" s="228" t="s">
        <v>853</v>
      </c>
      <c r="C13" s="1863"/>
      <c r="D13" s="229"/>
      <c r="E13" s="1865"/>
      <c r="F13" s="246"/>
      <c r="G13" s="246"/>
      <c r="H13" s="246"/>
      <c r="I13" s="246"/>
      <c r="J13" s="230"/>
      <c r="K13" s="245"/>
      <c r="L13" s="245"/>
      <c r="M13" s="245"/>
      <c r="N13" s="245"/>
      <c r="O13" s="245"/>
      <c r="P13" s="245"/>
      <c r="Q13" s="245"/>
      <c r="R13" s="245"/>
      <c r="S13" s="245"/>
      <c r="T13" s="245"/>
      <c r="U13" s="245"/>
      <c r="V13" s="245"/>
      <c r="W13" s="245"/>
      <c r="X13" s="245"/>
      <c r="Y13" s="245"/>
      <c r="Z13" s="245"/>
      <c r="AA13" s="245"/>
      <c r="AB13" s="245"/>
      <c r="AC13" s="245"/>
      <c r="AD13" s="245"/>
      <c r="AE13" s="229"/>
      <c r="AF13" s="229"/>
      <c r="AG13" s="229"/>
    </row>
    <row r="14" spans="1:33" x14ac:dyDescent="0.35">
      <c r="A14" s="227" t="s">
        <v>864</v>
      </c>
      <c r="B14" s="228" t="s">
        <v>854</v>
      </c>
      <c r="C14" s="1863"/>
      <c r="D14" s="229"/>
      <c r="E14" s="1865"/>
      <c r="F14" s="246"/>
      <c r="G14" s="246"/>
      <c r="H14" s="246"/>
      <c r="I14" s="246"/>
      <c r="J14" s="246"/>
      <c r="K14" s="230"/>
      <c r="L14" s="245"/>
      <c r="M14" s="245"/>
      <c r="N14" s="245"/>
      <c r="O14" s="245"/>
      <c r="P14" s="245"/>
      <c r="Q14" s="245"/>
      <c r="R14" s="245"/>
      <c r="S14" s="245"/>
      <c r="T14" s="245"/>
      <c r="U14" s="245"/>
      <c r="V14" s="245"/>
      <c r="W14" s="245"/>
      <c r="X14" s="245"/>
      <c r="Y14" s="245"/>
      <c r="Z14" s="245"/>
      <c r="AA14" s="245"/>
      <c r="AB14" s="245"/>
      <c r="AC14" s="245"/>
      <c r="AD14" s="245"/>
      <c r="AE14" s="229"/>
      <c r="AF14" s="229"/>
      <c r="AG14" s="229"/>
    </row>
    <row r="15" spans="1:33" x14ac:dyDescent="0.35">
      <c r="A15" s="227" t="s">
        <v>864</v>
      </c>
      <c r="B15" s="228" t="s">
        <v>855</v>
      </c>
      <c r="C15" s="1863"/>
      <c r="D15" s="229"/>
      <c r="E15" s="1865"/>
      <c r="F15" s="246"/>
      <c r="G15" s="246"/>
      <c r="H15" s="246"/>
      <c r="I15" s="246"/>
      <c r="J15" s="246"/>
      <c r="K15" s="246"/>
      <c r="L15" s="230"/>
      <c r="M15" s="245"/>
      <c r="N15" s="245"/>
      <c r="O15" s="245"/>
      <c r="P15" s="245"/>
      <c r="Q15" s="245"/>
      <c r="R15" s="245"/>
      <c r="S15" s="245"/>
      <c r="T15" s="245"/>
      <c r="U15" s="245"/>
      <c r="V15" s="245"/>
      <c r="W15" s="245"/>
      <c r="X15" s="245"/>
      <c r="Y15" s="245"/>
      <c r="Z15" s="245"/>
      <c r="AA15" s="245"/>
      <c r="AB15" s="245"/>
      <c r="AC15" s="245"/>
      <c r="AD15" s="245"/>
      <c r="AE15" s="229"/>
      <c r="AF15" s="229"/>
      <c r="AG15" s="229"/>
    </row>
    <row r="16" spans="1:33" x14ac:dyDescent="0.35">
      <c r="A16" s="227" t="s">
        <v>864</v>
      </c>
      <c r="B16" s="228" t="s">
        <v>856</v>
      </c>
      <c r="C16" s="1863"/>
      <c r="D16" s="229"/>
      <c r="E16" s="1865"/>
      <c r="F16" s="246"/>
      <c r="G16" s="246"/>
      <c r="H16" s="246"/>
      <c r="I16" s="246"/>
      <c r="J16" s="246"/>
      <c r="K16" s="246"/>
      <c r="L16" s="246"/>
      <c r="M16" s="230"/>
      <c r="N16" s="245"/>
      <c r="O16" s="245"/>
      <c r="P16" s="245"/>
      <c r="Q16" s="245"/>
      <c r="R16" s="245"/>
      <c r="S16" s="245"/>
      <c r="T16" s="245"/>
      <c r="U16" s="245"/>
      <c r="V16" s="245"/>
      <c r="W16" s="245"/>
      <c r="X16" s="245"/>
      <c r="Y16" s="245"/>
      <c r="Z16" s="245"/>
      <c r="AA16" s="245"/>
      <c r="AB16" s="245"/>
      <c r="AC16" s="245"/>
      <c r="AD16" s="245"/>
      <c r="AE16" s="229"/>
      <c r="AF16" s="229"/>
      <c r="AG16" s="229"/>
    </row>
    <row r="17" spans="1:33" x14ac:dyDescent="0.35">
      <c r="A17" s="227" t="s">
        <v>864</v>
      </c>
      <c r="B17" s="228" t="s">
        <v>857</v>
      </c>
      <c r="C17" s="1863"/>
      <c r="D17" s="229"/>
      <c r="E17" s="1865"/>
      <c r="F17" s="246"/>
      <c r="G17" s="246"/>
      <c r="H17" s="246"/>
      <c r="I17" s="246"/>
      <c r="J17" s="246"/>
      <c r="K17" s="246"/>
      <c r="L17" s="246"/>
      <c r="M17" s="246"/>
      <c r="N17" s="230"/>
      <c r="O17" s="245"/>
      <c r="P17" s="245"/>
      <c r="Q17" s="245"/>
      <c r="R17" s="245"/>
      <c r="S17" s="245"/>
      <c r="T17" s="245"/>
      <c r="U17" s="245"/>
      <c r="V17" s="245"/>
      <c r="W17" s="245"/>
      <c r="X17" s="245"/>
      <c r="Y17" s="245"/>
      <c r="Z17" s="245"/>
      <c r="AA17" s="245"/>
      <c r="AB17" s="245"/>
      <c r="AC17" s="245"/>
      <c r="AD17" s="245"/>
      <c r="AE17" s="229"/>
      <c r="AF17" s="229"/>
      <c r="AG17" s="229"/>
    </row>
    <row r="18" spans="1:33" x14ac:dyDescent="0.35">
      <c r="A18" s="227" t="s">
        <v>864</v>
      </c>
      <c r="B18" s="228" t="s">
        <v>858</v>
      </c>
      <c r="C18" s="1863"/>
      <c r="D18" s="229"/>
      <c r="E18" s="1865"/>
      <c r="F18" s="246"/>
      <c r="G18" s="246"/>
      <c r="H18" s="246"/>
      <c r="I18" s="246"/>
      <c r="J18" s="246"/>
      <c r="K18" s="246"/>
      <c r="L18" s="246"/>
      <c r="M18" s="246"/>
      <c r="N18" s="246"/>
      <c r="O18" s="230"/>
      <c r="P18" s="245"/>
      <c r="Q18" s="245"/>
      <c r="R18" s="245"/>
      <c r="S18" s="245"/>
      <c r="T18" s="245"/>
      <c r="U18" s="245"/>
      <c r="V18" s="245"/>
      <c r="W18" s="245"/>
      <c r="X18" s="245"/>
      <c r="Y18" s="245"/>
      <c r="Z18" s="245"/>
      <c r="AA18" s="245"/>
      <c r="AB18" s="245"/>
      <c r="AC18" s="245"/>
      <c r="AD18" s="245"/>
      <c r="AE18" s="229"/>
      <c r="AF18" s="229"/>
      <c r="AG18" s="229"/>
    </row>
    <row r="19" spans="1:33" x14ac:dyDescent="0.35">
      <c r="A19" s="227" t="s">
        <v>864</v>
      </c>
      <c r="B19" s="228" t="s">
        <v>859</v>
      </c>
      <c r="C19" s="1863"/>
      <c r="D19" s="229"/>
      <c r="E19" s="1865"/>
      <c r="F19" s="246"/>
      <c r="G19" s="246"/>
      <c r="H19" s="246"/>
      <c r="I19" s="246"/>
      <c r="J19" s="246"/>
      <c r="K19" s="246"/>
      <c r="L19" s="246"/>
      <c r="M19" s="246"/>
      <c r="N19" s="246"/>
      <c r="O19" s="246"/>
      <c r="P19" s="230"/>
      <c r="Q19" s="245"/>
      <c r="R19" s="245"/>
      <c r="S19" s="245"/>
      <c r="T19" s="245"/>
      <c r="U19" s="245"/>
      <c r="V19" s="245"/>
      <c r="W19" s="245"/>
      <c r="X19" s="245"/>
      <c r="Y19" s="245"/>
      <c r="Z19" s="245"/>
      <c r="AA19" s="245"/>
      <c r="AB19" s="245"/>
      <c r="AC19" s="245"/>
      <c r="AD19" s="245"/>
      <c r="AE19" s="229"/>
      <c r="AF19" s="229"/>
      <c r="AG19" s="229"/>
    </row>
    <row r="20" spans="1:33" x14ac:dyDescent="0.35">
      <c r="A20" s="227" t="s">
        <v>864</v>
      </c>
      <c r="B20" s="228" t="s">
        <v>860</v>
      </c>
      <c r="C20" s="1863"/>
      <c r="D20" s="229"/>
      <c r="E20" s="1865"/>
      <c r="F20" s="246"/>
      <c r="G20" s="246"/>
      <c r="H20" s="246"/>
      <c r="I20" s="246"/>
      <c r="J20" s="246"/>
      <c r="K20" s="246"/>
      <c r="L20" s="246"/>
      <c r="M20" s="246"/>
      <c r="N20" s="246"/>
      <c r="O20" s="246"/>
      <c r="P20" s="246"/>
      <c r="Q20" s="230"/>
      <c r="R20" s="245"/>
      <c r="S20" s="245"/>
      <c r="T20" s="245"/>
      <c r="U20" s="245"/>
      <c r="V20" s="245"/>
      <c r="W20" s="245"/>
      <c r="X20" s="245"/>
      <c r="Y20" s="245"/>
      <c r="Z20" s="245"/>
      <c r="AA20" s="245"/>
      <c r="AB20" s="245"/>
      <c r="AC20" s="245"/>
      <c r="AD20" s="245"/>
      <c r="AE20" s="229"/>
      <c r="AF20" s="229"/>
      <c r="AG20" s="229"/>
    </row>
    <row r="21" spans="1:33" x14ac:dyDescent="0.35">
      <c r="A21" s="227" t="s">
        <v>864</v>
      </c>
      <c r="B21" s="228" t="s">
        <v>861</v>
      </c>
      <c r="C21" s="1863"/>
      <c r="D21" s="229"/>
      <c r="E21" s="1865"/>
      <c r="F21" s="246"/>
      <c r="G21" s="246"/>
      <c r="H21" s="246"/>
      <c r="I21" s="246"/>
      <c r="J21" s="246"/>
      <c r="K21" s="246"/>
      <c r="L21" s="246"/>
      <c r="M21" s="246"/>
      <c r="N21" s="246"/>
      <c r="O21" s="246"/>
      <c r="P21" s="246"/>
      <c r="Q21" s="246"/>
      <c r="R21" s="230"/>
      <c r="S21" s="245"/>
      <c r="T21" s="245"/>
      <c r="U21" s="245"/>
      <c r="V21" s="245"/>
      <c r="W21" s="245"/>
      <c r="X21" s="245"/>
      <c r="Y21" s="245"/>
      <c r="Z21" s="245"/>
      <c r="AA21" s="245"/>
      <c r="AB21" s="245"/>
      <c r="AC21" s="245"/>
      <c r="AD21" s="245"/>
      <c r="AE21" s="229"/>
      <c r="AF21" s="229"/>
      <c r="AG21" s="229"/>
    </row>
    <row r="22" spans="1:33" x14ac:dyDescent="0.35">
      <c r="A22" s="227" t="s">
        <v>864</v>
      </c>
      <c r="B22" s="228" t="s">
        <v>862</v>
      </c>
      <c r="C22" s="1863">
        <f>+'F5'!E16</f>
        <v>3.4999999999999999E-6</v>
      </c>
      <c r="D22" s="229"/>
      <c r="E22" s="1865">
        <f>+Assum!F109</f>
        <v>3.3399999999999999E-2</v>
      </c>
      <c r="F22" s="246"/>
      <c r="G22" s="246"/>
      <c r="H22" s="246"/>
      <c r="I22" s="246"/>
      <c r="J22" s="246"/>
      <c r="K22" s="246"/>
      <c r="L22" s="246"/>
      <c r="M22" s="246"/>
      <c r="N22" s="246"/>
      <c r="O22" s="246"/>
      <c r="P22" s="246"/>
      <c r="Q22" s="246"/>
      <c r="R22" s="246"/>
      <c r="S22" s="1869">
        <f>+'F5'!E60</f>
        <v>4.9999999999999998E-8</v>
      </c>
      <c r="T22" s="1870">
        <f>+$C$22*$E$22</f>
        <v>1.1689999999999999E-7</v>
      </c>
      <c r="U22" s="1870">
        <f t="shared" ref="U22:AD22" si="0">+$C$22*$E$22</f>
        <v>1.1689999999999999E-7</v>
      </c>
      <c r="V22" s="1870">
        <f t="shared" si="0"/>
        <v>1.1689999999999999E-7</v>
      </c>
      <c r="W22" s="1870">
        <f t="shared" si="0"/>
        <v>1.1689999999999999E-7</v>
      </c>
      <c r="X22" s="1870">
        <f t="shared" si="0"/>
        <v>1.1689999999999999E-7</v>
      </c>
      <c r="Y22" s="1870">
        <f t="shared" si="0"/>
        <v>1.1689999999999999E-7</v>
      </c>
      <c r="Z22" s="1870">
        <f t="shared" si="0"/>
        <v>1.1689999999999999E-7</v>
      </c>
      <c r="AA22" s="1870">
        <f t="shared" si="0"/>
        <v>1.1689999999999999E-7</v>
      </c>
      <c r="AB22" s="1870">
        <f t="shared" si="0"/>
        <v>1.1689999999999999E-7</v>
      </c>
      <c r="AC22" s="1870">
        <f t="shared" si="0"/>
        <v>1.1689999999999999E-7</v>
      </c>
      <c r="AD22" s="1870">
        <f t="shared" si="0"/>
        <v>1.1689999999999999E-7</v>
      </c>
      <c r="AE22" s="1863">
        <f>SUM(S22:AD22)</f>
        <v>1.3359000000000002E-6</v>
      </c>
      <c r="AF22" s="1865">
        <f>+AE22/C22</f>
        <v>0.38168571428571435</v>
      </c>
      <c r="AG22" s="1863">
        <f>+C22*90%-AE22</f>
        <v>1.8140999999999997E-6</v>
      </c>
    </row>
    <row r="23" spans="1:33" x14ac:dyDescent="0.35">
      <c r="A23" s="227" t="s">
        <v>864</v>
      </c>
      <c r="B23" s="228" t="s">
        <v>865</v>
      </c>
      <c r="C23" s="1863"/>
      <c r="D23" s="229"/>
      <c r="E23" s="1865"/>
      <c r="F23" s="246"/>
      <c r="G23" s="246"/>
      <c r="H23" s="246"/>
      <c r="I23" s="246"/>
      <c r="J23" s="246"/>
      <c r="K23" s="246"/>
      <c r="L23" s="246"/>
      <c r="M23" s="246"/>
      <c r="N23" s="246"/>
      <c r="O23" s="246"/>
      <c r="P23" s="246"/>
      <c r="Q23" s="246"/>
      <c r="R23" s="246"/>
      <c r="S23" s="246"/>
      <c r="T23" s="230"/>
      <c r="U23" s="245"/>
      <c r="V23" s="245"/>
      <c r="W23" s="245"/>
      <c r="X23" s="245"/>
      <c r="Y23" s="245"/>
      <c r="Z23" s="245"/>
      <c r="AA23" s="245"/>
      <c r="AB23" s="245"/>
      <c r="AC23" s="245"/>
      <c r="AD23" s="245"/>
      <c r="AE23" s="229"/>
      <c r="AF23" s="229"/>
      <c r="AG23" s="229"/>
    </row>
    <row r="24" spans="1:33" x14ac:dyDescent="0.35">
      <c r="A24" s="227" t="s">
        <v>864</v>
      </c>
      <c r="B24" s="228" t="s">
        <v>866</v>
      </c>
      <c r="C24" s="1863"/>
      <c r="D24" s="229"/>
      <c r="E24" s="1865"/>
      <c r="F24" s="246"/>
      <c r="G24" s="246"/>
      <c r="H24" s="246"/>
      <c r="I24" s="246"/>
      <c r="J24" s="246"/>
      <c r="K24" s="246"/>
      <c r="L24" s="246"/>
      <c r="M24" s="246"/>
      <c r="N24" s="246"/>
      <c r="O24" s="246"/>
      <c r="P24" s="246"/>
      <c r="Q24" s="246"/>
      <c r="R24" s="246"/>
      <c r="S24" s="246"/>
      <c r="T24" s="246"/>
      <c r="U24" s="230"/>
      <c r="V24" s="245"/>
      <c r="W24" s="245"/>
      <c r="X24" s="245"/>
      <c r="Y24" s="245"/>
      <c r="Z24" s="245"/>
      <c r="AA24" s="245"/>
      <c r="AB24" s="245"/>
      <c r="AC24" s="245"/>
      <c r="AD24" s="245"/>
      <c r="AE24" s="229"/>
      <c r="AF24" s="229"/>
      <c r="AG24" s="229"/>
    </row>
    <row r="25" spans="1:33" x14ac:dyDescent="0.35">
      <c r="A25" s="227" t="s">
        <v>864</v>
      </c>
      <c r="B25" s="228" t="s">
        <v>867</v>
      </c>
      <c r="C25" s="1863"/>
      <c r="D25" s="229"/>
      <c r="E25" s="1865"/>
      <c r="F25" s="246"/>
      <c r="G25" s="246"/>
      <c r="H25" s="246"/>
      <c r="I25" s="246"/>
      <c r="J25" s="246"/>
      <c r="K25" s="246"/>
      <c r="L25" s="246"/>
      <c r="M25" s="246"/>
      <c r="N25" s="246"/>
      <c r="O25" s="246"/>
      <c r="P25" s="246"/>
      <c r="Q25" s="246"/>
      <c r="R25" s="246"/>
      <c r="S25" s="246"/>
      <c r="T25" s="246"/>
      <c r="U25" s="246"/>
      <c r="V25" s="230"/>
      <c r="W25" s="245"/>
      <c r="X25" s="245"/>
      <c r="Y25" s="245"/>
      <c r="Z25" s="245"/>
      <c r="AA25" s="245"/>
      <c r="AB25" s="245"/>
      <c r="AC25" s="245"/>
      <c r="AD25" s="245"/>
      <c r="AE25" s="229"/>
      <c r="AF25" s="229"/>
      <c r="AG25" s="229"/>
    </row>
    <row r="26" spans="1:33" x14ac:dyDescent="0.35">
      <c r="A26" s="227" t="s">
        <v>864</v>
      </c>
      <c r="B26" s="228" t="s">
        <v>868</v>
      </c>
      <c r="C26" s="1863"/>
      <c r="D26" s="229"/>
      <c r="E26" s="1865"/>
      <c r="F26" s="246"/>
      <c r="G26" s="246"/>
      <c r="H26" s="246"/>
      <c r="I26" s="246"/>
      <c r="J26" s="246"/>
      <c r="K26" s="246"/>
      <c r="L26" s="246"/>
      <c r="M26" s="246"/>
      <c r="N26" s="246"/>
      <c r="O26" s="246"/>
      <c r="P26" s="246"/>
      <c r="Q26" s="246"/>
      <c r="R26" s="246"/>
      <c r="S26" s="246"/>
      <c r="T26" s="246"/>
      <c r="U26" s="246"/>
      <c r="V26" s="246"/>
      <c r="W26" s="230"/>
      <c r="X26" s="245"/>
      <c r="Y26" s="245"/>
      <c r="Z26" s="245"/>
      <c r="AA26" s="245"/>
      <c r="AB26" s="245"/>
      <c r="AC26" s="245"/>
      <c r="AD26" s="245"/>
      <c r="AE26" s="229"/>
      <c r="AF26" s="229"/>
      <c r="AG26" s="229"/>
    </row>
    <row r="27" spans="1:33" x14ac:dyDescent="0.35">
      <c r="A27" s="227" t="s">
        <v>864</v>
      </c>
      <c r="B27" s="228" t="s">
        <v>869</v>
      </c>
      <c r="C27" s="1863"/>
      <c r="D27" s="229"/>
      <c r="E27" s="1865"/>
      <c r="F27" s="246"/>
      <c r="G27" s="246"/>
      <c r="H27" s="246"/>
      <c r="I27" s="246"/>
      <c r="J27" s="246"/>
      <c r="K27" s="246"/>
      <c r="L27" s="246"/>
      <c r="M27" s="246"/>
      <c r="N27" s="246"/>
      <c r="O27" s="246"/>
      <c r="P27" s="246"/>
      <c r="Q27" s="246"/>
      <c r="R27" s="246"/>
      <c r="S27" s="246"/>
      <c r="T27" s="246"/>
      <c r="U27" s="246"/>
      <c r="V27" s="246"/>
      <c r="W27" s="246"/>
      <c r="X27" s="230"/>
      <c r="Y27" s="245"/>
      <c r="Z27" s="245"/>
      <c r="AA27" s="245"/>
      <c r="AB27" s="245"/>
      <c r="AC27" s="245"/>
      <c r="AD27" s="245"/>
      <c r="AE27" s="229"/>
      <c r="AF27" s="229"/>
      <c r="AG27" s="229"/>
    </row>
    <row r="28" spans="1:33" x14ac:dyDescent="0.35">
      <c r="A28" s="227" t="s">
        <v>864</v>
      </c>
      <c r="B28" s="228" t="s">
        <v>870</v>
      </c>
      <c r="C28" s="1863"/>
      <c r="D28" s="229"/>
      <c r="E28" s="1865"/>
      <c r="F28" s="246"/>
      <c r="G28" s="246"/>
      <c r="H28" s="246"/>
      <c r="I28" s="246"/>
      <c r="J28" s="246"/>
      <c r="K28" s="246"/>
      <c r="L28" s="246"/>
      <c r="M28" s="246"/>
      <c r="N28" s="246"/>
      <c r="O28" s="246"/>
      <c r="P28" s="246"/>
      <c r="Q28" s="246"/>
      <c r="R28" s="246"/>
      <c r="S28" s="246"/>
      <c r="T28" s="246"/>
      <c r="U28" s="246"/>
      <c r="V28" s="246"/>
      <c r="W28" s="246"/>
      <c r="X28" s="246"/>
      <c r="Y28" s="230"/>
      <c r="Z28" s="245"/>
      <c r="AA28" s="245"/>
      <c r="AB28" s="245"/>
      <c r="AC28" s="245"/>
      <c r="AD28" s="245"/>
      <c r="AE28" s="229"/>
      <c r="AF28" s="229"/>
      <c r="AG28" s="229"/>
    </row>
    <row r="29" spans="1:33" x14ac:dyDescent="0.35">
      <c r="A29" s="227" t="s">
        <v>864</v>
      </c>
      <c r="B29" s="228" t="s">
        <v>871</v>
      </c>
      <c r="C29" s="1863"/>
      <c r="D29" s="229"/>
      <c r="E29" s="1865"/>
      <c r="F29" s="246"/>
      <c r="G29" s="246"/>
      <c r="H29" s="246"/>
      <c r="I29" s="246"/>
      <c r="J29" s="246"/>
      <c r="K29" s="246"/>
      <c r="L29" s="246"/>
      <c r="M29" s="246"/>
      <c r="N29" s="246"/>
      <c r="O29" s="246"/>
      <c r="P29" s="246"/>
      <c r="Q29" s="246"/>
      <c r="R29" s="246"/>
      <c r="S29" s="246"/>
      <c r="T29" s="246"/>
      <c r="U29" s="246"/>
      <c r="V29" s="246"/>
      <c r="W29" s="246"/>
      <c r="X29" s="246"/>
      <c r="Y29" s="246"/>
      <c r="Z29" s="230"/>
      <c r="AA29" s="245"/>
      <c r="AB29" s="245"/>
      <c r="AC29" s="245"/>
      <c r="AD29" s="245"/>
      <c r="AE29" s="229"/>
      <c r="AF29" s="229"/>
      <c r="AG29" s="229"/>
    </row>
    <row r="30" spans="1:33" x14ac:dyDescent="0.35">
      <c r="A30" s="227" t="s">
        <v>864</v>
      </c>
      <c r="B30" s="228" t="s">
        <v>872</v>
      </c>
      <c r="C30" s="1863"/>
      <c r="D30" s="229"/>
      <c r="E30" s="1865"/>
      <c r="F30" s="246"/>
      <c r="G30" s="246"/>
      <c r="H30" s="246"/>
      <c r="I30" s="246"/>
      <c r="J30" s="246"/>
      <c r="K30" s="246"/>
      <c r="L30" s="246"/>
      <c r="M30" s="246"/>
      <c r="N30" s="246"/>
      <c r="O30" s="246"/>
      <c r="P30" s="246"/>
      <c r="Q30" s="246"/>
      <c r="R30" s="246"/>
      <c r="S30" s="246"/>
      <c r="T30" s="246"/>
      <c r="U30" s="246"/>
      <c r="V30" s="246"/>
      <c r="W30" s="246"/>
      <c r="X30" s="246"/>
      <c r="Y30" s="246"/>
      <c r="Z30" s="246"/>
      <c r="AA30" s="230"/>
      <c r="AB30" s="245"/>
      <c r="AC30" s="245"/>
      <c r="AD30" s="245"/>
      <c r="AE30" s="229"/>
      <c r="AF30" s="229"/>
      <c r="AG30" s="229"/>
    </row>
    <row r="31" spans="1:33" x14ac:dyDescent="0.35">
      <c r="A31" s="227" t="s">
        <v>864</v>
      </c>
      <c r="B31" s="228" t="s">
        <v>873</v>
      </c>
      <c r="C31" s="1863"/>
      <c r="D31" s="229"/>
      <c r="E31" s="1865"/>
      <c r="F31" s="246"/>
      <c r="G31" s="246"/>
      <c r="H31" s="246"/>
      <c r="I31" s="246"/>
      <c r="J31" s="246"/>
      <c r="K31" s="246"/>
      <c r="L31" s="246"/>
      <c r="M31" s="246"/>
      <c r="N31" s="246"/>
      <c r="O31" s="246"/>
      <c r="P31" s="246"/>
      <c r="Q31" s="246"/>
      <c r="R31" s="246"/>
      <c r="S31" s="246"/>
      <c r="T31" s="246"/>
      <c r="U31" s="246"/>
      <c r="V31" s="246"/>
      <c r="W31" s="246"/>
      <c r="X31" s="246"/>
      <c r="Y31" s="246"/>
      <c r="Z31" s="246"/>
      <c r="AA31" s="246"/>
      <c r="AB31" s="230"/>
      <c r="AC31" s="245"/>
      <c r="AD31" s="245"/>
      <c r="AE31" s="229"/>
      <c r="AF31" s="229"/>
      <c r="AG31" s="229"/>
    </row>
    <row r="32" spans="1:33" x14ac:dyDescent="0.35">
      <c r="A32" s="227" t="s">
        <v>864</v>
      </c>
      <c r="B32" s="228" t="s">
        <v>874</v>
      </c>
      <c r="C32" s="1863"/>
      <c r="D32" s="229"/>
      <c r="E32" s="1865"/>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30"/>
      <c r="AD32" s="245"/>
      <c r="AE32" s="229"/>
      <c r="AF32" s="229"/>
      <c r="AG32" s="229"/>
    </row>
    <row r="33" spans="1:36" x14ac:dyDescent="0.35">
      <c r="A33" s="227" t="s">
        <v>864</v>
      </c>
      <c r="B33" s="228" t="s">
        <v>875</v>
      </c>
      <c r="C33" s="1863"/>
      <c r="D33" s="229"/>
      <c r="E33" s="1865"/>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30"/>
      <c r="AE33" s="229"/>
      <c r="AF33" s="229"/>
      <c r="AG33" s="229"/>
    </row>
    <row r="34" spans="1:36" ht="13.15" x14ac:dyDescent="0.4">
      <c r="A34" s="231"/>
      <c r="B34" s="232" t="s">
        <v>164</v>
      </c>
      <c r="C34" s="1864">
        <f>SUM(C8:C33)</f>
        <v>3.4999999999999999E-6</v>
      </c>
      <c r="D34" s="233"/>
      <c r="E34" s="1867"/>
      <c r="F34" s="233"/>
      <c r="G34" s="233"/>
      <c r="H34" s="233"/>
      <c r="I34" s="233"/>
      <c r="J34" s="233"/>
      <c r="K34" s="233"/>
      <c r="L34" s="233"/>
      <c r="M34" s="233"/>
      <c r="N34" s="233"/>
      <c r="O34" s="233"/>
      <c r="P34" s="233"/>
      <c r="Q34" s="233"/>
      <c r="R34" s="233"/>
      <c r="S34" s="1864">
        <f>SUM(S22:S33)</f>
        <v>4.9999999999999998E-8</v>
      </c>
      <c r="T34" s="1864">
        <f t="shared" ref="T34:AD34" si="1">SUM(T22:T33)</f>
        <v>1.1689999999999999E-7</v>
      </c>
      <c r="U34" s="1864">
        <f t="shared" si="1"/>
        <v>1.1689999999999999E-7</v>
      </c>
      <c r="V34" s="1864">
        <f t="shared" si="1"/>
        <v>1.1689999999999999E-7</v>
      </c>
      <c r="W34" s="1864">
        <f t="shared" si="1"/>
        <v>1.1689999999999999E-7</v>
      </c>
      <c r="X34" s="1864">
        <f t="shared" si="1"/>
        <v>1.1689999999999999E-7</v>
      </c>
      <c r="Y34" s="1864">
        <f t="shared" si="1"/>
        <v>1.1689999999999999E-7</v>
      </c>
      <c r="Z34" s="1864">
        <f t="shared" si="1"/>
        <v>1.1689999999999999E-7</v>
      </c>
      <c r="AA34" s="1864">
        <f t="shared" si="1"/>
        <v>1.1689999999999999E-7</v>
      </c>
      <c r="AB34" s="1864">
        <f t="shared" si="1"/>
        <v>1.1689999999999999E-7</v>
      </c>
      <c r="AC34" s="1864">
        <f t="shared" si="1"/>
        <v>1.1689999999999999E-7</v>
      </c>
      <c r="AD34" s="1864">
        <f t="shared" si="1"/>
        <v>1.1689999999999999E-7</v>
      </c>
      <c r="AE34" s="1864">
        <f t="shared" ref="AE34" si="2">SUM(AE22:AE33)</f>
        <v>1.3359000000000002E-6</v>
      </c>
      <c r="AF34" s="1867">
        <f t="shared" ref="AF34" si="3">+AE34/C34</f>
        <v>0.38168571428571435</v>
      </c>
      <c r="AG34" s="1864">
        <f t="shared" ref="AG34" si="4">SUM(AG22:AG33)</f>
        <v>1.8140999999999997E-6</v>
      </c>
    </row>
    <row r="36" spans="1:36" s="235" customFormat="1" ht="13.15" x14ac:dyDescent="0.4">
      <c r="A36" s="221"/>
      <c r="B36" s="222" t="s">
        <v>876</v>
      </c>
      <c r="C36" s="1862"/>
      <c r="D36" s="221"/>
      <c r="E36" s="1866"/>
      <c r="F36" s="243" t="s">
        <v>110</v>
      </c>
      <c r="G36" s="221"/>
      <c r="H36" s="234"/>
      <c r="I36" s="221"/>
      <c r="J36" s="234"/>
      <c r="K36" s="234"/>
      <c r="L36" s="221"/>
      <c r="M36" s="221"/>
      <c r="N36" s="221"/>
      <c r="O36" s="221"/>
      <c r="P36" s="221"/>
      <c r="Q36" s="221"/>
      <c r="R36" s="221"/>
      <c r="S36" s="221"/>
      <c r="T36" s="221"/>
      <c r="U36" s="221"/>
      <c r="V36" s="221"/>
      <c r="W36" s="221"/>
      <c r="X36" s="221"/>
      <c r="Y36" s="221"/>
      <c r="Z36" s="221"/>
      <c r="AA36" s="221"/>
      <c r="AB36" s="221"/>
      <c r="AC36" s="221"/>
      <c r="AD36" s="221"/>
      <c r="AE36" s="221"/>
      <c r="AF36" s="221"/>
      <c r="AG36" s="221"/>
      <c r="AI36" s="236"/>
      <c r="AJ36" s="236"/>
    </row>
    <row r="37" spans="1:36" ht="26.25" x14ac:dyDescent="0.4">
      <c r="A37" s="225"/>
      <c r="B37" s="224" t="s">
        <v>841</v>
      </c>
      <c r="C37" s="1881" t="s">
        <v>877</v>
      </c>
      <c r="D37" s="1883" t="s">
        <v>843</v>
      </c>
      <c r="E37" s="1885" t="s">
        <v>844</v>
      </c>
      <c r="F37" s="1887" t="s">
        <v>845</v>
      </c>
      <c r="G37" s="1888"/>
      <c r="H37" s="1888"/>
      <c r="I37" s="1888"/>
      <c r="J37" s="1888"/>
      <c r="K37" s="1888"/>
      <c r="L37" s="1888"/>
      <c r="M37" s="1888"/>
      <c r="N37" s="1888"/>
      <c r="O37" s="1888"/>
      <c r="P37" s="1888"/>
      <c r="Q37" s="1888"/>
      <c r="R37" s="1888"/>
      <c r="S37" s="1888"/>
      <c r="T37" s="1888"/>
      <c r="U37" s="1888"/>
      <c r="V37" s="1888"/>
      <c r="W37" s="1888"/>
      <c r="X37" s="1888"/>
      <c r="Y37" s="1888"/>
      <c r="Z37" s="1888"/>
      <c r="AA37" s="1888"/>
      <c r="AB37" s="1888"/>
      <c r="AC37" s="1888"/>
      <c r="AD37" s="1889"/>
      <c r="AE37" s="244" t="s">
        <v>846</v>
      </c>
      <c r="AF37" s="244" t="s">
        <v>847</v>
      </c>
      <c r="AG37" s="244" t="s">
        <v>848</v>
      </c>
    </row>
    <row r="38" spans="1:36" ht="13.15" x14ac:dyDescent="0.35">
      <c r="A38" s="225"/>
      <c r="B38" s="224"/>
      <c r="C38" s="1882"/>
      <c r="D38" s="1884"/>
      <c r="E38" s="1886"/>
      <c r="F38" s="226" t="s">
        <v>849</v>
      </c>
      <c r="G38" s="226" t="s">
        <v>850</v>
      </c>
      <c r="H38" s="226" t="s">
        <v>851</v>
      </c>
      <c r="I38" s="226" t="s">
        <v>852</v>
      </c>
      <c r="J38" s="226" t="s">
        <v>853</v>
      </c>
      <c r="K38" s="226" t="s">
        <v>854</v>
      </c>
      <c r="L38" s="226" t="s">
        <v>855</v>
      </c>
      <c r="M38" s="226" t="s">
        <v>856</v>
      </c>
      <c r="N38" s="226" t="s">
        <v>857</v>
      </c>
      <c r="O38" s="226" t="s">
        <v>858</v>
      </c>
      <c r="P38" s="226" t="s">
        <v>859</v>
      </c>
      <c r="Q38" s="226" t="s">
        <v>860</v>
      </c>
      <c r="R38" s="226" t="s">
        <v>861</v>
      </c>
      <c r="S38" s="226" t="s">
        <v>862</v>
      </c>
      <c r="T38" s="226" t="s">
        <v>197</v>
      </c>
      <c r="U38" s="226" t="s">
        <v>198</v>
      </c>
      <c r="V38" s="226" t="s">
        <v>199</v>
      </c>
      <c r="W38" s="226" t="s">
        <v>112</v>
      </c>
      <c r="X38" s="226" t="s">
        <v>113</v>
      </c>
      <c r="Y38" s="226" t="s">
        <v>114</v>
      </c>
      <c r="Z38" s="226" t="s">
        <v>123</v>
      </c>
      <c r="AA38" s="226" t="s">
        <v>124</v>
      </c>
      <c r="AB38" s="226" t="s">
        <v>125</v>
      </c>
      <c r="AC38" s="226" t="s">
        <v>126</v>
      </c>
      <c r="AD38" s="226" t="s">
        <v>127</v>
      </c>
      <c r="AE38" s="244"/>
      <c r="AF38" s="244"/>
      <c r="AG38" s="244"/>
    </row>
    <row r="39" spans="1:36" x14ac:dyDescent="0.35">
      <c r="A39" s="227" t="s">
        <v>863</v>
      </c>
      <c r="B39" s="228">
        <v>2005</v>
      </c>
      <c r="C39" s="1863"/>
      <c r="D39" s="227"/>
      <c r="E39" s="186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29"/>
      <c r="AF39" s="229"/>
      <c r="AG39" s="247"/>
      <c r="AI39" s="234"/>
    </row>
    <row r="40" spans="1:36" x14ac:dyDescent="0.35">
      <c r="A40" s="227" t="s">
        <v>864</v>
      </c>
      <c r="B40" s="228" t="s">
        <v>849</v>
      </c>
      <c r="C40" s="1863"/>
      <c r="D40" s="227"/>
      <c r="E40" s="1865"/>
      <c r="F40" s="230"/>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29"/>
      <c r="AF40" s="229"/>
      <c r="AG40" s="247"/>
    </row>
    <row r="41" spans="1:36" x14ac:dyDescent="0.35">
      <c r="A41" s="227" t="s">
        <v>864</v>
      </c>
      <c r="B41" s="228" t="s">
        <v>850</v>
      </c>
      <c r="C41" s="1863"/>
      <c r="D41" s="227"/>
      <c r="E41" s="1865"/>
      <c r="F41" s="246"/>
      <c r="G41" s="230"/>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29"/>
      <c r="AF41" s="229"/>
      <c r="AG41" s="247"/>
    </row>
    <row r="42" spans="1:36" x14ac:dyDescent="0.35">
      <c r="A42" s="227" t="s">
        <v>864</v>
      </c>
      <c r="B42" s="228" t="s">
        <v>851</v>
      </c>
      <c r="C42" s="1863"/>
      <c r="D42" s="227"/>
      <c r="E42" s="1865"/>
      <c r="F42" s="246"/>
      <c r="G42" s="246"/>
      <c r="H42" s="230"/>
      <c r="I42" s="245"/>
      <c r="J42" s="245"/>
      <c r="K42" s="245"/>
      <c r="L42" s="245"/>
      <c r="M42" s="245"/>
      <c r="N42" s="245"/>
      <c r="O42" s="245"/>
      <c r="P42" s="245"/>
      <c r="Q42" s="245"/>
      <c r="R42" s="245"/>
      <c r="S42" s="245"/>
      <c r="T42" s="245"/>
      <c r="U42" s="245"/>
      <c r="V42" s="245"/>
      <c r="W42" s="245"/>
      <c r="X42" s="245"/>
      <c r="Y42" s="245"/>
      <c r="Z42" s="245"/>
      <c r="AA42" s="245"/>
      <c r="AB42" s="245"/>
      <c r="AC42" s="245"/>
      <c r="AD42" s="245"/>
      <c r="AE42" s="229"/>
      <c r="AF42" s="229"/>
      <c r="AG42" s="247"/>
    </row>
    <row r="43" spans="1:36" x14ac:dyDescent="0.35">
      <c r="A43" s="227" t="s">
        <v>864</v>
      </c>
      <c r="B43" s="228" t="s">
        <v>852</v>
      </c>
      <c r="C43" s="1863"/>
      <c r="D43" s="227"/>
      <c r="E43" s="1865"/>
      <c r="F43" s="246"/>
      <c r="G43" s="246"/>
      <c r="H43" s="246"/>
      <c r="I43" s="230"/>
      <c r="J43" s="245"/>
      <c r="K43" s="245"/>
      <c r="L43" s="245"/>
      <c r="M43" s="245"/>
      <c r="N43" s="245"/>
      <c r="O43" s="245"/>
      <c r="P43" s="245"/>
      <c r="Q43" s="245"/>
      <c r="R43" s="245"/>
      <c r="S43" s="245"/>
      <c r="T43" s="245"/>
      <c r="U43" s="245"/>
      <c r="V43" s="245"/>
      <c r="W43" s="245"/>
      <c r="X43" s="245"/>
      <c r="Y43" s="245"/>
      <c r="Z43" s="245"/>
      <c r="AA43" s="245"/>
      <c r="AB43" s="245"/>
      <c r="AC43" s="245"/>
      <c r="AD43" s="245"/>
      <c r="AE43" s="229"/>
      <c r="AF43" s="229"/>
      <c r="AG43" s="247"/>
    </row>
    <row r="44" spans="1:36" x14ac:dyDescent="0.35">
      <c r="A44" s="227" t="s">
        <v>864</v>
      </c>
      <c r="B44" s="228" t="s">
        <v>853</v>
      </c>
      <c r="C44" s="1863"/>
      <c r="D44" s="227"/>
      <c r="E44" s="1865"/>
      <c r="F44" s="246"/>
      <c r="G44" s="246"/>
      <c r="H44" s="246"/>
      <c r="I44" s="246"/>
      <c r="J44" s="230"/>
      <c r="K44" s="245"/>
      <c r="L44" s="245"/>
      <c r="M44" s="245"/>
      <c r="N44" s="245"/>
      <c r="O44" s="245"/>
      <c r="P44" s="245"/>
      <c r="Q44" s="245"/>
      <c r="R44" s="245"/>
      <c r="S44" s="245"/>
      <c r="T44" s="245"/>
      <c r="U44" s="245"/>
      <c r="V44" s="245"/>
      <c r="W44" s="245"/>
      <c r="X44" s="245"/>
      <c r="Y44" s="245"/>
      <c r="Z44" s="245"/>
      <c r="AA44" s="245"/>
      <c r="AB44" s="245"/>
      <c r="AC44" s="245"/>
      <c r="AD44" s="245"/>
      <c r="AE44" s="229"/>
      <c r="AF44" s="229"/>
      <c r="AG44" s="247"/>
    </row>
    <row r="45" spans="1:36" x14ac:dyDescent="0.35">
      <c r="A45" s="227" t="s">
        <v>864</v>
      </c>
      <c r="B45" s="228" t="s">
        <v>854</v>
      </c>
      <c r="C45" s="1863"/>
      <c r="D45" s="227"/>
      <c r="E45" s="1865"/>
      <c r="F45" s="246"/>
      <c r="G45" s="246"/>
      <c r="H45" s="246"/>
      <c r="I45" s="246"/>
      <c r="J45" s="246"/>
      <c r="K45" s="230"/>
      <c r="L45" s="245"/>
      <c r="M45" s="245"/>
      <c r="N45" s="245"/>
      <c r="O45" s="245"/>
      <c r="P45" s="245"/>
      <c r="Q45" s="245"/>
      <c r="R45" s="245"/>
      <c r="S45" s="245"/>
      <c r="T45" s="245"/>
      <c r="U45" s="245"/>
      <c r="V45" s="245"/>
      <c r="W45" s="245"/>
      <c r="X45" s="245"/>
      <c r="Y45" s="245"/>
      <c r="Z45" s="245"/>
      <c r="AA45" s="245"/>
      <c r="AB45" s="245"/>
      <c r="AC45" s="245"/>
      <c r="AD45" s="245"/>
      <c r="AE45" s="229"/>
      <c r="AF45" s="229"/>
      <c r="AG45" s="247"/>
    </row>
    <row r="46" spans="1:36" x14ac:dyDescent="0.35">
      <c r="A46" s="227" t="s">
        <v>864</v>
      </c>
      <c r="B46" s="228" t="s">
        <v>855</v>
      </c>
      <c r="C46" s="1863"/>
      <c r="D46" s="227"/>
      <c r="E46" s="1865"/>
      <c r="F46" s="246"/>
      <c r="G46" s="246"/>
      <c r="H46" s="246"/>
      <c r="I46" s="246"/>
      <c r="J46" s="246"/>
      <c r="K46" s="246"/>
      <c r="L46" s="230"/>
      <c r="M46" s="245"/>
      <c r="N46" s="245"/>
      <c r="O46" s="245"/>
      <c r="P46" s="245"/>
      <c r="Q46" s="245"/>
      <c r="R46" s="245"/>
      <c r="S46" s="245"/>
      <c r="T46" s="245"/>
      <c r="U46" s="245"/>
      <c r="V46" s="245"/>
      <c r="W46" s="245"/>
      <c r="X46" s="245"/>
      <c r="Y46" s="245"/>
      <c r="Z46" s="245"/>
      <c r="AA46" s="245"/>
      <c r="AB46" s="245"/>
      <c r="AC46" s="245"/>
      <c r="AD46" s="245"/>
      <c r="AE46" s="229"/>
      <c r="AF46" s="229"/>
      <c r="AG46" s="247"/>
    </row>
    <row r="47" spans="1:36" x14ac:dyDescent="0.35">
      <c r="A47" s="227" t="s">
        <v>864</v>
      </c>
      <c r="B47" s="228" t="s">
        <v>856</v>
      </c>
      <c r="C47" s="1863"/>
      <c r="D47" s="227"/>
      <c r="E47" s="1865"/>
      <c r="F47" s="246"/>
      <c r="G47" s="246"/>
      <c r="H47" s="246"/>
      <c r="I47" s="246"/>
      <c r="J47" s="246"/>
      <c r="K47" s="246"/>
      <c r="L47" s="246"/>
      <c r="M47" s="230"/>
      <c r="N47" s="245"/>
      <c r="O47" s="245"/>
      <c r="P47" s="245"/>
      <c r="Q47" s="245"/>
      <c r="R47" s="245"/>
      <c r="S47" s="245"/>
      <c r="T47" s="245"/>
      <c r="U47" s="245"/>
      <c r="V47" s="245"/>
      <c r="W47" s="245"/>
      <c r="X47" s="245"/>
      <c r="Y47" s="245"/>
      <c r="Z47" s="245"/>
      <c r="AA47" s="245"/>
      <c r="AB47" s="245"/>
      <c r="AC47" s="245"/>
      <c r="AD47" s="245"/>
      <c r="AE47" s="229"/>
      <c r="AF47" s="229"/>
      <c r="AG47" s="247"/>
    </row>
    <row r="48" spans="1:36" x14ac:dyDescent="0.35">
      <c r="A48" s="227" t="s">
        <v>864</v>
      </c>
      <c r="B48" s="228" t="s">
        <v>857</v>
      </c>
      <c r="C48" s="1863"/>
      <c r="D48" s="227"/>
      <c r="E48" s="1865"/>
      <c r="F48" s="246"/>
      <c r="G48" s="246"/>
      <c r="H48" s="246"/>
      <c r="I48" s="246"/>
      <c r="J48" s="246"/>
      <c r="K48" s="246"/>
      <c r="L48" s="246"/>
      <c r="M48" s="246"/>
      <c r="N48" s="230"/>
      <c r="O48" s="245"/>
      <c r="P48" s="245"/>
      <c r="Q48" s="245"/>
      <c r="R48" s="245"/>
      <c r="S48" s="245"/>
      <c r="T48" s="245"/>
      <c r="U48" s="245"/>
      <c r="V48" s="245"/>
      <c r="W48" s="245"/>
      <c r="X48" s="245"/>
      <c r="Y48" s="245"/>
      <c r="Z48" s="245"/>
      <c r="AA48" s="245"/>
      <c r="AB48" s="245"/>
      <c r="AC48" s="245"/>
      <c r="AD48" s="245"/>
      <c r="AE48" s="229"/>
      <c r="AF48" s="229"/>
      <c r="AG48" s="247"/>
    </row>
    <row r="49" spans="1:33" x14ac:dyDescent="0.35">
      <c r="A49" s="227" t="s">
        <v>864</v>
      </c>
      <c r="B49" s="228" t="s">
        <v>858</v>
      </c>
      <c r="C49" s="1863"/>
      <c r="D49" s="227"/>
      <c r="E49" s="1865"/>
      <c r="F49" s="246"/>
      <c r="G49" s="246"/>
      <c r="H49" s="246"/>
      <c r="I49" s="246"/>
      <c r="J49" s="246"/>
      <c r="K49" s="246"/>
      <c r="L49" s="246"/>
      <c r="M49" s="246"/>
      <c r="N49" s="246"/>
      <c r="O49" s="230"/>
      <c r="P49" s="245"/>
      <c r="Q49" s="245"/>
      <c r="R49" s="245"/>
      <c r="S49" s="245"/>
      <c r="T49" s="245"/>
      <c r="U49" s="245"/>
      <c r="V49" s="245"/>
      <c r="W49" s="245"/>
      <c r="X49" s="245"/>
      <c r="Y49" s="245"/>
      <c r="Z49" s="245"/>
      <c r="AA49" s="245"/>
      <c r="AB49" s="245"/>
      <c r="AC49" s="245"/>
      <c r="AD49" s="245"/>
      <c r="AE49" s="229"/>
      <c r="AF49" s="229"/>
      <c r="AG49" s="247"/>
    </row>
    <row r="50" spans="1:33" x14ac:dyDescent="0.35">
      <c r="A50" s="227" t="s">
        <v>864</v>
      </c>
      <c r="B50" s="228" t="s">
        <v>859</v>
      </c>
      <c r="C50" s="1863"/>
      <c r="D50" s="227"/>
      <c r="E50" s="1865"/>
      <c r="F50" s="246"/>
      <c r="G50" s="246"/>
      <c r="H50" s="246"/>
      <c r="I50" s="246"/>
      <c r="J50" s="246"/>
      <c r="K50" s="246"/>
      <c r="L50" s="246"/>
      <c r="M50" s="246"/>
      <c r="N50" s="246"/>
      <c r="O50" s="246"/>
      <c r="P50" s="230"/>
      <c r="Q50" s="245"/>
      <c r="R50" s="245"/>
      <c r="S50" s="245"/>
      <c r="T50" s="245"/>
      <c r="U50" s="245"/>
      <c r="V50" s="245"/>
      <c r="W50" s="245"/>
      <c r="X50" s="245"/>
      <c r="Y50" s="245"/>
      <c r="Z50" s="245"/>
      <c r="AA50" s="245"/>
      <c r="AB50" s="245"/>
      <c r="AC50" s="245"/>
      <c r="AD50" s="245"/>
      <c r="AE50" s="229"/>
      <c r="AF50" s="229"/>
      <c r="AG50" s="247"/>
    </row>
    <row r="51" spans="1:33" x14ac:dyDescent="0.35">
      <c r="A51" s="227" t="s">
        <v>864</v>
      </c>
      <c r="B51" s="228" t="s">
        <v>860</v>
      </c>
      <c r="C51" s="1863"/>
      <c r="D51" s="229"/>
      <c r="E51" s="1865"/>
      <c r="F51" s="246"/>
      <c r="G51" s="246"/>
      <c r="H51" s="246"/>
      <c r="I51" s="246"/>
      <c r="J51" s="246"/>
      <c r="K51" s="246"/>
      <c r="L51" s="246"/>
      <c r="M51" s="246"/>
      <c r="N51" s="246"/>
      <c r="O51" s="246"/>
      <c r="P51" s="246"/>
      <c r="Q51" s="230"/>
      <c r="R51" s="245"/>
      <c r="S51" s="245"/>
      <c r="T51" s="245"/>
      <c r="U51" s="245"/>
      <c r="V51" s="245"/>
      <c r="W51" s="245"/>
      <c r="X51" s="245"/>
      <c r="Y51" s="245"/>
      <c r="Z51" s="245"/>
      <c r="AA51" s="245"/>
      <c r="AB51" s="245"/>
      <c r="AC51" s="245"/>
      <c r="AD51" s="245"/>
      <c r="AE51" s="229"/>
      <c r="AF51" s="229"/>
      <c r="AG51" s="247"/>
    </row>
    <row r="52" spans="1:33" x14ac:dyDescent="0.35">
      <c r="A52" s="227" t="s">
        <v>864</v>
      </c>
      <c r="B52" s="228" t="s">
        <v>861</v>
      </c>
      <c r="C52" s="1863"/>
      <c r="D52" s="229"/>
      <c r="E52" s="1865"/>
      <c r="F52" s="246"/>
      <c r="G52" s="246"/>
      <c r="H52" s="246"/>
      <c r="I52" s="246"/>
      <c r="J52" s="246"/>
      <c r="K52" s="246"/>
      <c r="L52" s="246"/>
      <c r="M52" s="246"/>
      <c r="N52" s="246"/>
      <c r="O52" s="246"/>
      <c r="P52" s="246"/>
      <c r="Q52" s="246"/>
      <c r="R52" s="230"/>
      <c r="S52" s="245"/>
      <c r="T52" s="245"/>
      <c r="U52" s="245"/>
      <c r="V52" s="245"/>
      <c r="W52" s="245"/>
      <c r="X52" s="245"/>
      <c r="Y52" s="245"/>
      <c r="Z52" s="245"/>
      <c r="AA52" s="245"/>
      <c r="AB52" s="245"/>
      <c r="AC52" s="245"/>
      <c r="AD52" s="245"/>
      <c r="AE52" s="229"/>
      <c r="AF52" s="229"/>
      <c r="AG52" s="247"/>
    </row>
    <row r="53" spans="1:33" x14ac:dyDescent="0.35">
      <c r="A53" s="227" t="s">
        <v>864</v>
      </c>
      <c r="B53" s="228" t="s">
        <v>862</v>
      </c>
      <c r="C53" s="1863">
        <f>+'F5'!E17</f>
        <v>11.562416499999999</v>
      </c>
      <c r="D53" s="229"/>
      <c r="E53" s="1865">
        <f>+Assum!F110</f>
        <v>3.3399999999999999E-2</v>
      </c>
      <c r="F53" s="246"/>
      <c r="G53" s="246"/>
      <c r="H53" s="246"/>
      <c r="I53" s="246"/>
      <c r="J53" s="246"/>
      <c r="K53" s="246"/>
      <c r="L53" s="246"/>
      <c r="M53" s="246"/>
      <c r="N53" s="246"/>
      <c r="O53" s="246"/>
      <c r="P53" s="246"/>
      <c r="Q53" s="246"/>
      <c r="R53" s="246"/>
      <c r="S53" s="1869">
        <f>+'F5'!E61</f>
        <v>0.17330699999999999</v>
      </c>
      <c r="T53" s="1870">
        <f>+$C53*$E53</f>
        <v>0.38618471109999997</v>
      </c>
      <c r="U53" s="1870">
        <f t="shared" ref="U53:AD53" si="5">+$C53*$E53</f>
        <v>0.38618471109999997</v>
      </c>
      <c r="V53" s="1870">
        <f t="shared" si="5"/>
        <v>0.38618471109999997</v>
      </c>
      <c r="W53" s="1870">
        <f t="shared" si="5"/>
        <v>0.38618471109999997</v>
      </c>
      <c r="X53" s="1870">
        <f t="shared" si="5"/>
        <v>0.38618471109999997</v>
      </c>
      <c r="Y53" s="1870">
        <f t="shared" si="5"/>
        <v>0.38618471109999997</v>
      </c>
      <c r="Z53" s="1870">
        <f t="shared" si="5"/>
        <v>0.38618471109999997</v>
      </c>
      <c r="AA53" s="1870">
        <f t="shared" si="5"/>
        <v>0.38618471109999997</v>
      </c>
      <c r="AB53" s="1870">
        <f t="shared" si="5"/>
        <v>0.38618471109999997</v>
      </c>
      <c r="AC53" s="1870">
        <f t="shared" si="5"/>
        <v>0.38618471109999997</v>
      </c>
      <c r="AD53" s="1870">
        <f t="shared" si="5"/>
        <v>0.38618471109999997</v>
      </c>
      <c r="AE53" s="1863">
        <f>SUM(S53:AD53)</f>
        <v>4.4213388220999992</v>
      </c>
      <c r="AF53" s="1865">
        <f>+AE53/C53</f>
        <v>0.38238882175711275</v>
      </c>
      <c r="AG53" s="1863">
        <f>+C53*90%-AE53</f>
        <v>5.9848360279000001</v>
      </c>
    </row>
    <row r="54" spans="1:33" x14ac:dyDescent="0.35">
      <c r="A54" s="227" t="s">
        <v>864</v>
      </c>
      <c r="B54" s="228" t="s">
        <v>865</v>
      </c>
      <c r="C54" s="1863"/>
      <c r="D54" s="229"/>
      <c r="E54" s="1868"/>
      <c r="F54" s="246"/>
      <c r="G54" s="246"/>
      <c r="H54" s="246"/>
      <c r="I54" s="246"/>
      <c r="J54" s="246"/>
      <c r="K54" s="246"/>
      <c r="L54" s="246"/>
      <c r="M54" s="246"/>
      <c r="N54" s="246"/>
      <c r="O54" s="246"/>
      <c r="P54" s="246"/>
      <c r="Q54" s="246"/>
      <c r="R54" s="246"/>
      <c r="S54" s="246"/>
      <c r="T54" s="230"/>
      <c r="U54" s="245"/>
      <c r="V54" s="245"/>
      <c r="W54" s="245"/>
      <c r="X54" s="245"/>
      <c r="Y54" s="245"/>
      <c r="Z54" s="245"/>
      <c r="AA54" s="245"/>
      <c r="AB54" s="245"/>
      <c r="AC54" s="245"/>
      <c r="AD54" s="245"/>
      <c r="AE54" s="229"/>
      <c r="AF54" s="229"/>
      <c r="AG54" s="247"/>
    </row>
    <row r="55" spans="1:33" x14ac:dyDescent="0.35">
      <c r="A55" s="227" t="s">
        <v>864</v>
      </c>
      <c r="B55" s="228" t="s">
        <v>866</v>
      </c>
      <c r="C55" s="1863"/>
      <c r="D55" s="229"/>
      <c r="E55" s="1868"/>
      <c r="F55" s="246"/>
      <c r="G55" s="246"/>
      <c r="H55" s="246"/>
      <c r="I55" s="246"/>
      <c r="J55" s="246"/>
      <c r="K55" s="246"/>
      <c r="L55" s="246"/>
      <c r="M55" s="246"/>
      <c r="N55" s="246"/>
      <c r="O55" s="246"/>
      <c r="P55" s="246"/>
      <c r="Q55" s="246"/>
      <c r="R55" s="246"/>
      <c r="S55" s="246"/>
      <c r="T55" s="246"/>
      <c r="U55" s="230"/>
      <c r="V55" s="245"/>
      <c r="W55" s="245"/>
      <c r="X55" s="245"/>
      <c r="Y55" s="245"/>
      <c r="Z55" s="245"/>
      <c r="AA55" s="245"/>
      <c r="AB55" s="245"/>
      <c r="AC55" s="245"/>
      <c r="AD55" s="245"/>
      <c r="AE55" s="229"/>
      <c r="AF55" s="229"/>
      <c r="AG55" s="247"/>
    </row>
    <row r="56" spans="1:33" x14ac:dyDescent="0.35">
      <c r="A56" s="227" t="s">
        <v>864</v>
      </c>
      <c r="B56" s="228" t="s">
        <v>867</v>
      </c>
      <c r="C56" s="1863"/>
      <c r="D56" s="229"/>
      <c r="E56" s="1868"/>
      <c r="F56" s="246"/>
      <c r="G56" s="246"/>
      <c r="H56" s="246"/>
      <c r="I56" s="246"/>
      <c r="J56" s="246"/>
      <c r="K56" s="246"/>
      <c r="L56" s="246"/>
      <c r="M56" s="246"/>
      <c r="N56" s="246"/>
      <c r="O56" s="246"/>
      <c r="P56" s="246"/>
      <c r="Q56" s="246"/>
      <c r="R56" s="246"/>
      <c r="S56" s="246"/>
      <c r="T56" s="246"/>
      <c r="U56" s="246"/>
      <c r="V56" s="230"/>
      <c r="W56" s="245"/>
      <c r="X56" s="245"/>
      <c r="Y56" s="245"/>
      <c r="Z56" s="245"/>
      <c r="AA56" s="245"/>
      <c r="AB56" s="245"/>
      <c r="AC56" s="245"/>
      <c r="AD56" s="245"/>
      <c r="AE56" s="229"/>
      <c r="AF56" s="229"/>
      <c r="AG56" s="247"/>
    </row>
    <row r="57" spans="1:33" x14ac:dyDescent="0.35">
      <c r="A57" s="227" t="s">
        <v>864</v>
      </c>
      <c r="B57" s="228" t="s">
        <v>868</v>
      </c>
      <c r="C57" s="1863"/>
      <c r="D57" s="229"/>
      <c r="E57" s="1868"/>
      <c r="F57" s="246"/>
      <c r="G57" s="246"/>
      <c r="H57" s="246"/>
      <c r="I57" s="246"/>
      <c r="J57" s="246"/>
      <c r="K57" s="246"/>
      <c r="L57" s="246"/>
      <c r="M57" s="246"/>
      <c r="N57" s="246"/>
      <c r="O57" s="246"/>
      <c r="P57" s="246"/>
      <c r="Q57" s="246"/>
      <c r="R57" s="246"/>
      <c r="S57" s="246"/>
      <c r="T57" s="246"/>
      <c r="U57" s="246"/>
      <c r="V57" s="246"/>
      <c r="W57" s="230"/>
      <c r="X57" s="245"/>
      <c r="Y57" s="245"/>
      <c r="Z57" s="245"/>
      <c r="AA57" s="245"/>
      <c r="AB57" s="245"/>
      <c r="AC57" s="245"/>
      <c r="AD57" s="245"/>
      <c r="AE57" s="229"/>
      <c r="AF57" s="229"/>
      <c r="AG57" s="247"/>
    </row>
    <row r="58" spans="1:33" x14ac:dyDescent="0.35">
      <c r="A58" s="227" t="s">
        <v>864</v>
      </c>
      <c r="B58" s="228" t="s">
        <v>869</v>
      </c>
      <c r="C58" s="1863"/>
      <c r="D58" s="229"/>
      <c r="E58" s="1868"/>
      <c r="F58" s="246"/>
      <c r="G58" s="246"/>
      <c r="H58" s="246"/>
      <c r="I58" s="246"/>
      <c r="J58" s="246"/>
      <c r="K58" s="246"/>
      <c r="L58" s="246"/>
      <c r="M58" s="246"/>
      <c r="N58" s="246"/>
      <c r="O58" s="246"/>
      <c r="P58" s="246"/>
      <c r="Q58" s="246"/>
      <c r="R58" s="246"/>
      <c r="S58" s="246"/>
      <c r="T58" s="246"/>
      <c r="U58" s="246"/>
      <c r="V58" s="246"/>
      <c r="W58" s="246"/>
      <c r="X58" s="230"/>
      <c r="Y58" s="245"/>
      <c r="Z58" s="245"/>
      <c r="AA58" s="245"/>
      <c r="AB58" s="245"/>
      <c r="AC58" s="245"/>
      <c r="AD58" s="245"/>
      <c r="AE58" s="229"/>
      <c r="AF58" s="229"/>
      <c r="AG58" s="247"/>
    </row>
    <row r="59" spans="1:33" x14ac:dyDescent="0.35">
      <c r="A59" s="227" t="s">
        <v>864</v>
      </c>
      <c r="B59" s="228" t="s">
        <v>870</v>
      </c>
      <c r="C59" s="1863"/>
      <c r="D59" s="229"/>
      <c r="E59" s="1868"/>
      <c r="F59" s="246"/>
      <c r="G59" s="246"/>
      <c r="H59" s="246"/>
      <c r="I59" s="246"/>
      <c r="J59" s="246"/>
      <c r="K59" s="246"/>
      <c r="L59" s="246"/>
      <c r="M59" s="246"/>
      <c r="N59" s="246"/>
      <c r="O59" s="246"/>
      <c r="P59" s="246"/>
      <c r="Q59" s="246"/>
      <c r="R59" s="246"/>
      <c r="S59" s="246"/>
      <c r="T59" s="246"/>
      <c r="U59" s="246"/>
      <c r="V59" s="246"/>
      <c r="W59" s="246"/>
      <c r="X59" s="246"/>
      <c r="Y59" s="230"/>
      <c r="Z59" s="245"/>
      <c r="AA59" s="245"/>
      <c r="AB59" s="245"/>
      <c r="AC59" s="245"/>
      <c r="AD59" s="245"/>
      <c r="AE59" s="229"/>
      <c r="AF59" s="229"/>
      <c r="AG59" s="247"/>
    </row>
    <row r="60" spans="1:33" x14ac:dyDescent="0.35">
      <c r="A60" s="227" t="s">
        <v>864</v>
      </c>
      <c r="B60" s="228" t="s">
        <v>871</v>
      </c>
      <c r="C60" s="1863"/>
      <c r="D60" s="229"/>
      <c r="E60" s="1868"/>
      <c r="F60" s="246"/>
      <c r="G60" s="246"/>
      <c r="H60" s="246"/>
      <c r="I60" s="246"/>
      <c r="J60" s="246"/>
      <c r="K60" s="246"/>
      <c r="L60" s="246"/>
      <c r="M60" s="246"/>
      <c r="N60" s="246"/>
      <c r="O60" s="246"/>
      <c r="P60" s="246"/>
      <c r="Q60" s="246"/>
      <c r="R60" s="246"/>
      <c r="S60" s="246"/>
      <c r="T60" s="246"/>
      <c r="U60" s="246"/>
      <c r="V60" s="246"/>
      <c r="W60" s="246"/>
      <c r="X60" s="246"/>
      <c r="Y60" s="246"/>
      <c r="Z60" s="230"/>
      <c r="AA60" s="245"/>
      <c r="AB60" s="245"/>
      <c r="AC60" s="245"/>
      <c r="AD60" s="245"/>
      <c r="AE60" s="229"/>
      <c r="AF60" s="229"/>
      <c r="AG60" s="247"/>
    </row>
    <row r="61" spans="1:33" x14ac:dyDescent="0.35">
      <c r="A61" s="227" t="s">
        <v>864</v>
      </c>
      <c r="B61" s="228" t="s">
        <v>872</v>
      </c>
      <c r="C61" s="1863"/>
      <c r="D61" s="229"/>
      <c r="E61" s="1868"/>
      <c r="F61" s="246"/>
      <c r="G61" s="246"/>
      <c r="H61" s="246"/>
      <c r="I61" s="246"/>
      <c r="J61" s="246"/>
      <c r="K61" s="246"/>
      <c r="L61" s="246"/>
      <c r="M61" s="246"/>
      <c r="N61" s="246"/>
      <c r="O61" s="246"/>
      <c r="P61" s="246"/>
      <c r="Q61" s="246"/>
      <c r="R61" s="246"/>
      <c r="S61" s="246"/>
      <c r="T61" s="246"/>
      <c r="U61" s="246"/>
      <c r="V61" s="246"/>
      <c r="W61" s="246"/>
      <c r="X61" s="246"/>
      <c r="Y61" s="246"/>
      <c r="Z61" s="246"/>
      <c r="AA61" s="230"/>
      <c r="AB61" s="245"/>
      <c r="AC61" s="245"/>
      <c r="AD61" s="245"/>
      <c r="AE61" s="229"/>
      <c r="AF61" s="229"/>
      <c r="AG61" s="247"/>
    </row>
    <row r="62" spans="1:33" x14ac:dyDescent="0.35">
      <c r="A62" s="227" t="s">
        <v>864</v>
      </c>
      <c r="B62" s="228" t="s">
        <v>873</v>
      </c>
      <c r="C62" s="1863"/>
      <c r="D62" s="229"/>
      <c r="E62" s="1868"/>
      <c r="F62" s="246"/>
      <c r="G62" s="246"/>
      <c r="H62" s="246"/>
      <c r="I62" s="246"/>
      <c r="J62" s="246"/>
      <c r="K62" s="246"/>
      <c r="L62" s="246"/>
      <c r="M62" s="246"/>
      <c r="N62" s="246"/>
      <c r="O62" s="246"/>
      <c r="P62" s="246"/>
      <c r="Q62" s="246"/>
      <c r="R62" s="246"/>
      <c r="S62" s="246"/>
      <c r="T62" s="246"/>
      <c r="U62" s="246"/>
      <c r="V62" s="246"/>
      <c r="W62" s="246"/>
      <c r="X62" s="246"/>
      <c r="Y62" s="246"/>
      <c r="Z62" s="246"/>
      <c r="AA62" s="246"/>
      <c r="AB62" s="230"/>
      <c r="AC62" s="245"/>
      <c r="AD62" s="245"/>
      <c r="AE62" s="229"/>
      <c r="AF62" s="229"/>
      <c r="AG62" s="247"/>
    </row>
    <row r="63" spans="1:33" x14ac:dyDescent="0.35">
      <c r="A63" s="227" t="s">
        <v>864</v>
      </c>
      <c r="B63" s="228" t="s">
        <v>874</v>
      </c>
      <c r="C63" s="1863"/>
      <c r="D63" s="229"/>
      <c r="E63" s="1868"/>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30"/>
      <c r="AD63" s="245"/>
      <c r="AE63" s="229"/>
      <c r="AF63" s="229"/>
      <c r="AG63" s="247"/>
    </row>
    <row r="64" spans="1:33" x14ac:dyDescent="0.35">
      <c r="A64" s="227" t="s">
        <v>864</v>
      </c>
      <c r="B64" s="228" t="s">
        <v>875</v>
      </c>
      <c r="C64" s="1863"/>
      <c r="D64" s="229"/>
      <c r="E64" s="1868"/>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30"/>
      <c r="AE64" s="229"/>
      <c r="AF64" s="229"/>
      <c r="AG64" s="247"/>
    </row>
    <row r="65" spans="1:33" ht="13.15" x14ac:dyDescent="0.4">
      <c r="A65" s="231"/>
      <c r="B65" s="232" t="s">
        <v>164</v>
      </c>
      <c r="C65" s="1864">
        <f>SUM(C39:C64)</f>
        <v>11.562416499999999</v>
      </c>
      <c r="D65" s="237"/>
      <c r="E65" s="1867"/>
      <c r="F65" s="233"/>
      <c r="G65" s="233"/>
      <c r="H65" s="233"/>
      <c r="I65" s="233"/>
      <c r="J65" s="233"/>
      <c r="K65" s="233"/>
      <c r="L65" s="233"/>
      <c r="M65" s="233"/>
      <c r="N65" s="233"/>
      <c r="O65" s="233"/>
      <c r="P65" s="233"/>
      <c r="Q65" s="233"/>
      <c r="R65" s="233"/>
      <c r="S65" s="1864">
        <f>SUM(S53:S64)</f>
        <v>0.17330699999999999</v>
      </c>
      <c r="T65" s="1864">
        <f t="shared" ref="T65" si="6">SUM(T53:T64)</f>
        <v>0.38618471109999997</v>
      </c>
      <c r="U65" s="1864">
        <f t="shared" ref="U65" si="7">SUM(U53:U64)</f>
        <v>0.38618471109999997</v>
      </c>
      <c r="V65" s="1864">
        <f t="shared" ref="V65" si="8">SUM(V53:V64)</f>
        <v>0.38618471109999997</v>
      </c>
      <c r="W65" s="1864">
        <f t="shared" ref="W65" si="9">SUM(W53:W64)</f>
        <v>0.38618471109999997</v>
      </c>
      <c r="X65" s="1864">
        <f t="shared" ref="X65" si="10">SUM(X53:X64)</f>
        <v>0.38618471109999997</v>
      </c>
      <c r="Y65" s="1864">
        <f t="shared" ref="Y65" si="11">SUM(Y53:Y64)</f>
        <v>0.38618471109999997</v>
      </c>
      <c r="Z65" s="1864">
        <f t="shared" ref="Z65" si="12">SUM(Z53:Z64)</f>
        <v>0.38618471109999997</v>
      </c>
      <c r="AA65" s="1864">
        <f t="shared" ref="AA65" si="13">SUM(AA53:AA64)</f>
        <v>0.38618471109999997</v>
      </c>
      <c r="AB65" s="1864">
        <f t="shared" ref="AB65" si="14">SUM(AB53:AB64)</f>
        <v>0.38618471109999997</v>
      </c>
      <c r="AC65" s="1864">
        <f t="shared" ref="AC65" si="15">SUM(AC53:AC64)</f>
        <v>0.38618471109999997</v>
      </c>
      <c r="AD65" s="1864">
        <f t="shared" ref="AD65" si="16">SUM(AD53:AD64)</f>
        <v>0.38618471109999997</v>
      </c>
      <c r="AE65" s="1864">
        <f t="shared" ref="AE65" si="17">SUM(AE53:AE64)</f>
        <v>4.4213388220999992</v>
      </c>
      <c r="AF65" s="1867">
        <f t="shared" ref="AF65" si="18">+AE65/C65</f>
        <v>0.38238882175711275</v>
      </c>
      <c r="AG65" s="1864">
        <f t="shared" ref="AG65" si="19">SUM(AG53:AG64)</f>
        <v>5.9848360279000001</v>
      </c>
    </row>
    <row r="68" spans="1:33" s="239" customFormat="1" x14ac:dyDescent="0.35">
      <c r="A68" s="221"/>
      <c r="B68" s="238"/>
      <c r="C68" s="1862"/>
      <c r="D68" s="221"/>
      <c r="E68" s="1866"/>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row>
    <row r="69" spans="1:33" ht="13.15" x14ac:dyDescent="0.4">
      <c r="B69" s="222" t="s">
        <v>1893</v>
      </c>
      <c r="F69" s="243" t="s">
        <v>110</v>
      </c>
    </row>
    <row r="70" spans="1:33" ht="26.25" x14ac:dyDescent="0.4">
      <c r="A70" s="223"/>
      <c r="B70" s="224" t="s">
        <v>841</v>
      </c>
      <c r="C70" s="1881" t="s">
        <v>877</v>
      </c>
      <c r="D70" s="1883" t="s">
        <v>843</v>
      </c>
      <c r="E70" s="1885" t="s">
        <v>844</v>
      </c>
      <c r="F70" s="1887" t="s">
        <v>845</v>
      </c>
      <c r="G70" s="1888"/>
      <c r="H70" s="1888"/>
      <c r="I70" s="1888"/>
      <c r="J70" s="1888"/>
      <c r="K70" s="1888"/>
      <c r="L70" s="1888"/>
      <c r="M70" s="1888"/>
      <c r="N70" s="1888"/>
      <c r="O70" s="1888"/>
      <c r="P70" s="1888"/>
      <c r="Q70" s="1888"/>
      <c r="R70" s="1888"/>
      <c r="S70" s="1888"/>
      <c r="T70" s="1888"/>
      <c r="U70" s="1888"/>
      <c r="V70" s="1888"/>
      <c r="W70" s="1888"/>
      <c r="X70" s="1888"/>
      <c r="Y70" s="1888"/>
      <c r="Z70" s="1888"/>
      <c r="AA70" s="1888"/>
      <c r="AB70" s="1888"/>
      <c r="AC70" s="1888"/>
      <c r="AD70" s="1889"/>
      <c r="AE70" s="244" t="s">
        <v>846</v>
      </c>
      <c r="AF70" s="244" t="s">
        <v>847</v>
      </c>
      <c r="AG70" s="244" t="s">
        <v>848</v>
      </c>
    </row>
    <row r="71" spans="1:33" ht="13.15" x14ac:dyDescent="0.35">
      <c r="A71" s="223"/>
      <c r="B71" s="224"/>
      <c r="C71" s="1882"/>
      <c r="D71" s="1884"/>
      <c r="E71" s="1886"/>
      <c r="F71" s="226" t="s">
        <v>849</v>
      </c>
      <c r="G71" s="226" t="s">
        <v>850</v>
      </c>
      <c r="H71" s="226" t="s">
        <v>851</v>
      </c>
      <c r="I71" s="226" t="s">
        <v>852</v>
      </c>
      <c r="J71" s="226" t="s">
        <v>853</v>
      </c>
      <c r="K71" s="226" t="s">
        <v>854</v>
      </c>
      <c r="L71" s="226" t="s">
        <v>855</v>
      </c>
      <c r="M71" s="226" t="s">
        <v>856</v>
      </c>
      <c r="N71" s="226" t="s">
        <v>857</v>
      </c>
      <c r="O71" s="226" t="s">
        <v>858</v>
      </c>
      <c r="P71" s="226" t="s">
        <v>859</v>
      </c>
      <c r="Q71" s="226" t="s">
        <v>860</v>
      </c>
      <c r="R71" s="226" t="s">
        <v>861</v>
      </c>
      <c r="S71" s="226" t="s">
        <v>862</v>
      </c>
      <c r="T71" s="226" t="s">
        <v>197</v>
      </c>
      <c r="U71" s="226" t="s">
        <v>198</v>
      </c>
      <c r="V71" s="226" t="s">
        <v>199</v>
      </c>
      <c r="W71" s="226" t="s">
        <v>112</v>
      </c>
      <c r="X71" s="226" t="s">
        <v>113</v>
      </c>
      <c r="Y71" s="226" t="s">
        <v>114</v>
      </c>
      <c r="Z71" s="226" t="s">
        <v>123</v>
      </c>
      <c r="AA71" s="226" t="s">
        <v>124</v>
      </c>
      <c r="AB71" s="226" t="s">
        <v>125</v>
      </c>
      <c r="AC71" s="226" t="s">
        <v>126</v>
      </c>
      <c r="AD71" s="226" t="s">
        <v>127</v>
      </c>
      <c r="AE71" s="244"/>
      <c r="AF71" s="244"/>
      <c r="AG71" s="244"/>
    </row>
    <row r="72" spans="1:33" x14ac:dyDescent="0.35">
      <c r="A72" s="227" t="s">
        <v>863</v>
      </c>
      <c r="B72" s="228">
        <v>2005</v>
      </c>
      <c r="C72" s="1863"/>
      <c r="D72" s="240"/>
      <c r="E72" s="186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7"/>
      <c r="AF72" s="247"/>
      <c r="AG72" s="247"/>
    </row>
    <row r="73" spans="1:33" x14ac:dyDescent="0.35">
      <c r="A73" s="227" t="s">
        <v>864</v>
      </c>
      <c r="B73" s="228" t="s">
        <v>849</v>
      </c>
      <c r="C73" s="1863"/>
      <c r="D73" s="240"/>
      <c r="E73" s="1865"/>
      <c r="F73" s="230"/>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7"/>
      <c r="AF73" s="247"/>
      <c r="AG73" s="247"/>
    </row>
    <row r="74" spans="1:33" x14ac:dyDescent="0.35">
      <c r="A74" s="227" t="s">
        <v>864</v>
      </c>
      <c r="B74" s="228" t="s">
        <v>850</v>
      </c>
      <c r="C74" s="1863"/>
      <c r="D74" s="240"/>
      <c r="E74" s="1865"/>
      <c r="F74" s="246"/>
      <c r="G74" s="230"/>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7"/>
      <c r="AF74" s="247"/>
      <c r="AG74" s="247"/>
    </row>
    <row r="75" spans="1:33" x14ac:dyDescent="0.35">
      <c r="A75" s="227" t="s">
        <v>864</v>
      </c>
      <c r="B75" s="228" t="s">
        <v>851</v>
      </c>
      <c r="C75" s="1863"/>
      <c r="D75" s="240"/>
      <c r="E75" s="1865"/>
      <c r="F75" s="246"/>
      <c r="G75" s="246"/>
      <c r="H75" s="230"/>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7"/>
      <c r="AF75" s="247"/>
      <c r="AG75" s="247"/>
    </row>
    <row r="76" spans="1:33" x14ac:dyDescent="0.35">
      <c r="A76" s="227" t="s">
        <v>864</v>
      </c>
      <c r="B76" s="228" t="s">
        <v>852</v>
      </c>
      <c r="C76" s="1863"/>
      <c r="D76" s="240"/>
      <c r="E76" s="1865"/>
      <c r="F76" s="246"/>
      <c r="G76" s="246"/>
      <c r="H76" s="246"/>
      <c r="I76" s="230"/>
      <c r="J76" s="245"/>
      <c r="K76" s="245"/>
      <c r="L76" s="245"/>
      <c r="M76" s="245"/>
      <c r="N76" s="245"/>
      <c r="O76" s="245"/>
      <c r="P76" s="245"/>
      <c r="Q76" s="245"/>
      <c r="R76" s="245"/>
      <c r="S76" s="245"/>
      <c r="T76" s="245"/>
      <c r="U76" s="245"/>
      <c r="V76" s="245"/>
      <c r="W76" s="245"/>
      <c r="X76" s="245"/>
      <c r="Y76" s="245"/>
      <c r="Z76" s="245"/>
      <c r="AA76" s="245"/>
      <c r="AB76" s="245"/>
      <c r="AC76" s="245"/>
      <c r="AD76" s="245"/>
      <c r="AE76" s="247"/>
      <c r="AF76" s="247"/>
      <c r="AG76" s="247"/>
    </row>
    <row r="77" spans="1:33" x14ac:dyDescent="0.35">
      <c r="A77" s="227" t="s">
        <v>864</v>
      </c>
      <c r="B77" s="228" t="s">
        <v>853</v>
      </c>
      <c r="C77" s="1863"/>
      <c r="D77" s="240"/>
      <c r="E77" s="1865"/>
      <c r="F77" s="246"/>
      <c r="G77" s="246"/>
      <c r="H77" s="246"/>
      <c r="I77" s="246"/>
      <c r="J77" s="230"/>
      <c r="K77" s="245"/>
      <c r="L77" s="245"/>
      <c r="M77" s="245"/>
      <c r="N77" s="245"/>
      <c r="O77" s="245"/>
      <c r="P77" s="245"/>
      <c r="Q77" s="245"/>
      <c r="R77" s="245"/>
      <c r="S77" s="245"/>
      <c r="T77" s="245"/>
      <c r="U77" s="245"/>
      <c r="V77" s="245"/>
      <c r="W77" s="245"/>
      <c r="X77" s="245"/>
      <c r="Y77" s="245"/>
      <c r="Z77" s="245"/>
      <c r="AA77" s="245"/>
      <c r="AB77" s="245"/>
      <c r="AC77" s="245"/>
      <c r="AD77" s="245"/>
      <c r="AE77" s="247"/>
      <c r="AF77" s="247"/>
      <c r="AG77" s="247"/>
    </row>
    <row r="78" spans="1:33" x14ac:dyDescent="0.35">
      <c r="A78" s="227" t="s">
        <v>864</v>
      </c>
      <c r="B78" s="228" t="s">
        <v>854</v>
      </c>
      <c r="C78" s="1863"/>
      <c r="D78" s="240"/>
      <c r="E78" s="1865"/>
      <c r="F78" s="246"/>
      <c r="G78" s="246"/>
      <c r="H78" s="246"/>
      <c r="I78" s="246"/>
      <c r="J78" s="246"/>
      <c r="K78" s="230"/>
      <c r="L78" s="245"/>
      <c r="M78" s="245"/>
      <c r="N78" s="245"/>
      <c r="O78" s="245"/>
      <c r="P78" s="245"/>
      <c r="Q78" s="245"/>
      <c r="R78" s="245"/>
      <c r="S78" s="245"/>
      <c r="T78" s="245"/>
      <c r="U78" s="245"/>
      <c r="V78" s="245"/>
      <c r="W78" s="245"/>
      <c r="X78" s="245"/>
      <c r="Y78" s="245"/>
      <c r="Z78" s="245"/>
      <c r="AA78" s="245"/>
      <c r="AB78" s="245"/>
      <c r="AC78" s="245"/>
      <c r="AD78" s="245"/>
      <c r="AE78" s="247"/>
      <c r="AF78" s="247"/>
      <c r="AG78" s="247"/>
    </row>
    <row r="79" spans="1:33" x14ac:dyDescent="0.35">
      <c r="A79" s="227" t="s">
        <v>864</v>
      </c>
      <c r="B79" s="228" t="s">
        <v>855</v>
      </c>
      <c r="C79" s="1863"/>
      <c r="D79" s="240"/>
      <c r="E79" s="1865"/>
      <c r="F79" s="246"/>
      <c r="G79" s="246"/>
      <c r="H79" s="246"/>
      <c r="I79" s="246"/>
      <c r="J79" s="246"/>
      <c r="K79" s="246"/>
      <c r="L79" s="230"/>
      <c r="M79" s="245"/>
      <c r="N79" s="245"/>
      <c r="O79" s="245"/>
      <c r="P79" s="245"/>
      <c r="Q79" s="245"/>
      <c r="R79" s="245"/>
      <c r="S79" s="245"/>
      <c r="T79" s="245"/>
      <c r="U79" s="245"/>
      <c r="V79" s="245"/>
      <c r="W79" s="245"/>
      <c r="X79" s="245"/>
      <c r="Y79" s="245"/>
      <c r="Z79" s="245"/>
      <c r="AA79" s="245"/>
      <c r="AB79" s="245"/>
      <c r="AC79" s="245"/>
      <c r="AD79" s="245"/>
      <c r="AE79" s="247"/>
      <c r="AF79" s="247"/>
      <c r="AG79" s="247"/>
    </row>
    <row r="80" spans="1:33" x14ac:dyDescent="0.35">
      <c r="A80" s="227" t="s">
        <v>864</v>
      </c>
      <c r="B80" s="228" t="s">
        <v>856</v>
      </c>
      <c r="C80" s="1863"/>
      <c r="D80" s="240"/>
      <c r="E80" s="1865"/>
      <c r="F80" s="246"/>
      <c r="G80" s="246"/>
      <c r="H80" s="246"/>
      <c r="I80" s="246"/>
      <c r="J80" s="246"/>
      <c r="K80" s="246"/>
      <c r="L80" s="246"/>
      <c r="M80" s="230"/>
      <c r="N80" s="245"/>
      <c r="O80" s="245"/>
      <c r="P80" s="245"/>
      <c r="Q80" s="245"/>
      <c r="R80" s="245"/>
      <c r="S80" s="245"/>
      <c r="T80" s="245"/>
      <c r="U80" s="245"/>
      <c r="V80" s="245"/>
      <c r="W80" s="245"/>
      <c r="X80" s="245"/>
      <c r="Y80" s="245"/>
      <c r="Z80" s="245"/>
      <c r="AA80" s="245"/>
      <c r="AB80" s="245"/>
      <c r="AC80" s="245"/>
      <c r="AD80" s="245"/>
      <c r="AE80" s="247"/>
      <c r="AF80" s="247"/>
      <c r="AG80" s="247"/>
    </row>
    <row r="81" spans="1:33" x14ac:dyDescent="0.35">
      <c r="A81" s="227" t="s">
        <v>864</v>
      </c>
      <c r="B81" s="228" t="s">
        <v>857</v>
      </c>
      <c r="C81" s="1863"/>
      <c r="D81" s="240"/>
      <c r="E81" s="1865"/>
      <c r="F81" s="246"/>
      <c r="G81" s="246"/>
      <c r="H81" s="246"/>
      <c r="I81" s="246"/>
      <c r="J81" s="246"/>
      <c r="K81" s="246"/>
      <c r="L81" s="246"/>
      <c r="M81" s="246"/>
      <c r="N81" s="230"/>
      <c r="O81" s="245"/>
      <c r="P81" s="245"/>
      <c r="Q81" s="245"/>
      <c r="R81" s="245"/>
      <c r="S81" s="245"/>
      <c r="T81" s="245"/>
      <c r="U81" s="245"/>
      <c r="V81" s="245"/>
      <c r="W81" s="245"/>
      <c r="X81" s="245"/>
      <c r="Y81" s="245"/>
      <c r="Z81" s="245"/>
      <c r="AA81" s="245"/>
      <c r="AB81" s="245"/>
      <c r="AC81" s="245"/>
      <c r="AD81" s="245"/>
      <c r="AE81" s="247"/>
      <c r="AF81" s="247"/>
      <c r="AG81" s="247"/>
    </row>
    <row r="82" spans="1:33" x14ac:dyDescent="0.35">
      <c r="A82" s="227" t="s">
        <v>864</v>
      </c>
      <c r="B82" s="228" t="s">
        <v>858</v>
      </c>
      <c r="C82" s="1863"/>
      <c r="D82" s="227"/>
      <c r="E82" s="1865"/>
      <c r="F82" s="246"/>
      <c r="G82" s="246"/>
      <c r="H82" s="246"/>
      <c r="I82" s="246"/>
      <c r="J82" s="246"/>
      <c r="K82" s="246"/>
      <c r="L82" s="246"/>
      <c r="M82" s="246"/>
      <c r="N82" s="246"/>
      <c r="O82" s="230"/>
      <c r="P82" s="245"/>
      <c r="Q82" s="245"/>
      <c r="R82" s="245"/>
      <c r="S82" s="245"/>
      <c r="T82" s="245"/>
      <c r="U82" s="245"/>
      <c r="V82" s="245"/>
      <c r="W82" s="245"/>
      <c r="X82" s="245"/>
      <c r="Y82" s="245"/>
      <c r="Z82" s="245"/>
      <c r="AA82" s="245"/>
      <c r="AB82" s="245"/>
      <c r="AC82" s="245"/>
      <c r="AD82" s="245"/>
      <c r="AE82" s="247"/>
      <c r="AF82" s="247"/>
      <c r="AG82" s="247"/>
    </row>
    <row r="83" spans="1:33" x14ac:dyDescent="0.35">
      <c r="A83" s="227" t="s">
        <v>864</v>
      </c>
      <c r="B83" s="228" t="s">
        <v>859</v>
      </c>
      <c r="C83" s="1863"/>
      <c r="D83" s="227"/>
      <c r="E83" s="1865"/>
      <c r="F83" s="246"/>
      <c r="G83" s="246"/>
      <c r="H83" s="246"/>
      <c r="I83" s="246"/>
      <c r="J83" s="246"/>
      <c r="K83" s="246"/>
      <c r="L83" s="246"/>
      <c r="M83" s="246"/>
      <c r="N83" s="246"/>
      <c r="O83" s="246"/>
      <c r="P83" s="230"/>
      <c r="Q83" s="245"/>
      <c r="R83" s="245"/>
      <c r="S83" s="245"/>
      <c r="T83" s="245"/>
      <c r="U83" s="245"/>
      <c r="V83" s="245"/>
      <c r="W83" s="245"/>
      <c r="X83" s="245"/>
      <c r="Y83" s="245"/>
      <c r="Z83" s="245"/>
      <c r="AA83" s="245"/>
      <c r="AB83" s="245"/>
      <c r="AC83" s="245"/>
      <c r="AD83" s="245"/>
      <c r="AE83" s="247"/>
      <c r="AF83" s="247"/>
      <c r="AG83" s="247"/>
    </row>
    <row r="84" spans="1:33" x14ac:dyDescent="0.35">
      <c r="A84" s="227" t="s">
        <v>864</v>
      </c>
      <c r="B84" s="228" t="s">
        <v>860</v>
      </c>
      <c r="C84" s="1863"/>
      <c r="D84" s="229"/>
      <c r="E84" s="1865"/>
      <c r="F84" s="246"/>
      <c r="G84" s="246"/>
      <c r="H84" s="246"/>
      <c r="I84" s="246"/>
      <c r="J84" s="246"/>
      <c r="K84" s="246"/>
      <c r="L84" s="246"/>
      <c r="M84" s="246"/>
      <c r="N84" s="246"/>
      <c r="O84" s="246"/>
      <c r="P84" s="246"/>
      <c r="Q84" s="230"/>
      <c r="R84" s="245"/>
      <c r="S84" s="245"/>
      <c r="T84" s="245"/>
      <c r="U84" s="245"/>
      <c r="V84" s="245"/>
      <c r="W84" s="245"/>
      <c r="X84" s="245"/>
      <c r="Y84" s="245"/>
      <c r="Z84" s="245"/>
      <c r="AA84" s="245"/>
      <c r="AB84" s="245"/>
      <c r="AC84" s="245"/>
      <c r="AD84" s="245"/>
      <c r="AE84" s="247"/>
      <c r="AF84" s="247"/>
      <c r="AG84" s="247"/>
    </row>
    <row r="85" spans="1:33" x14ac:dyDescent="0.35">
      <c r="A85" s="227" t="s">
        <v>864</v>
      </c>
      <c r="B85" s="228" t="s">
        <v>861</v>
      </c>
      <c r="C85" s="1863"/>
      <c r="D85" s="229"/>
      <c r="E85" s="1865"/>
      <c r="F85" s="246"/>
      <c r="G85" s="246"/>
      <c r="H85" s="246"/>
      <c r="I85" s="246"/>
      <c r="J85" s="246"/>
      <c r="K85" s="246"/>
      <c r="L85" s="246"/>
      <c r="M85" s="246"/>
      <c r="N85" s="246"/>
      <c r="O85" s="246"/>
      <c r="P85" s="246"/>
      <c r="Q85" s="246"/>
      <c r="R85" s="230"/>
      <c r="S85" s="245"/>
      <c r="T85" s="245"/>
      <c r="U85" s="245"/>
      <c r="V85" s="245"/>
      <c r="W85" s="245"/>
      <c r="X85" s="245"/>
      <c r="Y85" s="245"/>
      <c r="Z85" s="245"/>
      <c r="AA85" s="245"/>
      <c r="AB85" s="245"/>
      <c r="AC85" s="245"/>
      <c r="AD85" s="245"/>
      <c r="AE85" s="247"/>
      <c r="AF85" s="247"/>
      <c r="AG85" s="247"/>
    </row>
    <row r="86" spans="1:33" x14ac:dyDescent="0.35">
      <c r="A86" s="227" t="s">
        <v>864</v>
      </c>
      <c r="B86" s="228" t="s">
        <v>862</v>
      </c>
      <c r="C86" s="1863">
        <f>+'F5'!E18</f>
        <v>43.916384399999998</v>
      </c>
      <c r="D86" s="229"/>
      <c r="E86" s="1865">
        <f>+Assum!$F$111</f>
        <v>5.28E-2</v>
      </c>
      <c r="F86" s="246"/>
      <c r="G86" s="246"/>
      <c r="H86" s="246"/>
      <c r="I86" s="246"/>
      <c r="J86" s="246"/>
      <c r="K86" s="246"/>
      <c r="L86" s="246"/>
      <c r="M86" s="246"/>
      <c r="N86" s="246"/>
      <c r="O86" s="246"/>
      <c r="P86" s="246"/>
      <c r="Q86" s="246"/>
      <c r="R86" s="246"/>
      <c r="S86" s="1869">
        <f>+'F5'!E62</f>
        <v>1.0487950000000001</v>
      </c>
      <c r="T86" s="1870">
        <f>+$C86*$E86-0.117</f>
        <v>2.2017850963200001</v>
      </c>
      <c r="U86" s="1870">
        <f>+$C86*$E86-0.531</f>
        <v>1.7877850963199999</v>
      </c>
      <c r="V86" s="1870">
        <f>+$C86*$E86-0.198</f>
        <v>2.1207850963200001</v>
      </c>
      <c r="W86" s="1870">
        <f>+$C86*$E86-0.181</f>
        <v>2.13778509632</v>
      </c>
      <c r="X86" s="1870">
        <f>+$C86*$E86-0.178</f>
        <v>2.1407850963200001</v>
      </c>
      <c r="Y86" s="1870">
        <f>+$C86*$E86-0.182</f>
        <v>2.1367850963200001</v>
      </c>
      <c r="Z86" s="1870">
        <f t="shared" ref="U86:AD96" si="20">+$C86*$E86</f>
        <v>2.3187850963200001</v>
      </c>
      <c r="AA86" s="1870">
        <f>+$C86*$E86+0.005</f>
        <v>2.32378509632</v>
      </c>
      <c r="AB86" s="1870">
        <f t="shared" si="20"/>
        <v>2.3187850963200001</v>
      </c>
      <c r="AC86" s="1870">
        <f>+$C86*$E86-0.009</f>
        <v>2.3097850963200002</v>
      </c>
      <c r="AD86" s="1870">
        <f>+$C86*$E86-0.01</f>
        <v>2.3087850963200003</v>
      </c>
      <c r="AE86" s="1863">
        <f>SUM(S86:AD86)</f>
        <v>25.15443105952</v>
      </c>
      <c r="AF86" s="1865">
        <f>+AE86/C86</f>
        <v>0.57278010025615866</v>
      </c>
      <c r="AG86" s="1863">
        <f>+C86*90%-AE86</f>
        <v>14.370314900479997</v>
      </c>
    </row>
    <row r="87" spans="1:33" x14ac:dyDescent="0.35">
      <c r="A87" s="227" t="s">
        <v>864</v>
      </c>
      <c r="B87" s="228" t="s">
        <v>865</v>
      </c>
      <c r="C87" s="1863">
        <f>+'F5'!J18</f>
        <v>11.561528951458783</v>
      </c>
      <c r="D87" s="229"/>
      <c r="E87" s="1865">
        <f>+Assum!$F$111</f>
        <v>5.28E-2</v>
      </c>
      <c r="F87" s="246"/>
      <c r="G87" s="246"/>
      <c r="H87" s="246"/>
      <c r="I87" s="246"/>
      <c r="J87" s="246"/>
      <c r="K87" s="246"/>
      <c r="L87" s="246"/>
      <c r="M87" s="246"/>
      <c r="N87" s="246"/>
      <c r="O87" s="246"/>
      <c r="P87" s="246"/>
      <c r="Q87" s="246"/>
      <c r="R87" s="246"/>
      <c r="S87" s="246"/>
      <c r="T87" s="1869">
        <f>+$C87*$E87/4</f>
        <v>0.15261218215925593</v>
      </c>
      <c r="U87" s="1870">
        <f t="shared" si="20"/>
        <v>0.61044872863702371</v>
      </c>
      <c r="V87" s="1870">
        <f t="shared" si="20"/>
        <v>0.61044872863702371</v>
      </c>
      <c r="W87" s="1870">
        <f t="shared" si="20"/>
        <v>0.61044872863702371</v>
      </c>
      <c r="X87" s="1870">
        <f t="shared" si="20"/>
        <v>0.61044872863702371</v>
      </c>
      <c r="Y87" s="1870">
        <f t="shared" si="20"/>
        <v>0.61044872863702371</v>
      </c>
      <c r="Z87" s="1870">
        <f t="shared" si="20"/>
        <v>0.61044872863702371</v>
      </c>
      <c r="AA87" s="1870">
        <f t="shared" si="20"/>
        <v>0.61044872863702371</v>
      </c>
      <c r="AB87" s="1870">
        <f t="shared" si="20"/>
        <v>0.61044872863702371</v>
      </c>
      <c r="AC87" s="1870">
        <f t="shared" si="20"/>
        <v>0.61044872863702371</v>
      </c>
      <c r="AD87" s="1870">
        <f t="shared" si="20"/>
        <v>0.61044872863702371</v>
      </c>
      <c r="AE87" s="1863">
        <f t="shared" ref="AE87:AE97" si="21">SUM(S87:AD87)</f>
        <v>6.2570994685294918</v>
      </c>
      <c r="AF87" s="1865">
        <f t="shared" ref="AF87:AF98" si="22">+AE87/C87</f>
        <v>0.5411999999999999</v>
      </c>
      <c r="AG87" s="1863">
        <f t="shared" ref="AG87:AG91" si="23">+C87*90%-AE87</f>
        <v>4.1482765877834131</v>
      </c>
    </row>
    <row r="88" spans="1:33" x14ac:dyDescent="0.35">
      <c r="A88" s="227" t="s">
        <v>864</v>
      </c>
      <c r="B88" s="228" t="s">
        <v>866</v>
      </c>
      <c r="C88" s="1863">
        <f>+'F5'!O18-'F5'!P18</f>
        <v>1.2643208929999998</v>
      </c>
      <c r="D88" s="229"/>
      <c r="E88" s="1865">
        <f>+Assum!$F$111</f>
        <v>5.28E-2</v>
      </c>
      <c r="F88" s="246"/>
      <c r="G88" s="246"/>
      <c r="H88" s="246"/>
      <c r="I88" s="246"/>
      <c r="J88" s="246"/>
      <c r="K88" s="246"/>
      <c r="L88" s="246"/>
      <c r="M88" s="246"/>
      <c r="N88" s="246"/>
      <c r="O88" s="246"/>
      <c r="P88" s="246"/>
      <c r="Q88" s="246"/>
      <c r="R88" s="246"/>
      <c r="S88" s="246"/>
      <c r="T88" s="246"/>
      <c r="U88" s="1869">
        <f>+$C88*$E88/4</f>
        <v>1.6689035787599997E-2</v>
      </c>
      <c r="V88" s="1870">
        <f t="shared" si="20"/>
        <v>6.6756143150399988E-2</v>
      </c>
      <c r="W88" s="1870">
        <f t="shared" si="20"/>
        <v>6.6756143150399988E-2</v>
      </c>
      <c r="X88" s="1870">
        <f t="shared" si="20"/>
        <v>6.6756143150399988E-2</v>
      </c>
      <c r="Y88" s="1870">
        <f t="shared" si="20"/>
        <v>6.6756143150399988E-2</v>
      </c>
      <c r="Z88" s="1870">
        <f t="shared" si="20"/>
        <v>6.6756143150399988E-2</v>
      </c>
      <c r="AA88" s="1870">
        <f t="shared" si="20"/>
        <v>6.6756143150399988E-2</v>
      </c>
      <c r="AB88" s="1870">
        <f t="shared" si="20"/>
        <v>6.6756143150399988E-2</v>
      </c>
      <c r="AC88" s="1870">
        <f t="shared" si="20"/>
        <v>6.6756143150399988E-2</v>
      </c>
      <c r="AD88" s="1870">
        <f t="shared" si="20"/>
        <v>6.6756143150399988E-2</v>
      </c>
      <c r="AE88" s="1863">
        <f t="shared" si="21"/>
        <v>0.61749432414119998</v>
      </c>
      <c r="AF88" s="1865">
        <f t="shared" si="22"/>
        <v>0.48840000000000006</v>
      </c>
      <c r="AG88" s="1863">
        <f t="shared" si="23"/>
        <v>0.52039447955879992</v>
      </c>
    </row>
    <row r="89" spans="1:33" x14ac:dyDescent="0.35">
      <c r="A89" s="227" t="s">
        <v>864</v>
      </c>
      <c r="B89" s="228" t="s">
        <v>867</v>
      </c>
      <c r="C89" s="1863">
        <f>+'F5'!T18</f>
        <v>0.64014373999999996</v>
      </c>
      <c r="D89" s="229"/>
      <c r="E89" s="1865">
        <f>+Assum!$F$111</f>
        <v>5.28E-2</v>
      </c>
      <c r="F89" s="246"/>
      <c r="G89" s="246"/>
      <c r="H89" s="246"/>
      <c r="I89" s="246"/>
      <c r="J89" s="246"/>
      <c r="K89" s="246"/>
      <c r="L89" s="246"/>
      <c r="M89" s="246"/>
      <c r="N89" s="246"/>
      <c r="O89" s="246"/>
      <c r="P89" s="246"/>
      <c r="Q89" s="246"/>
      <c r="R89" s="246"/>
      <c r="S89" s="246"/>
      <c r="T89" s="246"/>
      <c r="U89" s="246"/>
      <c r="V89" s="1869">
        <f>+$C89*$E89/4</f>
        <v>8.4498973679999999E-3</v>
      </c>
      <c r="W89" s="1870">
        <f t="shared" si="20"/>
        <v>3.3799589472E-2</v>
      </c>
      <c r="X89" s="1870">
        <f t="shared" si="20"/>
        <v>3.3799589472E-2</v>
      </c>
      <c r="Y89" s="1870">
        <f t="shared" si="20"/>
        <v>3.3799589472E-2</v>
      </c>
      <c r="Z89" s="1870">
        <f t="shared" si="20"/>
        <v>3.3799589472E-2</v>
      </c>
      <c r="AA89" s="1870">
        <f t="shared" si="20"/>
        <v>3.3799589472E-2</v>
      </c>
      <c r="AB89" s="1870">
        <f t="shared" si="20"/>
        <v>3.3799589472E-2</v>
      </c>
      <c r="AC89" s="1870">
        <f t="shared" si="20"/>
        <v>3.3799589472E-2</v>
      </c>
      <c r="AD89" s="1870">
        <f t="shared" si="20"/>
        <v>3.3799589472E-2</v>
      </c>
      <c r="AE89" s="1863">
        <f t="shared" si="21"/>
        <v>0.27884661314400006</v>
      </c>
      <c r="AF89" s="1865">
        <f t="shared" si="22"/>
        <v>0.4356000000000001</v>
      </c>
      <c r="AG89" s="1863">
        <f t="shared" si="23"/>
        <v>0.29728275285599992</v>
      </c>
    </row>
    <row r="90" spans="1:33" x14ac:dyDescent="0.35">
      <c r="A90" s="227" t="s">
        <v>864</v>
      </c>
      <c r="B90" s="228" t="s">
        <v>868</v>
      </c>
      <c r="C90" s="1863"/>
      <c r="D90" s="229"/>
      <c r="E90" s="1865"/>
      <c r="F90" s="246"/>
      <c r="G90" s="246"/>
      <c r="H90" s="246"/>
      <c r="I90" s="246"/>
      <c r="J90" s="246"/>
      <c r="K90" s="246"/>
      <c r="L90" s="246"/>
      <c r="M90" s="246"/>
      <c r="N90" s="246"/>
      <c r="O90" s="246"/>
      <c r="P90" s="246"/>
      <c r="Q90" s="246"/>
      <c r="R90" s="246"/>
      <c r="S90" s="246"/>
      <c r="T90" s="246"/>
      <c r="U90" s="246"/>
      <c r="V90" s="246"/>
      <c r="W90" s="1869">
        <f>+$C90*$E90/2</f>
        <v>0</v>
      </c>
      <c r="X90" s="1870">
        <f t="shared" si="20"/>
        <v>0</v>
      </c>
      <c r="Y90" s="1870">
        <f t="shared" si="20"/>
        <v>0</v>
      </c>
      <c r="Z90" s="1870">
        <f t="shared" si="20"/>
        <v>0</v>
      </c>
      <c r="AA90" s="1870">
        <f t="shared" si="20"/>
        <v>0</v>
      </c>
      <c r="AB90" s="1870">
        <f t="shared" si="20"/>
        <v>0</v>
      </c>
      <c r="AC90" s="1870">
        <f t="shared" si="20"/>
        <v>0</v>
      </c>
      <c r="AD90" s="1870">
        <f t="shared" si="20"/>
        <v>0</v>
      </c>
      <c r="AE90" s="1863">
        <f t="shared" si="21"/>
        <v>0</v>
      </c>
      <c r="AF90" s="1865"/>
      <c r="AG90" s="1863"/>
    </row>
    <row r="91" spans="1:33" x14ac:dyDescent="0.35">
      <c r="A91" s="227" t="s">
        <v>864</v>
      </c>
      <c r="B91" s="228" t="s">
        <v>869</v>
      </c>
      <c r="C91" s="1863">
        <f>+'F5'!J32</f>
        <v>9.1967151999999996E-2</v>
      </c>
      <c r="D91" s="229"/>
      <c r="E91" s="1865">
        <f>+Assum!$F$111</f>
        <v>5.28E-2</v>
      </c>
      <c r="F91" s="246"/>
      <c r="G91" s="246"/>
      <c r="H91" s="246"/>
      <c r="I91" s="246"/>
      <c r="J91" s="246"/>
      <c r="K91" s="246"/>
      <c r="L91" s="246"/>
      <c r="M91" s="246"/>
      <c r="N91" s="246"/>
      <c r="O91" s="246"/>
      <c r="P91" s="246"/>
      <c r="Q91" s="246"/>
      <c r="R91" s="246"/>
      <c r="S91" s="246"/>
      <c r="T91" s="246"/>
      <c r="U91" s="246"/>
      <c r="V91" s="246"/>
      <c r="W91" s="246"/>
      <c r="X91" s="1869">
        <f>+$C91*$E91/4</f>
        <v>1.2139664063999999E-3</v>
      </c>
      <c r="Y91" s="1870">
        <f t="shared" si="20"/>
        <v>4.8558656255999998E-3</v>
      </c>
      <c r="Z91" s="1870">
        <f t="shared" si="20"/>
        <v>4.8558656255999998E-3</v>
      </c>
      <c r="AA91" s="1870">
        <f t="shared" si="20"/>
        <v>4.8558656255999998E-3</v>
      </c>
      <c r="AB91" s="1870">
        <f t="shared" si="20"/>
        <v>4.8558656255999998E-3</v>
      </c>
      <c r="AC91" s="1870">
        <f t="shared" si="20"/>
        <v>4.8558656255999998E-3</v>
      </c>
      <c r="AD91" s="1870">
        <f t="shared" si="20"/>
        <v>4.8558656255999998E-3</v>
      </c>
      <c r="AE91" s="1863">
        <f t="shared" si="21"/>
        <v>3.0349160159999999E-2</v>
      </c>
      <c r="AF91" s="1865">
        <f t="shared" si="22"/>
        <v>0.33</v>
      </c>
      <c r="AG91" s="1863">
        <f t="shared" si="23"/>
        <v>5.242127664E-2</v>
      </c>
    </row>
    <row r="92" spans="1:33" x14ac:dyDescent="0.35">
      <c r="A92" s="227" t="s">
        <v>864</v>
      </c>
      <c r="B92" s="228" t="s">
        <v>870</v>
      </c>
      <c r="C92" s="1863"/>
      <c r="D92" s="229"/>
      <c r="E92" s="1868"/>
      <c r="F92" s="246"/>
      <c r="G92" s="246"/>
      <c r="H92" s="246"/>
      <c r="I92" s="246"/>
      <c r="J92" s="246"/>
      <c r="K92" s="246"/>
      <c r="L92" s="246"/>
      <c r="M92" s="246"/>
      <c r="N92" s="246"/>
      <c r="O92" s="246"/>
      <c r="P92" s="246"/>
      <c r="Q92" s="246"/>
      <c r="R92" s="246"/>
      <c r="S92" s="246"/>
      <c r="T92" s="246"/>
      <c r="U92" s="246"/>
      <c r="V92" s="246"/>
      <c r="W92" s="246"/>
      <c r="X92" s="246"/>
      <c r="Y92" s="1869">
        <f>+$C92*$E92/2</f>
        <v>0</v>
      </c>
      <c r="Z92" s="1870">
        <f t="shared" si="20"/>
        <v>0</v>
      </c>
      <c r="AA92" s="1870">
        <f t="shared" si="20"/>
        <v>0</v>
      </c>
      <c r="AB92" s="1870">
        <f t="shared" si="20"/>
        <v>0</v>
      </c>
      <c r="AC92" s="1870">
        <f t="shared" si="20"/>
        <v>0</v>
      </c>
      <c r="AD92" s="1870">
        <f t="shared" si="20"/>
        <v>0</v>
      </c>
      <c r="AE92" s="1863">
        <f t="shared" si="21"/>
        <v>0</v>
      </c>
      <c r="AF92" s="1865"/>
      <c r="AG92" s="1863"/>
    </row>
    <row r="93" spans="1:33" x14ac:dyDescent="0.35">
      <c r="A93" s="227" t="s">
        <v>864</v>
      </c>
      <c r="B93" s="228" t="s">
        <v>871</v>
      </c>
      <c r="C93" s="1863"/>
      <c r="D93" s="229"/>
      <c r="E93" s="1868"/>
      <c r="F93" s="246"/>
      <c r="G93" s="246"/>
      <c r="H93" s="246"/>
      <c r="I93" s="246"/>
      <c r="J93" s="246"/>
      <c r="K93" s="246"/>
      <c r="L93" s="246"/>
      <c r="M93" s="246"/>
      <c r="N93" s="246"/>
      <c r="O93" s="246"/>
      <c r="P93" s="246"/>
      <c r="Q93" s="246"/>
      <c r="R93" s="246"/>
      <c r="S93" s="246"/>
      <c r="T93" s="246"/>
      <c r="U93" s="246"/>
      <c r="V93" s="246"/>
      <c r="W93" s="246"/>
      <c r="X93" s="246"/>
      <c r="Y93" s="246"/>
      <c r="Z93" s="1869">
        <f>+$C93*$E93/2</f>
        <v>0</v>
      </c>
      <c r="AA93" s="1870">
        <f t="shared" si="20"/>
        <v>0</v>
      </c>
      <c r="AB93" s="1870">
        <f t="shared" si="20"/>
        <v>0</v>
      </c>
      <c r="AC93" s="1870">
        <f t="shared" si="20"/>
        <v>0</v>
      </c>
      <c r="AD93" s="1870">
        <f t="shared" si="20"/>
        <v>0</v>
      </c>
      <c r="AE93" s="1863">
        <f t="shared" si="21"/>
        <v>0</v>
      </c>
      <c r="AF93" s="1865"/>
      <c r="AG93" s="1863"/>
    </row>
    <row r="94" spans="1:33" x14ac:dyDescent="0.35">
      <c r="A94" s="227" t="s">
        <v>864</v>
      </c>
      <c r="B94" s="228" t="s">
        <v>872</v>
      </c>
      <c r="C94" s="1863"/>
      <c r="D94" s="229"/>
      <c r="E94" s="1868"/>
      <c r="F94" s="246"/>
      <c r="G94" s="246"/>
      <c r="H94" s="246"/>
      <c r="I94" s="246"/>
      <c r="J94" s="246"/>
      <c r="K94" s="246"/>
      <c r="L94" s="246"/>
      <c r="M94" s="246"/>
      <c r="N94" s="246"/>
      <c r="O94" s="246"/>
      <c r="P94" s="246"/>
      <c r="Q94" s="246"/>
      <c r="R94" s="246"/>
      <c r="S94" s="246"/>
      <c r="T94" s="246"/>
      <c r="U94" s="246"/>
      <c r="V94" s="246"/>
      <c r="W94" s="246"/>
      <c r="X94" s="246"/>
      <c r="Y94" s="246"/>
      <c r="Z94" s="246"/>
      <c r="AA94" s="1869">
        <f>+$C94*$E94/2</f>
        <v>0</v>
      </c>
      <c r="AB94" s="1870">
        <f t="shared" si="20"/>
        <v>0</v>
      </c>
      <c r="AC94" s="1870">
        <f t="shared" si="20"/>
        <v>0</v>
      </c>
      <c r="AD94" s="1870">
        <f t="shared" si="20"/>
        <v>0</v>
      </c>
      <c r="AE94" s="1863">
        <f t="shared" si="21"/>
        <v>0</v>
      </c>
      <c r="AF94" s="1865"/>
      <c r="AG94" s="1863"/>
    </row>
    <row r="95" spans="1:33" x14ac:dyDescent="0.35">
      <c r="A95" s="227" t="s">
        <v>864</v>
      </c>
      <c r="B95" s="228" t="s">
        <v>873</v>
      </c>
      <c r="C95" s="1863"/>
      <c r="D95" s="229"/>
      <c r="E95" s="1868"/>
      <c r="F95" s="246"/>
      <c r="G95" s="246"/>
      <c r="H95" s="246"/>
      <c r="I95" s="246"/>
      <c r="J95" s="246"/>
      <c r="K95" s="246"/>
      <c r="L95" s="246"/>
      <c r="M95" s="246"/>
      <c r="N95" s="246"/>
      <c r="O95" s="246"/>
      <c r="P95" s="246"/>
      <c r="Q95" s="246"/>
      <c r="R95" s="246"/>
      <c r="S95" s="246"/>
      <c r="T95" s="246"/>
      <c r="U95" s="246"/>
      <c r="V95" s="246"/>
      <c r="W95" s="246"/>
      <c r="X95" s="246"/>
      <c r="Y95" s="246"/>
      <c r="Z95" s="246"/>
      <c r="AA95" s="246"/>
      <c r="AB95" s="1869">
        <f>+$C95*$E95/2</f>
        <v>0</v>
      </c>
      <c r="AC95" s="1870">
        <f t="shared" si="20"/>
        <v>0</v>
      </c>
      <c r="AD95" s="1870">
        <f t="shared" si="20"/>
        <v>0</v>
      </c>
      <c r="AE95" s="1863">
        <f t="shared" si="21"/>
        <v>0</v>
      </c>
      <c r="AF95" s="1865"/>
      <c r="AG95" s="1863"/>
    </row>
    <row r="96" spans="1:33" x14ac:dyDescent="0.35">
      <c r="A96" s="227" t="s">
        <v>864</v>
      </c>
      <c r="B96" s="228" t="s">
        <v>874</v>
      </c>
      <c r="C96" s="1863"/>
      <c r="D96" s="229"/>
      <c r="E96" s="1868"/>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1869">
        <f>+$C96*$E96/2</f>
        <v>0</v>
      </c>
      <c r="AD96" s="1870">
        <f t="shared" si="20"/>
        <v>0</v>
      </c>
      <c r="AE96" s="1863">
        <f t="shared" si="21"/>
        <v>0</v>
      </c>
      <c r="AF96" s="1865"/>
      <c r="AG96" s="1863"/>
    </row>
    <row r="97" spans="1:33" x14ac:dyDescent="0.35">
      <c r="A97" s="227" t="s">
        <v>864</v>
      </c>
      <c r="B97" s="228" t="s">
        <v>875</v>
      </c>
      <c r="C97" s="1863"/>
      <c r="D97" s="229"/>
      <c r="E97" s="1868"/>
      <c r="F97" s="246"/>
      <c r="G97" s="246"/>
      <c r="H97" s="246"/>
      <c r="I97" s="246"/>
      <c r="J97" s="246"/>
      <c r="K97" s="246"/>
      <c r="L97" s="246"/>
      <c r="M97" s="246"/>
      <c r="N97" s="246"/>
      <c r="O97" s="246"/>
      <c r="P97" s="246"/>
      <c r="Q97" s="246"/>
      <c r="R97" s="246"/>
      <c r="S97" s="246"/>
      <c r="T97" s="246"/>
      <c r="U97" s="246"/>
      <c r="V97" s="246"/>
      <c r="W97" s="246"/>
      <c r="X97" s="246"/>
      <c r="Y97" s="246"/>
      <c r="Z97" s="246"/>
      <c r="AA97" s="246"/>
      <c r="AB97" s="246"/>
      <c r="AC97" s="246"/>
      <c r="AD97" s="1869">
        <f>+$C97*$E97/2</f>
        <v>0</v>
      </c>
      <c r="AE97" s="1863">
        <f t="shared" si="21"/>
        <v>0</v>
      </c>
      <c r="AF97" s="1865"/>
      <c r="AG97" s="1863"/>
    </row>
    <row r="98" spans="1:33" ht="13.15" x14ac:dyDescent="0.4">
      <c r="A98" s="231"/>
      <c r="B98" s="232" t="s">
        <v>164</v>
      </c>
      <c r="C98" s="1864">
        <f>SUM(C72:C97)</f>
        <v>57.47434513645878</v>
      </c>
      <c r="D98" s="233"/>
      <c r="E98" s="1867"/>
      <c r="F98" s="233"/>
      <c r="G98" s="233"/>
      <c r="H98" s="233"/>
      <c r="I98" s="233"/>
      <c r="J98" s="233"/>
      <c r="K98" s="233"/>
      <c r="L98" s="233"/>
      <c r="M98" s="233"/>
      <c r="N98" s="233"/>
      <c r="O98" s="233"/>
      <c r="P98" s="233"/>
      <c r="Q98" s="233"/>
      <c r="R98" s="233"/>
      <c r="S98" s="1864">
        <f>SUM(S86:S97)</f>
        <v>1.0487950000000001</v>
      </c>
      <c r="T98" s="1864">
        <f t="shared" ref="T98:AG98" si="24">SUM(T86:T97)</f>
        <v>2.3543972784792562</v>
      </c>
      <c r="U98" s="1864">
        <f t="shared" si="24"/>
        <v>2.4149228607446238</v>
      </c>
      <c r="V98" s="1864">
        <f t="shared" si="24"/>
        <v>2.8064398654754239</v>
      </c>
      <c r="W98" s="1864">
        <f t="shared" si="24"/>
        <v>2.8487895575794231</v>
      </c>
      <c r="X98" s="1864">
        <f t="shared" si="24"/>
        <v>2.8530035239858234</v>
      </c>
      <c r="Y98" s="1864">
        <f t="shared" si="24"/>
        <v>2.8526454232050238</v>
      </c>
      <c r="Z98" s="1864">
        <f t="shared" si="24"/>
        <v>3.0346454232050233</v>
      </c>
      <c r="AA98" s="1864">
        <f t="shared" si="24"/>
        <v>3.0396454232050232</v>
      </c>
      <c r="AB98" s="1864">
        <f t="shared" si="24"/>
        <v>3.0346454232050233</v>
      </c>
      <c r="AC98" s="1864">
        <f t="shared" si="24"/>
        <v>3.0256454232050238</v>
      </c>
      <c r="AD98" s="1864">
        <f t="shared" si="24"/>
        <v>3.0246454232050235</v>
      </c>
      <c r="AE98" s="1864">
        <f t="shared" si="24"/>
        <v>32.338220625494692</v>
      </c>
      <c r="AF98" s="1867">
        <f t="shared" si="22"/>
        <v>0.56265487755824783</v>
      </c>
      <c r="AG98" s="1864">
        <f t="shared" si="24"/>
        <v>19.38868999731821</v>
      </c>
    </row>
    <row r="102" spans="1:33" ht="13.15" x14ac:dyDescent="0.4">
      <c r="B102" s="222" t="s">
        <v>915</v>
      </c>
      <c r="F102" s="243" t="s">
        <v>110</v>
      </c>
    </row>
    <row r="103" spans="1:33" ht="26.25" x14ac:dyDescent="0.4">
      <c r="A103" s="223"/>
      <c r="B103" s="224" t="s">
        <v>841</v>
      </c>
      <c r="C103" s="1881" t="s">
        <v>877</v>
      </c>
      <c r="D103" s="1883" t="s">
        <v>843</v>
      </c>
      <c r="E103" s="1885" t="s">
        <v>844</v>
      </c>
      <c r="F103" s="1887" t="s">
        <v>845</v>
      </c>
      <c r="G103" s="1888"/>
      <c r="H103" s="1888"/>
      <c r="I103" s="1888"/>
      <c r="J103" s="1888"/>
      <c r="K103" s="1888"/>
      <c r="L103" s="1888"/>
      <c r="M103" s="1888"/>
      <c r="N103" s="1888"/>
      <c r="O103" s="1888"/>
      <c r="P103" s="1888"/>
      <c r="Q103" s="1888"/>
      <c r="R103" s="1888"/>
      <c r="S103" s="1888"/>
      <c r="T103" s="1888"/>
      <c r="U103" s="1888"/>
      <c r="V103" s="1888"/>
      <c r="W103" s="1888"/>
      <c r="X103" s="1888"/>
      <c r="Y103" s="1888"/>
      <c r="Z103" s="1888"/>
      <c r="AA103" s="1888"/>
      <c r="AB103" s="1888"/>
      <c r="AC103" s="1888"/>
      <c r="AD103" s="1889"/>
      <c r="AE103" s="244" t="s">
        <v>846</v>
      </c>
      <c r="AF103" s="244" t="s">
        <v>847</v>
      </c>
      <c r="AG103" s="244" t="s">
        <v>848</v>
      </c>
    </row>
    <row r="104" spans="1:33" ht="13.15" x14ac:dyDescent="0.35">
      <c r="A104" s="223"/>
      <c r="B104" s="224"/>
      <c r="C104" s="1882"/>
      <c r="D104" s="1884"/>
      <c r="E104" s="1886"/>
      <c r="F104" s="226" t="s">
        <v>849</v>
      </c>
      <c r="G104" s="226" t="s">
        <v>850</v>
      </c>
      <c r="H104" s="226" t="s">
        <v>851</v>
      </c>
      <c r="I104" s="226" t="s">
        <v>852</v>
      </c>
      <c r="J104" s="226" t="s">
        <v>853</v>
      </c>
      <c r="K104" s="226" t="s">
        <v>854</v>
      </c>
      <c r="L104" s="226" t="s">
        <v>855</v>
      </c>
      <c r="M104" s="226" t="s">
        <v>856</v>
      </c>
      <c r="N104" s="226" t="s">
        <v>857</v>
      </c>
      <c r="O104" s="226" t="s">
        <v>858</v>
      </c>
      <c r="P104" s="226" t="s">
        <v>859</v>
      </c>
      <c r="Q104" s="226" t="s">
        <v>860</v>
      </c>
      <c r="R104" s="226" t="s">
        <v>861</v>
      </c>
      <c r="S104" s="226" t="s">
        <v>862</v>
      </c>
      <c r="T104" s="226" t="s">
        <v>197</v>
      </c>
      <c r="U104" s="226" t="s">
        <v>198</v>
      </c>
      <c r="V104" s="226" t="s">
        <v>199</v>
      </c>
      <c r="W104" s="226" t="s">
        <v>112</v>
      </c>
      <c r="X104" s="226" t="s">
        <v>113</v>
      </c>
      <c r="Y104" s="226" t="s">
        <v>114</v>
      </c>
      <c r="Z104" s="226" t="s">
        <v>123</v>
      </c>
      <c r="AA104" s="226" t="s">
        <v>124</v>
      </c>
      <c r="AB104" s="226" t="s">
        <v>125</v>
      </c>
      <c r="AC104" s="226" t="s">
        <v>126</v>
      </c>
      <c r="AD104" s="226" t="s">
        <v>127</v>
      </c>
      <c r="AE104" s="244"/>
      <c r="AF104" s="244"/>
      <c r="AG104" s="244"/>
    </row>
    <row r="105" spans="1:33" x14ac:dyDescent="0.35">
      <c r="A105" s="227" t="s">
        <v>863</v>
      </c>
      <c r="B105" s="228">
        <v>2005</v>
      </c>
      <c r="C105" s="1863"/>
      <c r="D105" s="227"/>
      <c r="E105" s="186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7"/>
      <c r="AF105" s="247"/>
      <c r="AG105" s="247"/>
    </row>
    <row r="106" spans="1:33" x14ac:dyDescent="0.35">
      <c r="A106" s="227" t="s">
        <v>864</v>
      </c>
      <c r="B106" s="228" t="s">
        <v>849</v>
      </c>
      <c r="C106" s="1863"/>
      <c r="D106" s="227"/>
      <c r="E106" s="1865"/>
      <c r="F106" s="230"/>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7"/>
      <c r="AF106" s="247"/>
      <c r="AG106" s="247"/>
    </row>
    <row r="107" spans="1:33" x14ac:dyDescent="0.35">
      <c r="A107" s="227" t="s">
        <v>864</v>
      </c>
      <c r="B107" s="228" t="s">
        <v>850</v>
      </c>
      <c r="C107" s="1863"/>
      <c r="D107" s="227"/>
      <c r="E107" s="1865"/>
      <c r="F107" s="246"/>
      <c r="G107" s="230"/>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7"/>
      <c r="AF107" s="247"/>
      <c r="AG107" s="247"/>
    </row>
    <row r="108" spans="1:33" x14ac:dyDescent="0.35">
      <c r="A108" s="227" t="s">
        <v>864</v>
      </c>
      <c r="B108" s="228" t="s">
        <v>851</v>
      </c>
      <c r="C108" s="1863"/>
      <c r="D108" s="227"/>
      <c r="E108" s="1865"/>
      <c r="F108" s="246"/>
      <c r="G108" s="246"/>
      <c r="H108" s="230"/>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7"/>
      <c r="AF108" s="247"/>
      <c r="AG108" s="247"/>
    </row>
    <row r="109" spans="1:33" x14ac:dyDescent="0.35">
      <c r="A109" s="227" t="s">
        <v>864</v>
      </c>
      <c r="B109" s="228" t="s">
        <v>852</v>
      </c>
      <c r="C109" s="1863"/>
      <c r="D109" s="227"/>
      <c r="E109" s="1865"/>
      <c r="F109" s="246"/>
      <c r="G109" s="246"/>
      <c r="H109" s="246"/>
      <c r="I109" s="230"/>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7"/>
      <c r="AF109" s="247"/>
      <c r="AG109" s="247"/>
    </row>
    <row r="110" spans="1:33" x14ac:dyDescent="0.35">
      <c r="A110" s="227" t="s">
        <v>864</v>
      </c>
      <c r="B110" s="228" t="s">
        <v>853</v>
      </c>
      <c r="C110" s="1863"/>
      <c r="D110" s="227"/>
      <c r="E110" s="1865"/>
      <c r="F110" s="246"/>
      <c r="G110" s="246"/>
      <c r="H110" s="246"/>
      <c r="I110" s="246"/>
      <c r="J110" s="230"/>
      <c r="K110" s="245"/>
      <c r="L110" s="245"/>
      <c r="M110" s="245"/>
      <c r="N110" s="245"/>
      <c r="O110" s="245"/>
      <c r="P110" s="245"/>
      <c r="Q110" s="245"/>
      <c r="R110" s="245"/>
      <c r="S110" s="245"/>
      <c r="T110" s="245"/>
      <c r="U110" s="245"/>
      <c r="V110" s="245"/>
      <c r="W110" s="245"/>
      <c r="X110" s="245"/>
      <c r="Y110" s="245"/>
      <c r="Z110" s="245"/>
      <c r="AA110" s="245"/>
      <c r="AB110" s="245"/>
      <c r="AC110" s="245"/>
      <c r="AD110" s="245"/>
      <c r="AE110" s="247"/>
      <c r="AF110" s="247"/>
      <c r="AG110" s="247"/>
    </row>
    <row r="111" spans="1:33" x14ac:dyDescent="0.35">
      <c r="A111" s="227" t="s">
        <v>864</v>
      </c>
      <c r="B111" s="228" t="s">
        <v>854</v>
      </c>
      <c r="C111" s="1863"/>
      <c r="D111" s="227"/>
      <c r="E111" s="1865"/>
      <c r="F111" s="246"/>
      <c r="G111" s="246"/>
      <c r="H111" s="246"/>
      <c r="I111" s="246"/>
      <c r="J111" s="246"/>
      <c r="K111" s="230"/>
      <c r="L111" s="245"/>
      <c r="M111" s="245"/>
      <c r="N111" s="245"/>
      <c r="O111" s="245"/>
      <c r="P111" s="245"/>
      <c r="Q111" s="245"/>
      <c r="R111" s="245"/>
      <c r="S111" s="245"/>
      <c r="T111" s="245"/>
      <c r="U111" s="245"/>
      <c r="V111" s="245"/>
      <c r="W111" s="245"/>
      <c r="X111" s="245"/>
      <c r="Y111" s="245"/>
      <c r="Z111" s="245"/>
      <c r="AA111" s="245"/>
      <c r="AB111" s="245"/>
      <c r="AC111" s="245"/>
      <c r="AD111" s="245"/>
      <c r="AE111" s="247"/>
      <c r="AF111" s="247"/>
      <c r="AG111" s="247"/>
    </row>
    <row r="112" spans="1:33" x14ac:dyDescent="0.35">
      <c r="A112" s="227" t="s">
        <v>864</v>
      </c>
      <c r="B112" s="228" t="s">
        <v>855</v>
      </c>
      <c r="C112" s="1863"/>
      <c r="D112" s="227"/>
      <c r="E112" s="1865"/>
      <c r="F112" s="246"/>
      <c r="G112" s="246"/>
      <c r="H112" s="246"/>
      <c r="I112" s="246"/>
      <c r="J112" s="246"/>
      <c r="K112" s="246"/>
      <c r="L112" s="230"/>
      <c r="M112" s="245"/>
      <c r="N112" s="245"/>
      <c r="O112" s="245"/>
      <c r="P112" s="245"/>
      <c r="Q112" s="245"/>
      <c r="R112" s="245"/>
      <c r="S112" s="245"/>
      <c r="T112" s="245"/>
      <c r="U112" s="245"/>
      <c r="V112" s="245"/>
      <c r="W112" s="245"/>
      <c r="X112" s="245"/>
      <c r="Y112" s="245"/>
      <c r="Z112" s="245"/>
      <c r="AA112" s="245"/>
      <c r="AB112" s="245"/>
      <c r="AC112" s="245"/>
      <c r="AD112" s="245"/>
      <c r="AE112" s="247"/>
      <c r="AF112" s="247"/>
      <c r="AG112" s="247"/>
    </row>
    <row r="113" spans="1:33" x14ac:dyDescent="0.35">
      <c r="A113" s="227" t="s">
        <v>864</v>
      </c>
      <c r="B113" s="228" t="s">
        <v>856</v>
      </c>
      <c r="C113" s="1863"/>
      <c r="D113" s="227"/>
      <c r="E113" s="1865"/>
      <c r="F113" s="246"/>
      <c r="G113" s="246"/>
      <c r="H113" s="246"/>
      <c r="I113" s="246"/>
      <c r="J113" s="246"/>
      <c r="K113" s="246"/>
      <c r="L113" s="246"/>
      <c r="M113" s="230"/>
      <c r="N113" s="245"/>
      <c r="O113" s="245"/>
      <c r="P113" s="245"/>
      <c r="Q113" s="245"/>
      <c r="R113" s="245"/>
      <c r="S113" s="245"/>
      <c r="T113" s="245"/>
      <c r="U113" s="245"/>
      <c r="V113" s="245"/>
      <c r="W113" s="245"/>
      <c r="X113" s="245"/>
      <c r="Y113" s="245"/>
      <c r="Z113" s="245"/>
      <c r="AA113" s="245"/>
      <c r="AB113" s="245"/>
      <c r="AC113" s="245"/>
      <c r="AD113" s="245"/>
      <c r="AE113" s="247"/>
      <c r="AF113" s="247"/>
      <c r="AG113" s="247"/>
    </row>
    <row r="114" spans="1:33" x14ac:dyDescent="0.35">
      <c r="A114" s="227" t="s">
        <v>864</v>
      </c>
      <c r="B114" s="228" t="s">
        <v>857</v>
      </c>
      <c r="C114" s="1863"/>
      <c r="D114" s="227"/>
      <c r="E114" s="1865"/>
      <c r="F114" s="246"/>
      <c r="G114" s="246"/>
      <c r="H114" s="246"/>
      <c r="I114" s="246"/>
      <c r="J114" s="246"/>
      <c r="K114" s="246"/>
      <c r="L114" s="246"/>
      <c r="M114" s="246"/>
      <c r="N114" s="230"/>
      <c r="O114" s="245"/>
      <c r="P114" s="245"/>
      <c r="Q114" s="245"/>
      <c r="R114" s="245"/>
      <c r="S114" s="245"/>
      <c r="T114" s="245"/>
      <c r="U114" s="245"/>
      <c r="V114" s="245"/>
      <c r="W114" s="245"/>
      <c r="X114" s="245"/>
      <c r="Y114" s="245"/>
      <c r="Z114" s="245"/>
      <c r="AA114" s="245"/>
      <c r="AB114" s="245"/>
      <c r="AC114" s="245"/>
      <c r="AD114" s="245"/>
      <c r="AE114" s="247"/>
      <c r="AF114" s="247"/>
      <c r="AG114" s="247"/>
    </row>
    <row r="115" spans="1:33" x14ac:dyDescent="0.35">
      <c r="A115" s="227" t="s">
        <v>864</v>
      </c>
      <c r="B115" s="228" t="s">
        <v>858</v>
      </c>
      <c r="C115" s="1863"/>
      <c r="D115" s="227"/>
      <c r="E115" s="1865"/>
      <c r="F115" s="246"/>
      <c r="G115" s="246"/>
      <c r="H115" s="246"/>
      <c r="I115" s="246"/>
      <c r="J115" s="246"/>
      <c r="K115" s="246"/>
      <c r="L115" s="246"/>
      <c r="M115" s="246"/>
      <c r="N115" s="246"/>
      <c r="O115" s="230"/>
      <c r="P115" s="245"/>
      <c r="Q115" s="245"/>
      <c r="R115" s="245"/>
      <c r="S115" s="245"/>
      <c r="T115" s="245"/>
      <c r="U115" s="245"/>
      <c r="V115" s="245"/>
      <c r="W115" s="245"/>
      <c r="X115" s="245"/>
      <c r="Y115" s="245"/>
      <c r="Z115" s="245"/>
      <c r="AA115" s="245"/>
      <c r="AB115" s="245"/>
      <c r="AC115" s="245"/>
      <c r="AD115" s="245"/>
      <c r="AE115" s="247"/>
      <c r="AF115" s="247"/>
      <c r="AG115" s="247"/>
    </row>
    <row r="116" spans="1:33" x14ac:dyDescent="0.35">
      <c r="A116" s="227" t="s">
        <v>864</v>
      </c>
      <c r="B116" s="228" t="s">
        <v>859</v>
      </c>
      <c r="C116" s="1863"/>
      <c r="D116" s="227"/>
      <c r="E116" s="1865"/>
      <c r="F116" s="246"/>
      <c r="G116" s="246"/>
      <c r="H116" s="246"/>
      <c r="I116" s="246"/>
      <c r="J116" s="246"/>
      <c r="K116" s="246"/>
      <c r="L116" s="246"/>
      <c r="M116" s="246"/>
      <c r="N116" s="246"/>
      <c r="O116" s="246"/>
      <c r="P116" s="230"/>
      <c r="Q116" s="245"/>
      <c r="R116" s="245"/>
      <c r="S116" s="245"/>
      <c r="T116" s="245"/>
      <c r="U116" s="245"/>
      <c r="V116" s="245"/>
      <c r="W116" s="245"/>
      <c r="X116" s="245"/>
      <c r="Y116" s="245"/>
      <c r="Z116" s="245"/>
      <c r="AA116" s="245"/>
      <c r="AB116" s="245"/>
      <c r="AC116" s="245"/>
      <c r="AD116" s="245"/>
      <c r="AE116" s="247"/>
      <c r="AF116" s="247"/>
      <c r="AG116" s="247"/>
    </row>
    <row r="117" spans="1:33" x14ac:dyDescent="0.35">
      <c r="A117" s="227" t="s">
        <v>864</v>
      </c>
      <c r="B117" s="228" t="s">
        <v>860</v>
      </c>
      <c r="C117" s="1863"/>
      <c r="D117" s="229"/>
      <c r="E117" s="1865"/>
      <c r="F117" s="246"/>
      <c r="G117" s="246"/>
      <c r="H117" s="246"/>
      <c r="I117" s="246"/>
      <c r="J117" s="246"/>
      <c r="K117" s="246"/>
      <c r="L117" s="246"/>
      <c r="M117" s="246"/>
      <c r="N117" s="246"/>
      <c r="O117" s="246"/>
      <c r="P117" s="246"/>
      <c r="Q117" s="230"/>
      <c r="R117" s="245"/>
      <c r="S117" s="245"/>
      <c r="T117" s="245"/>
      <c r="U117" s="245"/>
      <c r="V117" s="245"/>
      <c r="W117" s="245"/>
      <c r="X117" s="245"/>
      <c r="Y117" s="245"/>
      <c r="Z117" s="245"/>
      <c r="AA117" s="245"/>
      <c r="AB117" s="245"/>
      <c r="AC117" s="245"/>
      <c r="AD117" s="245"/>
      <c r="AE117" s="247"/>
      <c r="AF117" s="247"/>
      <c r="AG117" s="247"/>
    </row>
    <row r="118" spans="1:33" x14ac:dyDescent="0.35">
      <c r="A118" s="227" t="s">
        <v>864</v>
      </c>
      <c r="B118" s="228" t="s">
        <v>861</v>
      </c>
      <c r="C118" s="1863"/>
      <c r="D118" s="229"/>
      <c r="E118" s="1865"/>
      <c r="F118" s="246"/>
      <c r="G118" s="246"/>
      <c r="H118" s="246"/>
      <c r="I118" s="246"/>
      <c r="J118" s="246"/>
      <c r="K118" s="246"/>
      <c r="L118" s="246"/>
      <c r="M118" s="246"/>
      <c r="N118" s="246"/>
      <c r="O118" s="246"/>
      <c r="P118" s="246"/>
      <c r="Q118" s="246"/>
      <c r="R118" s="230"/>
      <c r="S118" s="245"/>
      <c r="T118" s="245"/>
      <c r="U118" s="245"/>
      <c r="V118" s="245"/>
      <c r="W118" s="245"/>
      <c r="X118" s="245"/>
      <c r="Y118" s="245"/>
      <c r="Z118" s="245"/>
      <c r="AA118" s="245"/>
      <c r="AB118" s="245"/>
      <c r="AC118" s="245"/>
      <c r="AD118" s="245"/>
      <c r="AE118" s="247"/>
      <c r="AF118" s="247"/>
      <c r="AG118" s="247"/>
    </row>
    <row r="119" spans="1:33" x14ac:dyDescent="0.35">
      <c r="A119" s="227" t="s">
        <v>864</v>
      </c>
      <c r="B119" s="228" t="s">
        <v>862</v>
      </c>
      <c r="C119" s="1863">
        <f>+'F5'!E19</f>
        <v>0.48908190000000001</v>
      </c>
      <c r="D119" s="229"/>
      <c r="E119" s="1865">
        <f>+Assum!$F$112</f>
        <v>5.28E-2</v>
      </c>
      <c r="F119" s="246"/>
      <c r="G119" s="246"/>
      <c r="H119" s="246"/>
      <c r="I119" s="246"/>
      <c r="J119" s="246"/>
      <c r="K119" s="246"/>
      <c r="L119" s="246"/>
      <c r="M119" s="246"/>
      <c r="N119" s="246"/>
      <c r="O119" s="246"/>
      <c r="P119" s="246"/>
      <c r="Q119" s="246"/>
      <c r="R119" s="246"/>
      <c r="S119" s="1869">
        <f>+'F5'!E63</f>
        <v>4.4155000000000002E-3</v>
      </c>
      <c r="T119" s="1870">
        <f>+$C119*$E119</f>
        <v>2.5823524319999999E-2</v>
      </c>
      <c r="U119" s="1870">
        <f t="shared" ref="U119:AD129" si="25">+$C119*$E119</f>
        <v>2.5823524319999999E-2</v>
      </c>
      <c r="V119" s="1870">
        <f t="shared" si="25"/>
        <v>2.5823524319999999E-2</v>
      </c>
      <c r="W119" s="1870">
        <f t="shared" si="25"/>
        <v>2.5823524319999999E-2</v>
      </c>
      <c r="X119" s="1870">
        <f t="shared" si="25"/>
        <v>2.5823524319999999E-2</v>
      </c>
      <c r="Y119" s="1870">
        <f t="shared" si="25"/>
        <v>2.5823524319999999E-2</v>
      </c>
      <c r="Z119" s="1870">
        <f t="shared" si="25"/>
        <v>2.5823524319999999E-2</v>
      </c>
      <c r="AA119" s="1870">
        <f t="shared" si="25"/>
        <v>2.5823524319999999E-2</v>
      </c>
      <c r="AB119" s="1870">
        <f t="shared" si="25"/>
        <v>2.5823524319999999E-2</v>
      </c>
      <c r="AC119" s="1870">
        <f t="shared" si="25"/>
        <v>2.5823524319999999E-2</v>
      </c>
      <c r="AD119" s="1870">
        <f t="shared" si="25"/>
        <v>2.5823524319999999E-2</v>
      </c>
      <c r="AE119" s="1863">
        <f>SUM(S119:AD119)</f>
        <v>0.28847426752000005</v>
      </c>
      <c r="AF119" s="1865">
        <f>+AE119/C119</f>
        <v>0.58982814027671038</v>
      </c>
      <c r="AG119" s="1863">
        <f>+C119*90%-AE119</f>
        <v>0.15169944247999995</v>
      </c>
    </row>
    <row r="120" spans="1:33" x14ac:dyDescent="0.35">
      <c r="A120" s="227" t="s">
        <v>864</v>
      </c>
      <c r="B120" s="228" t="s">
        <v>865</v>
      </c>
      <c r="C120" s="1863">
        <f>+'F5'!J19</f>
        <v>1.2686292989234327</v>
      </c>
      <c r="D120" s="229"/>
      <c r="E120" s="1865">
        <f>+Assum!$F$112</f>
        <v>5.28E-2</v>
      </c>
      <c r="F120" s="246"/>
      <c r="G120" s="246"/>
      <c r="H120" s="246"/>
      <c r="I120" s="246"/>
      <c r="J120" s="246"/>
      <c r="K120" s="246"/>
      <c r="L120" s="246"/>
      <c r="M120" s="246"/>
      <c r="N120" s="246"/>
      <c r="O120" s="246"/>
      <c r="P120" s="246"/>
      <c r="Q120" s="246"/>
      <c r="R120" s="246"/>
      <c r="S120" s="246"/>
      <c r="T120" s="1869">
        <f>+$C120*$E120/3</f>
        <v>2.2327875661052415E-2</v>
      </c>
      <c r="U120" s="1870">
        <f t="shared" si="25"/>
        <v>6.6983626983157241E-2</v>
      </c>
      <c r="V120" s="1870">
        <f t="shared" si="25"/>
        <v>6.6983626983157241E-2</v>
      </c>
      <c r="W120" s="1870">
        <f t="shared" si="25"/>
        <v>6.6983626983157241E-2</v>
      </c>
      <c r="X120" s="1870">
        <f t="shared" si="25"/>
        <v>6.6983626983157241E-2</v>
      </c>
      <c r="Y120" s="1870">
        <f t="shared" si="25"/>
        <v>6.6983626983157241E-2</v>
      </c>
      <c r="Z120" s="1870">
        <f t="shared" si="25"/>
        <v>6.6983626983157241E-2</v>
      </c>
      <c r="AA120" s="1870">
        <f t="shared" si="25"/>
        <v>6.6983626983157241E-2</v>
      </c>
      <c r="AB120" s="1870">
        <f t="shared" si="25"/>
        <v>6.6983626983157241E-2</v>
      </c>
      <c r="AC120" s="1870">
        <f t="shared" si="25"/>
        <v>6.6983626983157241E-2</v>
      </c>
      <c r="AD120" s="1870">
        <f t="shared" si="25"/>
        <v>6.6983626983157241E-2</v>
      </c>
      <c r="AE120" s="1863">
        <f t="shared" ref="AE120:AE130" si="26">SUM(S120:AD120)</f>
        <v>0.69216414549262484</v>
      </c>
      <c r="AF120" s="1865">
        <f t="shared" ref="AF120:AF122" si="27">+AE120/C120</f>
        <v>0.54559999999999997</v>
      </c>
      <c r="AG120" s="1863">
        <f t="shared" ref="AG120:AG122" si="28">+C120*90%-AE120</f>
        <v>0.44960222353846468</v>
      </c>
    </row>
    <row r="121" spans="1:33" x14ac:dyDescent="0.35">
      <c r="A121" s="227" t="s">
        <v>864</v>
      </c>
      <c r="B121" s="228" t="s">
        <v>866</v>
      </c>
      <c r="C121" s="1863"/>
      <c r="D121" s="229"/>
      <c r="E121" s="1865"/>
      <c r="F121" s="246"/>
      <c r="G121" s="246"/>
      <c r="H121" s="246"/>
      <c r="I121" s="246"/>
      <c r="J121" s="246"/>
      <c r="K121" s="246"/>
      <c r="L121" s="246"/>
      <c r="M121" s="246"/>
      <c r="N121" s="246"/>
      <c r="O121" s="246"/>
      <c r="P121" s="246"/>
      <c r="Q121" s="246"/>
      <c r="R121" s="246"/>
      <c r="S121" s="246"/>
      <c r="T121" s="246"/>
      <c r="U121" s="1869">
        <f>+$C121*$E121/2</f>
        <v>0</v>
      </c>
      <c r="V121" s="1870">
        <f t="shared" si="25"/>
        <v>0</v>
      </c>
      <c r="W121" s="1870">
        <f t="shared" si="25"/>
        <v>0</v>
      </c>
      <c r="X121" s="1870">
        <f t="shared" si="25"/>
        <v>0</v>
      </c>
      <c r="Y121" s="1870">
        <f t="shared" si="25"/>
        <v>0</v>
      </c>
      <c r="Z121" s="1870">
        <f t="shared" si="25"/>
        <v>0</v>
      </c>
      <c r="AA121" s="1870">
        <f t="shared" si="25"/>
        <v>0</v>
      </c>
      <c r="AB121" s="1870">
        <f t="shared" si="25"/>
        <v>0</v>
      </c>
      <c r="AC121" s="1870">
        <f t="shared" si="25"/>
        <v>0</v>
      </c>
      <c r="AD121" s="1870">
        <f t="shared" si="25"/>
        <v>0</v>
      </c>
      <c r="AE121" s="1863">
        <f t="shared" si="26"/>
        <v>0</v>
      </c>
      <c r="AF121" s="1865"/>
      <c r="AG121" s="1863">
        <f t="shared" si="28"/>
        <v>0</v>
      </c>
    </row>
    <row r="122" spans="1:33" x14ac:dyDescent="0.35">
      <c r="A122" s="227" t="s">
        <v>864</v>
      </c>
      <c r="B122" s="228" t="s">
        <v>867</v>
      </c>
      <c r="C122" s="1863">
        <f>+'F5'!T19</f>
        <v>0.291515523</v>
      </c>
      <c r="D122" s="229"/>
      <c r="E122" s="1865">
        <f>+Assum!$F$112</f>
        <v>5.28E-2</v>
      </c>
      <c r="F122" s="246"/>
      <c r="G122" s="246"/>
      <c r="H122" s="246"/>
      <c r="I122" s="246"/>
      <c r="J122" s="246"/>
      <c r="K122" s="246"/>
      <c r="L122" s="246"/>
      <c r="M122" s="246"/>
      <c r="N122" s="246"/>
      <c r="O122" s="246"/>
      <c r="P122" s="246"/>
      <c r="Q122" s="246"/>
      <c r="R122" s="246"/>
      <c r="S122" s="246"/>
      <c r="T122" s="246"/>
      <c r="U122" s="246"/>
      <c r="V122" s="1869">
        <f>+$C122*$E122/4</f>
        <v>3.8480049035999999E-3</v>
      </c>
      <c r="W122" s="1870">
        <f t="shared" si="25"/>
        <v>1.5392019614399999E-2</v>
      </c>
      <c r="X122" s="1870">
        <f t="shared" si="25"/>
        <v>1.5392019614399999E-2</v>
      </c>
      <c r="Y122" s="1870">
        <f t="shared" si="25"/>
        <v>1.5392019614399999E-2</v>
      </c>
      <c r="Z122" s="1870">
        <f t="shared" si="25"/>
        <v>1.5392019614399999E-2</v>
      </c>
      <c r="AA122" s="1870">
        <f t="shared" si="25"/>
        <v>1.5392019614399999E-2</v>
      </c>
      <c r="AB122" s="1870">
        <f t="shared" si="25"/>
        <v>1.5392019614399999E-2</v>
      </c>
      <c r="AC122" s="1870">
        <f t="shared" si="25"/>
        <v>1.5392019614399999E-2</v>
      </c>
      <c r="AD122" s="1870">
        <f t="shared" si="25"/>
        <v>1.5392019614399999E-2</v>
      </c>
      <c r="AE122" s="1863">
        <f t="shared" si="26"/>
        <v>0.12698416181879998</v>
      </c>
      <c r="AF122" s="1865">
        <f t="shared" si="27"/>
        <v>0.43559999999999993</v>
      </c>
      <c r="AG122" s="1863">
        <f t="shared" si="28"/>
        <v>0.13537980888120002</v>
      </c>
    </row>
    <row r="123" spans="1:33" x14ac:dyDescent="0.35">
      <c r="A123" s="227" t="s">
        <v>864</v>
      </c>
      <c r="B123" s="228" t="s">
        <v>868</v>
      </c>
      <c r="C123" s="1863">
        <f>+'F5'!E33</f>
        <v>1.196946608</v>
      </c>
      <c r="D123" s="229"/>
      <c r="E123" s="1865">
        <f>+Assum!$F$112</f>
        <v>5.28E-2</v>
      </c>
      <c r="F123" s="246"/>
      <c r="G123" s="246"/>
      <c r="H123" s="246"/>
      <c r="I123" s="246"/>
      <c r="J123" s="246"/>
      <c r="K123" s="246"/>
      <c r="L123" s="246"/>
      <c r="M123" s="246"/>
      <c r="N123" s="246"/>
      <c r="O123" s="246"/>
      <c r="P123" s="246"/>
      <c r="Q123" s="246"/>
      <c r="R123" s="246"/>
      <c r="S123" s="246"/>
      <c r="T123" s="246"/>
      <c r="U123" s="246"/>
      <c r="V123" s="246"/>
      <c r="W123" s="1869">
        <f>+$C123*$E123/4</f>
        <v>1.57996952256E-2</v>
      </c>
      <c r="X123" s="1870">
        <f t="shared" si="25"/>
        <v>6.3198780902399998E-2</v>
      </c>
      <c r="Y123" s="1870">
        <f t="shared" si="25"/>
        <v>6.3198780902399998E-2</v>
      </c>
      <c r="Z123" s="1870">
        <f t="shared" si="25"/>
        <v>6.3198780902399998E-2</v>
      </c>
      <c r="AA123" s="1870">
        <f t="shared" si="25"/>
        <v>6.3198780902399998E-2</v>
      </c>
      <c r="AB123" s="1870">
        <f t="shared" si="25"/>
        <v>6.3198780902399998E-2</v>
      </c>
      <c r="AC123" s="1870">
        <f t="shared" si="25"/>
        <v>6.3198780902399998E-2</v>
      </c>
      <c r="AD123" s="1870">
        <f t="shared" si="25"/>
        <v>6.3198780902399998E-2</v>
      </c>
      <c r="AE123" s="1863">
        <f t="shared" si="26"/>
        <v>0.45819116154239997</v>
      </c>
      <c r="AF123" s="1865"/>
      <c r="AG123" s="1863"/>
    </row>
    <row r="124" spans="1:33" x14ac:dyDescent="0.35">
      <c r="A124" s="227" t="s">
        <v>864</v>
      </c>
      <c r="B124" s="228" t="s">
        <v>869</v>
      </c>
      <c r="C124" s="1863">
        <f>+'F5'!J33</f>
        <v>1.0655415E-2</v>
      </c>
      <c r="D124" s="229"/>
      <c r="E124" s="1865">
        <f>+Assum!$F$112</f>
        <v>5.28E-2</v>
      </c>
      <c r="F124" s="246"/>
      <c r="G124" s="246"/>
      <c r="H124" s="246"/>
      <c r="I124" s="246"/>
      <c r="J124" s="246"/>
      <c r="K124" s="246"/>
      <c r="L124" s="246"/>
      <c r="M124" s="246"/>
      <c r="N124" s="246"/>
      <c r="O124" s="246"/>
      <c r="P124" s="246"/>
      <c r="Q124" s="246"/>
      <c r="R124" s="246"/>
      <c r="S124" s="246"/>
      <c r="T124" s="246"/>
      <c r="U124" s="246"/>
      <c r="V124" s="246"/>
      <c r="W124" s="246"/>
      <c r="X124" s="1869">
        <f>+$C124*$E124/4</f>
        <v>1.4065147800000001E-4</v>
      </c>
      <c r="Y124" s="1870">
        <f t="shared" si="25"/>
        <v>5.6260591200000003E-4</v>
      </c>
      <c r="Z124" s="1870">
        <f t="shared" si="25"/>
        <v>5.6260591200000003E-4</v>
      </c>
      <c r="AA124" s="1870">
        <f t="shared" si="25"/>
        <v>5.6260591200000003E-4</v>
      </c>
      <c r="AB124" s="1870">
        <f t="shared" si="25"/>
        <v>5.6260591200000003E-4</v>
      </c>
      <c r="AC124" s="1870">
        <f t="shared" si="25"/>
        <v>5.6260591200000003E-4</v>
      </c>
      <c r="AD124" s="1870">
        <f t="shared" si="25"/>
        <v>5.6260591200000003E-4</v>
      </c>
      <c r="AE124" s="1863">
        <f t="shared" si="26"/>
        <v>3.5162869500000005E-3</v>
      </c>
      <c r="AF124" s="1865">
        <f t="shared" ref="AF124" si="29">+AE124/C124</f>
        <v>0.33000000000000007</v>
      </c>
      <c r="AG124" s="1863">
        <f t="shared" ref="AG124" si="30">+C124*90%-AE124</f>
        <v>6.0735865499999993E-3</v>
      </c>
    </row>
    <row r="125" spans="1:33" x14ac:dyDescent="0.35">
      <c r="A125" s="227" t="s">
        <v>864</v>
      </c>
      <c r="B125" s="228" t="s">
        <v>870</v>
      </c>
      <c r="C125" s="1863"/>
      <c r="D125" s="229"/>
      <c r="E125" s="1868"/>
      <c r="F125" s="246"/>
      <c r="G125" s="246"/>
      <c r="H125" s="246"/>
      <c r="I125" s="246"/>
      <c r="J125" s="246"/>
      <c r="K125" s="246"/>
      <c r="L125" s="246"/>
      <c r="M125" s="246"/>
      <c r="N125" s="246"/>
      <c r="O125" s="246"/>
      <c r="P125" s="246"/>
      <c r="Q125" s="246"/>
      <c r="R125" s="246"/>
      <c r="S125" s="246"/>
      <c r="T125" s="246"/>
      <c r="U125" s="246"/>
      <c r="V125" s="246"/>
      <c r="W125" s="246"/>
      <c r="X125" s="246"/>
      <c r="Y125" s="1869">
        <f>+$C125*$E125/2</f>
        <v>0</v>
      </c>
      <c r="Z125" s="1870">
        <f t="shared" si="25"/>
        <v>0</v>
      </c>
      <c r="AA125" s="1870">
        <f t="shared" si="25"/>
        <v>0</v>
      </c>
      <c r="AB125" s="1870">
        <f t="shared" si="25"/>
        <v>0</v>
      </c>
      <c r="AC125" s="1870">
        <f t="shared" si="25"/>
        <v>0</v>
      </c>
      <c r="AD125" s="1870">
        <f t="shared" si="25"/>
        <v>0</v>
      </c>
      <c r="AE125" s="1863">
        <f t="shared" si="26"/>
        <v>0</v>
      </c>
      <c r="AF125" s="1865"/>
      <c r="AG125" s="1863"/>
    </row>
    <row r="126" spans="1:33" x14ac:dyDescent="0.35">
      <c r="A126" s="227" t="s">
        <v>864</v>
      </c>
      <c r="B126" s="228" t="s">
        <v>871</v>
      </c>
      <c r="C126" s="1863">
        <f>+'F5'!T33</f>
        <v>0.10798000000000001</v>
      </c>
      <c r="D126" s="229"/>
      <c r="E126" s="1868">
        <f>+Assum!$H$112</f>
        <v>4.2200000000000001E-2</v>
      </c>
      <c r="F126" s="246"/>
      <c r="G126" s="246"/>
      <c r="H126" s="246"/>
      <c r="I126" s="246"/>
      <c r="J126" s="246"/>
      <c r="K126" s="246"/>
      <c r="L126" s="246"/>
      <c r="M126" s="246"/>
      <c r="N126" s="246"/>
      <c r="O126" s="246"/>
      <c r="P126" s="246"/>
      <c r="Q126" s="246"/>
      <c r="R126" s="246"/>
      <c r="S126" s="246"/>
      <c r="T126" s="246"/>
      <c r="U126" s="246"/>
      <c r="V126" s="246"/>
      <c r="W126" s="246"/>
      <c r="X126" s="246"/>
      <c r="Y126" s="246"/>
      <c r="Z126" s="1869">
        <f>+$C126*$E126/2</f>
        <v>2.2783780000000002E-3</v>
      </c>
      <c r="AA126" s="1870">
        <f t="shared" si="25"/>
        <v>4.5567560000000003E-3</v>
      </c>
      <c r="AB126" s="1870">
        <f t="shared" si="25"/>
        <v>4.5567560000000003E-3</v>
      </c>
      <c r="AC126" s="1870">
        <f t="shared" si="25"/>
        <v>4.5567560000000003E-3</v>
      </c>
      <c r="AD126" s="1870">
        <f t="shared" si="25"/>
        <v>4.5567560000000003E-3</v>
      </c>
      <c r="AE126" s="1863">
        <f t="shared" si="26"/>
        <v>2.0505402000000006E-2</v>
      </c>
      <c r="AF126" s="1865">
        <f t="shared" ref="AF126:AF129" si="31">+AE126/C126</f>
        <v>0.18990000000000004</v>
      </c>
      <c r="AG126" s="1863">
        <f t="shared" ref="AG126:AG129" si="32">+C126*90%-AE126</f>
        <v>7.6676597999999999E-2</v>
      </c>
    </row>
    <row r="127" spans="1:33" x14ac:dyDescent="0.35">
      <c r="A127" s="227" t="s">
        <v>864</v>
      </c>
      <c r="B127" s="228" t="s">
        <v>872</v>
      </c>
      <c r="C127" s="1863">
        <f>+'F5'!E47</f>
        <v>0.21942249999999999</v>
      </c>
      <c r="D127" s="229"/>
      <c r="E127" s="1868">
        <f>+Assum!$H$112</f>
        <v>4.2200000000000001E-2</v>
      </c>
      <c r="F127" s="246"/>
      <c r="G127" s="246"/>
      <c r="H127" s="246"/>
      <c r="I127" s="246"/>
      <c r="J127" s="246"/>
      <c r="K127" s="246"/>
      <c r="L127" s="246"/>
      <c r="M127" s="246"/>
      <c r="N127" s="246"/>
      <c r="O127" s="246"/>
      <c r="P127" s="246"/>
      <c r="Q127" s="246"/>
      <c r="R127" s="246"/>
      <c r="S127" s="246"/>
      <c r="T127" s="246"/>
      <c r="U127" s="246"/>
      <c r="V127" s="246"/>
      <c r="W127" s="246"/>
      <c r="X127" s="246"/>
      <c r="Y127" s="246"/>
      <c r="Z127" s="246"/>
      <c r="AA127" s="1874">
        <f>+$C127*$E127/4</f>
        <v>2.314907375E-3</v>
      </c>
      <c r="AB127" s="1870">
        <f t="shared" si="25"/>
        <v>9.2596294999999999E-3</v>
      </c>
      <c r="AC127" s="1870">
        <f t="shared" si="25"/>
        <v>9.2596294999999999E-3</v>
      </c>
      <c r="AD127" s="1870">
        <f t="shared" si="25"/>
        <v>9.2596294999999999E-3</v>
      </c>
      <c r="AE127" s="1863">
        <f t="shared" si="26"/>
        <v>3.0093795874999996E-2</v>
      </c>
      <c r="AF127" s="1865">
        <f t="shared" si="31"/>
        <v>0.13714999999999999</v>
      </c>
      <c r="AG127" s="1863">
        <f t="shared" si="32"/>
        <v>0.167386454125</v>
      </c>
    </row>
    <row r="128" spans="1:33" x14ac:dyDescent="0.35">
      <c r="A128" s="227" t="s">
        <v>864</v>
      </c>
      <c r="B128" s="228" t="s">
        <v>873</v>
      </c>
      <c r="C128" s="1863">
        <f>+'F5'!J47</f>
        <v>0.2948769</v>
      </c>
      <c r="D128" s="229"/>
      <c r="E128" s="1868">
        <f>+Assum!$H$112</f>
        <v>4.2200000000000001E-2</v>
      </c>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1869">
        <f>+$C128*$E128/4</f>
        <v>3.1109512949999999E-3</v>
      </c>
      <c r="AC128" s="1870">
        <f t="shared" si="25"/>
        <v>1.244380518E-2</v>
      </c>
      <c r="AD128" s="1870">
        <f t="shared" si="25"/>
        <v>1.244380518E-2</v>
      </c>
      <c r="AE128" s="1863">
        <f t="shared" si="26"/>
        <v>2.7998561655E-2</v>
      </c>
      <c r="AF128" s="1865">
        <f t="shared" si="31"/>
        <v>9.4950000000000007E-2</v>
      </c>
      <c r="AG128" s="1863">
        <f t="shared" si="32"/>
        <v>0.23739064834499998</v>
      </c>
    </row>
    <row r="129" spans="1:33" x14ac:dyDescent="0.35">
      <c r="A129" s="227" t="s">
        <v>864</v>
      </c>
      <c r="B129" s="228" t="s">
        <v>874</v>
      </c>
      <c r="C129" s="1863">
        <f>+'F5'!O47</f>
        <v>0.43267509999999998</v>
      </c>
      <c r="D129" s="229"/>
      <c r="E129" s="1868">
        <f>+Assum!$H$112</f>
        <v>4.2200000000000001E-2</v>
      </c>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1869">
        <f>+$C129*$E129/4</f>
        <v>4.5647223050000003E-3</v>
      </c>
      <c r="AD129" s="1870">
        <f t="shared" si="25"/>
        <v>1.8258889220000001E-2</v>
      </c>
      <c r="AE129" s="1863">
        <f t="shared" si="26"/>
        <v>2.2823611525000002E-2</v>
      </c>
      <c r="AF129" s="1865">
        <f t="shared" si="31"/>
        <v>5.2750000000000005E-2</v>
      </c>
      <c r="AG129" s="1863">
        <f t="shared" si="32"/>
        <v>0.36658397847499996</v>
      </c>
    </row>
    <row r="130" spans="1:33" x14ac:dyDescent="0.35">
      <c r="A130" s="227" t="s">
        <v>864</v>
      </c>
      <c r="B130" s="228" t="s">
        <v>875</v>
      </c>
      <c r="C130" s="1863">
        <f>+'F5'!T47</f>
        <v>0.45153019999999999</v>
      </c>
      <c r="D130" s="229"/>
      <c r="E130" s="1868">
        <f>+Assum!$H$112</f>
        <v>4.2200000000000001E-2</v>
      </c>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1869">
        <f>+$C130*$E130/2</f>
        <v>9.5272872199999997E-3</v>
      </c>
      <c r="AE130" s="1863">
        <f t="shared" si="26"/>
        <v>9.5272872199999997E-3</v>
      </c>
      <c r="AF130" s="1865">
        <f t="shared" ref="AF130" si="33">+AE130/C130</f>
        <v>2.1100000000000001E-2</v>
      </c>
      <c r="AG130" s="1863">
        <f t="shared" ref="AG130" si="34">+C130*90%-AE130</f>
        <v>0.39684989277999999</v>
      </c>
    </row>
    <row r="131" spans="1:33" ht="13.15" x14ac:dyDescent="0.4">
      <c r="A131" s="231"/>
      <c r="B131" s="232" t="s">
        <v>164</v>
      </c>
      <c r="C131" s="1864">
        <f>SUM(C105:C130)</f>
        <v>4.7633134449234316</v>
      </c>
      <c r="D131" s="233"/>
      <c r="E131" s="1867"/>
      <c r="F131" s="233"/>
      <c r="G131" s="233"/>
      <c r="H131" s="233"/>
      <c r="I131" s="233"/>
      <c r="J131" s="233"/>
      <c r="K131" s="233"/>
      <c r="L131" s="233"/>
      <c r="M131" s="233"/>
      <c r="N131" s="233"/>
      <c r="O131" s="233"/>
      <c r="P131" s="233"/>
      <c r="Q131" s="233"/>
      <c r="R131" s="233"/>
      <c r="S131" s="1864">
        <f>SUM(S119:S130)</f>
        <v>4.4155000000000002E-3</v>
      </c>
      <c r="T131" s="1864">
        <f t="shared" ref="T131" si="35">SUM(T119:T130)</f>
        <v>4.8151399981052417E-2</v>
      </c>
      <c r="U131" s="1864">
        <f t="shared" ref="U131" si="36">SUM(U119:U130)</f>
        <v>9.280715130315724E-2</v>
      </c>
      <c r="V131" s="1864">
        <f t="shared" ref="V131" si="37">SUM(V119:V130)</f>
        <v>9.6655156206757242E-2</v>
      </c>
      <c r="W131" s="1864">
        <f t="shared" ref="W131" si="38">SUM(W119:W130)</f>
        <v>0.12399886614315724</v>
      </c>
      <c r="X131" s="1864">
        <f t="shared" ref="X131" si="39">SUM(X119:X130)</f>
        <v>0.17153860329795723</v>
      </c>
      <c r="Y131" s="1864">
        <f t="shared" ref="Y131" si="40">SUM(Y119:Y130)</f>
        <v>0.17196055773195723</v>
      </c>
      <c r="Z131" s="1864">
        <f t="shared" ref="Z131" si="41">SUM(Z119:Z130)</f>
        <v>0.17423893573195723</v>
      </c>
      <c r="AA131" s="1864">
        <f t="shared" ref="AA131" si="42">SUM(AA119:AA130)</f>
        <v>0.17883222110695723</v>
      </c>
      <c r="AB131" s="1864">
        <f t="shared" ref="AB131" si="43">SUM(AB119:AB130)</f>
        <v>0.18888789452695723</v>
      </c>
      <c r="AC131" s="1864">
        <f t="shared" ref="AC131" si="44">SUM(AC119:AC130)</f>
        <v>0.20278547071695721</v>
      </c>
      <c r="AD131" s="1864">
        <f t="shared" ref="AD131" si="45">SUM(AD119:AD130)</f>
        <v>0.22600692485195722</v>
      </c>
      <c r="AE131" s="1864">
        <f t="shared" ref="AE131" si="46">SUM(AE119:AE130)</f>
        <v>1.6802786815988249</v>
      </c>
      <c r="AF131" s="1867">
        <f t="shared" ref="AF131" si="47">+AE131/C131</f>
        <v>0.35275417018579902</v>
      </c>
      <c r="AG131" s="1864">
        <f t="shared" ref="AG131" si="48">SUM(AG119:AG130)</f>
        <v>1.9876426331746646</v>
      </c>
    </row>
    <row r="134" spans="1:33" x14ac:dyDescent="0.35">
      <c r="F134" s="234"/>
    </row>
    <row r="135" spans="1:33" ht="13.15" x14ac:dyDescent="0.4">
      <c r="B135" s="222" t="s">
        <v>447</v>
      </c>
      <c r="F135" s="243" t="s">
        <v>110</v>
      </c>
    </row>
    <row r="136" spans="1:33" ht="26.25" x14ac:dyDescent="0.4">
      <c r="A136" s="223"/>
      <c r="B136" s="224" t="s">
        <v>841</v>
      </c>
      <c r="C136" s="1881" t="s">
        <v>877</v>
      </c>
      <c r="D136" s="1883" t="s">
        <v>843</v>
      </c>
      <c r="E136" s="1885" t="s">
        <v>844</v>
      </c>
      <c r="F136" s="1887" t="s">
        <v>845</v>
      </c>
      <c r="G136" s="1888"/>
      <c r="H136" s="1888"/>
      <c r="I136" s="1888"/>
      <c r="J136" s="1888"/>
      <c r="K136" s="1888"/>
      <c r="L136" s="1888"/>
      <c r="M136" s="1888"/>
      <c r="N136" s="1888"/>
      <c r="O136" s="1888"/>
      <c r="P136" s="1888"/>
      <c r="Q136" s="1888"/>
      <c r="R136" s="1888"/>
      <c r="S136" s="1888"/>
      <c r="T136" s="1888"/>
      <c r="U136" s="1888"/>
      <c r="V136" s="1888"/>
      <c r="W136" s="1888"/>
      <c r="X136" s="1888"/>
      <c r="Y136" s="1888"/>
      <c r="Z136" s="1888"/>
      <c r="AA136" s="1888"/>
      <c r="AB136" s="1888"/>
      <c r="AC136" s="1888"/>
      <c r="AD136" s="1889"/>
      <c r="AE136" s="244" t="s">
        <v>846</v>
      </c>
      <c r="AF136" s="244" t="s">
        <v>847</v>
      </c>
      <c r="AG136" s="244" t="s">
        <v>848</v>
      </c>
    </row>
    <row r="137" spans="1:33" ht="13.15" x14ac:dyDescent="0.35">
      <c r="A137" s="223"/>
      <c r="B137" s="224"/>
      <c r="C137" s="1882"/>
      <c r="D137" s="1884"/>
      <c r="E137" s="1886"/>
      <c r="F137" s="226" t="s">
        <v>849</v>
      </c>
      <c r="G137" s="226" t="s">
        <v>850</v>
      </c>
      <c r="H137" s="226" t="s">
        <v>851</v>
      </c>
      <c r="I137" s="226" t="s">
        <v>852</v>
      </c>
      <c r="J137" s="226" t="s">
        <v>853</v>
      </c>
      <c r="K137" s="226" t="s">
        <v>854</v>
      </c>
      <c r="L137" s="226" t="s">
        <v>855</v>
      </c>
      <c r="M137" s="226" t="s">
        <v>856</v>
      </c>
      <c r="N137" s="226" t="s">
        <v>857</v>
      </c>
      <c r="O137" s="226" t="s">
        <v>858</v>
      </c>
      <c r="P137" s="226" t="s">
        <v>859</v>
      </c>
      <c r="Q137" s="226" t="s">
        <v>860</v>
      </c>
      <c r="R137" s="226" t="s">
        <v>861</v>
      </c>
      <c r="S137" s="226" t="s">
        <v>862</v>
      </c>
      <c r="T137" s="226" t="s">
        <v>197</v>
      </c>
      <c r="U137" s="226" t="s">
        <v>198</v>
      </c>
      <c r="V137" s="226" t="s">
        <v>199</v>
      </c>
      <c r="W137" s="226" t="s">
        <v>112</v>
      </c>
      <c r="X137" s="226" t="s">
        <v>113</v>
      </c>
      <c r="Y137" s="226" t="s">
        <v>114</v>
      </c>
      <c r="Z137" s="226" t="s">
        <v>123</v>
      </c>
      <c r="AA137" s="226" t="s">
        <v>124</v>
      </c>
      <c r="AB137" s="226" t="s">
        <v>125</v>
      </c>
      <c r="AC137" s="226" t="s">
        <v>126</v>
      </c>
      <c r="AD137" s="226" t="s">
        <v>127</v>
      </c>
      <c r="AE137" s="244"/>
      <c r="AF137" s="244"/>
      <c r="AG137" s="244"/>
    </row>
    <row r="138" spans="1:33" x14ac:dyDescent="0.35">
      <c r="A138" s="227" t="s">
        <v>863</v>
      </c>
      <c r="B138" s="228">
        <v>2005</v>
      </c>
      <c r="C138" s="1863"/>
      <c r="D138" s="227"/>
      <c r="E138" s="186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45"/>
      <c r="AE138" s="247"/>
      <c r="AF138" s="247"/>
      <c r="AG138" s="247"/>
    </row>
    <row r="139" spans="1:33" x14ac:dyDescent="0.35">
      <c r="A139" s="227" t="s">
        <v>864</v>
      </c>
      <c r="B139" s="228" t="s">
        <v>849</v>
      </c>
      <c r="C139" s="1863"/>
      <c r="D139" s="227"/>
      <c r="E139" s="1865"/>
      <c r="F139" s="230"/>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7"/>
      <c r="AF139" s="247"/>
      <c r="AG139" s="247"/>
    </row>
    <row r="140" spans="1:33" x14ac:dyDescent="0.35">
      <c r="A140" s="227" t="s">
        <v>864</v>
      </c>
      <c r="B140" s="228" t="s">
        <v>850</v>
      </c>
      <c r="C140" s="1863"/>
      <c r="D140" s="227"/>
      <c r="E140" s="1865"/>
      <c r="F140" s="246"/>
      <c r="G140" s="230"/>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7"/>
      <c r="AF140" s="247"/>
      <c r="AG140" s="247"/>
    </row>
    <row r="141" spans="1:33" x14ac:dyDescent="0.35">
      <c r="A141" s="227" t="s">
        <v>864</v>
      </c>
      <c r="B141" s="228" t="s">
        <v>851</v>
      </c>
      <c r="C141" s="1863"/>
      <c r="D141" s="227"/>
      <c r="E141" s="1865"/>
      <c r="F141" s="246"/>
      <c r="G141" s="246"/>
      <c r="H141" s="230"/>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7"/>
      <c r="AF141" s="247"/>
      <c r="AG141" s="247"/>
    </row>
    <row r="142" spans="1:33" x14ac:dyDescent="0.35">
      <c r="A142" s="227" t="s">
        <v>864</v>
      </c>
      <c r="B142" s="228" t="s">
        <v>852</v>
      </c>
      <c r="C142" s="1863"/>
      <c r="D142" s="227"/>
      <c r="E142" s="1865"/>
      <c r="F142" s="246"/>
      <c r="G142" s="246"/>
      <c r="H142" s="246"/>
      <c r="I142" s="230"/>
      <c r="J142" s="245"/>
      <c r="K142" s="245"/>
      <c r="L142" s="245"/>
      <c r="M142" s="245"/>
      <c r="N142" s="245"/>
      <c r="O142" s="245"/>
      <c r="P142" s="245"/>
      <c r="Q142" s="245"/>
      <c r="R142" s="245"/>
      <c r="S142" s="245"/>
      <c r="T142" s="245"/>
      <c r="U142" s="245"/>
      <c r="V142" s="245"/>
      <c r="W142" s="245"/>
      <c r="X142" s="245"/>
      <c r="Y142" s="245"/>
      <c r="Z142" s="245"/>
      <c r="AA142" s="245"/>
      <c r="AB142" s="245"/>
      <c r="AC142" s="245"/>
      <c r="AD142" s="245"/>
      <c r="AE142" s="247"/>
      <c r="AF142" s="247"/>
      <c r="AG142" s="247"/>
    </row>
    <row r="143" spans="1:33" x14ac:dyDescent="0.35">
      <c r="A143" s="227" t="s">
        <v>864</v>
      </c>
      <c r="B143" s="228" t="s">
        <v>853</v>
      </c>
      <c r="C143" s="1863"/>
      <c r="D143" s="227"/>
      <c r="E143" s="1865"/>
      <c r="F143" s="246"/>
      <c r="G143" s="246"/>
      <c r="H143" s="246"/>
      <c r="I143" s="246"/>
      <c r="J143" s="230"/>
      <c r="K143" s="245"/>
      <c r="L143" s="245"/>
      <c r="M143" s="245"/>
      <c r="N143" s="245"/>
      <c r="O143" s="245"/>
      <c r="P143" s="245"/>
      <c r="Q143" s="245"/>
      <c r="R143" s="245"/>
      <c r="S143" s="245"/>
      <c r="T143" s="245"/>
      <c r="U143" s="245"/>
      <c r="V143" s="245"/>
      <c r="W143" s="245"/>
      <c r="X143" s="245"/>
      <c r="Y143" s="245"/>
      <c r="Z143" s="245"/>
      <c r="AA143" s="245"/>
      <c r="AB143" s="245"/>
      <c r="AC143" s="245"/>
      <c r="AD143" s="245"/>
      <c r="AE143" s="247"/>
      <c r="AF143" s="247"/>
      <c r="AG143" s="247"/>
    </row>
    <row r="144" spans="1:33" x14ac:dyDescent="0.35">
      <c r="A144" s="227" t="s">
        <v>864</v>
      </c>
      <c r="B144" s="228" t="s">
        <v>854</v>
      </c>
      <c r="C144" s="1863"/>
      <c r="D144" s="227"/>
      <c r="E144" s="1865"/>
      <c r="F144" s="246"/>
      <c r="G144" s="246"/>
      <c r="H144" s="246"/>
      <c r="I144" s="246"/>
      <c r="J144" s="246"/>
      <c r="K144" s="230"/>
      <c r="L144" s="245"/>
      <c r="M144" s="245"/>
      <c r="N144" s="245"/>
      <c r="O144" s="245"/>
      <c r="P144" s="245"/>
      <c r="Q144" s="245"/>
      <c r="R144" s="245"/>
      <c r="S144" s="245"/>
      <c r="T144" s="245"/>
      <c r="U144" s="245"/>
      <c r="V144" s="245"/>
      <c r="W144" s="245"/>
      <c r="X144" s="245"/>
      <c r="Y144" s="245"/>
      <c r="Z144" s="245"/>
      <c r="AA144" s="245"/>
      <c r="AB144" s="245"/>
      <c r="AC144" s="245"/>
      <c r="AD144" s="245"/>
      <c r="AE144" s="247"/>
      <c r="AF144" s="247"/>
      <c r="AG144" s="247"/>
    </row>
    <row r="145" spans="1:33" x14ac:dyDescent="0.35">
      <c r="A145" s="227" t="s">
        <v>864</v>
      </c>
      <c r="B145" s="228" t="s">
        <v>855</v>
      </c>
      <c r="C145" s="1863"/>
      <c r="D145" s="227"/>
      <c r="E145" s="1865"/>
      <c r="F145" s="246"/>
      <c r="G145" s="246"/>
      <c r="H145" s="246"/>
      <c r="I145" s="246"/>
      <c r="J145" s="246"/>
      <c r="K145" s="246"/>
      <c r="L145" s="230"/>
      <c r="M145" s="245"/>
      <c r="N145" s="245"/>
      <c r="O145" s="245"/>
      <c r="P145" s="245"/>
      <c r="Q145" s="245"/>
      <c r="R145" s="245"/>
      <c r="S145" s="245"/>
      <c r="T145" s="245"/>
      <c r="U145" s="245"/>
      <c r="V145" s="245"/>
      <c r="W145" s="245"/>
      <c r="X145" s="245"/>
      <c r="Y145" s="245"/>
      <c r="Z145" s="245"/>
      <c r="AA145" s="245"/>
      <c r="AB145" s="245"/>
      <c r="AC145" s="245"/>
      <c r="AD145" s="245"/>
      <c r="AE145" s="247"/>
      <c r="AF145" s="247"/>
      <c r="AG145" s="247"/>
    </row>
    <row r="146" spans="1:33" x14ac:dyDescent="0.35">
      <c r="A146" s="227" t="s">
        <v>864</v>
      </c>
      <c r="B146" s="228" t="s">
        <v>856</v>
      </c>
      <c r="C146" s="1863"/>
      <c r="D146" s="227"/>
      <c r="E146" s="1865"/>
      <c r="F146" s="246"/>
      <c r="G146" s="246"/>
      <c r="H146" s="246"/>
      <c r="I146" s="246"/>
      <c r="J146" s="246"/>
      <c r="K146" s="246"/>
      <c r="L146" s="246"/>
      <c r="M146" s="230"/>
      <c r="N146" s="245"/>
      <c r="O146" s="245"/>
      <c r="P146" s="245"/>
      <c r="Q146" s="245"/>
      <c r="R146" s="245"/>
      <c r="S146" s="245"/>
      <c r="T146" s="245"/>
      <c r="U146" s="245"/>
      <c r="V146" s="245"/>
      <c r="W146" s="245"/>
      <c r="X146" s="245"/>
      <c r="Y146" s="245"/>
      <c r="Z146" s="245"/>
      <c r="AA146" s="245"/>
      <c r="AB146" s="245"/>
      <c r="AC146" s="245"/>
      <c r="AD146" s="245"/>
      <c r="AE146" s="247"/>
      <c r="AF146" s="247"/>
      <c r="AG146" s="247"/>
    </row>
    <row r="147" spans="1:33" x14ac:dyDescent="0.35">
      <c r="A147" s="227" t="s">
        <v>864</v>
      </c>
      <c r="B147" s="228" t="s">
        <v>857</v>
      </c>
      <c r="C147" s="1863"/>
      <c r="D147" s="227"/>
      <c r="E147" s="1865"/>
      <c r="F147" s="246"/>
      <c r="G147" s="246"/>
      <c r="H147" s="246"/>
      <c r="I147" s="246"/>
      <c r="J147" s="246"/>
      <c r="K147" s="246"/>
      <c r="L147" s="246"/>
      <c r="M147" s="246"/>
      <c r="N147" s="230"/>
      <c r="O147" s="245"/>
      <c r="P147" s="245"/>
      <c r="Q147" s="245"/>
      <c r="R147" s="245"/>
      <c r="S147" s="245"/>
      <c r="T147" s="245"/>
      <c r="U147" s="245"/>
      <c r="V147" s="245"/>
      <c r="W147" s="245"/>
      <c r="X147" s="245"/>
      <c r="Y147" s="245"/>
      <c r="Z147" s="245"/>
      <c r="AA147" s="245"/>
      <c r="AB147" s="245"/>
      <c r="AC147" s="245"/>
      <c r="AD147" s="245"/>
      <c r="AE147" s="247"/>
      <c r="AF147" s="247"/>
      <c r="AG147" s="247"/>
    </row>
    <row r="148" spans="1:33" x14ac:dyDescent="0.35">
      <c r="A148" s="227" t="s">
        <v>864</v>
      </c>
      <c r="B148" s="228" t="s">
        <v>858</v>
      </c>
      <c r="C148" s="1863"/>
      <c r="D148" s="227"/>
      <c r="E148" s="1865"/>
      <c r="F148" s="246"/>
      <c r="G148" s="246"/>
      <c r="H148" s="246"/>
      <c r="I148" s="246"/>
      <c r="J148" s="246"/>
      <c r="K148" s="246"/>
      <c r="L148" s="246"/>
      <c r="M148" s="246"/>
      <c r="N148" s="246"/>
      <c r="O148" s="230"/>
      <c r="P148" s="245"/>
      <c r="Q148" s="245"/>
      <c r="R148" s="245"/>
      <c r="S148" s="245"/>
      <c r="T148" s="245"/>
      <c r="U148" s="245"/>
      <c r="V148" s="245"/>
      <c r="W148" s="245"/>
      <c r="X148" s="245"/>
      <c r="Y148" s="245"/>
      <c r="Z148" s="245"/>
      <c r="AA148" s="245"/>
      <c r="AB148" s="245"/>
      <c r="AC148" s="245"/>
      <c r="AD148" s="245"/>
      <c r="AE148" s="247"/>
      <c r="AF148" s="247"/>
      <c r="AG148" s="247"/>
    </row>
    <row r="149" spans="1:33" x14ac:dyDescent="0.35">
      <c r="A149" s="227" t="s">
        <v>864</v>
      </c>
      <c r="B149" s="228" t="s">
        <v>859</v>
      </c>
      <c r="C149" s="1863"/>
      <c r="D149" s="227"/>
      <c r="E149" s="1865"/>
      <c r="F149" s="246"/>
      <c r="G149" s="246"/>
      <c r="H149" s="246"/>
      <c r="I149" s="246"/>
      <c r="J149" s="246"/>
      <c r="K149" s="246"/>
      <c r="L149" s="246"/>
      <c r="M149" s="246"/>
      <c r="N149" s="246"/>
      <c r="O149" s="246"/>
      <c r="P149" s="230"/>
      <c r="Q149" s="245"/>
      <c r="R149" s="245"/>
      <c r="S149" s="245"/>
      <c r="T149" s="245"/>
      <c r="U149" s="245"/>
      <c r="V149" s="245"/>
      <c r="W149" s="245"/>
      <c r="X149" s="245"/>
      <c r="Y149" s="245"/>
      <c r="Z149" s="245"/>
      <c r="AA149" s="245"/>
      <c r="AB149" s="245"/>
      <c r="AC149" s="245"/>
      <c r="AD149" s="245"/>
      <c r="AE149" s="247"/>
      <c r="AF149" s="247"/>
      <c r="AG149" s="247"/>
    </row>
    <row r="150" spans="1:33" x14ac:dyDescent="0.35">
      <c r="A150" s="227" t="s">
        <v>864</v>
      </c>
      <c r="B150" s="228" t="s">
        <v>860</v>
      </c>
      <c r="C150" s="1863"/>
      <c r="D150" s="229"/>
      <c r="E150" s="1865"/>
      <c r="F150" s="246"/>
      <c r="G150" s="246"/>
      <c r="H150" s="246"/>
      <c r="I150" s="246"/>
      <c r="J150" s="246"/>
      <c r="K150" s="246"/>
      <c r="L150" s="246"/>
      <c r="M150" s="246"/>
      <c r="N150" s="246"/>
      <c r="O150" s="246"/>
      <c r="P150" s="246"/>
      <c r="Q150" s="230"/>
      <c r="R150" s="245"/>
      <c r="S150" s="245"/>
      <c r="T150" s="245"/>
      <c r="U150" s="245"/>
      <c r="V150" s="245"/>
      <c r="W150" s="245"/>
      <c r="X150" s="245"/>
      <c r="Y150" s="245"/>
      <c r="Z150" s="245"/>
      <c r="AA150" s="245"/>
      <c r="AB150" s="245"/>
      <c r="AC150" s="245"/>
      <c r="AD150" s="245"/>
      <c r="AE150" s="247"/>
      <c r="AF150" s="247"/>
      <c r="AG150" s="247"/>
    </row>
    <row r="151" spans="1:33" x14ac:dyDescent="0.35">
      <c r="A151" s="227" t="s">
        <v>864</v>
      </c>
      <c r="B151" s="228" t="s">
        <v>861</v>
      </c>
      <c r="C151" s="1863"/>
      <c r="D151" s="229"/>
      <c r="E151" s="1865"/>
      <c r="F151" s="246"/>
      <c r="G151" s="246"/>
      <c r="H151" s="246"/>
      <c r="I151" s="246"/>
      <c r="J151" s="246"/>
      <c r="K151" s="246"/>
      <c r="L151" s="246"/>
      <c r="M151" s="246"/>
      <c r="N151" s="246"/>
      <c r="O151" s="246"/>
      <c r="P151" s="246"/>
      <c r="Q151" s="246"/>
      <c r="R151" s="230"/>
      <c r="S151" s="245"/>
      <c r="T151" s="245"/>
      <c r="U151" s="245"/>
      <c r="V151" s="245"/>
      <c r="W151" s="245"/>
      <c r="X151" s="245"/>
      <c r="Y151" s="245"/>
      <c r="Z151" s="245"/>
      <c r="AA151" s="245"/>
      <c r="AB151" s="245"/>
      <c r="AC151" s="245"/>
      <c r="AD151" s="245"/>
      <c r="AE151" s="247"/>
      <c r="AF151" s="247"/>
      <c r="AG151" s="247"/>
    </row>
    <row r="152" spans="1:33" x14ac:dyDescent="0.35">
      <c r="A152" s="227" t="s">
        <v>864</v>
      </c>
      <c r="B152" s="228" t="s">
        <v>862</v>
      </c>
      <c r="C152" s="1863">
        <f>+'F5'!E20</f>
        <v>9.7135400000000011E-2</v>
      </c>
      <c r="D152" s="229"/>
      <c r="E152" s="1865">
        <f>+Assum!$F$113</f>
        <v>6.3299999999999995E-2</v>
      </c>
      <c r="F152" s="246"/>
      <c r="G152" s="246"/>
      <c r="H152" s="246"/>
      <c r="I152" s="246"/>
      <c r="J152" s="246"/>
      <c r="K152" s="246"/>
      <c r="L152" s="246"/>
      <c r="M152" s="246"/>
      <c r="N152" s="246"/>
      <c r="O152" s="246"/>
      <c r="P152" s="246"/>
      <c r="Q152" s="246"/>
      <c r="R152" s="246"/>
      <c r="S152" s="1869">
        <f>+'F5'!E64</f>
        <v>2.9640999999999999E-3</v>
      </c>
      <c r="T152" s="1870">
        <f>+$C152*$E152</f>
        <v>6.1486708200000004E-3</v>
      </c>
      <c r="U152" s="1870">
        <f t="shared" ref="U152:AD162" si="49">+$C152*$E152</f>
        <v>6.1486708200000004E-3</v>
      </c>
      <c r="V152" s="1870">
        <f t="shared" si="49"/>
        <v>6.1486708200000004E-3</v>
      </c>
      <c r="W152" s="1870">
        <f t="shared" si="49"/>
        <v>6.1486708200000004E-3</v>
      </c>
      <c r="X152" s="1870">
        <f t="shared" si="49"/>
        <v>6.1486708200000004E-3</v>
      </c>
      <c r="Y152" s="1870">
        <f t="shared" si="49"/>
        <v>6.1486708200000004E-3</v>
      </c>
      <c r="Z152" s="1870">
        <f t="shared" si="49"/>
        <v>6.1486708200000004E-3</v>
      </c>
      <c r="AA152" s="1870">
        <f t="shared" si="49"/>
        <v>6.1486708200000004E-3</v>
      </c>
      <c r="AB152" s="1870">
        <f t="shared" si="49"/>
        <v>6.1486708200000004E-3</v>
      </c>
      <c r="AC152" s="1870">
        <f t="shared" si="49"/>
        <v>6.1486708200000004E-3</v>
      </c>
      <c r="AD152" s="1870">
        <f t="shared" si="49"/>
        <v>6.1486708200000004E-3</v>
      </c>
      <c r="AE152" s="1863">
        <f>SUM(S152:AD152)</f>
        <v>7.0599479020000022E-2</v>
      </c>
      <c r="AF152" s="1865">
        <f>+AE152/C152</f>
        <v>0.72681513660313346</v>
      </c>
      <c r="AG152" s="1863">
        <f>+C152*90%-AE152</f>
        <v>1.6822380979999996E-2</v>
      </c>
    </row>
    <row r="153" spans="1:33" x14ac:dyDescent="0.35">
      <c r="A153" s="227" t="s">
        <v>864</v>
      </c>
      <c r="B153" s="228" t="s">
        <v>865</v>
      </c>
      <c r="C153" s="1863"/>
      <c r="D153" s="229"/>
      <c r="E153" s="1868"/>
      <c r="F153" s="246"/>
      <c r="G153" s="246"/>
      <c r="H153" s="246"/>
      <c r="I153" s="246"/>
      <c r="J153" s="246"/>
      <c r="K153" s="246"/>
      <c r="L153" s="246"/>
      <c r="M153" s="246"/>
      <c r="N153" s="246"/>
      <c r="O153" s="246"/>
      <c r="P153" s="246"/>
      <c r="Q153" s="246"/>
      <c r="R153" s="246"/>
      <c r="S153" s="246"/>
      <c r="T153" s="1869">
        <f>+$C153*$E153/2</f>
        <v>0</v>
      </c>
      <c r="U153" s="1870">
        <f t="shared" si="49"/>
        <v>0</v>
      </c>
      <c r="V153" s="1870">
        <f t="shared" si="49"/>
        <v>0</v>
      </c>
      <c r="W153" s="1870">
        <f t="shared" si="49"/>
        <v>0</v>
      </c>
      <c r="X153" s="1870">
        <f t="shared" si="49"/>
        <v>0</v>
      </c>
      <c r="Y153" s="1870">
        <f t="shared" si="49"/>
        <v>0</v>
      </c>
      <c r="Z153" s="1870">
        <f t="shared" si="49"/>
        <v>0</v>
      </c>
      <c r="AA153" s="1870">
        <f t="shared" si="49"/>
        <v>0</v>
      </c>
      <c r="AB153" s="1870">
        <f t="shared" si="49"/>
        <v>0</v>
      </c>
      <c r="AC153" s="1870">
        <f t="shared" si="49"/>
        <v>0</v>
      </c>
      <c r="AD153" s="1870">
        <f t="shared" si="49"/>
        <v>0</v>
      </c>
      <c r="AE153" s="1863">
        <f t="shared" ref="AE153:AE163" si="50">SUM(S153:AD153)</f>
        <v>0</v>
      </c>
      <c r="AF153" s="1865"/>
      <c r="AG153" s="1863">
        <f t="shared" ref="AG153:AG155" si="51">+C153*90%-AE153</f>
        <v>0</v>
      </c>
    </row>
    <row r="154" spans="1:33" x14ac:dyDescent="0.35">
      <c r="A154" s="227" t="s">
        <v>864</v>
      </c>
      <c r="B154" s="228" t="s">
        <v>866</v>
      </c>
      <c r="C154" s="1863"/>
      <c r="D154" s="229"/>
      <c r="E154" s="1868"/>
      <c r="F154" s="246"/>
      <c r="G154" s="246"/>
      <c r="H154" s="246"/>
      <c r="I154" s="246"/>
      <c r="J154" s="246"/>
      <c r="K154" s="246"/>
      <c r="L154" s="246"/>
      <c r="M154" s="246"/>
      <c r="N154" s="246"/>
      <c r="O154" s="246"/>
      <c r="P154" s="246"/>
      <c r="Q154" s="246"/>
      <c r="R154" s="246"/>
      <c r="S154" s="246"/>
      <c r="T154" s="246"/>
      <c r="U154" s="1869">
        <f>+$C154*$E154/2</f>
        <v>0</v>
      </c>
      <c r="V154" s="1870">
        <f t="shared" si="49"/>
        <v>0</v>
      </c>
      <c r="W154" s="1870">
        <f t="shared" si="49"/>
        <v>0</v>
      </c>
      <c r="X154" s="1870">
        <f t="shared" si="49"/>
        <v>0</v>
      </c>
      <c r="Y154" s="1870">
        <f t="shared" si="49"/>
        <v>0</v>
      </c>
      <c r="Z154" s="1870">
        <f t="shared" si="49"/>
        <v>0</v>
      </c>
      <c r="AA154" s="1870">
        <f t="shared" si="49"/>
        <v>0</v>
      </c>
      <c r="AB154" s="1870">
        <f t="shared" si="49"/>
        <v>0</v>
      </c>
      <c r="AC154" s="1870">
        <f t="shared" si="49"/>
        <v>0</v>
      </c>
      <c r="AD154" s="1870">
        <f t="shared" si="49"/>
        <v>0</v>
      </c>
      <c r="AE154" s="1863">
        <f t="shared" si="50"/>
        <v>0</v>
      </c>
      <c r="AF154" s="1865"/>
      <c r="AG154" s="1863">
        <f t="shared" si="51"/>
        <v>0</v>
      </c>
    </row>
    <row r="155" spans="1:33" x14ac:dyDescent="0.35">
      <c r="A155" s="227" t="s">
        <v>864</v>
      </c>
      <c r="B155" s="228" t="s">
        <v>867</v>
      </c>
      <c r="C155" s="1863">
        <f>+'F5'!T20</f>
        <v>2.5027799999999999E-2</v>
      </c>
      <c r="D155" s="229"/>
      <c r="E155" s="1865">
        <f>+Assum!$F$113</f>
        <v>6.3299999999999995E-2</v>
      </c>
      <c r="F155" s="246"/>
      <c r="G155" s="246"/>
      <c r="H155" s="246"/>
      <c r="I155" s="246"/>
      <c r="J155" s="246"/>
      <c r="K155" s="246"/>
      <c r="L155" s="246"/>
      <c r="M155" s="246"/>
      <c r="N155" s="246"/>
      <c r="O155" s="246"/>
      <c r="P155" s="246"/>
      <c r="Q155" s="246"/>
      <c r="R155" s="246"/>
      <c r="S155" s="246"/>
      <c r="T155" s="246"/>
      <c r="U155" s="246"/>
      <c r="V155" s="1869">
        <f>+$C155*$E155/4</f>
        <v>3.9606493499999996E-4</v>
      </c>
      <c r="W155" s="1870">
        <f t="shared" si="49"/>
        <v>1.5842597399999998E-3</v>
      </c>
      <c r="X155" s="1870">
        <f t="shared" si="49"/>
        <v>1.5842597399999998E-3</v>
      </c>
      <c r="Y155" s="1870">
        <f t="shared" si="49"/>
        <v>1.5842597399999998E-3</v>
      </c>
      <c r="Z155" s="1870">
        <f t="shared" si="49"/>
        <v>1.5842597399999998E-3</v>
      </c>
      <c r="AA155" s="1870">
        <f t="shared" si="49"/>
        <v>1.5842597399999998E-3</v>
      </c>
      <c r="AB155" s="1870">
        <f t="shared" si="49"/>
        <v>1.5842597399999998E-3</v>
      </c>
      <c r="AC155" s="1870">
        <f t="shared" si="49"/>
        <v>1.5842597399999998E-3</v>
      </c>
      <c r="AD155" s="1870">
        <f t="shared" si="49"/>
        <v>1.5842597399999998E-3</v>
      </c>
      <c r="AE155" s="1863">
        <f t="shared" si="50"/>
        <v>1.3070142854999998E-2</v>
      </c>
      <c r="AF155" s="1865">
        <f t="shared" ref="AF155" si="52">+AE155/C155</f>
        <v>0.52222499999999994</v>
      </c>
      <c r="AG155" s="1863">
        <f t="shared" si="51"/>
        <v>9.454877145000002E-3</v>
      </c>
    </row>
    <row r="156" spans="1:33" x14ac:dyDescent="0.35">
      <c r="A156" s="227" t="s">
        <v>864</v>
      </c>
      <c r="B156" s="228" t="s">
        <v>868</v>
      </c>
      <c r="C156" s="1863"/>
      <c r="D156" s="229"/>
      <c r="E156" s="1868"/>
      <c r="F156" s="246"/>
      <c r="G156" s="246"/>
      <c r="H156" s="246"/>
      <c r="I156" s="246"/>
      <c r="J156" s="246"/>
      <c r="K156" s="246"/>
      <c r="L156" s="246"/>
      <c r="M156" s="246"/>
      <c r="N156" s="246"/>
      <c r="O156" s="246"/>
      <c r="P156" s="246"/>
      <c r="Q156" s="246"/>
      <c r="R156" s="246"/>
      <c r="S156" s="246"/>
      <c r="T156" s="246"/>
      <c r="U156" s="246"/>
      <c r="V156" s="246"/>
      <c r="W156" s="1869">
        <f>+$C156*$E156/2</f>
        <v>0</v>
      </c>
      <c r="X156" s="1870">
        <f t="shared" si="49"/>
        <v>0</v>
      </c>
      <c r="Y156" s="1870">
        <f t="shared" si="49"/>
        <v>0</v>
      </c>
      <c r="Z156" s="1870">
        <f t="shared" si="49"/>
        <v>0</v>
      </c>
      <c r="AA156" s="1870">
        <f t="shared" si="49"/>
        <v>0</v>
      </c>
      <c r="AB156" s="1870">
        <f t="shared" si="49"/>
        <v>0</v>
      </c>
      <c r="AC156" s="1870">
        <f t="shared" si="49"/>
        <v>0</v>
      </c>
      <c r="AD156" s="1870">
        <f t="shared" si="49"/>
        <v>0</v>
      </c>
      <c r="AE156" s="1863">
        <f t="shared" si="50"/>
        <v>0</v>
      </c>
      <c r="AF156" s="1865"/>
      <c r="AG156" s="1863"/>
    </row>
    <row r="157" spans="1:33" x14ac:dyDescent="0.35">
      <c r="A157" s="227" t="s">
        <v>864</v>
      </c>
      <c r="B157" s="228" t="s">
        <v>869</v>
      </c>
      <c r="C157" s="1863">
        <f>+'F5'!J34</f>
        <v>1.7001E-3</v>
      </c>
      <c r="D157" s="229"/>
      <c r="E157" s="1865">
        <f>+Assum!$F$113</f>
        <v>6.3299999999999995E-2</v>
      </c>
      <c r="F157" s="246"/>
      <c r="G157" s="246"/>
      <c r="H157" s="246"/>
      <c r="I157" s="246"/>
      <c r="J157" s="246"/>
      <c r="K157" s="246"/>
      <c r="L157" s="246"/>
      <c r="M157" s="246"/>
      <c r="N157" s="246"/>
      <c r="O157" s="246"/>
      <c r="P157" s="246"/>
      <c r="Q157" s="246"/>
      <c r="R157" s="246"/>
      <c r="S157" s="246"/>
      <c r="T157" s="246"/>
      <c r="U157" s="246"/>
      <c r="V157" s="246"/>
      <c r="W157" s="246"/>
      <c r="X157" s="1869">
        <f>+$C157*$E157/4</f>
        <v>2.6904082499999998E-5</v>
      </c>
      <c r="Y157" s="1870">
        <f t="shared" si="49"/>
        <v>1.0761632999999999E-4</v>
      </c>
      <c r="Z157" s="1870">
        <f t="shared" si="49"/>
        <v>1.0761632999999999E-4</v>
      </c>
      <c r="AA157" s="1870">
        <f t="shared" si="49"/>
        <v>1.0761632999999999E-4</v>
      </c>
      <c r="AB157" s="1870">
        <f t="shared" si="49"/>
        <v>1.0761632999999999E-4</v>
      </c>
      <c r="AC157" s="1870">
        <f t="shared" si="49"/>
        <v>1.0761632999999999E-4</v>
      </c>
      <c r="AD157" s="1870">
        <f t="shared" si="49"/>
        <v>1.0761632999999999E-4</v>
      </c>
      <c r="AE157" s="1863">
        <f t="shared" si="50"/>
        <v>6.7260206249999998E-4</v>
      </c>
      <c r="AF157" s="1865">
        <f t="shared" ref="AF157" si="53">+AE157/C157</f>
        <v>0.395625</v>
      </c>
      <c r="AG157" s="1863">
        <f t="shared" ref="AG157" si="54">+C157*90%-AE157</f>
        <v>8.5748793750000003E-4</v>
      </c>
    </row>
    <row r="158" spans="1:33" x14ac:dyDescent="0.35">
      <c r="A158" s="227" t="s">
        <v>864</v>
      </c>
      <c r="B158" s="228" t="s">
        <v>870</v>
      </c>
      <c r="C158" s="1863">
        <f>+'F5'!O34</f>
        <v>1.5620249999999999E-2</v>
      </c>
      <c r="D158" s="229"/>
      <c r="E158" s="1865">
        <f>+Assum!$F$113</f>
        <v>6.3299999999999995E-2</v>
      </c>
      <c r="F158" s="246"/>
      <c r="G158" s="246"/>
      <c r="H158" s="246"/>
      <c r="I158" s="246"/>
      <c r="J158" s="246"/>
      <c r="K158" s="246"/>
      <c r="L158" s="246"/>
      <c r="M158" s="246"/>
      <c r="N158" s="246"/>
      <c r="O158" s="246"/>
      <c r="P158" s="246"/>
      <c r="Q158" s="246"/>
      <c r="R158" s="246"/>
      <c r="S158" s="246"/>
      <c r="T158" s="246"/>
      <c r="U158" s="246"/>
      <c r="V158" s="246"/>
      <c r="W158" s="246"/>
      <c r="X158" s="246"/>
      <c r="Y158" s="1869">
        <f>+$C158*$E158/4</f>
        <v>2.4719045624999996E-4</v>
      </c>
      <c r="Z158" s="1870">
        <f t="shared" si="49"/>
        <v>9.8876182499999985E-4</v>
      </c>
      <c r="AA158" s="1870">
        <f t="shared" si="49"/>
        <v>9.8876182499999985E-4</v>
      </c>
      <c r="AB158" s="1870">
        <f t="shared" si="49"/>
        <v>9.8876182499999985E-4</v>
      </c>
      <c r="AC158" s="1870">
        <f t="shared" si="49"/>
        <v>9.8876182499999985E-4</v>
      </c>
      <c r="AD158" s="1870">
        <f t="shared" si="49"/>
        <v>9.8876182499999985E-4</v>
      </c>
      <c r="AE158" s="1863">
        <f t="shared" si="50"/>
        <v>5.1909995812499995E-3</v>
      </c>
      <c r="AF158" s="1865"/>
      <c r="AG158" s="1863"/>
    </row>
    <row r="159" spans="1:33" x14ac:dyDescent="0.35">
      <c r="A159" s="227" t="s">
        <v>864</v>
      </c>
      <c r="B159" s="228" t="s">
        <v>871</v>
      </c>
      <c r="C159" s="1863">
        <f>+'F5'!T34</f>
        <v>0.29597659999999998</v>
      </c>
      <c r="D159" s="229"/>
      <c r="E159" s="1868">
        <f>+Assum!$H$113</f>
        <v>6.3299999999999995E-2</v>
      </c>
      <c r="F159" s="246"/>
      <c r="G159" s="246"/>
      <c r="H159" s="246"/>
      <c r="I159" s="246"/>
      <c r="J159" s="246"/>
      <c r="K159" s="246"/>
      <c r="L159" s="246"/>
      <c r="M159" s="246"/>
      <c r="N159" s="246"/>
      <c r="O159" s="246"/>
      <c r="P159" s="246"/>
      <c r="Q159" s="246"/>
      <c r="R159" s="246"/>
      <c r="S159" s="246"/>
      <c r="T159" s="246"/>
      <c r="U159" s="246"/>
      <c r="V159" s="246"/>
      <c r="W159" s="246"/>
      <c r="X159" s="246"/>
      <c r="Y159" s="246"/>
      <c r="Z159" s="1869">
        <f>+$C159*$E159/2</f>
        <v>9.367659389999998E-3</v>
      </c>
      <c r="AA159" s="1870">
        <f t="shared" si="49"/>
        <v>1.8735318779999996E-2</v>
      </c>
      <c r="AB159" s="1870">
        <f t="shared" si="49"/>
        <v>1.8735318779999996E-2</v>
      </c>
      <c r="AC159" s="1870">
        <f t="shared" si="49"/>
        <v>1.8735318779999996E-2</v>
      </c>
      <c r="AD159" s="1870">
        <f t="shared" si="49"/>
        <v>1.8735318779999996E-2</v>
      </c>
      <c r="AE159" s="1863">
        <f t="shared" si="50"/>
        <v>8.4308934509999975E-2</v>
      </c>
      <c r="AF159" s="1865">
        <f t="shared" ref="AF159:AF160" si="55">+AE159/C159</f>
        <v>0.28484999999999994</v>
      </c>
      <c r="AG159" s="1863">
        <f t="shared" ref="AG159:AG163" si="56">+C159*90%-AE159</f>
        <v>0.18207000549000002</v>
      </c>
    </row>
    <row r="160" spans="1:33" x14ac:dyDescent="0.35">
      <c r="A160" s="227" t="s">
        <v>864</v>
      </c>
      <c r="B160" s="228" t="s">
        <v>872</v>
      </c>
      <c r="C160" s="1863">
        <f>+'F5'!E48</f>
        <v>0.06</v>
      </c>
      <c r="D160" s="229"/>
      <c r="E160" s="1868">
        <f>+Assum!$H$113</f>
        <v>6.3299999999999995E-2</v>
      </c>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1869">
        <f>+$C160*$E160/2</f>
        <v>1.8989999999999999E-3</v>
      </c>
      <c r="AB160" s="1870">
        <f t="shared" si="49"/>
        <v>3.7979999999999997E-3</v>
      </c>
      <c r="AC160" s="1870">
        <f t="shared" si="49"/>
        <v>3.7979999999999997E-3</v>
      </c>
      <c r="AD160" s="1870">
        <f t="shared" si="49"/>
        <v>3.7979999999999997E-3</v>
      </c>
      <c r="AE160" s="1863">
        <f t="shared" si="50"/>
        <v>1.3292999999999999E-2</v>
      </c>
      <c r="AF160" s="1865">
        <f t="shared" si="55"/>
        <v>0.22155</v>
      </c>
      <c r="AG160" s="1863">
        <f t="shared" si="56"/>
        <v>4.0707E-2</v>
      </c>
    </row>
    <row r="161" spans="1:33" x14ac:dyDescent="0.35">
      <c r="A161" s="227" t="s">
        <v>864</v>
      </c>
      <c r="B161" s="228" t="s">
        <v>873</v>
      </c>
      <c r="C161" s="1863"/>
      <c r="D161" s="229"/>
      <c r="E161" s="1868"/>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1869">
        <f>+$C161*$E161/2</f>
        <v>0</v>
      </c>
      <c r="AC161" s="1870">
        <f t="shared" si="49"/>
        <v>0</v>
      </c>
      <c r="AD161" s="1870">
        <f t="shared" si="49"/>
        <v>0</v>
      </c>
      <c r="AE161" s="1863">
        <f t="shared" si="50"/>
        <v>0</v>
      </c>
      <c r="AF161" s="1865"/>
      <c r="AG161" s="1863">
        <f t="shared" si="56"/>
        <v>0</v>
      </c>
    </row>
    <row r="162" spans="1:33" x14ac:dyDescent="0.35">
      <c r="A162" s="227" t="s">
        <v>864</v>
      </c>
      <c r="B162" s="228" t="s">
        <v>874</v>
      </c>
      <c r="C162" s="1863"/>
      <c r="D162" s="229"/>
      <c r="E162" s="1868"/>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1869">
        <f>+$C162*$E162/2</f>
        <v>0</v>
      </c>
      <c r="AD162" s="1870">
        <f t="shared" si="49"/>
        <v>0</v>
      </c>
      <c r="AE162" s="1863">
        <f t="shared" si="50"/>
        <v>0</v>
      </c>
      <c r="AF162" s="1865"/>
      <c r="AG162" s="1863">
        <f t="shared" si="56"/>
        <v>0</v>
      </c>
    </row>
    <row r="163" spans="1:33" x14ac:dyDescent="0.35">
      <c r="A163" s="227" t="s">
        <v>864</v>
      </c>
      <c r="B163" s="228" t="s">
        <v>875</v>
      </c>
      <c r="C163" s="1863"/>
      <c r="D163" s="229"/>
      <c r="E163" s="1868"/>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1869">
        <f>+$C163*$E163/2</f>
        <v>0</v>
      </c>
      <c r="AE163" s="1863">
        <f t="shared" si="50"/>
        <v>0</v>
      </c>
      <c r="AF163" s="1865"/>
      <c r="AG163" s="1863">
        <f t="shared" si="56"/>
        <v>0</v>
      </c>
    </row>
    <row r="164" spans="1:33" ht="13.15" x14ac:dyDescent="0.4">
      <c r="A164" s="231"/>
      <c r="B164" s="232" t="s">
        <v>164</v>
      </c>
      <c r="C164" s="1864">
        <f>SUM(C138:C163)</f>
        <v>0.49546014999999999</v>
      </c>
      <c r="D164" s="233"/>
      <c r="E164" s="1867"/>
      <c r="F164" s="233"/>
      <c r="G164" s="233"/>
      <c r="H164" s="233"/>
      <c r="I164" s="233"/>
      <c r="J164" s="233"/>
      <c r="K164" s="233"/>
      <c r="L164" s="233"/>
      <c r="M164" s="233"/>
      <c r="N164" s="233"/>
      <c r="O164" s="233"/>
      <c r="P164" s="233"/>
      <c r="Q164" s="233"/>
      <c r="R164" s="233"/>
      <c r="S164" s="1864">
        <f>SUM(S152:S163)</f>
        <v>2.9640999999999999E-3</v>
      </c>
      <c r="T164" s="1864">
        <f t="shared" ref="T164" si="57">SUM(T152:T163)</f>
        <v>6.1486708200000004E-3</v>
      </c>
      <c r="U164" s="1864">
        <f t="shared" ref="U164" si="58">SUM(U152:U163)</f>
        <v>6.1486708200000004E-3</v>
      </c>
      <c r="V164" s="1864">
        <f t="shared" ref="V164" si="59">SUM(V152:V163)</f>
        <v>6.5447357550000003E-3</v>
      </c>
      <c r="W164" s="1864">
        <f t="shared" ref="W164" si="60">SUM(W152:W163)</f>
        <v>7.7329305600000002E-3</v>
      </c>
      <c r="X164" s="1864">
        <f t="shared" ref="X164" si="61">SUM(X152:X163)</f>
        <v>7.7598346425000004E-3</v>
      </c>
      <c r="Y164" s="1864">
        <f t="shared" ref="Y164" si="62">SUM(Y152:Y163)</f>
        <v>8.0877373462499985E-3</v>
      </c>
      <c r="Z164" s="1864">
        <f t="shared" ref="Z164" si="63">SUM(Z152:Z163)</f>
        <v>1.8196968104999996E-2</v>
      </c>
      <c r="AA164" s="1864">
        <f t="shared" ref="AA164" si="64">SUM(AA152:AA163)</f>
        <v>2.9463627494999995E-2</v>
      </c>
      <c r="AB164" s="1864">
        <f t="shared" ref="AB164" si="65">SUM(AB152:AB163)</f>
        <v>3.1362627494999996E-2</v>
      </c>
      <c r="AC164" s="1864">
        <f t="shared" ref="AC164" si="66">SUM(AC152:AC163)</f>
        <v>3.1362627494999996E-2</v>
      </c>
      <c r="AD164" s="1864">
        <f t="shared" ref="AD164" si="67">SUM(AD152:AD163)</f>
        <v>3.1362627494999996E-2</v>
      </c>
      <c r="AE164" s="1864">
        <f t="shared" ref="AE164" si="68">SUM(AE152:AE163)</f>
        <v>0.18713515802874997</v>
      </c>
      <c r="AF164" s="1867">
        <f t="shared" ref="AF164" si="69">+AE164/C164</f>
        <v>0.37769971617041243</v>
      </c>
      <c r="AG164" s="1864">
        <f t="shared" ref="AG164" si="70">SUM(AG152:AG163)</f>
        <v>0.24991175155250001</v>
      </c>
    </row>
    <row r="168" spans="1:33" ht="13.15" x14ac:dyDescent="0.4">
      <c r="B168" s="222" t="s">
        <v>879</v>
      </c>
      <c r="F168" s="243" t="s">
        <v>110</v>
      </c>
    </row>
    <row r="169" spans="1:33" ht="26.25" x14ac:dyDescent="0.4">
      <c r="A169" s="223"/>
      <c r="B169" s="224" t="s">
        <v>841</v>
      </c>
      <c r="C169" s="1881" t="s">
        <v>877</v>
      </c>
      <c r="D169" s="1883" t="s">
        <v>843</v>
      </c>
      <c r="E169" s="1885" t="s">
        <v>844</v>
      </c>
      <c r="F169" s="1887" t="s">
        <v>845</v>
      </c>
      <c r="G169" s="1888"/>
      <c r="H169" s="1888"/>
      <c r="I169" s="1888"/>
      <c r="J169" s="1888"/>
      <c r="K169" s="1888"/>
      <c r="L169" s="1888"/>
      <c r="M169" s="1888"/>
      <c r="N169" s="1888"/>
      <c r="O169" s="1888"/>
      <c r="P169" s="1888"/>
      <c r="Q169" s="1888"/>
      <c r="R169" s="1888"/>
      <c r="S169" s="1888"/>
      <c r="T169" s="1888"/>
      <c r="U169" s="1888"/>
      <c r="V169" s="1888"/>
      <c r="W169" s="1888"/>
      <c r="X169" s="1888"/>
      <c r="Y169" s="1888"/>
      <c r="Z169" s="1888"/>
      <c r="AA169" s="1888"/>
      <c r="AB169" s="1888"/>
      <c r="AC169" s="1888"/>
      <c r="AD169" s="1889"/>
      <c r="AE169" s="244" t="s">
        <v>846</v>
      </c>
      <c r="AF169" s="244" t="s">
        <v>847</v>
      </c>
      <c r="AG169" s="244" t="s">
        <v>848</v>
      </c>
    </row>
    <row r="170" spans="1:33" ht="13.15" x14ac:dyDescent="0.35">
      <c r="A170" s="223"/>
      <c r="B170" s="224"/>
      <c r="C170" s="1882"/>
      <c r="D170" s="1884"/>
      <c r="E170" s="1886"/>
      <c r="F170" s="226" t="s">
        <v>849</v>
      </c>
      <c r="G170" s="226" t="s">
        <v>850</v>
      </c>
      <c r="H170" s="226" t="s">
        <v>851</v>
      </c>
      <c r="I170" s="226" t="s">
        <v>852</v>
      </c>
      <c r="J170" s="226" t="s">
        <v>853</v>
      </c>
      <c r="K170" s="226" t="s">
        <v>854</v>
      </c>
      <c r="L170" s="226" t="s">
        <v>855</v>
      </c>
      <c r="M170" s="226" t="s">
        <v>856</v>
      </c>
      <c r="N170" s="226" t="s">
        <v>857</v>
      </c>
      <c r="O170" s="226" t="s">
        <v>858</v>
      </c>
      <c r="P170" s="226" t="s">
        <v>859</v>
      </c>
      <c r="Q170" s="226" t="s">
        <v>860</v>
      </c>
      <c r="R170" s="226" t="s">
        <v>861</v>
      </c>
      <c r="S170" s="226" t="s">
        <v>862</v>
      </c>
      <c r="T170" s="226" t="s">
        <v>197</v>
      </c>
      <c r="U170" s="226" t="s">
        <v>198</v>
      </c>
      <c r="V170" s="226" t="s">
        <v>199</v>
      </c>
      <c r="W170" s="226" t="s">
        <v>112</v>
      </c>
      <c r="X170" s="226" t="s">
        <v>113</v>
      </c>
      <c r="Y170" s="226" t="s">
        <v>114</v>
      </c>
      <c r="Z170" s="226" t="s">
        <v>123</v>
      </c>
      <c r="AA170" s="226" t="s">
        <v>124</v>
      </c>
      <c r="AB170" s="226" t="s">
        <v>125</v>
      </c>
      <c r="AC170" s="226" t="s">
        <v>126</v>
      </c>
      <c r="AD170" s="226" t="s">
        <v>127</v>
      </c>
      <c r="AE170" s="244"/>
      <c r="AF170" s="244"/>
      <c r="AG170" s="244"/>
    </row>
    <row r="171" spans="1:33" x14ac:dyDescent="0.35">
      <c r="A171" s="227" t="s">
        <v>863</v>
      </c>
      <c r="B171" s="228">
        <v>2005</v>
      </c>
      <c r="C171" s="1863"/>
      <c r="D171" s="227"/>
      <c r="E171" s="186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7"/>
      <c r="AF171" s="247"/>
      <c r="AG171" s="247"/>
    </row>
    <row r="172" spans="1:33" x14ac:dyDescent="0.35">
      <c r="A172" s="227" t="s">
        <v>864</v>
      </c>
      <c r="B172" s="228" t="s">
        <v>849</v>
      </c>
      <c r="C172" s="1863"/>
      <c r="D172" s="227"/>
      <c r="E172" s="1865"/>
      <c r="F172" s="230"/>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7"/>
      <c r="AF172" s="247"/>
      <c r="AG172" s="247"/>
    </row>
    <row r="173" spans="1:33" x14ac:dyDescent="0.35">
      <c r="A173" s="227" t="s">
        <v>864</v>
      </c>
      <c r="B173" s="228" t="s">
        <v>850</v>
      </c>
      <c r="C173" s="1863"/>
      <c r="D173" s="227"/>
      <c r="E173" s="1865"/>
      <c r="F173" s="246"/>
      <c r="G173" s="230"/>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7"/>
      <c r="AF173" s="247"/>
      <c r="AG173" s="247"/>
    </row>
    <row r="174" spans="1:33" x14ac:dyDescent="0.35">
      <c r="A174" s="227" t="s">
        <v>864</v>
      </c>
      <c r="B174" s="228" t="s">
        <v>851</v>
      </c>
      <c r="C174" s="1863"/>
      <c r="D174" s="227"/>
      <c r="E174" s="1865"/>
      <c r="F174" s="246"/>
      <c r="G174" s="246"/>
      <c r="H174" s="230"/>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7"/>
      <c r="AF174" s="247"/>
      <c r="AG174" s="247"/>
    </row>
    <row r="175" spans="1:33" x14ac:dyDescent="0.35">
      <c r="A175" s="227" t="s">
        <v>864</v>
      </c>
      <c r="B175" s="228" t="s">
        <v>852</v>
      </c>
      <c r="C175" s="1863"/>
      <c r="D175" s="227"/>
      <c r="E175" s="1865"/>
      <c r="F175" s="246"/>
      <c r="G175" s="246"/>
      <c r="H175" s="246"/>
      <c r="I175" s="230"/>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7"/>
      <c r="AF175" s="247"/>
      <c r="AG175" s="247"/>
    </row>
    <row r="176" spans="1:33" x14ac:dyDescent="0.35">
      <c r="A176" s="227" t="s">
        <v>864</v>
      </c>
      <c r="B176" s="228" t="s">
        <v>853</v>
      </c>
      <c r="C176" s="1863"/>
      <c r="D176" s="227"/>
      <c r="E176" s="1865"/>
      <c r="F176" s="246"/>
      <c r="G176" s="246"/>
      <c r="H176" s="246"/>
      <c r="I176" s="246"/>
      <c r="J176" s="230"/>
      <c r="K176" s="245"/>
      <c r="L176" s="245"/>
      <c r="M176" s="245"/>
      <c r="N176" s="245"/>
      <c r="O176" s="245"/>
      <c r="P176" s="245"/>
      <c r="Q176" s="245"/>
      <c r="R176" s="245"/>
      <c r="S176" s="245"/>
      <c r="T176" s="245"/>
      <c r="U176" s="245"/>
      <c r="V176" s="245"/>
      <c r="W176" s="245"/>
      <c r="X176" s="245"/>
      <c r="Y176" s="245"/>
      <c r="Z176" s="245"/>
      <c r="AA176" s="245"/>
      <c r="AB176" s="245"/>
      <c r="AC176" s="245"/>
      <c r="AD176" s="245"/>
      <c r="AE176" s="247"/>
      <c r="AF176" s="247"/>
      <c r="AG176" s="247"/>
    </row>
    <row r="177" spans="1:33" x14ac:dyDescent="0.35">
      <c r="A177" s="227" t="s">
        <v>864</v>
      </c>
      <c r="B177" s="228" t="s">
        <v>854</v>
      </c>
      <c r="C177" s="1863"/>
      <c r="D177" s="227"/>
      <c r="E177" s="1865"/>
      <c r="F177" s="246"/>
      <c r="G177" s="246"/>
      <c r="H177" s="246"/>
      <c r="I177" s="246"/>
      <c r="J177" s="246"/>
      <c r="K177" s="230"/>
      <c r="L177" s="245"/>
      <c r="M177" s="245"/>
      <c r="N177" s="245"/>
      <c r="O177" s="245"/>
      <c r="P177" s="245"/>
      <c r="Q177" s="245"/>
      <c r="R177" s="245"/>
      <c r="S177" s="245"/>
      <c r="T177" s="245"/>
      <c r="U177" s="245"/>
      <c r="V177" s="245"/>
      <c r="W177" s="245"/>
      <c r="X177" s="245"/>
      <c r="Y177" s="245"/>
      <c r="Z177" s="245"/>
      <c r="AA177" s="245"/>
      <c r="AB177" s="245"/>
      <c r="AC177" s="245"/>
      <c r="AD177" s="245"/>
      <c r="AE177" s="247"/>
      <c r="AF177" s="247"/>
      <c r="AG177" s="247"/>
    </row>
    <row r="178" spans="1:33" x14ac:dyDescent="0.35">
      <c r="A178" s="227" t="s">
        <v>864</v>
      </c>
      <c r="B178" s="228" t="s">
        <v>855</v>
      </c>
      <c r="C178" s="1863"/>
      <c r="D178" s="227"/>
      <c r="E178" s="1865"/>
      <c r="F178" s="246"/>
      <c r="G178" s="246"/>
      <c r="H178" s="246"/>
      <c r="I178" s="246"/>
      <c r="J178" s="246"/>
      <c r="K178" s="246"/>
      <c r="L178" s="230"/>
      <c r="M178" s="245"/>
      <c r="N178" s="245"/>
      <c r="O178" s="245"/>
      <c r="P178" s="245"/>
      <c r="Q178" s="245"/>
      <c r="R178" s="245"/>
      <c r="S178" s="245"/>
      <c r="T178" s="245"/>
      <c r="U178" s="245"/>
      <c r="V178" s="245"/>
      <c r="W178" s="245"/>
      <c r="X178" s="245"/>
      <c r="Y178" s="245"/>
      <c r="Z178" s="245"/>
      <c r="AA178" s="245"/>
      <c r="AB178" s="245"/>
      <c r="AC178" s="245"/>
      <c r="AD178" s="245"/>
      <c r="AE178" s="247"/>
      <c r="AF178" s="247"/>
      <c r="AG178" s="247"/>
    </row>
    <row r="179" spans="1:33" x14ac:dyDescent="0.35">
      <c r="A179" s="227" t="s">
        <v>864</v>
      </c>
      <c r="B179" s="228" t="s">
        <v>856</v>
      </c>
      <c r="C179" s="1863"/>
      <c r="D179" s="227"/>
      <c r="E179" s="1865"/>
      <c r="F179" s="246"/>
      <c r="G179" s="246"/>
      <c r="H179" s="246"/>
      <c r="I179" s="246"/>
      <c r="J179" s="246"/>
      <c r="K179" s="246"/>
      <c r="L179" s="246"/>
      <c r="M179" s="230"/>
      <c r="N179" s="245"/>
      <c r="O179" s="245"/>
      <c r="P179" s="245"/>
      <c r="Q179" s="245"/>
      <c r="R179" s="245"/>
      <c r="S179" s="245"/>
      <c r="T179" s="245"/>
      <c r="U179" s="245"/>
      <c r="V179" s="245"/>
      <c r="W179" s="245"/>
      <c r="X179" s="245"/>
      <c r="Y179" s="245"/>
      <c r="Z179" s="245"/>
      <c r="AA179" s="245"/>
      <c r="AB179" s="245"/>
      <c r="AC179" s="245"/>
      <c r="AD179" s="245"/>
      <c r="AE179" s="247"/>
      <c r="AF179" s="247"/>
      <c r="AG179" s="247"/>
    </row>
    <row r="180" spans="1:33" x14ac:dyDescent="0.35">
      <c r="A180" s="227" t="s">
        <v>864</v>
      </c>
      <c r="B180" s="228" t="s">
        <v>857</v>
      </c>
      <c r="C180" s="1863"/>
      <c r="D180" s="227"/>
      <c r="E180" s="1865"/>
      <c r="F180" s="246"/>
      <c r="G180" s="246"/>
      <c r="H180" s="246"/>
      <c r="I180" s="246"/>
      <c r="J180" s="246"/>
      <c r="K180" s="246"/>
      <c r="L180" s="246"/>
      <c r="M180" s="246"/>
      <c r="N180" s="230"/>
      <c r="O180" s="245"/>
      <c r="P180" s="245"/>
      <c r="Q180" s="245"/>
      <c r="R180" s="245"/>
      <c r="S180" s="245"/>
      <c r="T180" s="245"/>
      <c r="U180" s="245"/>
      <c r="V180" s="245"/>
      <c r="W180" s="245"/>
      <c r="X180" s="245"/>
      <c r="Y180" s="245"/>
      <c r="Z180" s="245"/>
      <c r="AA180" s="245"/>
      <c r="AB180" s="245"/>
      <c r="AC180" s="245"/>
      <c r="AD180" s="245"/>
      <c r="AE180" s="247"/>
      <c r="AF180" s="247"/>
      <c r="AG180" s="247"/>
    </row>
    <row r="181" spans="1:33" x14ac:dyDescent="0.35">
      <c r="A181" s="227" t="s">
        <v>864</v>
      </c>
      <c r="B181" s="228" t="s">
        <v>858</v>
      </c>
      <c r="C181" s="1863"/>
      <c r="D181" s="227"/>
      <c r="E181" s="1865"/>
      <c r="F181" s="246"/>
      <c r="G181" s="246"/>
      <c r="H181" s="246"/>
      <c r="I181" s="246"/>
      <c r="J181" s="246"/>
      <c r="K181" s="246"/>
      <c r="L181" s="246"/>
      <c r="M181" s="246"/>
      <c r="N181" s="246"/>
      <c r="O181" s="230"/>
      <c r="P181" s="245"/>
      <c r="Q181" s="245"/>
      <c r="R181" s="245"/>
      <c r="S181" s="245"/>
      <c r="T181" s="245"/>
      <c r="U181" s="245"/>
      <c r="V181" s="245"/>
      <c r="W181" s="245"/>
      <c r="X181" s="245"/>
      <c r="Y181" s="245"/>
      <c r="Z181" s="245"/>
      <c r="AA181" s="245"/>
      <c r="AB181" s="245"/>
      <c r="AC181" s="245"/>
      <c r="AD181" s="245"/>
      <c r="AE181" s="247"/>
      <c r="AF181" s="247"/>
      <c r="AG181" s="247"/>
    </row>
    <row r="182" spans="1:33" x14ac:dyDescent="0.35">
      <c r="A182" s="227" t="s">
        <v>864</v>
      </c>
      <c r="B182" s="228" t="s">
        <v>859</v>
      </c>
      <c r="C182" s="1863"/>
      <c r="D182" s="227"/>
      <c r="E182" s="1865"/>
      <c r="F182" s="246"/>
      <c r="G182" s="246"/>
      <c r="H182" s="246"/>
      <c r="I182" s="246"/>
      <c r="J182" s="246"/>
      <c r="K182" s="246"/>
      <c r="L182" s="246"/>
      <c r="M182" s="246"/>
      <c r="N182" s="246"/>
      <c r="O182" s="246"/>
      <c r="P182" s="230"/>
      <c r="Q182" s="245"/>
      <c r="R182" s="245"/>
      <c r="S182" s="245"/>
      <c r="T182" s="245"/>
      <c r="U182" s="245"/>
      <c r="V182" s="245"/>
      <c r="W182" s="245"/>
      <c r="X182" s="245"/>
      <c r="Y182" s="245"/>
      <c r="Z182" s="245"/>
      <c r="AA182" s="245"/>
      <c r="AB182" s="245"/>
      <c r="AC182" s="245"/>
      <c r="AD182" s="245"/>
      <c r="AE182" s="247"/>
      <c r="AF182" s="247"/>
      <c r="AG182" s="247"/>
    </row>
    <row r="183" spans="1:33" x14ac:dyDescent="0.35">
      <c r="A183" s="227" t="s">
        <v>864</v>
      </c>
      <c r="B183" s="228" t="s">
        <v>860</v>
      </c>
      <c r="C183" s="1863"/>
      <c r="D183" s="229"/>
      <c r="E183" s="1865"/>
      <c r="F183" s="246"/>
      <c r="G183" s="246"/>
      <c r="H183" s="246"/>
      <c r="I183" s="246"/>
      <c r="J183" s="246"/>
      <c r="K183" s="246"/>
      <c r="L183" s="246"/>
      <c r="M183" s="246"/>
      <c r="N183" s="246"/>
      <c r="O183" s="246"/>
      <c r="P183" s="246"/>
      <c r="Q183" s="230"/>
      <c r="R183" s="245"/>
      <c r="S183" s="245"/>
      <c r="T183" s="245"/>
      <c r="U183" s="245"/>
      <c r="V183" s="245"/>
      <c r="W183" s="245"/>
      <c r="X183" s="245"/>
      <c r="Y183" s="245"/>
      <c r="Z183" s="245"/>
      <c r="AA183" s="245"/>
      <c r="AB183" s="245"/>
      <c r="AC183" s="245"/>
      <c r="AD183" s="245"/>
      <c r="AE183" s="247"/>
      <c r="AF183" s="247"/>
      <c r="AG183" s="247"/>
    </row>
    <row r="184" spans="1:33" x14ac:dyDescent="0.35">
      <c r="A184" s="227" t="s">
        <v>864</v>
      </c>
      <c r="B184" s="228" t="s">
        <v>861</v>
      </c>
      <c r="C184" s="1863"/>
      <c r="D184" s="229"/>
      <c r="E184" s="1865"/>
      <c r="F184" s="246"/>
      <c r="G184" s="246"/>
      <c r="H184" s="246"/>
      <c r="I184" s="246"/>
      <c r="J184" s="246"/>
      <c r="K184" s="246"/>
      <c r="L184" s="246"/>
      <c r="M184" s="246"/>
      <c r="N184" s="246"/>
      <c r="O184" s="246"/>
      <c r="P184" s="246"/>
      <c r="Q184" s="246"/>
      <c r="R184" s="230"/>
      <c r="S184" s="245"/>
      <c r="T184" s="245"/>
      <c r="U184" s="245"/>
      <c r="V184" s="245"/>
      <c r="W184" s="245"/>
      <c r="X184" s="245"/>
      <c r="Y184" s="245"/>
      <c r="Z184" s="245"/>
      <c r="AA184" s="245"/>
      <c r="AB184" s="245"/>
      <c r="AC184" s="245"/>
      <c r="AD184" s="245"/>
      <c r="AE184" s="247"/>
      <c r="AF184" s="247"/>
      <c r="AG184" s="247"/>
    </row>
    <row r="185" spans="1:33" x14ac:dyDescent="0.35">
      <c r="A185" s="227" t="s">
        <v>864</v>
      </c>
      <c r="B185" s="228" t="s">
        <v>862</v>
      </c>
      <c r="C185" s="1863">
        <f>+'F5'!E21</f>
        <v>6.5979999999999997E-3</v>
      </c>
      <c r="D185" s="229"/>
      <c r="E185" s="1865">
        <f>+Assum!F114</f>
        <v>9.5000000000000001E-2</v>
      </c>
      <c r="F185" s="246"/>
      <c r="G185" s="246"/>
      <c r="H185" s="246"/>
      <c r="I185" s="246"/>
      <c r="J185" s="246"/>
      <c r="K185" s="246"/>
      <c r="L185" s="246"/>
      <c r="M185" s="246"/>
      <c r="N185" s="246"/>
      <c r="O185" s="246"/>
      <c r="P185" s="246"/>
      <c r="Q185" s="246"/>
      <c r="R185" s="246"/>
      <c r="S185" s="1869">
        <f>+'F5'!E65</f>
        <v>3.277E-4</v>
      </c>
      <c r="T185" s="1870">
        <f>+'F5'!J65</f>
        <v>5.6412900000000002E-4</v>
      </c>
      <c r="U185" s="1870">
        <f>+'F5'!O65</f>
        <v>5.6412900000000002E-4</v>
      </c>
      <c r="V185" s="1870">
        <f>+'F5'!T65</f>
        <v>5.6412900000000002E-4</v>
      </c>
      <c r="W185" s="1870">
        <f>+'F5'!E79</f>
        <v>5.6412900000000002E-4</v>
      </c>
      <c r="X185" s="1870">
        <f>+'F5'!J79</f>
        <v>5.6412900000000002E-4</v>
      </c>
      <c r="Y185" s="1870">
        <f>+'F5'!O79</f>
        <v>5.6412900000000002E-4</v>
      </c>
      <c r="Z185" s="1870">
        <f>+'F5'!T79</f>
        <v>6.2681E-4</v>
      </c>
      <c r="AA185" s="1870">
        <f>+'F5'!E93</f>
        <v>6.2681E-4</v>
      </c>
      <c r="AB185" s="1870">
        <f>+'F5'!J93</f>
        <v>6.0811566666666664E-4</v>
      </c>
      <c r="AC185" s="1870">
        <f>+'F5'!O93</f>
        <v>3.5475306666666641E-4</v>
      </c>
      <c r="AD185" s="1870">
        <f>+'F5'!T93</f>
        <v>9.2372666666667687E-6</v>
      </c>
      <c r="AE185" s="1863">
        <f>SUM(S185:AD185)</f>
        <v>5.9382000000000002E-3</v>
      </c>
      <c r="AF185" s="1865">
        <f>+AE185/C185</f>
        <v>0.90000000000000013</v>
      </c>
      <c r="AG185" s="1863">
        <f>+C185*90%-AE185</f>
        <v>0</v>
      </c>
    </row>
    <row r="186" spans="1:33" x14ac:dyDescent="0.35">
      <c r="A186" s="227" t="s">
        <v>864</v>
      </c>
      <c r="B186" s="228" t="s">
        <v>865</v>
      </c>
      <c r="C186" s="1863"/>
      <c r="D186" s="229"/>
      <c r="E186" s="1865"/>
      <c r="F186" s="246"/>
      <c r="G186" s="246"/>
      <c r="H186" s="246"/>
      <c r="I186" s="246"/>
      <c r="J186" s="246"/>
      <c r="K186" s="246"/>
      <c r="L186" s="246"/>
      <c r="M186" s="246"/>
      <c r="N186" s="246"/>
      <c r="O186" s="246"/>
      <c r="P186" s="246"/>
      <c r="Q186" s="246"/>
      <c r="R186" s="246"/>
      <c r="S186" s="246"/>
      <c r="T186" s="1869">
        <f>+$C186*$E186/2</f>
        <v>0</v>
      </c>
      <c r="U186" s="1870">
        <f t="shared" ref="U186:AD195" si="71">+$C186*$E186</f>
        <v>0</v>
      </c>
      <c r="V186" s="1870">
        <f t="shared" si="71"/>
        <v>0</v>
      </c>
      <c r="W186" s="1870">
        <f t="shared" si="71"/>
        <v>0</v>
      </c>
      <c r="X186" s="1870">
        <f t="shared" si="71"/>
        <v>0</v>
      </c>
      <c r="Y186" s="1870">
        <f t="shared" si="71"/>
        <v>0</v>
      </c>
      <c r="Z186" s="1870">
        <f t="shared" si="71"/>
        <v>0</v>
      </c>
      <c r="AA186" s="1870">
        <f t="shared" si="71"/>
        <v>0</v>
      </c>
      <c r="AB186" s="1870">
        <f t="shared" si="71"/>
        <v>0</v>
      </c>
      <c r="AC186" s="1870">
        <f t="shared" si="71"/>
        <v>0</v>
      </c>
      <c r="AD186" s="1870">
        <f t="shared" si="71"/>
        <v>0</v>
      </c>
      <c r="AE186" s="1863">
        <f t="shared" ref="AE186:AE196" si="72">SUM(S186:AD186)</f>
        <v>0</v>
      </c>
      <c r="AF186" s="1865"/>
      <c r="AG186" s="1863">
        <f t="shared" ref="AG186:AG188" si="73">+C186*90%-AE186</f>
        <v>0</v>
      </c>
    </row>
    <row r="187" spans="1:33" x14ac:dyDescent="0.35">
      <c r="A187" s="227" t="s">
        <v>864</v>
      </c>
      <c r="B187" s="228" t="s">
        <v>866</v>
      </c>
      <c r="C187" s="1863"/>
      <c r="D187" s="229"/>
      <c r="E187" s="1865"/>
      <c r="F187" s="246"/>
      <c r="G187" s="246"/>
      <c r="H187" s="246"/>
      <c r="I187" s="246"/>
      <c r="J187" s="246"/>
      <c r="K187" s="246"/>
      <c r="L187" s="246"/>
      <c r="M187" s="246"/>
      <c r="N187" s="246"/>
      <c r="O187" s="246"/>
      <c r="P187" s="246"/>
      <c r="Q187" s="246"/>
      <c r="R187" s="246"/>
      <c r="S187" s="246"/>
      <c r="T187" s="246"/>
      <c r="U187" s="1869">
        <f>+$C187*$E187/2</f>
        <v>0</v>
      </c>
      <c r="V187" s="1870">
        <f t="shared" si="71"/>
        <v>0</v>
      </c>
      <c r="W187" s="1870">
        <f t="shared" si="71"/>
        <v>0</v>
      </c>
      <c r="X187" s="1870">
        <f t="shared" si="71"/>
        <v>0</v>
      </c>
      <c r="Y187" s="1870">
        <f t="shared" si="71"/>
        <v>0</v>
      </c>
      <c r="Z187" s="1870">
        <f t="shared" si="71"/>
        <v>0</v>
      </c>
      <c r="AA187" s="1870">
        <f t="shared" si="71"/>
        <v>0</v>
      </c>
      <c r="AB187" s="1870">
        <f t="shared" si="71"/>
        <v>0</v>
      </c>
      <c r="AC187" s="1870">
        <f t="shared" si="71"/>
        <v>0</v>
      </c>
      <c r="AD187" s="1870">
        <f t="shared" si="71"/>
        <v>0</v>
      </c>
      <c r="AE187" s="1863">
        <f t="shared" si="72"/>
        <v>0</v>
      </c>
      <c r="AF187" s="1865"/>
      <c r="AG187" s="1863">
        <f t="shared" si="73"/>
        <v>0</v>
      </c>
    </row>
    <row r="188" spans="1:33" x14ac:dyDescent="0.35">
      <c r="A188" s="227" t="s">
        <v>864</v>
      </c>
      <c r="B188" s="228" t="s">
        <v>867</v>
      </c>
      <c r="C188" s="1863"/>
      <c r="D188" s="229"/>
      <c r="E188" s="1865"/>
      <c r="F188" s="246"/>
      <c r="G188" s="246"/>
      <c r="H188" s="246"/>
      <c r="I188" s="246"/>
      <c r="J188" s="246"/>
      <c r="K188" s="246"/>
      <c r="L188" s="246"/>
      <c r="M188" s="246"/>
      <c r="N188" s="246"/>
      <c r="O188" s="246"/>
      <c r="P188" s="246"/>
      <c r="Q188" s="246"/>
      <c r="R188" s="246"/>
      <c r="S188" s="246"/>
      <c r="T188" s="246"/>
      <c r="U188" s="246"/>
      <c r="V188" s="1869">
        <f>+$C188*$E188/2</f>
        <v>0</v>
      </c>
      <c r="W188" s="1870">
        <f t="shared" si="71"/>
        <v>0</v>
      </c>
      <c r="X188" s="1870">
        <f t="shared" si="71"/>
        <v>0</v>
      </c>
      <c r="Y188" s="1870">
        <f t="shared" si="71"/>
        <v>0</v>
      </c>
      <c r="Z188" s="1870">
        <f t="shared" si="71"/>
        <v>0</v>
      </c>
      <c r="AA188" s="1870">
        <f t="shared" si="71"/>
        <v>0</v>
      </c>
      <c r="AB188" s="1870">
        <f t="shared" si="71"/>
        <v>0</v>
      </c>
      <c r="AC188" s="1870">
        <f t="shared" si="71"/>
        <v>0</v>
      </c>
      <c r="AD188" s="1870">
        <f t="shared" si="71"/>
        <v>0</v>
      </c>
      <c r="AE188" s="1863">
        <f t="shared" si="72"/>
        <v>0</v>
      </c>
      <c r="AF188" s="1865"/>
      <c r="AG188" s="1863">
        <f t="shared" si="73"/>
        <v>0</v>
      </c>
    </row>
    <row r="189" spans="1:33" x14ac:dyDescent="0.35">
      <c r="A189" s="227" t="s">
        <v>864</v>
      </c>
      <c r="B189" s="228" t="s">
        <v>868</v>
      </c>
      <c r="C189" s="1863"/>
      <c r="D189" s="229"/>
      <c r="E189" s="1865"/>
      <c r="F189" s="246"/>
      <c r="G189" s="246"/>
      <c r="H189" s="246"/>
      <c r="I189" s="246"/>
      <c r="J189" s="246"/>
      <c r="K189" s="246"/>
      <c r="L189" s="246"/>
      <c r="M189" s="246"/>
      <c r="N189" s="246"/>
      <c r="O189" s="246"/>
      <c r="P189" s="246"/>
      <c r="Q189" s="246"/>
      <c r="R189" s="246"/>
      <c r="S189" s="246"/>
      <c r="T189" s="246"/>
      <c r="U189" s="246"/>
      <c r="V189" s="246"/>
      <c r="W189" s="1869">
        <f>+$C189*$E189/2</f>
        <v>0</v>
      </c>
      <c r="X189" s="1870">
        <f t="shared" si="71"/>
        <v>0</v>
      </c>
      <c r="Y189" s="1870">
        <f t="shared" si="71"/>
        <v>0</v>
      </c>
      <c r="Z189" s="1870">
        <f t="shared" si="71"/>
        <v>0</v>
      </c>
      <c r="AA189" s="1870">
        <f t="shared" si="71"/>
        <v>0</v>
      </c>
      <c r="AB189" s="1870">
        <f t="shared" si="71"/>
        <v>0</v>
      </c>
      <c r="AC189" s="1870">
        <f t="shared" si="71"/>
        <v>0</v>
      </c>
      <c r="AD189" s="1870">
        <f t="shared" si="71"/>
        <v>0</v>
      </c>
      <c r="AE189" s="1863">
        <f t="shared" si="72"/>
        <v>0</v>
      </c>
      <c r="AF189" s="1865"/>
      <c r="AG189" s="1863"/>
    </row>
    <row r="190" spans="1:33" x14ac:dyDescent="0.35">
      <c r="A190" s="227" t="s">
        <v>864</v>
      </c>
      <c r="B190" s="228" t="s">
        <v>869</v>
      </c>
      <c r="C190" s="1863"/>
      <c r="D190" s="229"/>
      <c r="E190" s="1865"/>
      <c r="F190" s="246"/>
      <c r="G190" s="246"/>
      <c r="H190" s="246"/>
      <c r="I190" s="246"/>
      <c r="J190" s="246"/>
      <c r="K190" s="246"/>
      <c r="L190" s="246"/>
      <c r="M190" s="246"/>
      <c r="N190" s="246"/>
      <c r="O190" s="246"/>
      <c r="P190" s="246"/>
      <c r="Q190" s="246"/>
      <c r="R190" s="246"/>
      <c r="S190" s="246"/>
      <c r="T190" s="246"/>
      <c r="U190" s="246"/>
      <c r="V190" s="246"/>
      <c r="W190" s="246"/>
      <c r="X190" s="1869">
        <f>+$C190*$E190/2</f>
        <v>0</v>
      </c>
      <c r="Y190" s="1870">
        <f t="shared" si="71"/>
        <v>0</v>
      </c>
      <c r="Z190" s="1870">
        <f t="shared" si="71"/>
        <v>0</v>
      </c>
      <c r="AA190" s="1870">
        <f t="shared" si="71"/>
        <v>0</v>
      </c>
      <c r="AB190" s="1870">
        <f t="shared" si="71"/>
        <v>0</v>
      </c>
      <c r="AC190" s="1870">
        <f t="shared" si="71"/>
        <v>0</v>
      </c>
      <c r="AD190" s="1870">
        <f t="shared" si="71"/>
        <v>0</v>
      </c>
      <c r="AE190" s="1863">
        <f t="shared" si="72"/>
        <v>0</v>
      </c>
      <c r="AF190" s="1865"/>
      <c r="AG190" s="1863">
        <f t="shared" ref="AG190" si="74">+C190*90%-AE190</f>
        <v>0</v>
      </c>
    </row>
    <row r="191" spans="1:33" x14ac:dyDescent="0.35">
      <c r="A191" s="227" t="s">
        <v>864</v>
      </c>
      <c r="B191" s="228" t="s">
        <v>870</v>
      </c>
      <c r="C191" s="1863"/>
      <c r="D191" s="229"/>
      <c r="E191" s="1865"/>
      <c r="F191" s="246"/>
      <c r="G191" s="246"/>
      <c r="H191" s="246"/>
      <c r="I191" s="246"/>
      <c r="J191" s="246"/>
      <c r="K191" s="246"/>
      <c r="L191" s="246"/>
      <c r="M191" s="246"/>
      <c r="N191" s="246"/>
      <c r="O191" s="246"/>
      <c r="P191" s="246"/>
      <c r="Q191" s="246"/>
      <c r="R191" s="246"/>
      <c r="S191" s="246"/>
      <c r="T191" s="246"/>
      <c r="U191" s="246"/>
      <c r="V191" s="246"/>
      <c r="W191" s="246"/>
      <c r="X191" s="246"/>
      <c r="Y191" s="1869">
        <f>+$C191*$E191/2</f>
        <v>0</v>
      </c>
      <c r="Z191" s="1870">
        <f t="shared" si="71"/>
        <v>0</v>
      </c>
      <c r="AA191" s="1870">
        <f t="shared" si="71"/>
        <v>0</v>
      </c>
      <c r="AB191" s="1870">
        <f t="shared" si="71"/>
        <v>0</v>
      </c>
      <c r="AC191" s="1870">
        <f t="shared" si="71"/>
        <v>0</v>
      </c>
      <c r="AD191" s="1870">
        <f t="shared" si="71"/>
        <v>0</v>
      </c>
      <c r="AE191" s="1863">
        <f t="shared" si="72"/>
        <v>0</v>
      </c>
      <c r="AF191" s="1865"/>
      <c r="AG191" s="1863"/>
    </row>
    <row r="192" spans="1:33" x14ac:dyDescent="0.35">
      <c r="A192" s="227" t="s">
        <v>864</v>
      </c>
      <c r="B192" s="228" t="s">
        <v>871</v>
      </c>
      <c r="C192" s="1863"/>
      <c r="D192" s="229"/>
      <c r="E192" s="1868"/>
      <c r="F192" s="246"/>
      <c r="G192" s="246"/>
      <c r="H192" s="246"/>
      <c r="I192" s="246"/>
      <c r="J192" s="246"/>
      <c r="K192" s="246"/>
      <c r="L192" s="246"/>
      <c r="M192" s="246"/>
      <c r="N192" s="246"/>
      <c r="O192" s="246"/>
      <c r="P192" s="246"/>
      <c r="Q192" s="246"/>
      <c r="R192" s="246"/>
      <c r="S192" s="246"/>
      <c r="T192" s="246"/>
      <c r="U192" s="246"/>
      <c r="V192" s="246"/>
      <c r="W192" s="246"/>
      <c r="X192" s="246"/>
      <c r="Y192" s="246"/>
      <c r="Z192" s="1869">
        <f>+$C192*$E192/2</f>
        <v>0</v>
      </c>
      <c r="AA192" s="1870">
        <f t="shared" si="71"/>
        <v>0</v>
      </c>
      <c r="AB192" s="1870">
        <f t="shared" si="71"/>
        <v>0</v>
      </c>
      <c r="AC192" s="1870">
        <f t="shared" si="71"/>
        <v>0</v>
      </c>
      <c r="AD192" s="1870">
        <f t="shared" si="71"/>
        <v>0</v>
      </c>
      <c r="AE192" s="1863">
        <f t="shared" si="72"/>
        <v>0</v>
      </c>
      <c r="AF192" s="1865"/>
      <c r="AG192" s="1863">
        <f t="shared" ref="AG192:AG196" si="75">+C192*90%-AE192</f>
        <v>0</v>
      </c>
    </row>
    <row r="193" spans="1:33" x14ac:dyDescent="0.35">
      <c r="A193" s="227" t="s">
        <v>864</v>
      </c>
      <c r="B193" s="228" t="s">
        <v>872</v>
      </c>
      <c r="C193" s="1863"/>
      <c r="D193" s="229"/>
      <c r="E193" s="1868"/>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1869">
        <f>+$C193*$E193/2</f>
        <v>0</v>
      </c>
      <c r="AB193" s="1870">
        <f t="shared" si="71"/>
        <v>0</v>
      </c>
      <c r="AC193" s="1870">
        <f t="shared" si="71"/>
        <v>0</v>
      </c>
      <c r="AD193" s="1870">
        <f t="shared" si="71"/>
        <v>0</v>
      </c>
      <c r="AE193" s="1863">
        <f t="shared" si="72"/>
        <v>0</v>
      </c>
      <c r="AF193" s="1865"/>
      <c r="AG193" s="1863">
        <f t="shared" si="75"/>
        <v>0</v>
      </c>
    </row>
    <row r="194" spans="1:33" x14ac:dyDescent="0.35">
      <c r="A194" s="227" t="s">
        <v>864</v>
      </c>
      <c r="B194" s="228" t="s">
        <v>873</v>
      </c>
      <c r="C194" s="1863"/>
      <c r="D194" s="229"/>
      <c r="E194" s="1868"/>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1869">
        <f>+$C194*$E194/2</f>
        <v>0</v>
      </c>
      <c r="AC194" s="1870">
        <f t="shared" si="71"/>
        <v>0</v>
      </c>
      <c r="AD194" s="1870">
        <f t="shared" si="71"/>
        <v>0</v>
      </c>
      <c r="AE194" s="1863">
        <f t="shared" si="72"/>
        <v>0</v>
      </c>
      <c r="AF194" s="1865"/>
      <c r="AG194" s="1863">
        <f t="shared" si="75"/>
        <v>0</v>
      </c>
    </row>
    <row r="195" spans="1:33" x14ac:dyDescent="0.35">
      <c r="A195" s="227" t="s">
        <v>864</v>
      </c>
      <c r="B195" s="228" t="s">
        <v>874</v>
      </c>
      <c r="C195" s="1863"/>
      <c r="D195" s="229"/>
      <c r="E195" s="1868"/>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1869">
        <f>+$C195*$E195/2</f>
        <v>0</v>
      </c>
      <c r="AD195" s="1870">
        <f t="shared" si="71"/>
        <v>0</v>
      </c>
      <c r="AE195" s="1863">
        <f t="shared" si="72"/>
        <v>0</v>
      </c>
      <c r="AF195" s="1865"/>
      <c r="AG195" s="1863">
        <f t="shared" si="75"/>
        <v>0</v>
      </c>
    </row>
    <row r="196" spans="1:33" x14ac:dyDescent="0.35">
      <c r="A196" s="227" t="s">
        <v>864</v>
      </c>
      <c r="B196" s="228" t="s">
        <v>875</v>
      </c>
      <c r="C196" s="1863"/>
      <c r="D196" s="229"/>
      <c r="E196" s="1868"/>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1869">
        <f>+$C196*$E196/2</f>
        <v>0</v>
      </c>
      <c r="AE196" s="1863">
        <f t="shared" si="72"/>
        <v>0</v>
      </c>
      <c r="AF196" s="1865"/>
      <c r="AG196" s="1863">
        <f t="shared" si="75"/>
        <v>0</v>
      </c>
    </row>
    <row r="197" spans="1:33" ht="13.15" x14ac:dyDescent="0.4">
      <c r="A197" s="231" t="s">
        <v>878</v>
      </c>
      <c r="B197" s="232" t="s">
        <v>164</v>
      </c>
      <c r="C197" s="1864">
        <f>SUM(C171:C196)</f>
        <v>6.5979999999999997E-3</v>
      </c>
      <c r="D197" s="233"/>
      <c r="E197" s="1867"/>
      <c r="F197" s="233"/>
      <c r="G197" s="233"/>
      <c r="H197" s="233"/>
      <c r="I197" s="233"/>
      <c r="J197" s="233"/>
      <c r="K197" s="233"/>
      <c r="L197" s="233"/>
      <c r="M197" s="233"/>
      <c r="N197" s="233"/>
      <c r="O197" s="233"/>
      <c r="P197" s="233"/>
      <c r="Q197" s="233"/>
      <c r="R197" s="233"/>
      <c r="S197" s="1864">
        <f>SUM(S185:S196)</f>
        <v>3.277E-4</v>
      </c>
      <c r="T197" s="1864">
        <f t="shared" ref="T197" si="76">SUM(T185:T196)</f>
        <v>5.6412900000000002E-4</v>
      </c>
      <c r="U197" s="1864">
        <f t="shared" ref="U197" si="77">SUM(U185:U196)</f>
        <v>5.6412900000000002E-4</v>
      </c>
      <c r="V197" s="1864">
        <f t="shared" ref="V197" si="78">SUM(V185:V196)</f>
        <v>5.6412900000000002E-4</v>
      </c>
      <c r="W197" s="1864">
        <f t="shared" ref="W197" si="79">SUM(W185:W196)</f>
        <v>5.6412900000000002E-4</v>
      </c>
      <c r="X197" s="1864">
        <f t="shared" ref="X197" si="80">SUM(X185:X196)</f>
        <v>5.6412900000000002E-4</v>
      </c>
      <c r="Y197" s="1864">
        <f t="shared" ref="Y197" si="81">SUM(Y185:Y196)</f>
        <v>5.6412900000000002E-4</v>
      </c>
      <c r="Z197" s="1864">
        <f t="shared" ref="Z197" si="82">SUM(Z185:Z196)</f>
        <v>6.2681E-4</v>
      </c>
      <c r="AA197" s="1864">
        <f t="shared" ref="AA197" si="83">SUM(AA185:AA196)</f>
        <v>6.2681E-4</v>
      </c>
      <c r="AB197" s="1864">
        <f t="shared" ref="AB197" si="84">SUM(AB185:AB196)</f>
        <v>6.0811566666666664E-4</v>
      </c>
      <c r="AC197" s="1864">
        <f t="shared" ref="AC197" si="85">SUM(AC185:AC196)</f>
        <v>3.5475306666666641E-4</v>
      </c>
      <c r="AD197" s="1864">
        <f t="shared" ref="AD197" si="86">SUM(AD185:AD196)</f>
        <v>9.2372666666667687E-6</v>
      </c>
      <c r="AE197" s="1864">
        <f t="shared" ref="AE197" si="87">SUM(AE185:AE196)</f>
        <v>5.9382000000000002E-3</v>
      </c>
      <c r="AF197" s="1867">
        <f t="shared" ref="AF197" si="88">+AE197/C197</f>
        <v>0.90000000000000013</v>
      </c>
      <c r="AG197" s="1864">
        <f t="shared" ref="AG197" si="89">SUM(AG185:AG196)</f>
        <v>0</v>
      </c>
    </row>
    <row r="201" spans="1:33" ht="13.15" x14ac:dyDescent="0.4">
      <c r="B201" s="222" t="s">
        <v>1269</v>
      </c>
      <c r="F201" s="243" t="s">
        <v>110</v>
      </c>
    </row>
    <row r="202" spans="1:33" ht="26.25" x14ac:dyDescent="0.4">
      <c r="A202" s="223"/>
      <c r="B202" s="224" t="s">
        <v>841</v>
      </c>
      <c r="C202" s="1881" t="s">
        <v>877</v>
      </c>
      <c r="D202" s="1883" t="s">
        <v>843</v>
      </c>
      <c r="E202" s="1885" t="s">
        <v>844</v>
      </c>
      <c r="F202" s="1887" t="s">
        <v>845</v>
      </c>
      <c r="G202" s="1888"/>
      <c r="H202" s="1888"/>
      <c r="I202" s="1888"/>
      <c r="J202" s="1888"/>
      <c r="K202" s="1888"/>
      <c r="L202" s="1888"/>
      <c r="M202" s="1888"/>
      <c r="N202" s="1888"/>
      <c r="O202" s="1888"/>
      <c r="P202" s="1888"/>
      <c r="Q202" s="1888"/>
      <c r="R202" s="1888"/>
      <c r="S202" s="1888"/>
      <c r="T202" s="1888"/>
      <c r="U202" s="1888"/>
      <c r="V202" s="1888"/>
      <c r="W202" s="1888"/>
      <c r="X202" s="1888"/>
      <c r="Y202" s="1888"/>
      <c r="Z202" s="1888"/>
      <c r="AA202" s="1888"/>
      <c r="AB202" s="1888"/>
      <c r="AC202" s="1888"/>
      <c r="AD202" s="1889"/>
      <c r="AE202" s="244" t="s">
        <v>846</v>
      </c>
      <c r="AF202" s="244" t="s">
        <v>847</v>
      </c>
      <c r="AG202" s="244" t="s">
        <v>848</v>
      </c>
    </row>
    <row r="203" spans="1:33" ht="13.15" x14ac:dyDescent="0.35">
      <c r="A203" s="223"/>
      <c r="B203" s="224"/>
      <c r="C203" s="1882"/>
      <c r="D203" s="1884"/>
      <c r="E203" s="1886"/>
      <c r="F203" s="226" t="s">
        <v>849</v>
      </c>
      <c r="G203" s="226" t="s">
        <v>850</v>
      </c>
      <c r="H203" s="226" t="s">
        <v>851</v>
      </c>
      <c r="I203" s="226" t="s">
        <v>852</v>
      </c>
      <c r="J203" s="226" t="s">
        <v>853</v>
      </c>
      <c r="K203" s="226" t="s">
        <v>854</v>
      </c>
      <c r="L203" s="226" t="s">
        <v>855</v>
      </c>
      <c r="M203" s="226" t="s">
        <v>856</v>
      </c>
      <c r="N203" s="226" t="s">
        <v>857</v>
      </c>
      <c r="O203" s="226" t="s">
        <v>858</v>
      </c>
      <c r="P203" s="226" t="s">
        <v>859</v>
      </c>
      <c r="Q203" s="226" t="s">
        <v>860</v>
      </c>
      <c r="R203" s="226" t="s">
        <v>861</v>
      </c>
      <c r="S203" s="226" t="s">
        <v>862</v>
      </c>
      <c r="T203" s="226" t="s">
        <v>197</v>
      </c>
      <c r="U203" s="226" t="s">
        <v>198</v>
      </c>
      <c r="V203" s="226" t="s">
        <v>199</v>
      </c>
      <c r="W203" s="226" t="s">
        <v>112</v>
      </c>
      <c r="X203" s="226" t="s">
        <v>113</v>
      </c>
      <c r="Y203" s="226" t="s">
        <v>114</v>
      </c>
      <c r="Z203" s="226" t="s">
        <v>123</v>
      </c>
      <c r="AA203" s="226" t="s">
        <v>124</v>
      </c>
      <c r="AB203" s="226" t="s">
        <v>125</v>
      </c>
      <c r="AC203" s="226" t="s">
        <v>126</v>
      </c>
      <c r="AD203" s="226" t="s">
        <v>127</v>
      </c>
      <c r="AE203" s="244"/>
      <c r="AF203" s="244"/>
      <c r="AG203" s="244"/>
    </row>
    <row r="204" spans="1:33" x14ac:dyDescent="0.35">
      <c r="A204" s="227" t="s">
        <v>863</v>
      </c>
      <c r="B204" s="228">
        <v>2005</v>
      </c>
      <c r="C204" s="1863"/>
      <c r="D204" s="227"/>
      <c r="E204" s="186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7"/>
      <c r="AF204" s="247"/>
      <c r="AG204" s="247"/>
    </row>
    <row r="205" spans="1:33" x14ac:dyDescent="0.35">
      <c r="A205" s="227" t="s">
        <v>864</v>
      </c>
      <c r="B205" s="228" t="s">
        <v>849</v>
      </c>
      <c r="C205" s="1863"/>
      <c r="D205" s="227"/>
      <c r="E205" s="1865"/>
      <c r="F205" s="230"/>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7"/>
      <c r="AF205" s="247"/>
      <c r="AG205" s="247"/>
    </row>
    <row r="206" spans="1:33" x14ac:dyDescent="0.35">
      <c r="A206" s="227" t="s">
        <v>864</v>
      </c>
      <c r="B206" s="228" t="s">
        <v>850</v>
      </c>
      <c r="C206" s="1863"/>
      <c r="D206" s="227"/>
      <c r="E206" s="1865"/>
      <c r="F206" s="246"/>
      <c r="G206" s="230"/>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7"/>
      <c r="AF206" s="247"/>
      <c r="AG206" s="247"/>
    </row>
    <row r="207" spans="1:33" x14ac:dyDescent="0.35">
      <c r="A207" s="227" t="s">
        <v>864</v>
      </c>
      <c r="B207" s="228" t="s">
        <v>851</v>
      </c>
      <c r="C207" s="1863"/>
      <c r="D207" s="227"/>
      <c r="E207" s="1865"/>
      <c r="F207" s="246"/>
      <c r="G207" s="246"/>
      <c r="H207" s="230"/>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7"/>
      <c r="AF207" s="247"/>
      <c r="AG207" s="247"/>
    </row>
    <row r="208" spans="1:33" x14ac:dyDescent="0.35">
      <c r="A208" s="227" t="s">
        <v>864</v>
      </c>
      <c r="B208" s="228" t="s">
        <v>852</v>
      </c>
      <c r="C208" s="1863"/>
      <c r="D208" s="227"/>
      <c r="E208" s="1865"/>
      <c r="F208" s="246"/>
      <c r="G208" s="246"/>
      <c r="H208" s="246"/>
      <c r="I208" s="230"/>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7"/>
      <c r="AF208" s="247"/>
      <c r="AG208" s="247"/>
    </row>
    <row r="209" spans="1:33" x14ac:dyDescent="0.35">
      <c r="A209" s="227" t="s">
        <v>864</v>
      </c>
      <c r="B209" s="228" t="s">
        <v>853</v>
      </c>
      <c r="C209" s="1863"/>
      <c r="D209" s="227"/>
      <c r="E209" s="1865"/>
      <c r="F209" s="246"/>
      <c r="G209" s="246"/>
      <c r="H209" s="246"/>
      <c r="I209" s="246"/>
      <c r="J209" s="230"/>
      <c r="K209" s="245"/>
      <c r="L209" s="245"/>
      <c r="M209" s="245"/>
      <c r="N209" s="245"/>
      <c r="O209" s="245"/>
      <c r="P209" s="245"/>
      <c r="Q209" s="245"/>
      <c r="R209" s="245"/>
      <c r="S209" s="245"/>
      <c r="T209" s="245"/>
      <c r="U209" s="245"/>
      <c r="V209" s="245"/>
      <c r="W209" s="245"/>
      <c r="X209" s="245"/>
      <c r="Y209" s="245"/>
      <c r="Z209" s="245"/>
      <c r="AA209" s="245"/>
      <c r="AB209" s="245"/>
      <c r="AC209" s="245"/>
      <c r="AD209" s="245"/>
      <c r="AE209" s="247"/>
      <c r="AF209" s="247"/>
      <c r="AG209" s="247"/>
    </row>
    <row r="210" spans="1:33" x14ac:dyDescent="0.35">
      <c r="A210" s="227" t="s">
        <v>864</v>
      </c>
      <c r="B210" s="228" t="s">
        <v>854</v>
      </c>
      <c r="C210" s="1863"/>
      <c r="D210" s="227"/>
      <c r="E210" s="1865"/>
      <c r="F210" s="246"/>
      <c r="G210" s="246"/>
      <c r="H210" s="246"/>
      <c r="I210" s="246"/>
      <c r="J210" s="246"/>
      <c r="K210" s="230"/>
      <c r="L210" s="245"/>
      <c r="M210" s="245"/>
      <c r="N210" s="245"/>
      <c r="O210" s="245"/>
      <c r="P210" s="245"/>
      <c r="Q210" s="245"/>
      <c r="R210" s="245"/>
      <c r="S210" s="245"/>
      <c r="T210" s="245"/>
      <c r="U210" s="245"/>
      <c r="V210" s="245"/>
      <c r="W210" s="245"/>
      <c r="X210" s="245"/>
      <c r="Y210" s="245"/>
      <c r="Z210" s="245"/>
      <c r="AA210" s="245"/>
      <c r="AB210" s="245"/>
      <c r="AC210" s="245"/>
      <c r="AD210" s="245"/>
      <c r="AE210" s="247"/>
      <c r="AF210" s="247"/>
      <c r="AG210" s="247"/>
    </row>
    <row r="211" spans="1:33" x14ac:dyDescent="0.35">
      <c r="A211" s="227" t="s">
        <v>864</v>
      </c>
      <c r="B211" s="228" t="s">
        <v>855</v>
      </c>
      <c r="C211" s="1863"/>
      <c r="D211" s="227"/>
      <c r="E211" s="1865"/>
      <c r="F211" s="246"/>
      <c r="G211" s="246"/>
      <c r="H211" s="246"/>
      <c r="I211" s="246"/>
      <c r="J211" s="246"/>
      <c r="K211" s="246"/>
      <c r="L211" s="230"/>
      <c r="M211" s="245"/>
      <c r="N211" s="245"/>
      <c r="O211" s="245"/>
      <c r="P211" s="245"/>
      <c r="Q211" s="245"/>
      <c r="R211" s="245"/>
      <c r="S211" s="245"/>
      <c r="T211" s="245"/>
      <c r="U211" s="245"/>
      <c r="V211" s="245"/>
      <c r="W211" s="245"/>
      <c r="X211" s="245"/>
      <c r="Y211" s="245"/>
      <c r="Z211" s="245"/>
      <c r="AA211" s="245"/>
      <c r="AB211" s="245"/>
      <c r="AC211" s="245"/>
      <c r="AD211" s="245"/>
      <c r="AE211" s="247"/>
      <c r="AF211" s="247"/>
      <c r="AG211" s="247"/>
    </row>
    <row r="212" spans="1:33" x14ac:dyDescent="0.35">
      <c r="A212" s="227" t="s">
        <v>864</v>
      </c>
      <c r="B212" s="228" t="s">
        <v>856</v>
      </c>
      <c r="C212" s="1863"/>
      <c r="D212" s="227"/>
      <c r="E212" s="1865"/>
      <c r="F212" s="246"/>
      <c r="G212" s="246"/>
      <c r="H212" s="246"/>
      <c r="I212" s="246"/>
      <c r="J212" s="246"/>
      <c r="K212" s="246"/>
      <c r="L212" s="246"/>
      <c r="M212" s="230"/>
      <c r="N212" s="245"/>
      <c r="O212" s="245"/>
      <c r="P212" s="245"/>
      <c r="Q212" s="245"/>
      <c r="R212" s="245"/>
      <c r="S212" s="245"/>
      <c r="T212" s="245"/>
      <c r="U212" s="245"/>
      <c r="V212" s="245"/>
      <c r="W212" s="245"/>
      <c r="X212" s="245"/>
      <c r="Y212" s="245"/>
      <c r="Z212" s="245"/>
      <c r="AA212" s="245"/>
      <c r="AB212" s="245"/>
      <c r="AC212" s="245"/>
      <c r="AD212" s="245"/>
      <c r="AE212" s="247"/>
      <c r="AF212" s="247"/>
      <c r="AG212" s="247"/>
    </row>
    <row r="213" spans="1:33" x14ac:dyDescent="0.35">
      <c r="A213" s="227" t="s">
        <v>864</v>
      </c>
      <c r="B213" s="228" t="s">
        <v>857</v>
      </c>
      <c r="C213" s="1863"/>
      <c r="D213" s="227"/>
      <c r="E213" s="1865"/>
      <c r="F213" s="246"/>
      <c r="G213" s="246"/>
      <c r="H213" s="246"/>
      <c r="I213" s="246"/>
      <c r="J213" s="246"/>
      <c r="K213" s="246"/>
      <c r="L213" s="246"/>
      <c r="M213" s="246"/>
      <c r="N213" s="230"/>
      <c r="O213" s="245"/>
      <c r="P213" s="245"/>
      <c r="Q213" s="245"/>
      <c r="R213" s="245"/>
      <c r="S213" s="245"/>
      <c r="T213" s="245"/>
      <c r="U213" s="245"/>
      <c r="V213" s="245"/>
      <c r="W213" s="245"/>
      <c r="X213" s="245"/>
      <c r="Y213" s="245"/>
      <c r="Z213" s="245"/>
      <c r="AA213" s="245"/>
      <c r="AB213" s="245"/>
      <c r="AC213" s="245"/>
      <c r="AD213" s="245"/>
      <c r="AE213" s="247"/>
      <c r="AF213" s="247"/>
      <c r="AG213" s="247"/>
    </row>
    <row r="214" spans="1:33" x14ac:dyDescent="0.35">
      <c r="A214" s="227" t="s">
        <v>864</v>
      </c>
      <c r="B214" s="228" t="s">
        <v>858</v>
      </c>
      <c r="C214" s="1863"/>
      <c r="D214" s="227"/>
      <c r="E214" s="1865"/>
      <c r="F214" s="246"/>
      <c r="G214" s="246"/>
      <c r="H214" s="246"/>
      <c r="I214" s="246"/>
      <c r="J214" s="246"/>
      <c r="K214" s="246"/>
      <c r="L214" s="246"/>
      <c r="M214" s="246"/>
      <c r="N214" s="246"/>
      <c r="O214" s="230"/>
      <c r="P214" s="245"/>
      <c r="Q214" s="245"/>
      <c r="R214" s="245"/>
      <c r="S214" s="245"/>
      <c r="T214" s="245"/>
      <c r="U214" s="245"/>
      <c r="V214" s="245"/>
      <c r="W214" s="245"/>
      <c r="X214" s="245"/>
      <c r="Y214" s="245"/>
      <c r="Z214" s="245"/>
      <c r="AA214" s="245"/>
      <c r="AB214" s="245"/>
      <c r="AC214" s="245"/>
      <c r="AD214" s="245"/>
      <c r="AE214" s="247"/>
      <c r="AF214" s="247"/>
      <c r="AG214" s="247"/>
    </row>
    <row r="215" spans="1:33" x14ac:dyDescent="0.35">
      <c r="A215" s="227" t="s">
        <v>864</v>
      </c>
      <c r="B215" s="228" t="s">
        <v>859</v>
      </c>
      <c r="C215" s="1863"/>
      <c r="D215" s="227"/>
      <c r="E215" s="1865"/>
      <c r="F215" s="246"/>
      <c r="G215" s="246"/>
      <c r="H215" s="246"/>
      <c r="I215" s="246"/>
      <c r="J215" s="246"/>
      <c r="K215" s="246"/>
      <c r="L215" s="246"/>
      <c r="M215" s="246"/>
      <c r="N215" s="246"/>
      <c r="O215" s="246"/>
      <c r="P215" s="230"/>
      <c r="Q215" s="245"/>
      <c r="R215" s="245"/>
      <c r="S215" s="245"/>
      <c r="T215" s="245"/>
      <c r="U215" s="245"/>
      <c r="V215" s="245"/>
      <c r="W215" s="245"/>
      <c r="X215" s="245"/>
      <c r="Y215" s="245"/>
      <c r="Z215" s="245"/>
      <c r="AA215" s="245"/>
      <c r="AB215" s="245"/>
      <c r="AC215" s="245"/>
      <c r="AD215" s="245"/>
      <c r="AE215" s="247"/>
      <c r="AF215" s="247"/>
      <c r="AG215" s="247"/>
    </row>
    <row r="216" spans="1:33" x14ac:dyDescent="0.35">
      <c r="A216" s="227" t="s">
        <v>864</v>
      </c>
      <c r="B216" s="228" t="s">
        <v>860</v>
      </c>
      <c r="C216" s="1863"/>
      <c r="D216" s="229"/>
      <c r="E216" s="1865"/>
      <c r="F216" s="246"/>
      <c r="G216" s="246"/>
      <c r="H216" s="246"/>
      <c r="I216" s="246"/>
      <c r="J216" s="246"/>
      <c r="K216" s="246"/>
      <c r="L216" s="246"/>
      <c r="M216" s="246"/>
      <c r="N216" s="246"/>
      <c r="O216" s="246"/>
      <c r="P216" s="246"/>
      <c r="Q216" s="230"/>
      <c r="R216" s="245"/>
      <c r="S216" s="245"/>
      <c r="T216" s="245"/>
      <c r="U216" s="245"/>
      <c r="V216" s="245"/>
      <c r="W216" s="245"/>
      <c r="X216" s="245"/>
      <c r="Y216" s="245"/>
      <c r="Z216" s="245"/>
      <c r="AA216" s="245"/>
      <c r="AB216" s="245"/>
      <c r="AC216" s="245"/>
      <c r="AD216" s="245"/>
      <c r="AE216" s="247"/>
      <c r="AF216" s="247"/>
      <c r="AG216" s="247"/>
    </row>
    <row r="217" spans="1:33" x14ac:dyDescent="0.35">
      <c r="A217" s="227" t="s">
        <v>864</v>
      </c>
      <c r="B217" s="228" t="s">
        <v>861</v>
      </c>
      <c r="C217" s="1863"/>
      <c r="D217" s="229"/>
      <c r="E217" s="1865"/>
      <c r="F217" s="246"/>
      <c r="G217" s="246"/>
      <c r="H217" s="246"/>
      <c r="I217" s="246"/>
      <c r="J217" s="246"/>
      <c r="K217" s="246"/>
      <c r="L217" s="246"/>
      <c r="M217" s="246"/>
      <c r="N217" s="246"/>
      <c r="O217" s="246"/>
      <c r="P217" s="246"/>
      <c r="Q217" s="246"/>
      <c r="R217" s="230"/>
      <c r="S217" s="245"/>
      <c r="T217" s="245"/>
      <c r="U217" s="245"/>
      <c r="V217" s="245"/>
      <c r="W217" s="245"/>
      <c r="X217" s="245"/>
      <c r="Y217" s="245"/>
      <c r="Z217" s="245"/>
      <c r="AA217" s="245"/>
      <c r="AB217" s="245"/>
      <c r="AC217" s="245"/>
      <c r="AD217" s="245"/>
      <c r="AE217" s="247"/>
      <c r="AF217" s="247"/>
      <c r="AG217" s="247"/>
    </row>
    <row r="218" spans="1:33" x14ac:dyDescent="0.35">
      <c r="A218" s="227" t="s">
        <v>864</v>
      </c>
      <c r="B218" s="228" t="s">
        <v>862</v>
      </c>
      <c r="C218" s="1863">
        <f>+'F5'!E22</f>
        <v>2.7142294999999997E-2</v>
      </c>
      <c r="D218" s="229"/>
      <c r="E218" s="1865">
        <f>+Assum!$F$115</f>
        <v>0.15</v>
      </c>
      <c r="F218" s="246"/>
      <c r="G218" s="246"/>
      <c r="H218" s="246"/>
      <c r="I218" s="246"/>
      <c r="J218" s="246"/>
      <c r="K218" s="246"/>
      <c r="L218" s="246"/>
      <c r="M218" s="246"/>
      <c r="N218" s="246"/>
      <c r="O218" s="246"/>
      <c r="P218" s="246"/>
      <c r="Q218" s="246"/>
      <c r="R218" s="246"/>
      <c r="S218" s="1869">
        <f>+'F5'!E66</f>
        <v>3.6619000000000001E-3</v>
      </c>
      <c r="T218" s="1870">
        <f>+$C218*$E218</f>
        <v>4.0713442499999992E-3</v>
      </c>
      <c r="U218" s="1870">
        <f t="shared" ref="U218:AD226" si="90">+$C218*$E218</f>
        <v>4.0713442499999992E-3</v>
      </c>
      <c r="V218" s="1870">
        <f t="shared" si="90"/>
        <v>4.0713442499999992E-3</v>
      </c>
      <c r="W218" s="1870">
        <f t="shared" si="90"/>
        <v>4.0713442499999992E-3</v>
      </c>
      <c r="X218" s="1870">
        <f t="shared" si="90"/>
        <v>4.0713442499999992E-3</v>
      </c>
      <c r="Y218" s="1870">
        <f>+C218*90%-SUM(S218:X218)</f>
        <v>4.0944425000000867E-4</v>
      </c>
      <c r="Z218" s="1870"/>
      <c r="AA218" s="1870"/>
      <c r="AB218" s="1870"/>
      <c r="AC218" s="1870"/>
      <c r="AD218" s="1870"/>
      <c r="AE218" s="1863">
        <f>SUM(S218:AD218)</f>
        <v>2.4428065499999999E-2</v>
      </c>
      <c r="AF218" s="1865">
        <f>+AE218/C218</f>
        <v>0.9</v>
      </c>
      <c r="AG218" s="1863">
        <f>+C218*90%-AE218</f>
        <v>0</v>
      </c>
    </row>
    <row r="219" spans="1:33" x14ac:dyDescent="0.35">
      <c r="A219" s="227" t="s">
        <v>864</v>
      </c>
      <c r="B219" s="228" t="s">
        <v>865</v>
      </c>
      <c r="C219" s="1863"/>
      <c r="D219" s="229"/>
      <c r="E219" s="1868"/>
      <c r="F219" s="246"/>
      <c r="G219" s="246"/>
      <c r="H219" s="246"/>
      <c r="I219" s="246"/>
      <c r="J219" s="246"/>
      <c r="K219" s="246"/>
      <c r="L219" s="246"/>
      <c r="M219" s="246"/>
      <c r="N219" s="246"/>
      <c r="O219" s="246"/>
      <c r="P219" s="246"/>
      <c r="Q219" s="246"/>
      <c r="R219" s="246"/>
      <c r="S219" s="246"/>
      <c r="T219" s="1869">
        <f>+$C219*$E219/2</f>
        <v>0</v>
      </c>
      <c r="U219" s="1870">
        <f t="shared" si="90"/>
        <v>0</v>
      </c>
      <c r="V219" s="1870">
        <f t="shared" si="90"/>
        <v>0</v>
      </c>
      <c r="W219" s="1870">
        <f t="shared" si="90"/>
        <v>0</v>
      </c>
      <c r="X219" s="1870">
        <f t="shared" si="90"/>
        <v>0</v>
      </c>
      <c r="Y219" s="1870">
        <f t="shared" si="90"/>
        <v>0</v>
      </c>
      <c r="Z219" s="1870">
        <f t="shared" si="90"/>
        <v>0</v>
      </c>
      <c r="AA219" s="1870">
        <f t="shared" si="90"/>
        <v>0</v>
      </c>
      <c r="AB219" s="1870">
        <f t="shared" si="90"/>
        <v>0</v>
      </c>
      <c r="AC219" s="1870"/>
      <c r="AD219" s="1870"/>
      <c r="AE219" s="1863">
        <f t="shared" ref="AE219:AE229" si="91">SUM(S219:AD219)</f>
        <v>0</v>
      </c>
      <c r="AF219" s="1865"/>
      <c r="AG219" s="1863">
        <f t="shared" ref="AG219:AG221" si="92">+C219*90%-AE219</f>
        <v>0</v>
      </c>
    </row>
    <row r="220" spans="1:33" x14ac:dyDescent="0.35">
      <c r="A220" s="227" t="s">
        <v>864</v>
      </c>
      <c r="B220" s="228" t="s">
        <v>866</v>
      </c>
      <c r="C220" s="1863">
        <f>+'F5'!O22</f>
        <v>2.0641824E-2</v>
      </c>
      <c r="D220" s="229"/>
      <c r="E220" s="1865">
        <f>+Assum!$F$115</f>
        <v>0.15</v>
      </c>
      <c r="F220" s="246"/>
      <c r="G220" s="246"/>
      <c r="H220" s="246"/>
      <c r="I220" s="246"/>
      <c r="J220" s="246"/>
      <c r="K220" s="246"/>
      <c r="L220" s="246"/>
      <c r="M220" s="246"/>
      <c r="N220" s="246"/>
      <c r="O220" s="246"/>
      <c r="P220" s="246"/>
      <c r="Q220" s="246"/>
      <c r="R220" s="246"/>
      <c r="S220" s="246"/>
      <c r="T220" s="246"/>
      <c r="U220" s="1869">
        <f>+$C220*$E220/4</f>
        <v>7.7406839999999996E-4</v>
      </c>
      <c r="V220" s="1870">
        <f t="shared" si="90"/>
        <v>3.0962735999999999E-3</v>
      </c>
      <c r="W220" s="1870">
        <f t="shared" si="90"/>
        <v>3.0962735999999999E-3</v>
      </c>
      <c r="X220" s="1870">
        <f t="shared" si="90"/>
        <v>3.0962735999999999E-3</v>
      </c>
      <c r="Y220" s="1870">
        <f t="shared" si="90"/>
        <v>3.0962735999999999E-3</v>
      </c>
      <c r="Z220" s="1870">
        <f t="shared" si="90"/>
        <v>3.0962735999999999E-3</v>
      </c>
      <c r="AA220" s="1870">
        <f>$C220*90%-SUM($U220:Z220)</f>
        <v>2.3222052E-3</v>
      </c>
      <c r="AB220" s="1870"/>
      <c r="AC220" s="1870"/>
      <c r="AD220" s="1870"/>
      <c r="AE220" s="1863">
        <f t="shared" si="91"/>
        <v>1.85776416E-2</v>
      </c>
      <c r="AF220" s="1865">
        <f t="shared" ref="AF220:AF222" si="93">+AE220/C220</f>
        <v>0.9</v>
      </c>
      <c r="AG220" s="1863">
        <f t="shared" si="92"/>
        <v>0</v>
      </c>
    </row>
    <row r="221" spans="1:33" x14ac:dyDescent="0.35">
      <c r="A221" s="227" t="s">
        <v>864</v>
      </c>
      <c r="B221" s="228" t="s">
        <v>867</v>
      </c>
      <c r="C221" s="1863">
        <f>+'F5'!T22</f>
        <v>4.4700120000000006E-3</v>
      </c>
      <c r="D221" s="229"/>
      <c r="E221" s="1865">
        <f>+Assum!$F$115</f>
        <v>0.15</v>
      </c>
      <c r="F221" s="246"/>
      <c r="G221" s="246"/>
      <c r="H221" s="246"/>
      <c r="I221" s="246"/>
      <c r="J221" s="246"/>
      <c r="K221" s="246"/>
      <c r="L221" s="246"/>
      <c r="M221" s="246"/>
      <c r="N221" s="246"/>
      <c r="O221" s="246"/>
      <c r="P221" s="246"/>
      <c r="Q221" s="246"/>
      <c r="R221" s="246"/>
      <c r="S221" s="246"/>
      <c r="T221" s="246"/>
      <c r="U221" s="246"/>
      <c r="V221" s="1869">
        <f>+$C221*$E221/4</f>
        <v>1.6762545000000001E-4</v>
      </c>
      <c r="W221" s="1870">
        <f t="shared" si="90"/>
        <v>6.7050180000000005E-4</v>
      </c>
      <c r="X221" s="1870">
        <f t="shared" si="90"/>
        <v>6.7050180000000005E-4</v>
      </c>
      <c r="Y221" s="1870">
        <f t="shared" si="90"/>
        <v>6.7050180000000005E-4</v>
      </c>
      <c r="Z221" s="1870">
        <f t="shared" si="90"/>
        <v>6.7050180000000005E-4</v>
      </c>
      <c r="AA221" s="1870">
        <f t="shared" si="90"/>
        <v>6.7050180000000005E-4</v>
      </c>
      <c r="AB221" s="1870">
        <f>C221*90%-SUM(U221:AA221)</f>
        <v>5.0287635000000053E-4</v>
      </c>
      <c r="AC221" s="1870"/>
      <c r="AD221" s="1870"/>
      <c r="AE221" s="1863">
        <f t="shared" si="91"/>
        <v>4.0230108000000007E-3</v>
      </c>
      <c r="AF221" s="1865">
        <f t="shared" si="93"/>
        <v>0.9</v>
      </c>
      <c r="AG221" s="1863">
        <f t="shared" si="92"/>
        <v>0</v>
      </c>
    </row>
    <row r="222" spans="1:33" x14ac:dyDescent="0.35">
      <c r="A222" s="227" t="s">
        <v>864</v>
      </c>
      <c r="B222" s="228" t="s">
        <v>868</v>
      </c>
      <c r="C222" s="1863">
        <f>+'F5'!E36</f>
        <v>9.9499820000000013E-3</v>
      </c>
      <c r="D222" s="229"/>
      <c r="E222" s="1865">
        <f>+Assum!$F$115</f>
        <v>0.15</v>
      </c>
      <c r="F222" s="246"/>
      <c r="G222" s="246"/>
      <c r="H222" s="246"/>
      <c r="I222" s="246"/>
      <c r="J222" s="246"/>
      <c r="K222" s="246"/>
      <c r="L222" s="246"/>
      <c r="M222" s="246"/>
      <c r="N222" s="246"/>
      <c r="O222" s="246"/>
      <c r="P222" s="246"/>
      <c r="Q222" s="246"/>
      <c r="R222" s="246"/>
      <c r="S222" s="246"/>
      <c r="T222" s="246"/>
      <c r="U222" s="246"/>
      <c r="V222" s="246"/>
      <c r="W222" s="1869">
        <f>+$C222*$E222/4</f>
        <v>3.7312432500000002E-4</v>
      </c>
      <c r="X222" s="1870">
        <f t="shared" si="90"/>
        <v>1.4924973000000001E-3</v>
      </c>
      <c r="Y222" s="1870">
        <f t="shared" si="90"/>
        <v>1.4924973000000001E-3</v>
      </c>
      <c r="Z222" s="1870">
        <f t="shared" si="90"/>
        <v>1.4924973000000001E-3</v>
      </c>
      <c r="AA222" s="1870">
        <f t="shared" si="90"/>
        <v>1.4924973000000001E-3</v>
      </c>
      <c r="AB222" s="1870">
        <f t="shared" si="90"/>
        <v>1.4924973000000001E-3</v>
      </c>
      <c r="AC222" s="1870">
        <f>$C222*90%-SUM($U222:AB222)</f>
        <v>1.1193729750000013E-3</v>
      </c>
      <c r="AD222" s="1870"/>
      <c r="AE222" s="1863">
        <f t="shared" si="91"/>
        <v>8.9549838000000017E-3</v>
      </c>
      <c r="AF222" s="1865">
        <f t="shared" si="93"/>
        <v>0.9</v>
      </c>
      <c r="AG222" s="1863"/>
    </row>
    <row r="223" spans="1:33" x14ac:dyDescent="0.35">
      <c r="A223" s="227" t="s">
        <v>864</v>
      </c>
      <c r="B223" s="228" t="s">
        <v>869</v>
      </c>
      <c r="C223" s="1863">
        <f>+'F5'!J36</f>
        <v>7.1090724999999994E-2</v>
      </c>
      <c r="D223" s="229"/>
      <c r="E223" s="1865">
        <f>+Assum!$F$115</f>
        <v>0.15</v>
      </c>
      <c r="F223" s="246"/>
      <c r="G223" s="246"/>
      <c r="H223" s="246"/>
      <c r="I223" s="246"/>
      <c r="J223" s="246"/>
      <c r="K223" s="246"/>
      <c r="L223" s="246"/>
      <c r="M223" s="246"/>
      <c r="N223" s="246"/>
      <c r="O223" s="246"/>
      <c r="P223" s="246"/>
      <c r="Q223" s="246"/>
      <c r="R223" s="246"/>
      <c r="S223" s="246"/>
      <c r="T223" s="246"/>
      <c r="U223" s="246"/>
      <c r="V223" s="246"/>
      <c r="W223" s="246"/>
      <c r="X223" s="1869">
        <f>+$C223*$E223/4</f>
        <v>2.6659021874999998E-3</v>
      </c>
      <c r="Y223" s="1870">
        <f t="shared" si="90"/>
        <v>1.0663608749999999E-2</v>
      </c>
      <c r="Z223" s="1870">
        <f t="shared" si="90"/>
        <v>1.0663608749999999E-2</v>
      </c>
      <c r="AA223" s="1870">
        <f t="shared" si="90"/>
        <v>1.0663608749999999E-2</v>
      </c>
      <c r="AB223" s="1870">
        <f t="shared" si="90"/>
        <v>1.0663608749999999E-2</v>
      </c>
      <c r="AC223" s="1870">
        <f t="shared" si="90"/>
        <v>1.0663608749999999E-2</v>
      </c>
      <c r="AD223" s="1870">
        <f>90%*C223-SUM(S223:AC223)</f>
        <v>7.9977065625000052E-3</v>
      </c>
      <c r="AE223" s="1863">
        <f t="shared" si="91"/>
        <v>6.39816525E-2</v>
      </c>
      <c r="AF223" s="1865">
        <f t="shared" ref="AF223:AF224" si="94">+AE223/C223</f>
        <v>0.90000000000000013</v>
      </c>
      <c r="AG223" s="1863">
        <f t="shared" ref="AG223" si="95">+C223*90%-AE223</f>
        <v>0</v>
      </c>
    </row>
    <row r="224" spans="1:33" x14ac:dyDescent="0.35">
      <c r="A224" s="227" t="s">
        <v>864</v>
      </c>
      <c r="B224" s="228" t="s">
        <v>870</v>
      </c>
      <c r="C224" s="1863">
        <f>+'F5'!O36</f>
        <v>1.0511319999999999E-2</v>
      </c>
      <c r="D224" s="229"/>
      <c r="E224" s="1865">
        <f>+Assum!$F$115</f>
        <v>0.15</v>
      </c>
      <c r="F224" s="246"/>
      <c r="G224" s="246"/>
      <c r="H224" s="246"/>
      <c r="I224" s="246"/>
      <c r="J224" s="246"/>
      <c r="K224" s="246"/>
      <c r="L224" s="246"/>
      <c r="M224" s="246"/>
      <c r="N224" s="246"/>
      <c r="O224" s="246"/>
      <c r="P224" s="246"/>
      <c r="Q224" s="246"/>
      <c r="R224" s="246"/>
      <c r="S224" s="246"/>
      <c r="T224" s="246"/>
      <c r="U224" s="246"/>
      <c r="V224" s="246"/>
      <c r="W224" s="246"/>
      <c r="X224" s="246"/>
      <c r="Y224" s="1869">
        <f>+$C224*$E224/4</f>
        <v>3.9417449999999996E-4</v>
      </c>
      <c r="Z224" s="1870">
        <f t="shared" si="90"/>
        <v>1.5766979999999999E-3</v>
      </c>
      <c r="AA224" s="1870">
        <f t="shared" si="90"/>
        <v>1.5766979999999999E-3</v>
      </c>
      <c r="AB224" s="1870">
        <f t="shared" si="90"/>
        <v>1.5766979999999999E-3</v>
      </c>
      <c r="AC224" s="1870">
        <f t="shared" si="90"/>
        <v>1.5766979999999999E-3</v>
      </c>
      <c r="AD224" s="1870">
        <f t="shared" si="90"/>
        <v>1.5766979999999999E-3</v>
      </c>
      <c r="AE224" s="1863">
        <f t="shared" si="91"/>
        <v>8.2776644999999986E-3</v>
      </c>
      <c r="AF224" s="1865">
        <f t="shared" si="94"/>
        <v>0.78749999999999987</v>
      </c>
      <c r="AG224" s="1863"/>
    </row>
    <row r="225" spans="1:33" x14ac:dyDescent="0.35">
      <c r="A225" s="227" t="s">
        <v>864</v>
      </c>
      <c r="B225" s="228" t="s">
        <v>871</v>
      </c>
      <c r="C225" s="1863"/>
      <c r="D225" s="229"/>
      <c r="E225" s="1868"/>
      <c r="F225" s="246"/>
      <c r="G225" s="246"/>
      <c r="H225" s="246"/>
      <c r="I225" s="246"/>
      <c r="J225" s="246"/>
      <c r="K225" s="246"/>
      <c r="L225" s="246"/>
      <c r="M225" s="246"/>
      <c r="N225" s="246"/>
      <c r="O225" s="246"/>
      <c r="P225" s="246"/>
      <c r="Q225" s="246"/>
      <c r="R225" s="246"/>
      <c r="S225" s="246"/>
      <c r="T225" s="246"/>
      <c r="U225" s="246"/>
      <c r="V225" s="246"/>
      <c r="W225" s="246"/>
      <c r="X225" s="246"/>
      <c r="Y225" s="246"/>
      <c r="Z225" s="1869">
        <f>+$C225*$E225/2</f>
        <v>0</v>
      </c>
      <c r="AA225" s="1870">
        <f t="shared" si="90"/>
        <v>0</v>
      </c>
      <c r="AB225" s="1870">
        <f t="shared" si="90"/>
        <v>0</v>
      </c>
      <c r="AC225" s="1870"/>
      <c r="AD225" s="1870"/>
      <c r="AE225" s="1863">
        <f t="shared" si="91"/>
        <v>0</v>
      </c>
      <c r="AF225" s="1865"/>
      <c r="AG225" s="1863">
        <f t="shared" ref="AG225:AG229" si="96">+C225*90%-AE225</f>
        <v>0</v>
      </c>
    </row>
    <row r="226" spans="1:33" x14ac:dyDescent="0.35">
      <c r="A226" s="227" t="s">
        <v>864</v>
      </c>
      <c r="B226" s="228" t="s">
        <v>872</v>
      </c>
      <c r="C226" s="1863"/>
      <c r="D226" s="229"/>
      <c r="E226" s="1868"/>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1869">
        <f>+$C226*$E226/2</f>
        <v>0</v>
      </c>
      <c r="AB226" s="1870">
        <f t="shared" si="90"/>
        <v>0</v>
      </c>
      <c r="AC226" s="1870"/>
      <c r="AD226" s="1870"/>
      <c r="AE226" s="1863">
        <f t="shared" si="91"/>
        <v>0</v>
      </c>
      <c r="AF226" s="1865"/>
      <c r="AG226" s="1863">
        <f t="shared" si="96"/>
        <v>0</v>
      </c>
    </row>
    <row r="227" spans="1:33" x14ac:dyDescent="0.35">
      <c r="A227" s="227" t="s">
        <v>864</v>
      </c>
      <c r="B227" s="228" t="s">
        <v>873</v>
      </c>
      <c r="C227" s="1863"/>
      <c r="D227" s="229"/>
      <c r="E227" s="1868"/>
      <c r="F227" s="246"/>
      <c r="G227" s="246"/>
      <c r="H227" s="246"/>
      <c r="I227" s="246"/>
      <c r="J227" s="246"/>
      <c r="K227" s="246"/>
      <c r="L227" s="246"/>
      <c r="M227" s="246"/>
      <c r="N227" s="246"/>
      <c r="O227" s="246"/>
      <c r="P227" s="246"/>
      <c r="Q227" s="246"/>
      <c r="R227" s="246"/>
      <c r="S227" s="246"/>
      <c r="T227" s="246"/>
      <c r="U227" s="246"/>
      <c r="V227" s="246"/>
      <c r="W227" s="246"/>
      <c r="X227" s="246"/>
      <c r="Y227" s="246"/>
      <c r="Z227" s="246"/>
      <c r="AA227" s="246"/>
      <c r="AB227" s="1869">
        <f>+$C227*$E227/2</f>
        <v>0</v>
      </c>
      <c r="AC227" s="1870"/>
      <c r="AD227" s="1870"/>
      <c r="AE227" s="1863">
        <f t="shared" si="91"/>
        <v>0</v>
      </c>
      <c r="AF227" s="1865"/>
      <c r="AG227" s="1863">
        <f t="shared" si="96"/>
        <v>0</v>
      </c>
    </row>
    <row r="228" spans="1:33" x14ac:dyDescent="0.35">
      <c r="A228" s="227" t="s">
        <v>864</v>
      </c>
      <c r="B228" s="228" t="s">
        <v>874</v>
      </c>
      <c r="C228" s="1863"/>
      <c r="D228" s="229"/>
      <c r="E228" s="1868"/>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1869"/>
      <c r="AD228" s="1870"/>
      <c r="AE228" s="1863">
        <f t="shared" si="91"/>
        <v>0</v>
      </c>
      <c r="AF228" s="1865"/>
      <c r="AG228" s="1863">
        <f t="shared" si="96"/>
        <v>0</v>
      </c>
    </row>
    <row r="229" spans="1:33" x14ac:dyDescent="0.35">
      <c r="A229" s="227" t="s">
        <v>864</v>
      </c>
      <c r="B229" s="228" t="s">
        <v>875</v>
      </c>
      <c r="C229" s="1863"/>
      <c r="D229" s="229"/>
      <c r="E229" s="1868"/>
      <c r="F229" s="246"/>
      <c r="G229" s="246"/>
      <c r="H229" s="246"/>
      <c r="I229" s="246"/>
      <c r="J229" s="246"/>
      <c r="K229" s="246"/>
      <c r="L229" s="246"/>
      <c r="M229" s="246"/>
      <c r="N229" s="246"/>
      <c r="O229" s="246"/>
      <c r="P229" s="246"/>
      <c r="Q229" s="246"/>
      <c r="R229" s="246"/>
      <c r="S229" s="246"/>
      <c r="T229" s="246"/>
      <c r="U229" s="246"/>
      <c r="V229" s="246"/>
      <c r="W229" s="246"/>
      <c r="X229" s="246"/>
      <c r="Y229" s="246"/>
      <c r="Z229" s="246"/>
      <c r="AA229" s="246"/>
      <c r="AB229" s="246"/>
      <c r="AC229" s="246"/>
      <c r="AD229" s="1869"/>
      <c r="AE229" s="1863">
        <f t="shared" si="91"/>
        <v>0</v>
      </c>
      <c r="AF229" s="1865"/>
      <c r="AG229" s="1863">
        <f t="shared" si="96"/>
        <v>0</v>
      </c>
    </row>
    <row r="230" spans="1:33" ht="13.15" x14ac:dyDescent="0.4">
      <c r="A230" s="231"/>
      <c r="B230" s="232" t="s">
        <v>164</v>
      </c>
      <c r="C230" s="1864">
        <f>SUM(C204:C229)</f>
        <v>0.14380615799999999</v>
      </c>
      <c r="D230" s="233"/>
      <c r="E230" s="1867"/>
      <c r="F230" s="233"/>
      <c r="G230" s="233"/>
      <c r="H230" s="233"/>
      <c r="I230" s="233"/>
      <c r="J230" s="233"/>
      <c r="K230" s="233"/>
      <c r="L230" s="233"/>
      <c r="M230" s="233"/>
      <c r="N230" s="233"/>
      <c r="O230" s="233"/>
      <c r="P230" s="233"/>
      <c r="Q230" s="233"/>
      <c r="R230" s="233"/>
      <c r="S230" s="1864">
        <f>SUM(S218:S229)</f>
        <v>3.6619000000000001E-3</v>
      </c>
      <c r="T230" s="1864">
        <f t="shared" ref="T230" si="97">SUM(T218:T229)</f>
        <v>4.0713442499999992E-3</v>
      </c>
      <c r="U230" s="1864">
        <f t="shared" ref="U230" si="98">SUM(U218:U229)</f>
        <v>4.8454126499999995E-3</v>
      </c>
      <c r="V230" s="1864">
        <f t="shared" ref="V230" si="99">SUM(V218:V229)</f>
        <v>7.3352432999999988E-3</v>
      </c>
      <c r="W230" s="1864">
        <f t="shared" ref="W230" si="100">SUM(W218:W229)</f>
        <v>8.2112439749999992E-3</v>
      </c>
      <c r="X230" s="1864">
        <f t="shared" ref="X230" si="101">SUM(X218:X229)</f>
        <v>1.1996519137499998E-2</v>
      </c>
      <c r="Y230" s="1864">
        <f t="shared" ref="Y230" si="102">SUM(Y218:Y229)</f>
        <v>1.6726500200000008E-2</v>
      </c>
      <c r="Z230" s="1864">
        <f t="shared" ref="Z230" si="103">SUM(Z218:Z229)</f>
        <v>1.749957945E-2</v>
      </c>
      <c r="AA230" s="1864">
        <f t="shared" ref="AA230" si="104">SUM(AA218:AA229)</f>
        <v>1.6725511049999999E-2</v>
      </c>
      <c r="AB230" s="1864">
        <f t="shared" ref="AB230" si="105">SUM(AB218:AB229)</f>
        <v>1.4235680400000001E-2</v>
      </c>
      <c r="AC230" s="1864">
        <f t="shared" ref="AC230" si="106">SUM(AC218:AC229)</f>
        <v>1.3359679725E-2</v>
      </c>
      <c r="AD230" s="1864">
        <f t="shared" ref="AD230" si="107">SUM(AD218:AD229)</f>
        <v>9.5744045625000048E-3</v>
      </c>
      <c r="AE230" s="1864">
        <f t="shared" ref="AE230" si="108">SUM(AE218:AE229)</f>
        <v>0.12824301870000002</v>
      </c>
      <c r="AF230" s="1867">
        <f t="shared" ref="AF230" si="109">+AE230/C230</f>
        <v>0.89177696201298995</v>
      </c>
      <c r="AG230" s="1864">
        <f t="shared" ref="AG230" si="110">SUM(AG218:AG229)</f>
        <v>0</v>
      </c>
    </row>
    <row r="234" spans="1:33" ht="13.15" x14ac:dyDescent="0.4">
      <c r="B234" s="222" t="s">
        <v>1270</v>
      </c>
      <c r="F234" s="243" t="s">
        <v>110</v>
      </c>
    </row>
    <row r="235" spans="1:33" ht="26.25" x14ac:dyDescent="0.4">
      <c r="A235" s="223"/>
      <c r="B235" s="224" t="s">
        <v>841</v>
      </c>
      <c r="C235" s="1881" t="s">
        <v>877</v>
      </c>
      <c r="D235" s="1883" t="s">
        <v>843</v>
      </c>
      <c r="E235" s="1885" t="s">
        <v>844</v>
      </c>
      <c r="F235" s="1887" t="s">
        <v>845</v>
      </c>
      <c r="G235" s="1888"/>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9"/>
      <c r="AE235" s="244" t="s">
        <v>846</v>
      </c>
      <c r="AF235" s="244" t="s">
        <v>847</v>
      </c>
      <c r="AG235" s="244" t="s">
        <v>848</v>
      </c>
    </row>
    <row r="236" spans="1:33" ht="13.15" x14ac:dyDescent="0.35">
      <c r="A236" s="223"/>
      <c r="B236" s="224"/>
      <c r="C236" s="1882"/>
      <c r="D236" s="1884"/>
      <c r="E236" s="1886"/>
      <c r="F236" s="226" t="s">
        <v>849</v>
      </c>
      <c r="G236" s="226" t="s">
        <v>850</v>
      </c>
      <c r="H236" s="226" t="s">
        <v>851</v>
      </c>
      <c r="I236" s="226" t="s">
        <v>852</v>
      </c>
      <c r="J236" s="226" t="s">
        <v>853</v>
      </c>
      <c r="K236" s="226" t="s">
        <v>854</v>
      </c>
      <c r="L236" s="226" t="s">
        <v>855</v>
      </c>
      <c r="M236" s="226" t="s">
        <v>856</v>
      </c>
      <c r="N236" s="226" t="s">
        <v>857</v>
      </c>
      <c r="O236" s="226" t="s">
        <v>858</v>
      </c>
      <c r="P236" s="226" t="s">
        <v>859</v>
      </c>
      <c r="Q236" s="226" t="s">
        <v>860</v>
      </c>
      <c r="R236" s="226" t="s">
        <v>861</v>
      </c>
      <c r="S236" s="226" t="s">
        <v>862</v>
      </c>
      <c r="T236" s="226" t="s">
        <v>197</v>
      </c>
      <c r="U236" s="226" t="s">
        <v>198</v>
      </c>
      <c r="V236" s="226" t="s">
        <v>199</v>
      </c>
      <c r="W236" s="226" t="s">
        <v>112</v>
      </c>
      <c r="X236" s="226" t="s">
        <v>113</v>
      </c>
      <c r="Y236" s="226" t="s">
        <v>114</v>
      </c>
      <c r="Z236" s="226" t="s">
        <v>123</v>
      </c>
      <c r="AA236" s="226" t="s">
        <v>124</v>
      </c>
      <c r="AB236" s="226" t="s">
        <v>125</v>
      </c>
      <c r="AC236" s="226" t="s">
        <v>126</v>
      </c>
      <c r="AD236" s="226" t="s">
        <v>127</v>
      </c>
      <c r="AE236" s="244"/>
      <c r="AF236" s="244"/>
      <c r="AG236" s="244"/>
    </row>
    <row r="237" spans="1:33" x14ac:dyDescent="0.35">
      <c r="A237" s="227" t="s">
        <v>863</v>
      </c>
      <c r="B237" s="228">
        <v>2005</v>
      </c>
      <c r="C237" s="1863"/>
      <c r="D237" s="227"/>
      <c r="E237" s="186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7"/>
      <c r="AF237" s="247"/>
      <c r="AG237" s="247"/>
    </row>
    <row r="238" spans="1:33" x14ac:dyDescent="0.35">
      <c r="A238" s="227" t="s">
        <v>864</v>
      </c>
      <c r="B238" s="228" t="s">
        <v>849</v>
      </c>
      <c r="C238" s="1863"/>
      <c r="D238" s="227"/>
      <c r="E238" s="1865"/>
      <c r="F238" s="230"/>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7"/>
      <c r="AF238" s="247"/>
      <c r="AG238" s="247"/>
    </row>
    <row r="239" spans="1:33" x14ac:dyDescent="0.35">
      <c r="A239" s="227" t="s">
        <v>864</v>
      </c>
      <c r="B239" s="228" t="s">
        <v>850</v>
      </c>
      <c r="C239" s="1863"/>
      <c r="D239" s="227"/>
      <c r="E239" s="1865"/>
      <c r="F239" s="246"/>
      <c r="G239" s="230"/>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45"/>
      <c r="AE239" s="247"/>
      <c r="AF239" s="247"/>
      <c r="AG239" s="247"/>
    </row>
    <row r="240" spans="1:33" x14ac:dyDescent="0.35">
      <c r="A240" s="227" t="s">
        <v>864</v>
      </c>
      <c r="B240" s="228" t="s">
        <v>851</v>
      </c>
      <c r="C240" s="1863"/>
      <c r="D240" s="227"/>
      <c r="E240" s="1865"/>
      <c r="F240" s="246"/>
      <c r="G240" s="246"/>
      <c r="H240" s="230"/>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245"/>
      <c r="AE240" s="247"/>
      <c r="AF240" s="247"/>
      <c r="AG240" s="247"/>
    </row>
    <row r="241" spans="1:33" x14ac:dyDescent="0.35">
      <c r="A241" s="227" t="s">
        <v>864</v>
      </c>
      <c r="B241" s="228" t="s">
        <v>852</v>
      </c>
      <c r="C241" s="1863"/>
      <c r="D241" s="227"/>
      <c r="E241" s="1865"/>
      <c r="F241" s="246"/>
      <c r="G241" s="246"/>
      <c r="H241" s="246"/>
      <c r="I241" s="230"/>
      <c r="J241" s="245"/>
      <c r="K241" s="245"/>
      <c r="L241" s="245"/>
      <c r="M241" s="245"/>
      <c r="N241" s="245"/>
      <c r="O241" s="245"/>
      <c r="P241" s="245"/>
      <c r="Q241" s="245"/>
      <c r="R241" s="245"/>
      <c r="S241" s="245"/>
      <c r="T241" s="245"/>
      <c r="U241" s="245"/>
      <c r="V241" s="245"/>
      <c r="W241" s="245"/>
      <c r="X241" s="245"/>
      <c r="Y241" s="245"/>
      <c r="Z241" s="245"/>
      <c r="AA241" s="245"/>
      <c r="AB241" s="245"/>
      <c r="AC241" s="245"/>
      <c r="AD241" s="245"/>
      <c r="AE241" s="247"/>
      <c r="AF241" s="247"/>
      <c r="AG241" s="247"/>
    </row>
    <row r="242" spans="1:33" x14ac:dyDescent="0.35">
      <c r="A242" s="227" t="s">
        <v>864</v>
      </c>
      <c r="B242" s="228" t="s">
        <v>853</v>
      </c>
      <c r="C242" s="1863"/>
      <c r="D242" s="227"/>
      <c r="E242" s="1865"/>
      <c r="F242" s="246"/>
      <c r="G242" s="246"/>
      <c r="H242" s="246"/>
      <c r="I242" s="246"/>
      <c r="J242" s="230"/>
      <c r="K242" s="245"/>
      <c r="L242" s="245"/>
      <c r="M242" s="245"/>
      <c r="N242" s="245"/>
      <c r="O242" s="245"/>
      <c r="P242" s="245"/>
      <c r="Q242" s="245"/>
      <c r="R242" s="245"/>
      <c r="S242" s="245"/>
      <c r="T242" s="245"/>
      <c r="U242" s="245"/>
      <c r="V242" s="245"/>
      <c r="W242" s="245"/>
      <c r="X242" s="245"/>
      <c r="Y242" s="245"/>
      <c r="Z242" s="245"/>
      <c r="AA242" s="245"/>
      <c r="AB242" s="245"/>
      <c r="AC242" s="245"/>
      <c r="AD242" s="245"/>
      <c r="AE242" s="247"/>
      <c r="AF242" s="247"/>
      <c r="AG242" s="247"/>
    </row>
    <row r="243" spans="1:33" x14ac:dyDescent="0.35">
      <c r="A243" s="227" t="s">
        <v>864</v>
      </c>
      <c r="B243" s="228" t="s">
        <v>854</v>
      </c>
      <c r="C243" s="1863"/>
      <c r="D243" s="227"/>
      <c r="E243" s="1865"/>
      <c r="F243" s="246"/>
      <c r="G243" s="246"/>
      <c r="H243" s="246"/>
      <c r="I243" s="246"/>
      <c r="J243" s="246"/>
      <c r="K243" s="230"/>
      <c r="L243" s="245"/>
      <c r="M243" s="245"/>
      <c r="N243" s="245"/>
      <c r="O243" s="245"/>
      <c r="P243" s="245"/>
      <c r="Q243" s="245"/>
      <c r="R243" s="245"/>
      <c r="S243" s="245"/>
      <c r="T243" s="245"/>
      <c r="U243" s="245"/>
      <c r="V243" s="245"/>
      <c r="W243" s="245"/>
      <c r="X243" s="245"/>
      <c r="Y243" s="245"/>
      <c r="Z243" s="245"/>
      <c r="AA243" s="245"/>
      <c r="AB243" s="245"/>
      <c r="AC243" s="245"/>
      <c r="AD243" s="245"/>
      <c r="AE243" s="247"/>
      <c r="AF243" s="247"/>
      <c r="AG243" s="247"/>
    </row>
    <row r="244" spans="1:33" x14ac:dyDescent="0.35">
      <c r="A244" s="227" t="s">
        <v>864</v>
      </c>
      <c r="B244" s="228" t="s">
        <v>855</v>
      </c>
      <c r="C244" s="1863"/>
      <c r="D244" s="227"/>
      <c r="E244" s="1865"/>
      <c r="F244" s="246"/>
      <c r="G244" s="246"/>
      <c r="H244" s="246"/>
      <c r="I244" s="246"/>
      <c r="J244" s="246"/>
      <c r="K244" s="246"/>
      <c r="L244" s="230"/>
      <c r="M244" s="245"/>
      <c r="N244" s="245"/>
      <c r="O244" s="245"/>
      <c r="P244" s="245"/>
      <c r="Q244" s="245"/>
      <c r="R244" s="245"/>
      <c r="S244" s="245"/>
      <c r="T244" s="245"/>
      <c r="U244" s="245"/>
      <c r="V244" s="245"/>
      <c r="W244" s="245"/>
      <c r="X244" s="245"/>
      <c r="Y244" s="245"/>
      <c r="Z244" s="245"/>
      <c r="AA244" s="245"/>
      <c r="AB244" s="245"/>
      <c r="AC244" s="245"/>
      <c r="AD244" s="245"/>
      <c r="AE244" s="247"/>
      <c r="AF244" s="247"/>
      <c r="AG244" s="247"/>
    </row>
    <row r="245" spans="1:33" x14ac:dyDescent="0.35">
      <c r="A245" s="227" t="s">
        <v>864</v>
      </c>
      <c r="B245" s="228" t="s">
        <v>856</v>
      </c>
      <c r="C245" s="1863"/>
      <c r="D245" s="227"/>
      <c r="E245" s="1865"/>
      <c r="F245" s="246"/>
      <c r="G245" s="246"/>
      <c r="H245" s="246"/>
      <c r="I245" s="246"/>
      <c r="J245" s="246"/>
      <c r="K245" s="246"/>
      <c r="L245" s="246"/>
      <c r="M245" s="230"/>
      <c r="N245" s="245"/>
      <c r="O245" s="245"/>
      <c r="P245" s="245"/>
      <c r="Q245" s="245"/>
      <c r="R245" s="245"/>
      <c r="S245" s="245"/>
      <c r="T245" s="245"/>
      <c r="U245" s="245"/>
      <c r="V245" s="245"/>
      <c r="W245" s="245"/>
      <c r="X245" s="245"/>
      <c r="Y245" s="245"/>
      <c r="Z245" s="245"/>
      <c r="AA245" s="245"/>
      <c r="AB245" s="245"/>
      <c r="AC245" s="245"/>
      <c r="AD245" s="245"/>
      <c r="AE245" s="247"/>
      <c r="AF245" s="247"/>
      <c r="AG245" s="247"/>
    </row>
    <row r="246" spans="1:33" x14ac:dyDescent="0.35">
      <c r="A246" s="227" t="s">
        <v>864</v>
      </c>
      <c r="B246" s="228" t="s">
        <v>857</v>
      </c>
      <c r="C246" s="1863"/>
      <c r="D246" s="227"/>
      <c r="E246" s="1865"/>
      <c r="F246" s="246"/>
      <c r="G246" s="246"/>
      <c r="H246" s="246"/>
      <c r="I246" s="246"/>
      <c r="J246" s="246"/>
      <c r="K246" s="246"/>
      <c r="L246" s="246"/>
      <c r="M246" s="246"/>
      <c r="N246" s="230"/>
      <c r="O246" s="245"/>
      <c r="P246" s="245"/>
      <c r="Q246" s="245"/>
      <c r="R246" s="245"/>
      <c r="S246" s="245"/>
      <c r="T246" s="245"/>
      <c r="U246" s="245"/>
      <c r="V246" s="245"/>
      <c r="W246" s="245"/>
      <c r="X246" s="245"/>
      <c r="Y246" s="245"/>
      <c r="Z246" s="245"/>
      <c r="AA246" s="245"/>
      <c r="AB246" s="245"/>
      <c r="AC246" s="245"/>
      <c r="AD246" s="245"/>
      <c r="AE246" s="247"/>
      <c r="AF246" s="247"/>
      <c r="AG246" s="247"/>
    </row>
    <row r="247" spans="1:33" x14ac:dyDescent="0.35">
      <c r="A247" s="227" t="s">
        <v>864</v>
      </c>
      <c r="B247" s="228" t="s">
        <v>858</v>
      </c>
      <c r="C247" s="1863"/>
      <c r="D247" s="227"/>
      <c r="E247" s="1865"/>
      <c r="F247" s="246"/>
      <c r="G247" s="246"/>
      <c r="H247" s="246"/>
      <c r="I247" s="246"/>
      <c r="J247" s="246"/>
      <c r="K247" s="246"/>
      <c r="L247" s="246"/>
      <c r="M247" s="246"/>
      <c r="N247" s="246"/>
      <c r="O247" s="230"/>
      <c r="P247" s="245"/>
      <c r="Q247" s="245"/>
      <c r="R247" s="245"/>
      <c r="S247" s="245"/>
      <c r="T247" s="245"/>
      <c r="U247" s="245"/>
      <c r="V247" s="245"/>
      <c r="W247" s="245"/>
      <c r="X247" s="245"/>
      <c r="Y247" s="245"/>
      <c r="Z247" s="245"/>
      <c r="AA247" s="245"/>
      <c r="AB247" s="245"/>
      <c r="AC247" s="245"/>
      <c r="AD247" s="245"/>
      <c r="AE247" s="247"/>
      <c r="AF247" s="247"/>
      <c r="AG247" s="247"/>
    </row>
    <row r="248" spans="1:33" x14ac:dyDescent="0.35">
      <c r="A248" s="227" t="s">
        <v>864</v>
      </c>
      <c r="B248" s="228" t="s">
        <v>859</v>
      </c>
      <c r="C248" s="1863"/>
      <c r="D248" s="227"/>
      <c r="E248" s="1865"/>
      <c r="F248" s="246"/>
      <c r="G248" s="246"/>
      <c r="H248" s="246"/>
      <c r="I248" s="246"/>
      <c r="J248" s="246"/>
      <c r="K248" s="246"/>
      <c r="L248" s="246"/>
      <c r="M248" s="246"/>
      <c r="N248" s="246"/>
      <c r="O248" s="246"/>
      <c r="P248" s="230"/>
      <c r="Q248" s="245"/>
      <c r="R248" s="245"/>
      <c r="S248" s="245"/>
      <c r="T248" s="245"/>
      <c r="U248" s="245"/>
      <c r="V248" s="245"/>
      <c r="W248" s="245"/>
      <c r="X248" s="245"/>
      <c r="Y248" s="245"/>
      <c r="Z248" s="245"/>
      <c r="AA248" s="245"/>
      <c r="AB248" s="245"/>
      <c r="AC248" s="245"/>
      <c r="AD248" s="245"/>
      <c r="AE248" s="247"/>
      <c r="AF248" s="247"/>
      <c r="AG248" s="247"/>
    </row>
    <row r="249" spans="1:33" x14ac:dyDescent="0.35">
      <c r="A249" s="227" t="s">
        <v>864</v>
      </c>
      <c r="B249" s="228" t="s">
        <v>860</v>
      </c>
      <c r="C249" s="1863"/>
      <c r="D249" s="229"/>
      <c r="E249" s="1865"/>
      <c r="F249" s="246"/>
      <c r="G249" s="246"/>
      <c r="H249" s="246"/>
      <c r="I249" s="246"/>
      <c r="J249" s="246"/>
      <c r="K249" s="246"/>
      <c r="L249" s="246"/>
      <c r="M249" s="246"/>
      <c r="N249" s="246"/>
      <c r="O249" s="246"/>
      <c r="P249" s="246"/>
      <c r="Q249" s="230"/>
      <c r="R249" s="245"/>
      <c r="S249" s="245"/>
      <c r="T249" s="245"/>
      <c r="U249" s="245"/>
      <c r="V249" s="245"/>
      <c r="W249" s="245"/>
      <c r="X249" s="245"/>
      <c r="Y249" s="245"/>
      <c r="Z249" s="245"/>
      <c r="AA249" s="245"/>
      <c r="AB249" s="245"/>
      <c r="AC249" s="245"/>
      <c r="AD249" s="245"/>
      <c r="AE249" s="247"/>
      <c r="AF249" s="247"/>
      <c r="AG249" s="247"/>
    </row>
    <row r="250" spans="1:33" x14ac:dyDescent="0.35">
      <c r="A250" s="227" t="s">
        <v>864</v>
      </c>
      <c r="B250" s="228" t="s">
        <v>861</v>
      </c>
      <c r="C250" s="1863"/>
      <c r="D250" s="229"/>
      <c r="E250" s="1865"/>
      <c r="F250" s="246"/>
      <c r="G250" s="246"/>
      <c r="H250" s="246"/>
      <c r="I250" s="246"/>
      <c r="J250" s="246"/>
      <c r="K250" s="246"/>
      <c r="L250" s="246"/>
      <c r="M250" s="246"/>
      <c r="N250" s="246"/>
      <c r="O250" s="246"/>
      <c r="P250" s="246"/>
      <c r="Q250" s="246"/>
      <c r="R250" s="230"/>
      <c r="S250" s="245"/>
      <c r="T250" s="245"/>
      <c r="U250" s="245"/>
      <c r="V250" s="245"/>
      <c r="W250" s="245"/>
      <c r="X250" s="245"/>
      <c r="Y250" s="245"/>
      <c r="Z250" s="245"/>
      <c r="AA250" s="245"/>
      <c r="AB250" s="245"/>
      <c r="AC250" s="245"/>
      <c r="AD250" s="245"/>
      <c r="AE250" s="247"/>
      <c r="AF250" s="247"/>
      <c r="AG250" s="247"/>
    </row>
    <row r="251" spans="1:33" x14ac:dyDescent="0.35">
      <c r="A251" s="227" t="s">
        <v>864</v>
      </c>
      <c r="B251" s="228" t="s">
        <v>862</v>
      </c>
      <c r="C251" s="1863">
        <f>+'F5'!E23</f>
        <v>0.214033</v>
      </c>
      <c r="D251" s="229"/>
      <c r="E251" s="1865">
        <f>+Assum!$F$116</f>
        <v>0.3</v>
      </c>
      <c r="F251" s="246"/>
      <c r="G251" s="246"/>
      <c r="H251" s="246"/>
      <c r="I251" s="246"/>
      <c r="J251" s="246"/>
      <c r="K251" s="246"/>
      <c r="L251" s="246"/>
      <c r="M251" s="246"/>
      <c r="N251" s="246"/>
      <c r="O251" s="246"/>
      <c r="P251" s="246"/>
      <c r="Q251" s="246"/>
      <c r="R251" s="246"/>
      <c r="S251" s="1869">
        <f>+'F5'!E67</f>
        <v>2.9656600000000002E-2</v>
      </c>
      <c r="T251" s="1870">
        <f>+$C251*$E251</f>
        <v>6.42099E-2</v>
      </c>
      <c r="U251" s="1870">
        <f t="shared" ref="U251:AD261" si="111">+$C251*$E251</f>
        <v>6.42099E-2</v>
      </c>
      <c r="V251" s="1870">
        <f>+$C251*90%-SUM($S251:U251)</f>
        <v>3.4553300000000009E-2</v>
      </c>
      <c r="W251" s="1870"/>
      <c r="X251" s="1870"/>
      <c r="Y251" s="1870"/>
      <c r="Z251" s="1870"/>
      <c r="AA251" s="1870"/>
      <c r="AB251" s="1870"/>
      <c r="AC251" s="1870"/>
      <c r="AD251" s="1870"/>
      <c r="AE251" s="1863">
        <f>SUM(S251:AD251)</f>
        <v>0.19262970000000001</v>
      </c>
      <c r="AF251" s="1865">
        <f>+AE251/C251</f>
        <v>0.9</v>
      </c>
      <c r="AG251" s="1863">
        <f>+C251*90%-AE251</f>
        <v>0</v>
      </c>
    </row>
    <row r="252" spans="1:33" x14ac:dyDescent="0.35">
      <c r="A252" s="227" t="s">
        <v>864</v>
      </c>
      <c r="B252" s="228" t="s">
        <v>865</v>
      </c>
      <c r="C252" s="1863"/>
      <c r="D252" s="229"/>
      <c r="E252" s="1868"/>
      <c r="F252" s="246"/>
      <c r="G252" s="246"/>
      <c r="H252" s="246"/>
      <c r="I252" s="246"/>
      <c r="J252" s="246"/>
      <c r="K252" s="246"/>
      <c r="L252" s="246"/>
      <c r="M252" s="246"/>
      <c r="N252" s="246"/>
      <c r="O252" s="246"/>
      <c r="P252" s="246"/>
      <c r="Q252" s="246"/>
      <c r="R252" s="246"/>
      <c r="S252" s="246"/>
      <c r="T252" s="1869">
        <f>+$C252*$E252/2</f>
        <v>0</v>
      </c>
      <c r="U252" s="1870">
        <f t="shared" si="111"/>
        <v>0</v>
      </c>
      <c r="V252" s="1870">
        <f t="shared" si="111"/>
        <v>0</v>
      </c>
      <c r="W252" s="1870">
        <f t="shared" si="111"/>
        <v>0</v>
      </c>
      <c r="X252" s="1870">
        <f t="shared" si="111"/>
        <v>0</v>
      </c>
      <c r="Y252" s="1870">
        <f t="shared" si="111"/>
        <v>0</v>
      </c>
      <c r="Z252" s="1870">
        <f t="shared" si="111"/>
        <v>0</v>
      </c>
      <c r="AA252" s="1870">
        <f t="shared" si="111"/>
        <v>0</v>
      </c>
      <c r="AB252" s="1870">
        <f t="shared" si="111"/>
        <v>0</v>
      </c>
      <c r="AC252" s="1870">
        <f t="shared" si="111"/>
        <v>0</v>
      </c>
      <c r="AD252" s="1870">
        <f t="shared" si="111"/>
        <v>0</v>
      </c>
      <c r="AE252" s="1863">
        <f t="shared" ref="AE252:AE262" si="112">SUM(S252:AD252)</f>
        <v>0</v>
      </c>
      <c r="AF252" s="1865"/>
      <c r="AG252" s="1863">
        <f t="shared" ref="AG252:AG262" si="113">+C252*90%-AE252</f>
        <v>0</v>
      </c>
    </row>
    <row r="253" spans="1:33" x14ac:dyDescent="0.35">
      <c r="A253" s="227" t="s">
        <v>864</v>
      </c>
      <c r="B253" s="228" t="s">
        <v>866</v>
      </c>
      <c r="C253" s="1863"/>
      <c r="D253" s="229"/>
      <c r="E253" s="1868"/>
      <c r="F253" s="246"/>
      <c r="G253" s="246"/>
      <c r="H253" s="246"/>
      <c r="I253" s="246"/>
      <c r="J253" s="246"/>
      <c r="K253" s="246"/>
      <c r="L253" s="246"/>
      <c r="M253" s="246"/>
      <c r="N253" s="246"/>
      <c r="O253" s="246"/>
      <c r="P253" s="246"/>
      <c r="Q253" s="246"/>
      <c r="R253" s="246"/>
      <c r="S253" s="246"/>
      <c r="T253" s="246"/>
      <c r="U253" s="1869">
        <f>+$C253*$E253/2</f>
        <v>0</v>
      </c>
      <c r="V253" s="1870">
        <f t="shared" si="111"/>
        <v>0</v>
      </c>
      <c r="W253" s="1870">
        <f t="shared" si="111"/>
        <v>0</v>
      </c>
      <c r="X253" s="1870">
        <f t="shared" si="111"/>
        <v>0</v>
      </c>
      <c r="Y253" s="1870">
        <f t="shared" si="111"/>
        <v>0</v>
      </c>
      <c r="Z253" s="1870">
        <f t="shared" si="111"/>
        <v>0</v>
      </c>
      <c r="AA253" s="1870">
        <f t="shared" si="111"/>
        <v>0</v>
      </c>
      <c r="AB253" s="1870">
        <f t="shared" si="111"/>
        <v>0</v>
      </c>
      <c r="AC253" s="1870">
        <f t="shared" si="111"/>
        <v>0</v>
      </c>
      <c r="AD253" s="1870">
        <f t="shared" si="111"/>
        <v>0</v>
      </c>
      <c r="AE253" s="1863">
        <f t="shared" si="112"/>
        <v>0</v>
      </c>
      <c r="AF253" s="1865"/>
      <c r="AG253" s="1863">
        <f t="shared" si="113"/>
        <v>0</v>
      </c>
    </row>
    <row r="254" spans="1:33" x14ac:dyDescent="0.35">
      <c r="A254" s="227" t="s">
        <v>864</v>
      </c>
      <c r="B254" s="228" t="s">
        <v>867</v>
      </c>
      <c r="C254" s="1863"/>
      <c r="D254" s="229"/>
      <c r="E254" s="1868"/>
      <c r="F254" s="246"/>
      <c r="G254" s="246"/>
      <c r="H254" s="246"/>
      <c r="I254" s="246"/>
      <c r="J254" s="246"/>
      <c r="K254" s="246"/>
      <c r="L254" s="246"/>
      <c r="M254" s="246"/>
      <c r="N254" s="246"/>
      <c r="O254" s="246"/>
      <c r="P254" s="246"/>
      <c r="Q254" s="246"/>
      <c r="R254" s="246"/>
      <c r="S254" s="246"/>
      <c r="T254" s="246"/>
      <c r="U254" s="246"/>
      <c r="V254" s="1869">
        <f>+$C254*$E254/2</f>
        <v>0</v>
      </c>
      <c r="W254" s="1870">
        <f t="shared" si="111"/>
        <v>0</v>
      </c>
      <c r="X254" s="1870">
        <f t="shared" si="111"/>
        <v>0</v>
      </c>
      <c r="Y254" s="1870">
        <f t="shared" si="111"/>
        <v>0</v>
      </c>
      <c r="Z254" s="1870">
        <f t="shared" si="111"/>
        <v>0</v>
      </c>
      <c r="AA254" s="1870">
        <f t="shared" si="111"/>
        <v>0</v>
      </c>
      <c r="AB254" s="1870">
        <f t="shared" si="111"/>
        <v>0</v>
      </c>
      <c r="AC254" s="1870">
        <f t="shared" si="111"/>
        <v>0</v>
      </c>
      <c r="AD254" s="1870">
        <f t="shared" si="111"/>
        <v>0</v>
      </c>
      <c r="AE254" s="1863">
        <f t="shared" si="112"/>
        <v>0</v>
      </c>
      <c r="AF254" s="1865"/>
      <c r="AG254" s="1863">
        <f t="shared" si="113"/>
        <v>0</v>
      </c>
    </row>
    <row r="255" spans="1:33" x14ac:dyDescent="0.35">
      <c r="A255" s="227" t="s">
        <v>864</v>
      </c>
      <c r="B255" s="228" t="s">
        <v>868</v>
      </c>
      <c r="C255" s="1863">
        <f>+'F5'!E37</f>
        <v>2.65028E-2</v>
      </c>
      <c r="D255" s="229"/>
      <c r="E255" s="1865">
        <f>+Assum!$F$116</f>
        <v>0.3</v>
      </c>
      <c r="F255" s="246"/>
      <c r="G255" s="246"/>
      <c r="H255" s="246"/>
      <c r="I255" s="246"/>
      <c r="J255" s="246"/>
      <c r="K255" s="246"/>
      <c r="L255" s="246"/>
      <c r="M255" s="246"/>
      <c r="N255" s="246"/>
      <c r="O255" s="246"/>
      <c r="P255" s="246"/>
      <c r="Q255" s="246"/>
      <c r="R255" s="246"/>
      <c r="S255" s="246"/>
      <c r="T255" s="246"/>
      <c r="U255" s="246"/>
      <c r="V255" s="246"/>
      <c r="W255" s="1869">
        <f>+$C255*$E255/4</f>
        <v>1.9877099999999997E-3</v>
      </c>
      <c r="X255" s="1870">
        <f t="shared" si="111"/>
        <v>7.9508399999999989E-3</v>
      </c>
      <c r="Y255" s="1870">
        <f t="shared" si="111"/>
        <v>7.9508399999999989E-3</v>
      </c>
      <c r="Z255" s="1870">
        <f>+$C255*90%-SUM($S255:Y255)</f>
        <v>5.963130000000004E-3</v>
      </c>
      <c r="AA255" s="1870"/>
      <c r="AB255" s="1870"/>
      <c r="AC255" s="1870"/>
      <c r="AD255" s="1870"/>
      <c r="AE255" s="1863">
        <f t="shared" si="112"/>
        <v>2.3852520000000002E-2</v>
      </c>
      <c r="AF255" s="1865">
        <f t="shared" ref="AF255:AF257" si="114">+AE255/C255</f>
        <v>0.90000000000000013</v>
      </c>
      <c r="AG255" s="1863">
        <f t="shared" si="113"/>
        <v>0</v>
      </c>
    </row>
    <row r="256" spans="1:33" x14ac:dyDescent="0.35">
      <c r="A256" s="227" t="s">
        <v>864</v>
      </c>
      <c r="B256" s="228" t="s">
        <v>869</v>
      </c>
      <c r="C256" s="1863"/>
      <c r="D256" s="229"/>
      <c r="E256" s="1868"/>
      <c r="F256" s="246"/>
      <c r="G256" s="246"/>
      <c r="H256" s="246"/>
      <c r="I256" s="246"/>
      <c r="J256" s="246"/>
      <c r="K256" s="246"/>
      <c r="L256" s="246"/>
      <c r="M256" s="246"/>
      <c r="N256" s="246"/>
      <c r="O256" s="246"/>
      <c r="P256" s="246"/>
      <c r="Q256" s="246"/>
      <c r="R256" s="246"/>
      <c r="S256" s="246"/>
      <c r="T256" s="246"/>
      <c r="U256" s="246"/>
      <c r="V256" s="246"/>
      <c r="W256" s="246"/>
      <c r="X256" s="1869">
        <f>+$C256*$E256/2</f>
        <v>0</v>
      </c>
      <c r="Y256" s="1870">
        <f t="shared" si="111"/>
        <v>0</v>
      </c>
      <c r="Z256" s="1870">
        <f t="shared" si="111"/>
        <v>0</v>
      </c>
      <c r="AA256" s="1870">
        <f t="shared" si="111"/>
        <v>0</v>
      </c>
      <c r="AB256" s="1870">
        <f t="shared" si="111"/>
        <v>0</v>
      </c>
      <c r="AC256" s="1870">
        <f t="shared" si="111"/>
        <v>0</v>
      </c>
      <c r="AD256" s="1870">
        <f t="shared" si="111"/>
        <v>0</v>
      </c>
      <c r="AE256" s="1863">
        <f t="shared" si="112"/>
        <v>0</v>
      </c>
      <c r="AF256" s="1865"/>
      <c r="AG256" s="1863">
        <f t="shared" si="113"/>
        <v>0</v>
      </c>
    </row>
    <row r="257" spans="1:33" x14ac:dyDescent="0.35">
      <c r="A257" s="227" t="s">
        <v>864</v>
      </c>
      <c r="B257" s="228" t="s">
        <v>870</v>
      </c>
      <c r="C257" s="1863">
        <f>+'F5'!O37</f>
        <v>7.7879999999999998E-3</v>
      </c>
      <c r="D257" s="229"/>
      <c r="E257" s="1865">
        <f>+Assum!$F$116</f>
        <v>0.3</v>
      </c>
      <c r="F257" s="246"/>
      <c r="G257" s="246"/>
      <c r="H257" s="246"/>
      <c r="I257" s="246"/>
      <c r="J257" s="246"/>
      <c r="K257" s="246"/>
      <c r="L257" s="246"/>
      <c r="M257" s="246"/>
      <c r="N257" s="246"/>
      <c r="O257" s="246"/>
      <c r="P257" s="246"/>
      <c r="Q257" s="246"/>
      <c r="R257" s="246"/>
      <c r="S257" s="246"/>
      <c r="T257" s="246"/>
      <c r="U257" s="246"/>
      <c r="V257" s="246"/>
      <c r="W257" s="246"/>
      <c r="X257" s="246"/>
      <c r="Y257" s="1869">
        <f>+$C257*$E257/4</f>
        <v>5.8409999999999994E-4</v>
      </c>
      <c r="Z257" s="1870">
        <f t="shared" si="111"/>
        <v>2.3363999999999998E-3</v>
      </c>
      <c r="AA257" s="1870">
        <f t="shared" si="111"/>
        <v>2.3363999999999998E-3</v>
      </c>
      <c r="AB257" s="1870">
        <f>+$C257*90%-SUM($S257:AA257)</f>
        <v>1.7523000000000009E-3</v>
      </c>
      <c r="AC257" s="1870"/>
      <c r="AD257" s="1870"/>
      <c r="AE257" s="1863">
        <f t="shared" si="112"/>
        <v>7.0092000000000002E-3</v>
      </c>
      <c r="AF257" s="1865">
        <f t="shared" si="114"/>
        <v>0.9</v>
      </c>
      <c r="AG257" s="1863">
        <f t="shared" si="113"/>
        <v>0</v>
      </c>
    </row>
    <row r="258" spans="1:33" x14ac:dyDescent="0.35">
      <c r="A258" s="227" t="s">
        <v>864</v>
      </c>
      <c r="B258" s="228" t="s">
        <v>871</v>
      </c>
      <c r="C258" s="1863"/>
      <c r="D258" s="229"/>
      <c r="E258" s="1868"/>
      <c r="F258" s="246"/>
      <c r="G258" s="246"/>
      <c r="H258" s="246"/>
      <c r="I258" s="246"/>
      <c r="J258" s="246"/>
      <c r="K258" s="246"/>
      <c r="L258" s="246"/>
      <c r="M258" s="246"/>
      <c r="N258" s="246"/>
      <c r="O258" s="246"/>
      <c r="P258" s="246"/>
      <c r="Q258" s="246"/>
      <c r="R258" s="246"/>
      <c r="S258" s="246"/>
      <c r="T258" s="246"/>
      <c r="U258" s="246"/>
      <c r="V258" s="246"/>
      <c r="W258" s="246"/>
      <c r="X258" s="246"/>
      <c r="Y258" s="246"/>
      <c r="Z258" s="1869">
        <f>+$C258*$E258/2</f>
        <v>0</v>
      </c>
      <c r="AA258" s="1870">
        <f t="shared" si="111"/>
        <v>0</v>
      </c>
      <c r="AB258" s="1870">
        <f t="shared" si="111"/>
        <v>0</v>
      </c>
      <c r="AC258" s="1870">
        <f t="shared" si="111"/>
        <v>0</v>
      </c>
      <c r="AD258" s="1870">
        <f t="shared" si="111"/>
        <v>0</v>
      </c>
      <c r="AE258" s="1863">
        <f t="shared" si="112"/>
        <v>0</v>
      </c>
      <c r="AF258" s="1865"/>
      <c r="AG258" s="1863">
        <f t="shared" si="113"/>
        <v>0</v>
      </c>
    </row>
    <row r="259" spans="1:33" x14ac:dyDescent="0.35">
      <c r="A259" s="227" t="s">
        <v>864</v>
      </c>
      <c r="B259" s="228" t="s">
        <v>872</v>
      </c>
      <c r="C259" s="1863"/>
      <c r="D259" s="229"/>
      <c r="E259" s="1868"/>
      <c r="F259" s="246"/>
      <c r="G259" s="246"/>
      <c r="H259" s="246"/>
      <c r="I259" s="246"/>
      <c r="J259" s="246"/>
      <c r="K259" s="246"/>
      <c r="L259" s="246"/>
      <c r="M259" s="246"/>
      <c r="N259" s="246"/>
      <c r="O259" s="246"/>
      <c r="P259" s="246"/>
      <c r="Q259" s="246"/>
      <c r="R259" s="246"/>
      <c r="S259" s="246"/>
      <c r="T259" s="246"/>
      <c r="U259" s="246"/>
      <c r="V259" s="246"/>
      <c r="W259" s="246"/>
      <c r="X259" s="246"/>
      <c r="Y259" s="246"/>
      <c r="Z259" s="246"/>
      <c r="AA259" s="1869">
        <f>+$C259*$E259/2</f>
        <v>0</v>
      </c>
      <c r="AB259" s="1870">
        <f t="shared" si="111"/>
        <v>0</v>
      </c>
      <c r="AC259" s="1870">
        <f t="shared" si="111"/>
        <v>0</v>
      </c>
      <c r="AD259" s="1870">
        <f t="shared" si="111"/>
        <v>0</v>
      </c>
      <c r="AE259" s="1863">
        <f t="shared" si="112"/>
        <v>0</v>
      </c>
      <c r="AF259" s="1865"/>
      <c r="AG259" s="1863">
        <f t="shared" si="113"/>
        <v>0</v>
      </c>
    </row>
    <row r="260" spans="1:33" x14ac:dyDescent="0.35">
      <c r="A260" s="227" t="s">
        <v>864</v>
      </c>
      <c r="B260" s="228" t="s">
        <v>873</v>
      </c>
      <c r="C260" s="1863"/>
      <c r="D260" s="229"/>
      <c r="E260" s="1868"/>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1869">
        <f>+$C260*$E260/2</f>
        <v>0</v>
      </c>
      <c r="AC260" s="1870">
        <f t="shared" si="111"/>
        <v>0</v>
      </c>
      <c r="AD260" s="1870">
        <f t="shared" si="111"/>
        <v>0</v>
      </c>
      <c r="AE260" s="1863">
        <f t="shared" si="112"/>
        <v>0</v>
      </c>
      <c r="AF260" s="1865"/>
      <c r="AG260" s="1863">
        <f t="shared" si="113"/>
        <v>0</v>
      </c>
    </row>
    <row r="261" spans="1:33" x14ac:dyDescent="0.35">
      <c r="A261" s="227" t="s">
        <v>864</v>
      </c>
      <c r="B261" s="228" t="s">
        <v>874</v>
      </c>
      <c r="C261" s="1863"/>
      <c r="D261" s="229"/>
      <c r="E261" s="1868"/>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1869">
        <f>+$C261*$E261/2</f>
        <v>0</v>
      </c>
      <c r="AD261" s="1870">
        <f t="shared" si="111"/>
        <v>0</v>
      </c>
      <c r="AE261" s="1863">
        <f t="shared" si="112"/>
        <v>0</v>
      </c>
      <c r="AF261" s="1865"/>
      <c r="AG261" s="1863">
        <f t="shared" si="113"/>
        <v>0</v>
      </c>
    </row>
    <row r="262" spans="1:33" x14ac:dyDescent="0.35">
      <c r="A262" s="227" t="s">
        <v>864</v>
      </c>
      <c r="B262" s="228" t="s">
        <v>875</v>
      </c>
      <c r="C262" s="1863"/>
      <c r="D262" s="229"/>
      <c r="E262" s="1868"/>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1869">
        <f>+$C262*$E262/2</f>
        <v>0</v>
      </c>
      <c r="AE262" s="1863">
        <f t="shared" si="112"/>
        <v>0</v>
      </c>
      <c r="AF262" s="1865"/>
      <c r="AG262" s="1863">
        <f t="shared" si="113"/>
        <v>0</v>
      </c>
    </row>
    <row r="263" spans="1:33" ht="13.15" x14ac:dyDescent="0.4">
      <c r="A263" s="231"/>
      <c r="B263" s="232" t="s">
        <v>164</v>
      </c>
      <c r="C263" s="1864">
        <f>SUM(C237:C262)</f>
        <v>0.24832379999999998</v>
      </c>
      <c r="D263" s="233"/>
      <c r="E263" s="1867"/>
      <c r="F263" s="233"/>
      <c r="G263" s="233"/>
      <c r="H263" s="233"/>
      <c r="I263" s="233"/>
      <c r="J263" s="233"/>
      <c r="K263" s="233"/>
      <c r="L263" s="233"/>
      <c r="M263" s="233"/>
      <c r="N263" s="233"/>
      <c r="O263" s="233"/>
      <c r="P263" s="233"/>
      <c r="Q263" s="233"/>
      <c r="R263" s="233"/>
      <c r="S263" s="1864">
        <f>SUM(S251:S262)</f>
        <v>2.9656600000000002E-2</v>
      </c>
      <c r="T263" s="1864">
        <f t="shared" ref="T263" si="115">SUM(T251:T262)</f>
        <v>6.42099E-2</v>
      </c>
      <c r="U263" s="1864">
        <f t="shared" ref="U263" si="116">SUM(U251:U262)</f>
        <v>6.42099E-2</v>
      </c>
      <c r="V263" s="1864">
        <f t="shared" ref="V263" si="117">SUM(V251:V262)</f>
        <v>3.4553300000000009E-2</v>
      </c>
      <c r="W263" s="1864">
        <f t="shared" ref="W263" si="118">SUM(W251:W262)</f>
        <v>1.9877099999999997E-3</v>
      </c>
      <c r="X263" s="1864">
        <f t="shared" ref="X263" si="119">SUM(X251:X262)</f>
        <v>7.9508399999999989E-3</v>
      </c>
      <c r="Y263" s="1864">
        <f t="shared" ref="Y263" si="120">SUM(Y251:Y262)</f>
        <v>8.5349399999999995E-3</v>
      </c>
      <c r="Z263" s="1864">
        <f t="shared" ref="Z263" si="121">SUM(Z251:Z262)</f>
        <v>8.2995300000000029E-3</v>
      </c>
      <c r="AA263" s="1864">
        <f t="shared" ref="AA263" si="122">SUM(AA251:AA262)</f>
        <v>2.3363999999999998E-3</v>
      </c>
      <c r="AB263" s="1864">
        <f t="shared" ref="AB263" si="123">SUM(AB251:AB262)</f>
        <v>1.7523000000000009E-3</v>
      </c>
      <c r="AC263" s="1864">
        <f t="shared" ref="AC263" si="124">SUM(AC251:AC262)</f>
        <v>0</v>
      </c>
      <c r="AD263" s="1864">
        <f t="shared" ref="AD263" si="125">SUM(AD251:AD262)</f>
        <v>0</v>
      </c>
      <c r="AE263" s="1864">
        <f t="shared" ref="AE263" si="126">SUM(AE251:AE262)</f>
        <v>0.22349142</v>
      </c>
      <c r="AF263" s="1867">
        <f t="shared" ref="AF263" si="127">+AE263/C263</f>
        <v>0.9</v>
      </c>
      <c r="AG263" s="1864">
        <f t="shared" ref="AG263" si="128">SUM(AG251:AG262)</f>
        <v>0</v>
      </c>
    </row>
    <row r="265" spans="1:33" ht="13.15" x14ac:dyDescent="0.4">
      <c r="B265" s="222" t="s">
        <v>164</v>
      </c>
      <c r="F265" s="243" t="s">
        <v>110</v>
      </c>
    </row>
    <row r="266" spans="1:33" ht="26.25" x14ac:dyDescent="0.4">
      <c r="A266" s="223"/>
      <c r="B266" s="224" t="s">
        <v>841</v>
      </c>
      <c r="C266" s="1881" t="s">
        <v>877</v>
      </c>
      <c r="D266" s="1883" t="s">
        <v>843</v>
      </c>
      <c r="E266" s="1885" t="s">
        <v>844</v>
      </c>
      <c r="F266" s="1887" t="s">
        <v>845</v>
      </c>
      <c r="G266" s="1888"/>
      <c r="H266" s="1888"/>
      <c r="I266" s="1888"/>
      <c r="J266" s="1888"/>
      <c r="K266" s="1888"/>
      <c r="L266" s="1888"/>
      <c r="M266" s="1888"/>
      <c r="N266" s="1888"/>
      <c r="O266" s="1888"/>
      <c r="P266" s="1888"/>
      <c r="Q266" s="1888"/>
      <c r="R266" s="1888"/>
      <c r="S266" s="1888"/>
      <c r="T266" s="1888"/>
      <c r="U266" s="1888"/>
      <c r="V266" s="1888"/>
      <c r="W266" s="1888"/>
      <c r="X266" s="1888"/>
      <c r="Y266" s="1888"/>
      <c r="Z266" s="1888"/>
      <c r="AA266" s="1888"/>
      <c r="AB266" s="1888"/>
      <c r="AC266" s="1888"/>
      <c r="AD266" s="1889"/>
      <c r="AE266" s="244" t="s">
        <v>846</v>
      </c>
      <c r="AF266" s="244" t="s">
        <v>847</v>
      </c>
      <c r="AG266" s="244" t="s">
        <v>848</v>
      </c>
    </row>
    <row r="267" spans="1:33" ht="13.15" x14ac:dyDescent="0.35">
      <c r="A267" s="223"/>
      <c r="B267" s="224"/>
      <c r="C267" s="1882"/>
      <c r="D267" s="1884"/>
      <c r="E267" s="1886"/>
      <c r="F267" s="226" t="s">
        <v>849</v>
      </c>
      <c r="G267" s="226" t="s">
        <v>850</v>
      </c>
      <c r="H267" s="226" t="s">
        <v>851</v>
      </c>
      <c r="I267" s="226" t="s">
        <v>852</v>
      </c>
      <c r="J267" s="226" t="s">
        <v>853</v>
      </c>
      <c r="K267" s="226" t="s">
        <v>854</v>
      </c>
      <c r="L267" s="226" t="s">
        <v>855</v>
      </c>
      <c r="M267" s="226" t="s">
        <v>856</v>
      </c>
      <c r="N267" s="226" t="s">
        <v>857</v>
      </c>
      <c r="O267" s="226" t="s">
        <v>858</v>
      </c>
      <c r="P267" s="226" t="s">
        <v>859</v>
      </c>
      <c r="Q267" s="226" t="s">
        <v>860</v>
      </c>
      <c r="R267" s="226" t="s">
        <v>861</v>
      </c>
      <c r="S267" s="226" t="s">
        <v>862</v>
      </c>
      <c r="T267" s="226" t="s">
        <v>197</v>
      </c>
      <c r="U267" s="226" t="s">
        <v>198</v>
      </c>
      <c r="V267" s="226" t="s">
        <v>199</v>
      </c>
      <c r="W267" s="226" t="s">
        <v>112</v>
      </c>
      <c r="X267" s="226" t="s">
        <v>113</v>
      </c>
      <c r="Y267" s="226" t="s">
        <v>114</v>
      </c>
      <c r="Z267" s="226" t="s">
        <v>123</v>
      </c>
      <c r="AA267" s="226" t="s">
        <v>124</v>
      </c>
      <c r="AB267" s="226" t="s">
        <v>125</v>
      </c>
      <c r="AC267" s="226" t="s">
        <v>126</v>
      </c>
      <c r="AD267" s="226" t="s">
        <v>127</v>
      </c>
      <c r="AE267" s="244"/>
      <c r="AF267" s="244"/>
      <c r="AG267" s="244"/>
    </row>
    <row r="268" spans="1:33" x14ac:dyDescent="0.35">
      <c r="A268" s="227" t="s">
        <v>863</v>
      </c>
      <c r="B268" s="228">
        <v>2005</v>
      </c>
      <c r="C268" s="1863"/>
      <c r="D268" s="248"/>
      <c r="E268" s="186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245"/>
      <c r="AE268" s="247"/>
      <c r="AF268" s="247"/>
      <c r="AG268" s="247"/>
    </row>
    <row r="269" spans="1:33" x14ac:dyDescent="0.35">
      <c r="A269" s="227" t="s">
        <v>864</v>
      </c>
      <c r="B269" s="228" t="s">
        <v>849</v>
      </c>
      <c r="C269" s="1863"/>
      <c r="D269" s="248"/>
      <c r="E269" s="1865"/>
      <c r="F269" s="230"/>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45"/>
      <c r="AE269" s="247"/>
      <c r="AF269" s="247"/>
      <c r="AG269" s="247"/>
    </row>
    <row r="270" spans="1:33" x14ac:dyDescent="0.35">
      <c r="A270" s="227" t="s">
        <v>864</v>
      </c>
      <c r="B270" s="228" t="s">
        <v>850</v>
      </c>
      <c r="C270" s="1863"/>
      <c r="D270" s="248"/>
      <c r="E270" s="1865"/>
      <c r="F270" s="246"/>
      <c r="G270" s="230"/>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45"/>
      <c r="AE270" s="247"/>
      <c r="AF270" s="247"/>
      <c r="AG270" s="247"/>
    </row>
    <row r="271" spans="1:33" x14ac:dyDescent="0.35">
      <c r="A271" s="227" t="s">
        <v>864</v>
      </c>
      <c r="B271" s="228" t="s">
        <v>851</v>
      </c>
      <c r="C271" s="1863"/>
      <c r="D271" s="248"/>
      <c r="E271" s="1865"/>
      <c r="F271" s="246"/>
      <c r="G271" s="246"/>
      <c r="H271" s="230"/>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45"/>
      <c r="AE271" s="247"/>
      <c r="AF271" s="247"/>
      <c r="AG271" s="247"/>
    </row>
    <row r="272" spans="1:33" x14ac:dyDescent="0.35">
      <c r="A272" s="227" t="s">
        <v>864</v>
      </c>
      <c r="B272" s="228" t="s">
        <v>852</v>
      </c>
      <c r="C272" s="1863"/>
      <c r="D272" s="248"/>
      <c r="E272" s="1865"/>
      <c r="F272" s="246"/>
      <c r="G272" s="246"/>
      <c r="H272" s="246"/>
      <c r="I272" s="230"/>
      <c r="J272" s="245"/>
      <c r="K272" s="245"/>
      <c r="L272" s="245"/>
      <c r="M272" s="245"/>
      <c r="N272" s="245"/>
      <c r="O272" s="245"/>
      <c r="P272" s="245"/>
      <c r="Q272" s="245"/>
      <c r="R272" s="245"/>
      <c r="S272" s="245"/>
      <c r="T272" s="245"/>
      <c r="U272" s="245"/>
      <c r="V272" s="245"/>
      <c r="W272" s="245"/>
      <c r="X272" s="245"/>
      <c r="Y272" s="245"/>
      <c r="Z272" s="245"/>
      <c r="AA272" s="245"/>
      <c r="AB272" s="245"/>
      <c r="AC272" s="245"/>
      <c r="AD272" s="245"/>
      <c r="AE272" s="247"/>
      <c r="AF272" s="247"/>
      <c r="AG272" s="247"/>
    </row>
    <row r="273" spans="1:33" x14ac:dyDescent="0.35">
      <c r="A273" s="227" t="s">
        <v>864</v>
      </c>
      <c r="B273" s="228" t="s">
        <v>853</v>
      </c>
      <c r="C273" s="1863"/>
      <c r="D273" s="248"/>
      <c r="E273" s="1865"/>
      <c r="F273" s="246"/>
      <c r="G273" s="246"/>
      <c r="H273" s="246"/>
      <c r="I273" s="246"/>
      <c r="J273" s="230"/>
      <c r="K273" s="245"/>
      <c r="L273" s="245"/>
      <c r="M273" s="245"/>
      <c r="N273" s="245"/>
      <c r="O273" s="245"/>
      <c r="P273" s="245"/>
      <c r="Q273" s="245"/>
      <c r="R273" s="245"/>
      <c r="S273" s="245"/>
      <c r="T273" s="245"/>
      <c r="U273" s="245"/>
      <c r="V273" s="245"/>
      <c r="W273" s="245"/>
      <c r="X273" s="245"/>
      <c r="Y273" s="245"/>
      <c r="Z273" s="245"/>
      <c r="AA273" s="245"/>
      <c r="AB273" s="245"/>
      <c r="AC273" s="245"/>
      <c r="AD273" s="245"/>
      <c r="AE273" s="247"/>
      <c r="AF273" s="247"/>
      <c r="AG273" s="247"/>
    </row>
    <row r="274" spans="1:33" x14ac:dyDescent="0.35">
      <c r="A274" s="227" t="s">
        <v>864</v>
      </c>
      <c r="B274" s="228" t="s">
        <v>854</v>
      </c>
      <c r="C274" s="1863"/>
      <c r="D274" s="248"/>
      <c r="E274" s="1865"/>
      <c r="F274" s="246"/>
      <c r="G274" s="246"/>
      <c r="H274" s="246"/>
      <c r="I274" s="246"/>
      <c r="J274" s="246"/>
      <c r="K274" s="230"/>
      <c r="L274" s="245"/>
      <c r="M274" s="245"/>
      <c r="N274" s="245"/>
      <c r="O274" s="245"/>
      <c r="P274" s="245"/>
      <c r="Q274" s="245"/>
      <c r="R274" s="245"/>
      <c r="S274" s="245"/>
      <c r="T274" s="245"/>
      <c r="U274" s="245"/>
      <c r="V274" s="245"/>
      <c r="W274" s="245"/>
      <c r="X274" s="245"/>
      <c r="Y274" s="245"/>
      <c r="Z274" s="245"/>
      <c r="AA274" s="245"/>
      <c r="AB274" s="245"/>
      <c r="AC274" s="245"/>
      <c r="AD274" s="245"/>
      <c r="AE274" s="247"/>
      <c r="AF274" s="247"/>
      <c r="AG274" s="247"/>
    </row>
    <row r="275" spans="1:33" x14ac:dyDescent="0.35">
      <c r="A275" s="227" t="s">
        <v>864</v>
      </c>
      <c r="B275" s="228" t="s">
        <v>855</v>
      </c>
      <c r="C275" s="1863"/>
      <c r="D275" s="248"/>
      <c r="E275" s="1865"/>
      <c r="F275" s="246"/>
      <c r="G275" s="246"/>
      <c r="H275" s="246"/>
      <c r="I275" s="246"/>
      <c r="J275" s="246"/>
      <c r="K275" s="246"/>
      <c r="L275" s="230"/>
      <c r="M275" s="245"/>
      <c r="N275" s="245"/>
      <c r="O275" s="245"/>
      <c r="P275" s="245"/>
      <c r="Q275" s="245"/>
      <c r="R275" s="245"/>
      <c r="S275" s="245"/>
      <c r="T275" s="245"/>
      <c r="U275" s="245"/>
      <c r="V275" s="245"/>
      <c r="W275" s="245"/>
      <c r="X275" s="245"/>
      <c r="Y275" s="245"/>
      <c r="Z275" s="245"/>
      <c r="AA275" s="245"/>
      <c r="AB275" s="245"/>
      <c r="AC275" s="245"/>
      <c r="AD275" s="245"/>
      <c r="AE275" s="247"/>
      <c r="AF275" s="247"/>
      <c r="AG275" s="247"/>
    </row>
    <row r="276" spans="1:33" x14ac:dyDescent="0.35">
      <c r="A276" s="227" t="s">
        <v>864</v>
      </c>
      <c r="B276" s="228" t="s">
        <v>856</v>
      </c>
      <c r="C276" s="1863"/>
      <c r="D276" s="248"/>
      <c r="E276" s="1865"/>
      <c r="F276" s="246"/>
      <c r="G276" s="246"/>
      <c r="H276" s="246"/>
      <c r="I276" s="246"/>
      <c r="J276" s="246"/>
      <c r="K276" s="246"/>
      <c r="L276" s="246"/>
      <c r="M276" s="230"/>
      <c r="N276" s="245"/>
      <c r="O276" s="245"/>
      <c r="P276" s="245"/>
      <c r="Q276" s="245"/>
      <c r="R276" s="245"/>
      <c r="S276" s="245"/>
      <c r="T276" s="245"/>
      <c r="U276" s="245"/>
      <c r="V276" s="245"/>
      <c r="W276" s="245"/>
      <c r="X276" s="245"/>
      <c r="Y276" s="245"/>
      <c r="Z276" s="245"/>
      <c r="AA276" s="245"/>
      <c r="AB276" s="245"/>
      <c r="AC276" s="245"/>
      <c r="AD276" s="245"/>
      <c r="AE276" s="247"/>
      <c r="AF276" s="247"/>
      <c r="AG276" s="247"/>
    </row>
    <row r="277" spans="1:33" x14ac:dyDescent="0.35">
      <c r="A277" s="227" t="s">
        <v>864</v>
      </c>
      <c r="B277" s="228" t="s">
        <v>857</v>
      </c>
      <c r="C277" s="1863"/>
      <c r="D277" s="248"/>
      <c r="E277" s="1865"/>
      <c r="F277" s="246"/>
      <c r="G277" s="246"/>
      <c r="H277" s="246"/>
      <c r="I277" s="246"/>
      <c r="J277" s="246"/>
      <c r="K277" s="246"/>
      <c r="L277" s="246"/>
      <c r="M277" s="246"/>
      <c r="N277" s="230"/>
      <c r="O277" s="245"/>
      <c r="P277" s="245"/>
      <c r="Q277" s="245"/>
      <c r="R277" s="245"/>
      <c r="S277" s="245"/>
      <c r="T277" s="245"/>
      <c r="U277" s="245"/>
      <c r="V277" s="245"/>
      <c r="W277" s="245"/>
      <c r="X277" s="245"/>
      <c r="Y277" s="245"/>
      <c r="Z277" s="245"/>
      <c r="AA277" s="245"/>
      <c r="AB277" s="245"/>
      <c r="AC277" s="245"/>
      <c r="AD277" s="245"/>
      <c r="AE277" s="247"/>
      <c r="AF277" s="247"/>
      <c r="AG277" s="247"/>
    </row>
    <row r="278" spans="1:33" x14ac:dyDescent="0.35">
      <c r="A278" s="227" t="s">
        <v>864</v>
      </c>
      <c r="B278" s="228" t="s">
        <v>858</v>
      </c>
      <c r="C278" s="1863"/>
      <c r="D278" s="248"/>
      <c r="E278" s="1865"/>
      <c r="F278" s="246"/>
      <c r="G278" s="246"/>
      <c r="H278" s="246"/>
      <c r="I278" s="246"/>
      <c r="J278" s="246"/>
      <c r="K278" s="246"/>
      <c r="L278" s="246"/>
      <c r="M278" s="246"/>
      <c r="N278" s="246"/>
      <c r="O278" s="230"/>
      <c r="P278" s="245"/>
      <c r="Q278" s="245"/>
      <c r="R278" s="245"/>
      <c r="S278" s="245"/>
      <c r="T278" s="245"/>
      <c r="U278" s="245"/>
      <c r="V278" s="245"/>
      <c r="W278" s="245"/>
      <c r="X278" s="245"/>
      <c r="Y278" s="245"/>
      <c r="Z278" s="245"/>
      <c r="AA278" s="245"/>
      <c r="AB278" s="245"/>
      <c r="AC278" s="245"/>
      <c r="AD278" s="245"/>
      <c r="AE278" s="247"/>
      <c r="AF278" s="247"/>
      <c r="AG278" s="247"/>
    </row>
    <row r="279" spans="1:33" x14ac:dyDescent="0.35">
      <c r="A279" s="227" t="s">
        <v>864</v>
      </c>
      <c r="B279" s="228" t="s">
        <v>859</v>
      </c>
      <c r="C279" s="1863"/>
      <c r="D279" s="248"/>
      <c r="E279" s="1865"/>
      <c r="F279" s="246"/>
      <c r="G279" s="246"/>
      <c r="H279" s="246"/>
      <c r="I279" s="246"/>
      <c r="J279" s="246"/>
      <c r="K279" s="246"/>
      <c r="L279" s="246"/>
      <c r="M279" s="246"/>
      <c r="N279" s="246"/>
      <c r="O279" s="246"/>
      <c r="P279" s="230"/>
      <c r="Q279" s="245"/>
      <c r="R279" s="245"/>
      <c r="S279" s="245"/>
      <c r="T279" s="245"/>
      <c r="U279" s="245"/>
      <c r="V279" s="245"/>
      <c r="W279" s="245"/>
      <c r="X279" s="245"/>
      <c r="Y279" s="245"/>
      <c r="Z279" s="245"/>
      <c r="AA279" s="245"/>
      <c r="AB279" s="245"/>
      <c r="AC279" s="245"/>
      <c r="AD279" s="245"/>
      <c r="AE279" s="247"/>
      <c r="AF279" s="247"/>
      <c r="AG279" s="247"/>
    </row>
    <row r="280" spans="1:33" x14ac:dyDescent="0.35">
      <c r="A280" s="227" t="s">
        <v>864</v>
      </c>
      <c r="B280" s="228" t="s">
        <v>860</v>
      </c>
      <c r="C280" s="1863"/>
      <c r="D280" s="248"/>
      <c r="E280" s="1865"/>
      <c r="F280" s="246"/>
      <c r="G280" s="246"/>
      <c r="H280" s="246"/>
      <c r="I280" s="246"/>
      <c r="J280" s="246"/>
      <c r="K280" s="246"/>
      <c r="L280" s="246"/>
      <c r="M280" s="246"/>
      <c r="N280" s="246"/>
      <c r="O280" s="246"/>
      <c r="P280" s="246"/>
      <c r="Q280" s="230"/>
      <c r="R280" s="245"/>
      <c r="S280" s="245"/>
      <c r="T280" s="245"/>
      <c r="U280" s="245"/>
      <c r="V280" s="245"/>
      <c r="W280" s="245"/>
      <c r="X280" s="245"/>
      <c r="Y280" s="245"/>
      <c r="Z280" s="245"/>
      <c r="AA280" s="245"/>
      <c r="AB280" s="245"/>
      <c r="AC280" s="245"/>
      <c r="AD280" s="245"/>
      <c r="AE280" s="247"/>
      <c r="AF280" s="247"/>
      <c r="AG280" s="247"/>
    </row>
    <row r="281" spans="1:33" x14ac:dyDescent="0.35">
      <c r="A281" s="227" t="s">
        <v>864</v>
      </c>
      <c r="B281" s="228" t="s">
        <v>861</v>
      </c>
      <c r="C281" s="1863"/>
      <c r="D281" s="248"/>
      <c r="E281" s="1865"/>
      <c r="F281" s="246"/>
      <c r="G281" s="246"/>
      <c r="H281" s="246"/>
      <c r="I281" s="246"/>
      <c r="J281" s="246"/>
      <c r="K281" s="246"/>
      <c r="L281" s="246"/>
      <c r="M281" s="246"/>
      <c r="N281" s="246"/>
      <c r="O281" s="246"/>
      <c r="P281" s="246"/>
      <c r="Q281" s="246"/>
      <c r="R281" s="230"/>
      <c r="S281" s="245"/>
      <c r="T281" s="245"/>
      <c r="U281" s="245"/>
      <c r="V281" s="245"/>
      <c r="W281" s="245"/>
      <c r="X281" s="245"/>
      <c r="Y281" s="245"/>
      <c r="Z281" s="245"/>
      <c r="AA281" s="245"/>
      <c r="AB281" s="245"/>
      <c r="AC281" s="245"/>
      <c r="AD281" s="245"/>
      <c r="AE281" s="247"/>
      <c r="AF281" s="247"/>
      <c r="AG281" s="247"/>
    </row>
    <row r="282" spans="1:33" x14ac:dyDescent="0.35">
      <c r="A282" s="227" t="s">
        <v>864</v>
      </c>
      <c r="B282" s="228" t="s">
        <v>862</v>
      </c>
      <c r="C282" s="1863">
        <f>SUMIF($B$6:$B$263,B282,$C$6:$C$263)</f>
        <v>56.312794994999997</v>
      </c>
      <c r="D282" s="248"/>
      <c r="E282" s="1865"/>
      <c r="F282" s="246"/>
      <c r="G282" s="246"/>
      <c r="H282" s="246"/>
      <c r="I282" s="246"/>
      <c r="J282" s="246"/>
      <c r="K282" s="246"/>
      <c r="L282" s="246"/>
      <c r="M282" s="246"/>
      <c r="N282" s="246"/>
      <c r="O282" s="246"/>
      <c r="P282" s="246"/>
      <c r="Q282" s="246"/>
      <c r="R282" s="246"/>
      <c r="S282" s="1869">
        <f>+S22+S53+S86+S119+S152+S185+S218+S251</f>
        <v>1.2631278500000001</v>
      </c>
      <c r="T282" s="1871">
        <f t="shared" ref="T282:AD292" si="129">+T22+T53+T86+T119+T152+T185+T218+T251</f>
        <v>2.6887874927099999</v>
      </c>
      <c r="U282" s="1871">
        <f t="shared" si="129"/>
        <v>2.2747874927099994</v>
      </c>
      <c r="V282" s="1871">
        <f t="shared" si="129"/>
        <v>2.57813089271</v>
      </c>
      <c r="W282" s="1871">
        <f t="shared" si="129"/>
        <v>2.5605775927100001</v>
      </c>
      <c r="X282" s="1871">
        <f t="shared" si="129"/>
        <v>2.5635775927100002</v>
      </c>
      <c r="Y282" s="1871">
        <f t="shared" si="129"/>
        <v>2.5559156927099997</v>
      </c>
      <c r="Z282" s="1871">
        <f t="shared" si="129"/>
        <v>2.7375689294600001</v>
      </c>
      <c r="AA282" s="1871">
        <f t="shared" si="129"/>
        <v>2.74256892946</v>
      </c>
      <c r="AB282" s="1871">
        <f t="shared" si="129"/>
        <v>2.7375502351266667</v>
      </c>
      <c r="AC282" s="1871">
        <f t="shared" si="129"/>
        <v>2.7282968725266663</v>
      </c>
      <c r="AD282" s="1871">
        <f t="shared" si="129"/>
        <v>2.726951356726667</v>
      </c>
      <c r="AE282" s="1863">
        <f>SUM(S282:AD282)</f>
        <v>30.157840929559995</v>
      </c>
      <c r="AF282" s="1865">
        <f>+AE282/C282</f>
        <v>0.53554153957795392</v>
      </c>
      <c r="AG282" s="1863">
        <f>+C282*90%-AE282</f>
        <v>20.523674565940006</v>
      </c>
    </row>
    <row r="283" spans="1:33" x14ac:dyDescent="0.35">
      <c r="A283" s="227" t="s">
        <v>864</v>
      </c>
      <c r="B283" s="228" t="s">
        <v>865</v>
      </c>
      <c r="C283" s="1863">
        <f t="shared" ref="C283:C293" si="130">SUMIF($B$6:$B$263,B283,$C$6:$C$263)</f>
        <v>12.830158250382215</v>
      </c>
      <c r="D283" s="248"/>
      <c r="E283" s="1865"/>
      <c r="F283" s="246"/>
      <c r="G283" s="246"/>
      <c r="H283" s="246"/>
      <c r="I283" s="246"/>
      <c r="J283" s="246"/>
      <c r="K283" s="246"/>
      <c r="L283" s="246"/>
      <c r="M283" s="246"/>
      <c r="N283" s="246"/>
      <c r="O283" s="246"/>
      <c r="P283" s="246"/>
      <c r="Q283" s="246"/>
      <c r="R283" s="246"/>
      <c r="S283" s="246"/>
      <c r="T283" s="1869">
        <f>+T23+T54+T87+T120+T153+T186+T219+T252</f>
        <v>0.17494005782030833</v>
      </c>
      <c r="U283" s="1871">
        <f t="shared" si="129"/>
        <v>0.67743235562018089</v>
      </c>
      <c r="V283" s="1871">
        <f t="shared" si="129"/>
        <v>0.67743235562018089</v>
      </c>
      <c r="W283" s="1871">
        <f t="shared" si="129"/>
        <v>0.67743235562018089</v>
      </c>
      <c r="X283" s="1871">
        <f t="shared" si="129"/>
        <v>0.67743235562018089</v>
      </c>
      <c r="Y283" s="1871">
        <f t="shared" si="129"/>
        <v>0.67743235562018089</v>
      </c>
      <c r="Z283" s="1871">
        <f t="shared" si="129"/>
        <v>0.67743235562018089</v>
      </c>
      <c r="AA283" s="1871">
        <f t="shared" si="129"/>
        <v>0.67743235562018089</v>
      </c>
      <c r="AB283" s="1871">
        <f t="shared" si="129"/>
        <v>0.67743235562018089</v>
      </c>
      <c r="AC283" s="1871">
        <f t="shared" si="129"/>
        <v>0.67743235562018089</v>
      </c>
      <c r="AD283" s="1871">
        <f t="shared" si="129"/>
        <v>0.67743235562018089</v>
      </c>
      <c r="AE283" s="1863">
        <f t="shared" ref="AE283:AE293" si="131">SUM(S283:AD283)</f>
        <v>6.9492636140221169</v>
      </c>
      <c r="AF283" s="1865">
        <f t="shared" ref="AF283:AF294" si="132">+AE283/C283</f>
        <v>0.54163506625610758</v>
      </c>
      <c r="AG283" s="1863">
        <f t="shared" ref="AG283:AG293" si="133">+C283*90%-AE283</f>
        <v>4.5978788113218769</v>
      </c>
    </row>
    <row r="284" spans="1:33" x14ac:dyDescent="0.35">
      <c r="A284" s="227" t="s">
        <v>864</v>
      </c>
      <c r="B284" s="228" t="s">
        <v>866</v>
      </c>
      <c r="C284" s="1863">
        <f t="shared" si="130"/>
        <v>1.2849627169999998</v>
      </c>
      <c r="D284" s="248"/>
      <c r="E284" s="1865"/>
      <c r="F284" s="246"/>
      <c r="G284" s="246"/>
      <c r="H284" s="246"/>
      <c r="I284" s="246"/>
      <c r="J284" s="246"/>
      <c r="K284" s="246"/>
      <c r="L284" s="246"/>
      <c r="M284" s="246"/>
      <c r="N284" s="246"/>
      <c r="O284" s="246"/>
      <c r="P284" s="246"/>
      <c r="Q284" s="246"/>
      <c r="R284" s="246"/>
      <c r="S284" s="246"/>
      <c r="T284" s="246"/>
      <c r="U284" s="1869">
        <f>+U24+U55+U88+U121+U154+U187+U220+U253</f>
        <v>1.7463104187599998E-2</v>
      </c>
      <c r="V284" s="1871">
        <f t="shared" si="129"/>
        <v>6.9852416750399993E-2</v>
      </c>
      <c r="W284" s="1871">
        <f t="shared" si="129"/>
        <v>6.9852416750399993E-2</v>
      </c>
      <c r="X284" s="1871">
        <f t="shared" si="129"/>
        <v>6.9852416750399993E-2</v>
      </c>
      <c r="Y284" s="1871">
        <f t="shared" si="129"/>
        <v>6.9852416750399993E-2</v>
      </c>
      <c r="Z284" s="1871">
        <f t="shared" si="129"/>
        <v>6.9852416750399993E-2</v>
      </c>
      <c r="AA284" s="1871">
        <f t="shared" si="129"/>
        <v>6.9078348350399985E-2</v>
      </c>
      <c r="AB284" s="1871">
        <f t="shared" si="129"/>
        <v>6.6756143150399988E-2</v>
      </c>
      <c r="AC284" s="1871">
        <f t="shared" si="129"/>
        <v>6.6756143150399988E-2</v>
      </c>
      <c r="AD284" s="1871">
        <f t="shared" si="129"/>
        <v>6.6756143150399988E-2</v>
      </c>
      <c r="AE284" s="1863">
        <f t="shared" si="131"/>
        <v>0.63607196574119995</v>
      </c>
      <c r="AF284" s="1865">
        <f t="shared" si="132"/>
        <v>0.49501200099115411</v>
      </c>
      <c r="AG284" s="1863">
        <f t="shared" si="133"/>
        <v>0.52039447955879981</v>
      </c>
    </row>
    <row r="285" spans="1:33" x14ac:dyDescent="0.35">
      <c r="A285" s="227" t="s">
        <v>864</v>
      </c>
      <c r="B285" s="228" t="s">
        <v>867</v>
      </c>
      <c r="C285" s="1863">
        <f t="shared" si="130"/>
        <v>0.96115707500000003</v>
      </c>
      <c r="D285" s="248"/>
      <c r="E285" s="1865"/>
      <c r="F285" s="246"/>
      <c r="G285" s="246"/>
      <c r="H285" s="246"/>
      <c r="I285" s="246"/>
      <c r="J285" s="246"/>
      <c r="K285" s="246"/>
      <c r="L285" s="246"/>
      <c r="M285" s="246"/>
      <c r="N285" s="246"/>
      <c r="O285" s="246"/>
      <c r="P285" s="246"/>
      <c r="Q285" s="246"/>
      <c r="R285" s="246"/>
      <c r="S285" s="246"/>
      <c r="T285" s="246"/>
      <c r="U285" s="246"/>
      <c r="V285" s="1869">
        <f>+V25+V56+V89+V122+V155+V188+V221+V254</f>
        <v>1.2861592656599998E-2</v>
      </c>
      <c r="W285" s="1871">
        <f t="shared" si="129"/>
        <v>5.1446370626399993E-2</v>
      </c>
      <c r="X285" s="1871">
        <f t="shared" si="129"/>
        <v>5.1446370626399993E-2</v>
      </c>
      <c r="Y285" s="1871">
        <f t="shared" si="129"/>
        <v>5.1446370626399993E-2</v>
      </c>
      <c r="Z285" s="1871">
        <f t="shared" si="129"/>
        <v>5.1446370626399993E-2</v>
      </c>
      <c r="AA285" s="1871">
        <f t="shared" si="129"/>
        <v>5.1446370626399993E-2</v>
      </c>
      <c r="AB285" s="1871">
        <f t="shared" si="129"/>
        <v>5.1278745176399992E-2</v>
      </c>
      <c r="AC285" s="1871">
        <f t="shared" si="129"/>
        <v>5.0775868826399992E-2</v>
      </c>
      <c r="AD285" s="1871">
        <f t="shared" si="129"/>
        <v>5.0775868826399992E-2</v>
      </c>
      <c r="AE285" s="1863">
        <f t="shared" si="131"/>
        <v>0.42292392861780004</v>
      </c>
      <c r="AF285" s="1865">
        <f t="shared" si="132"/>
        <v>0.44001541435649322</v>
      </c>
      <c r="AG285" s="1863">
        <f t="shared" si="133"/>
        <v>0.44211743888220001</v>
      </c>
    </row>
    <row r="286" spans="1:33" x14ac:dyDescent="0.35">
      <c r="A286" s="227" t="s">
        <v>864</v>
      </c>
      <c r="B286" s="228" t="s">
        <v>868</v>
      </c>
      <c r="C286" s="1863">
        <f t="shared" si="130"/>
        <v>1.23339939</v>
      </c>
      <c r="D286" s="248"/>
      <c r="E286" s="1865"/>
      <c r="F286" s="246"/>
      <c r="G286" s="246"/>
      <c r="H286" s="246"/>
      <c r="I286" s="246"/>
      <c r="J286" s="246"/>
      <c r="K286" s="246"/>
      <c r="L286" s="246"/>
      <c r="M286" s="246"/>
      <c r="N286" s="246"/>
      <c r="O286" s="246"/>
      <c r="P286" s="246"/>
      <c r="Q286" s="246"/>
      <c r="R286" s="246"/>
      <c r="S286" s="246"/>
      <c r="T286" s="246"/>
      <c r="U286" s="246"/>
      <c r="V286" s="246"/>
      <c r="W286" s="1869">
        <f>+W26+W57+W90+W123+W156+W189+W222+W255</f>
        <v>1.8160529550600001E-2</v>
      </c>
      <c r="X286" s="1871">
        <f t="shared" si="129"/>
        <v>7.2642118202400005E-2</v>
      </c>
      <c r="Y286" s="1871">
        <f t="shared" si="129"/>
        <v>7.2642118202400005E-2</v>
      </c>
      <c r="Z286" s="1871">
        <f t="shared" si="129"/>
        <v>7.0654408202400015E-2</v>
      </c>
      <c r="AA286" s="1871">
        <f t="shared" si="129"/>
        <v>6.4691278202400004E-2</v>
      </c>
      <c r="AB286" s="1871">
        <f t="shared" si="129"/>
        <v>6.4691278202400004E-2</v>
      </c>
      <c r="AC286" s="1871">
        <f t="shared" si="129"/>
        <v>6.4318153877400003E-2</v>
      </c>
      <c r="AD286" s="1871">
        <f t="shared" si="129"/>
        <v>6.3198780902399998E-2</v>
      </c>
      <c r="AE286" s="1863">
        <f t="shared" si="131"/>
        <v>0.49099866534240005</v>
      </c>
      <c r="AF286" s="1865">
        <f t="shared" si="132"/>
        <v>0.3980857046981352</v>
      </c>
      <c r="AG286" s="1863">
        <f t="shared" si="133"/>
        <v>0.61906078565759981</v>
      </c>
    </row>
    <row r="287" spans="1:33" x14ac:dyDescent="0.35">
      <c r="A287" s="227" t="s">
        <v>864</v>
      </c>
      <c r="B287" s="228" t="s">
        <v>869</v>
      </c>
      <c r="C287" s="1863">
        <f t="shared" si="130"/>
        <v>0.175413392</v>
      </c>
      <c r="D287" s="248"/>
      <c r="E287" s="1865"/>
      <c r="F287" s="246"/>
      <c r="G287" s="246"/>
      <c r="H287" s="246"/>
      <c r="I287" s="246"/>
      <c r="J287" s="246"/>
      <c r="K287" s="246"/>
      <c r="L287" s="246"/>
      <c r="M287" s="246"/>
      <c r="N287" s="246"/>
      <c r="O287" s="246"/>
      <c r="P287" s="246"/>
      <c r="Q287" s="246"/>
      <c r="R287" s="246"/>
      <c r="S287" s="246"/>
      <c r="T287" s="246"/>
      <c r="U287" s="246"/>
      <c r="V287" s="246"/>
      <c r="W287" s="246"/>
      <c r="X287" s="1869">
        <f>+X27+X58+X91+X124+X157+X190+X223+X256</f>
        <v>4.0474241543999997E-3</v>
      </c>
      <c r="Y287" s="1871">
        <f t="shared" si="129"/>
        <v>1.6189696617599999E-2</v>
      </c>
      <c r="Z287" s="1871">
        <f t="shared" si="129"/>
        <v>1.6189696617599999E-2</v>
      </c>
      <c r="AA287" s="1871">
        <f t="shared" si="129"/>
        <v>1.6189696617599999E-2</v>
      </c>
      <c r="AB287" s="1871">
        <f t="shared" si="129"/>
        <v>1.6189696617599999E-2</v>
      </c>
      <c r="AC287" s="1871">
        <f t="shared" si="129"/>
        <v>1.6189696617599999E-2</v>
      </c>
      <c r="AD287" s="1871">
        <f t="shared" si="129"/>
        <v>1.3523794430100005E-2</v>
      </c>
      <c r="AE287" s="1863">
        <f t="shared" si="131"/>
        <v>9.8519701672500001E-2</v>
      </c>
      <c r="AF287" s="1865">
        <f t="shared" si="132"/>
        <v>0.56164298831015136</v>
      </c>
      <c r="AG287" s="1863">
        <f t="shared" si="133"/>
        <v>5.9352351127499994E-2</v>
      </c>
    </row>
    <row r="288" spans="1:33" x14ac:dyDescent="0.35">
      <c r="A288" s="227" t="s">
        <v>864</v>
      </c>
      <c r="B288" s="228" t="s">
        <v>870</v>
      </c>
      <c r="C288" s="1863">
        <f t="shared" si="130"/>
        <v>3.3919569999999996E-2</v>
      </c>
      <c r="D288" s="248"/>
      <c r="E288" s="1865"/>
      <c r="F288" s="246"/>
      <c r="G288" s="246"/>
      <c r="H288" s="246"/>
      <c r="I288" s="246"/>
      <c r="J288" s="246"/>
      <c r="K288" s="246"/>
      <c r="L288" s="246"/>
      <c r="M288" s="246"/>
      <c r="N288" s="246"/>
      <c r="O288" s="246"/>
      <c r="P288" s="246"/>
      <c r="Q288" s="246"/>
      <c r="R288" s="246"/>
      <c r="S288" s="246"/>
      <c r="T288" s="246"/>
      <c r="U288" s="246"/>
      <c r="V288" s="246"/>
      <c r="W288" s="246"/>
      <c r="X288" s="246"/>
      <c r="Y288" s="1869">
        <f>+Y28+Y59+Y92+Y125+Y158+Y191+Y224+Y257</f>
        <v>1.2254649562499999E-3</v>
      </c>
      <c r="Z288" s="1871">
        <f t="shared" si="129"/>
        <v>4.9018598249999995E-3</v>
      </c>
      <c r="AA288" s="1871">
        <f t="shared" si="129"/>
        <v>4.9018598249999995E-3</v>
      </c>
      <c r="AB288" s="1871">
        <f t="shared" si="129"/>
        <v>4.3177598250000006E-3</v>
      </c>
      <c r="AC288" s="1871">
        <f t="shared" si="129"/>
        <v>2.5654598249999997E-3</v>
      </c>
      <c r="AD288" s="1871">
        <f t="shared" si="129"/>
        <v>2.5654598249999997E-3</v>
      </c>
      <c r="AE288" s="1863">
        <f t="shared" si="131"/>
        <v>2.0477864081249998E-2</v>
      </c>
      <c r="AF288" s="1865">
        <f t="shared" si="132"/>
        <v>0.60371826887103819</v>
      </c>
      <c r="AG288" s="1863">
        <f t="shared" si="133"/>
        <v>1.004974891875E-2</v>
      </c>
    </row>
    <row r="289" spans="1:33" x14ac:dyDescent="0.35">
      <c r="A289" s="227" t="s">
        <v>864</v>
      </c>
      <c r="B289" s="228" t="s">
        <v>871</v>
      </c>
      <c r="C289" s="1863">
        <f t="shared" si="130"/>
        <v>0.4039566</v>
      </c>
      <c r="D289" s="229"/>
      <c r="E289" s="1868"/>
      <c r="F289" s="246"/>
      <c r="G289" s="246"/>
      <c r="H289" s="246"/>
      <c r="I289" s="246"/>
      <c r="J289" s="246"/>
      <c r="K289" s="246"/>
      <c r="L289" s="246"/>
      <c r="M289" s="246"/>
      <c r="N289" s="246"/>
      <c r="O289" s="246"/>
      <c r="P289" s="246"/>
      <c r="Q289" s="246"/>
      <c r="R289" s="246"/>
      <c r="S289" s="246"/>
      <c r="T289" s="246"/>
      <c r="U289" s="246"/>
      <c r="V289" s="246"/>
      <c r="W289" s="246"/>
      <c r="X289" s="246"/>
      <c r="Y289" s="246"/>
      <c r="Z289" s="1869">
        <f>+Z29+Z60+Z93+Z126+Z159+Z192+Z225+Z258</f>
        <v>1.1646037389999999E-2</v>
      </c>
      <c r="AA289" s="1871">
        <f t="shared" si="129"/>
        <v>2.3292074779999998E-2</v>
      </c>
      <c r="AB289" s="1871">
        <f t="shared" si="129"/>
        <v>2.3292074779999998E-2</v>
      </c>
      <c r="AC289" s="1871">
        <f t="shared" si="129"/>
        <v>2.3292074779999998E-2</v>
      </c>
      <c r="AD289" s="1871">
        <f t="shared" si="129"/>
        <v>2.3292074779999998E-2</v>
      </c>
      <c r="AE289" s="1863">
        <f t="shared" si="131"/>
        <v>0.10481433650999999</v>
      </c>
      <c r="AF289" s="1865">
        <f t="shared" si="132"/>
        <v>0.25946930068725205</v>
      </c>
      <c r="AG289" s="1863">
        <f t="shared" si="133"/>
        <v>0.25874660349</v>
      </c>
    </row>
    <row r="290" spans="1:33" x14ac:dyDescent="0.35">
      <c r="A290" s="227" t="s">
        <v>864</v>
      </c>
      <c r="B290" s="228" t="s">
        <v>872</v>
      </c>
      <c r="C290" s="1863">
        <f t="shared" si="130"/>
        <v>0.27942250000000002</v>
      </c>
      <c r="D290" s="229"/>
      <c r="E290" s="1868"/>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1869">
        <f>+AA30+AA61+AA94+AA127+AA160+AA193+AA226+AA259</f>
        <v>4.213907375E-3</v>
      </c>
      <c r="AB290" s="1871">
        <f t="shared" si="129"/>
        <v>1.3057629499999999E-2</v>
      </c>
      <c r="AC290" s="1871">
        <f t="shared" si="129"/>
        <v>1.3057629499999999E-2</v>
      </c>
      <c r="AD290" s="1871">
        <f t="shared" si="129"/>
        <v>1.3057629499999999E-2</v>
      </c>
      <c r="AE290" s="1863">
        <f t="shared" si="131"/>
        <v>4.3386795875000002E-2</v>
      </c>
      <c r="AF290" s="1865">
        <f t="shared" si="132"/>
        <v>0.15527309316536786</v>
      </c>
      <c r="AG290" s="1863">
        <f t="shared" si="133"/>
        <v>0.20809345412500002</v>
      </c>
    </row>
    <row r="291" spans="1:33" x14ac:dyDescent="0.35">
      <c r="A291" s="227" t="s">
        <v>864</v>
      </c>
      <c r="B291" s="228" t="s">
        <v>873</v>
      </c>
      <c r="C291" s="1863">
        <f t="shared" si="130"/>
        <v>0.2948769</v>
      </c>
      <c r="D291" s="229"/>
      <c r="E291" s="1868"/>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1869">
        <f>+AB31+AB62+AB95+AB128+AB161+AB194+AB227+AB260</f>
        <v>3.1109512949999999E-3</v>
      </c>
      <c r="AC291" s="1871">
        <f t="shared" si="129"/>
        <v>1.244380518E-2</v>
      </c>
      <c r="AD291" s="1871">
        <f t="shared" si="129"/>
        <v>1.244380518E-2</v>
      </c>
      <c r="AE291" s="1863">
        <f t="shared" si="131"/>
        <v>2.7998561655E-2</v>
      </c>
      <c r="AF291" s="1865">
        <f t="shared" si="132"/>
        <v>9.4950000000000007E-2</v>
      </c>
      <c r="AG291" s="1863">
        <f t="shared" si="133"/>
        <v>0.23739064834499998</v>
      </c>
    </row>
    <row r="292" spans="1:33" x14ac:dyDescent="0.35">
      <c r="A292" s="227" t="s">
        <v>864</v>
      </c>
      <c r="B292" s="228" t="s">
        <v>874</v>
      </c>
      <c r="C292" s="1863">
        <f t="shared" si="130"/>
        <v>0.43267509999999998</v>
      </c>
      <c r="D292" s="229"/>
      <c r="E292" s="1868"/>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1869">
        <f>+AC32+AC63+AC96+AC129+AC162+AC195+AC228+AC261</f>
        <v>4.5647223050000003E-3</v>
      </c>
      <c r="AD292" s="1871">
        <f t="shared" si="129"/>
        <v>1.8258889220000001E-2</v>
      </c>
      <c r="AE292" s="1863">
        <f t="shared" si="131"/>
        <v>2.2823611525000002E-2</v>
      </c>
      <c r="AF292" s="1865">
        <f t="shared" si="132"/>
        <v>5.2750000000000005E-2</v>
      </c>
      <c r="AG292" s="1863">
        <f t="shared" si="133"/>
        <v>0.36658397847499996</v>
      </c>
    </row>
    <row r="293" spans="1:33" x14ac:dyDescent="0.35">
      <c r="A293" s="227" t="s">
        <v>864</v>
      </c>
      <c r="B293" s="228" t="s">
        <v>875</v>
      </c>
      <c r="C293" s="1863">
        <f t="shared" si="130"/>
        <v>0.45153019999999999</v>
      </c>
      <c r="D293" s="229"/>
      <c r="E293" s="1868"/>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1869">
        <f>+AD33+AD64+AD97+AD130+AD163+AD196+AD229+AD262</f>
        <v>9.5272872199999997E-3</v>
      </c>
      <c r="AE293" s="1863">
        <f t="shared" si="131"/>
        <v>9.5272872199999997E-3</v>
      </c>
      <c r="AF293" s="1865">
        <f t="shared" si="132"/>
        <v>2.1100000000000001E-2</v>
      </c>
      <c r="AG293" s="1863">
        <f t="shared" si="133"/>
        <v>0.39684989277999999</v>
      </c>
    </row>
    <row r="294" spans="1:33" ht="13.15" x14ac:dyDescent="0.4">
      <c r="A294" s="231"/>
      <c r="B294" s="232" t="s">
        <v>164</v>
      </c>
      <c r="C294" s="1864">
        <f>SUM(C268:C293)</f>
        <v>74.694266689382204</v>
      </c>
      <c r="D294" s="233"/>
      <c r="E294" s="1867"/>
      <c r="F294" s="233"/>
      <c r="G294" s="233"/>
      <c r="H294" s="233"/>
      <c r="I294" s="233"/>
      <c r="J294" s="233"/>
      <c r="K294" s="233"/>
      <c r="L294" s="233"/>
      <c r="M294" s="233"/>
      <c r="N294" s="233"/>
      <c r="O294" s="233"/>
      <c r="P294" s="233"/>
      <c r="Q294" s="233"/>
      <c r="R294" s="233"/>
      <c r="S294" s="1864">
        <f>+S34+S65+S98+S131+S164+S197+S230+S263</f>
        <v>1.2631278500000001</v>
      </c>
      <c r="T294" s="1864">
        <f t="shared" ref="T294:AD294" si="134">+T34+T65+T98+T131+T164+T197+T230+T263</f>
        <v>2.8637275505303088</v>
      </c>
      <c r="U294" s="1864">
        <f t="shared" si="134"/>
        <v>2.9696829525177808</v>
      </c>
      <c r="V294" s="1864">
        <f t="shared" si="134"/>
        <v>3.3382772577371806</v>
      </c>
      <c r="W294" s="1864">
        <f t="shared" si="134"/>
        <v>3.3774692652575795</v>
      </c>
      <c r="X294" s="1864">
        <f t="shared" si="134"/>
        <v>3.4389982780637802</v>
      </c>
      <c r="Y294" s="1864">
        <f t="shared" si="134"/>
        <v>3.4447041154832312</v>
      </c>
      <c r="Z294" s="1864">
        <f t="shared" si="134"/>
        <v>3.6396920744919803</v>
      </c>
      <c r="AA294" s="1864">
        <f t="shared" si="134"/>
        <v>3.6538148208569807</v>
      </c>
      <c r="AB294" s="1864">
        <f t="shared" si="134"/>
        <v>3.6576768692936477</v>
      </c>
      <c r="AC294" s="1864">
        <f t="shared" si="134"/>
        <v>3.6596927822086482</v>
      </c>
      <c r="AD294" s="1864">
        <f t="shared" si="134"/>
        <v>3.6777834453811478</v>
      </c>
      <c r="AE294" s="1864">
        <f t="shared" ref="AE294" si="135">SUM(AE282:AE293)</f>
        <v>38.984647261822268</v>
      </c>
      <c r="AF294" s="1867">
        <f t="shared" si="132"/>
        <v>0.52192288631657369</v>
      </c>
      <c r="AG294" s="1864">
        <f t="shared" ref="AG294" si="136">SUM(AG282:AG293)</f>
        <v>28.240192758621728</v>
      </c>
    </row>
    <row r="295" spans="1:33" x14ac:dyDescent="0.35">
      <c r="S295" s="1872"/>
      <c r="T295" s="1872"/>
      <c r="U295" s="1872"/>
      <c r="V295" s="1872"/>
      <c r="W295" s="1872"/>
      <c r="X295" s="1872"/>
      <c r="Y295" s="1872"/>
      <c r="Z295" s="1872"/>
      <c r="AA295" s="1872"/>
      <c r="AB295" s="1872"/>
      <c r="AC295" s="1872"/>
      <c r="AD295" s="1872"/>
    </row>
    <row r="296" spans="1:33" x14ac:dyDescent="0.35">
      <c r="S296" s="1873"/>
      <c r="T296" s="1873"/>
      <c r="U296" s="1873"/>
      <c r="V296" s="1873"/>
      <c r="W296" s="1873"/>
      <c r="X296" s="1873"/>
      <c r="Y296" s="1873"/>
      <c r="Z296" s="1873"/>
      <c r="AA296" s="1873"/>
      <c r="AB296" s="1873"/>
      <c r="AC296" s="1873"/>
      <c r="AD296" s="1873"/>
    </row>
  </sheetData>
  <mergeCells count="40">
    <mergeCell ref="F235:AD235"/>
    <mergeCell ref="F266:AD266"/>
    <mergeCell ref="F169:AD169"/>
    <mergeCell ref="F202:AD202"/>
    <mergeCell ref="C266:C267"/>
    <mergeCell ref="D266:D267"/>
    <mergeCell ref="E266:E267"/>
    <mergeCell ref="C235:C236"/>
    <mergeCell ref="D235:D236"/>
    <mergeCell ref="E235:E236"/>
    <mergeCell ref="C169:C170"/>
    <mergeCell ref="D169:D170"/>
    <mergeCell ref="E169:E170"/>
    <mergeCell ref="C202:C203"/>
    <mergeCell ref="D202:D203"/>
    <mergeCell ref="E202:E203"/>
    <mergeCell ref="F103:AD103"/>
    <mergeCell ref="F136:AD136"/>
    <mergeCell ref="C37:C38"/>
    <mergeCell ref="D37:D38"/>
    <mergeCell ref="E37:E38"/>
    <mergeCell ref="C70:C71"/>
    <mergeCell ref="D70:D71"/>
    <mergeCell ref="E70:E71"/>
    <mergeCell ref="F37:AD37"/>
    <mergeCell ref="F70:AD70"/>
    <mergeCell ref="C103:C104"/>
    <mergeCell ref="D103:D104"/>
    <mergeCell ref="E103:E104"/>
    <mergeCell ref="C136:C137"/>
    <mergeCell ref="D136:D137"/>
    <mergeCell ref="E136:E137"/>
    <mergeCell ref="A2:T2"/>
    <mergeCell ref="A3:T3"/>
    <mergeCell ref="A4:T4"/>
    <mergeCell ref="B6:B7"/>
    <mergeCell ref="C6:C7"/>
    <mergeCell ref="D6:D7"/>
    <mergeCell ref="E6:E7"/>
    <mergeCell ref="F6:AD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H140"/>
  <sheetViews>
    <sheetView showGridLines="0" view="pageBreakPreview" topLeftCell="C51" zoomScale="80" zoomScaleNormal="68" workbookViewId="0">
      <selection activeCell="O94" sqref="O94"/>
    </sheetView>
  </sheetViews>
  <sheetFormatPr defaultColWidth="9.33203125" defaultRowHeight="13.9" x14ac:dyDescent="0.35"/>
  <cols>
    <col min="1" max="1" width="4.86328125" style="51" bestFit="1" customWidth="1"/>
    <col min="2" max="2" width="6.19921875" style="51" customWidth="1"/>
    <col min="3" max="3" width="32.1328125" style="51" customWidth="1"/>
    <col min="4" max="23" width="17.6640625" style="174" customWidth="1"/>
    <col min="24" max="16384" width="9.33203125" style="51"/>
  </cols>
  <sheetData>
    <row r="1" spans="1:23" x14ac:dyDescent="0.35">
      <c r="B1" s="83"/>
    </row>
    <row r="2" spans="1:23" x14ac:dyDescent="0.35">
      <c r="B2" s="1875" t="str">
        <f>+Index!B2</f>
        <v>Nidar Utilities Panvel LLP</v>
      </c>
      <c r="C2" s="1875"/>
      <c r="D2" s="1875"/>
      <c r="E2" s="1875"/>
      <c r="F2" s="1875"/>
      <c r="G2" s="1875"/>
      <c r="H2" s="1875"/>
      <c r="I2" s="1875"/>
      <c r="J2" s="1875"/>
      <c r="K2" s="1875"/>
      <c r="L2" s="1875"/>
      <c r="M2" s="1875"/>
      <c r="N2" s="1875"/>
      <c r="O2" s="1875"/>
      <c r="P2" s="1875"/>
      <c r="Q2" s="1875"/>
      <c r="R2" s="1875"/>
      <c r="S2" s="1875"/>
      <c r="T2" s="1875"/>
      <c r="U2" s="1875"/>
      <c r="V2" s="1875"/>
      <c r="W2" s="1875"/>
    </row>
    <row r="3" spans="1:23" x14ac:dyDescent="0.35">
      <c r="B3" s="1875" t="s">
        <v>518</v>
      </c>
      <c r="C3" s="1875"/>
      <c r="D3" s="1875"/>
      <c r="E3" s="1875"/>
      <c r="F3" s="1875"/>
      <c r="G3" s="1875"/>
      <c r="H3" s="1875"/>
      <c r="I3" s="1875"/>
      <c r="J3" s="1875"/>
      <c r="K3" s="1875"/>
      <c r="L3" s="1875"/>
      <c r="M3" s="1875"/>
      <c r="N3" s="1875"/>
      <c r="O3" s="1875"/>
      <c r="P3" s="1875"/>
      <c r="Q3" s="1875"/>
      <c r="R3" s="1875"/>
      <c r="S3" s="1875"/>
      <c r="T3" s="1875"/>
      <c r="U3" s="1875"/>
      <c r="V3" s="1875"/>
      <c r="W3" s="1875"/>
    </row>
    <row r="4" spans="1:23" x14ac:dyDescent="0.35">
      <c r="B4" s="1875" t="s">
        <v>519</v>
      </c>
      <c r="C4" s="1875"/>
      <c r="D4" s="1875"/>
      <c r="E4" s="1875"/>
      <c r="F4" s="1875"/>
      <c r="G4" s="1875"/>
      <c r="H4" s="1875"/>
      <c r="I4" s="1875"/>
      <c r="J4" s="1875"/>
      <c r="K4" s="1875"/>
      <c r="L4" s="1875"/>
      <c r="M4" s="1875"/>
      <c r="N4" s="1875"/>
      <c r="O4" s="1875"/>
      <c r="P4" s="1875"/>
      <c r="Q4" s="1875"/>
      <c r="R4" s="1875"/>
      <c r="S4" s="1875"/>
      <c r="T4" s="1875"/>
      <c r="U4" s="1875"/>
      <c r="V4" s="1875"/>
      <c r="W4" s="1875"/>
    </row>
    <row r="5" spans="1:23" x14ac:dyDescent="0.35">
      <c r="C5" s="83"/>
      <c r="E5" s="153"/>
      <c r="G5" s="153"/>
      <c r="H5" s="153"/>
    </row>
    <row r="6" spans="1:23" x14ac:dyDescent="0.35">
      <c r="C6" s="83"/>
      <c r="E6" s="153"/>
      <c r="G6" s="153"/>
      <c r="H6" s="153"/>
    </row>
    <row r="7" spans="1:23" x14ac:dyDescent="0.35">
      <c r="C7" s="83" t="s">
        <v>520</v>
      </c>
      <c r="E7" s="153"/>
      <c r="G7" s="153"/>
      <c r="H7" s="153"/>
    </row>
    <row r="8" spans="1:23" x14ac:dyDescent="0.35">
      <c r="C8" s="83"/>
      <c r="E8" s="153"/>
      <c r="G8" s="153"/>
      <c r="H8" s="153"/>
    </row>
    <row r="9" spans="1:23" x14ac:dyDescent="0.35">
      <c r="C9" s="83"/>
      <c r="E9" s="153"/>
      <c r="G9" s="153"/>
      <c r="H9" s="153"/>
    </row>
    <row r="10" spans="1:23" x14ac:dyDescent="0.35">
      <c r="A10" s="51" t="s">
        <v>521</v>
      </c>
      <c r="B10" s="83" t="s">
        <v>522</v>
      </c>
      <c r="C10" s="83"/>
      <c r="D10" s="170"/>
      <c r="E10" s="170"/>
      <c r="F10" s="170"/>
      <c r="G10" s="170"/>
      <c r="H10" s="170"/>
      <c r="J10" s="153"/>
      <c r="M10" s="153"/>
      <c r="N10" s="153"/>
      <c r="R10" s="1143"/>
    </row>
    <row r="11" spans="1:23" x14ac:dyDescent="0.35">
      <c r="B11" s="369"/>
      <c r="C11" s="84"/>
      <c r="D11" s="1144"/>
      <c r="E11" s="1144"/>
      <c r="F11" s="1144"/>
      <c r="G11" s="1144"/>
      <c r="H11" s="1144"/>
      <c r="J11" s="153"/>
      <c r="M11" s="153"/>
      <c r="N11" s="153"/>
      <c r="R11" s="1143"/>
      <c r="W11" s="1145" t="s">
        <v>110</v>
      </c>
    </row>
    <row r="12" spans="1:23" x14ac:dyDescent="0.35">
      <c r="B12" s="1947" t="s">
        <v>1</v>
      </c>
      <c r="C12" s="1947" t="s">
        <v>111</v>
      </c>
      <c r="D12" s="2052" t="s">
        <v>196</v>
      </c>
      <c r="E12" s="2052"/>
      <c r="F12" s="2052"/>
      <c r="G12" s="2052"/>
      <c r="H12" s="2052"/>
      <c r="I12" s="1947" t="s">
        <v>197</v>
      </c>
      <c r="J12" s="1947"/>
      <c r="K12" s="1947"/>
      <c r="L12" s="1947"/>
      <c r="M12" s="1947"/>
      <c r="N12" s="1947" t="s">
        <v>198</v>
      </c>
      <c r="O12" s="1947"/>
      <c r="P12" s="1947"/>
      <c r="Q12" s="1947"/>
      <c r="R12" s="1947"/>
      <c r="S12" s="1947" t="s">
        <v>199</v>
      </c>
      <c r="T12" s="1947"/>
      <c r="U12" s="1947"/>
      <c r="V12" s="1947"/>
      <c r="W12" s="1947"/>
    </row>
    <row r="13" spans="1:23" x14ac:dyDescent="0.35">
      <c r="B13" s="1947"/>
      <c r="C13" s="1947"/>
      <c r="D13" s="1947" t="s">
        <v>186</v>
      </c>
      <c r="E13" s="2051"/>
      <c r="F13" s="2051"/>
      <c r="G13" s="2051"/>
      <c r="H13" s="2051"/>
      <c r="I13" s="1947" t="s">
        <v>186</v>
      </c>
      <c r="J13" s="2051"/>
      <c r="K13" s="2051"/>
      <c r="L13" s="2051"/>
      <c r="M13" s="2051"/>
      <c r="N13" s="1947" t="s">
        <v>186</v>
      </c>
      <c r="O13" s="2051"/>
      <c r="P13" s="2051"/>
      <c r="Q13" s="2051"/>
      <c r="R13" s="2051"/>
      <c r="S13" s="1947" t="s">
        <v>186</v>
      </c>
      <c r="T13" s="2051"/>
      <c r="U13" s="2051"/>
      <c r="V13" s="2051"/>
      <c r="W13" s="2051"/>
    </row>
    <row r="14" spans="1:23" ht="40.5" x14ac:dyDescent="0.35">
      <c r="B14" s="1947"/>
      <c r="C14" s="1947"/>
      <c r="D14" s="106" t="s">
        <v>523</v>
      </c>
      <c r="E14" s="106" t="s">
        <v>524</v>
      </c>
      <c r="F14" s="106" t="s">
        <v>525</v>
      </c>
      <c r="G14" s="106" t="s">
        <v>543</v>
      </c>
      <c r="H14" s="106" t="s">
        <v>526</v>
      </c>
      <c r="I14" s="106" t="s">
        <v>523</v>
      </c>
      <c r="J14" s="106" t="s">
        <v>524</v>
      </c>
      <c r="K14" s="106" t="s">
        <v>525</v>
      </c>
      <c r="L14" s="106" t="s">
        <v>543</v>
      </c>
      <c r="M14" s="106" t="s">
        <v>526</v>
      </c>
      <c r="N14" s="106" t="s">
        <v>523</v>
      </c>
      <c r="O14" s="106" t="s">
        <v>524</v>
      </c>
      <c r="P14" s="106" t="s">
        <v>525</v>
      </c>
      <c r="Q14" s="106" t="s">
        <v>543</v>
      </c>
      <c r="R14" s="106" t="s">
        <v>526</v>
      </c>
      <c r="S14" s="106" t="s">
        <v>523</v>
      </c>
      <c r="T14" s="106" t="s">
        <v>524</v>
      </c>
      <c r="U14" s="106" t="s">
        <v>525</v>
      </c>
      <c r="V14" s="106" t="s">
        <v>543</v>
      </c>
      <c r="W14" s="106" t="s">
        <v>526</v>
      </c>
    </row>
    <row r="15" spans="1:23" x14ac:dyDescent="0.35">
      <c r="B15" s="217"/>
      <c r="C15" s="217"/>
      <c r="D15" s="217" t="s">
        <v>128</v>
      </c>
      <c r="E15" s="217" t="s">
        <v>129</v>
      </c>
      <c r="F15" s="217" t="s">
        <v>527</v>
      </c>
      <c r="G15" s="217" t="s">
        <v>130</v>
      </c>
      <c r="H15" s="217" t="s">
        <v>544</v>
      </c>
      <c r="I15" s="217" t="s">
        <v>331</v>
      </c>
      <c r="J15" s="217" t="s">
        <v>132</v>
      </c>
      <c r="K15" s="217" t="s">
        <v>133</v>
      </c>
      <c r="L15" s="217" t="s">
        <v>332</v>
      </c>
      <c r="M15" s="217" t="s">
        <v>545</v>
      </c>
      <c r="N15" s="217" t="s">
        <v>528</v>
      </c>
      <c r="O15" s="217" t="s">
        <v>529</v>
      </c>
      <c r="P15" s="217" t="s">
        <v>334</v>
      </c>
      <c r="Q15" s="217" t="s">
        <v>530</v>
      </c>
      <c r="R15" s="217" t="s">
        <v>546</v>
      </c>
      <c r="S15" s="217" t="s">
        <v>532</v>
      </c>
      <c r="T15" s="217" t="s">
        <v>533</v>
      </c>
      <c r="U15" s="217" t="s">
        <v>534</v>
      </c>
      <c r="V15" s="217" t="s">
        <v>535</v>
      </c>
      <c r="W15" s="217" t="s">
        <v>547</v>
      </c>
    </row>
    <row r="16" spans="1:23" s="39" customFormat="1" x14ac:dyDescent="0.35">
      <c r="B16" s="1133">
        <v>1</v>
      </c>
      <c r="C16" s="1134" t="s">
        <v>1410</v>
      </c>
      <c r="D16" s="1148">
        <f>+'F5.1 (E) Exisiting'!D16+'F5.2 (E) Existing'!D16</f>
        <v>0</v>
      </c>
      <c r="E16" s="1148">
        <f>+'F5.1 (E) Exisiting'!E16+'F5.2 (E) Existing'!E16+'F5.1 (N) New'!E16+'F5.2 (N) New'!E16</f>
        <v>3.4999999999999999E-6</v>
      </c>
      <c r="F16" s="1148">
        <f>+'F5.1 (E) Exisiting'!F16+'F5.2 (E) Existing'!F16+'F5.1 (N) New'!F16+'F5.2 (N) New'!F16</f>
        <v>0</v>
      </c>
      <c r="G16" s="1148">
        <f>+'F5.1 (E) Exisiting'!G16+'F5.2 (E) Existing'!G16+'F5.1 (N) New'!G16+'F5.2 (N) New'!G16</f>
        <v>0</v>
      </c>
      <c r="H16" s="760">
        <f>+D16+E16-F16-G16</f>
        <v>3.4999999999999999E-6</v>
      </c>
      <c r="I16" s="1146">
        <f>+H16</f>
        <v>3.4999999999999999E-6</v>
      </c>
      <c r="J16" s="1148">
        <f>+'F5.1 (E) Exisiting'!J16+'F5.2 (E) Existing'!J16+'F5.1 (N) New'!J16+'F5.2 (N) New'!J16</f>
        <v>0</v>
      </c>
      <c r="K16" s="1148">
        <f>+'F5.1 (E) Exisiting'!K16+'F5.2 (E) Existing'!K16+'F5.1 (N) New'!K16+'F5.2 (N) New'!K16</f>
        <v>0</v>
      </c>
      <c r="L16" s="1148">
        <f>+'F5.1 (E) Exisiting'!L16+'F5.2 (E) Existing'!L16+'F5.1 (N) New'!L16+'F5.2 (N) New'!L16</f>
        <v>0</v>
      </c>
      <c r="M16" s="760">
        <f>+I16+J16-K16-L16</f>
        <v>3.4999999999999999E-6</v>
      </c>
      <c r="N16" s="1146">
        <f>+M16</f>
        <v>3.4999999999999999E-6</v>
      </c>
      <c r="O16" s="1148">
        <f>+'F5.1 (E) Exisiting'!O16+'F5.2 (E) Existing'!O16+'F5.1 (N) New'!O16+'F5.2 (N) New'!O16</f>
        <v>0</v>
      </c>
      <c r="P16" s="1148">
        <f>+'F5.1 (E) Exisiting'!P16+'F5.2 (E) Existing'!P16+'F5.1 (N) New'!P16+'F5.2 (N) New'!P16</f>
        <v>0</v>
      </c>
      <c r="Q16" s="1148">
        <f>+'F5.1 (E) Exisiting'!Q16+'F5.2 (E) Existing'!Q16+'F5.1 (N) New'!Q16+'F5.2 (N) New'!Q16</f>
        <v>0</v>
      </c>
      <c r="R16" s="760">
        <f>+N16+O16-P16-Q16</f>
        <v>3.4999999999999999E-6</v>
      </c>
      <c r="S16" s="1146">
        <f>+R16</f>
        <v>3.4999999999999999E-6</v>
      </c>
      <c r="T16" s="1148">
        <f>+'F5.1 (E) Exisiting'!T16+'F5.2 (E) Existing'!T16+'F5.1 (N) New'!T16+'F5.2 (N) New'!T16</f>
        <v>0</v>
      </c>
      <c r="U16" s="1148">
        <f>+'F5.1 (E) Exisiting'!U16+'F5.2 (E) Existing'!U16+'F5.1 (N) New'!U16+'F5.2 (N) New'!U16</f>
        <v>0</v>
      </c>
      <c r="V16" s="1148">
        <f>+'F5.1 (E) Exisiting'!V16+'F5.2 (E) Existing'!V16+'F5.1 (N) New'!V16+'F5.2 (N) New'!V16</f>
        <v>0</v>
      </c>
      <c r="W16" s="760">
        <f>+S16+T16-U16-V16</f>
        <v>3.4999999999999999E-6</v>
      </c>
    </row>
    <row r="17" spans="2:23" s="39" customFormat="1" x14ac:dyDescent="0.35">
      <c r="B17" s="1133">
        <v>2</v>
      </c>
      <c r="C17" s="1134" t="s">
        <v>1409</v>
      </c>
      <c r="D17" s="1148">
        <f>+'F5.1 (E) Exisiting'!D17+'F5.2 (E) Existing'!D17</f>
        <v>0</v>
      </c>
      <c r="E17" s="1148">
        <f>+'F5.1 (E) Exisiting'!E17+'F5.2 (E) Existing'!E17+'F5.1 (N) New'!E17+'F5.2 (N) New'!E17</f>
        <v>11.562416499999999</v>
      </c>
      <c r="F17" s="1148">
        <f>+'F5.1 (E) Exisiting'!F17+'F5.2 (E) Existing'!F17+'F5.1 (N) New'!F17+'F5.2 (N) New'!F17</f>
        <v>0</v>
      </c>
      <c r="G17" s="1148">
        <f>+'F5.1 (E) Exisiting'!G17+'F5.2 (E) Existing'!G17+'F5.1 (N) New'!G17+'F5.2 (N) New'!G17</f>
        <v>0</v>
      </c>
      <c r="H17" s="760">
        <f t="shared" ref="H17:H23" si="0">+D17+E17-F17-G17</f>
        <v>11.562416499999999</v>
      </c>
      <c r="I17" s="1146">
        <f t="shared" ref="I17:I23" si="1">+H17</f>
        <v>11.562416499999999</v>
      </c>
      <c r="J17" s="1148">
        <f>+'F5.1 (E) Exisiting'!J17+'F5.2 (E) Existing'!J17+'F5.1 (N) New'!J17+'F5.2 (N) New'!J17</f>
        <v>0</v>
      </c>
      <c r="K17" s="1148">
        <f>+'F5.1 (E) Exisiting'!K17+'F5.2 (E) Existing'!K17+'F5.1 (N) New'!K17+'F5.2 (N) New'!K17</f>
        <v>0</v>
      </c>
      <c r="L17" s="1148">
        <f>+'F5.1 (E) Exisiting'!L17+'F5.2 (E) Existing'!L17+'F5.1 (N) New'!L17+'F5.2 (N) New'!L17</f>
        <v>0</v>
      </c>
      <c r="M17" s="760">
        <f t="shared" ref="M17:M23" si="2">+I17+J17-K17-L17</f>
        <v>11.562416499999999</v>
      </c>
      <c r="N17" s="1146">
        <f t="shared" ref="N17:N23" si="3">+M17</f>
        <v>11.562416499999999</v>
      </c>
      <c r="O17" s="1148">
        <f>+'F5.1 (E) Exisiting'!O17+'F5.2 (E) Existing'!O17+'F5.1 (N) New'!O17+'F5.2 (N) New'!O17</f>
        <v>0</v>
      </c>
      <c r="P17" s="1148">
        <f>+'F5.1 (E) Exisiting'!P17+'F5.2 (E) Existing'!P17+'F5.1 (N) New'!P17+'F5.2 (N) New'!P17</f>
        <v>0</v>
      </c>
      <c r="Q17" s="1148">
        <f>+'F5.1 (E) Exisiting'!Q17+'F5.2 (E) Existing'!Q17+'F5.1 (N) New'!Q17+'F5.2 (N) New'!Q17</f>
        <v>0</v>
      </c>
      <c r="R17" s="760">
        <f t="shared" ref="R17:R23" si="4">+N17+O17-P17-Q17</f>
        <v>11.562416499999999</v>
      </c>
      <c r="S17" s="1146">
        <f t="shared" ref="S17:S23" si="5">+R17</f>
        <v>11.562416499999999</v>
      </c>
      <c r="T17" s="1148">
        <f>+'F5.1 (E) Exisiting'!T17+'F5.2 (E) Existing'!T17+'F5.1 (N) New'!T17+'F5.2 (N) New'!T17</f>
        <v>0</v>
      </c>
      <c r="U17" s="1148">
        <f>+'F5.1 (E) Exisiting'!U17+'F5.2 (E) Existing'!U17+'F5.1 (N) New'!U17+'F5.2 (N) New'!U17</f>
        <v>0</v>
      </c>
      <c r="V17" s="1148">
        <f>+'F5.1 (E) Exisiting'!V17+'F5.2 (E) Existing'!V17+'F5.1 (N) New'!V17+'F5.2 (N) New'!V17</f>
        <v>0</v>
      </c>
      <c r="W17" s="760">
        <f t="shared" ref="W17:W23" si="6">+S17+T17-U17-V17</f>
        <v>11.562416499999999</v>
      </c>
    </row>
    <row r="18" spans="2:23" s="39" customFormat="1" x14ac:dyDescent="0.35">
      <c r="B18" s="1133">
        <v>3</v>
      </c>
      <c r="C18" s="1134" t="s">
        <v>440</v>
      </c>
      <c r="D18" s="1148">
        <f>+'F5.1 (E) Exisiting'!D18+'F5.2 (E) Existing'!D18</f>
        <v>0</v>
      </c>
      <c r="E18" s="1148">
        <f>+'F5.1 (E) Exisiting'!E18+'F5.2 (E) Existing'!E18+'F5.1 (N) New'!E18+'F5.2 (N) New'!E18</f>
        <v>43.916384399999998</v>
      </c>
      <c r="F18" s="1148">
        <f>+'F5.1 (E) Exisiting'!F18+'F5.2 (E) Existing'!F18+'F5.1 (N) New'!F18+'F5.2 (N) New'!F18</f>
        <v>0</v>
      </c>
      <c r="G18" s="1148">
        <f>+'F5.1 (E) Exisiting'!G18+'F5.2 (E) Existing'!G18+'F5.1 (N) New'!G18+'F5.2 (N) New'!G18</f>
        <v>0</v>
      </c>
      <c r="H18" s="760">
        <f t="shared" si="0"/>
        <v>43.916384399999998</v>
      </c>
      <c r="I18" s="1146">
        <f t="shared" si="1"/>
        <v>43.916384399999998</v>
      </c>
      <c r="J18" s="1148">
        <f>+'F5.1 (E) Exisiting'!J18+'F5.2 (E) Existing'!J18+'F5.1 (N) New'!J18+'F5.2 (N) New'!J18</f>
        <v>11.561528951458783</v>
      </c>
      <c r="K18" s="1148">
        <f>+'F5.1 (E) Exisiting'!K18+'F5.2 (E) Existing'!K18+'F5.1 (N) New'!K18+'F5.2 (N) New'!K18</f>
        <v>0</v>
      </c>
      <c r="L18" s="1148">
        <f>+'F5.1 (E) Exisiting'!L18+'F5.2 (E) Existing'!L18+'F5.1 (N) New'!L18+'F5.2 (N) New'!L18</f>
        <v>0</v>
      </c>
      <c r="M18" s="760">
        <f t="shared" si="2"/>
        <v>55.477913351458781</v>
      </c>
      <c r="N18" s="1146">
        <f t="shared" si="3"/>
        <v>55.477913351458781</v>
      </c>
      <c r="O18" s="1148">
        <f>+'F5.1 (E) Exisiting'!O18+'F5.2 (E) Existing'!O18+'F5.1 (N) New'!O18+'F5.2 (N) New'!O18</f>
        <v>4.9563993889999995</v>
      </c>
      <c r="P18" s="1148">
        <f>+'F5.1 (E) Exisiting'!P18+'F5.2 (E) Existing'!P18+'F5.1 (N) New'!P18+'F5.2 (N) New'!P18</f>
        <v>3.6920784959999997</v>
      </c>
      <c r="Q18" s="1148">
        <f>+'F5.1 (E) Exisiting'!Q18+'F5.2 (E) Existing'!Q18+'F5.1 (N) New'!Q18+'F5.2 (N) New'!Q18</f>
        <v>0</v>
      </c>
      <c r="R18" s="760">
        <f t="shared" si="4"/>
        <v>56.742234244458778</v>
      </c>
      <c r="S18" s="1146">
        <f t="shared" si="5"/>
        <v>56.742234244458778</v>
      </c>
      <c r="T18" s="1148">
        <f>+'F5.1 (E) Exisiting'!T18+'F5.2 (E) Existing'!T18+'F5.1 (N) New'!T18+'F5.2 (N) New'!T18</f>
        <v>0.64014373999999996</v>
      </c>
      <c r="U18" s="1148">
        <f>+'F5.1 (E) Exisiting'!U18+'F5.2 (E) Existing'!U18+'F5.1 (N) New'!U18+'F5.2 (N) New'!U18</f>
        <v>0</v>
      </c>
      <c r="V18" s="1148">
        <f>+'F5.1 (E) Exisiting'!V18+'F5.2 (E) Existing'!V18+'F5.1 (N) New'!V18+'F5.2 (N) New'!V18</f>
        <v>0</v>
      </c>
      <c r="W18" s="760">
        <f t="shared" si="6"/>
        <v>57.382377984458778</v>
      </c>
    </row>
    <row r="19" spans="2:23" x14ac:dyDescent="0.35">
      <c r="B19" s="1133">
        <v>4</v>
      </c>
      <c r="C19" s="1134" t="s">
        <v>915</v>
      </c>
      <c r="D19" s="1148">
        <f>+'F5.1 (E) Exisiting'!D19+'F5.2 (E) Existing'!D19</f>
        <v>0</v>
      </c>
      <c r="E19" s="1148">
        <f>+'F5.1 (E) Exisiting'!E19+'F5.2 (E) Existing'!E19+'F5.1 (N) New'!E19+'F5.2 (N) New'!E19</f>
        <v>0.48908190000000001</v>
      </c>
      <c r="F19" s="1148">
        <f>+'F5.1 (E) Exisiting'!F19+'F5.2 (E) Existing'!F19+'F5.1 (N) New'!F19+'F5.2 (N) New'!F19</f>
        <v>0</v>
      </c>
      <c r="G19" s="1148">
        <f>+'F5.1 (E) Exisiting'!G19+'F5.2 (E) Existing'!G19+'F5.1 (N) New'!G19+'F5.2 (N) New'!G19</f>
        <v>0</v>
      </c>
      <c r="H19" s="760">
        <f t="shared" si="0"/>
        <v>0.48908190000000001</v>
      </c>
      <c r="I19" s="1146">
        <f t="shared" si="1"/>
        <v>0.48908190000000001</v>
      </c>
      <c r="J19" s="1148">
        <f>+'F5.1 (E) Exisiting'!J19+'F5.2 (E) Existing'!J19+'F5.1 (N) New'!J19+'F5.2 (N) New'!J19</f>
        <v>1.2686292989234327</v>
      </c>
      <c r="K19" s="1148">
        <f>+'F5.1 (E) Exisiting'!K19+'F5.2 (E) Existing'!K19+'F5.1 (N) New'!K19+'F5.2 (N) New'!K19</f>
        <v>0</v>
      </c>
      <c r="L19" s="1148">
        <f>+'F5.1 (E) Exisiting'!L19+'F5.2 (E) Existing'!L19+'F5.1 (N) New'!L19+'F5.2 (N) New'!L19</f>
        <v>0</v>
      </c>
      <c r="M19" s="760">
        <f t="shared" si="2"/>
        <v>1.7577111989234326</v>
      </c>
      <c r="N19" s="1146">
        <f t="shared" si="3"/>
        <v>1.7577111989234326</v>
      </c>
      <c r="O19" s="1148">
        <f>+'F5.1 (E) Exisiting'!O19+'F5.2 (E) Existing'!O19+'F5.1 (N) New'!O19+'F5.2 (N) New'!O19</f>
        <v>0</v>
      </c>
      <c r="P19" s="1148">
        <f>+'F5.1 (E) Exisiting'!P19+'F5.2 (E) Existing'!P19+'F5.1 (N) New'!P19+'F5.2 (N) New'!P19</f>
        <v>0</v>
      </c>
      <c r="Q19" s="1148">
        <f>+'F5.1 (E) Exisiting'!Q19+'F5.2 (E) Existing'!Q19+'F5.1 (N) New'!Q19+'F5.2 (N) New'!Q19</f>
        <v>0</v>
      </c>
      <c r="R19" s="760">
        <f t="shared" si="4"/>
        <v>1.7577111989234326</v>
      </c>
      <c r="S19" s="1146">
        <f t="shared" si="5"/>
        <v>1.7577111989234326</v>
      </c>
      <c r="T19" s="1148">
        <f>+'F5.1 (E) Exisiting'!T19+'F5.2 (E) Existing'!T19+'F5.1 (N) New'!T19+'F5.2 (N) New'!T19</f>
        <v>0.291515523</v>
      </c>
      <c r="U19" s="1148">
        <f>+'F5.1 (E) Exisiting'!U19+'F5.2 (E) Existing'!U19+'F5.1 (N) New'!U19+'F5.2 (N) New'!U19</f>
        <v>0</v>
      </c>
      <c r="V19" s="1148">
        <f>+'F5.1 (E) Exisiting'!V19+'F5.2 (E) Existing'!V19+'F5.1 (N) New'!V19+'F5.2 (N) New'!V19</f>
        <v>0</v>
      </c>
      <c r="W19" s="760">
        <f t="shared" si="6"/>
        <v>2.0492267219234326</v>
      </c>
    </row>
    <row r="20" spans="2:23" x14ac:dyDescent="0.35">
      <c r="B20" s="1133">
        <v>5</v>
      </c>
      <c r="C20" s="1134" t="s">
        <v>447</v>
      </c>
      <c r="D20" s="1148">
        <f>+'F5.1 (E) Exisiting'!D20+'F5.2 (E) Existing'!D20</f>
        <v>0</v>
      </c>
      <c r="E20" s="1148">
        <f>+'F5.1 (E) Exisiting'!E20+'F5.2 (E) Existing'!E20+'F5.1 (N) New'!E20+'F5.2 (N) New'!E20</f>
        <v>9.7135400000000011E-2</v>
      </c>
      <c r="F20" s="1148">
        <f>+'F5.1 (E) Exisiting'!F20+'F5.2 (E) Existing'!F20+'F5.1 (N) New'!F20+'F5.2 (N) New'!F20</f>
        <v>0</v>
      </c>
      <c r="G20" s="1148">
        <f>+'F5.1 (E) Exisiting'!G20+'F5.2 (E) Existing'!G20+'F5.1 (N) New'!G20+'F5.2 (N) New'!G20</f>
        <v>0</v>
      </c>
      <c r="H20" s="760">
        <f t="shared" si="0"/>
        <v>9.7135400000000011E-2</v>
      </c>
      <c r="I20" s="1146">
        <f t="shared" si="1"/>
        <v>9.7135400000000011E-2</v>
      </c>
      <c r="J20" s="1148">
        <f>+'F5.1 (E) Exisiting'!J20+'F5.2 (E) Existing'!J20+'F5.1 (N) New'!J20+'F5.2 (N) New'!J20</f>
        <v>0</v>
      </c>
      <c r="K20" s="1148">
        <f>+'F5.1 (E) Exisiting'!K20+'F5.2 (E) Existing'!K20+'F5.1 (N) New'!K20+'F5.2 (N) New'!K20</f>
        <v>0</v>
      </c>
      <c r="L20" s="1148">
        <f>+'F5.1 (E) Exisiting'!L20+'F5.2 (E) Existing'!L20+'F5.1 (N) New'!L20+'F5.2 (N) New'!L20</f>
        <v>0</v>
      </c>
      <c r="M20" s="760">
        <f t="shared" si="2"/>
        <v>9.7135400000000011E-2</v>
      </c>
      <c r="N20" s="1146">
        <f t="shared" si="3"/>
        <v>9.7135400000000011E-2</v>
      </c>
      <c r="O20" s="1148">
        <f>+'F5.1 (E) Exisiting'!O20+'F5.2 (E) Existing'!O20+'F5.1 (N) New'!O20+'F5.2 (N) New'!O20</f>
        <v>0</v>
      </c>
      <c r="P20" s="1148">
        <f>+'F5.1 (E) Exisiting'!P20+'F5.2 (E) Existing'!P20+'F5.1 (N) New'!P20+'F5.2 (N) New'!P20</f>
        <v>0</v>
      </c>
      <c r="Q20" s="1148">
        <f>+'F5.1 (E) Exisiting'!Q20+'F5.2 (E) Existing'!Q20+'F5.1 (N) New'!Q20+'F5.2 (N) New'!Q20</f>
        <v>0</v>
      </c>
      <c r="R20" s="760">
        <f t="shared" si="4"/>
        <v>9.7135400000000011E-2</v>
      </c>
      <c r="S20" s="1146">
        <f t="shared" si="5"/>
        <v>9.7135400000000011E-2</v>
      </c>
      <c r="T20" s="1148">
        <f>+'F5.1 (E) Exisiting'!T20+'F5.2 (E) Existing'!T20+'F5.1 (N) New'!T20+'F5.2 (N) New'!T20</f>
        <v>2.5027799999999999E-2</v>
      </c>
      <c r="U20" s="1148">
        <f>+'F5.1 (E) Exisiting'!U20+'F5.2 (E) Existing'!U20+'F5.1 (N) New'!U20+'F5.2 (N) New'!U20</f>
        <v>0</v>
      </c>
      <c r="V20" s="1148">
        <f>+'F5.1 (E) Exisiting'!V20+'F5.2 (E) Existing'!V20+'F5.1 (N) New'!V20+'F5.2 (N) New'!V20</f>
        <v>0</v>
      </c>
      <c r="W20" s="760">
        <f t="shared" si="6"/>
        <v>0.12216320000000001</v>
      </c>
    </row>
    <row r="21" spans="2:23" x14ac:dyDescent="0.35">
      <c r="B21" s="1133">
        <v>6</v>
      </c>
      <c r="C21" s="1134" t="s">
        <v>879</v>
      </c>
      <c r="D21" s="1148">
        <f>+'F5.1 (E) Exisiting'!D21+'F5.2 (E) Existing'!D21</f>
        <v>0</v>
      </c>
      <c r="E21" s="1148">
        <f>+'F5.1 (E) Exisiting'!E21+'F5.2 (E) Existing'!E21+'F5.1 (N) New'!E21+'F5.2 (N) New'!E21</f>
        <v>6.5979999999999997E-3</v>
      </c>
      <c r="F21" s="1148">
        <f>+'F5.1 (E) Exisiting'!F21+'F5.2 (E) Existing'!F21+'F5.1 (N) New'!F21+'F5.2 (N) New'!F21</f>
        <v>0</v>
      </c>
      <c r="G21" s="1148">
        <f>+'F5.1 (E) Exisiting'!G21+'F5.2 (E) Existing'!G21+'F5.1 (N) New'!G21+'F5.2 (N) New'!G21</f>
        <v>0</v>
      </c>
      <c r="H21" s="760">
        <f t="shared" si="0"/>
        <v>6.5979999999999997E-3</v>
      </c>
      <c r="I21" s="1146">
        <f t="shared" si="1"/>
        <v>6.5979999999999997E-3</v>
      </c>
      <c r="J21" s="1148">
        <f>+'F5.1 (E) Exisiting'!J21+'F5.2 (E) Existing'!J21+'F5.1 (N) New'!J21+'F5.2 (N) New'!J21</f>
        <v>0</v>
      </c>
      <c r="K21" s="1148">
        <f>+'F5.1 (E) Exisiting'!K21+'F5.2 (E) Existing'!K21+'F5.1 (N) New'!K21+'F5.2 (N) New'!K21</f>
        <v>0</v>
      </c>
      <c r="L21" s="1148">
        <f>+'F5.1 (E) Exisiting'!L21+'F5.2 (E) Existing'!L21+'F5.1 (N) New'!L21+'F5.2 (N) New'!L21</f>
        <v>0</v>
      </c>
      <c r="M21" s="760">
        <f t="shared" si="2"/>
        <v>6.5979999999999997E-3</v>
      </c>
      <c r="N21" s="1146">
        <f t="shared" si="3"/>
        <v>6.5979999999999997E-3</v>
      </c>
      <c r="O21" s="1148">
        <f>+'F5.1 (E) Exisiting'!O21+'F5.2 (E) Existing'!O21+'F5.1 (N) New'!O21+'F5.2 (N) New'!O21</f>
        <v>0</v>
      </c>
      <c r="P21" s="1148">
        <f>+'F5.1 (E) Exisiting'!P21+'F5.2 (E) Existing'!P21+'F5.1 (N) New'!P21+'F5.2 (N) New'!P21</f>
        <v>0</v>
      </c>
      <c r="Q21" s="1148">
        <f>+'F5.1 (E) Exisiting'!Q21+'F5.2 (E) Existing'!Q21+'F5.1 (N) New'!Q21+'F5.2 (N) New'!Q21</f>
        <v>0</v>
      </c>
      <c r="R21" s="760">
        <f t="shared" si="4"/>
        <v>6.5979999999999997E-3</v>
      </c>
      <c r="S21" s="1146">
        <f t="shared" si="5"/>
        <v>6.5979999999999997E-3</v>
      </c>
      <c r="T21" s="1148">
        <f>+'F5.1 (E) Exisiting'!T21+'F5.2 (E) Existing'!T21+'F5.1 (N) New'!T21+'F5.2 (N) New'!T21</f>
        <v>0</v>
      </c>
      <c r="U21" s="1148">
        <f>+'F5.1 (E) Exisiting'!U21+'F5.2 (E) Existing'!U21+'F5.1 (N) New'!U21+'F5.2 (N) New'!U21</f>
        <v>0</v>
      </c>
      <c r="V21" s="1148">
        <f>+'F5.1 (E) Exisiting'!V21+'F5.2 (E) Existing'!V21+'F5.1 (N) New'!V21+'F5.2 (N) New'!V21</f>
        <v>0</v>
      </c>
      <c r="W21" s="760">
        <f t="shared" si="6"/>
        <v>6.5979999999999997E-3</v>
      </c>
    </row>
    <row r="22" spans="2:23" x14ac:dyDescent="0.4">
      <c r="B22" s="1133">
        <v>7</v>
      </c>
      <c r="C22" s="1135" t="s">
        <v>1269</v>
      </c>
      <c r="D22" s="1148">
        <f>+'F5.1 (E) Exisiting'!D22+'F5.2 (E) Existing'!D22</f>
        <v>0</v>
      </c>
      <c r="E22" s="1148">
        <f>+'F5.1 (E) Exisiting'!E22+'F5.2 (E) Existing'!E22+'F5.1 (N) New'!E22+'F5.2 (N) New'!E22</f>
        <v>2.7142294999999997E-2</v>
      </c>
      <c r="F22" s="1148">
        <f>+'F5.1 (E) Exisiting'!F22+'F5.2 (E) Existing'!F22+'F5.1 (N) New'!F22+'F5.2 (N) New'!F22</f>
        <v>0</v>
      </c>
      <c r="G22" s="1148">
        <f>+'F5.1 (E) Exisiting'!G22+'F5.2 (E) Existing'!G22+'F5.1 (N) New'!G22+'F5.2 (N) New'!G22</f>
        <v>0</v>
      </c>
      <c r="H22" s="760">
        <f t="shared" si="0"/>
        <v>2.7142294999999997E-2</v>
      </c>
      <c r="I22" s="1146">
        <f t="shared" si="1"/>
        <v>2.7142294999999997E-2</v>
      </c>
      <c r="J22" s="1148">
        <f>+'F5.1 (E) Exisiting'!J22+'F5.2 (E) Existing'!J22+'F5.1 (N) New'!J22+'F5.2 (N) New'!J22</f>
        <v>0</v>
      </c>
      <c r="K22" s="1148">
        <f>+'F5.1 (E) Exisiting'!K22+'F5.2 (E) Existing'!K22+'F5.1 (N) New'!K22+'F5.2 (N) New'!K22</f>
        <v>0</v>
      </c>
      <c r="L22" s="1148">
        <f>+'F5.1 (E) Exisiting'!L22+'F5.2 (E) Existing'!L22+'F5.1 (N) New'!L22+'F5.2 (N) New'!L22</f>
        <v>0</v>
      </c>
      <c r="M22" s="760">
        <f t="shared" si="2"/>
        <v>2.7142294999999997E-2</v>
      </c>
      <c r="N22" s="1146">
        <f t="shared" si="3"/>
        <v>2.7142294999999997E-2</v>
      </c>
      <c r="O22" s="1148">
        <f>+'F5.1 (E) Exisiting'!O22+'F5.2 (E) Existing'!O22+'F5.1 (N) New'!O22+'F5.2 (N) New'!O22</f>
        <v>2.0641824E-2</v>
      </c>
      <c r="P22" s="1148">
        <f>+'F5.1 (E) Exisiting'!P22+'F5.2 (E) Existing'!P22+'F5.1 (N) New'!P22+'F5.2 (N) New'!P22</f>
        <v>0</v>
      </c>
      <c r="Q22" s="1148">
        <f>+'F5.1 (E) Exisiting'!Q22+'F5.2 (E) Existing'!Q22+'F5.1 (N) New'!Q22+'F5.2 (N) New'!Q22</f>
        <v>0</v>
      </c>
      <c r="R22" s="760">
        <f t="shared" si="4"/>
        <v>4.7784119E-2</v>
      </c>
      <c r="S22" s="1146">
        <f t="shared" si="5"/>
        <v>4.7784119E-2</v>
      </c>
      <c r="T22" s="1148">
        <f>+'F5.1 (E) Exisiting'!T22+'F5.2 (E) Existing'!T22+'F5.1 (N) New'!T22+'F5.2 (N) New'!T22</f>
        <v>4.4700120000000006E-3</v>
      </c>
      <c r="U22" s="1148">
        <f>+'F5.1 (E) Exisiting'!U22+'F5.2 (E) Existing'!U22+'F5.1 (N) New'!U22+'F5.2 (N) New'!U22</f>
        <v>0</v>
      </c>
      <c r="V22" s="1148">
        <f>+'F5.1 (E) Exisiting'!V22+'F5.2 (E) Existing'!V22+'F5.1 (N) New'!V22+'F5.2 (N) New'!V22</f>
        <v>0</v>
      </c>
      <c r="W22" s="760">
        <f t="shared" si="6"/>
        <v>5.2254131000000002E-2</v>
      </c>
    </row>
    <row r="23" spans="2:23" x14ac:dyDescent="0.4">
      <c r="B23" s="1133">
        <v>8</v>
      </c>
      <c r="C23" s="1135" t="s">
        <v>1270</v>
      </c>
      <c r="D23" s="1148">
        <f>+'F5.1 (E) Exisiting'!D23+'F5.2 (E) Existing'!D23</f>
        <v>0</v>
      </c>
      <c r="E23" s="1148">
        <f>+'F5.1 (E) Exisiting'!E23+'F5.2 (E) Existing'!E23+'F5.1 (N) New'!E23+'F5.2 (N) New'!E23</f>
        <v>0.214033</v>
      </c>
      <c r="F23" s="1148">
        <f>+'F5.1 (E) Exisiting'!F23+'F5.2 (E) Existing'!F23+'F5.1 (N) New'!F23+'F5.2 (N) New'!F23</f>
        <v>0</v>
      </c>
      <c r="G23" s="1148">
        <f>+'F5.1 (E) Exisiting'!G23+'F5.2 (E) Existing'!G23+'F5.1 (N) New'!G23+'F5.2 (N) New'!G23</f>
        <v>0</v>
      </c>
      <c r="H23" s="760">
        <f t="shared" si="0"/>
        <v>0.214033</v>
      </c>
      <c r="I23" s="1146">
        <f t="shared" si="1"/>
        <v>0.214033</v>
      </c>
      <c r="J23" s="1148">
        <f>+'F5.1 (E) Exisiting'!J23+'F5.2 (E) Existing'!J23+'F5.1 (N) New'!J23+'F5.2 (N) New'!J23</f>
        <v>0</v>
      </c>
      <c r="K23" s="1148">
        <f>+'F5.1 (E) Exisiting'!K23+'F5.2 (E) Existing'!K23+'F5.1 (N) New'!K23+'F5.2 (N) New'!K23</f>
        <v>0</v>
      </c>
      <c r="L23" s="1148">
        <f>+'F5.1 (E) Exisiting'!L23+'F5.2 (E) Existing'!L23+'F5.1 (N) New'!L23+'F5.2 (N) New'!L23</f>
        <v>0</v>
      </c>
      <c r="M23" s="760">
        <f t="shared" si="2"/>
        <v>0.214033</v>
      </c>
      <c r="N23" s="1146">
        <f t="shared" si="3"/>
        <v>0.214033</v>
      </c>
      <c r="O23" s="1148">
        <f>+'F5.1 (E) Exisiting'!O23+'F5.2 (E) Existing'!O23+'F5.1 (N) New'!O23+'F5.2 (N) New'!O23</f>
        <v>0</v>
      </c>
      <c r="P23" s="1148">
        <f>+'F5.1 (E) Exisiting'!P23+'F5.2 (E) Existing'!P23+'F5.1 (N) New'!P23+'F5.2 (N) New'!P23</f>
        <v>0</v>
      </c>
      <c r="Q23" s="1148">
        <f>+'F5.1 (E) Exisiting'!Q23+'F5.2 (E) Existing'!Q23+'F5.1 (N) New'!Q23+'F5.2 (N) New'!Q23</f>
        <v>0</v>
      </c>
      <c r="R23" s="760">
        <f t="shared" si="4"/>
        <v>0.214033</v>
      </c>
      <c r="S23" s="1146">
        <f t="shared" si="5"/>
        <v>0.214033</v>
      </c>
      <c r="T23" s="1148">
        <f>+'F5.1 (E) Exisiting'!T23+'F5.2 (E) Existing'!T23+'F5.1 (N) New'!T23+'F5.2 (N) New'!T23</f>
        <v>0</v>
      </c>
      <c r="U23" s="1148">
        <f>+'F5.1 (E) Exisiting'!U23+'F5.2 (E) Existing'!U23+'F5.1 (N) New'!U23+'F5.2 (N) New'!U23</f>
        <v>0</v>
      </c>
      <c r="V23" s="1148">
        <f>+'F5.1 (E) Exisiting'!V23+'F5.2 (E) Existing'!V23+'F5.1 (N) New'!V23+'F5.2 (N) New'!V23</f>
        <v>0</v>
      </c>
      <c r="W23" s="760">
        <f t="shared" si="6"/>
        <v>0.214033</v>
      </c>
    </row>
    <row r="24" spans="2:23" ht="14.65" x14ac:dyDescent="0.4">
      <c r="B24" s="1136"/>
      <c r="C24" s="1137" t="s">
        <v>164</v>
      </c>
      <c r="D24" s="1147">
        <f>SUM(D16:D23)</f>
        <v>0</v>
      </c>
      <c r="E24" s="1147">
        <f t="shared" ref="E24:W24" si="7">SUM(E16:E23)</f>
        <v>56.312794994999997</v>
      </c>
      <c r="F24" s="1147">
        <f t="shared" si="7"/>
        <v>0</v>
      </c>
      <c r="G24" s="1147">
        <f t="shared" si="7"/>
        <v>0</v>
      </c>
      <c r="H24" s="1147">
        <f t="shared" si="7"/>
        <v>56.312794994999997</v>
      </c>
      <c r="I24" s="1147">
        <f t="shared" si="7"/>
        <v>56.312794994999997</v>
      </c>
      <c r="J24" s="1147">
        <f t="shared" si="7"/>
        <v>12.830158250382215</v>
      </c>
      <c r="K24" s="1147">
        <f t="shared" si="7"/>
        <v>0</v>
      </c>
      <c r="L24" s="1147">
        <f t="shared" si="7"/>
        <v>0</v>
      </c>
      <c r="M24" s="1147">
        <f t="shared" si="7"/>
        <v>69.142953245382216</v>
      </c>
      <c r="N24" s="1147">
        <f t="shared" si="7"/>
        <v>69.142953245382216</v>
      </c>
      <c r="O24" s="1147">
        <f t="shared" si="7"/>
        <v>4.9770412129999997</v>
      </c>
      <c r="P24" s="1147">
        <f t="shared" si="7"/>
        <v>3.6920784959999997</v>
      </c>
      <c r="Q24" s="1147">
        <f t="shared" si="7"/>
        <v>0</v>
      </c>
      <c r="R24" s="1147">
        <f t="shared" si="7"/>
        <v>70.427915962382201</v>
      </c>
      <c r="S24" s="1147">
        <f t="shared" si="7"/>
        <v>70.427915962382201</v>
      </c>
      <c r="T24" s="1147">
        <f t="shared" si="7"/>
        <v>0.96115707500000003</v>
      </c>
      <c r="U24" s="1147">
        <f t="shared" si="7"/>
        <v>0</v>
      </c>
      <c r="V24" s="1147">
        <f t="shared" si="7"/>
        <v>0</v>
      </c>
      <c r="W24" s="1147">
        <f t="shared" si="7"/>
        <v>71.389073037382204</v>
      </c>
    </row>
    <row r="25" spans="2:23" ht="14.65" x14ac:dyDescent="0.4">
      <c r="B25" s="1138"/>
      <c r="C25" s="1139"/>
      <c r="D25" s="1165">
        <v>1.7795861E-2</v>
      </c>
      <c r="E25" s="1165"/>
      <c r="F25" s="1164"/>
      <c r="G25" s="1144"/>
      <c r="H25" s="1144"/>
      <c r="J25" s="153"/>
      <c r="M25" s="153"/>
      <c r="N25" s="153"/>
    </row>
    <row r="26" spans="2:23" x14ac:dyDescent="0.35">
      <c r="B26" s="1947" t="s">
        <v>1</v>
      </c>
      <c r="C26" s="1947" t="s">
        <v>111</v>
      </c>
      <c r="D26" s="2052" t="s">
        <v>112</v>
      </c>
      <c r="E26" s="2052"/>
      <c r="F26" s="2052"/>
      <c r="G26" s="2052"/>
      <c r="H26" s="2052"/>
      <c r="I26" s="2052" t="s">
        <v>113</v>
      </c>
      <c r="J26" s="2052"/>
      <c r="K26" s="2052"/>
      <c r="L26" s="2052"/>
      <c r="M26" s="2052"/>
      <c r="N26" s="1947" t="s">
        <v>114</v>
      </c>
      <c r="O26" s="1947"/>
      <c r="P26" s="1947"/>
      <c r="Q26" s="1947"/>
      <c r="R26" s="1947"/>
      <c r="S26" s="1947" t="s">
        <v>123</v>
      </c>
      <c r="T26" s="1947"/>
      <c r="U26" s="1947"/>
      <c r="V26" s="1947"/>
      <c r="W26" s="1947"/>
    </row>
    <row r="27" spans="2:23" x14ac:dyDescent="0.35">
      <c r="B27" s="1947"/>
      <c r="C27" s="1947"/>
      <c r="D27" s="1947" t="s">
        <v>186</v>
      </c>
      <c r="E27" s="2051"/>
      <c r="F27" s="2051"/>
      <c r="G27" s="2051"/>
      <c r="H27" s="2051"/>
      <c r="I27" s="1947" t="s">
        <v>186</v>
      </c>
      <c r="J27" s="2051"/>
      <c r="K27" s="2051"/>
      <c r="L27" s="2051"/>
      <c r="M27" s="2051"/>
      <c r="N27" s="1947" t="s">
        <v>187</v>
      </c>
      <c r="O27" s="2051"/>
      <c r="P27" s="2051"/>
      <c r="Q27" s="2051"/>
      <c r="R27" s="2051"/>
      <c r="S27" s="1947" t="s">
        <v>135</v>
      </c>
      <c r="T27" s="2051"/>
      <c r="U27" s="2051"/>
      <c r="V27" s="2051"/>
      <c r="W27" s="2051"/>
    </row>
    <row r="28" spans="2:23" ht="40.5" x14ac:dyDescent="0.35">
      <c r="B28" s="1947"/>
      <c r="C28" s="1947"/>
      <c r="D28" s="106" t="s">
        <v>523</v>
      </c>
      <c r="E28" s="106" t="s">
        <v>524</v>
      </c>
      <c r="F28" s="106" t="s">
        <v>525</v>
      </c>
      <c r="G28" s="106" t="s">
        <v>543</v>
      </c>
      <c r="H28" s="106" t="s">
        <v>526</v>
      </c>
      <c r="I28" s="106" t="s">
        <v>523</v>
      </c>
      <c r="J28" s="106" t="s">
        <v>524</v>
      </c>
      <c r="K28" s="106" t="s">
        <v>525</v>
      </c>
      <c r="L28" s="106" t="s">
        <v>543</v>
      </c>
      <c r="M28" s="106" t="s">
        <v>526</v>
      </c>
      <c r="N28" s="106" t="s">
        <v>523</v>
      </c>
      <c r="O28" s="106" t="s">
        <v>524</v>
      </c>
      <c r="P28" s="106" t="s">
        <v>525</v>
      </c>
      <c r="Q28" s="106" t="s">
        <v>543</v>
      </c>
      <c r="R28" s="106" t="s">
        <v>526</v>
      </c>
      <c r="S28" s="106" t="s">
        <v>523</v>
      </c>
      <c r="T28" s="106" t="s">
        <v>524</v>
      </c>
      <c r="U28" s="106" t="s">
        <v>525</v>
      </c>
      <c r="V28" s="106" t="s">
        <v>543</v>
      </c>
      <c r="W28" s="106" t="s">
        <v>526</v>
      </c>
    </row>
    <row r="29" spans="2:23" x14ac:dyDescent="0.35">
      <c r="B29" s="217"/>
      <c r="C29" s="217"/>
      <c r="D29" s="217" t="s">
        <v>128</v>
      </c>
      <c r="E29" s="217" t="s">
        <v>129</v>
      </c>
      <c r="F29" s="217" t="s">
        <v>527</v>
      </c>
      <c r="G29" s="217" t="s">
        <v>130</v>
      </c>
      <c r="H29" s="217" t="s">
        <v>544</v>
      </c>
      <c r="I29" s="217" t="s">
        <v>331</v>
      </c>
      <c r="J29" s="217" t="s">
        <v>132</v>
      </c>
      <c r="K29" s="217" t="s">
        <v>133</v>
      </c>
      <c r="L29" s="217" t="s">
        <v>332</v>
      </c>
      <c r="M29" s="217" t="s">
        <v>545</v>
      </c>
      <c r="N29" s="217" t="s">
        <v>528</v>
      </c>
      <c r="O29" s="217" t="s">
        <v>529</v>
      </c>
      <c r="P29" s="217" t="s">
        <v>334</v>
      </c>
      <c r="Q29" s="217" t="s">
        <v>530</v>
      </c>
      <c r="R29" s="217" t="s">
        <v>546</v>
      </c>
      <c r="S29" s="217" t="s">
        <v>532</v>
      </c>
      <c r="T29" s="217" t="s">
        <v>533</v>
      </c>
      <c r="U29" s="217" t="s">
        <v>534</v>
      </c>
      <c r="V29" s="217" t="s">
        <v>535</v>
      </c>
      <c r="W29" s="217" t="s">
        <v>547</v>
      </c>
    </row>
    <row r="30" spans="2:23" x14ac:dyDescent="0.35">
      <c r="B30" s="1133">
        <v>1</v>
      </c>
      <c r="C30" s="1134" t="s">
        <v>1410</v>
      </c>
      <c r="D30" s="1148">
        <f>+W16</f>
        <v>3.4999999999999999E-6</v>
      </c>
      <c r="E30" s="1148">
        <f>+'F5.1 (E) Exisiting'!E30+'F5.2 (E) Existing'!E30+'F5.1 (N) New'!E30+'F5.2 (N) New'!E30</f>
        <v>0</v>
      </c>
      <c r="F30" s="1148">
        <f>+'F5.1 (E) Exisiting'!F30+'F5.2 (E) Existing'!F30+'F5.1 (N) New'!F30+'F5.2 (N) New'!F30</f>
        <v>0</v>
      </c>
      <c r="G30" s="1148">
        <f>+'F5.1 (E) Exisiting'!G30+'F5.2 (E) Existing'!G30+'F5.1 (N) New'!G30+'F5.2 (N) New'!G30</f>
        <v>0</v>
      </c>
      <c r="H30" s="760">
        <f>+D30+E30-F30-G30</f>
        <v>3.4999999999999999E-6</v>
      </c>
      <c r="I30" s="1146">
        <f>+H30</f>
        <v>3.4999999999999999E-6</v>
      </c>
      <c r="J30" s="1148">
        <f>+'F5.1 (E) Exisiting'!J30+'F5.2 (E) Existing'!J30+'F5.1 (N) New'!J30+'F5.2 (N) New'!J30</f>
        <v>0</v>
      </c>
      <c r="K30" s="1148">
        <f>+'F5.1 (E) Exisiting'!K30+'F5.2 (E) Existing'!K30+'F5.1 (N) New'!K30+'F5.2 (N) New'!K30</f>
        <v>0</v>
      </c>
      <c r="L30" s="1148">
        <f>+'F5.1 (E) Exisiting'!L30+'F5.2 (E) Existing'!L30+'F5.1 (N) New'!L30+'F5.2 (N) New'!L30</f>
        <v>0</v>
      </c>
      <c r="M30" s="760">
        <f>+I30+J30-K30-L30</f>
        <v>3.4999999999999999E-6</v>
      </c>
      <c r="N30" s="1146">
        <f>+M30</f>
        <v>3.4999999999999999E-6</v>
      </c>
      <c r="O30" s="1148">
        <f>+'F5.1 (E) Exisiting'!O30+'F5.2 (E) Existing'!O30+'F5.1 (N) New'!O30+'F5.2 (N) New'!O30</f>
        <v>0</v>
      </c>
      <c r="P30" s="1148">
        <f>+'F5.1 (E) Exisiting'!P30+'F5.2 (E) Existing'!P30+'F5.1 (N) New'!P30+'F5.2 (N) New'!P30</f>
        <v>0</v>
      </c>
      <c r="Q30" s="1148">
        <f>+'F5.1 (E) Exisiting'!Q30+'F5.2 (E) Existing'!Q30+'F5.1 (N) New'!Q30+'F5.2 (N) New'!Q30</f>
        <v>0</v>
      </c>
      <c r="R30" s="760">
        <f>+N30+O30-P30-Q30</f>
        <v>3.4999999999999999E-6</v>
      </c>
      <c r="S30" s="1146">
        <f>+R30</f>
        <v>3.4999999999999999E-6</v>
      </c>
      <c r="T30" s="1148">
        <f>+'F5.1 (E) Exisiting'!T30+'F5.2 (E) Existing'!T30+'F5.1 (N) New'!T30+'F5.2 (N) New'!T30</f>
        <v>0</v>
      </c>
      <c r="U30" s="1148">
        <f>+'F5.1 (E) Exisiting'!U30+'F5.2 (E) Existing'!U30+'F5.1 (N) New'!U30+'F5.2 (N) New'!U30</f>
        <v>0</v>
      </c>
      <c r="V30" s="1148">
        <f>+'F5.1 (E) Exisiting'!V30+'F5.2 (E) Existing'!V30+'F5.1 (N) New'!V30+'F5.2 (N) New'!V30</f>
        <v>0</v>
      </c>
      <c r="W30" s="760">
        <f>+S30+T30-U30-V30</f>
        <v>3.4999999999999999E-6</v>
      </c>
    </row>
    <row r="31" spans="2:23" x14ac:dyDescent="0.35">
      <c r="B31" s="1133">
        <v>2</v>
      </c>
      <c r="C31" s="1134" t="s">
        <v>1409</v>
      </c>
      <c r="D31" s="1148">
        <f t="shared" ref="D31:D37" si="8">+W17</f>
        <v>11.562416499999999</v>
      </c>
      <c r="E31" s="1148">
        <f>+'F5.1 (E) Exisiting'!E31+'F5.2 (E) Existing'!E31+'F5.1 (N) New'!E31+'F5.2 (N) New'!E31</f>
        <v>0</v>
      </c>
      <c r="F31" s="1148">
        <f>+'F5.1 (E) Exisiting'!F31+'F5.2 (E) Existing'!F31+'F5.1 (N) New'!F31+'F5.2 (N) New'!F31</f>
        <v>0</v>
      </c>
      <c r="G31" s="1148">
        <f>+'F5.1 (E) Exisiting'!G31+'F5.2 (E) Existing'!G31+'F5.1 (N) New'!G31+'F5.2 (N) New'!G31</f>
        <v>0</v>
      </c>
      <c r="H31" s="760">
        <f t="shared" ref="H31:H37" si="9">+D31+E31-F31-G31</f>
        <v>11.562416499999999</v>
      </c>
      <c r="I31" s="1146">
        <f t="shared" ref="I31:I37" si="10">+H31</f>
        <v>11.562416499999999</v>
      </c>
      <c r="J31" s="1148">
        <f>+'F5.1 (E) Exisiting'!J31+'F5.2 (E) Existing'!J31+'F5.1 (N) New'!J31+'F5.2 (N) New'!J31</f>
        <v>0</v>
      </c>
      <c r="K31" s="1148">
        <f>+'F5.1 (E) Exisiting'!K31+'F5.2 (E) Existing'!K31+'F5.1 (N) New'!K31+'F5.2 (N) New'!K31</f>
        <v>0</v>
      </c>
      <c r="L31" s="1148">
        <f>+'F5.1 (E) Exisiting'!L31+'F5.2 (E) Existing'!L31+'F5.1 (N) New'!L31+'F5.2 (N) New'!L31</f>
        <v>0</v>
      </c>
      <c r="M31" s="760">
        <f t="shared" ref="M31:M37" si="11">+I31+J31-K31-L31</f>
        <v>11.562416499999999</v>
      </c>
      <c r="N31" s="1146">
        <f t="shared" ref="N31:N37" si="12">+M31</f>
        <v>11.562416499999999</v>
      </c>
      <c r="O31" s="1148">
        <f>+'F5.1 (E) Exisiting'!O31+'F5.2 (E) Existing'!O31+'F5.1 (N) New'!O31+'F5.2 (N) New'!O31</f>
        <v>0</v>
      </c>
      <c r="P31" s="1148">
        <f>+'F5.1 (E) Exisiting'!P31+'F5.2 (E) Existing'!P31+'F5.1 (N) New'!P31+'F5.2 (N) New'!P31</f>
        <v>0</v>
      </c>
      <c r="Q31" s="1148">
        <f>+'F5.1 (E) Exisiting'!Q31+'F5.2 (E) Existing'!Q31+'F5.1 (N) New'!Q31+'F5.2 (N) New'!Q31</f>
        <v>0</v>
      </c>
      <c r="R31" s="760">
        <f t="shared" ref="R31:R37" si="13">+N31+O31-P31-Q31</f>
        <v>11.562416499999999</v>
      </c>
      <c r="S31" s="1146">
        <f t="shared" ref="S31:S37" si="14">+R31</f>
        <v>11.562416499999999</v>
      </c>
      <c r="T31" s="1148">
        <f>+'F5.1 (E) Exisiting'!T31+'F5.2 (E) Existing'!T31+'F5.1 (N) New'!T31+'F5.2 (N) New'!T31</f>
        <v>0</v>
      </c>
      <c r="U31" s="1148">
        <f>+'F5.1 (E) Exisiting'!U31+'F5.2 (E) Existing'!U31+'F5.1 (N) New'!U31+'F5.2 (N) New'!U31</f>
        <v>0</v>
      </c>
      <c r="V31" s="1148">
        <f>+'F5.1 (E) Exisiting'!V31+'F5.2 (E) Existing'!V31+'F5.1 (N) New'!V31+'F5.2 (N) New'!V31</f>
        <v>0</v>
      </c>
      <c r="W31" s="760">
        <f t="shared" ref="W31:W37" si="15">+S31+T31-U31-V31</f>
        <v>11.562416499999999</v>
      </c>
    </row>
    <row r="32" spans="2:23" s="39" customFormat="1" x14ac:dyDescent="0.35">
      <c r="B32" s="1133">
        <v>3</v>
      </c>
      <c r="C32" s="1134" t="s">
        <v>440</v>
      </c>
      <c r="D32" s="1148">
        <f t="shared" si="8"/>
        <v>57.382377984458778</v>
      </c>
      <c r="E32" s="1148">
        <f>+'F5.1 (E) Exisiting'!E32+'F5.2 (E) Existing'!E32+'F5.1 (N) New'!E32+'F5.2 (N) New'!E32</f>
        <v>0</v>
      </c>
      <c r="F32" s="1148">
        <f>+'F5.1 (E) Exisiting'!F32+'F5.2 (E) Existing'!F32+'F5.1 (N) New'!F32+'F5.2 (N) New'!F32</f>
        <v>0</v>
      </c>
      <c r="G32" s="1148">
        <f>+'F5.1 (E) Exisiting'!G32+'F5.2 (E) Existing'!G32+'F5.1 (N) New'!G32+'F5.2 (N) New'!G32</f>
        <v>0</v>
      </c>
      <c r="H32" s="760">
        <f t="shared" si="9"/>
        <v>57.382377984458778</v>
      </c>
      <c r="I32" s="1146">
        <f t="shared" si="10"/>
        <v>57.382377984458778</v>
      </c>
      <c r="J32" s="1148">
        <f>+'F5.1 (E) Exisiting'!J32+'F5.2 (E) Existing'!J32+'F5.1 (N) New'!J32+'F5.2 (N) New'!J32</f>
        <v>9.1967151999999996E-2</v>
      </c>
      <c r="K32" s="1148">
        <f>+'F5.1 (E) Exisiting'!K32+'F5.2 (E) Existing'!K32+'F5.1 (N) New'!K32+'F5.2 (N) New'!K32</f>
        <v>0</v>
      </c>
      <c r="L32" s="1148">
        <f>+'F5.1 (E) Exisiting'!L32+'F5.2 (E) Existing'!L32+'F5.1 (N) New'!L32+'F5.2 (N) New'!L32</f>
        <v>0</v>
      </c>
      <c r="M32" s="760">
        <f t="shared" si="11"/>
        <v>57.47434513645878</v>
      </c>
      <c r="N32" s="1146">
        <f t="shared" si="12"/>
        <v>57.47434513645878</v>
      </c>
      <c r="O32" s="1148">
        <f>+'F5.1 (E) Exisiting'!O32+'F5.2 (E) Existing'!O32+'F5.1 (N) New'!O32+'F5.2 (N) New'!O32</f>
        <v>0</v>
      </c>
      <c r="P32" s="1148">
        <f>+'F5.1 (E) Exisiting'!P32+'F5.2 (E) Existing'!P32+'F5.1 (N) New'!P32+'F5.2 (N) New'!P32</f>
        <v>0</v>
      </c>
      <c r="Q32" s="1148">
        <f>+'F5.1 (E) Exisiting'!Q32+'F5.2 (E) Existing'!Q32+'F5.1 (N) New'!Q32+'F5.2 (N) New'!Q32</f>
        <v>0</v>
      </c>
      <c r="R32" s="760">
        <f t="shared" si="13"/>
        <v>57.47434513645878</v>
      </c>
      <c r="S32" s="1146">
        <f t="shared" si="14"/>
        <v>57.47434513645878</v>
      </c>
      <c r="T32" s="1148">
        <f>+'F5.1 (E) Exisiting'!T32+'F5.2 (E) Existing'!T32+'F5.1 (N) New'!T32+'F5.2 (N) New'!T32</f>
        <v>0</v>
      </c>
      <c r="U32" s="1148">
        <f>+'F5.1 (E) Exisiting'!U32+'F5.2 (E) Existing'!U32+'F5.1 (N) New'!U32+'F5.2 (N) New'!U32</f>
        <v>0</v>
      </c>
      <c r="V32" s="1148">
        <f>+'F5.1 (E) Exisiting'!V32+'F5.2 (E) Existing'!V32+'F5.1 (N) New'!V32+'F5.2 (N) New'!V32</f>
        <v>0</v>
      </c>
      <c r="W32" s="760">
        <f t="shared" si="15"/>
        <v>57.47434513645878</v>
      </c>
    </row>
    <row r="33" spans="2:23" s="39" customFormat="1" x14ac:dyDescent="0.35">
      <c r="B33" s="1133">
        <v>4</v>
      </c>
      <c r="C33" s="1134" t="s">
        <v>915</v>
      </c>
      <c r="D33" s="1148">
        <f t="shared" si="8"/>
        <v>2.0492267219234326</v>
      </c>
      <c r="E33" s="1148">
        <f>+'F5.1 (E) Exisiting'!E33+'F5.2 (E) Existing'!E33+'F5.1 (N) New'!E33+'F5.2 (N) New'!E33</f>
        <v>1.196946608</v>
      </c>
      <c r="F33" s="1148">
        <f>+'F5.1 (E) Exisiting'!F33+'F5.2 (E) Existing'!F33+'F5.1 (N) New'!F33+'F5.2 (N) New'!F33</f>
        <v>0</v>
      </c>
      <c r="G33" s="1148">
        <f>+'F5.1 (E) Exisiting'!G33+'F5.2 (E) Existing'!G33+'F5.1 (N) New'!G33+'F5.2 (N) New'!G33</f>
        <v>0</v>
      </c>
      <c r="H33" s="760">
        <f t="shared" si="9"/>
        <v>3.2461733299234323</v>
      </c>
      <c r="I33" s="1146">
        <f t="shared" si="10"/>
        <v>3.2461733299234323</v>
      </c>
      <c r="J33" s="1148">
        <f>+'F5.1 (E) Exisiting'!J33+'F5.2 (E) Existing'!J33+'F5.1 (N) New'!J33+'F5.2 (N) New'!J33</f>
        <v>1.0655415E-2</v>
      </c>
      <c r="K33" s="1148">
        <f>+'F5.1 (E) Exisiting'!K33+'F5.2 (E) Existing'!K33+'F5.1 (N) New'!K33+'F5.2 (N) New'!K33</f>
        <v>0</v>
      </c>
      <c r="L33" s="1148">
        <f>+'F5.1 (E) Exisiting'!L33+'F5.2 (E) Existing'!L33+'F5.1 (N) New'!L33+'F5.2 (N) New'!L33</f>
        <v>0</v>
      </c>
      <c r="M33" s="760">
        <f t="shared" si="11"/>
        <v>3.2568287449234323</v>
      </c>
      <c r="N33" s="1146">
        <f t="shared" si="12"/>
        <v>3.2568287449234323</v>
      </c>
      <c r="O33" s="1148">
        <f>+'F5.1 (E) Exisiting'!O33+'F5.2 (E) Existing'!O33+'F5.1 (N) New'!O33+'F5.2 (N) New'!O33</f>
        <v>0</v>
      </c>
      <c r="P33" s="1148">
        <f>+'F5.1 (E) Exisiting'!P33+'F5.2 (E) Existing'!P33+'F5.1 (N) New'!P33+'F5.2 (N) New'!P33</f>
        <v>0</v>
      </c>
      <c r="Q33" s="1148">
        <f>+'F5.1 (E) Exisiting'!Q33+'F5.2 (E) Existing'!Q33+'F5.1 (N) New'!Q33+'F5.2 (N) New'!Q33</f>
        <v>0</v>
      </c>
      <c r="R33" s="760">
        <f t="shared" si="13"/>
        <v>3.2568287449234323</v>
      </c>
      <c r="S33" s="1146">
        <f t="shared" si="14"/>
        <v>3.2568287449234323</v>
      </c>
      <c r="T33" s="1148">
        <f>+'F5.1 (E) Exisiting'!T33+'F5.2 (E) Existing'!T33+'F5.1 (N) New'!T33+'F5.2 (N) New'!T33</f>
        <v>0.10798000000000001</v>
      </c>
      <c r="U33" s="1148">
        <f>+'F5.1 (E) Exisiting'!U33+'F5.2 (E) Existing'!U33+'F5.1 (N) New'!U33+'F5.2 (N) New'!U33</f>
        <v>0</v>
      </c>
      <c r="V33" s="1148">
        <f>+'F5.1 (E) Exisiting'!V33+'F5.2 (E) Existing'!V33+'F5.1 (N) New'!V33+'F5.2 (N) New'!V33</f>
        <v>0</v>
      </c>
      <c r="W33" s="760">
        <f t="shared" si="15"/>
        <v>3.3648087449234323</v>
      </c>
    </row>
    <row r="34" spans="2:23" s="39" customFormat="1" x14ac:dyDescent="0.35">
      <c r="B34" s="1133">
        <v>5</v>
      </c>
      <c r="C34" s="1134" t="s">
        <v>447</v>
      </c>
      <c r="D34" s="1148">
        <f t="shared" si="8"/>
        <v>0.12216320000000001</v>
      </c>
      <c r="E34" s="1148">
        <f>+'F5.1 (E) Exisiting'!E34+'F5.2 (E) Existing'!E34+'F5.1 (N) New'!E34+'F5.2 (N) New'!E34</f>
        <v>0</v>
      </c>
      <c r="F34" s="1148">
        <f>+'F5.1 (E) Exisiting'!F34+'F5.2 (E) Existing'!F34+'F5.1 (N) New'!F34+'F5.2 (N) New'!F34</f>
        <v>0</v>
      </c>
      <c r="G34" s="1148">
        <f>+'F5.1 (E) Exisiting'!G34+'F5.2 (E) Existing'!G34+'F5.1 (N) New'!G34+'F5.2 (N) New'!G34</f>
        <v>0</v>
      </c>
      <c r="H34" s="760">
        <f t="shared" si="9"/>
        <v>0.12216320000000001</v>
      </c>
      <c r="I34" s="1146">
        <f t="shared" si="10"/>
        <v>0.12216320000000001</v>
      </c>
      <c r="J34" s="1148">
        <f>+'F5.1 (E) Exisiting'!J34+'F5.2 (E) Existing'!J34+'F5.1 (N) New'!J34+'F5.2 (N) New'!J34</f>
        <v>1.7001E-3</v>
      </c>
      <c r="K34" s="1148">
        <f>+'F5.1 (E) Exisiting'!K34+'F5.2 (E) Existing'!K34+'F5.1 (N) New'!K34+'F5.2 (N) New'!K34</f>
        <v>0</v>
      </c>
      <c r="L34" s="1148">
        <f>+'F5.1 (E) Exisiting'!L34+'F5.2 (E) Existing'!L34+'F5.1 (N) New'!L34+'F5.2 (N) New'!L34</f>
        <v>0</v>
      </c>
      <c r="M34" s="760">
        <f t="shared" si="11"/>
        <v>0.12386330000000001</v>
      </c>
      <c r="N34" s="1146">
        <f t="shared" si="12"/>
        <v>0.12386330000000001</v>
      </c>
      <c r="O34" s="1148">
        <f>+'F5.1 (E) Exisiting'!O34+'F5.2 (E) Existing'!O34+'F5.1 (N) New'!O34+'F5.2 (N) New'!O34</f>
        <v>1.5620249999999999E-2</v>
      </c>
      <c r="P34" s="1148">
        <f>+'F5.1 (E) Exisiting'!P34+'F5.2 (E) Existing'!P34+'F5.1 (N) New'!P34+'F5.2 (N) New'!P34</f>
        <v>0</v>
      </c>
      <c r="Q34" s="1148">
        <f>+'F5.1 (E) Exisiting'!Q34+'F5.2 (E) Existing'!Q34+'F5.1 (N) New'!Q34+'F5.2 (N) New'!Q34</f>
        <v>0</v>
      </c>
      <c r="R34" s="760">
        <f t="shared" si="13"/>
        <v>0.13948355000000001</v>
      </c>
      <c r="S34" s="1146">
        <f t="shared" si="14"/>
        <v>0.13948355000000001</v>
      </c>
      <c r="T34" s="1148">
        <f>+'F5.1 (E) Exisiting'!T34+'F5.2 (E) Existing'!T34+'F5.1 (N) New'!T34+'F5.2 (N) New'!T34</f>
        <v>0.29597659999999998</v>
      </c>
      <c r="U34" s="1148">
        <f>+'F5.1 (E) Exisiting'!U34+'F5.2 (E) Existing'!U34+'F5.1 (N) New'!U34+'F5.2 (N) New'!U34</f>
        <v>0</v>
      </c>
      <c r="V34" s="1148">
        <f>+'F5.1 (E) Exisiting'!V34+'F5.2 (E) Existing'!V34+'F5.1 (N) New'!V34+'F5.2 (N) New'!V34</f>
        <v>0</v>
      </c>
      <c r="W34" s="760">
        <f t="shared" si="15"/>
        <v>0.43546014999999999</v>
      </c>
    </row>
    <row r="35" spans="2:23" x14ac:dyDescent="0.35">
      <c r="B35" s="1133">
        <v>6</v>
      </c>
      <c r="C35" s="1134" t="s">
        <v>879</v>
      </c>
      <c r="D35" s="1148">
        <f t="shared" si="8"/>
        <v>6.5979999999999997E-3</v>
      </c>
      <c r="E35" s="1148">
        <f>+'F5.1 (E) Exisiting'!E35+'F5.2 (E) Existing'!E35+'F5.1 (N) New'!E35+'F5.2 (N) New'!E35</f>
        <v>0</v>
      </c>
      <c r="F35" s="1148">
        <f>+'F5.1 (E) Exisiting'!F35+'F5.2 (E) Existing'!F35+'F5.1 (N) New'!F35+'F5.2 (N) New'!F35</f>
        <v>0</v>
      </c>
      <c r="G35" s="1148">
        <f>+'F5.1 (E) Exisiting'!G35+'F5.2 (E) Existing'!G35+'F5.1 (N) New'!G35+'F5.2 (N) New'!G35</f>
        <v>0</v>
      </c>
      <c r="H35" s="760">
        <f t="shared" si="9"/>
        <v>6.5979999999999997E-3</v>
      </c>
      <c r="I35" s="1146">
        <f t="shared" si="10"/>
        <v>6.5979999999999997E-3</v>
      </c>
      <c r="J35" s="1148">
        <f>+'F5.1 (E) Exisiting'!J35+'F5.2 (E) Existing'!J35+'F5.1 (N) New'!J35+'F5.2 (N) New'!J35</f>
        <v>0</v>
      </c>
      <c r="K35" s="1148">
        <f>+'F5.1 (E) Exisiting'!K35+'F5.2 (E) Existing'!K35+'F5.1 (N) New'!K35+'F5.2 (N) New'!K35</f>
        <v>0</v>
      </c>
      <c r="L35" s="1148">
        <f>+'F5.1 (E) Exisiting'!L35+'F5.2 (E) Existing'!L35+'F5.1 (N) New'!L35+'F5.2 (N) New'!L35</f>
        <v>0</v>
      </c>
      <c r="M35" s="760">
        <f t="shared" si="11"/>
        <v>6.5979999999999997E-3</v>
      </c>
      <c r="N35" s="1146">
        <f t="shared" si="12"/>
        <v>6.5979999999999997E-3</v>
      </c>
      <c r="O35" s="1148">
        <f>+'F5.1 (E) Exisiting'!O35+'F5.2 (E) Existing'!O35+'F5.1 (N) New'!O35+'F5.2 (N) New'!O35</f>
        <v>0</v>
      </c>
      <c r="P35" s="1148">
        <f>+'F5.1 (E) Exisiting'!P35+'F5.2 (E) Existing'!P35+'F5.1 (N) New'!P35+'F5.2 (N) New'!P35</f>
        <v>0</v>
      </c>
      <c r="Q35" s="1148">
        <f>+'F5.1 (E) Exisiting'!Q35+'F5.2 (E) Existing'!Q35+'F5.1 (N) New'!Q35+'F5.2 (N) New'!Q35</f>
        <v>0</v>
      </c>
      <c r="R35" s="760">
        <f t="shared" si="13"/>
        <v>6.5979999999999997E-3</v>
      </c>
      <c r="S35" s="1146">
        <f t="shared" si="14"/>
        <v>6.5979999999999997E-3</v>
      </c>
      <c r="T35" s="1148">
        <f>+'F5.1 (E) Exisiting'!T35+'F5.2 (E) Existing'!T35+'F5.1 (N) New'!T35+'F5.2 (N) New'!T35</f>
        <v>0</v>
      </c>
      <c r="U35" s="1148">
        <f>+'F5.1 (E) Exisiting'!U35+'F5.2 (E) Existing'!U35+'F5.1 (N) New'!U35+'F5.2 (N) New'!U35</f>
        <v>0</v>
      </c>
      <c r="V35" s="1148">
        <f>+'F5.1 (E) Exisiting'!V35+'F5.2 (E) Existing'!V35+'F5.1 (N) New'!V35+'F5.2 (N) New'!V35</f>
        <v>0</v>
      </c>
      <c r="W35" s="760">
        <f t="shared" si="15"/>
        <v>6.5979999999999997E-3</v>
      </c>
    </row>
    <row r="36" spans="2:23" x14ac:dyDescent="0.4">
      <c r="B36" s="1133">
        <v>7</v>
      </c>
      <c r="C36" s="1135" t="s">
        <v>1269</v>
      </c>
      <c r="D36" s="1148">
        <f t="shared" si="8"/>
        <v>5.2254131000000002E-2</v>
      </c>
      <c r="E36" s="1148">
        <f>+'F5.1 (E) Exisiting'!E36+'F5.2 (E) Existing'!E36+'F5.1 (N) New'!E36+'F5.2 (N) New'!E36</f>
        <v>9.9499820000000013E-3</v>
      </c>
      <c r="F36" s="1148">
        <f>+'F5.1 (E) Exisiting'!F36+'F5.2 (E) Existing'!F36+'F5.1 (N) New'!F36+'F5.2 (N) New'!F36</f>
        <v>0</v>
      </c>
      <c r="G36" s="1148">
        <f>+'F5.1 (E) Exisiting'!G36+'F5.2 (E) Existing'!G36+'F5.1 (N) New'!G36+'F5.2 (N) New'!G36</f>
        <v>0</v>
      </c>
      <c r="H36" s="760">
        <f t="shared" si="9"/>
        <v>6.2204113000000005E-2</v>
      </c>
      <c r="I36" s="1146">
        <f t="shared" si="10"/>
        <v>6.2204113000000005E-2</v>
      </c>
      <c r="J36" s="1148">
        <f>+'F5.1 (E) Exisiting'!J36+'F5.2 (E) Existing'!J36+'F5.1 (N) New'!J36+'F5.2 (N) New'!J36</f>
        <v>7.1090724999999994E-2</v>
      </c>
      <c r="K36" s="1148">
        <f>+'F5.1 (E) Exisiting'!K36+'F5.2 (E) Existing'!K36+'F5.1 (N) New'!K36+'F5.2 (N) New'!K36</f>
        <v>0</v>
      </c>
      <c r="L36" s="1148">
        <f>+'F5.1 (E) Exisiting'!L36+'F5.2 (E) Existing'!L36+'F5.1 (N) New'!L36+'F5.2 (N) New'!L36</f>
        <v>0</v>
      </c>
      <c r="M36" s="760">
        <f t="shared" si="11"/>
        <v>0.133294838</v>
      </c>
      <c r="N36" s="1146">
        <f t="shared" si="12"/>
        <v>0.133294838</v>
      </c>
      <c r="O36" s="1148">
        <f>+'F5.1 (E) Exisiting'!O36+'F5.2 (E) Existing'!O36+'F5.1 (N) New'!O36+'F5.2 (N) New'!O36</f>
        <v>1.0511319999999999E-2</v>
      </c>
      <c r="P36" s="1148">
        <f>+'F5.1 (E) Exisiting'!P36+'F5.2 (E) Existing'!P36+'F5.1 (N) New'!P36+'F5.2 (N) New'!P36</f>
        <v>0</v>
      </c>
      <c r="Q36" s="1148">
        <f>+'F5.1 (E) Exisiting'!Q36+'F5.2 (E) Existing'!Q36+'F5.1 (N) New'!Q36+'F5.2 (N) New'!Q36</f>
        <v>0</v>
      </c>
      <c r="R36" s="760">
        <f t="shared" si="13"/>
        <v>0.14380615799999999</v>
      </c>
      <c r="S36" s="1146">
        <f t="shared" si="14"/>
        <v>0.14380615799999999</v>
      </c>
      <c r="T36" s="1148">
        <f>+'F5.1 (E) Exisiting'!T36+'F5.2 (E) Existing'!T36+'F5.1 (N) New'!T36+'F5.2 (N) New'!T36</f>
        <v>0</v>
      </c>
      <c r="U36" s="1148">
        <f>+'F5.1 (E) Exisiting'!U36+'F5.2 (E) Existing'!U36+'F5.1 (N) New'!U36+'F5.2 (N) New'!U36</f>
        <v>0</v>
      </c>
      <c r="V36" s="1148">
        <f>+'F5.1 (E) Exisiting'!V36+'F5.2 (E) Existing'!V36+'F5.1 (N) New'!V36+'F5.2 (N) New'!V36</f>
        <v>0</v>
      </c>
      <c r="W36" s="760">
        <f t="shared" si="15"/>
        <v>0.14380615799999999</v>
      </c>
    </row>
    <row r="37" spans="2:23" x14ac:dyDescent="0.4">
      <c r="B37" s="1133">
        <v>8</v>
      </c>
      <c r="C37" s="1135" t="s">
        <v>1270</v>
      </c>
      <c r="D37" s="1148">
        <f t="shared" si="8"/>
        <v>0.214033</v>
      </c>
      <c r="E37" s="1148">
        <f>+'F5.1 (E) Exisiting'!E37+'F5.2 (E) Existing'!E37+'F5.1 (N) New'!E37+'F5.2 (N) New'!E37</f>
        <v>2.65028E-2</v>
      </c>
      <c r="F37" s="1148">
        <f>+'F5.1 (E) Exisiting'!F37+'F5.2 (E) Existing'!F37+'F5.1 (N) New'!F37+'F5.2 (N) New'!F37</f>
        <v>0</v>
      </c>
      <c r="G37" s="1148">
        <f>+'F5.1 (E) Exisiting'!G37+'F5.2 (E) Existing'!G37+'F5.1 (N) New'!G37+'F5.2 (N) New'!G37</f>
        <v>0</v>
      </c>
      <c r="H37" s="760">
        <f t="shared" si="9"/>
        <v>0.24053579999999999</v>
      </c>
      <c r="I37" s="1146">
        <f t="shared" si="10"/>
        <v>0.24053579999999999</v>
      </c>
      <c r="J37" s="1148">
        <f>+'F5.1 (E) Exisiting'!J37+'F5.2 (E) Existing'!J37+'F5.1 (N) New'!J37+'F5.2 (N) New'!J37</f>
        <v>0</v>
      </c>
      <c r="K37" s="1148">
        <f>+'F5.1 (E) Exisiting'!K37+'F5.2 (E) Existing'!K37+'F5.1 (N) New'!K37+'F5.2 (N) New'!K37</f>
        <v>0</v>
      </c>
      <c r="L37" s="1148">
        <f>+'F5.1 (E) Exisiting'!L37+'F5.2 (E) Existing'!L37+'F5.1 (N) New'!L37+'F5.2 (N) New'!L37</f>
        <v>0</v>
      </c>
      <c r="M37" s="760">
        <f t="shared" si="11"/>
        <v>0.24053579999999999</v>
      </c>
      <c r="N37" s="1146">
        <f t="shared" si="12"/>
        <v>0.24053579999999999</v>
      </c>
      <c r="O37" s="1148">
        <f>+'F5.1 (E) Exisiting'!O37+'F5.2 (E) Existing'!O37+'F5.1 (N) New'!O37+'F5.2 (N) New'!O37</f>
        <v>7.7879999999999998E-3</v>
      </c>
      <c r="P37" s="1148">
        <f>+'F5.1 (E) Exisiting'!P37+'F5.2 (E) Existing'!P37+'F5.1 (N) New'!P37+'F5.2 (N) New'!P37</f>
        <v>0</v>
      </c>
      <c r="Q37" s="1148">
        <f>+'F5.1 (E) Exisiting'!Q37+'F5.2 (E) Existing'!Q37+'F5.1 (N) New'!Q37+'F5.2 (N) New'!Q37</f>
        <v>0</v>
      </c>
      <c r="R37" s="760">
        <f t="shared" si="13"/>
        <v>0.24832379999999998</v>
      </c>
      <c r="S37" s="1146">
        <f t="shared" si="14"/>
        <v>0.24832379999999998</v>
      </c>
      <c r="T37" s="1148">
        <f>+'F5.1 (E) Exisiting'!T37+'F5.2 (E) Existing'!T37+'F5.1 (N) New'!T37+'F5.2 (N) New'!T37</f>
        <v>0</v>
      </c>
      <c r="U37" s="1148">
        <f>+'F5.1 (E) Exisiting'!U37+'F5.2 (E) Existing'!U37+'F5.1 (N) New'!U37+'F5.2 (N) New'!U37</f>
        <v>0</v>
      </c>
      <c r="V37" s="1148">
        <f>+'F5.1 (E) Exisiting'!V37+'F5.2 (E) Existing'!V37+'F5.1 (N) New'!V37+'F5.2 (N) New'!V37</f>
        <v>0</v>
      </c>
      <c r="W37" s="760">
        <f t="shared" si="15"/>
        <v>0.24832379999999998</v>
      </c>
    </row>
    <row r="38" spans="2:23" ht="14.65" x14ac:dyDescent="0.4">
      <c r="B38" s="1136"/>
      <c r="C38" s="1137" t="s">
        <v>164</v>
      </c>
      <c r="D38" s="1147">
        <f>SUM(D30:D37)</f>
        <v>71.389073037382204</v>
      </c>
      <c r="E38" s="1147">
        <f t="shared" ref="E38:W38" si="16">SUM(E30:E37)</f>
        <v>1.23339939</v>
      </c>
      <c r="F38" s="1147">
        <f t="shared" si="16"/>
        <v>0</v>
      </c>
      <c r="G38" s="1147">
        <f t="shared" si="16"/>
        <v>0</v>
      </c>
      <c r="H38" s="1147">
        <f t="shared" si="16"/>
        <v>72.62247242738222</v>
      </c>
      <c r="I38" s="1147">
        <f t="shared" si="16"/>
        <v>72.62247242738222</v>
      </c>
      <c r="J38" s="1147">
        <f t="shared" si="16"/>
        <v>0.175413392</v>
      </c>
      <c r="K38" s="1147">
        <f t="shared" si="16"/>
        <v>0</v>
      </c>
      <c r="L38" s="1147">
        <f t="shared" si="16"/>
        <v>0</v>
      </c>
      <c r="M38" s="1147">
        <f t="shared" si="16"/>
        <v>72.797885819382216</v>
      </c>
      <c r="N38" s="1147">
        <f t="shared" si="16"/>
        <v>72.797885819382216</v>
      </c>
      <c r="O38" s="1147">
        <f t="shared" si="16"/>
        <v>3.3919569999999996E-2</v>
      </c>
      <c r="P38" s="1147">
        <f t="shared" si="16"/>
        <v>0</v>
      </c>
      <c r="Q38" s="1147">
        <f t="shared" si="16"/>
        <v>0</v>
      </c>
      <c r="R38" s="1147">
        <f t="shared" si="16"/>
        <v>72.831805389382211</v>
      </c>
      <c r="S38" s="1147">
        <f t="shared" si="16"/>
        <v>72.831805389382211</v>
      </c>
      <c r="T38" s="1147">
        <f t="shared" si="16"/>
        <v>0.4039566</v>
      </c>
      <c r="U38" s="1147">
        <f t="shared" si="16"/>
        <v>0</v>
      </c>
      <c r="V38" s="1147">
        <f t="shared" si="16"/>
        <v>0</v>
      </c>
      <c r="W38" s="1147">
        <f t="shared" si="16"/>
        <v>73.235761989382212</v>
      </c>
    </row>
    <row r="39" spans="2:23" x14ac:dyDescent="0.35">
      <c r="B39" s="83"/>
      <c r="C39" s="84"/>
      <c r="D39" s="1144"/>
      <c r="E39" s="1144"/>
      <c r="F39" s="1144"/>
      <c r="G39" s="1144"/>
      <c r="H39" s="1144"/>
      <c r="J39" s="153"/>
      <c r="M39" s="153"/>
      <c r="N39" s="153"/>
    </row>
    <row r="40" spans="2:23" x14ac:dyDescent="0.35">
      <c r="B40" s="1947" t="s">
        <v>1</v>
      </c>
      <c r="C40" s="1947" t="s">
        <v>111</v>
      </c>
      <c r="D40" s="2052" t="s">
        <v>124</v>
      </c>
      <c r="E40" s="2052"/>
      <c r="F40" s="2052"/>
      <c r="G40" s="2052"/>
      <c r="H40" s="2052"/>
      <c r="I40" s="2052" t="s">
        <v>125</v>
      </c>
      <c r="J40" s="2052"/>
      <c r="K40" s="2052"/>
      <c r="L40" s="2052"/>
      <c r="M40" s="2052"/>
      <c r="N40" s="2052" t="s">
        <v>126</v>
      </c>
      <c r="O40" s="2052"/>
      <c r="P40" s="2052"/>
      <c r="Q40" s="2052"/>
      <c r="R40" s="2052"/>
      <c r="S40" s="2052" t="s">
        <v>127</v>
      </c>
      <c r="T40" s="2052"/>
      <c r="U40" s="2052"/>
      <c r="V40" s="2052"/>
      <c r="W40" s="2052"/>
    </row>
    <row r="41" spans="2:23" x14ac:dyDescent="0.35">
      <c r="B41" s="1947"/>
      <c r="C41" s="1947"/>
      <c r="D41" s="2052" t="s">
        <v>135</v>
      </c>
      <c r="E41" s="2055"/>
      <c r="F41" s="2055"/>
      <c r="G41" s="2055"/>
      <c r="H41" s="2055"/>
      <c r="I41" s="2052" t="s">
        <v>135</v>
      </c>
      <c r="J41" s="2055"/>
      <c r="K41" s="2055"/>
      <c r="L41" s="2055"/>
      <c r="M41" s="2055"/>
      <c r="N41" s="2052" t="s">
        <v>135</v>
      </c>
      <c r="O41" s="2055"/>
      <c r="P41" s="2055"/>
      <c r="Q41" s="2055"/>
      <c r="R41" s="2055"/>
      <c r="S41" s="2052" t="s">
        <v>135</v>
      </c>
      <c r="T41" s="2055"/>
      <c r="U41" s="2055"/>
      <c r="V41" s="2055"/>
      <c r="W41" s="2055"/>
    </row>
    <row r="42" spans="2:23" ht="40.5" x14ac:dyDescent="0.35">
      <c r="B42" s="1947"/>
      <c r="C42" s="1947"/>
      <c r="D42" s="250" t="s">
        <v>523</v>
      </c>
      <c r="E42" s="250" t="s">
        <v>524</v>
      </c>
      <c r="F42" s="250" t="s">
        <v>525</v>
      </c>
      <c r="G42" s="106" t="s">
        <v>543</v>
      </c>
      <c r="H42" s="250" t="s">
        <v>526</v>
      </c>
      <c r="I42" s="250" t="s">
        <v>523</v>
      </c>
      <c r="J42" s="250" t="s">
        <v>524</v>
      </c>
      <c r="K42" s="250" t="s">
        <v>525</v>
      </c>
      <c r="L42" s="106" t="s">
        <v>543</v>
      </c>
      <c r="M42" s="250" t="s">
        <v>526</v>
      </c>
      <c r="N42" s="250" t="s">
        <v>523</v>
      </c>
      <c r="O42" s="250" t="s">
        <v>524</v>
      </c>
      <c r="P42" s="250" t="s">
        <v>525</v>
      </c>
      <c r="Q42" s="106" t="s">
        <v>543</v>
      </c>
      <c r="R42" s="250" t="s">
        <v>526</v>
      </c>
      <c r="S42" s="250" t="s">
        <v>523</v>
      </c>
      <c r="T42" s="250" t="s">
        <v>524</v>
      </c>
      <c r="U42" s="250" t="s">
        <v>525</v>
      </c>
      <c r="V42" s="106" t="s">
        <v>543</v>
      </c>
      <c r="W42" s="250" t="s">
        <v>526</v>
      </c>
    </row>
    <row r="43" spans="2:23" x14ac:dyDescent="0.35">
      <c r="B43" s="217"/>
      <c r="C43" s="217"/>
      <c r="D43" s="217" t="s">
        <v>128</v>
      </c>
      <c r="E43" s="217" t="s">
        <v>129</v>
      </c>
      <c r="F43" s="217" t="s">
        <v>527</v>
      </c>
      <c r="G43" s="217" t="s">
        <v>130</v>
      </c>
      <c r="H43" s="217" t="s">
        <v>544</v>
      </c>
      <c r="I43" s="217" t="s">
        <v>331</v>
      </c>
      <c r="J43" s="217" t="s">
        <v>132</v>
      </c>
      <c r="K43" s="217" t="s">
        <v>133</v>
      </c>
      <c r="L43" s="217" t="s">
        <v>332</v>
      </c>
      <c r="M43" s="217" t="s">
        <v>545</v>
      </c>
      <c r="N43" s="217" t="s">
        <v>528</v>
      </c>
      <c r="O43" s="217" t="s">
        <v>529</v>
      </c>
      <c r="P43" s="217" t="s">
        <v>334</v>
      </c>
      <c r="Q43" s="217" t="s">
        <v>530</v>
      </c>
      <c r="R43" s="217" t="s">
        <v>546</v>
      </c>
      <c r="S43" s="217" t="s">
        <v>532</v>
      </c>
      <c r="T43" s="217" t="s">
        <v>533</v>
      </c>
      <c r="U43" s="217" t="s">
        <v>534</v>
      </c>
      <c r="V43" s="217" t="s">
        <v>535</v>
      </c>
      <c r="W43" s="217" t="s">
        <v>547</v>
      </c>
    </row>
    <row r="44" spans="2:23" x14ac:dyDescent="0.35">
      <c r="B44" s="1133">
        <v>1</v>
      </c>
      <c r="C44" s="1134" t="s">
        <v>1410</v>
      </c>
      <c r="D44" s="1148">
        <f>+W30</f>
        <v>3.4999999999999999E-6</v>
      </c>
      <c r="E44" s="1148">
        <f>+'F5.1 (E) Exisiting'!E44+'F5.2 (E) Existing'!E44+'F5.1 (N) New'!E44+'F5.2 (N) New'!E44</f>
        <v>0</v>
      </c>
      <c r="F44" s="1148">
        <f>+'F5.1 (E) Exisiting'!F44+'F5.2 (E) Existing'!F44+'F5.1 (N) New'!F44+'F5.2 (N) New'!F44</f>
        <v>0</v>
      </c>
      <c r="G44" s="1148">
        <f>+'F5.1 (E) Exisiting'!G44+'F5.2 (E) Existing'!G44+'F5.1 (N) New'!G44+'F5.2 (N) New'!G44</f>
        <v>0</v>
      </c>
      <c r="H44" s="760">
        <f>+D44+E44-F44-G44</f>
        <v>3.4999999999999999E-6</v>
      </c>
      <c r="I44" s="1146">
        <f>+H44</f>
        <v>3.4999999999999999E-6</v>
      </c>
      <c r="J44" s="1148">
        <f>+'F5.1 (E) Exisiting'!J44+'F5.2 (E) Existing'!J44+'F5.1 (N) New'!J44+'F5.2 (N) New'!J44</f>
        <v>0</v>
      </c>
      <c r="K44" s="1148">
        <f>+'F5.1 (E) Exisiting'!K44+'F5.2 (E) Existing'!K44+'F5.1 (N) New'!K44+'F5.2 (N) New'!K44</f>
        <v>0</v>
      </c>
      <c r="L44" s="1148">
        <f>+'F5.1 (E) Exisiting'!L44+'F5.2 (E) Existing'!L44+'F5.1 (N) New'!L44+'F5.2 (N) New'!L44</f>
        <v>0</v>
      </c>
      <c r="M44" s="760">
        <f>+I44+J44-K44-L44</f>
        <v>3.4999999999999999E-6</v>
      </c>
      <c r="N44" s="1146">
        <f>+M44</f>
        <v>3.4999999999999999E-6</v>
      </c>
      <c r="O44" s="1148">
        <f>+'F5.1 (E) Exisiting'!O44+'F5.2 (E) Existing'!O44+'F5.1 (N) New'!O44+'F5.2 (N) New'!O44</f>
        <v>0</v>
      </c>
      <c r="P44" s="1148">
        <f>+'F5.1 (E) Exisiting'!P44+'F5.2 (E) Existing'!P44+'F5.1 (N) New'!P44+'F5.2 (N) New'!P44</f>
        <v>0</v>
      </c>
      <c r="Q44" s="1148">
        <f>+'F5.1 (E) Exisiting'!Q44+'F5.2 (E) Existing'!Q44+'F5.1 (N) New'!Q44+'F5.2 (N) New'!Q44</f>
        <v>0</v>
      </c>
      <c r="R44" s="760">
        <f>+N44+O44-P44-Q44</f>
        <v>3.4999999999999999E-6</v>
      </c>
      <c r="S44" s="1146">
        <f>+R44</f>
        <v>3.4999999999999999E-6</v>
      </c>
      <c r="T44" s="1148">
        <f>+'F5.1 (E) Exisiting'!T44+'F5.2 (E) Existing'!T44+'F5.1 (N) New'!T44+'F5.2 (N) New'!T44</f>
        <v>0</v>
      </c>
      <c r="U44" s="1148">
        <f>+'F5.1 (E) Exisiting'!U44+'F5.2 (E) Existing'!U44+'F5.1 (N) New'!U44+'F5.2 (N) New'!U44</f>
        <v>0</v>
      </c>
      <c r="V44" s="1148">
        <f>+'F5.1 (E) Exisiting'!V44+'F5.2 (E) Existing'!V44+'F5.1 (N) New'!V44+'F5.2 (N) New'!V44</f>
        <v>0</v>
      </c>
      <c r="W44" s="760">
        <f>+S44+T44-U44-V44</f>
        <v>3.4999999999999999E-6</v>
      </c>
    </row>
    <row r="45" spans="2:23" s="39" customFormat="1" x14ac:dyDescent="0.35">
      <c r="B45" s="1133">
        <v>2</v>
      </c>
      <c r="C45" s="1134" t="s">
        <v>1409</v>
      </c>
      <c r="D45" s="1148">
        <f t="shared" ref="D45:D51" si="17">+W31</f>
        <v>11.562416499999999</v>
      </c>
      <c r="E45" s="1148">
        <f>+'F5.1 (E) Exisiting'!E45+'F5.2 (E) Existing'!E45+'F5.1 (N) New'!E45+'F5.2 (N) New'!E45</f>
        <v>0</v>
      </c>
      <c r="F45" s="1148">
        <f>+'F5.1 (E) Exisiting'!F45+'F5.2 (E) Existing'!F45+'F5.1 (N) New'!F45+'F5.2 (N) New'!F45</f>
        <v>0</v>
      </c>
      <c r="G45" s="1148">
        <f>+'F5.1 (E) Exisiting'!G45+'F5.2 (E) Existing'!G45+'F5.1 (N) New'!G45+'F5.2 (N) New'!G45</f>
        <v>0</v>
      </c>
      <c r="H45" s="760">
        <f t="shared" ref="H45:H51" si="18">+D45+E45-F45-G45</f>
        <v>11.562416499999999</v>
      </c>
      <c r="I45" s="1146">
        <f t="shared" ref="I45:I51" si="19">+H45</f>
        <v>11.562416499999999</v>
      </c>
      <c r="J45" s="1148">
        <f>+'F5.1 (E) Exisiting'!J45+'F5.2 (E) Existing'!J45+'F5.1 (N) New'!J45+'F5.2 (N) New'!J45</f>
        <v>0</v>
      </c>
      <c r="K45" s="1148">
        <f>+'F5.1 (E) Exisiting'!K45+'F5.2 (E) Existing'!K45+'F5.1 (N) New'!K45+'F5.2 (N) New'!K45</f>
        <v>0</v>
      </c>
      <c r="L45" s="1148">
        <f>+'F5.1 (E) Exisiting'!L45+'F5.2 (E) Existing'!L45+'F5.1 (N) New'!L45+'F5.2 (N) New'!L45</f>
        <v>0</v>
      </c>
      <c r="M45" s="760">
        <f t="shared" ref="M45:M51" si="20">+I45+J45-K45-L45</f>
        <v>11.562416499999999</v>
      </c>
      <c r="N45" s="1146">
        <f t="shared" ref="N45:N51" si="21">+M45</f>
        <v>11.562416499999999</v>
      </c>
      <c r="O45" s="1148">
        <f>+'F5.1 (E) Exisiting'!O45+'F5.2 (E) Existing'!O45+'F5.1 (N) New'!O45+'F5.2 (N) New'!O45</f>
        <v>0</v>
      </c>
      <c r="P45" s="1148">
        <f>+'F5.1 (E) Exisiting'!P45+'F5.2 (E) Existing'!P45+'F5.1 (N) New'!P45+'F5.2 (N) New'!P45</f>
        <v>0</v>
      </c>
      <c r="Q45" s="1148">
        <f>+'F5.1 (E) Exisiting'!Q45+'F5.2 (E) Existing'!Q45+'F5.1 (N) New'!Q45+'F5.2 (N) New'!Q45</f>
        <v>0</v>
      </c>
      <c r="R45" s="760">
        <f t="shared" ref="R45:R51" si="22">+N45+O45-P45-Q45</f>
        <v>11.562416499999999</v>
      </c>
      <c r="S45" s="1146">
        <f t="shared" ref="S45:S51" si="23">+R45</f>
        <v>11.562416499999999</v>
      </c>
      <c r="T45" s="1148">
        <f>+'F5.1 (E) Exisiting'!T45+'F5.2 (E) Existing'!T45+'F5.1 (N) New'!T45+'F5.2 (N) New'!T45</f>
        <v>0</v>
      </c>
      <c r="U45" s="1148">
        <f>+'F5.1 (E) Exisiting'!U45+'F5.2 (E) Existing'!U45+'F5.1 (N) New'!U45+'F5.2 (N) New'!U45</f>
        <v>0</v>
      </c>
      <c r="V45" s="1148">
        <f>+'F5.1 (E) Exisiting'!V45+'F5.2 (E) Existing'!V45+'F5.1 (N) New'!V45+'F5.2 (N) New'!V45</f>
        <v>0</v>
      </c>
      <c r="W45" s="760">
        <f t="shared" ref="W45:W51" si="24">+S45+T45-U45-V45</f>
        <v>11.562416499999999</v>
      </c>
    </row>
    <row r="46" spans="2:23" s="39" customFormat="1" x14ac:dyDescent="0.35">
      <c r="B46" s="1133">
        <v>3</v>
      </c>
      <c r="C46" s="1134" t="s">
        <v>440</v>
      </c>
      <c r="D46" s="1148">
        <f t="shared" si="17"/>
        <v>57.47434513645878</v>
      </c>
      <c r="E46" s="1148">
        <f>+'F5.1 (E) Exisiting'!E46+'F5.2 (E) Existing'!E46+'F5.1 (N) New'!E46+'F5.2 (N) New'!E46</f>
        <v>0</v>
      </c>
      <c r="F46" s="1148">
        <f>+'F5.1 (E) Exisiting'!F46+'F5.2 (E) Existing'!F46+'F5.1 (N) New'!F46+'F5.2 (N) New'!F46</f>
        <v>0</v>
      </c>
      <c r="G46" s="1148">
        <f>+'F5.1 (E) Exisiting'!G46+'F5.2 (E) Existing'!G46+'F5.1 (N) New'!G46+'F5.2 (N) New'!G46</f>
        <v>0</v>
      </c>
      <c r="H46" s="760">
        <f t="shared" si="18"/>
        <v>57.47434513645878</v>
      </c>
      <c r="I46" s="1146">
        <f t="shared" si="19"/>
        <v>57.47434513645878</v>
      </c>
      <c r="J46" s="1148">
        <f>+'F5.1 (E) Exisiting'!J46+'F5.2 (E) Existing'!J46+'F5.1 (N) New'!J46+'F5.2 (N) New'!J46</f>
        <v>0</v>
      </c>
      <c r="K46" s="1148">
        <f>+'F5.1 (E) Exisiting'!K46+'F5.2 (E) Existing'!K46+'F5.1 (N) New'!K46+'F5.2 (N) New'!K46</f>
        <v>0</v>
      </c>
      <c r="L46" s="1148">
        <f>+'F5.1 (E) Exisiting'!L46+'F5.2 (E) Existing'!L46+'F5.1 (N) New'!L46+'F5.2 (N) New'!L46</f>
        <v>0</v>
      </c>
      <c r="M46" s="760">
        <f t="shared" si="20"/>
        <v>57.47434513645878</v>
      </c>
      <c r="N46" s="1146">
        <f t="shared" si="21"/>
        <v>57.47434513645878</v>
      </c>
      <c r="O46" s="1148">
        <f>+'F5.1 (E) Exisiting'!O46+'F5.2 (E) Existing'!O46+'F5.1 (N) New'!O46+'F5.2 (N) New'!O46</f>
        <v>0</v>
      </c>
      <c r="P46" s="1148">
        <f>+'F5.1 (E) Exisiting'!P46+'F5.2 (E) Existing'!P46+'F5.1 (N) New'!P46+'F5.2 (N) New'!P46</f>
        <v>0</v>
      </c>
      <c r="Q46" s="1148">
        <f>+'F5.1 (E) Exisiting'!Q46+'F5.2 (E) Existing'!Q46+'F5.1 (N) New'!Q46+'F5.2 (N) New'!Q46</f>
        <v>0</v>
      </c>
      <c r="R46" s="760">
        <f t="shared" si="22"/>
        <v>57.47434513645878</v>
      </c>
      <c r="S46" s="1146">
        <f t="shared" si="23"/>
        <v>57.47434513645878</v>
      </c>
      <c r="T46" s="1148">
        <f>+'F5.1 (E) Exisiting'!T46+'F5.2 (E) Existing'!T46+'F5.1 (N) New'!T46+'F5.2 (N) New'!T46</f>
        <v>0</v>
      </c>
      <c r="U46" s="1148">
        <f>+'F5.1 (E) Exisiting'!U46+'F5.2 (E) Existing'!U46+'F5.1 (N) New'!U46+'F5.2 (N) New'!U46</f>
        <v>0</v>
      </c>
      <c r="V46" s="1148">
        <f>+'F5.1 (E) Exisiting'!V46+'F5.2 (E) Existing'!V46+'F5.1 (N) New'!V46+'F5.2 (N) New'!V46</f>
        <v>0</v>
      </c>
      <c r="W46" s="760">
        <f t="shared" si="24"/>
        <v>57.47434513645878</v>
      </c>
    </row>
    <row r="47" spans="2:23" s="39" customFormat="1" x14ac:dyDescent="0.35">
      <c r="B47" s="1133">
        <v>4</v>
      </c>
      <c r="C47" s="1134" t="s">
        <v>915</v>
      </c>
      <c r="D47" s="1148">
        <f t="shared" si="17"/>
        <v>3.3648087449234323</v>
      </c>
      <c r="E47" s="1148">
        <f>+'F5.1 (E) Exisiting'!E47+'F5.2 (E) Existing'!E47+'F5.1 (N) New'!E47+'F5.2 (N) New'!E47</f>
        <v>0.21942249999999999</v>
      </c>
      <c r="F47" s="1148">
        <f>+'F5.1 (E) Exisiting'!F47+'F5.2 (E) Existing'!F47+'F5.1 (N) New'!F47+'F5.2 (N) New'!F47</f>
        <v>0</v>
      </c>
      <c r="G47" s="1148">
        <f>+'F5.1 (E) Exisiting'!G47+'F5.2 (E) Existing'!G47+'F5.1 (N) New'!G47+'F5.2 (N) New'!G47</f>
        <v>0</v>
      </c>
      <c r="H47" s="760">
        <f t="shared" si="18"/>
        <v>3.5842312449234321</v>
      </c>
      <c r="I47" s="1146">
        <f t="shared" si="19"/>
        <v>3.5842312449234321</v>
      </c>
      <c r="J47" s="1148">
        <f>+'F5.1 (E) Exisiting'!J47+'F5.2 (E) Existing'!J47+'F5.1 (N) New'!J47+'F5.2 (N) New'!J47</f>
        <v>0.2948769</v>
      </c>
      <c r="K47" s="1148">
        <f>+'F5.1 (E) Exisiting'!K47+'F5.2 (E) Existing'!K47+'F5.1 (N) New'!K47+'F5.2 (N) New'!K47</f>
        <v>0</v>
      </c>
      <c r="L47" s="1148">
        <f>+'F5.1 (E) Exisiting'!L47+'F5.2 (E) Existing'!L47+'F5.1 (N) New'!L47+'F5.2 (N) New'!L47</f>
        <v>0</v>
      </c>
      <c r="M47" s="760">
        <f t="shared" si="20"/>
        <v>3.8791081449234319</v>
      </c>
      <c r="N47" s="1146">
        <f t="shared" si="21"/>
        <v>3.8791081449234319</v>
      </c>
      <c r="O47" s="1148">
        <f>+'F5.1 (E) Exisiting'!O47+'F5.2 (E) Existing'!O47+'F5.1 (N) New'!O47+'F5.2 (N) New'!O47</f>
        <v>0.43267509999999998</v>
      </c>
      <c r="P47" s="1148">
        <f>+'F5.1 (E) Exisiting'!P47+'F5.2 (E) Existing'!P47+'F5.1 (N) New'!P47+'F5.2 (N) New'!P47</f>
        <v>0</v>
      </c>
      <c r="Q47" s="1148">
        <f>+'F5.1 (E) Exisiting'!Q47+'F5.2 (E) Existing'!Q47+'F5.1 (N) New'!Q47+'F5.2 (N) New'!Q47</f>
        <v>0</v>
      </c>
      <c r="R47" s="760">
        <f t="shared" si="22"/>
        <v>4.3117832449234319</v>
      </c>
      <c r="S47" s="1146">
        <f t="shared" si="23"/>
        <v>4.3117832449234319</v>
      </c>
      <c r="T47" s="1148">
        <f>+'F5.1 (E) Exisiting'!T47+'F5.2 (E) Existing'!T47+'F5.1 (N) New'!T47+'F5.2 (N) New'!T47</f>
        <v>0.45153019999999999</v>
      </c>
      <c r="U47" s="1148">
        <f>+'F5.1 (E) Exisiting'!U47+'F5.2 (E) Existing'!U47+'F5.1 (N) New'!U47+'F5.2 (N) New'!U47</f>
        <v>0</v>
      </c>
      <c r="V47" s="1148">
        <f>+'F5.1 (E) Exisiting'!V47+'F5.2 (E) Existing'!V47+'F5.1 (N) New'!V47+'F5.2 (N) New'!V47</f>
        <v>0</v>
      </c>
      <c r="W47" s="760">
        <f t="shared" si="24"/>
        <v>4.7633134449234316</v>
      </c>
    </row>
    <row r="48" spans="2:23" x14ac:dyDescent="0.35">
      <c r="B48" s="1133">
        <v>5</v>
      </c>
      <c r="C48" s="1134" t="s">
        <v>447</v>
      </c>
      <c r="D48" s="1148">
        <f t="shared" si="17"/>
        <v>0.43546014999999999</v>
      </c>
      <c r="E48" s="1148">
        <f>+'F5.1 (E) Exisiting'!E48+'F5.2 (E) Existing'!E48+'F5.1 (N) New'!E48+'F5.2 (N) New'!E48</f>
        <v>0.06</v>
      </c>
      <c r="F48" s="1148">
        <f>+'F5.1 (E) Exisiting'!F48+'F5.2 (E) Existing'!F48+'F5.1 (N) New'!F48+'F5.2 (N) New'!F48</f>
        <v>0</v>
      </c>
      <c r="G48" s="1148">
        <f>+'F5.1 (E) Exisiting'!G48+'F5.2 (E) Existing'!G48+'F5.1 (N) New'!G48+'F5.2 (N) New'!G48</f>
        <v>0</v>
      </c>
      <c r="H48" s="760">
        <f t="shared" si="18"/>
        <v>0.49546014999999999</v>
      </c>
      <c r="I48" s="1146">
        <f t="shared" si="19"/>
        <v>0.49546014999999999</v>
      </c>
      <c r="J48" s="1148">
        <f>+'F5.1 (E) Exisiting'!J48+'F5.2 (E) Existing'!J48+'F5.1 (N) New'!J48+'F5.2 (N) New'!J48</f>
        <v>0</v>
      </c>
      <c r="K48" s="1148">
        <f>+'F5.1 (E) Exisiting'!K48+'F5.2 (E) Existing'!K48+'F5.1 (N) New'!K48+'F5.2 (N) New'!K48</f>
        <v>0</v>
      </c>
      <c r="L48" s="1148">
        <f>+'F5.1 (E) Exisiting'!L48+'F5.2 (E) Existing'!L48+'F5.1 (N) New'!L48+'F5.2 (N) New'!L48</f>
        <v>0</v>
      </c>
      <c r="M48" s="760">
        <f t="shared" si="20"/>
        <v>0.49546014999999999</v>
      </c>
      <c r="N48" s="1146">
        <f t="shared" si="21"/>
        <v>0.49546014999999999</v>
      </c>
      <c r="O48" s="1148">
        <f>+'F5.1 (E) Exisiting'!O48+'F5.2 (E) Existing'!O48+'F5.1 (N) New'!O48+'F5.2 (N) New'!O48</f>
        <v>0</v>
      </c>
      <c r="P48" s="1148">
        <f>+'F5.1 (E) Exisiting'!P48+'F5.2 (E) Existing'!P48+'F5.1 (N) New'!P48+'F5.2 (N) New'!P48</f>
        <v>0</v>
      </c>
      <c r="Q48" s="1148">
        <f>+'F5.1 (E) Exisiting'!Q48+'F5.2 (E) Existing'!Q48+'F5.1 (N) New'!Q48+'F5.2 (N) New'!Q48</f>
        <v>0</v>
      </c>
      <c r="R48" s="760">
        <f t="shared" si="22"/>
        <v>0.49546014999999999</v>
      </c>
      <c r="S48" s="1146">
        <f t="shared" si="23"/>
        <v>0.49546014999999999</v>
      </c>
      <c r="T48" s="1148">
        <f>+'F5.1 (E) Exisiting'!T48+'F5.2 (E) Existing'!T48+'F5.1 (N) New'!T48+'F5.2 (N) New'!T48</f>
        <v>0</v>
      </c>
      <c r="U48" s="1148">
        <f>+'F5.1 (E) Exisiting'!U48+'F5.2 (E) Existing'!U48+'F5.1 (N) New'!U48+'F5.2 (N) New'!U48</f>
        <v>0</v>
      </c>
      <c r="V48" s="1148">
        <f>+'F5.1 (E) Exisiting'!V48+'F5.2 (E) Existing'!V48+'F5.1 (N) New'!V48+'F5.2 (N) New'!V48</f>
        <v>0</v>
      </c>
      <c r="W48" s="760">
        <f t="shared" si="24"/>
        <v>0.49546014999999999</v>
      </c>
    </row>
    <row r="49" spans="2:23" x14ac:dyDescent="0.35">
      <c r="B49" s="1133">
        <v>6</v>
      </c>
      <c r="C49" s="1134" t="s">
        <v>879</v>
      </c>
      <c r="D49" s="1148">
        <f t="shared" si="17"/>
        <v>6.5979999999999997E-3</v>
      </c>
      <c r="E49" s="1148">
        <f>+'F5.1 (E) Exisiting'!E49+'F5.2 (E) Existing'!E49+'F5.1 (N) New'!E49+'F5.2 (N) New'!E49</f>
        <v>0</v>
      </c>
      <c r="F49" s="1148">
        <f>+'F5.1 (E) Exisiting'!F49+'F5.2 (E) Existing'!F49+'F5.1 (N) New'!F49+'F5.2 (N) New'!F49</f>
        <v>0</v>
      </c>
      <c r="G49" s="1148">
        <f>+'F5.1 (E) Exisiting'!G49+'F5.2 (E) Existing'!G49+'F5.1 (N) New'!G49+'F5.2 (N) New'!G49</f>
        <v>0</v>
      </c>
      <c r="H49" s="760">
        <f t="shared" si="18"/>
        <v>6.5979999999999997E-3</v>
      </c>
      <c r="I49" s="1146">
        <f t="shared" si="19"/>
        <v>6.5979999999999997E-3</v>
      </c>
      <c r="J49" s="1148">
        <f>+'F5.1 (E) Exisiting'!J49+'F5.2 (E) Existing'!J49+'F5.1 (N) New'!J49+'F5.2 (N) New'!J49</f>
        <v>0</v>
      </c>
      <c r="K49" s="1148">
        <f>+'F5.1 (E) Exisiting'!K49+'F5.2 (E) Existing'!K49+'F5.1 (N) New'!K49+'F5.2 (N) New'!K49</f>
        <v>0</v>
      </c>
      <c r="L49" s="1148">
        <f>+'F5.1 (E) Exisiting'!L49+'F5.2 (E) Existing'!L49+'F5.1 (N) New'!L49+'F5.2 (N) New'!L49</f>
        <v>0</v>
      </c>
      <c r="M49" s="760">
        <f t="shared" si="20"/>
        <v>6.5979999999999997E-3</v>
      </c>
      <c r="N49" s="1146">
        <f t="shared" si="21"/>
        <v>6.5979999999999997E-3</v>
      </c>
      <c r="O49" s="1148">
        <f>+'F5.1 (E) Exisiting'!O49+'F5.2 (E) Existing'!O49+'F5.1 (N) New'!O49+'F5.2 (N) New'!O49</f>
        <v>0</v>
      </c>
      <c r="P49" s="1148">
        <f>+'F5.1 (E) Exisiting'!P49+'F5.2 (E) Existing'!P49+'F5.1 (N) New'!P49+'F5.2 (N) New'!P49</f>
        <v>0</v>
      </c>
      <c r="Q49" s="1148">
        <f>+'F5.1 (E) Exisiting'!Q49+'F5.2 (E) Existing'!Q49+'F5.1 (N) New'!Q49+'F5.2 (N) New'!Q49</f>
        <v>0</v>
      </c>
      <c r="R49" s="760">
        <f t="shared" si="22"/>
        <v>6.5979999999999997E-3</v>
      </c>
      <c r="S49" s="1146">
        <f t="shared" si="23"/>
        <v>6.5979999999999997E-3</v>
      </c>
      <c r="T49" s="1148">
        <f>+'F5.1 (E) Exisiting'!T49+'F5.2 (E) Existing'!T49+'F5.1 (N) New'!T49+'F5.2 (N) New'!T49</f>
        <v>0</v>
      </c>
      <c r="U49" s="1148">
        <f>+'F5.1 (E) Exisiting'!U49+'F5.2 (E) Existing'!U49+'F5.1 (N) New'!U49+'F5.2 (N) New'!U49</f>
        <v>0</v>
      </c>
      <c r="V49" s="1148">
        <f>+'F5.1 (E) Exisiting'!V49+'F5.2 (E) Existing'!V49+'F5.1 (N) New'!V49+'F5.2 (N) New'!V49</f>
        <v>0</v>
      </c>
      <c r="W49" s="760">
        <f t="shared" si="24"/>
        <v>6.5979999999999997E-3</v>
      </c>
    </row>
    <row r="50" spans="2:23" x14ac:dyDescent="0.4">
      <c r="B50" s="1133">
        <v>7</v>
      </c>
      <c r="C50" s="1135" t="s">
        <v>1269</v>
      </c>
      <c r="D50" s="1148">
        <f t="shared" si="17"/>
        <v>0.14380615799999999</v>
      </c>
      <c r="E50" s="1148">
        <f>+'F5.1 (E) Exisiting'!E50+'F5.2 (E) Existing'!E50+'F5.1 (N) New'!E50+'F5.2 (N) New'!E50</f>
        <v>0</v>
      </c>
      <c r="F50" s="1148">
        <f>+'F5.1 (E) Exisiting'!F50+'F5.2 (E) Existing'!F50+'F5.1 (N) New'!F50+'F5.2 (N) New'!F50</f>
        <v>0</v>
      </c>
      <c r="G50" s="1148">
        <f>+'F5.1 (E) Exisiting'!G50+'F5.2 (E) Existing'!G50+'F5.1 (N) New'!G50+'F5.2 (N) New'!G50</f>
        <v>0</v>
      </c>
      <c r="H50" s="760">
        <f t="shared" si="18"/>
        <v>0.14380615799999999</v>
      </c>
      <c r="I50" s="1146">
        <f t="shared" si="19"/>
        <v>0.14380615799999999</v>
      </c>
      <c r="J50" s="1148">
        <f>+'F5.1 (E) Exisiting'!J50+'F5.2 (E) Existing'!J50+'F5.1 (N) New'!J50+'F5.2 (N) New'!J50</f>
        <v>0</v>
      </c>
      <c r="K50" s="1148">
        <f>+'F5.1 (E) Exisiting'!K50+'F5.2 (E) Existing'!K50+'F5.1 (N) New'!K50+'F5.2 (N) New'!K50</f>
        <v>0</v>
      </c>
      <c r="L50" s="1148">
        <f>+'F5.1 (E) Exisiting'!L50+'F5.2 (E) Existing'!L50+'F5.1 (N) New'!L50+'F5.2 (N) New'!L50</f>
        <v>0</v>
      </c>
      <c r="M50" s="760">
        <f t="shared" si="20"/>
        <v>0.14380615799999999</v>
      </c>
      <c r="N50" s="1146">
        <f t="shared" si="21"/>
        <v>0.14380615799999999</v>
      </c>
      <c r="O50" s="1148">
        <f>+'F5.1 (E) Exisiting'!O50+'F5.2 (E) Existing'!O50+'F5.1 (N) New'!O50+'F5.2 (N) New'!O50</f>
        <v>0</v>
      </c>
      <c r="P50" s="1148">
        <f>+'F5.1 (E) Exisiting'!P50+'F5.2 (E) Existing'!P50+'F5.1 (N) New'!P50+'F5.2 (N) New'!P50</f>
        <v>0</v>
      </c>
      <c r="Q50" s="1148">
        <f>+'F5.1 (E) Exisiting'!Q50+'F5.2 (E) Existing'!Q50+'F5.1 (N) New'!Q50+'F5.2 (N) New'!Q50</f>
        <v>0</v>
      </c>
      <c r="R50" s="760">
        <f t="shared" si="22"/>
        <v>0.14380615799999999</v>
      </c>
      <c r="S50" s="1146">
        <f t="shared" si="23"/>
        <v>0.14380615799999999</v>
      </c>
      <c r="T50" s="1148">
        <f>+'F5.1 (E) Exisiting'!T50+'F5.2 (E) Existing'!T50+'F5.1 (N) New'!T50+'F5.2 (N) New'!T50</f>
        <v>0</v>
      </c>
      <c r="U50" s="1148">
        <f>+'F5.1 (E) Exisiting'!U50+'F5.2 (E) Existing'!U50+'F5.1 (N) New'!U50+'F5.2 (N) New'!U50</f>
        <v>0</v>
      </c>
      <c r="V50" s="1148">
        <f>+'F5.1 (E) Exisiting'!V50+'F5.2 (E) Existing'!V50+'F5.1 (N) New'!V50+'F5.2 (N) New'!V50</f>
        <v>0</v>
      </c>
      <c r="W50" s="760">
        <f t="shared" si="24"/>
        <v>0.14380615799999999</v>
      </c>
    </row>
    <row r="51" spans="2:23" x14ac:dyDescent="0.4">
      <c r="B51" s="1133">
        <v>8</v>
      </c>
      <c r="C51" s="1135" t="s">
        <v>1270</v>
      </c>
      <c r="D51" s="1148">
        <f t="shared" si="17"/>
        <v>0.24832379999999998</v>
      </c>
      <c r="E51" s="1148">
        <f>+'F5.1 (E) Exisiting'!E51+'F5.2 (E) Existing'!E51+'F5.1 (N) New'!E51+'F5.2 (N) New'!E51</f>
        <v>0</v>
      </c>
      <c r="F51" s="1148">
        <f>+'F5.1 (E) Exisiting'!F51+'F5.2 (E) Existing'!F51+'F5.1 (N) New'!F51+'F5.2 (N) New'!F51</f>
        <v>0</v>
      </c>
      <c r="G51" s="1148">
        <f>+'F5.1 (E) Exisiting'!G51+'F5.2 (E) Existing'!G51+'F5.1 (N) New'!G51+'F5.2 (N) New'!G51</f>
        <v>0</v>
      </c>
      <c r="H51" s="760">
        <f t="shared" si="18"/>
        <v>0.24832379999999998</v>
      </c>
      <c r="I51" s="1146">
        <f t="shared" si="19"/>
        <v>0.24832379999999998</v>
      </c>
      <c r="J51" s="1148">
        <f>+'F5.1 (E) Exisiting'!J51+'F5.2 (E) Existing'!J51+'F5.1 (N) New'!J51+'F5.2 (N) New'!J51</f>
        <v>0</v>
      </c>
      <c r="K51" s="1148">
        <f>+'F5.1 (E) Exisiting'!K51+'F5.2 (E) Existing'!K51+'F5.1 (N) New'!K51+'F5.2 (N) New'!K51</f>
        <v>0</v>
      </c>
      <c r="L51" s="1148">
        <f>+'F5.1 (E) Exisiting'!L51+'F5.2 (E) Existing'!L51+'F5.1 (N) New'!L51+'F5.2 (N) New'!L51</f>
        <v>0</v>
      </c>
      <c r="M51" s="760">
        <f t="shared" si="20"/>
        <v>0.24832379999999998</v>
      </c>
      <c r="N51" s="1146">
        <f t="shared" si="21"/>
        <v>0.24832379999999998</v>
      </c>
      <c r="O51" s="1148">
        <f>+'F5.1 (E) Exisiting'!O51+'F5.2 (E) Existing'!O51+'F5.1 (N) New'!O51+'F5.2 (N) New'!O51</f>
        <v>0</v>
      </c>
      <c r="P51" s="1148">
        <f>+'F5.1 (E) Exisiting'!P51+'F5.2 (E) Existing'!P51+'F5.1 (N) New'!P51+'F5.2 (N) New'!P51</f>
        <v>0</v>
      </c>
      <c r="Q51" s="1148">
        <f>+'F5.1 (E) Exisiting'!Q51+'F5.2 (E) Existing'!Q51+'F5.1 (N) New'!Q51+'F5.2 (N) New'!Q51</f>
        <v>0</v>
      </c>
      <c r="R51" s="760">
        <f t="shared" si="22"/>
        <v>0.24832379999999998</v>
      </c>
      <c r="S51" s="1146">
        <f t="shared" si="23"/>
        <v>0.24832379999999998</v>
      </c>
      <c r="T51" s="1148">
        <f>+'F5.1 (E) Exisiting'!T51+'F5.2 (E) Existing'!T51+'F5.1 (N) New'!T51+'F5.2 (N) New'!T51</f>
        <v>0</v>
      </c>
      <c r="U51" s="1148">
        <f>+'F5.1 (E) Exisiting'!U51+'F5.2 (E) Existing'!U51+'F5.1 (N) New'!U51+'F5.2 (N) New'!U51</f>
        <v>0</v>
      </c>
      <c r="V51" s="1148">
        <f>+'F5.1 (E) Exisiting'!V51+'F5.2 (E) Existing'!V51+'F5.1 (N) New'!V51+'F5.2 (N) New'!V51</f>
        <v>0</v>
      </c>
      <c r="W51" s="760">
        <f t="shared" si="24"/>
        <v>0.24832379999999998</v>
      </c>
    </row>
    <row r="52" spans="2:23" ht="14.65" x14ac:dyDescent="0.4">
      <c r="B52" s="1136"/>
      <c r="C52" s="1137" t="s">
        <v>164</v>
      </c>
      <c r="D52" s="1147">
        <f t="shared" ref="D52:W52" si="25">SUM(D44:D51)</f>
        <v>73.235761989382212</v>
      </c>
      <c r="E52" s="1147">
        <f t="shared" si="25"/>
        <v>0.27942250000000002</v>
      </c>
      <c r="F52" s="1147">
        <f t="shared" si="25"/>
        <v>0</v>
      </c>
      <c r="G52" s="1147">
        <f t="shared" si="25"/>
        <v>0</v>
      </c>
      <c r="H52" s="1147">
        <f t="shared" si="25"/>
        <v>73.515184489382207</v>
      </c>
      <c r="I52" s="1147">
        <f t="shared" si="25"/>
        <v>73.515184489382207</v>
      </c>
      <c r="J52" s="1147">
        <f t="shared" si="25"/>
        <v>0.2948769</v>
      </c>
      <c r="K52" s="1147">
        <f t="shared" si="25"/>
        <v>0</v>
      </c>
      <c r="L52" s="1147">
        <f t="shared" si="25"/>
        <v>0</v>
      </c>
      <c r="M52" s="1147">
        <f t="shared" si="25"/>
        <v>73.810061389382213</v>
      </c>
      <c r="N52" s="1147">
        <f t="shared" si="25"/>
        <v>73.810061389382213</v>
      </c>
      <c r="O52" s="1147">
        <f t="shared" si="25"/>
        <v>0.43267509999999998</v>
      </c>
      <c r="P52" s="1147">
        <f t="shared" si="25"/>
        <v>0</v>
      </c>
      <c r="Q52" s="1147">
        <f t="shared" si="25"/>
        <v>0</v>
      </c>
      <c r="R52" s="1147">
        <f t="shared" si="25"/>
        <v>74.24273648938221</v>
      </c>
      <c r="S52" s="1147">
        <f t="shared" si="25"/>
        <v>74.24273648938221</v>
      </c>
      <c r="T52" s="1147">
        <f t="shared" si="25"/>
        <v>0.45153019999999999</v>
      </c>
      <c r="U52" s="1147">
        <f t="shared" si="25"/>
        <v>0</v>
      </c>
      <c r="V52" s="1147">
        <f t="shared" si="25"/>
        <v>0</v>
      </c>
      <c r="W52" s="1147">
        <f t="shared" si="25"/>
        <v>74.694266689382204</v>
      </c>
    </row>
    <row r="54" spans="2:23" x14ac:dyDescent="0.35">
      <c r="B54" s="83" t="s">
        <v>536</v>
      </c>
    </row>
    <row r="55" spans="2:23" x14ac:dyDescent="0.35">
      <c r="J55" s="153"/>
      <c r="M55" s="153"/>
      <c r="N55" s="153"/>
      <c r="R55" s="1145" t="s">
        <v>110</v>
      </c>
    </row>
    <row r="56" spans="2:23" x14ac:dyDescent="0.35">
      <c r="B56" s="1947" t="s">
        <v>1</v>
      </c>
      <c r="C56" s="1947" t="s">
        <v>111</v>
      </c>
      <c r="D56" s="2052" t="s">
        <v>196</v>
      </c>
      <c r="E56" s="2052"/>
      <c r="F56" s="2052"/>
      <c r="G56" s="2052"/>
      <c r="H56" s="2052"/>
      <c r="I56" s="1947" t="s">
        <v>197</v>
      </c>
      <c r="J56" s="1947"/>
      <c r="K56" s="1947"/>
      <c r="L56" s="1947"/>
      <c r="M56" s="1947"/>
      <c r="N56" s="1947" t="s">
        <v>198</v>
      </c>
      <c r="O56" s="1947"/>
      <c r="P56" s="1947"/>
      <c r="Q56" s="1947"/>
      <c r="R56" s="1947"/>
      <c r="S56" s="1947" t="s">
        <v>199</v>
      </c>
      <c r="T56" s="1947"/>
      <c r="U56" s="1947"/>
      <c r="V56" s="1947"/>
      <c r="W56" s="1947"/>
    </row>
    <row r="57" spans="2:23" x14ac:dyDescent="0.35">
      <c r="B57" s="1947"/>
      <c r="C57" s="1947"/>
      <c r="D57" s="1947" t="s">
        <v>186</v>
      </c>
      <c r="E57" s="2051"/>
      <c r="F57" s="2051"/>
      <c r="G57" s="2051"/>
      <c r="H57" s="2051"/>
      <c r="I57" s="1947" t="s">
        <v>186</v>
      </c>
      <c r="J57" s="2051"/>
      <c r="K57" s="2051"/>
      <c r="L57" s="2051"/>
      <c r="M57" s="2051"/>
      <c r="N57" s="1947" t="s">
        <v>186</v>
      </c>
      <c r="O57" s="2051"/>
      <c r="P57" s="2051"/>
      <c r="Q57" s="2051"/>
      <c r="R57" s="2051"/>
      <c r="S57" s="1947" t="s">
        <v>186</v>
      </c>
      <c r="T57" s="2051"/>
      <c r="U57" s="2051"/>
      <c r="V57" s="2051"/>
      <c r="W57" s="2051"/>
    </row>
    <row r="58" spans="2:23" ht="54" x14ac:dyDescent="0.35">
      <c r="B58" s="1947"/>
      <c r="C58" s="1947"/>
      <c r="D58" s="250" t="s">
        <v>537</v>
      </c>
      <c r="E58" s="250" t="s">
        <v>524</v>
      </c>
      <c r="F58" s="251" t="s">
        <v>538</v>
      </c>
      <c r="G58" s="106" t="s">
        <v>543</v>
      </c>
      <c r="H58" s="250" t="s">
        <v>539</v>
      </c>
      <c r="I58" s="250" t="s">
        <v>537</v>
      </c>
      <c r="J58" s="250" t="s">
        <v>524</v>
      </c>
      <c r="K58" s="251" t="s">
        <v>538</v>
      </c>
      <c r="L58" s="106" t="s">
        <v>543</v>
      </c>
      <c r="M58" s="250" t="s">
        <v>539</v>
      </c>
      <c r="N58" s="250" t="s">
        <v>537</v>
      </c>
      <c r="O58" s="250" t="s">
        <v>524</v>
      </c>
      <c r="P58" s="251" t="s">
        <v>538</v>
      </c>
      <c r="Q58" s="106" t="s">
        <v>543</v>
      </c>
      <c r="R58" s="250" t="s">
        <v>539</v>
      </c>
      <c r="S58" s="250" t="s">
        <v>537</v>
      </c>
      <c r="T58" s="250" t="s">
        <v>524</v>
      </c>
      <c r="U58" s="251" t="s">
        <v>538</v>
      </c>
      <c r="V58" s="106" t="s">
        <v>543</v>
      </c>
      <c r="W58" s="250" t="s">
        <v>539</v>
      </c>
    </row>
    <row r="59" spans="2:23" x14ac:dyDescent="0.35">
      <c r="B59" s="217"/>
      <c r="C59" s="217"/>
      <c r="D59" s="217" t="s">
        <v>128</v>
      </c>
      <c r="E59" s="217" t="s">
        <v>129</v>
      </c>
      <c r="F59" s="217" t="s">
        <v>527</v>
      </c>
      <c r="G59" s="217" t="s">
        <v>130</v>
      </c>
      <c r="H59" s="217" t="s">
        <v>544</v>
      </c>
      <c r="I59" s="217" t="s">
        <v>331</v>
      </c>
      <c r="J59" s="217" t="s">
        <v>132</v>
      </c>
      <c r="K59" s="217" t="s">
        <v>133</v>
      </c>
      <c r="L59" s="217" t="s">
        <v>332</v>
      </c>
      <c r="M59" s="217" t="s">
        <v>545</v>
      </c>
      <c r="N59" s="217" t="s">
        <v>528</v>
      </c>
      <c r="O59" s="217" t="s">
        <v>529</v>
      </c>
      <c r="P59" s="217" t="s">
        <v>334</v>
      </c>
      <c r="Q59" s="217" t="s">
        <v>530</v>
      </c>
      <c r="R59" s="217" t="s">
        <v>546</v>
      </c>
      <c r="S59" s="217" t="s">
        <v>532</v>
      </c>
      <c r="T59" s="217" t="s">
        <v>533</v>
      </c>
      <c r="U59" s="217" t="s">
        <v>534</v>
      </c>
      <c r="V59" s="217" t="s">
        <v>535</v>
      </c>
      <c r="W59" s="217" t="s">
        <v>547</v>
      </c>
    </row>
    <row r="60" spans="2:23" x14ac:dyDescent="0.35">
      <c r="B60" s="1133">
        <v>1</v>
      </c>
      <c r="C60" s="1134" t="s">
        <v>1410</v>
      </c>
      <c r="D60" s="1148">
        <f>+'F5.1 (E) Exisiting'!D60+'F5.2 (E) Existing'!D60</f>
        <v>0</v>
      </c>
      <c r="E60" s="760">
        <f>+'F5.1 (E) Exisiting'!E60+'F5.2 (E) Existing'!E60+'F5.1 (N) New'!E60+'F5.2 (N) New'!E60</f>
        <v>4.9999999999999998E-8</v>
      </c>
      <c r="F60" s="1148">
        <f>+'F5.1 (E) Exisiting'!F60+'F5.2 (E) Existing'!F60+'F5.1 (N) New'!F60+'F5.2 (N) New'!F60</f>
        <v>0</v>
      </c>
      <c r="G60" s="1148">
        <f>+'F5.1 (E) Exisiting'!G60+'F5.2 (E) Existing'!G60+'F5.1 (N) New'!G60+'F5.2 (N) New'!G60</f>
        <v>0</v>
      </c>
      <c r="H60" s="760">
        <f>+D60+E60-F60-G60</f>
        <v>4.9999999999999998E-8</v>
      </c>
      <c r="I60" s="1146">
        <f>+H60</f>
        <v>4.9999999999999998E-8</v>
      </c>
      <c r="J60" s="1148">
        <f>+'F5.1 (E) Exisiting'!J60+'F5.2 (E) Existing'!J60+'F5.1 (N) New'!J60+'F5.2 (N) New'!J60</f>
        <v>9.9999999999999995E-8</v>
      </c>
      <c r="K60" s="1148">
        <f>+'F5.1 (E) Exisiting'!K60+'F5.2 (E) Existing'!K60+'F5.1 (N) New'!K60+'F5.2 (N) New'!K60</f>
        <v>0</v>
      </c>
      <c r="L60" s="1148">
        <f>+'F5.1 (E) Exisiting'!L60+'F5.2 (E) Existing'!L60+'F5.1 (N) New'!L60+'F5.2 (N) New'!L60</f>
        <v>0</v>
      </c>
      <c r="M60" s="760">
        <f>+I60+J60-K60-L60</f>
        <v>1.4999999999999999E-7</v>
      </c>
      <c r="N60" s="1146">
        <f>+M60</f>
        <v>1.4999999999999999E-7</v>
      </c>
      <c r="O60" s="1148">
        <f>+'F5.1 (E) Exisiting'!O60+'F5.2 (E) Existing'!O60+'F5.1 (N) New'!O60+'F5.2 (N) New'!O60</f>
        <v>9.9999999999999995E-8</v>
      </c>
      <c r="P60" s="1148">
        <f>+'F5.1 (E) Exisiting'!P60+'F5.2 (E) Existing'!P60+'F5.1 (N) New'!P60+'F5.2 (N) New'!P60</f>
        <v>0</v>
      </c>
      <c r="Q60" s="1148">
        <f>+'F5.1 (E) Exisiting'!Q60+'F5.2 (E) Existing'!Q60+'F5.1 (N) New'!Q60+'F5.2 (N) New'!Q60</f>
        <v>0</v>
      </c>
      <c r="R60" s="760">
        <f>+N60+O60-P60-Q60</f>
        <v>2.4999999999999999E-7</v>
      </c>
      <c r="S60" s="1146">
        <f>+R60</f>
        <v>2.4999999999999999E-7</v>
      </c>
      <c r="T60" s="1148">
        <f>+'F5.1 (E) Exisiting'!T60+'F5.2 (E) Existing'!T60+'F5.1 (N) New'!T60+'F5.2 (N) New'!T60</f>
        <v>9.9999999999999995E-8</v>
      </c>
      <c r="U60" s="1148">
        <f>+'F5.1 (E) Exisiting'!U60+'F5.2 (E) Existing'!U60+'F5.1 (N) New'!U60+'F5.2 (N) New'!U60</f>
        <v>0</v>
      </c>
      <c r="V60" s="1148">
        <f>+'F5.1 (E) Exisiting'!V60+'F5.2 (E) Existing'!V60+'F5.1 (N) New'!V60+'F5.2 (N) New'!V60</f>
        <v>0</v>
      </c>
      <c r="W60" s="760">
        <f>+S60+T60-U60-V60</f>
        <v>3.4999999999999998E-7</v>
      </c>
    </row>
    <row r="61" spans="2:23" x14ac:dyDescent="0.35">
      <c r="B61" s="1133">
        <v>2</v>
      </c>
      <c r="C61" s="1134" t="s">
        <v>1409</v>
      </c>
      <c r="D61" s="1148">
        <f>+'F5.1 (E) Exisiting'!D61+'F5.2 (E) Existing'!D61</f>
        <v>0</v>
      </c>
      <c r="E61" s="1148">
        <f>+'F5.1 (E) Exisiting'!E61+'F5.2 (E) Existing'!E61+'F5.1 (N) New'!E61+'F5.2 (N) New'!E61</f>
        <v>0.17330699999999999</v>
      </c>
      <c r="F61" s="1148">
        <f>+'F5.1 (E) Exisiting'!F61+'F5.2 (E) Existing'!F61+'F5.1 (N) New'!F61+'F5.2 (N) New'!F61</f>
        <v>0</v>
      </c>
      <c r="G61" s="1148">
        <f>+'F5.1 (E) Exisiting'!G61+'F5.2 (E) Existing'!G61+'F5.1 (N) New'!G61+'F5.2 (N) New'!G61</f>
        <v>0</v>
      </c>
      <c r="H61" s="760">
        <f t="shared" ref="H61:H67" si="26">+D61+E61-F61-G61</f>
        <v>0.17330699999999999</v>
      </c>
      <c r="I61" s="1146">
        <f t="shared" ref="I61:I67" si="27">+H61</f>
        <v>0.17330699999999999</v>
      </c>
      <c r="J61" s="1148">
        <f>+'F5.1 (E) Exisiting'!J61+'F5.2 (E) Existing'!J61+'F5.1 (N) New'!J61+'F5.2 (N) New'!J61</f>
        <v>0.3803962569581531</v>
      </c>
      <c r="K61" s="1148">
        <f>+'F5.1 (E) Exisiting'!K61+'F5.2 (E) Existing'!K61+'F5.1 (N) New'!K61+'F5.2 (N) New'!K61</f>
        <v>0</v>
      </c>
      <c r="L61" s="1148">
        <f>+'F5.1 (E) Exisiting'!L61+'F5.2 (E) Existing'!L61+'F5.1 (N) New'!L61+'F5.2 (N) New'!L61</f>
        <v>0</v>
      </c>
      <c r="M61" s="760">
        <f t="shared" ref="M61:M67" si="28">+I61+J61-K61-L61</f>
        <v>0.55370325695815303</v>
      </c>
      <c r="N61" s="1146">
        <f t="shared" ref="N61:N67" si="29">+M61</f>
        <v>0.55370325695815303</v>
      </c>
      <c r="O61" s="1148">
        <f>+'F5.1 (E) Exisiting'!O61+'F5.2 (E) Existing'!O61+'F5.1 (N) New'!O61+'F5.2 (N) New'!O61</f>
        <v>0.31473622251056349</v>
      </c>
      <c r="P61" s="1148">
        <f>+'F5.1 (E) Exisiting'!P61+'F5.2 (E) Existing'!P61+'F5.1 (N) New'!P61+'F5.2 (N) New'!P61</f>
        <v>0</v>
      </c>
      <c r="Q61" s="1148">
        <f>+'F5.1 (E) Exisiting'!Q61+'F5.2 (E) Existing'!Q61+'F5.1 (N) New'!Q61+'F5.2 (N) New'!Q61</f>
        <v>0</v>
      </c>
      <c r="R61" s="760">
        <f t="shared" ref="R61:R67" si="30">+N61+O61-P61-Q61</f>
        <v>0.86843947946871647</v>
      </c>
      <c r="S61" s="1146">
        <f t="shared" ref="S61:S67" si="31">+R61</f>
        <v>0.86843947946871647</v>
      </c>
      <c r="T61" s="1148">
        <f>+'F5.1 (E) Exisiting'!T61+'F5.2 (E) Existing'!T61+'F5.1 (N) New'!T61+'F5.2 (N) New'!T61</f>
        <v>0.3475662397343583</v>
      </c>
      <c r="U61" s="1148">
        <f>+'F5.1 (E) Exisiting'!U61+'F5.2 (E) Existing'!U61+'F5.1 (N) New'!U61+'F5.2 (N) New'!U61</f>
        <v>0</v>
      </c>
      <c r="V61" s="1148">
        <f>+'F5.1 (E) Exisiting'!V61+'F5.2 (E) Existing'!V61+'F5.1 (N) New'!V61+'F5.2 (N) New'!V61</f>
        <v>0</v>
      </c>
      <c r="W61" s="760">
        <f t="shared" ref="W61:W67" si="32">+S61+T61-U61-V61</f>
        <v>1.2160057192030749</v>
      </c>
    </row>
    <row r="62" spans="2:23" x14ac:dyDescent="0.35">
      <c r="B62" s="1133">
        <v>3</v>
      </c>
      <c r="C62" s="1134" t="s">
        <v>440</v>
      </c>
      <c r="D62" s="1148">
        <f>+'F5.1 (E) Exisiting'!D62+'F5.2 (E) Existing'!D62</f>
        <v>0</v>
      </c>
      <c r="E62" s="1148">
        <f>+'F5.1 (E) Exisiting'!E62+'F5.2 (E) Existing'!E62+'F5.1 (N) New'!E62+'F5.2 (N) New'!E62</f>
        <v>1.0487950000000001</v>
      </c>
      <c r="F62" s="1148">
        <f>+'F5.1 (E) Exisiting'!F62+'F5.2 (E) Existing'!F62+'F5.1 (N) New'!F62+'F5.2 (N) New'!F62</f>
        <v>0</v>
      </c>
      <c r="G62" s="1148">
        <f>+'F5.1 (E) Exisiting'!G62+'F5.2 (E) Existing'!G62+'F5.1 (N) New'!G62+'F5.2 (N) New'!G62</f>
        <v>0</v>
      </c>
      <c r="H62" s="760">
        <f t="shared" si="26"/>
        <v>1.0487950000000001</v>
      </c>
      <c r="I62" s="1146">
        <f t="shared" si="27"/>
        <v>1.0487950000000001</v>
      </c>
      <c r="J62" s="1148">
        <f>+'F5.1 (E) Exisiting'!J62+'F5.2 (E) Existing'!J62+'F5.1 (N) New'!J62+'F5.2 (N) New'!J62</f>
        <v>2.3827464841082104</v>
      </c>
      <c r="K62" s="1148">
        <f>+'F5.1 (E) Exisiting'!K62+'F5.2 (E) Existing'!K62+'F5.1 (N) New'!K62+'F5.2 (N) New'!K62</f>
        <v>0</v>
      </c>
      <c r="L62" s="1148">
        <f>+'F5.1 (E) Exisiting'!L62+'F5.2 (E) Existing'!L62+'F5.1 (N) New'!L62+'F5.2 (N) New'!L62</f>
        <v>0</v>
      </c>
      <c r="M62" s="760">
        <f t="shared" si="28"/>
        <v>3.4315414841082106</v>
      </c>
      <c r="N62" s="1146">
        <f t="shared" si="29"/>
        <v>3.4315414841082106</v>
      </c>
      <c r="O62" s="1148">
        <f>+'F5.1 (E) Exisiting'!O62+'F5.2 (E) Existing'!O62+'F5.1 (N) New'!O62+'F5.2 (N) New'!O62</f>
        <v>2.4431427186974468</v>
      </c>
      <c r="P62" s="1148">
        <f>+'F5.1 (E) Exisiting'!P62+'F5.2 (E) Existing'!P62+'F5.1 (N) New'!P62+'F5.2 (N) New'!P62</f>
        <v>0.31854139898632922</v>
      </c>
      <c r="Q62" s="1148">
        <f>+'F5.1 (E) Exisiting'!Q62+'F5.2 (E) Existing'!Q62+'F5.1 (N) New'!Q62+'F5.2 (N) New'!Q62</f>
        <v>0</v>
      </c>
      <c r="R62" s="760">
        <f t="shared" si="30"/>
        <v>5.5561428038193279</v>
      </c>
      <c r="S62" s="1146">
        <f t="shared" si="31"/>
        <v>5.5561428038193279</v>
      </c>
      <c r="T62" s="1148">
        <f>+'F5.1 (E) Exisiting'!T62+'F5.2 (E) Existing'!T62+'F5.1 (N) New'!T62+'F5.2 (N) New'!T62</f>
        <v>2.763917151042421</v>
      </c>
      <c r="U62" s="1148">
        <f>+'F5.1 (E) Exisiting'!U62+'F5.2 (E) Existing'!U62+'F5.1 (N) New'!U62+'F5.2 (N) New'!U62</f>
        <v>0</v>
      </c>
      <c r="V62" s="1148">
        <f>+'F5.1 (E) Exisiting'!V62+'F5.2 (E) Existing'!V62+'F5.1 (N) New'!V62+'F5.2 (N) New'!V62</f>
        <v>0</v>
      </c>
      <c r="W62" s="760">
        <f t="shared" si="32"/>
        <v>8.3200599548617493</v>
      </c>
    </row>
    <row r="63" spans="2:23" x14ac:dyDescent="0.35">
      <c r="B63" s="1133">
        <v>4</v>
      </c>
      <c r="C63" s="1134" t="s">
        <v>915</v>
      </c>
      <c r="D63" s="1148">
        <f>+'F5.1 (E) Exisiting'!D63+'F5.2 (E) Existing'!D63</f>
        <v>0</v>
      </c>
      <c r="E63" s="1148">
        <f>+'F5.1 (E) Exisiting'!E63+'F5.2 (E) Existing'!E63+'F5.1 (N) New'!E63+'F5.2 (N) New'!E63</f>
        <v>4.4155000000000002E-3</v>
      </c>
      <c r="F63" s="1148">
        <f>+'F5.1 (E) Exisiting'!F63+'F5.2 (E) Existing'!F63+'F5.1 (N) New'!F63+'F5.2 (N) New'!F63</f>
        <v>0</v>
      </c>
      <c r="G63" s="1148">
        <f>+'F5.1 (E) Exisiting'!G63+'F5.2 (E) Existing'!G63+'F5.1 (N) New'!G63+'F5.2 (N) New'!G63</f>
        <v>0</v>
      </c>
      <c r="H63" s="760">
        <f t="shared" si="26"/>
        <v>4.4155000000000002E-3</v>
      </c>
      <c r="I63" s="1146">
        <f t="shared" si="27"/>
        <v>4.4155000000000002E-3</v>
      </c>
      <c r="J63" s="1148">
        <f>+'F5.1 (E) Exisiting'!J63+'F5.2 (E) Existing'!J63+'F5.1 (N) New'!J63+'F5.2 (N) New'!J63</f>
        <v>3.102594220344888E-2</v>
      </c>
      <c r="K63" s="1148">
        <f>+'F5.1 (E) Exisiting'!K63+'F5.2 (E) Existing'!K63+'F5.1 (N) New'!K63+'F5.2 (N) New'!K63</f>
        <v>0</v>
      </c>
      <c r="L63" s="1148">
        <f>+'F5.1 (E) Exisiting'!L63+'F5.2 (E) Existing'!L63+'F5.1 (N) New'!L63+'F5.2 (N) New'!L63</f>
        <v>0</v>
      </c>
      <c r="M63" s="760">
        <f t="shared" si="28"/>
        <v>3.5441442203448879E-2</v>
      </c>
      <c r="N63" s="1146">
        <f t="shared" si="29"/>
        <v>3.5441442203448879E-2</v>
      </c>
      <c r="O63" s="1148">
        <f>+'F5.1 (E) Exisiting'!O63+'F5.2 (E) Existing'!O63+'F5.1 (N) New'!O63+'F5.2 (N) New'!O63</f>
        <v>0.14002539125307428</v>
      </c>
      <c r="P63" s="1148">
        <f>+'F5.1 (E) Exisiting'!P63+'F5.2 (E) Existing'!P63+'F5.1 (N) New'!P63+'F5.2 (N) New'!P63</f>
        <v>0</v>
      </c>
      <c r="Q63" s="1148">
        <f>+'F5.1 (E) Exisiting'!Q63+'F5.2 (E) Existing'!Q63+'F5.1 (N) New'!Q63+'F5.2 (N) New'!Q63</f>
        <v>0</v>
      </c>
      <c r="R63" s="760">
        <f t="shared" si="30"/>
        <v>0.17546683345652317</v>
      </c>
      <c r="S63" s="1146">
        <f t="shared" si="31"/>
        <v>0.17546683345652317</v>
      </c>
      <c r="T63" s="1148">
        <f>+'F5.1 (E) Exisiting'!T63+'F5.2 (E) Existing'!T63+'F5.1 (N) New'!T63+'F5.2 (N) New'!T63</f>
        <v>0.15169225071137904</v>
      </c>
      <c r="U63" s="1148">
        <f>+'F5.1 (E) Exisiting'!U63+'F5.2 (E) Existing'!U63+'F5.1 (N) New'!U63+'F5.2 (N) New'!U63</f>
        <v>0</v>
      </c>
      <c r="V63" s="1148">
        <f>+'F5.1 (E) Exisiting'!V63+'F5.2 (E) Existing'!V63+'F5.1 (N) New'!V63+'F5.2 (N) New'!V63</f>
        <v>0</v>
      </c>
      <c r="W63" s="760">
        <f t="shared" si="32"/>
        <v>0.32715908416790218</v>
      </c>
    </row>
    <row r="64" spans="2:23" x14ac:dyDescent="0.35">
      <c r="B64" s="1133">
        <v>5</v>
      </c>
      <c r="C64" s="1134" t="s">
        <v>447</v>
      </c>
      <c r="D64" s="1148">
        <f>+'F5.1 (E) Exisiting'!D64+'F5.2 (E) Existing'!D64</f>
        <v>0</v>
      </c>
      <c r="E64" s="1148">
        <f>+'F5.1 (E) Exisiting'!E64+'F5.2 (E) Existing'!E64+'F5.1 (N) New'!E64+'F5.2 (N) New'!E64</f>
        <v>2.9640999999999999E-3</v>
      </c>
      <c r="F64" s="1148">
        <f>+'F5.1 (E) Exisiting'!F64+'F5.2 (E) Existing'!F64+'F5.1 (N) New'!F64+'F5.2 (N) New'!F64</f>
        <v>0</v>
      </c>
      <c r="G64" s="1148">
        <f>+'F5.1 (E) Exisiting'!G64+'F5.2 (E) Existing'!G64+'F5.1 (N) New'!G64+'F5.2 (N) New'!G64</f>
        <v>0</v>
      </c>
      <c r="H64" s="760">
        <f t="shared" si="26"/>
        <v>2.9640999999999999E-3</v>
      </c>
      <c r="I64" s="1146">
        <f t="shared" si="27"/>
        <v>2.9640999999999999E-3</v>
      </c>
      <c r="J64" s="1148">
        <f>+'F5.1 (E) Exisiting'!J64+'F5.2 (E) Existing'!J64+'F5.1 (N) New'!J64+'F5.2 (N) New'!J64</f>
        <v>5.8186510000000002E-3</v>
      </c>
      <c r="K64" s="1148">
        <f>+'F5.1 (E) Exisiting'!K64+'F5.2 (E) Existing'!K64+'F5.1 (N) New'!K64+'F5.2 (N) New'!K64</f>
        <v>0</v>
      </c>
      <c r="L64" s="1148">
        <f>+'F5.1 (E) Exisiting'!L64+'F5.2 (E) Existing'!L64+'F5.1 (N) New'!L64+'F5.2 (N) New'!L64</f>
        <v>0</v>
      </c>
      <c r="M64" s="760">
        <f t="shared" si="28"/>
        <v>8.7827510000000001E-3</v>
      </c>
      <c r="N64" s="1146">
        <f t="shared" si="29"/>
        <v>8.7827510000000001E-3</v>
      </c>
      <c r="O64" s="1148">
        <f>+'F5.1 (E) Exisiting'!O64+'F5.2 (E) Existing'!O64+'F5.1 (N) New'!O64+'F5.2 (N) New'!O64</f>
        <v>5.8186510000000002E-3</v>
      </c>
      <c r="P64" s="1148">
        <f>+'F5.1 (E) Exisiting'!P64+'F5.2 (E) Existing'!P64+'F5.1 (N) New'!P64+'F5.2 (N) New'!P64</f>
        <v>0</v>
      </c>
      <c r="Q64" s="1148">
        <f>+'F5.1 (E) Exisiting'!Q64+'F5.2 (E) Existing'!Q64+'F5.1 (N) New'!Q64+'F5.2 (N) New'!Q64</f>
        <v>0</v>
      </c>
      <c r="R64" s="760">
        <f t="shared" si="30"/>
        <v>1.4601401999999999E-2</v>
      </c>
      <c r="S64" s="1146">
        <f t="shared" si="31"/>
        <v>1.4601401999999999E-2</v>
      </c>
      <c r="T64" s="1148">
        <f>+'F5.1 (E) Exisiting'!T64+'F5.2 (E) Existing'!T64+'F5.1 (N) New'!T64+'F5.2 (N) New'!T64</f>
        <v>5.8186510000000002E-3</v>
      </c>
      <c r="U64" s="1148">
        <f>+'F5.1 (E) Exisiting'!U64+'F5.2 (E) Existing'!U64+'F5.1 (N) New'!U64+'F5.2 (N) New'!U64</f>
        <v>0</v>
      </c>
      <c r="V64" s="1148">
        <f>+'F5.1 (E) Exisiting'!V64+'F5.2 (E) Existing'!V64+'F5.1 (N) New'!V64+'F5.2 (N) New'!V64</f>
        <v>0</v>
      </c>
      <c r="W64" s="760">
        <f t="shared" si="32"/>
        <v>2.0420053000000001E-2</v>
      </c>
    </row>
    <row r="65" spans="2:34" x14ac:dyDescent="0.35">
      <c r="B65" s="1133">
        <v>6</v>
      </c>
      <c r="C65" s="1134" t="s">
        <v>879</v>
      </c>
      <c r="D65" s="1148">
        <f>+'F5.1 (E) Exisiting'!D65+'F5.2 (E) Existing'!D65</f>
        <v>0</v>
      </c>
      <c r="E65" s="1148">
        <f>+'F5.1 (E) Exisiting'!E65+'F5.2 (E) Existing'!E65+'F5.1 (N) New'!E65+'F5.2 (N) New'!E65</f>
        <v>3.277E-4</v>
      </c>
      <c r="F65" s="1148">
        <f>+'F5.1 (E) Exisiting'!F65+'F5.2 (E) Existing'!F65+'F5.1 (N) New'!F65+'F5.2 (N) New'!F65</f>
        <v>0</v>
      </c>
      <c r="G65" s="1148">
        <f>+'F5.1 (E) Exisiting'!G65+'F5.2 (E) Existing'!G65+'F5.1 (N) New'!G65+'F5.2 (N) New'!G65</f>
        <v>0</v>
      </c>
      <c r="H65" s="760">
        <f t="shared" si="26"/>
        <v>3.277E-4</v>
      </c>
      <c r="I65" s="1146">
        <f t="shared" si="27"/>
        <v>3.277E-4</v>
      </c>
      <c r="J65" s="1148">
        <f>+'F5.1 (E) Exisiting'!J65+'F5.2 (E) Existing'!J65+'F5.1 (N) New'!J65+'F5.2 (N) New'!J65</f>
        <v>5.6412900000000002E-4</v>
      </c>
      <c r="K65" s="1148">
        <f>+'F5.1 (E) Exisiting'!K65+'F5.2 (E) Existing'!K65+'F5.1 (N) New'!K65+'F5.2 (N) New'!K65</f>
        <v>0</v>
      </c>
      <c r="L65" s="1148">
        <f>+'F5.1 (E) Exisiting'!L65+'F5.2 (E) Existing'!L65+'F5.1 (N) New'!L65+'F5.2 (N) New'!L65</f>
        <v>0</v>
      </c>
      <c r="M65" s="760">
        <f t="shared" si="28"/>
        <v>8.9182900000000002E-4</v>
      </c>
      <c r="N65" s="1146">
        <f t="shared" si="29"/>
        <v>8.9182900000000002E-4</v>
      </c>
      <c r="O65" s="1148">
        <f>+'F5.1 (E) Exisiting'!O65+'F5.2 (E) Existing'!O65+'F5.1 (N) New'!O65+'F5.2 (N) New'!O65</f>
        <v>5.6412900000000002E-4</v>
      </c>
      <c r="P65" s="1148">
        <f>+'F5.1 (E) Exisiting'!P65+'F5.2 (E) Existing'!P65+'F5.1 (N) New'!P65+'F5.2 (N) New'!P65</f>
        <v>0</v>
      </c>
      <c r="Q65" s="1148">
        <f>+'F5.1 (E) Exisiting'!Q65+'F5.2 (E) Existing'!Q65+'F5.1 (N) New'!Q65+'F5.2 (N) New'!Q65</f>
        <v>0</v>
      </c>
      <c r="R65" s="760">
        <f t="shared" si="30"/>
        <v>1.455958E-3</v>
      </c>
      <c r="S65" s="1146">
        <f t="shared" si="31"/>
        <v>1.455958E-3</v>
      </c>
      <c r="T65" s="1148">
        <f>+'F5.1 (E) Exisiting'!T65+'F5.2 (E) Existing'!T65+'F5.1 (N) New'!T65+'F5.2 (N) New'!T65</f>
        <v>5.6412900000000002E-4</v>
      </c>
      <c r="U65" s="1148">
        <f>+'F5.1 (E) Exisiting'!U65+'F5.2 (E) Existing'!U65+'F5.1 (N) New'!U65+'F5.2 (N) New'!U65</f>
        <v>0</v>
      </c>
      <c r="V65" s="1148">
        <f>+'F5.1 (E) Exisiting'!V65+'F5.2 (E) Existing'!V65+'F5.1 (N) New'!V65+'F5.2 (N) New'!V65</f>
        <v>0</v>
      </c>
      <c r="W65" s="760">
        <f t="shared" si="32"/>
        <v>2.0200870000000003E-3</v>
      </c>
    </row>
    <row r="66" spans="2:34" x14ac:dyDescent="0.4">
      <c r="B66" s="1133">
        <v>7</v>
      </c>
      <c r="C66" s="1135" t="s">
        <v>1269</v>
      </c>
      <c r="D66" s="1148">
        <f>+'F5.1 (E) Exisiting'!D66+'F5.2 (E) Existing'!D66</f>
        <v>0</v>
      </c>
      <c r="E66" s="1148">
        <f>+'F5.1 (E) Exisiting'!E66+'F5.2 (E) Existing'!E66+'F5.1 (N) New'!E66+'F5.2 (N) New'!E66</f>
        <v>3.6619000000000001E-3</v>
      </c>
      <c r="F66" s="1148">
        <f>+'F5.1 (E) Exisiting'!F66+'F5.2 (E) Existing'!F66+'F5.1 (N) New'!F66+'F5.2 (N) New'!F66</f>
        <v>0</v>
      </c>
      <c r="G66" s="1148">
        <f>+'F5.1 (E) Exisiting'!G66+'F5.2 (E) Existing'!G66+'F5.1 (N) New'!G66+'F5.2 (N) New'!G66</f>
        <v>0</v>
      </c>
      <c r="H66" s="760">
        <f t="shared" si="26"/>
        <v>3.6619000000000001E-3</v>
      </c>
      <c r="I66" s="1146">
        <f t="shared" si="27"/>
        <v>3.6619000000000001E-3</v>
      </c>
      <c r="J66" s="1148">
        <f>+'F5.1 (E) Exisiting'!J66+'F5.2 (E) Existing'!J66+'F5.1 (N) New'!J66+'F5.2 (N) New'!J66</f>
        <v>5.076746E-3</v>
      </c>
      <c r="K66" s="1148">
        <f>+'F5.1 (E) Exisiting'!K66+'F5.2 (E) Existing'!K66+'F5.1 (N) New'!K66+'F5.2 (N) New'!K66</f>
        <v>0</v>
      </c>
      <c r="L66" s="1148">
        <f>+'F5.1 (E) Exisiting'!L66+'F5.2 (E) Existing'!L66+'F5.1 (N) New'!L66+'F5.2 (N) New'!L66</f>
        <v>0</v>
      </c>
      <c r="M66" s="760">
        <f t="shared" si="28"/>
        <v>8.7386459999999992E-3</v>
      </c>
      <c r="N66" s="1146">
        <f t="shared" si="29"/>
        <v>8.7386459999999992E-3</v>
      </c>
      <c r="O66" s="1148">
        <f>+'F5.1 (E) Exisiting'!O66+'F5.2 (E) Existing'!O66+'F5.1 (N) New'!O66+'F5.2 (N) New'!O66</f>
        <v>7.4249019999999997E-3</v>
      </c>
      <c r="P66" s="1148">
        <f>+'F5.1 (E) Exisiting'!P66+'F5.2 (E) Existing'!P66+'F5.1 (N) New'!P66+'F5.2 (N) New'!P66</f>
        <v>0</v>
      </c>
      <c r="Q66" s="1148">
        <f>+'F5.1 (E) Exisiting'!Q66+'F5.2 (E) Existing'!Q66+'F5.1 (N) New'!Q66+'F5.2 (N) New'!Q66</f>
        <v>0</v>
      </c>
      <c r="R66" s="760">
        <f t="shared" si="30"/>
        <v>1.6163548E-2</v>
      </c>
      <c r="S66" s="1146">
        <f t="shared" si="31"/>
        <v>1.6163548E-2</v>
      </c>
      <c r="T66" s="1148">
        <f>+'F5.1 (E) Exisiting'!T66+'F5.2 (E) Existing'!T66+'F5.1 (N) New'!T66+'F5.2 (N) New'!T66</f>
        <v>1.079258E-2</v>
      </c>
      <c r="U66" s="1148">
        <f>+'F5.1 (E) Exisiting'!U66+'F5.2 (E) Existing'!U66+'F5.1 (N) New'!U66+'F5.2 (N) New'!U66</f>
        <v>0</v>
      </c>
      <c r="V66" s="1148">
        <f>+'F5.1 (E) Exisiting'!V66+'F5.2 (E) Existing'!V66+'F5.1 (N) New'!V66+'F5.2 (N) New'!V66</f>
        <v>0</v>
      </c>
      <c r="W66" s="760">
        <f t="shared" si="32"/>
        <v>2.6956127999999999E-2</v>
      </c>
    </row>
    <row r="67" spans="2:34" x14ac:dyDescent="0.4">
      <c r="B67" s="1133">
        <v>8</v>
      </c>
      <c r="C67" s="1135" t="s">
        <v>1270</v>
      </c>
      <c r="D67" s="1148">
        <f>+'F5.1 (E) Exisiting'!D67+'F5.2 (E) Existing'!D67</f>
        <v>0</v>
      </c>
      <c r="E67" s="1148">
        <f>+'F5.1 (E) Exisiting'!E67+'F5.2 (E) Existing'!E67+'F5.1 (N) New'!E67+'F5.2 (N) New'!E67</f>
        <v>2.9656600000000002E-2</v>
      </c>
      <c r="F67" s="1148">
        <f>+'F5.1 (E) Exisiting'!F67+'F5.2 (E) Existing'!F67+'F5.1 (N) New'!F67+'F5.2 (N) New'!F67</f>
        <v>0</v>
      </c>
      <c r="G67" s="1148">
        <f>+'F5.1 (E) Exisiting'!G67+'F5.2 (E) Existing'!G67+'F5.1 (N) New'!G67+'F5.2 (N) New'!G67</f>
        <v>0</v>
      </c>
      <c r="H67" s="760">
        <f t="shared" si="26"/>
        <v>2.9656600000000002E-2</v>
      </c>
      <c r="I67" s="1146">
        <f t="shared" si="27"/>
        <v>2.9656600000000002E-2</v>
      </c>
      <c r="J67" s="1148">
        <f>+'F5.1 (E) Exisiting'!J67+'F5.2 (E) Existing'!J67+'F5.1 (N) New'!J67+'F5.2 (N) New'!J67</f>
        <v>5.7788909999999999E-2</v>
      </c>
      <c r="K67" s="1148">
        <f>+'F5.1 (E) Exisiting'!K67+'F5.2 (E) Existing'!K67+'F5.1 (N) New'!K67+'F5.2 (N) New'!K67</f>
        <v>0</v>
      </c>
      <c r="L67" s="1148">
        <f>+'F5.1 (E) Exisiting'!L67+'F5.2 (E) Existing'!L67+'F5.1 (N) New'!L67+'F5.2 (N) New'!L67</f>
        <v>0</v>
      </c>
      <c r="M67" s="760">
        <f t="shared" si="28"/>
        <v>8.7445510000000004E-2</v>
      </c>
      <c r="N67" s="1146">
        <f t="shared" si="29"/>
        <v>8.7445510000000004E-2</v>
      </c>
      <c r="O67" s="1148">
        <f>+'F5.1 (E) Exisiting'!O67+'F5.2 (E) Existing'!O67+'F5.1 (N) New'!O67+'F5.2 (N) New'!O67</f>
        <v>5.7788909999999999E-2</v>
      </c>
      <c r="P67" s="1148">
        <f>+'F5.1 (E) Exisiting'!P67+'F5.2 (E) Existing'!P67+'F5.1 (N) New'!P67+'F5.2 (N) New'!P67</f>
        <v>0</v>
      </c>
      <c r="Q67" s="1148">
        <f>+'F5.1 (E) Exisiting'!Q67+'F5.2 (E) Existing'!Q67+'F5.1 (N) New'!Q67+'F5.2 (N) New'!Q67</f>
        <v>0</v>
      </c>
      <c r="R67" s="760">
        <f t="shared" si="30"/>
        <v>0.14523442</v>
      </c>
      <c r="S67" s="1146">
        <f t="shared" si="31"/>
        <v>0.14523442</v>
      </c>
      <c r="T67" s="1148">
        <f>+'F5.1 (E) Exisiting'!T67+'F5.2 (E) Existing'!T67+'F5.1 (N) New'!T67+'F5.2 (N) New'!T67</f>
        <v>5.7788909999999999E-2</v>
      </c>
      <c r="U67" s="1148">
        <f>+'F5.1 (E) Exisiting'!U67+'F5.2 (E) Existing'!U67+'F5.1 (N) New'!U67+'F5.2 (N) New'!U67</f>
        <v>0</v>
      </c>
      <c r="V67" s="1148">
        <f>+'F5.1 (E) Exisiting'!V67+'F5.2 (E) Existing'!V67+'F5.1 (N) New'!V67+'F5.2 (N) New'!V67</f>
        <v>0</v>
      </c>
      <c r="W67" s="760">
        <f t="shared" si="32"/>
        <v>0.20302333</v>
      </c>
    </row>
    <row r="68" spans="2:34" ht="14.65" x14ac:dyDescent="0.4">
      <c r="B68" s="1136"/>
      <c r="C68" s="1137" t="s">
        <v>164</v>
      </c>
      <c r="D68" s="1147">
        <f t="shared" ref="D68:W68" si="33">SUM(D60:D67)</f>
        <v>0</v>
      </c>
      <c r="E68" s="1147">
        <f t="shared" si="33"/>
        <v>1.2631278500000001</v>
      </c>
      <c r="F68" s="1147">
        <f t="shared" si="33"/>
        <v>0</v>
      </c>
      <c r="G68" s="1147">
        <f t="shared" si="33"/>
        <v>0</v>
      </c>
      <c r="H68" s="1147">
        <f t="shared" si="33"/>
        <v>1.2631278500000001</v>
      </c>
      <c r="I68" s="1147">
        <f t="shared" si="33"/>
        <v>1.2631278500000001</v>
      </c>
      <c r="J68" s="1147">
        <f t="shared" si="33"/>
        <v>2.8634172192698117</v>
      </c>
      <c r="K68" s="1147">
        <f t="shared" si="33"/>
        <v>0</v>
      </c>
      <c r="L68" s="1147">
        <f t="shared" si="33"/>
        <v>0</v>
      </c>
      <c r="M68" s="1147">
        <f t="shared" si="33"/>
        <v>4.1265450692698131</v>
      </c>
      <c r="N68" s="1147">
        <f t="shared" si="33"/>
        <v>4.1265450692698131</v>
      </c>
      <c r="O68" s="1147">
        <f t="shared" si="33"/>
        <v>2.9695010244610844</v>
      </c>
      <c r="P68" s="1147">
        <f t="shared" si="33"/>
        <v>0.31854139898632922</v>
      </c>
      <c r="Q68" s="1147">
        <f t="shared" si="33"/>
        <v>0</v>
      </c>
      <c r="R68" s="1147">
        <f t="shared" si="33"/>
        <v>6.7775046947445681</v>
      </c>
      <c r="S68" s="1147">
        <f t="shared" si="33"/>
        <v>6.7775046947445681</v>
      </c>
      <c r="T68" s="1147">
        <f t="shared" si="33"/>
        <v>3.3381400114881581</v>
      </c>
      <c r="U68" s="1147">
        <f t="shared" si="33"/>
        <v>0</v>
      </c>
      <c r="V68" s="1147">
        <f t="shared" si="33"/>
        <v>0</v>
      </c>
      <c r="W68" s="1147">
        <f t="shared" si="33"/>
        <v>10.115644706232729</v>
      </c>
    </row>
    <row r="69" spans="2:34" ht="15.4" x14ac:dyDescent="0.35">
      <c r="J69" s="153"/>
      <c r="M69" s="153"/>
      <c r="N69" s="153"/>
      <c r="R69" s="1145" t="s">
        <v>110</v>
      </c>
      <c r="X69" s="125"/>
      <c r="Y69" s="125"/>
      <c r="Z69" s="125"/>
      <c r="AA69" s="125"/>
      <c r="AB69" s="125"/>
      <c r="AC69" s="125"/>
      <c r="AD69" s="125"/>
      <c r="AE69" s="125"/>
      <c r="AF69" s="125"/>
      <c r="AG69" s="125"/>
      <c r="AH69" s="125"/>
    </row>
    <row r="70" spans="2:34" ht="15.4" x14ac:dyDescent="0.35">
      <c r="B70" s="1947" t="s">
        <v>1</v>
      </c>
      <c r="C70" s="1947" t="s">
        <v>111</v>
      </c>
      <c r="D70" s="2052" t="s">
        <v>112</v>
      </c>
      <c r="E70" s="2052"/>
      <c r="F70" s="2052"/>
      <c r="G70" s="2052"/>
      <c r="H70" s="2052"/>
      <c r="I70" s="2052" t="s">
        <v>113</v>
      </c>
      <c r="J70" s="2052"/>
      <c r="K70" s="2052"/>
      <c r="L70" s="2052"/>
      <c r="M70" s="2052"/>
      <c r="N70" s="1947" t="s">
        <v>114</v>
      </c>
      <c r="O70" s="1947"/>
      <c r="P70" s="1947"/>
      <c r="Q70" s="1947"/>
      <c r="R70" s="1947"/>
      <c r="S70" s="1947" t="s">
        <v>123</v>
      </c>
      <c r="T70" s="1947"/>
      <c r="U70" s="1947"/>
      <c r="V70" s="1947"/>
      <c r="W70" s="1947"/>
      <c r="X70" s="125"/>
      <c r="Y70" s="125"/>
      <c r="Z70" s="125"/>
      <c r="AA70" s="125"/>
      <c r="AB70" s="125"/>
      <c r="AC70" s="125"/>
      <c r="AD70" s="125"/>
      <c r="AE70" s="125"/>
      <c r="AF70" s="125"/>
      <c r="AG70" s="125"/>
      <c r="AH70" s="125"/>
    </row>
    <row r="71" spans="2:34" ht="15.4" x14ac:dyDescent="0.35">
      <c r="B71" s="1947"/>
      <c r="C71" s="1947"/>
      <c r="D71" s="1947" t="s">
        <v>186</v>
      </c>
      <c r="E71" s="2051"/>
      <c r="F71" s="2051"/>
      <c r="G71" s="2051"/>
      <c r="H71" s="2051"/>
      <c r="I71" s="1947" t="s">
        <v>186</v>
      </c>
      <c r="J71" s="2051"/>
      <c r="K71" s="2051"/>
      <c r="L71" s="2051"/>
      <c r="M71" s="2051"/>
      <c r="N71" s="1947" t="s">
        <v>187</v>
      </c>
      <c r="O71" s="2051"/>
      <c r="P71" s="2051"/>
      <c r="Q71" s="2051"/>
      <c r="R71" s="2051"/>
      <c r="S71" s="1947" t="s">
        <v>135</v>
      </c>
      <c r="T71" s="2051"/>
      <c r="U71" s="2051"/>
      <c r="V71" s="2051"/>
      <c r="W71" s="2051"/>
      <c r="X71" s="125"/>
      <c r="Y71" s="125"/>
      <c r="Z71" s="125"/>
      <c r="AA71" s="125"/>
      <c r="AB71" s="125"/>
      <c r="AC71" s="125"/>
      <c r="AD71" s="125"/>
      <c r="AE71" s="125"/>
      <c r="AF71" s="125"/>
      <c r="AG71" s="125"/>
      <c r="AH71" s="125"/>
    </row>
    <row r="72" spans="2:34" ht="54" x14ac:dyDescent="0.35">
      <c r="B72" s="1947"/>
      <c r="C72" s="1947"/>
      <c r="D72" s="250" t="s">
        <v>537</v>
      </c>
      <c r="E72" s="250" t="s">
        <v>524</v>
      </c>
      <c r="F72" s="251" t="s">
        <v>538</v>
      </c>
      <c r="G72" s="106" t="s">
        <v>543</v>
      </c>
      <c r="H72" s="250" t="s">
        <v>539</v>
      </c>
      <c r="I72" s="250" t="s">
        <v>537</v>
      </c>
      <c r="J72" s="250" t="s">
        <v>524</v>
      </c>
      <c r="K72" s="251" t="s">
        <v>538</v>
      </c>
      <c r="L72" s="106" t="s">
        <v>543</v>
      </c>
      <c r="M72" s="250" t="s">
        <v>539</v>
      </c>
      <c r="N72" s="250" t="s">
        <v>537</v>
      </c>
      <c r="O72" s="250" t="s">
        <v>524</v>
      </c>
      <c r="P72" s="251" t="s">
        <v>538</v>
      </c>
      <c r="Q72" s="106" t="s">
        <v>543</v>
      </c>
      <c r="R72" s="250" t="s">
        <v>539</v>
      </c>
      <c r="S72" s="250" t="s">
        <v>537</v>
      </c>
      <c r="T72" s="250" t="s">
        <v>524</v>
      </c>
      <c r="U72" s="251" t="s">
        <v>538</v>
      </c>
      <c r="V72" s="106" t="s">
        <v>543</v>
      </c>
      <c r="W72" s="250" t="s">
        <v>539</v>
      </c>
    </row>
    <row r="73" spans="2:34" x14ac:dyDescent="0.35">
      <c r="B73" s="217"/>
      <c r="C73" s="217"/>
      <c r="D73" s="217" t="s">
        <v>128</v>
      </c>
      <c r="E73" s="217" t="s">
        <v>129</v>
      </c>
      <c r="F73" s="217" t="s">
        <v>527</v>
      </c>
      <c r="G73" s="217" t="s">
        <v>130</v>
      </c>
      <c r="H73" s="217" t="s">
        <v>544</v>
      </c>
      <c r="I73" s="217" t="s">
        <v>331</v>
      </c>
      <c r="J73" s="217" t="s">
        <v>132</v>
      </c>
      <c r="K73" s="217" t="s">
        <v>133</v>
      </c>
      <c r="L73" s="217" t="s">
        <v>332</v>
      </c>
      <c r="M73" s="217" t="s">
        <v>545</v>
      </c>
      <c r="N73" s="217" t="s">
        <v>528</v>
      </c>
      <c r="O73" s="217" t="s">
        <v>529</v>
      </c>
      <c r="P73" s="217" t="s">
        <v>334</v>
      </c>
      <c r="Q73" s="217" t="s">
        <v>530</v>
      </c>
      <c r="R73" s="217" t="s">
        <v>546</v>
      </c>
      <c r="S73" s="217" t="s">
        <v>532</v>
      </c>
      <c r="T73" s="217" t="s">
        <v>533</v>
      </c>
      <c r="U73" s="217" t="s">
        <v>534</v>
      </c>
      <c r="V73" s="217" t="s">
        <v>535</v>
      </c>
      <c r="W73" s="217" t="s">
        <v>547</v>
      </c>
    </row>
    <row r="74" spans="2:34" x14ac:dyDescent="0.35">
      <c r="B74" s="1133">
        <v>1</v>
      </c>
      <c r="C74" s="1134" t="s">
        <v>1410</v>
      </c>
      <c r="D74" s="1148">
        <f>+W60</f>
        <v>3.4999999999999998E-7</v>
      </c>
      <c r="E74" s="1148">
        <f>+'F5.1 (E) Exisiting'!E74+'F5.2 (E) Existing'!E74+'F5.1 (N) New'!E74+'F5.2 (N) New'!E74</f>
        <v>9.9999999999999995E-8</v>
      </c>
      <c r="F74" s="1148">
        <f>+'F5.1 (E) Exisiting'!F74+'F5.2 (E) Existing'!F74+'F5.1 (N) New'!F74+'F5.2 (N) New'!F74</f>
        <v>0</v>
      </c>
      <c r="G74" s="1148">
        <f>+'F5.1 (E) Exisiting'!G74+'F5.2 (E) Existing'!G74+'F5.1 (N) New'!G74+'F5.2 (N) New'!G74</f>
        <v>0</v>
      </c>
      <c r="H74" s="760">
        <f>+D74+E74-F74-G74</f>
        <v>4.4999999999999998E-7</v>
      </c>
      <c r="I74" s="1146">
        <f>+H74</f>
        <v>4.4999999999999998E-7</v>
      </c>
      <c r="J74" s="1148">
        <f>+'F5.1 (E) Exisiting'!J74+'F5.2 (E) Existing'!J74+'F5.1 (N) New'!J74+'F5.2 (N) New'!J74</f>
        <v>9.9999999999999995E-8</v>
      </c>
      <c r="K74" s="1148">
        <f>+'F5.1 (E) Exisiting'!K74+'F5.2 (E) Existing'!K74+'F5.1 (N) New'!K74+'F5.2 (N) New'!K74</f>
        <v>0</v>
      </c>
      <c r="L74" s="1148">
        <f>+'F5.1 (E) Exisiting'!L74+'F5.2 (E) Existing'!L74+'F5.1 (N) New'!L74+'F5.2 (N) New'!L74</f>
        <v>0</v>
      </c>
      <c r="M74" s="760">
        <f>+I74+J74-K74-L74</f>
        <v>5.5000000000000003E-7</v>
      </c>
      <c r="N74" s="1146">
        <f>+M74</f>
        <v>5.5000000000000003E-7</v>
      </c>
      <c r="O74" s="1148">
        <f>+'F5.1 (E) Exisiting'!O74+'F5.2 (E) Existing'!O74+'F5.1 (N) New'!O74+'F5.2 (N) New'!O74</f>
        <v>2.4999999999999999E-8</v>
      </c>
      <c r="P74" s="1148">
        <f>+'F5.1 (E) Exisiting'!P74+'F5.2 (E) Existing'!P74+'F5.1 (N) New'!P74+'F5.2 (N) New'!P74</f>
        <v>0</v>
      </c>
      <c r="Q74" s="1148">
        <f>+'F5.1 (E) Exisiting'!Q74+'F5.2 (E) Existing'!Q74+'F5.1 (N) New'!Q74+'F5.2 (N) New'!Q74</f>
        <v>0</v>
      </c>
      <c r="R74" s="760">
        <f>+N74+O74-P74-Q74</f>
        <v>5.75E-7</v>
      </c>
      <c r="S74" s="1146">
        <f>+R74</f>
        <v>5.75E-7</v>
      </c>
      <c r="T74" s="1148">
        <f>+'F5.1 (E) Exisiting'!T74+'F5.2 (E) Existing'!T74+'F5.1 (N) New'!T74+'F5.2 (N) New'!T74</f>
        <v>1.1689999999999999E-7</v>
      </c>
      <c r="U74" s="1148">
        <f>+'F5.1 (E) Exisiting'!U74+'F5.2 (E) Existing'!U74+'F5.1 (N) New'!U74+'F5.2 (N) New'!U74</f>
        <v>0</v>
      </c>
      <c r="V74" s="1148">
        <f>+'F5.1 (E) Exisiting'!V74+'F5.2 (E) Existing'!V74+'F5.1 (N) New'!V74+'F5.2 (N) New'!V74</f>
        <v>0</v>
      </c>
      <c r="W74" s="760">
        <f>+S74+T74-U74-V74</f>
        <v>6.919E-7</v>
      </c>
    </row>
    <row r="75" spans="2:34" x14ac:dyDescent="0.35">
      <c r="B75" s="1133">
        <v>2</v>
      </c>
      <c r="C75" s="1134" t="s">
        <v>1409</v>
      </c>
      <c r="D75" s="1148">
        <f t="shared" ref="D75:D81" si="34">+W61</f>
        <v>1.2160057192030749</v>
      </c>
      <c r="E75" s="1148">
        <f>+'F5.1 (E) Exisiting'!E75+'F5.2 (E) Existing'!E75+'F5.1 (N) New'!E75+'F5.2 (N) New'!E75</f>
        <v>0.3475662397343583</v>
      </c>
      <c r="F75" s="1148">
        <f>+'F5.1 (E) Exisiting'!F75+'F5.2 (E) Existing'!F75+'F5.1 (N) New'!F75+'F5.2 (N) New'!F75</f>
        <v>0</v>
      </c>
      <c r="G75" s="1148">
        <f>+'F5.1 (E) Exisiting'!G75+'F5.2 (E) Existing'!G75+'F5.1 (N) New'!G75+'F5.2 (N) New'!G75</f>
        <v>0</v>
      </c>
      <c r="H75" s="760">
        <f t="shared" ref="H75:H81" si="35">+D75+E75-F75-G75</f>
        <v>1.5635719589374331</v>
      </c>
      <c r="I75" s="1146">
        <f t="shared" ref="I75:I81" si="36">+H75</f>
        <v>1.5635719589374331</v>
      </c>
      <c r="J75" s="1148">
        <f>+'F5.1 (E) Exisiting'!J75+'F5.2 (E) Existing'!J75+'F5.1 (N) New'!J75+'F5.2 (N) New'!J75</f>
        <v>0.3475662397343583</v>
      </c>
      <c r="K75" s="1148">
        <f>+'F5.1 (E) Exisiting'!K75+'F5.2 (E) Existing'!K75+'F5.1 (N) New'!K75+'F5.2 (N) New'!K75</f>
        <v>0</v>
      </c>
      <c r="L75" s="1148">
        <f>+'F5.1 (E) Exisiting'!L75+'F5.2 (E) Existing'!L75+'F5.1 (N) New'!L75+'F5.2 (N) New'!L75</f>
        <v>0</v>
      </c>
      <c r="M75" s="760">
        <f t="shared" ref="M75:M81" si="37">+I75+J75-K75-L75</f>
        <v>1.9111381986717912</v>
      </c>
      <c r="N75" s="1146">
        <f t="shared" ref="N75:N81" si="38">+M75</f>
        <v>1.9111381986717912</v>
      </c>
      <c r="O75" s="1148">
        <f>+'F5.1 (E) Exisiting'!O75+'F5.2 (E) Existing'!O75+'F5.1 (N) New'!O75+'F5.2 (N) New'!O75</f>
        <v>0.3475662397343583</v>
      </c>
      <c r="P75" s="1148">
        <f>+'F5.1 (E) Exisiting'!P75+'F5.2 (E) Existing'!P75+'F5.1 (N) New'!P75+'F5.2 (N) New'!P75</f>
        <v>0</v>
      </c>
      <c r="Q75" s="1148">
        <f>+'F5.1 (E) Exisiting'!Q75+'F5.2 (E) Existing'!Q75+'F5.1 (N) New'!Q75+'F5.2 (N) New'!Q75</f>
        <v>0</v>
      </c>
      <c r="R75" s="760">
        <f t="shared" ref="R75:R81" si="39">+N75+O75-P75-Q75</f>
        <v>2.2587044384061494</v>
      </c>
      <c r="S75" s="1146">
        <f t="shared" ref="S75:S81" si="40">+R75</f>
        <v>2.2587044384061494</v>
      </c>
      <c r="T75" s="1148">
        <f>+'F5.1 (E) Exisiting'!T75+'F5.2 (E) Existing'!T75+'F5.1 (N) New'!T75+'F5.2 (N) New'!T75</f>
        <v>0.38618471109999997</v>
      </c>
      <c r="U75" s="1148">
        <f>+'F5.1 (E) Exisiting'!U75+'F5.2 (E) Existing'!U75+'F5.1 (N) New'!U75+'F5.2 (N) New'!U75</f>
        <v>0</v>
      </c>
      <c r="V75" s="1148">
        <f>+'F5.1 (E) Exisiting'!V75+'F5.2 (E) Existing'!V75+'F5.1 (N) New'!V75+'F5.2 (N) New'!V75</f>
        <v>0</v>
      </c>
      <c r="W75" s="760">
        <f t="shared" ref="W75:W81" si="41">+S75+T75-U75-V75</f>
        <v>2.6448891495061493</v>
      </c>
    </row>
    <row r="76" spans="2:34" x14ac:dyDescent="0.35">
      <c r="B76" s="1133">
        <v>3</v>
      </c>
      <c r="C76" s="1134" t="s">
        <v>440</v>
      </c>
      <c r="D76" s="1148">
        <f t="shared" si="34"/>
        <v>8.3200599548617493</v>
      </c>
      <c r="E76" s="1148">
        <f>+'F5.1 (E) Exisiting'!E76+'F5.2 (E) Existing'!E76+'F5.1 (N) New'!E76+'F5.2 (N) New'!E76</f>
        <v>2.7918903972088667</v>
      </c>
      <c r="F76" s="1148">
        <f>+'F5.1 (E) Exisiting'!F76+'F5.2 (E) Existing'!F76+'F5.1 (N) New'!F76+'F5.2 (N) New'!F76</f>
        <v>0</v>
      </c>
      <c r="G76" s="1148">
        <f>+'F5.1 (E) Exisiting'!G76+'F5.2 (E) Existing'!G76+'F5.1 (N) New'!G76+'F5.2 (N) New'!G76</f>
        <v>0</v>
      </c>
      <c r="H76" s="760">
        <f t="shared" si="35"/>
        <v>11.111950352070616</v>
      </c>
      <c r="I76" s="1146">
        <f t="shared" si="36"/>
        <v>11.111950352070616</v>
      </c>
      <c r="J76" s="1148">
        <f>+'F5.1 (E) Exisiting'!J76+'F5.2 (E) Existing'!J76+'F5.1 (N) New'!J76+'F5.2 (N) New'!J76</f>
        <v>2.7957830501447982</v>
      </c>
      <c r="K76" s="1148">
        <f>+'F5.1 (E) Exisiting'!K76+'F5.2 (E) Existing'!K76+'F5.1 (N) New'!K76+'F5.2 (N) New'!K76</f>
        <v>0</v>
      </c>
      <c r="L76" s="1148">
        <f>+'F5.1 (E) Exisiting'!L76+'F5.2 (E) Existing'!L76+'F5.1 (N) New'!L76+'F5.2 (N) New'!L76</f>
        <v>0</v>
      </c>
      <c r="M76" s="760">
        <f t="shared" si="37"/>
        <v>13.907733402215415</v>
      </c>
      <c r="N76" s="1146">
        <f t="shared" si="38"/>
        <v>13.907733402215415</v>
      </c>
      <c r="O76" s="1148">
        <f>+'F5.1 (E) Exisiting'!O76+'F5.2 (E) Existing'!O76+'F5.1 (N) New'!O76+'F5.2 (N) New'!O76</f>
        <v>2.7962606762719067</v>
      </c>
      <c r="P76" s="1148">
        <f>+'F5.1 (E) Exisiting'!P76+'F5.2 (E) Existing'!P76+'F5.1 (N) New'!P76+'F5.2 (N) New'!P76</f>
        <v>0</v>
      </c>
      <c r="Q76" s="1148">
        <f>+'F5.1 (E) Exisiting'!Q76+'F5.2 (E) Existing'!Q76+'F5.1 (N) New'!Q76+'F5.2 (N) New'!Q76</f>
        <v>0</v>
      </c>
      <c r="R76" s="760">
        <f t="shared" si="39"/>
        <v>16.703994078487323</v>
      </c>
      <c r="S76" s="1146">
        <f t="shared" si="40"/>
        <v>16.703994078487323</v>
      </c>
      <c r="T76" s="1148">
        <f>+'F5.1 (E) Exisiting'!T76+'F5.2 (E) Existing'!T76+'F5.1 (N) New'!T76+'F5.2 (N) New'!T76</f>
        <v>3.0346454232050237</v>
      </c>
      <c r="U76" s="1148">
        <f>+'F5.1 (E) Exisiting'!U76+'F5.2 (E) Existing'!U76+'F5.1 (N) New'!U76+'F5.2 (N) New'!U76</f>
        <v>0</v>
      </c>
      <c r="V76" s="1148">
        <f>+'F5.1 (E) Exisiting'!V76+'F5.2 (E) Existing'!V76+'F5.1 (N) New'!V76+'F5.2 (N) New'!V76</f>
        <v>0</v>
      </c>
      <c r="W76" s="760">
        <f t="shared" si="41"/>
        <v>19.738639501692347</v>
      </c>
    </row>
    <row r="77" spans="2:34" x14ac:dyDescent="0.35">
      <c r="B77" s="1133">
        <v>4</v>
      </c>
      <c r="C77" s="1134" t="s">
        <v>915</v>
      </c>
      <c r="D77" s="1148">
        <f t="shared" si="34"/>
        <v>0.32715908416790218</v>
      </c>
      <c r="E77" s="1148">
        <f>+'F5.1 (E) Exisiting'!E77+'F5.2 (E) Existing'!E77+'F5.1 (N) New'!E77+'F5.2 (N) New'!E77</f>
        <v>0.2191224976225534</v>
      </c>
      <c r="F77" s="1148">
        <f>+'F5.1 (E) Exisiting'!F77+'F5.2 (E) Existing'!F77+'F5.1 (N) New'!F77+'F5.2 (N) New'!F77</f>
        <v>0</v>
      </c>
      <c r="G77" s="1148">
        <f>+'F5.1 (E) Exisiting'!G77+'F5.2 (E) Existing'!G77+'F5.1 (N) New'!G77+'F5.2 (N) New'!G77</f>
        <v>0</v>
      </c>
      <c r="H77" s="760">
        <f t="shared" si="35"/>
        <v>0.54628158179045561</v>
      </c>
      <c r="I77" s="1146">
        <f t="shared" si="36"/>
        <v>0.54628158179045561</v>
      </c>
      <c r="J77" s="1148">
        <f>+'F5.1 (E) Exisiting'!J77+'F5.2 (E) Existing'!J77+'F5.1 (N) New'!J77+'F5.2 (N) New'!J77</f>
        <v>0.2636616335543277</v>
      </c>
      <c r="K77" s="1148">
        <f>+'F5.1 (E) Exisiting'!K77+'F5.2 (E) Existing'!K77+'F5.1 (N) New'!K77+'F5.2 (N) New'!K77</f>
        <v>0</v>
      </c>
      <c r="L77" s="1148">
        <f>+'F5.1 (E) Exisiting'!L77+'F5.2 (E) Existing'!L77+'F5.1 (N) New'!L77+'F5.2 (N) New'!L77</f>
        <v>0</v>
      </c>
      <c r="M77" s="760">
        <f t="shared" si="37"/>
        <v>0.80994321534478331</v>
      </c>
      <c r="N77" s="1146">
        <f t="shared" si="38"/>
        <v>0.80994321534478331</v>
      </c>
      <c r="O77" s="1148">
        <f>+'F5.1 (E) Exisiting'!O77+'F5.2 (E) Existing'!O77+'F5.1 (N) New'!O77+'F5.2 (N) New'!O77</f>
        <v>0.26380312329203259</v>
      </c>
      <c r="P77" s="1148">
        <f>+'F5.1 (E) Exisiting'!P77+'F5.2 (E) Existing'!P77+'F5.1 (N) New'!P77+'F5.2 (N) New'!P77</f>
        <v>0</v>
      </c>
      <c r="Q77" s="1148">
        <f>+'F5.1 (E) Exisiting'!Q77+'F5.2 (E) Existing'!Q77+'F5.1 (N) New'!Q77+'F5.2 (N) New'!Q77</f>
        <v>0</v>
      </c>
      <c r="R77" s="760">
        <f t="shared" si="39"/>
        <v>1.0737463386368158</v>
      </c>
      <c r="S77" s="1146">
        <f t="shared" si="40"/>
        <v>1.0737463386368158</v>
      </c>
      <c r="T77" s="1148">
        <f>+'F5.1 (E) Exisiting'!T77+'F5.2 (E) Existing'!T77+'F5.1 (N) New'!T77+'F5.2 (N) New'!T77</f>
        <v>0.17423893573195723</v>
      </c>
      <c r="U77" s="1148">
        <f>+'F5.1 (E) Exisiting'!U77+'F5.2 (E) Existing'!U77+'F5.1 (N) New'!U77+'F5.2 (N) New'!U77</f>
        <v>0</v>
      </c>
      <c r="V77" s="1148">
        <f>+'F5.1 (E) Exisiting'!V77+'F5.2 (E) Existing'!V77+'F5.1 (N) New'!V77+'F5.2 (N) New'!V77</f>
        <v>0</v>
      </c>
      <c r="W77" s="760">
        <f t="shared" si="41"/>
        <v>1.2479852743687729</v>
      </c>
    </row>
    <row r="78" spans="2:34" x14ac:dyDescent="0.35">
      <c r="B78" s="1133">
        <v>5</v>
      </c>
      <c r="C78" s="1134" t="s">
        <v>447</v>
      </c>
      <c r="D78" s="1148">
        <f t="shared" si="34"/>
        <v>2.0420053000000001E-2</v>
      </c>
      <c r="E78" s="1148">
        <f>+'F5.1 (E) Exisiting'!E78+'F5.2 (E) Existing'!E78+'F5.1 (N) New'!E78+'F5.2 (N) New'!E78</f>
        <v>7.2444843712000002E-3</v>
      </c>
      <c r="F78" s="1148">
        <f>+'F5.1 (E) Exisiting'!F78+'F5.2 (E) Existing'!F78+'F5.1 (N) New'!F78+'F5.2 (N) New'!F78</f>
        <v>0</v>
      </c>
      <c r="G78" s="1148">
        <f>+'F5.1 (E) Exisiting'!G78+'F5.2 (E) Existing'!G78+'F5.1 (N) New'!G78+'F5.2 (N) New'!G78</f>
        <v>0</v>
      </c>
      <c r="H78" s="760">
        <f t="shared" si="35"/>
        <v>2.7664537371200001E-2</v>
      </c>
      <c r="I78" s="1146">
        <f t="shared" si="36"/>
        <v>2.7664537371200001E-2</v>
      </c>
      <c r="J78" s="1148">
        <f>+'F5.1 (E) Exisiting'!J78+'F5.2 (E) Existing'!J78+'F5.1 (N) New'!J78+'F5.2 (N) New'!J78</f>
        <v>7.2508349999999997E-3</v>
      </c>
      <c r="K78" s="1148">
        <f>+'F5.1 (E) Exisiting'!K78+'F5.2 (E) Existing'!K78+'F5.1 (N) New'!K78+'F5.2 (N) New'!K78</f>
        <v>0</v>
      </c>
      <c r="L78" s="1148">
        <f>+'F5.1 (E) Exisiting'!L78+'F5.2 (E) Existing'!L78+'F5.1 (N) New'!L78+'F5.2 (N) New'!L78</f>
        <v>0</v>
      </c>
      <c r="M78" s="760">
        <f t="shared" si="37"/>
        <v>3.4915372371200001E-2</v>
      </c>
      <c r="N78" s="1146">
        <f t="shared" si="38"/>
        <v>3.4915372371200001E-2</v>
      </c>
      <c r="O78" s="1148">
        <f>+'F5.1 (E) Exisiting'!O78+'F5.2 (E) Existing'!O78+'F5.1 (N) New'!O78+'F5.2 (N) New'!O78</f>
        <v>7.4896651490178072E-3</v>
      </c>
      <c r="P78" s="1148">
        <f>+'F5.1 (E) Exisiting'!P78+'F5.2 (E) Existing'!P78+'F5.1 (N) New'!P78+'F5.2 (N) New'!P78</f>
        <v>0</v>
      </c>
      <c r="Q78" s="1148">
        <f>+'F5.1 (E) Exisiting'!Q78+'F5.2 (E) Existing'!Q78+'F5.1 (N) New'!Q78+'F5.2 (N) New'!Q78</f>
        <v>0</v>
      </c>
      <c r="R78" s="760">
        <f t="shared" si="39"/>
        <v>4.2405037520217806E-2</v>
      </c>
      <c r="S78" s="1146">
        <f t="shared" si="40"/>
        <v>4.2405037520217806E-2</v>
      </c>
      <c r="T78" s="1148">
        <f>+'F5.1 (E) Exisiting'!T78+'F5.2 (E) Existing'!T78+'F5.1 (N) New'!T78+'F5.2 (N) New'!T78</f>
        <v>1.8196968104999996E-2</v>
      </c>
      <c r="U78" s="1148">
        <f>+'F5.1 (E) Exisiting'!U78+'F5.2 (E) Existing'!U78+'F5.1 (N) New'!U78+'F5.2 (N) New'!U78</f>
        <v>0</v>
      </c>
      <c r="V78" s="1148">
        <f>+'F5.1 (E) Exisiting'!V78+'F5.2 (E) Existing'!V78+'F5.1 (N) New'!V78+'F5.2 (N) New'!V78</f>
        <v>0</v>
      </c>
      <c r="W78" s="760">
        <f t="shared" si="41"/>
        <v>6.0602005625217802E-2</v>
      </c>
    </row>
    <row r="79" spans="2:34" x14ac:dyDescent="0.35">
      <c r="B79" s="1133">
        <v>6</v>
      </c>
      <c r="C79" s="1134" t="s">
        <v>879</v>
      </c>
      <c r="D79" s="1148">
        <f t="shared" si="34"/>
        <v>2.0200870000000003E-3</v>
      </c>
      <c r="E79" s="1148">
        <f>+'F5.1 (E) Exisiting'!E79+'F5.2 (E) Existing'!E79+'F5.1 (N) New'!E79+'F5.2 (N) New'!E79</f>
        <v>5.6412900000000002E-4</v>
      </c>
      <c r="F79" s="1148">
        <f>+'F5.1 (E) Exisiting'!F79+'F5.2 (E) Existing'!F79+'F5.1 (N) New'!F79+'F5.2 (N) New'!F79</f>
        <v>0</v>
      </c>
      <c r="G79" s="1148">
        <f>+'F5.1 (E) Exisiting'!G79+'F5.2 (E) Existing'!G79+'F5.1 (N) New'!G79+'F5.2 (N) New'!G79</f>
        <v>0</v>
      </c>
      <c r="H79" s="760">
        <f t="shared" si="35"/>
        <v>2.5842160000000003E-3</v>
      </c>
      <c r="I79" s="1146">
        <f t="shared" si="36"/>
        <v>2.5842160000000003E-3</v>
      </c>
      <c r="J79" s="1148">
        <f>+'F5.1 (E) Exisiting'!J79+'F5.2 (E) Existing'!J79+'F5.1 (N) New'!J79+'F5.2 (N) New'!J79</f>
        <v>5.6412900000000002E-4</v>
      </c>
      <c r="K79" s="1148">
        <f>+'F5.1 (E) Exisiting'!K79+'F5.2 (E) Existing'!K79+'F5.1 (N) New'!K79+'F5.2 (N) New'!K79</f>
        <v>0</v>
      </c>
      <c r="L79" s="1148">
        <f>+'F5.1 (E) Exisiting'!L79+'F5.2 (E) Existing'!L79+'F5.1 (N) New'!L79+'F5.2 (N) New'!L79</f>
        <v>0</v>
      </c>
      <c r="M79" s="760">
        <f t="shared" si="37"/>
        <v>3.1483450000000003E-3</v>
      </c>
      <c r="N79" s="1146">
        <f t="shared" si="38"/>
        <v>3.1483450000000003E-3</v>
      </c>
      <c r="O79" s="1148">
        <f>+'F5.1 (E) Exisiting'!O79+'F5.2 (E) Existing'!O79+'F5.1 (N) New'!O79+'F5.2 (N) New'!O79</f>
        <v>5.6412900000000002E-4</v>
      </c>
      <c r="P79" s="1148">
        <f>+'F5.1 (E) Exisiting'!P79+'F5.2 (E) Existing'!P79+'F5.1 (N) New'!P79+'F5.2 (N) New'!P79</f>
        <v>0</v>
      </c>
      <c r="Q79" s="1148">
        <f>+'F5.1 (E) Exisiting'!Q79+'F5.2 (E) Existing'!Q79+'F5.1 (N) New'!Q79+'F5.2 (N) New'!Q79</f>
        <v>0</v>
      </c>
      <c r="R79" s="760">
        <f t="shared" si="39"/>
        <v>3.7124740000000003E-3</v>
      </c>
      <c r="S79" s="1146">
        <f t="shared" si="40"/>
        <v>3.7124740000000003E-3</v>
      </c>
      <c r="T79" s="1148">
        <f>+'F5.1 (E) Exisiting'!T79+'F5.2 (E) Existing'!T79+'F5.1 (N) New'!T79+'F5.2 (N) New'!T79</f>
        <v>6.2681E-4</v>
      </c>
      <c r="U79" s="1148">
        <f>+'F5.1 (E) Exisiting'!U79+'F5.2 (E) Existing'!U79+'F5.1 (N) New'!U79+'F5.2 (N) New'!U79</f>
        <v>0</v>
      </c>
      <c r="V79" s="1148">
        <f>+'F5.1 (E) Exisiting'!V79+'F5.2 (E) Existing'!V79+'F5.1 (N) New'!V79+'F5.2 (N) New'!V79</f>
        <v>0</v>
      </c>
      <c r="W79" s="760">
        <f t="shared" si="41"/>
        <v>4.3392840000000005E-3</v>
      </c>
    </row>
    <row r="80" spans="2:34" x14ac:dyDescent="0.4">
      <c r="B80" s="1133">
        <v>7</v>
      </c>
      <c r="C80" s="1135" t="s">
        <v>1269</v>
      </c>
      <c r="D80" s="1148">
        <f t="shared" si="34"/>
        <v>2.6956127999999999E-2</v>
      </c>
      <c r="E80" s="1148">
        <f>+'F5.1 (E) Exisiting'!E80+'F5.2 (E) Existing'!E80+'F5.1 (N) New'!E80+'F5.2 (N) New'!E80</f>
        <v>9.0900770000000002E-3</v>
      </c>
      <c r="F80" s="1148">
        <f>+'F5.1 (E) Exisiting'!F80+'F5.2 (E) Existing'!F80+'F5.1 (N) New'!F80+'F5.2 (N) New'!F80</f>
        <v>0</v>
      </c>
      <c r="G80" s="1148">
        <f>+'F5.1 (E) Exisiting'!G80+'F5.2 (E) Existing'!G80+'F5.1 (N) New'!G80+'F5.2 (N) New'!G80</f>
        <v>0</v>
      </c>
      <c r="H80" s="760">
        <f t="shared" si="35"/>
        <v>3.6046204999999998E-2</v>
      </c>
      <c r="I80" s="1146">
        <f t="shared" si="36"/>
        <v>3.6046204999999998E-2</v>
      </c>
      <c r="J80" s="1148">
        <f>+'F5.1 (E) Exisiting'!J80+'F5.2 (E) Existing'!J80+'F5.1 (N) New'!J80+'F5.2 (N) New'!J80</f>
        <v>1.6638409E-2</v>
      </c>
      <c r="K80" s="1148">
        <f>+'F5.1 (E) Exisiting'!K80+'F5.2 (E) Existing'!K80+'F5.1 (N) New'!K80+'F5.2 (N) New'!K80</f>
        <v>0</v>
      </c>
      <c r="L80" s="1148">
        <f>+'F5.1 (E) Exisiting'!L80+'F5.2 (E) Existing'!L80+'F5.1 (N) New'!L80+'F5.2 (N) New'!L80</f>
        <v>0</v>
      </c>
      <c r="M80" s="760">
        <f t="shared" si="37"/>
        <v>5.2684613999999998E-2</v>
      </c>
      <c r="N80" s="1146">
        <f t="shared" si="38"/>
        <v>5.2684613999999998E-2</v>
      </c>
      <c r="O80" s="1148">
        <f>+'F5.1 (E) Exisiting'!O80+'F5.2 (E) Existing'!O80+'F5.1 (N) New'!O80+'F5.2 (N) New'!O80</f>
        <v>2.1802422287453421E-2</v>
      </c>
      <c r="P80" s="1148">
        <f>+'F5.1 (E) Exisiting'!P80+'F5.2 (E) Existing'!P80+'F5.1 (N) New'!P80+'F5.2 (N) New'!P80</f>
        <v>0</v>
      </c>
      <c r="Q80" s="1148">
        <f>+'F5.1 (E) Exisiting'!Q80+'F5.2 (E) Existing'!Q80+'F5.1 (N) New'!Q80+'F5.2 (N) New'!Q80</f>
        <v>0</v>
      </c>
      <c r="R80" s="760">
        <f t="shared" si="39"/>
        <v>7.4487036287453415E-2</v>
      </c>
      <c r="S80" s="1146">
        <f t="shared" si="40"/>
        <v>7.4487036287453415E-2</v>
      </c>
      <c r="T80" s="1148">
        <f>+'F5.1 (E) Exisiting'!T80+'F5.2 (E) Existing'!T80+'F5.1 (N) New'!T80+'F5.2 (N) New'!T80</f>
        <v>2.1570923699999998E-2</v>
      </c>
      <c r="U80" s="1148">
        <f>+'F5.1 (E) Exisiting'!U80+'F5.2 (E) Existing'!U80+'F5.1 (N) New'!U80+'F5.2 (N) New'!U80</f>
        <v>0</v>
      </c>
      <c r="V80" s="1148">
        <f>+'F5.1 (E) Exisiting'!V80+'F5.2 (E) Existing'!V80+'F5.1 (N) New'!V80+'F5.2 (N) New'!V80</f>
        <v>0</v>
      </c>
      <c r="W80" s="760">
        <f t="shared" si="41"/>
        <v>9.6057959987453409E-2</v>
      </c>
    </row>
    <row r="81" spans="2:23" x14ac:dyDescent="0.4">
      <c r="B81" s="1133">
        <v>8</v>
      </c>
      <c r="C81" s="1135" t="s">
        <v>1270</v>
      </c>
      <c r="D81" s="1148">
        <f t="shared" si="34"/>
        <v>0.20302333</v>
      </c>
      <c r="E81" s="1148">
        <f>+'F5.1 (E) Exisiting'!E81+'F5.2 (E) Existing'!E81+'F5.1 (N) New'!E81+'F5.2 (N) New'!E81</f>
        <v>1.6216652712328799E-3</v>
      </c>
      <c r="F81" s="1148">
        <f>+'F5.1 (E) Exisiting'!F81+'F5.2 (E) Existing'!F81+'F5.1 (N) New'!F81+'F5.2 (N) New'!F81</f>
        <v>0</v>
      </c>
      <c r="G81" s="1148">
        <f>+'F5.1 (E) Exisiting'!G81+'F5.2 (E) Existing'!G81+'F5.1 (N) New'!G81+'F5.2 (N) New'!G81</f>
        <v>0</v>
      </c>
      <c r="H81" s="760">
        <f t="shared" si="35"/>
        <v>0.20464499527123289</v>
      </c>
      <c r="I81" s="1146">
        <f t="shared" si="36"/>
        <v>0.20464499527123289</v>
      </c>
      <c r="J81" s="1148">
        <f>+'F5.1 (E) Exisiting'!J81+'F5.2 (E) Existing'!J81+'F5.1 (N) New'!J81+'F5.2 (N) New'!J81</f>
        <v>7.1557560000000001E-3</v>
      </c>
      <c r="K81" s="1148">
        <f>+'F5.1 (E) Exisiting'!K81+'F5.2 (E) Existing'!K81+'F5.1 (N) New'!K81+'F5.2 (N) New'!K81</f>
        <v>0</v>
      </c>
      <c r="L81" s="1148">
        <f>+'F5.1 (E) Exisiting'!L81+'F5.2 (E) Existing'!L81+'F5.1 (N) New'!L81+'F5.2 (N) New'!L81</f>
        <v>0</v>
      </c>
      <c r="M81" s="760">
        <f t="shared" si="37"/>
        <v>0.21180075127123291</v>
      </c>
      <c r="N81" s="1146">
        <f t="shared" si="38"/>
        <v>0.21180075127123291</v>
      </c>
      <c r="O81" s="1148">
        <f>+'F5.1 (E) Exisiting'!O81+'F5.2 (E) Existing'!O81+'F5.1 (N) New'!O81+'F5.2 (N) New'!O81</f>
        <v>7.3861954520547937E-3</v>
      </c>
      <c r="P81" s="1148">
        <f>+'F5.1 (E) Exisiting'!P81+'F5.2 (E) Existing'!P81+'F5.1 (N) New'!P81+'F5.2 (N) New'!P81</f>
        <v>0</v>
      </c>
      <c r="Q81" s="1148">
        <f>+'F5.1 (E) Exisiting'!Q81+'F5.2 (E) Existing'!Q81+'F5.1 (N) New'!Q81+'F5.2 (N) New'!Q81</f>
        <v>0</v>
      </c>
      <c r="R81" s="760">
        <f t="shared" si="39"/>
        <v>0.2191869467232877</v>
      </c>
      <c r="S81" s="1146">
        <f t="shared" si="40"/>
        <v>0.2191869467232877</v>
      </c>
      <c r="T81" s="1148">
        <f>+'F5.1 (E) Exisiting'!T81+'F5.2 (E) Existing'!T81+'F5.1 (N) New'!T81+'F5.2 (N) New'!T81</f>
        <v>4.3044732767122951E-3</v>
      </c>
      <c r="U81" s="1148">
        <f>+'F5.1 (E) Exisiting'!U81+'F5.2 (E) Existing'!U81+'F5.1 (N) New'!U81+'F5.2 (N) New'!U81</f>
        <v>0</v>
      </c>
      <c r="V81" s="1148">
        <f>+'F5.1 (E) Exisiting'!V81+'F5.2 (E) Existing'!V81+'F5.1 (N) New'!V81+'F5.2 (N) New'!V81</f>
        <v>0</v>
      </c>
      <c r="W81" s="760">
        <f t="shared" si="41"/>
        <v>0.22349142</v>
      </c>
    </row>
    <row r="82" spans="2:23" ht="14.65" x14ac:dyDescent="0.4">
      <c r="B82" s="1136"/>
      <c r="C82" s="1137" t="s">
        <v>164</v>
      </c>
      <c r="D82" s="1147">
        <f t="shared" ref="D82:W82" si="42">SUM(D74:D81)</f>
        <v>10.115644706232729</v>
      </c>
      <c r="E82" s="1147">
        <f t="shared" si="42"/>
        <v>3.3770995902082115</v>
      </c>
      <c r="F82" s="1147">
        <f t="shared" si="42"/>
        <v>0</v>
      </c>
      <c r="G82" s="1147">
        <f t="shared" si="42"/>
        <v>0</v>
      </c>
      <c r="H82" s="1147">
        <f t="shared" si="42"/>
        <v>13.492744296440939</v>
      </c>
      <c r="I82" s="1147">
        <f t="shared" si="42"/>
        <v>13.492744296440939</v>
      </c>
      <c r="J82" s="1147">
        <f t="shared" si="42"/>
        <v>3.4386201524334838</v>
      </c>
      <c r="K82" s="1147">
        <f t="shared" si="42"/>
        <v>0</v>
      </c>
      <c r="L82" s="1147">
        <f t="shared" si="42"/>
        <v>0</v>
      </c>
      <c r="M82" s="1147">
        <f t="shared" si="42"/>
        <v>16.931364448874422</v>
      </c>
      <c r="N82" s="1147">
        <f t="shared" si="42"/>
        <v>16.931364448874422</v>
      </c>
      <c r="O82" s="1147">
        <f t="shared" si="42"/>
        <v>3.4448724761868235</v>
      </c>
      <c r="P82" s="1147">
        <f t="shared" si="42"/>
        <v>0</v>
      </c>
      <c r="Q82" s="1147">
        <f t="shared" si="42"/>
        <v>0</v>
      </c>
      <c r="R82" s="1147">
        <f t="shared" si="42"/>
        <v>20.376236925061249</v>
      </c>
      <c r="S82" s="1147">
        <f t="shared" si="42"/>
        <v>20.376236925061249</v>
      </c>
      <c r="T82" s="1147">
        <f t="shared" si="42"/>
        <v>3.6397683620186929</v>
      </c>
      <c r="U82" s="1147">
        <f t="shared" si="42"/>
        <v>0</v>
      </c>
      <c r="V82" s="1147">
        <f t="shared" si="42"/>
        <v>0</v>
      </c>
      <c r="W82" s="1147">
        <f t="shared" si="42"/>
        <v>24.016005287079938</v>
      </c>
    </row>
    <row r="83" spans="2:23" ht="14.65" x14ac:dyDescent="0.4">
      <c r="B83" s="1138"/>
      <c r="C83" s="1139"/>
      <c r="D83" s="1144"/>
      <c r="E83" s="1144"/>
      <c r="F83" s="1144"/>
      <c r="G83" s="1144"/>
      <c r="H83" s="1144"/>
      <c r="J83" s="153"/>
      <c r="M83" s="153"/>
      <c r="N83" s="153"/>
    </row>
    <row r="84" spans="2:23" x14ac:dyDescent="0.35">
      <c r="B84" s="1947" t="s">
        <v>1</v>
      </c>
      <c r="C84" s="1947" t="s">
        <v>111</v>
      </c>
      <c r="D84" s="2052" t="s">
        <v>124</v>
      </c>
      <c r="E84" s="2052"/>
      <c r="F84" s="2052"/>
      <c r="G84" s="2052"/>
      <c r="H84" s="2052"/>
      <c r="I84" s="2052" t="s">
        <v>125</v>
      </c>
      <c r="J84" s="2052"/>
      <c r="K84" s="2052"/>
      <c r="L84" s="2052"/>
      <c r="M84" s="2052"/>
      <c r="N84" s="2052" t="s">
        <v>126</v>
      </c>
      <c r="O84" s="2052"/>
      <c r="P84" s="2052"/>
      <c r="Q84" s="2052"/>
      <c r="R84" s="2052"/>
      <c r="S84" s="2052" t="s">
        <v>127</v>
      </c>
      <c r="T84" s="2052"/>
      <c r="U84" s="2052"/>
      <c r="V84" s="2052"/>
      <c r="W84" s="2052"/>
    </row>
    <row r="85" spans="2:23" x14ac:dyDescent="0.35">
      <c r="B85" s="1947"/>
      <c r="C85" s="1947"/>
      <c r="D85" s="2052" t="s">
        <v>135</v>
      </c>
      <c r="E85" s="2055"/>
      <c r="F85" s="2055"/>
      <c r="G85" s="2055"/>
      <c r="H85" s="2055"/>
      <c r="I85" s="2052" t="s">
        <v>135</v>
      </c>
      <c r="J85" s="2055"/>
      <c r="K85" s="2055"/>
      <c r="L85" s="2055"/>
      <c r="M85" s="2055"/>
      <c r="N85" s="2052" t="s">
        <v>135</v>
      </c>
      <c r="O85" s="2055"/>
      <c r="P85" s="2055"/>
      <c r="Q85" s="2055"/>
      <c r="R85" s="2055"/>
      <c r="S85" s="2052" t="s">
        <v>135</v>
      </c>
      <c r="T85" s="2055"/>
      <c r="U85" s="2055"/>
      <c r="V85" s="2055"/>
      <c r="W85" s="2055"/>
    </row>
    <row r="86" spans="2:23" ht="54" x14ac:dyDescent="0.35">
      <c r="B86" s="1947"/>
      <c r="C86" s="1947"/>
      <c r="D86" s="250" t="s">
        <v>537</v>
      </c>
      <c r="E86" s="250" t="s">
        <v>524</v>
      </c>
      <c r="F86" s="251" t="s">
        <v>538</v>
      </c>
      <c r="G86" s="106" t="s">
        <v>543</v>
      </c>
      <c r="H86" s="250" t="s">
        <v>539</v>
      </c>
      <c r="I86" s="250" t="s">
        <v>537</v>
      </c>
      <c r="J86" s="250" t="s">
        <v>524</v>
      </c>
      <c r="K86" s="251" t="s">
        <v>538</v>
      </c>
      <c r="L86" s="106" t="s">
        <v>543</v>
      </c>
      <c r="M86" s="250" t="s">
        <v>539</v>
      </c>
      <c r="N86" s="250" t="s">
        <v>537</v>
      </c>
      <c r="O86" s="250" t="s">
        <v>524</v>
      </c>
      <c r="P86" s="251" t="s">
        <v>538</v>
      </c>
      <c r="Q86" s="106" t="s">
        <v>543</v>
      </c>
      <c r="R86" s="250" t="s">
        <v>539</v>
      </c>
      <c r="S86" s="250" t="s">
        <v>537</v>
      </c>
      <c r="T86" s="250" t="s">
        <v>524</v>
      </c>
      <c r="U86" s="251" t="s">
        <v>538</v>
      </c>
      <c r="V86" s="106" t="s">
        <v>543</v>
      </c>
      <c r="W86" s="250" t="s">
        <v>539</v>
      </c>
    </row>
    <row r="87" spans="2:23" x14ac:dyDescent="0.35">
      <c r="B87" s="217"/>
      <c r="C87" s="217"/>
      <c r="D87" s="217" t="s">
        <v>128</v>
      </c>
      <c r="E87" s="217" t="s">
        <v>129</v>
      </c>
      <c r="F87" s="217" t="s">
        <v>527</v>
      </c>
      <c r="G87" s="217" t="s">
        <v>130</v>
      </c>
      <c r="H87" s="217" t="s">
        <v>544</v>
      </c>
      <c r="I87" s="217" t="s">
        <v>331</v>
      </c>
      <c r="J87" s="217" t="s">
        <v>132</v>
      </c>
      <c r="K87" s="217" t="s">
        <v>133</v>
      </c>
      <c r="L87" s="217" t="s">
        <v>332</v>
      </c>
      <c r="M87" s="217" t="s">
        <v>545</v>
      </c>
      <c r="N87" s="217" t="s">
        <v>528</v>
      </c>
      <c r="O87" s="217" t="s">
        <v>529</v>
      </c>
      <c r="P87" s="217" t="s">
        <v>334</v>
      </c>
      <c r="Q87" s="217" t="s">
        <v>530</v>
      </c>
      <c r="R87" s="217" t="s">
        <v>546</v>
      </c>
      <c r="S87" s="217" t="s">
        <v>532</v>
      </c>
      <c r="T87" s="217" t="s">
        <v>533</v>
      </c>
      <c r="U87" s="217" t="s">
        <v>534</v>
      </c>
      <c r="V87" s="217" t="s">
        <v>535</v>
      </c>
      <c r="W87" s="217" t="s">
        <v>547</v>
      </c>
    </row>
    <row r="88" spans="2:23" x14ac:dyDescent="0.35">
      <c r="B88" s="1133">
        <v>1</v>
      </c>
      <c r="C88" s="1134" t="s">
        <v>1410</v>
      </c>
      <c r="D88" s="1148">
        <f>+W74</f>
        <v>6.919E-7</v>
      </c>
      <c r="E88" s="1148">
        <f>+'F5.1 (E) Exisiting'!E88+'F5.2 (E) Existing'!E88+'F5.1 (N) New'!E88+'F5.2 (N) New'!E88</f>
        <v>1.1689999999999999E-7</v>
      </c>
      <c r="F88" s="1148">
        <f>+'F5.1 (E) Exisiting'!F88+'F5.2 (E) Existing'!F88+'F5.1 (N) New'!F88+'F5.2 (N) New'!F88</f>
        <v>0</v>
      </c>
      <c r="G88" s="1148">
        <f>+'F5.1 (E) Exisiting'!G88+'F5.2 (E) Existing'!G88+'F5.1 (N) New'!G88+'F5.2 (N) New'!G88</f>
        <v>0</v>
      </c>
      <c r="H88" s="760">
        <f>+D88+E88-F88-G88</f>
        <v>8.0879999999999999E-7</v>
      </c>
      <c r="I88" s="1146">
        <f>+H88</f>
        <v>8.0879999999999999E-7</v>
      </c>
      <c r="J88" s="1148">
        <f>+'F5.1 (E) Exisiting'!J88+'F5.2 (E) Existing'!J88+'F5.1 (N) New'!J88+'F5.2 (N) New'!J88</f>
        <v>1.1689999999999999E-7</v>
      </c>
      <c r="K88" s="1148">
        <f>+'F5.1 (E) Exisiting'!K88+'F5.2 (E) Existing'!K88+'F5.1 (N) New'!K88+'F5.2 (N) New'!K88</f>
        <v>0</v>
      </c>
      <c r="L88" s="1148">
        <f>+'F5.1 (E) Exisiting'!L88+'F5.2 (E) Existing'!L88+'F5.1 (N) New'!L88+'F5.2 (N) New'!L88</f>
        <v>0</v>
      </c>
      <c r="M88" s="760">
        <f>+I88+J88-K88-L88</f>
        <v>9.2569999999999998E-7</v>
      </c>
      <c r="N88" s="1146">
        <f>+M88</f>
        <v>9.2569999999999998E-7</v>
      </c>
      <c r="O88" s="1148">
        <f>+'F5.1 (E) Exisiting'!O88+'F5.2 (E) Existing'!O88+'F5.1 (N) New'!O88+'F5.2 (N) New'!O88</f>
        <v>1.1689999999999999E-7</v>
      </c>
      <c r="P88" s="1148">
        <f>+'F5.1 (E) Exisiting'!P88+'F5.2 (E) Existing'!P88+'F5.1 (N) New'!P88+'F5.2 (N) New'!P88</f>
        <v>0</v>
      </c>
      <c r="Q88" s="1148">
        <f>+'F5.1 (E) Exisiting'!Q88+'F5.2 (E) Existing'!Q88+'F5.1 (N) New'!Q88+'F5.2 (N) New'!Q88</f>
        <v>0</v>
      </c>
      <c r="R88" s="760">
        <f>+N88+O88-P88-Q88</f>
        <v>1.0426E-6</v>
      </c>
      <c r="S88" s="1146">
        <f>+R88</f>
        <v>1.0426E-6</v>
      </c>
      <c r="T88" s="1148">
        <f>+'F5.1 (E) Exisiting'!T88+'F5.2 (E) Existing'!T88+'F5.1 (N) New'!T88+'F5.2 (N) New'!T88</f>
        <v>1.1689999999999999E-7</v>
      </c>
      <c r="U88" s="1148">
        <f>+'F5.1 (E) Exisiting'!U88+'F5.2 (E) Existing'!U88+'F5.1 (N) New'!U88+'F5.2 (N) New'!U88</f>
        <v>0</v>
      </c>
      <c r="V88" s="1148">
        <f>+'F5.1 (E) Exisiting'!V88+'F5.2 (E) Existing'!V88+'F5.1 (N) New'!V88+'F5.2 (N) New'!V88</f>
        <v>0</v>
      </c>
      <c r="W88" s="760">
        <f>+S88+T88-U88-V88</f>
        <v>1.1595000000000001E-6</v>
      </c>
    </row>
    <row r="89" spans="2:23" x14ac:dyDescent="0.35">
      <c r="B89" s="1133">
        <v>2</v>
      </c>
      <c r="C89" s="1134" t="s">
        <v>1409</v>
      </c>
      <c r="D89" s="1148">
        <f t="shared" ref="D89:D95" si="43">+W75</f>
        <v>2.6448891495061493</v>
      </c>
      <c r="E89" s="1148">
        <f>+'F5.1 (E) Exisiting'!E89+'F5.2 (E) Existing'!E89+'F5.1 (N) New'!E89+'F5.2 (N) New'!E89</f>
        <v>0.38618471109999997</v>
      </c>
      <c r="F89" s="1148">
        <f>+'F5.1 (E) Exisiting'!F89+'F5.2 (E) Existing'!F89+'F5.1 (N) New'!F89+'F5.2 (N) New'!F89</f>
        <v>0</v>
      </c>
      <c r="G89" s="1148">
        <f>+'F5.1 (E) Exisiting'!G89+'F5.2 (E) Existing'!G89+'F5.1 (N) New'!G89+'F5.2 (N) New'!G89</f>
        <v>0</v>
      </c>
      <c r="H89" s="760">
        <f t="shared" ref="H89:H95" si="44">+D89+E89-F89-G89</f>
        <v>3.0310738606061491</v>
      </c>
      <c r="I89" s="1146">
        <f t="shared" ref="I89:I95" si="45">+H89</f>
        <v>3.0310738606061491</v>
      </c>
      <c r="J89" s="1148">
        <f>+'F5.1 (E) Exisiting'!J89+'F5.2 (E) Existing'!J89+'F5.1 (N) New'!J89+'F5.2 (N) New'!J89</f>
        <v>0.38618471109999997</v>
      </c>
      <c r="K89" s="1148">
        <f>+'F5.1 (E) Exisiting'!K89+'F5.2 (E) Existing'!K89+'F5.1 (N) New'!K89+'F5.2 (N) New'!K89</f>
        <v>0</v>
      </c>
      <c r="L89" s="1148">
        <f>+'F5.1 (E) Exisiting'!L89+'F5.2 (E) Existing'!L89+'F5.1 (N) New'!L89+'F5.2 (N) New'!L89</f>
        <v>0</v>
      </c>
      <c r="M89" s="760">
        <f t="shared" ref="M89:M95" si="46">+I89+J89-K89-L89</f>
        <v>3.417258571706149</v>
      </c>
      <c r="N89" s="1146">
        <f t="shared" ref="N89:N95" si="47">+M89</f>
        <v>3.417258571706149</v>
      </c>
      <c r="O89" s="1148">
        <f>+'F5.1 (E) Exisiting'!O89+'F5.2 (E) Existing'!O89+'F5.1 (N) New'!O89+'F5.2 (N) New'!O89</f>
        <v>0.38618471109999997</v>
      </c>
      <c r="P89" s="1148">
        <f>+'F5.1 (E) Exisiting'!P89+'F5.2 (E) Existing'!P89+'F5.1 (N) New'!P89+'F5.2 (N) New'!P89</f>
        <v>0</v>
      </c>
      <c r="Q89" s="1148">
        <f>+'F5.1 (E) Exisiting'!Q89+'F5.2 (E) Existing'!Q89+'F5.1 (N) New'!Q89+'F5.2 (N) New'!Q89</f>
        <v>0</v>
      </c>
      <c r="R89" s="760">
        <f t="shared" ref="R89:R95" si="48">+N89+O89-P89-Q89</f>
        <v>3.8034432828061489</v>
      </c>
      <c r="S89" s="1146">
        <f t="shared" ref="S89:S95" si="49">+R89</f>
        <v>3.8034432828061489</v>
      </c>
      <c r="T89" s="1148">
        <f>+'F5.1 (E) Exisiting'!T89+'F5.2 (E) Existing'!T89+'F5.1 (N) New'!T89+'F5.2 (N) New'!T89</f>
        <v>0.38618471109999997</v>
      </c>
      <c r="U89" s="1148">
        <f>+'F5.1 (E) Exisiting'!U89+'F5.2 (E) Existing'!U89+'F5.1 (N) New'!U89+'F5.2 (N) New'!U89</f>
        <v>0</v>
      </c>
      <c r="V89" s="1148">
        <f>+'F5.1 (E) Exisiting'!V89+'F5.2 (E) Existing'!V89+'F5.1 (N) New'!V89+'F5.2 (N) New'!V89</f>
        <v>0</v>
      </c>
      <c r="W89" s="760">
        <f t="shared" ref="W89:W95" si="50">+S89+T89-U89-V89</f>
        <v>4.1896279939061492</v>
      </c>
    </row>
    <row r="90" spans="2:23" x14ac:dyDescent="0.35">
      <c r="B90" s="1133">
        <v>3</v>
      </c>
      <c r="C90" s="1134" t="s">
        <v>440</v>
      </c>
      <c r="D90" s="1148">
        <f t="shared" si="43"/>
        <v>19.738639501692347</v>
      </c>
      <c r="E90" s="1148">
        <f>+'F5.1 (E) Exisiting'!E90+'F5.2 (E) Existing'!E90+'F5.1 (N) New'!E90+'F5.2 (N) New'!E90</f>
        <v>3.0346454232050237</v>
      </c>
      <c r="F90" s="1148">
        <f>+'F5.1 (E) Exisiting'!F90+'F5.2 (E) Existing'!F90+'F5.1 (N) New'!F90+'F5.2 (N) New'!F90</f>
        <v>0</v>
      </c>
      <c r="G90" s="1148">
        <f>+'F5.1 (E) Exisiting'!G90+'F5.2 (E) Existing'!G90+'F5.1 (N) New'!G90+'F5.2 (N) New'!G90</f>
        <v>0</v>
      </c>
      <c r="H90" s="760">
        <f t="shared" si="44"/>
        <v>22.773284924897371</v>
      </c>
      <c r="I90" s="1146">
        <f t="shared" si="45"/>
        <v>22.773284924897371</v>
      </c>
      <c r="J90" s="1148">
        <f>+'F5.1 (E) Exisiting'!J90+'F5.2 (E) Existing'!J90+'F5.1 (N) New'!J90+'F5.2 (N) New'!J90</f>
        <v>3.0346454232050237</v>
      </c>
      <c r="K90" s="1148">
        <f>+'F5.1 (E) Exisiting'!K90+'F5.2 (E) Existing'!K90+'F5.1 (N) New'!K90+'F5.2 (N) New'!K90</f>
        <v>0</v>
      </c>
      <c r="L90" s="1148">
        <f>+'F5.1 (E) Exisiting'!L90+'F5.2 (E) Existing'!L90+'F5.1 (N) New'!L90+'F5.2 (N) New'!L90</f>
        <v>0</v>
      </c>
      <c r="M90" s="760">
        <f t="shared" si="46"/>
        <v>25.807930348102396</v>
      </c>
      <c r="N90" s="1146">
        <f t="shared" si="47"/>
        <v>25.807930348102396</v>
      </c>
      <c r="O90" s="1148">
        <f>+'F5.1 (E) Exisiting'!O90+'F5.2 (E) Existing'!O90+'F5.1 (N) New'!O90+'F5.2 (N) New'!O90</f>
        <v>3.0346454232050237</v>
      </c>
      <c r="P90" s="1148">
        <f>+'F5.1 (E) Exisiting'!P90+'F5.2 (E) Existing'!P90+'F5.1 (N) New'!P90+'F5.2 (N) New'!P90</f>
        <v>0</v>
      </c>
      <c r="Q90" s="1148">
        <f>+'F5.1 (E) Exisiting'!Q90+'F5.2 (E) Existing'!Q90+'F5.1 (N) New'!Q90+'F5.2 (N) New'!Q90</f>
        <v>0</v>
      </c>
      <c r="R90" s="760">
        <f t="shared" si="48"/>
        <v>28.84257577130742</v>
      </c>
      <c r="S90" s="1146">
        <f t="shared" si="49"/>
        <v>28.84257577130742</v>
      </c>
      <c r="T90" s="1148">
        <f>+'F5.1 (E) Exisiting'!T90+'F5.2 (E) Existing'!T90+'F5.1 (N) New'!T90+'F5.2 (N) New'!T90</f>
        <v>3.0346454232050237</v>
      </c>
      <c r="U90" s="1148">
        <f>+'F5.1 (E) Exisiting'!U90+'F5.2 (E) Existing'!U90+'F5.1 (N) New'!U90+'F5.2 (N) New'!U90</f>
        <v>0</v>
      </c>
      <c r="V90" s="1148">
        <f>+'F5.1 (E) Exisiting'!V90+'F5.2 (E) Existing'!V90+'F5.1 (N) New'!V90+'F5.2 (N) New'!V90</f>
        <v>0</v>
      </c>
      <c r="W90" s="760">
        <f t="shared" si="50"/>
        <v>31.877221194512444</v>
      </c>
    </row>
    <row r="91" spans="2:23" x14ac:dyDescent="0.35">
      <c r="B91" s="1133">
        <v>4</v>
      </c>
      <c r="C91" s="1134" t="s">
        <v>915</v>
      </c>
      <c r="D91" s="1148">
        <f t="shared" si="43"/>
        <v>1.2479852743687729</v>
      </c>
      <c r="E91" s="1148">
        <f>+'F5.1 (E) Exisiting'!E91+'F5.2 (E) Existing'!E91+'F5.1 (N) New'!E91+'F5.2 (N) New'!E91</f>
        <v>0.18114712848195724</v>
      </c>
      <c r="F91" s="1148">
        <f>+'F5.1 (E) Exisiting'!F91+'F5.2 (E) Existing'!F91+'F5.1 (N) New'!F91+'F5.2 (N) New'!F91</f>
        <v>0</v>
      </c>
      <c r="G91" s="1148">
        <f>+'F5.1 (E) Exisiting'!G91+'F5.2 (E) Existing'!G91+'F5.1 (N) New'!G91+'F5.2 (N) New'!G91</f>
        <v>0</v>
      </c>
      <c r="H91" s="760">
        <f t="shared" si="44"/>
        <v>1.4291324028507302</v>
      </c>
      <c r="I91" s="1146">
        <f t="shared" si="45"/>
        <v>1.4291324028507302</v>
      </c>
      <c r="J91" s="1148">
        <f>+'F5.1 (E) Exisiting'!J91+'F5.2 (E) Existing'!J91+'F5.1 (N) New'!J91+'F5.2 (N) New'!J91</f>
        <v>0.19199884582195723</v>
      </c>
      <c r="K91" s="1148">
        <f>+'F5.1 (E) Exisiting'!K91+'F5.2 (E) Existing'!K91+'F5.1 (N) New'!K91+'F5.2 (N) New'!K91</f>
        <v>0</v>
      </c>
      <c r="L91" s="1148">
        <f>+'F5.1 (E) Exisiting'!L91+'F5.2 (E) Existing'!L91+'F5.1 (N) New'!L91+'F5.2 (N) New'!L91</f>
        <v>0</v>
      </c>
      <c r="M91" s="760">
        <f t="shared" si="46"/>
        <v>1.6211312486726874</v>
      </c>
      <c r="N91" s="1146">
        <f t="shared" si="47"/>
        <v>1.6211312486726874</v>
      </c>
      <c r="O91" s="1148">
        <f>+'F5.1 (E) Exisiting'!O91+'F5.2 (E) Existing'!O91+'F5.1 (N) New'!O91+'F5.2 (N) New'!O91</f>
        <v>0.20735019302195723</v>
      </c>
      <c r="P91" s="1148">
        <f>+'F5.1 (E) Exisiting'!P91+'F5.2 (E) Existing'!P91+'F5.1 (N) New'!P91+'F5.2 (N) New'!P91</f>
        <v>0</v>
      </c>
      <c r="Q91" s="1148">
        <f>+'F5.1 (E) Exisiting'!Q91+'F5.2 (E) Existing'!Q91+'F5.1 (N) New'!Q91+'F5.2 (N) New'!Q91</f>
        <v>0</v>
      </c>
      <c r="R91" s="760">
        <f t="shared" si="48"/>
        <v>1.8284814416946447</v>
      </c>
      <c r="S91" s="1146">
        <f t="shared" si="49"/>
        <v>1.8284814416946447</v>
      </c>
      <c r="T91" s="1148">
        <f>+'F5.1 (E) Exisiting'!T91+'F5.2 (E) Existing'!T91+'F5.1 (N) New'!T91+'F5.2 (N) New'!T91</f>
        <v>0.22600692485195722</v>
      </c>
      <c r="U91" s="1148">
        <f>+'F5.1 (E) Exisiting'!U91+'F5.2 (E) Existing'!U91+'F5.1 (N) New'!U91+'F5.2 (N) New'!U91</f>
        <v>0</v>
      </c>
      <c r="V91" s="1148">
        <f>+'F5.1 (E) Exisiting'!V91+'F5.2 (E) Existing'!V91+'F5.1 (N) New'!V91+'F5.2 (N) New'!V91</f>
        <v>0</v>
      </c>
      <c r="W91" s="760">
        <f t="shared" si="50"/>
        <v>2.0544883665466021</v>
      </c>
    </row>
    <row r="92" spans="2:23" x14ac:dyDescent="0.35">
      <c r="B92" s="1133">
        <v>5</v>
      </c>
      <c r="C92" s="1134" t="s">
        <v>447</v>
      </c>
      <c r="D92" s="1148">
        <f t="shared" si="43"/>
        <v>6.0602005625217802E-2</v>
      </c>
      <c r="E92" s="1148">
        <f>+'F5.1 (E) Exisiting'!E92+'F5.2 (E) Existing'!E92+'F5.1 (N) New'!E92+'F5.2 (N) New'!E92</f>
        <v>2.9463627494999992E-2</v>
      </c>
      <c r="F92" s="1148">
        <f>+'F5.1 (E) Exisiting'!F92+'F5.2 (E) Existing'!F92+'F5.1 (N) New'!F92+'F5.2 (N) New'!F92</f>
        <v>0</v>
      </c>
      <c r="G92" s="1148">
        <f>+'F5.1 (E) Exisiting'!G92+'F5.2 (E) Existing'!G92+'F5.1 (N) New'!G92+'F5.2 (N) New'!G92</f>
        <v>0</v>
      </c>
      <c r="H92" s="760">
        <f t="shared" si="44"/>
        <v>9.0065633120217786E-2</v>
      </c>
      <c r="I92" s="1146">
        <f t="shared" si="45"/>
        <v>9.0065633120217786E-2</v>
      </c>
      <c r="J92" s="1148">
        <f>+'F5.1 (E) Exisiting'!J92+'F5.2 (E) Existing'!J92+'F5.1 (N) New'!J92+'F5.2 (N) New'!J92</f>
        <v>3.1362627494999996E-2</v>
      </c>
      <c r="K92" s="1148">
        <f>+'F5.1 (E) Exisiting'!K92+'F5.2 (E) Existing'!K92+'F5.1 (N) New'!K92+'F5.2 (N) New'!K92</f>
        <v>0</v>
      </c>
      <c r="L92" s="1148">
        <f>+'F5.1 (E) Exisiting'!L92+'F5.2 (E) Existing'!L92+'F5.1 (N) New'!L92+'F5.2 (N) New'!L92</f>
        <v>0</v>
      </c>
      <c r="M92" s="760">
        <f t="shared" si="46"/>
        <v>0.12142826061521778</v>
      </c>
      <c r="N92" s="1146">
        <f t="shared" si="47"/>
        <v>0.12142826061521778</v>
      </c>
      <c r="O92" s="1148">
        <f>+'F5.1 (E) Exisiting'!O92+'F5.2 (E) Existing'!O92+'F5.1 (N) New'!O92+'F5.2 (N) New'!O92</f>
        <v>3.1362627494999996E-2</v>
      </c>
      <c r="P92" s="1148">
        <f>+'F5.1 (E) Exisiting'!P92+'F5.2 (E) Existing'!P92+'F5.1 (N) New'!P92+'F5.2 (N) New'!P92</f>
        <v>0</v>
      </c>
      <c r="Q92" s="1148">
        <f>+'F5.1 (E) Exisiting'!Q92+'F5.2 (E) Existing'!Q92+'F5.1 (N) New'!Q92+'F5.2 (N) New'!Q92</f>
        <v>0</v>
      </c>
      <c r="R92" s="760">
        <f t="shared" si="48"/>
        <v>0.15279088811021777</v>
      </c>
      <c r="S92" s="1146">
        <f t="shared" si="49"/>
        <v>0.15279088811021777</v>
      </c>
      <c r="T92" s="1148">
        <f>+'F5.1 (E) Exisiting'!T92+'F5.2 (E) Existing'!T92+'F5.1 (N) New'!T92+'F5.2 (N) New'!T92</f>
        <v>3.1362627494999996E-2</v>
      </c>
      <c r="U92" s="1148">
        <f>+'F5.1 (E) Exisiting'!U92+'F5.2 (E) Existing'!U92+'F5.1 (N) New'!U92+'F5.2 (N) New'!U92</f>
        <v>0</v>
      </c>
      <c r="V92" s="1148">
        <f>+'F5.1 (E) Exisiting'!V92+'F5.2 (E) Existing'!V92+'F5.1 (N) New'!V92+'F5.2 (N) New'!V92</f>
        <v>0</v>
      </c>
      <c r="W92" s="760">
        <f t="shared" si="50"/>
        <v>0.18415351560521775</v>
      </c>
    </row>
    <row r="93" spans="2:23" x14ac:dyDescent="0.35">
      <c r="B93" s="1133">
        <v>6</v>
      </c>
      <c r="C93" s="1134" t="s">
        <v>879</v>
      </c>
      <c r="D93" s="1148">
        <f t="shared" si="43"/>
        <v>4.3392840000000005E-3</v>
      </c>
      <c r="E93" s="1148">
        <f>+'F5.1 (E) Exisiting'!E93+'F5.2 (E) Existing'!E93+'F5.1 (N) New'!E93+'F5.2 (N) New'!E93</f>
        <v>6.2681E-4</v>
      </c>
      <c r="F93" s="1148">
        <f>+'F5.1 (E) Exisiting'!F93+'F5.2 (E) Existing'!F93+'F5.1 (N) New'!F93+'F5.2 (N) New'!F93</f>
        <v>0</v>
      </c>
      <c r="G93" s="1148">
        <f>+'F5.1 (E) Exisiting'!G93+'F5.2 (E) Existing'!G93+'F5.1 (N) New'!G93+'F5.2 (N) New'!G93</f>
        <v>0</v>
      </c>
      <c r="H93" s="760">
        <f t="shared" si="44"/>
        <v>4.9660940000000008E-3</v>
      </c>
      <c r="I93" s="1146">
        <f t="shared" si="45"/>
        <v>4.9660940000000008E-3</v>
      </c>
      <c r="J93" s="1148">
        <f>+'F5.1 (E) Exisiting'!J93+'F5.2 (E) Existing'!J93+'F5.1 (N) New'!J93+'F5.2 (N) New'!J93</f>
        <v>6.0811566666666664E-4</v>
      </c>
      <c r="K93" s="1148">
        <f>+'F5.1 (E) Exisiting'!K93+'F5.2 (E) Existing'!K93+'F5.1 (N) New'!K93+'F5.2 (N) New'!K93</f>
        <v>0</v>
      </c>
      <c r="L93" s="1148">
        <f>+'F5.1 (E) Exisiting'!L93+'F5.2 (E) Existing'!L93+'F5.1 (N) New'!L93+'F5.2 (N) New'!L93</f>
        <v>0</v>
      </c>
      <c r="M93" s="760">
        <f t="shared" si="46"/>
        <v>5.5742096666666673E-3</v>
      </c>
      <c r="N93" s="1146">
        <f t="shared" si="47"/>
        <v>5.5742096666666673E-3</v>
      </c>
      <c r="O93" s="1148">
        <f>+'F5.1 (E) Exisiting'!O93+'F5.2 (E) Existing'!O93+'F5.1 (N) New'!O93+'F5.2 (N) New'!O93</f>
        <v>3.5475306666666641E-4</v>
      </c>
      <c r="P93" s="1148">
        <f>+'F5.1 (E) Exisiting'!P93+'F5.2 (E) Existing'!P93+'F5.1 (N) New'!P93+'F5.2 (N) New'!P93</f>
        <v>0</v>
      </c>
      <c r="Q93" s="1148">
        <f>+'F5.1 (E) Exisiting'!Q93+'F5.2 (E) Existing'!Q93+'F5.1 (N) New'!Q93+'F5.2 (N) New'!Q93</f>
        <v>0</v>
      </c>
      <c r="R93" s="760">
        <f t="shared" si="48"/>
        <v>5.9289627333333336E-3</v>
      </c>
      <c r="S93" s="1146">
        <f t="shared" si="49"/>
        <v>5.9289627333333336E-3</v>
      </c>
      <c r="T93" s="1148">
        <f>+'F5.1 (E) Exisiting'!T93+'F5.2 (E) Existing'!T93+'F5.1 (N) New'!T93+'F5.2 (N) New'!T93</f>
        <v>9.2372666666667687E-6</v>
      </c>
      <c r="U93" s="1148">
        <f>+'F5.1 (E) Exisiting'!U93+'F5.2 (E) Existing'!U93+'F5.1 (N) New'!U93+'F5.2 (N) New'!U93</f>
        <v>0</v>
      </c>
      <c r="V93" s="1148">
        <f>+'F5.1 (E) Exisiting'!V93+'F5.2 (E) Existing'!V93+'F5.1 (N) New'!V93+'F5.2 (N) New'!V93</f>
        <v>0</v>
      </c>
      <c r="W93" s="760">
        <f t="shared" si="50"/>
        <v>5.9382000000000002E-3</v>
      </c>
    </row>
    <row r="94" spans="2:23" x14ac:dyDescent="0.4">
      <c r="B94" s="1133">
        <v>7</v>
      </c>
      <c r="C94" s="1135" t="s">
        <v>1269</v>
      </c>
      <c r="D94" s="1148">
        <f t="shared" si="43"/>
        <v>9.6057959987453409E-2</v>
      </c>
      <c r="E94" s="1148">
        <f>+'F5.1 (E) Exisiting'!E94+'F5.2 (E) Existing'!E94+'F5.1 (N) New'!E94+'F5.2 (N) New'!E94</f>
        <v>2.1570923699999998E-2</v>
      </c>
      <c r="F94" s="1148">
        <f>+'F5.1 (E) Exisiting'!F94+'F5.2 (E) Existing'!F94+'F5.1 (N) New'!F94+'F5.2 (N) New'!F94</f>
        <v>0</v>
      </c>
      <c r="G94" s="1148">
        <f>+'F5.1 (E) Exisiting'!G94+'F5.2 (E) Existing'!G94+'F5.1 (N) New'!G94+'F5.2 (N) New'!G94</f>
        <v>0</v>
      </c>
      <c r="H94" s="760">
        <f t="shared" si="44"/>
        <v>0.1176288836874534</v>
      </c>
      <c r="I94" s="1146">
        <f t="shared" si="45"/>
        <v>0.1176288836874534</v>
      </c>
      <c r="J94" s="1148">
        <f>+'F5.1 (E) Exisiting'!J94+'F5.2 (E) Existing'!J94+'F5.1 (N) New'!J94+'F5.2 (N) New'!J94</f>
        <v>1.179665851254659E-2</v>
      </c>
      <c r="K94" s="1148">
        <f>+'F5.1 (E) Exisiting'!K94+'F5.2 (E) Existing'!K94+'F5.1 (N) New'!K94+'F5.2 (N) New'!K94</f>
        <v>0</v>
      </c>
      <c r="L94" s="1148">
        <f>+'F5.1 (E) Exisiting'!L94+'F5.2 (E) Existing'!L94+'F5.1 (N) New'!L94+'F5.2 (N) New'!L94</f>
        <v>0</v>
      </c>
      <c r="M94" s="760">
        <f t="shared" si="46"/>
        <v>0.12942554219999999</v>
      </c>
      <c r="N94" s="1146">
        <f t="shared" si="47"/>
        <v>0.12942554219999999</v>
      </c>
      <c r="O94" s="1148">
        <f>+'F5.1 (E) Exisiting'!O94+'F5.2 (E) Existing'!O94+'F5.1 (N) New'!O94+'F5.2 (N) New'!O94</f>
        <v>0</v>
      </c>
      <c r="P94" s="1148">
        <f>+'F5.1 (E) Exisiting'!P94+'F5.2 (E) Existing'!P94+'F5.1 (N) New'!P94+'F5.2 (N) New'!P94</f>
        <v>0</v>
      </c>
      <c r="Q94" s="1148">
        <f>+'F5.1 (E) Exisiting'!Q94+'F5.2 (E) Existing'!Q94+'F5.1 (N) New'!Q94+'F5.2 (N) New'!Q94</f>
        <v>0</v>
      </c>
      <c r="R94" s="760">
        <f t="shared" si="48"/>
        <v>0.12942554219999999</v>
      </c>
      <c r="S94" s="1146">
        <f t="shared" si="49"/>
        <v>0.12942554219999999</v>
      </c>
      <c r="T94" s="1148">
        <f>+'F5.1 (E) Exisiting'!T94+'F5.2 (E) Existing'!T94+'F5.1 (N) New'!T94+'F5.2 (N) New'!T94</f>
        <v>0</v>
      </c>
      <c r="U94" s="1148">
        <f>+'F5.1 (E) Exisiting'!U94+'F5.2 (E) Existing'!U94+'F5.1 (N) New'!U94+'F5.2 (N) New'!U94</f>
        <v>0</v>
      </c>
      <c r="V94" s="1148">
        <f>+'F5.1 (E) Exisiting'!V94+'F5.2 (E) Existing'!V94+'F5.1 (N) New'!V94+'F5.2 (N) New'!V94</f>
        <v>0</v>
      </c>
      <c r="W94" s="760">
        <f t="shared" si="50"/>
        <v>0.12942554219999999</v>
      </c>
    </row>
    <row r="95" spans="2:23" x14ac:dyDescent="0.4">
      <c r="B95" s="1133">
        <v>8</v>
      </c>
      <c r="C95" s="1135" t="s">
        <v>1270</v>
      </c>
      <c r="D95" s="1148">
        <f t="shared" si="43"/>
        <v>0.22349142</v>
      </c>
      <c r="E95" s="1148">
        <f>+'F5.1 (E) Exisiting'!E95+'F5.2 (E) Existing'!E95+'F5.1 (N) New'!E95+'F5.2 (N) New'!E95</f>
        <v>0</v>
      </c>
      <c r="F95" s="1148">
        <f>+'F5.1 (E) Exisiting'!F95+'F5.2 (E) Existing'!F95+'F5.1 (N) New'!F95+'F5.2 (N) New'!F95</f>
        <v>0</v>
      </c>
      <c r="G95" s="1148">
        <f>+'F5.1 (E) Exisiting'!G95+'F5.2 (E) Existing'!G95+'F5.1 (N) New'!G95+'F5.2 (N) New'!G95</f>
        <v>0</v>
      </c>
      <c r="H95" s="760">
        <f t="shared" si="44"/>
        <v>0.22349142</v>
      </c>
      <c r="I95" s="1146">
        <f t="shared" si="45"/>
        <v>0.22349142</v>
      </c>
      <c r="J95" s="1148">
        <f>+'F5.1 (E) Exisiting'!J95+'F5.2 (E) Existing'!J95+'F5.1 (N) New'!J95+'F5.2 (N) New'!J95</f>
        <v>0</v>
      </c>
      <c r="K95" s="1148">
        <f>+'F5.1 (E) Exisiting'!K95+'F5.2 (E) Existing'!K95+'F5.1 (N) New'!K95+'F5.2 (N) New'!K95</f>
        <v>0</v>
      </c>
      <c r="L95" s="1148">
        <f>+'F5.1 (E) Exisiting'!L95+'F5.2 (E) Existing'!L95+'F5.1 (N) New'!L95+'F5.2 (N) New'!L95</f>
        <v>0</v>
      </c>
      <c r="M95" s="760">
        <f t="shared" si="46"/>
        <v>0.22349142</v>
      </c>
      <c r="N95" s="1146">
        <f t="shared" si="47"/>
        <v>0.22349142</v>
      </c>
      <c r="O95" s="1148">
        <f>+'F5.1 (E) Exisiting'!O95+'F5.2 (E) Existing'!O95+'F5.1 (N) New'!O95+'F5.2 (N) New'!O95</f>
        <v>0</v>
      </c>
      <c r="P95" s="1148">
        <f>+'F5.1 (E) Exisiting'!P95+'F5.2 (E) Existing'!P95+'F5.1 (N) New'!P95+'F5.2 (N) New'!P95</f>
        <v>0</v>
      </c>
      <c r="Q95" s="1148">
        <f>+'F5.1 (E) Exisiting'!Q95+'F5.2 (E) Existing'!Q95+'F5.1 (N) New'!Q95+'F5.2 (N) New'!Q95</f>
        <v>0</v>
      </c>
      <c r="R95" s="760">
        <f t="shared" si="48"/>
        <v>0.22349142</v>
      </c>
      <c r="S95" s="1146">
        <f t="shared" si="49"/>
        <v>0.22349142</v>
      </c>
      <c r="T95" s="1148">
        <f>+'F5.1 (E) Exisiting'!T95+'F5.2 (E) Existing'!T95+'F5.1 (N) New'!T95+'F5.2 (N) New'!T95</f>
        <v>0</v>
      </c>
      <c r="U95" s="1148">
        <f>+'F5.1 (E) Exisiting'!U95+'F5.2 (E) Existing'!U95+'F5.1 (N) New'!U95+'F5.2 (N) New'!U95</f>
        <v>0</v>
      </c>
      <c r="V95" s="1148">
        <f>+'F5.1 (E) Exisiting'!V95+'F5.2 (E) Existing'!V95+'F5.1 (N) New'!V95+'F5.2 (N) New'!V95</f>
        <v>0</v>
      </c>
      <c r="W95" s="760">
        <f t="shared" si="50"/>
        <v>0.22349142</v>
      </c>
    </row>
    <row r="96" spans="2:23" ht="14.65" x14ac:dyDescent="0.4">
      <c r="B96" s="1136"/>
      <c r="C96" s="1137" t="s">
        <v>164</v>
      </c>
      <c r="D96" s="1147">
        <f t="shared" ref="D96:W96" si="51">SUM(D88:D95)</f>
        <v>24.016005287079938</v>
      </c>
      <c r="E96" s="1147">
        <f t="shared" si="51"/>
        <v>3.653638740881981</v>
      </c>
      <c r="F96" s="1147">
        <f t="shared" si="51"/>
        <v>0</v>
      </c>
      <c r="G96" s="1147">
        <f t="shared" si="51"/>
        <v>0</v>
      </c>
      <c r="H96" s="1147">
        <f t="shared" si="51"/>
        <v>27.669644027961919</v>
      </c>
      <c r="I96" s="1147">
        <f t="shared" si="51"/>
        <v>27.669644027961919</v>
      </c>
      <c r="J96" s="1147">
        <f t="shared" si="51"/>
        <v>3.6565964987011941</v>
      </c>
      <c r="K96" s="1147">
        <f t="shared" si="51"/>
        <v>0</v>
      </c>
      <c r="L96" s="1147">
        <f t="shared" si="51"/>
        <v>0</v>
      </c>
      <c r="M96" s="1147">
        <f t="shared" si="51"/>
        <v>31.326240526663113</v>
      </c>
      <c r="N96" s="1147">
        <f t="shared" si="51"/>
        <v>31.326240526663113</v>
      </c>
      <c r="O96" s="1147">
        <f t="shared" si="51"/>
        <v>3.6598978247886476</v>
      </c>
      <c r="P96" s="1147">
        <f t="shared" si="51"/>
        <v>0</v>
      </c>
      <c r="Q96" s="1147">
        <f t="shared" si="51"/>
        <v>0</v>
      </c>
      <c r="R96" s="1147">
        <f t="shared" si="51"/>
        <v>34.986138351451771</v>
      </c>
      <c r="S96" s="1147">
        <f t="shared" si="51"/>
        <v>34.986138351451771</v>
      </c>
      <c r="T96" s="1147">
        <f t="shared" si="51"/>
        <v>3.6782090408186474</v>
      </c>
      <c r="U96" s="1147">
        <f t="shared" si="51"/>
        <v>0</v>
      </c>
      <c r="V96" s="1147">
        <f t="shared" si="51"/>
        <v>0</v>
      </c>
      <c r="W96" s="1147">
        <f t="shared" si="51"/>
        <v>38.664347392270422</v>
      </c>
    </row>
    <row r="97" spans="2:23" ht="14.65" x14ac:dyDescent="0.4">
      <c r="B97" s="1138"/>
      <c r="C97" s="1139"/>
      <c r="D97" s="1144"/>
      <c r="E97" s="1144"/>
      <c r="F97" s="1144"/>
      <c r="G97" s="1144"/>
      <c r="H97" s="1144"/>
      <c r="J97" s="153"/>
      <c r="M97" s="153"/>
      <c r="N97" s="153"/>
    </row>
    <row r="98" spans="2:23" x14ac:dyDescent="0.35">
      <c r="B98" s="83" t="s">
        <v>540</v>
      </c>
    </row>
    <row r="99" spans="2:23" x14ac:dyDescent="0.35">
      <c r="J99" s="153"/>
      <c r="M99" s="153"/>
      <c r="N99" s="153"/>
      <c r="R99" s="1143"/>
      <c r="W99" s="1145" t="s">
        <v>110</v>
      </c>
    </row>
    <row r="100" spans="2:23" x14ac:dyDescent="0.35">
      <c r="B100" s="1947" t="s">
        <v>1</v>
      </c>
      <c r="C100" s="1947" t="s">
        <v>111</v>
      </c>
      <c r="D100" s="2052" t="s">
        <v>196</v>
      </c>
      <c r="E100" s="2052"/>
      <c r="F100" s="2052"/>
      <c r="G100" s="2052"/>
      <c r="H100" s="2052"/>
      <c r="I100" s="1947" t="s">
        <v>197</v>
      </c>
      <c r="J100" s="1947"/>
      <c r="K100" s="1947"/>
      <c r="L100" s="1947"/>
      <c r="M100" s="1947"/>
      <c r="N100" s="1947" t="s">
        <v>198</v>
      </c>
      <c r="O100" s="1947"/>
      <c r="P100" s="1947"/>
      <c r="Q100" s="1947"/>
      <c r="R100" s="1947"/>
      <c r="S100" s="1947" t="s">
        <v>199</v>
      </c>
      <c r="T100" s="1947"/>
      <c r="U100" s="1947"/>
      <c r="V100" s="1947"/>
      <c r="W100" s="1947"/>
    </row>
    <row r="101" spans="2:23" x14ac:dyDescent="0.35">
      <c r="B101" s="1947"/>
      <c r="C101" s="1947"/>
      <c r="D101" s="1947" t="s">
        <v>186</v>
      </c>
      <c r="E101" s="2051"/>
      <c r="F101" s="2051"/>
      <c r="G101" s="2051"/>
      <c r="H101" s="2051"/>
      <c r="I101" s="1947" t="s">
        <v>186</v>
      </c>
      <c r="J101" s="2051"/>
      <c r="K101" s="2051"/>
      <c r="L101" s="2051"/>
      <c r="M101" s="2051"/>
      <c r="N101" s="1947" t="s">
        <v>186</v>
      </c>
      <c r="O101" s="2051"/>
      <c r="P101" s="2051"/>
      <c r="Q101" s="2051"/>
      <c r="R101" s="2051"/>
      <c r="S101" s="1947" t="s">
        <v>186</v>
      </c>
      <c r="T101" s="2051"/>
      <c r="U101" s="2051"/>
      <c r="V101" s="2051"/>
      <c r="W101" s="2051"/>
    </row>
    <row r="102" spans="2:23" ht="40.5" x14ac:dyDescent="0.35">
      <c r="B102" s="1947"/>
      <c r="C102" s="1947"/>
      <c r="D102" s="250" t="s">
        <v>523</v>
      </c>
      <c r="E102" s="250" t="s">
        <v>524</v>
      </c>
      <c r="F102" s="251" t="s">
        <v>538</v>
      </c>
      <c r="G102" s="106" t="s">
        <v>543</v>
      </c>
      <c r="H102" s="250" t="s">
        <v>526</v>
      </c>
      <c r="I102" s="250" t="s">
        <v>523</v>
      </c>
      <c r="J102" s="250" t="s">
        <v>524</v>
      </c>
      <c r="K102" s="251" t="s">
        <v>538</v>
      </c>
      <c r="L102" s="106" t="s">
        <v>543</v>
      </c>
      <c r="M102" s="250" t="s">
        <v>526</v>
      </c>
      <c r="N102" s="250" t="s">
        <v>523</v>
      </c>
      <c r="O102" s="250" t="s">
        <v>524</v>
      </c>
      <c r="P102" s="251" t="s">
        <v>538</v>
      </c>
      <c r="Q102" s="106" t="s">
        <v>543</v>
      </c>
      <c r="R102" s="250" t="s">
        <v>526</v>
      </c>
      <c r="S102" s="250" t="s">
        <v>523</v>
      </c>
      <c r="T102" s="250" t="s">
        <v>524</v>
      </c>
      <c r="U102" s="251" t="s">
        <v>538</v>
      </c>
      <c r="V102" s="106" t="s">
        <v>543</v>
      </c>
      <c r="W102" s="250" t="s">
        <v>526</v>
      </c>
    </row>
    <row r="103" spans="2:23" x14ac:dyDescent="0.35">
      <c r="B103" s="217"/>
      <c r="C103" s="217"/>
      <c r="D103" s="217" t="s">
        <v>128</v>
      </c>
      <c r="E103" s="217" t="s">
        <v>129</v>
      </c>
      <c r="F103" s="217" t="s">
        <v>527</v>
      </c>
      <c r="G103" s="217" t="s">
        <v>130</v>
      </c>
      <c r="H103" s="217" t="s">
        <v>544</v>
      </c>
      <c r="I103" s="217" t="s">
        <v>331</v>
      </c>
      <c r="J103" s="217" t="s">
        <v>132</v>
      </c>
      <c r="K103" s="217" t="s">
        <v>133</v>
      </c>
      <c r="L103" s="217" t="s">
        <v>332</v>
      </c>
      <c r="M103" s="217" t="s">
        <v>545</v>
      </c>
      <c r="N103" s="217" t="s">
        <v>528</v>
      </c>
      <c r="O103" s="217" t="s">
        <v>529</v>
      </c>
      <c r="P103" s="217" t="s">
        <v>334</v>
      </c>
      <c r="Q103" s="217" t="s">
        <v>530</v>
      </c>
      <c r="R103" s="217" t="s">
        <v>546</v>
      </c>
      <c r="S103" s="217" t="s">
        <v>532</v>
      </c>
      <c r="T103" s="217" t="s">
        <v>533</v>
      </c>
      <c r="U103" s="217" t="s">
        <v>534</v>
      </c>
      <c r="V103" s="217" t="s">
        <v>535</v>
      </c>
      <c r="W103" s="217" t="s">
        <v>547</v>
      </c>
    </row>
    <row r="104" spans="2:23" x14ac:dyDescent="0.35">
      <c r="B104" s="1133">
        <v>1</v>
      </c>
      <c r="C104" s="1134" t="s">
        <v>1410</v>
      </c>
      <c r="D104" s="1148">
        <f>+D16-D60</f>
        <v>0</v>
      </c>
      <c r="E104" s="1148">
        <f>+E16-E60</f>
        <v>3.45E-6</v>
      </c>
      <c r="F104" s="1148">
        <f>+F16-F60</f>
        <v>0</v>
      </c>
      <c r="G104" s="1148">
        <f>+G16-G60</f>
        <v>0</v>
      </c>
      <c r="H104" s="760">
        <f>+D104+E104-F104-G104</f>
        <v>3.45E-6</v>
      </c>
      <c r="I104" s="1146">
        <f>+H104</f>
        <v>3.45E-6</v>
      </c>
      <c r="J104" s="1148">
        <f t="shared" ref="J104:L111" si="52">+J16-J60</f>
        <v>-9.9999999999999995E-8</v>
      </c>
      <c r="K104" s="1148">
        <f t="shared" si="52"/>
        <v>0</v>
      </c>
      <c r="L104" s="1148">
        <f t="shared" si="52"/>
        <v>0</v>
      </c>
      <c r="M104" s="760">
        <f>+I104+J104-K104-L104</f>
        <v>3.3500000000000001E-6</v>
      </c>
      <c r="N104" s="1146">
        <f>+M104</f>
        <v>3.3500000000000001E-6</v>
      </c>
      <c r="O104" s="1148">
        <f t="shared" ref="O104:Q111" si="53">+O16-O60</f>
        <v>-9.9999999999999995E-8</v>
      </c>
      <c r="P104" s="1148">
        <f t="shared" si="53"/>
        <v>0</v>
      </c>
      <c r="Q104" s="1148">
        <f t="shared" si="53"/>
        <v>0</v>
      </c>
      <c r="R104" s="760">
        <f>+N104+O104-P104-Q104</f>
        <v>3.2500000000000002E-6</v>
      </c>
      <c r="S104" s="1146">
        <f>+R104</f>
        <v>3.2500000000000002E-6</v>
      </c>
      <c r="T104" s="1148">
        <f t="shared" ref="T104:V111" si="54">+T16-T60</f>
        <v>-9.9999999999999995E-8</v>
      </c>
      <c r="U104" s="1148">
        <f t="shared" si="54"/>
        <v>0</v>
      </c>
      <c r="V104" s="1148">
        <f t="shared" si="54"/>
        <v>0</v>
      </c>
      <c r="W104" s="760">
        <f>+S104+T104-U104-V104</f>
        <v>3.1500000000000003E-6</v>
      </c>
    </row>
    <row r="105" spans="2:23" x14ac:dyDescent="0.35">
      <c r="B105" s="1133">
        <v>2</v>
      </c>
      <c r="C105" s="1134" t="s">
        <v>1409</v>
      </c>
      <c r="D105" s="1148">
        <f t="shared" ref="D105:G111" si="55">+D17-D61</f>
        <v>0</v>
      </c>
      <c r="E105" s="1148">
        <f t="shared" si="55"/>
        <v>11.3891095</v>
      </c>
      <c r="F105" s="1148">
        <f t="shared" si="55"/>
        <v>0</v>
      </c>
      <c r="G105" s="1148">
        <f t="shared" si="55"/>
        <v>0</v>
      </c>
      <c r="H105" s="760">
        <f t="shared" ref="H105:H111" si="56">+D105+E105-F105-G105</f>
        <v>11.3891095</v>
      </c>
      <c r="I105" s="1146">
        <f t="shared" ref="I105:I111" si="57">+H105</f>
        <v>11.3891095</v>
      </c>
      <c r="J105" s="1148">
        <f t="shared" si="52"/>
        <v>-0.3803962569581531</v>
      </c>
      <c r="K105" s="1148">
        <f t="shared" si="52"/>
        <v>0</v>
      </c>
      <c r="L105" s="1148">
        <f t="shared" si="52"/>
        <v>0</v>
      </c>
      <c r="M105" s="760">
        <f t="shared" ref="M105:M111" si="58">+I105+J105-K105-L105</f>
        <v>11.008713243041846</v>
      </c>
      <c r="N105" s="1146">
        <f t="shared" ref="N105:N111" si="59">+M105</f>
        <v>11.008713243041846</v>
      </c>
      <c r="O105" s="1148">
        <f t="shared" si="53"/>
        <v>-0.31473622251056349</v>
      </c>
      <c r="P105" s="1148">
        <f t="shared" si="53"/>
        <v>0</v>
      </c>
      <c r="Q105" s="1148">
        <f t="shared" si="53"/>
        <v>0</v>
      </c>
      <c r="R105" s="760">
        <f t="shared" ref="R105:R111" si="60">+N105+O105-P105-Q105</f>
        <v>10.693977020531284</v>
      </c>
      <c r="S105" s="1146">
        <f t="shared" ref="S105:S111" si="61">+R105</f>
        <v>10.693977020531284</v>
      </c>
      <c r="T105" s="1148">
        <f t="shared" si="54"/>
        <v>-0.3475662397343583</v>
      </c>
      <c r="U105" s="1148">
        <f t="shared" si="54"/>
        <v>0</v>
      </c>
      <c r="V105" s="1148">
        <f t="shared" si="54"/>
        <v>0</v>
      </c>
      <c r="W105" s="760">
        <f t="shared" ref="W105:W111" si="62">+S105+T105-U105-V105</f>
        <v>10.346410780796925</v>
      </c>
    </row>
    <row r="106" spans="2:23" x14ac:dyDescent="0.35">
      <c r="B106" s="1133">
        <v>3</v>
      </c>
      <c r="C106" s="1134" t="s">
        <v>440</v>
      </c>
      <c r="D106" s="1148">
        <f t="shared" si="55"/>
        <v>0</v>
      </c>
      <c r="E106" s="1148">
        <f t="shared" si="55"/>
        <v>42.8675894</v>
      </c>
      <c r="F106" s="1148">
        <f t="shared" si="55"/>
        <v>0</v>
      </c>
      <c r="G106" s="1148">
        <f t="shared" si="55"/>
        <v>0</v>
      </c>
      <c r="H106" s="760">
        <f t="shared" si="56"/>
        <v>42.8675894</v>
      </c>
      <c r="I106" s="1146">
        <f t="shared" si="57"/>
        <v>42.8675894</v>
      </c>
      <c r="J106" s="1148">
        <f t="shared" si="52"/>
        <v>9.1787824673505725</v>
      </c>
      <c r="K106" s="1148">
        <f t="shared" si="52"/>
        <v>0</v>
      </c>
      <c r="L106" s="1148">
        <f t="shared" si="52"/>
        <v>0</v>
      </c>
      <c r="M106" s="760">
        <f t="shared" si="58"/>
        <v>52.046371867350572</v>
      </c>
      <c r="N106" s="1146">
        <f t="shared" si="59"/>
        <v>52.046371867350572</v>
      </c>
      <c r="O106" s="1148">
        <f t="shared" si="53"/>
        <v>2.5132566703025527</v>
      </c>
      <c r="P106" s="1148">
        <f t="shared" si="53"/>
        <v>3.3735370970136707</v>
      </c>
      <c r="Q106" s="1148">
        <f t="shared" si="53"/>
        <v>0</v>
      </c>
      <c r="R106" s="760">
        <f t="shared" si="60"/>
        <v>51.186091440639458</v>
      </c>
      <c r="S106" s="1146">
        <f t="shared" si="61"/>
        <v>51.186091440639458</v>
      </c>
      <c r="T106" s="1148">
        <f t="shared" si="54"/>
        <v>-2.1237734110424209</v>
      </c>
      <c r="U106" s="1148">
        <f t="shared" si="54"/>
        <v>0</v>
      </c>
      <c r="V106" s="1148">
        <f t="shared" si="54"/>
        <v>0</v>
      </c>
      <c r="W106" s="760">
        <f t="shared" si="62"/>
        <v>49.062318029597037</v>
      </c>
    </row>
    <row r="107" spans="2:23" x14ac:dyDescent="0.35">
      <c r="B107" s="1133">
        <v>4</v>
      </c>
      <c r="C107" s="1134" t="s">
        <v>915</v>
      </c>
      <c r="D107" s="1148">
        <f t="shared" si="55"/>
        <v>0</v>
      </c>
      <c r="E107" s="1148">
        <f t="shared" si="55"/>
        <v>0.4846664</v>
      </c>
      <c r="F107" s="1148">
        <f t="shared" si="55"/>
        <v>0</v>
      </c>
      <c r="G107" s="1148">
        <f t="shared" si="55"/>
        <v>0</v>
      </c>
      <c r="H107" s="760">
        <f t="shared" si="56"/>
        <v>0.4846664</v>
      </c>
      <c r="I107" s="1146">
        <f t="shared" si="57"/>
        <v>0.4846664</v>
      </c>
      <c r="J107" s="1148">
        <f t="shared" si="52"/>
        <v>1.2376033567199838</v>
      </c>
      <c r="K107" s="1148">
        <f t="shared" si="52"/>
        <v>0</v>
      </c>
      <c r="L107" s="1148">
        <f t="shared" si="52"/>
        <v>0</v>
      </c>
      <c r="M107" s="760">
        <f t="shared" si="58"/>
        <v>1.7222697567199838</v>
      </c>
      <c r="N107" s="1146">
        <f t="shared" si="59"/>
        <v>1.7222697567199838</v>
      </c>
      <c r="O107" s="1148">
        <f t="shared" si="53"/>
        <v>-0.14002539125307428</v>
      </c>
      <c r="P107" s="1148">
        <f t="shared" si="53"/>
        <v>0</v>
      </c>
      <c r="Q107" s="1148">
        <f t="shared" si="53"/>
        <v>0</v>
      </c>
      <c r="R107" s="760">
        <f t="shared" si="60"/>
        <v>1.5822443654669096</v>
      </c>
      <c r="S107" s="1146">
        <f t="shared" si="61"/>
        <v>1.5822443654669096</v>
      </c>
      <c r="T107" s="1148">
        <f t="shared" si="54"/>
        <v>0.13982327228862096</v>
      </c>
      <c r="U107" s="1148">
        <f t="shared" si="54"/>
        <v>0</v>
      </c>
      <c r="V107" s="1148">
        <f t="shared" si="54"/>
        <v>0</v>
      </c>
      <c r="W107" s="760">
        <f t="shared" si="62"/>
        <v>1.7220676377555306</v>
      </c>
    </row>
    <row r="108" spans="2:23" x14ac:dyDescent="0.35">
      <c r="B108" s="1133">
        <v>5</v>
      </c>
      <c r="C108" s="1134" t="s">
        <v>447</v>
      </c>
      <c r="D108" s="1148">
        <f t="shared" si="55"/>
        <v>0</v>
      </c>
      <c r="E108" s="1148">
        <f t="shared" si="55"/>
        <v>9.4171300000000013E-2</v>
      </c>
      <c r="F108" s="1148">
        <f t="shared" si="55"/>
        <v>0</v>
      </c>
      <c r="G108" s="1148">
        <f t="shared" si="55"/>
        <v>0</v>
      </c>
      <c r="H108" s="760">
        <f t="shared" si="56"/>
        <v>9.4171300000000013E-2</v>
      </c>
      <c r="I108" s="1146">
        <f t="shared" si="57"/>
        <v>9.4171300000000013E-2</v>
      </c>
      <c r="J108" s="1148">
        <f t="shared" si="52"/>
        <v>-5.8186510000000002E-3</v>
      </c>
      <c r="K108" s="1148">
        <f t="shared" si="52"/>
        <v>0</v>
      </c>
      <c r="L108" s="1148">
        <f t="shared" si="52"/>
        <v>0</v>
      </c>
      <c r="M108" s="760">
        <f t="shared" si="58"/>
        <v>8.8352649000000019E-2</v>
      </c>
      <c r="N108" s="1146">
        <f t="shared" si="59"/>
        <v>8.8352649000000019E-2</v>
      </c>
      <c r="O108" s="1148">
        <f t="shared" si="53"/>
        <v>-5.8186510000000002E-3</v>
      </c>
      <c r="P108" s="1148">
        <f t="shared" si="53"/>
        <v>0</v>
      </c>
      <c r="Q108" s="1148">
        <f t="shared" si="53"/>
        <v>0</v>
      </c>
      <c r="R108" s="760">
        <f t="shared" si="60"/>
        <v>8.2533998000000025E-2</v>
      </c>
      <c r="S108" s="1146">
        <f t="shared" si="61"/>
        <v>8.2533998000000025E-2</v>
      </c>
      <c r="T108" s="1148">
        <f t="shared" si="54"/>
        <v>1.9209148999999998E-2</v>
      </c>
      <c r="U108" s="1148">
        <f t="shared" si="54"/>
        <v>0</v>
      </c>
      <c r="V108" s="1148">
        <f t="shared" si="54"/>
        <v>0</v>
      </c>
      <c r="W108" s="760">
        <f t="shared" si="62"/>
        <v>0.10174314700000002</v>
      </c>
    </row>
    <row r="109" spans="2:23" x14ac:dyDescent="0.35">
      <c r="B109" s="1133">
        <v>6</v>
      </c>
      <c r="C109" s="1134" t="s">
        <v>879</v>
      </c>
      <c r="D109" s="1148">
        <f t="shared" si="55"/>
        <v>0</v>
      </c>
      <c r="E109" s="1148">
        <f t="shared" si="55"/>
        <v>6.2702999999999995E-3</v>
      </c>
      <c r="F109" s="1148">
        <f t="shared" si="55"/>
        <v>0</v>
      </c>
      <c r="G109" s="1148">
        <f t="shared" si="55"/>
        <v>0</v>
      </c>
      <c r="H109" s="760">
        <f t="shared" si="56"/>
        <v>6.2702999999999995E-3</v>
      </c>
      <c r="I109" s="1146">
        <f t="shared" si="57"/>
        <v>6.2702999999999995E-3</v>
      </c>
      <c r="J109" s="1148">
        <f t="shared" si="52"/>
        <v>-5.6412900000000002E-4</v>
      </c>
      <c r="K109" s="1148">
        <f t="shared" si="52"/>
        <v>0</v>
      </c>
      <c r="L109" s="1148">
        <f t="shared" si="52"/>
        <v>0</v>
      </c>
      <c r="M109" s="760">
        <f t="shared" si="58"/>
        <v>5.7061709999999995E-3</v>
      </c>
      <c r="N109" s="1146">
        <f t="shared" si="59"/>
        <v>5.7061709999999995E-3</v>
      </c>
      <c r="O109" s="1148">
        <f t="shared" si="53"/>
        <v>-5.6412900000000002E-4</v>
      </c>
      <c r="P109" s="1148">
        <f t="shared" si="53"/>
        <v>0</v>
      </c>
      <c r="Q109" s="1148">
        <f t="shared" si="53"/>
        <v>0</v>
      </c>
      <c r="R109" s="760">
        <f t="shared" si="60"/>
        <v>5.1420419999999994E-3</v>
      </c>
      <c r="S109" s="1146">
        <f t="shared" si="61"/>
        <v>5.1420419999999994E-3</v>
      </c>
      <c r="T109" s="1148">
        <f t="shared" si="54"/>
        <v>-5.6412900000000002E-4</v>
      </c>
      <c r="U109" s="1148">
        <f t="shared" si="54"/>
        <v>0</v>
      </c>
      <c r="V109" s="1148">
        <f t="shared" si="54"/>
        <v>0</v>
      </c>
      <c r="W109" s="760">
        <f t="shared" si="62"/>
        <v>4.5779129999999994E-3</v>
      </c>
    </row>
    <row r="110" spans="2:23" x14ac:dyDescent="0.4">
      <c r="B110" s="1133">
        <v>7</v>
      </c>
      <c r="C110" s="1135" t="s">
        <v>1269</v>
      </c>
      <c r="D110" s="1148">
        <f t="shared" si="55"/>
        <v>0</v>
      </c>
      <c r="E110" s="1148">
        <f t="shared" si="55"/>
        <v>2.3480394999999998E-2</v>
      </c>
      <c r="F110" s="1148">
        <f t="shared" si="55"/>
        <v>0</v>
      </c>
      <c r="G110" s="1148">
        <f t="shared" si="55"/>
        <v>0</v>
      </c>
      <c r="H110" s="760">
        <f t="shared" si="56"/>
        <v>2.3480394999999998E-2</v>
      </c>
      <c r="I110" s="1146">
        <f t="shared" si="57"/>
        <v>2.3480394999999998E-2</v>
      </c>
      <c r="J110" s="1148">
        <f t="shared" si="52"/>
        <v>-5.076746E-3</v>
      </c>
      <c r="K110" s="1148">
        <f t="shared" si="52"/>
        <v>0</v>
      </c>
      <c r="L110" s="1148">
        <f t="shared" si="52"/>
        <v>0</v>
      </c>
      <c r="M110" s="760">
        <f t="shared" si="58"/>
        <v>1.8403648999999998E-2</v>
      </c>
      <c r="N110" s="1146">
        <f t="shared" si="59"/>
        <v>1.8403648999999998E-2</v>
      </c>
      <c r="O110" s="1148">
        <f t="shared" si="53"/>
        <v>1.3216921999999999E-2</v>
      </c>
      <c r="P110" s="1148">
        <f t="shared" si="53"/>
        <v>0</v>
      </c>
      <c r="Q110" s="1148">
        <f t="shared" si="53"/>
        <v>0</v>
      </c>
      <c r="R110" s="760">
        <f t="shared" si="60"/>
        <v>3.1620571E-2</v>
      </c>
      <c r="S110" s="1146">
        <f t="shared" si="61"/>
        <v>3.1620571E-2</v>
      </c>
      <c r="T110" s="1148">
        <f t="shared" si="54"/>
        <v>-6.3225679999999989E-3</v>
      </c>
      <c r="U110" s="1148">
        <f t="shared" si="54"/>
        <v>0</v>
      </c>
      <c r="V110" s="1148">
        <f t="shared" si="54"/>
        <v>0</v>
      </c>
      <c r="W110" s="760">
        <f t="shared" si="62"/>
        <v>2.5298002999999999E-2</v>
      </c>
    </row>
    <row r="111" spans="2:23" x14ac:dyDescent="0.4">
      <c r="B111" s="1133">
        <v>8</v>
      </c>
      <c r="C111" s="1135" t="s">
        <v>1270</v>
      </c>
      <c r="D111" s="1148">
        <f t="shared" si="55"/>
        <v>0</v>
      </c>
      <c r="E111" s="1148">
        <f t="shared" si="55"/>
        <v>0.1843764</v>
      </c>
      <c r="F111" s="1148">
        <f t="shared" si="55"/>
        <v>0</v>
      </c>
      <c r="G111" s="1148">
        <f t="shared" si="55"/>
        <v>0</v>
      </c>
      <c r="H111" s="760">
        <f t="shared" si="56"/>
        <v>0.1843764</v>
      </c>
      <c r="I111" s="1146">
        <f t="shared" si="57"/>
        <v>0.1843764</v>
      </c>
      <c r="J111" s="1148">
        <f t="shared" si="52"/>
        <v>-5.7788909999999999E-2</v>
      </c>
      <c r="K111" s="1148">
        <f t="shared" si="52"/>
        <v>0</v>
      </c>
      <c r="L111" s="1148">
        <f t="shared" si="52"/>
        <v>0</v>
      </c>
      <c r="M111" s="760">
        <f t="shared" si="58"/>
        <v>0.12658749</v>
      </c>
      <c r="N111" s="1146">
        <f t="shared" si="59"/>
        <v>0.12658749</v>
      </c>
      <c r="O111" s="1148">
        <f t="shared" si="53"/>
        <v>-5.7788909999999999E-2</v>
      </c>
      <c r="P111" s="1148">
        <f t="shared" si="53"/>
        <v>0</v>
      </c>
      <c r="Q111" s="1148">
        <f t="shared" si="53"/>
        <v>0</v>
      </c>
      <c r="R111" s="760">
        <f t="shared" si="60"/>
        <v>6.8798579999999998E-2</v>
      </c>
      <c r="S111" s="1146">
        <f t="shared" si="61"/>
        <v>6.8798579999999998E-2</v>
      </c>
      <c r="T111" s="1148">
        <f t="shared" si="54"/>
        <v>-5.7788909999999999E-2</v>
      </c>
      <c r="U111" s="1148">
        <f t="shared" si="54"/>
        <v>0</v>
      </c>
      <c r="V111" s="1148">
        <f t="shared" si="54"/>
        <v>0</v>
      </c>
      <c r="W111" s="760">
        <f t="shared" si="62"/>
        <v>1.1009669999999999E-2</v>
      </c>
    </row>
    <row r="112" spans="2:23" ht="14.65" x14ac:dyDescent="0.4">
      <c r="B112" s="1136"/>
      <c r="C112" s="1137" t="s">
        <v>164</v>
      </c>
      <c r="D112" s="1147">
        <f>SUM(D104:D111)</f>
        <v>0</v>
      </c>
      <c r="E112" s="1147">
        <f t="shared" ref="E112:W112" si="63">SUM(E104:E111)</f>
        <v>55.049667144999994</v>
      </c>
      <c r="F112" s="1147">
        <f t="shared" si="63"/>
        <v>0</v>
      </c>
      <c r="G112" s="1147">
        <f t="shared" si="63"/>
        <v>0</v>
      </c>
      <c r="H112" s="1147">
        <f t="shared" si="63"/>
        <v>55.049667144999994</v>
      </c>
      <c r="I112" s="1147">
        <f t="shared" si="63"/>
        <v>55.049667144999994</v>
      </c>
      <c r="J112" s="1147">
        <f t="shared" si="63"/>
        <v>9.9667410311124023</v>
      </c>
      <c r="K112" s="1147">
        <f t="shared" si="63"/>
        <v>0</v>
      </c>
      <c r="L112" s="1147">
        <f t="shared" si="63"/>
        <v>0</v>
      </c>
      <c r="M112" s="1147">
        <f t="shared" si="63"/>
        <v>65.016408176112421</v>
      </c>
      <c r="N112" s="1147">
        <f t="shared" si="63"/>
        <v>65.016408176112421</v>
      </c>
      <c r="O112" s="1147">
        <f t="shared" si="63"/>
        <v>2.0075401885389148</v>
      </c>
      <c r="P112" s="1147">
        <f t="shared" si="63"/>
        <v>3.3735370970136707</v>
      </c>
      <c r="Q112" s="1147">
        <f t="shared" si="63"/>
        <v>0</v>
      </c>
      <c r="R112" s="1147">
        <f t="shared" si="63"/>
        <v>63.650411267637658</v>
      </c>
      <c r="S112" s="1147">
        <f t="shared" si="63"/>
        <v>63.650411267637658</v>
      </c>
      <c r="T112" s="1147">
        <f t="shared" si="63"/>
        <v>-2.3769829364881585</v>
      </c>
      <c r="U112" s="1147">
        <f t="shared" si="63"/>
        <v>0</v>
      </c>
      <c r="V112" s="1147">
        <f t="shared" si="63"/>
        <v>0</v>
      </c>
      <c r="W112" s="1147">
        <f t="shared" si="63"/>
        <v>61.273428331149496</v>
      </c>
    </row>
    <row r="113" spans="2:34" ht="14.65" x14ac:dyDescent="0.4">
      <c r="B113" s="1138"/>
      <c r="C113" s="1139"/>
      <c r="D113" s="1144"/>
      <c r="E113" s="1144"/>
      <c r="F113" s="1144"/>
      <c r="G113" s="1144"/>
      <c r="H113" s="1144"/>
      <c r="J113" s="153"/>
      <c r="M113" s="153"/>
      <c r="N113" s="153"/>
    </row>
    <row r="114" spans="2:34" ht="15.4" x14ac:dyDescent="0.35">
      <c r="B114" s="1947" t="s">
        <v>1</v>
      </c>
      <c r="C114" s="1947" t="s">
        <v>111</v>
      </c>
      <c r="D114" s="2053" t="s">
        <v>112</v>
      </c>
      <c r="E114" s="2053"/>
      <c r="F114" s="2053"/>
      <c r="G114" s="2053"/>
      <c r="H114" s="2053"/>
      <c r="I114" s="2053" t="s">
        <v>113</v>
      </c>
      <c r="J114" s="2053"/>
      <c r="K114" s="2053"/>
      <c r="L114" s="2053"/>
      <c r="M114" s="2053"/>
      <c r="N114" s="2054" t="s">
        <v>114</v>
      </c>
      <c r="O114" s="2054"/>
      <c r="P114" s="2054"/>
      <c r="Q114" s="2054"/>
      <c r="R114" s="2054"/>
      <c r="S114" s="2054" t="s">
        <v>123</v>
      </c>
      <c r="T114" s="2054"/>
      <c r="U114" s="2054"/>
      <c r="V114" s="2054"/>
      <c r="W114" s="2054"/>
      <c r="X114" s="125"/>
      <c r="Y114" s="125"/>
      <c r="Z114" s="125"/>
      <c r="AA114" s="125"/>
      <c r="AB114" s="125"/>
      <c r="AC114" s="125"/>
      <c r="AD114" s="125"/>
      <c r="AE114" s="125"/>
      <c r="AF114" s="125"/>
      <c r="AG114" s="125"/>
      <c r="AH114" s="125"/>
    </row>
    <row r="115" spans="2:34" ht="15.4" x14ac:dyDescent="0.35">
      <c r="B115" s="1947"/>
      <c r="C115" s="1947"/>
      <c r="D115" s="1947" t="s">
        <v>186</v>
      </c>
      <c r="E115" s="2051"/>
      <c r="F115" s="2051"/>
      <c r="G115" s="2051"/>
      <c r="H115" s="2051"/>
      <c r="I115" s="1947" t="s">
        <v>186</v>
      </c>
      <c r="J115" s="2051"/>
      <c r="K115" s="2051"/>
      <c r="L115" s="2051"/>
      <c r="M115" s="2051"/>
      <c r="N115" s="1947" t="s">
        <v>187</v>
      </c>
      <c r="O115" s="2051"/>
      <c r="P115" s="2051"/>
      <c r="Q115" s="2051"/>
      <c r="R115" s="2051"/>
      <c r="S115" s="1947" t="s">
        <v>135</v>
      </c>
      <c r="T115" s="2051"/>
      <c r="U115" s="2051"/>
      <c r="V115" s="2051"/>
      <c r="W115" s="2051"/>
      <c r="X115" s="125"/>
      <c r="Y115" s="125"/>
      <c r="Z115" s="125"/>
      <c r="AA115" s="125"/>
      <c r="AB115" s="125"/>
      <c r="AC115" s="125"/>
      <c r="AD115" s="125"/>
      <c r="AE115" s="125"/>
      <c r="AF115" s="125"/>
      <c r="AG115" s="125"/>
      <c r="AH115" s="125"/>
    </row>
    <row r="116" spans="2:34" ht="40.5" x14ac:dyDescent="0.35">
      <c r="B116" s="1947"/>
      <c r="C116" s="1947"/>
      <c r="D116" s="250" t="s">
        <v>523</v>
      </c>
      <c r="E116" s="250" t="s">
        <v>524</v>
      </c>
      <c r="F116" s="251" t="s">
        <v>538</v>
      </c>
      <c r="G116" s="106" t="s">
        <v>543</v>
      </c>
      <c r="H116" s="250" t="s">
        <v>526</v>
      </c>
      <c r="I116" s="250" t="s">
        <v>523</v>
      </c>
      <c r="J116" s="250" t="s">
        <v>524</v>
      </c>
      <c r="K116" s="251" t="s">
        <v>538</v>
      </c>
      <c r="L116" s="106" t="s">
        <v>543</v>
      </c>
      <c r="M116" s="250" t="s">
        <v>526</v>
      </c>
      <c r="N116" s="250" t="s">
        <v>523</v>
      </c>
      <c r="O116" s="250" t="s">
        <v>524</v>
      </c>
      <c r="P116" s="251" t="s">
        <v>538</v>
      </c>
      <c r="Q116" s="106" t="s">
        <v>543</v>
      </c>
      <c r="R116" s="250" t="s">
        <v>526</v>
      </c>
      <c r="S116" s="250" t="s">
        <v>523</v>
      </c>
      <c r="T116" s="250" t="s">
        <v>524</v>
      </c>
      <c r="U116" s="251" t="s">
        <v>538</v>
      </c>
      <c r="V116" s="106" t="s">
        <v>543</v>
      </c>
      <c r="W116" s="250" t="s">
        <v>526</v>
      </c>
    </row>
    <row r="117" spans="2:34" x14ac:dyDescent="0.35">
      <c r="B117" s="217"/>
      <c r="C117" s="217"/>
      <c r="D117" s="217" t="s">
        <v>128</v>
      </c>
      <c r="E117" s="217" t="s">
        <v>129</v>
      </c>
      <c r="F117" s="217" t="s">
        <v>527</v>
      </c>
      <c r="G117" s="217" t="s">
        <v>130</v>
      </c>
      <c r="H117" s="217" t="s">
        <v>544</v>
      </c>
      <c r="I117" s="217" t="s">
        <v>331</v>
      </c>
      <c r="J117" s="217" t="s">
        <v>132</v>
      </c>
      <c r="K117" s="217" t="s">
        <v>133</v>
      </c>
      <c r="L117" s="217" t="s">
        <v>332</v>
      </c>
      <c r="M117" s="217" t="s">
        <v>545</v>
      </c>
      <c r="N117" s="217" t="s">
        <v>528</v>
      </c>
      <c r="O117" s="217" t="s">
        <v>529</v>
      </c>
      <c r="P117" s="217" t="s">
        <v>334</v>
      </c>
      <c r="Q117" s="217" t="s">
        <v>530</v>
      </c>
      <c r="R117" s="217" t="s">
        <v>546</v>
      </c>
      <c r="S117" s="217" t="s">
        <v>532</v>
      </c>
      <c r="T117" s="217" t="s">
        <v>533</v>
      </c>
      <c r="U117" s="217" t="s">
        <v>534</v>
      </c>
      <c r="V117" s="217" t="s">
        <v>535</v>
      </c>
      <c r="W117" s="217" t="s">
        <v>547</v>
      </c>
    </row>
    <row r="118" spans="2:34" x14ac:dyDescent="0.35">
      <c r="B118" s="1133">
        <v>1</v>
      </c>
      <c r="C118" s="1134" t="s">
        <v>1410</v>
      </c>
      <c r="D118" s="1148">
        <f>+W104</f>
        <v>3.1500000000000003E-6</v>
      </c>
      <c r="E118" s="1148">
        <f t="shared" ref="E118:G125" si="64">+E30-E74</f>
        <v>-9.9999999999999995E-8</v>
      </c>
      <c r="F118" s="1148">
        <f t="shared" si="64"/>
        <v>0</v>
      </c>
      <c r="G118" s="1148">
        <f t="shared" si="64"/>
        <v>0</v>
      </c>
      <c r="H118" s="760">
        <f>+D118+E118-F118-G118</f>
        <v>3.0500000000000004E-6</v>
      </c>
      <c r="I118" s="1146">
        <f>+H118</f>
        <v>3.0500000000000004E-6</v>
      </c>
      <c r="J118" s="1148">
        <f t="shared" ref="J118:L125" si="65">+J30-J74</f>
        <v>-9.9999999999999995E-8</v>
      </c>
      <c r="K118" s="1148">
        <f t="shared" si="65"/>
        <v>0</v>
      </c>
      <c r="L118" s="1148">
        <f t="shared" si="65"/>
        <v>0</v>
      </c>
      <c r="M118" s="760">
        <f>+I118+J118-K118-L118</f>
        <v>2.9500000000000006E-6</v>
      </c>
      <c r="N118" s="1146">
        <f>+M118</f>
        <v>2.9500000000000006E-6</v>
      </c>
      <c r="O118" s="1148">
        <f t="shared" ref="O118:Q125" si="66">+O30-O74</f>
        <v>-2.4999999999999999E-8</v>
      </c>
      <c r="P118" s="1148">
        <f t="shared" si="66"/>
        <v>0</v>
      </c>
      <c r="Q118" s="1148">
        <f t="shared" si="66"/>
        <v>0</v>
      </c>
      <c r="R118" s="760">
        <f>+N118+O118-P118-Q118</f>
        <v>2.9250000000000004E-6</v>
      </c>
      <c r="S118" s="1146">
        <f>+R118</f>
        <v>2.9250000000000004E-6</v>
      </c>
      <c r="T118" s="1148">
        <f t="shared" ref="T118:V125" si="67">+T30-T74</f>
        <v>-1.1689999999999999E-7</v>
      </c>
      <c r="U118" s="1148">
        <f t="shared" si="67"/>
        <v>0</v>
      </c>
      <c r="V118" s="1148">
        <f t="shared" si="67"/>
        <v>0</v>
      </c>
      <c r="W118" s="760">
        <f>+S118+T118-U118-V118</f>
        <v>2.8081000000000003E-6</v>
      </c>
    </row>
    <row r="119" spans="2:34" x14ac:dyDescent="0.35">
      <c r="B119" s="1133">
        <v>2</v>
      </c>
      <c r="C119" s="1134" t="s">
        <v>1409</v>
      </c>
      <c r="D119" s="1148">
        <f t="shared" ref="D119:D125" si="68">+W105</f>
        <v>10.346410780796925</v>
      </c>
      <c r="E119" s="1148">
        <f t="shared" si="64"/>
        <v>-0.3475662397343583</v>
      </c>
      <c r="F119" s="1148">
        <f t="shared" si="64"/>
        <v>0</v>
      </c>
      <c r="G119" s="1148">
        <f t="shared" si="64"/>
        <v>0</v>
      </c>
      <c r="H119" s="760">
        <f t="shared" ref="H119:H125" si="69">+D119+E119-F119-G119</f>
        <v>9.9988445410625655</v>
      </c>
      <c r="I119" s="1146">
        <f t="shared" ref="I119:I125" si="70">+H119</f>
        <v>9.9988445410625655</v>
      </c>
      <c r="J119" s="1148">
        <f t="shared" si="65"/>
        <v>-0.3475662397343583</v>
      </c>
      <c r="K119" s="1148">
        <f t="shared" si="65"/>
        <v>0</v>
      </c>
      <c r="L119" s="1148">
        <f t="shared" si="65"/>
        <v>0</v>
      </c>
      <c r="M119" s="760">
        <f t="shared" ref="M119:M125" si="71">+I119+J119-K119-L119</f>
        <v>9.6512783013282064</v>
      </c>
      <c r="N119" s="1146">
        <f t="shared" ref="N119:N125" si="72">+M119</f>
        <v>9.6512783013282064</v>
      </c>
      <c r="O119" s="1148">
        <f t="shared" si="66"/>
        <v>-0.3475662397343583</v>
      </c>
      <c r="P119" s="1148">
        <f t="shared" si="66"/>
        <v>0</v>
      </c>
      <c r="Q119" s="1148">
        <f t="shared" si="66"/>
        <v>0</v>
      </c>
      <c r="R119" s="760">
        <f t="shared" ref="R119:R125" si="73">+N119+O119-P119-Q119</f>
        <v>9.3037120615938473</v>
      </c>
      <c r="S119" s="1146">
        <f t="shared" ref="S119:S125" si="74">+R119</f>
        <v>9.3037120615938473</v>
      </c>
      <c r="T119" s="1148">
        <f t="shared" si="67"/>
        <v>-0.38618471109999997</v>
      </c>
      <c r="U119" s="1148">
        <f t="shared" si="67"/>
        <v>0</v>
      </c>
      <c r="V119" s="1148">
        <f t="shared" si="67"/>
        <v>0</v>
      </c>
      <c r="W119" s="760">
        <f t="shared" ref="W119:W125" si="75">+S119+T119-U119-V119</f>
        <v>8.917527350493847</v>
      </c>
    </row>
    <row r="120" spans="2:34" x14ac:dyDescent="0.35">
      <c r="B120" s="1133">
        <v>3</v>
      </c>
      <c r="C120" s="1134" t="s">
        <v>440</v>
      </c>
      <c r="D120" s="1148">
        <f t="shared" si="68"/>
        <v>49.062318029597037</v>
      </c>
      <c r="E120" s="1148">
        <f t="shared" si="64"/>
        <v>-2.7918903972088667</v>
      </c>
      <c r="F120" s="1148">
        <f t="shared" si="64"/>
        <v>0</v>
      </c>
      <c r="G120" s="1148">
        <f t="shared" si="64"/>
        <v>0</v>
      </c>
      <c r="H120" s="760">
        <f t="shared" si="69"/>
        <v>46.27042763238817</v>
      </c>
      <c r="I120" s="1146">
        <f t="shared" si="70"/>
        <v>46.27042763238817</v>
      </c>
      <c r="J120" s="1148">
        <f t="shared" si="65"/>
        <v>-2.7038158981447982</v>
      </c>
      <c r="K120" s="1148">
        <f t="shared" si="65"/>
        <v>0</v>
      </c>
      <c r="L120" s="1148">
        <f t="shared" si="65"/>
        <v>0</v>
      </c>
      <c r="M120" s="760">
        <f t="shared" si="71"/>
        <v>43.566611734243374</v>
      </c>
      <c r="N120" s="1146">
        <f t="shared" si="72"/>
        <v>43.566611734243374</v>
      </c>
      <c r="O120" s="1148">
        <f t="shared" si="66"/>
        <v>-2.7962606762719067</v>
      </c>
      <c r="P120" s="1148">
        <f t="shared" si="66"/>
        <v>0</v>
      </c>
      <c r="Q120" s="1148">
        <f t="shared" si="66"/>
        <v>0</v>
      </c>
      <c r="R120" s="760">
        <f t="shared" si="73"/>
        <v>40.770351057971467</v>
      </c>
      <c r="S120" s="1146">
        <f t="shared" si="74"/>
        <v>40.770351057971467</v>
      </c>
      <c r="T120" s="1148">
        <f t="shared" si="67"/>
        <v>-3.0346454232050237</v>
      </c>
      <c r="U120" s="1148">
        <f t="shared" si="67"/>
        <v>0</v>
      </c>
      <c r="V120" s="1148">
        <f t="shared" si="67"/>
        <v>0</v>
      </c>
      <c r="W120" s="760">
        <f t="shared" si="75"/>
        <v>37.735705634766447</v>
      </c>
    </row>
    <row r="121" spans="2:34" x14ac:dyDescent="0.35">
      <c r="B121" s="1133">
        <v>4</v>
      </c>
      <c r="C121" s="1134" t="s">
        <v>915</v>
      </c>
      <c r="D121" s="1148">
        <f t="shared" si="68"/>
        <v>1.7220676377555306</v>
      </c>
      <c r="E121" s="1148">
        <f t="shared" si="64"/>
        <v>0.97782411037744654</v>
      </c>
      <c r="F121" s="1148">
        <f t="shared" si="64"/>
        <v>0</v>
      </c>
      <c r="G121" s="1148">
        <f t="shared" si="64"/>
        <v>0</v>
      </c>
      <c r="H121" s="760">
        <f t="shared" si="69"/>
        <v>2.6998917481329769</v>
      </c>
      <c r="I121" s="1146">
        <f t="shared" si="70"/>
        <v>2.6998917481329769</v>
      </c>
      <c r="J121" s="1148">
        <f t="shared" si="65"/>
        <v>-0.2530062185543277</v>
      </c>
      <c r="K121" s="1148">
        <f t="shared" si="65"/>
        <v>0</v>
      </c>
      <c r="L121" s="1148">
        <f t="shared" si="65"/>
        <v>0</v>
      </c>
      <c r="M121" s="760">
        <f t="shared" si="71"/>
        <v>2.4468855295786494</v>
      </c>
      <c r="N121" s="1146">
        <f t="shared" si="72"/>
        <v>2.4468855295786494</v>
      </c>
      <c r="O121" s="1148">
        <f t="shared" si="66"/>
        <v>-0.26380312329203259</v>
      </c>
      <c r="P121" s="1148">
        <f t="shared" si="66"/>
        <v>0</v>
      </c>
      <c r="Q121" s="1148">
        <f t="shared" si="66"/>
        <v>0</v>
      </c>
      <c r="R121" s="760">
        <f t="shared" si="73"/>
        <v>2.1830824062866165</v>
      </c>
      <c r="S121" s="1146">
        <f t="shared" si="74"/>
        <v>2.1830824062866165</v>
      </c>
      <c r="T121" s="1148">
        <f t="shared" si="67"/>
        <v>-6.6258935731957222E-2</v>
      </c>
      <c r="U121" s="1148">
        <f t="shared" si="67"/>
        <v>0</v>
      </c>
      <c r="V121" s="1148">
        <f t="shared" si="67"/>
        <v>0</v>
      </c>
      <c r="W121" s="760">
        <f t="shared" si="75"/>
        <v>2.1168234705546594</v>
      </c>
    </row>
    <row r="122" spans="2:34" x14ac:dyDescent="0.35">
      <c r="B122" s="1133">
        <v>5</v>
      </c>
      <c r="C122" s="1134" t="s">
        <v>447</v>
      </c>
      <c r="D122" s="1148">
        <f t="shared" si="68"/>
        <v>0.10174314700000002</v>
      </c>
      <c r="E122" s="1148">
        <f t="shared" si="64"/>
        <v>-7.2444843712000002E-3</v>
      </c>
      <c r="F122" s="1148">
        <f t="shared" si="64"/>
        <v>0</v>
      </c>
      <c r="G122" s="1148">
        <f t="shared" si="64"/>
        <v>0</v>
      </c>
      <c r="H122" s="760">
        <f t="shared" si="69"/>
        <v>9.4498662628800023E-2</v>
      </c>
      <c r="I122" s="1146">
        <f t="shared" si="70"/>
        <v>9.4498662628800023E-2</v>
      </c>
      <c r="J122" s="1148">
        <f t="shared" si="65"/>
        <v>-5.5507349999999994E-3</v>
      </c>
      <c r="K122" s="1148">
        <f t="shared" si="65"/>
        <v>0</v>
      </c>
      <c r="L122" s="1148">
        <f t="shared" si="65"/>
        <v>0</v>
      </c>
      <c r="M122" s="760">
        <f t="shared" si="71"/>
        <v>8.8947927628800022E-2</v>
      </c>
      <c r="N122" s="1146">
        <f t="shared" si="72"/>
        <v>8.8947927628800022E-2</v>
      </c>
      <c r="O122" s="1148">
        <f t="shared" si="66"/>
        <v>8.1305848509821907E-3</v>
      </c>
      <c r="P122" s="1148">
        <f t="shared" si="66"/>
        <v>0</v>
      </c>
      <c r="Q122" s="1148">
        <f t="shared" si="66"/>
        <v>0</v>
      </c>
      <c r="R122" s="760">
        <f t="shared" si="73"/>
        <v>9.707851247978222E-2</v>
      </c>
      <c r="S122" s="1146">
        <f t="shared" si="74"/>
        <v>9.707851247978222E-2</v>
      </c>
      <c r="T122" s="1148">
        <f t="shared" si="67"/>
        <v>0.27777963189499999</v>
      </c>
      <c r="U122" s="1148">
        <f t="shared" si="67"/>
        <v>0</v>
      </c>
      <c r="V122" s="1148">
        <f t="shared" si="67"/>
        <v>0</v>
      </c>
      <c r="W122" s="760">
        <f t="shared" si="75"/>
        <v>0.37485814437478221</v>
      </c>
    </row>
    <row r="123" spans="2:34" x14ac:dyDescent="0.35">
      <c r="B123" s="1133">
        <v>6</v>
      </c>
      <c r="C123" s="1134" t="s">
        <v>879</v>
      </c>
      <c r="D123" s="1148">
        <f t="shared" si="68"/>
        <v>4.5779129999999994E-3</v>
      </c>
      <c r="E123" s="1148">
        <f t="shared" si="64"/>
        <v>-5.6412900000000002E-4</v>
      </c>
      <c r="F123" s="1148">
        <f t="shared" si="64"/>
        <v>0</v>
      </c>
      <c r="G123" s="1148">
        <f t="shared" si="64"/>
        <v>0</v>
      </c>
      <c r="H123" s="760">
        <f t="shared" si="69"/>
        <v>4.0137839999999994E-3</v>
      </c>
      <c r="I123" s="1146">
        <f t="shared" si="70"/>
        <v>4.0137839999999994E-3</v>
      </c>
      <c r="J123" s="1148">
        <f t="shared" si="65"/>
        <v>-5.6412900000000002E-4</v>
      </c>
      <c r="K123" s="1148">
        <f t="shared" si="65"/>
        <v>0</v>
      </c>
      <c r="L123" s="1148">
        <f t="shared" si="65"/>
        <v>0</v>
      </c>
      <c r="M123" s="760">
        <f t="shared" si="71"/>
        <v>3.4496549999999994E-3</v>
      </c>
      <c r="N123" s="1146">
        <f t="shared" si="72"/>
        <v>3.4496549999999994E-3</v>
      </c>
      <c r="O123" s="1148">
        <f t="shared" si="66"/>
        <v>-5.6412900000000002E-4</v>
      </c>
      <c r="P123" s="1148">
        <f t="shared" si="66"/>
        <v>0</v>
      </c>
      <c r="Q123" s="1148">
        <f t="shared" si="66"/>
        <v>0</v>
      </c>
      <c r="R123" s="760">
        <f t="shared" si="73"/>
        <v>2.8855259999999994E-3</v>
      </c>
      <c r="S123" s="1146">
        <f t="shared" si="74"/>
        <v>2.8855259999999994E-3</v>
      </c>
      <c r="T123" s="1148">
        <f t="shared" si="67"/>
        <v>-6.2681E-4</v>
      </c>
      <c r="U123" s="1148">
        <f t="shared" si="67"/>
        <v>0</v>
      </c>
      <c r="V123" s="1148">
        <f t="shared" si="67"/>
        <v>0</v>
      </c>
      <c r="W123" s="760">
        <f t="shared" si="75"/>
        <v>2.2587159999999992E-3</v>
      </c>
    </row>
    <row r="124" spans="2:34" x14ac:dyDescent="0.4">
      <c r="B124" s="1133">
        <v>7</v>
      </c>
      <c r="C124" s="1135" t="s">
        <v>1269</v>
      </c>
      <c r="D124" s="1148">
        <f t="shared" si="68"/>
        <v>2.5298002999999999E-2</v>
      </c>
      <c r="E124" s="1148">
        <f t="shared" si="64"/>
        <v>8.5990500000000109E-4</v>
      </c>
      <c r="F124" s="1148">
        <f t="shared" si="64"/>
        <v>0</v>
      </c>
      <c r="G124" s="1148">
        <f t="shared" si="64"/>
        <v>0</v>
      </c>
      <c r="H124" s="760">
        <f t="shared" si="69"/>
        <v>2.6157908000000001E-2</v>
      </c>
      <c r="I124" s="1146">
        <f t="shared" si="70"/>
        <v>2.6157908000000001E-2</v>
      </c>
      <c r="J124" s="1148">
        <f t="shared" si="65"/>
        <v>5.4452315999999994E-2</v>
      </c>
      <c r="K124" s="1148">
        <f t="shared" si="65"/>
        <v>0</v>
      </c>
      <c r="L124" s="1148">
        <f t="shared" si="65"/>
        <v>0</v>
      </c>
      <c r="M124" s="760">
        <f t="shared" si="71"/>
        <v>8.0610223999999994E-2</v>
      </c>
      <c r="N124" s="1146">
        <f t="shared" si="72"/>
        <v>8.0610223999999994E-2</v>
      </c>
      <c r="O124" s="1148">
        <f t="shared" si="66"/>
        <v>-1.1291102287453421E-2</v>
      </c>
      <c r="P124" s="1148">
        <f t="shared" si="66"/>
        <v>0</v>
      </c>
      <c r="Q124" s="1148">
        <f t="shared" si="66"/>
        <v>0</v>
      </c>
      <c r="R124" s="760">
        <f t="shared" si="73"/>
        <v>6.9319121712546575E-2</v>
      </c>
      <c r="S124" s="1146">
        <f t="shared" si="74"/>
        <v>6.9319121712546575E-2</v>
      </c>
      <c r="T124" s="1148">
        <f t="shared" si="67"/>
        <v>-2.1570923699999998E-2</v>
      </c>
      <c r="U124" s="1148">
        <f t="shared" si="67"/>
        <v>0</v>
      </c>
      <c r="V124" s="1148">
        <f t="shared" si="67"/>
        <v>0</v>
      </c>
      <c r="W124" s="760">
        <f t="shared" si="75"/>
        <v>4.774819801254658E-2</v>
      </c>
    </row>
    <row r="125" spans="2:34" x14ac:dyDescent="0.4">
      <c r="B125" s="1133">
        <v>8</v>
      </c>
      <c r="C125" s="1135" t="s">
        <v>1270</v>
      </c>
      <c r="D125" s="1148">
        <f t="shared" si="68"/>
        <v>1.1009669999999999E-2</v>
      </c>
      <c r="E125" s="1148">
        <f t="shared" si="64"/>
        <v>2.4881134728767119E-2</v>
      </c>
      <c r="F125" s="1148">
        <f t="shared" si="64"/>
        <v>0</v>
      </c>
      <c r="G125" s="1148">
        <f t="shared" si="64"/>
        <v>0</v>
      </c>
      <c r="H125" s="760">
        <f t="shared" si="69"/>
        <v>3.5890804728767114E-2</v>
      </c>
      <c r="I125" s="1146">
        <f t="shared" si="70"/>
        <v>3.5890804728767114E-2</v>
      </c>
      <c r="J125" s="1148">
        <f t="shared" si="65"/>
        <v>-7.1557560000000001E-3</v>
      </c>
      <c r="K125" s="1148">
        <f t="shared" si="65"/>
        <v>0</v>
      </c>
      <c r="L125" s="1148">
        <f t="shared" si="65"/>
        <v>0</v>
      </c>
      <c r="M125" s="760">
        <f t="shared" si="71"/>
        <v>2.8735048728767115E-2</v>
      </c>
      <c r="N125" s="1146">
        <f t="shared" si="72"/>
        <v>2.8735048728767115E-2</v>
      </c>
      <c r="O125" s="1148">
        <f t="shared" si="66"/>
        <v>4.018045479452061E-4</v>
      </c>
      <c r="P125" s="1148">
        <f t="shared" si="66"/>
        <v>0</v>
      </c>
      <c r="Q125" s="1148">
        <f t="shared" si="66"/>
        <v>0</v>
      </c>
      <c r="R125" s="760">
        <f t="shared" si="73"/>
        <v>2.913685327671232E-2</v>
      </c>
      <c r="S125" s="1146">
        <f t="shared" si="74"/>
        <v>2.913685327671232E-2</v>
      </c>
      <c r="T125" s="1148">
        <f t="shared" si="67"/>
        <v>-4.3044732767122951E-3</v>
      </c>
      <c r="U125" s="1148">
        <f t="shared" si="67"/>
        <v>0</v>
      </c>
      <c r="V125" s="1148">
        <f t="shared" si="67"/>
        <v>0</v>
      </c>
      <c r="W125" s="760">
        <f t="shared" si="75"/>
        <v>2.4832380000000025E-2</v>
      </c>
    </row>
    <row r="126" spans="2:34" ht="14.65" x14ac:dyDescent="0.4">
      <c r="B126" s="1136"/>
      <c r="C126" s="1137" t="s">
        <v>164</v>
      </c>
      <c r="D126" s="1147">
        <f>SUM(D118:D125)</f>
        <v>61.273428331149496</v>
      </c>
      <c r="E126" s="1147">
        <f t="shared" ref="E126:W126" si="76">SUM(E118:E125)</f>
        <v>-2.1437002002082117</v>
      </c>
      <c r="F126" s="1147">
        <f t="shared" si="76"/>
        <v>0</v>
      </c>
      <c r="G126" s="1147">
        <f t="shared" si="76"/>
        <v>0</v>
      </c>
      <c r="H126" s="1147">
        <f t="shared" si="76"/>
        <v>59.129728130941281</v>
      </c>
      <c r="I126" s="1147">
        <f t="shared" si="76"/>
        <v>59.129728130941281</v>
      </c>
      <c r="J126" s="1147">
        <f t="shared" si="76"/>
        <v>-3.263206760433484</v>
      </c>
      <c r="K126" s="1147">
        <f t="shared" si="76"/>
        <v>0</v>
      </c>
      <c r="L126" s="1147">
        <f t="shared" si="76"/>
        <v>0</v>
      </c>
      <c r="M126" s="1147">
        <f t="shared" si="76"/>
        <v>55.866521370507797</v>
      </c>
      <c r="N126" s="1147">
        <f t="shared" si="76"/>
        <v>55.866521370507797</v>
      </c>
      <c r="O126" s="1147">
        <f t="shared" si="76"/>
        <v>-3.4109529061868233</v>
      </c>
      <c r="P126" s="1147">
        <f t="shared" si="76"/>
        <v>0</v>
      </c>
      <c r="Q126" s="1147">
        <f t="shared" si="76"/>
        <v>0</v>
      </c>
      <c r="R126" s="1147">
        <f t="shared" si="76"/>
        <v>52.455568464320969</v>
      </c>
      <c r="S126" s="1147">
        <f t="shared" si="76"/>
        <v>52.455568464320969</v>
      </c>
      <c r="T126" s="1147">
        <f t="shared" si="76"/>
        <v>-3.235811762018693</v>
      </c>
      <c r="U126" s="1147">
        <f t="shared" si="76"/>
        <v>0</v>
      </c>
      <c r="V126" s="1147">
        <f t="shared" si="76"/>
        <v>0</v>
      </c>
      <c r="W126" s="1147">
        <f t="shared" si="76"/>
        <v>49.219756702302284</v>
      </c>
    </row>
    <row r="127" spans="2:34" ht="15.4" x14ac:dyDescent="0.35">
      <c r="B127" s="125"/>
      <c r="C127" s="83"/>
      <c r="D127" s="170"/>
      <c r="E127" s="170"/>
      <c r="F127" s="170"/>
      <c r="G127" s="170"/>
      <c r="H127" s="170"/>
      <c r="I127" s="1149"/>
      <c r="J127" s="1149"/>
      <c r="K127" s="1149"/>
      <c r="L127" s="1149"/>
      <c r="M127" s="1149"/>
      <c r="N127" s="1149"/>
      <c r="O127" s="1149"/>
      <c r="P127" s="1149"/>
      <c r="Q127" s="1149"/>
      <c r="R127" s="1149"/>
      <c r="S127" s="1149"/>
      <c r="T127" s="1149"/>
      <c r="U127" s="1149"/>
      <c r="V127" s="1149"/>
      <c r="W127" s="1145" t="s">
        <v>110</v>
      </c>
      <c r="X127" s="125"/>
      <c r="Y127" s="125"/>
      <c r="Z127" s="125"/>
      <c r="AA127" s="125"/>
      <c r="AB127" s="125"/>
      <c r="AC127" s="125"/>
      <c r="AD127" s="125"/>
      <c r="AE127" s="125"/>
      <c r="AF127" s="125"/>
      <c r="AG127" s="125"/>
      <c r="AH127" s="125"/>
    </row>
    <row r="128" spans="2:34" x14ac:dyDescent="0.35">
      <c r="B128" s="1947" t="s">
        <v>1</v>
      </c>
      <c r="C128" s="1947" t="s">
        <v>111</v>
      </c>
      <c r="D128" s="2052" t="s">
        <v>124</v>
      </c>
      <c r="E128" s="2052"/>
      <c r="F128" s="2052"/>
      <c r="G128" s="2052"/>
      <c r="H128" s="2052"/>
      <c r="I128" s="2052" t="s">
        <v>125</v>
      </c>
      <c r="J128" s="2052"/>
      <c r="K128" s="2052"/>
      <c r="L128" s="2052"/>
      <c r="M128" s="2052"/>
      <c r="N128" s="2052" t="s">
        <v>126</v>
      </c>
      <c r="O128" s="2052"/>
      <c r="P128" s="2052"/>
      <c r="Q128" s="2052"/>
      <c r="R128" s="2052"/>
      <c r="S128" s="2052" t="s">
        <v>127</v>
      </c>
      <c r="T128" s="2052"/>
      <c r="U128" s="2052"/>
      <c r="V128" s="2052"/>
      <c r="W128" s="2052"/>
    </row>
    <row r="129" spans="2:23" x14ac:dyDescent="0.35">
      <c r="B129" s="1947"/>
      <c r="C129" s="1947"/>
      <c r="D129" s="2052" t="s">
        <v>135</v>
      </c>
      <c r="E129" s="2055"/>
      <c r="F129" s="2055"/>
      <c r="G129" s="2055"/>
      <c r="H129" s="2055"/>
      <c r="I129" s="2052" t="s">
        <v>135</v>
      </c>
      <c r="J129" s="2055"/>
      <c r="K129" s="2055"/>
      <c r="L129" s="2055"/>
      <c r="M129" s="2055"/>
      <c r="N129" s="2052" t="s">
        <v>135</v>
      </c>
      <c r="O129" s="2055"/>
      <c r="P129" s="2055"/>
      <c r="Q129" s="2055"/>
      <c r="R129" s="2055"/>
      <c r="S129" s="2052" t="s">
        <v>135</v>
      </c>
      <c r="T129" s="2055"/>
      <c r="U129" s="2055"/>
      <c r="V129" s="2055"/>
      <c r="W129" s="2055"/>
    </row>
    <row r="130" spans="2:23" ht="40.5" x14ac:dyDescent="0.35">
      <c r="B130" s="1947"/>
      <c r="C130" s="1947"/>
      <c r="D130" s="250" t="s">
        <v>523</v>
      </c>
      <c r="E130" s="250" t="s">
        <v>524</v>
      </c>
      <c r="F130" s="251" t="s">
        <v>538</v>
      </c>
      <c r="G130" s="106" t="s">
        <v>543</v>
      </c>
      <c r="H130" s="250" t="s">
        <v>526</v>
      </c>
      <c r="I130" s="250" t="s">
        <v>523</v>
      </c>
      <c r="J130" s="250" t="s">
        <v>524</v>
      </c>
      <c r="K130" s="251" t="s">
        <v>538</v>
      </c>
      <c r="L130" s="106" t="s">
        <v>543</v>
      </c>
      <c r="M130" s="250" t="s">
        <v>526</v>
      </c>
      <c r="N130" s="250" t="s">
        <v>523</v>
      </c>
      <c r="O130" s="250" t="s">
        <v>524</v>
      </c>
      <c r="P130" s="251" t="s">
        <v>538</v>
      </c>
      <c r="Q130" s="106" t="s">
        <v>543</v>
      </c>
      <c r="R130" s="250" t="s">
        <v>526</v>
      </c>
      <c r="S130" s="250" t="s">
        <v>523</v>
      </c>
      <c r="T130" s="250" t="s">
        <v>524</v>
      </c>
      <c r="U130" s="251" t="s">
        <v>538</v>
      </c>
      <c r="V130" s="106" t="s">
        <v>543</v>
      </c>
      <c r="W130" s="250" t="s">
        <v>526</v>
      </c>
    </row>
    <row r="131" spans="2:23" x14ac:dyDescent="0.35">
      <c r="B131" s="217"/>
      <c r="C131" s="217"/>
      <c r="D131" s="217" t="s">
        <v>128</v>
      </c>
      <c r="E131" s="217" t="s">
        <v>129</v>
      </c>
      <c r="F131" s="217" t="s">
        <v>527</v>
      </c>
      <c r="G131" s="217" t="s">
        <v>130</v>
      </c>
      <c r="H131" s="217" t="s">
        <v>544</v>
      </c>
      <c r="I131" s="217" t="s">
        <v>331</v>
      </c>
      <c r="J131" s="217" t="s">
        <v>132</v>
      </c>
      <c r="K131" s="217" t="s">
        <v>133</v>
      </c>
      <c r="L131" s="217" t="s">
        <v>332</v>
      </c>
      <c r="M131" s="217" t="s">
        <v>545</v>
      </c>
      <c r="N131" s="217" t="s">
        <v>528</v>
      </c>
      <c r="O131" s="217" t="s">
        <v>529</v>
      </c>
      <c r="P131" s="217" t="s">
        <v>334</v>
      </c>
      <c r="Q131" s="217" t="s">
        <v>530</v>
      </c>
      <c r="R131" s="217" t="s">
        <v>546</v>
      </c>
      <c r="S131" s="217" t="s">
        <v>532</v>
      </c>
      <c r="T131" s="217" t="s">
        <v>533</v>
      </c>
      <c r="U131" s="217" t="s">
        <v>534</v>
      </c>
      <c r="V131" s="217" t="s">
        <v>535</v>
      </c>
      <c r="W131" s="217" t="s">
        <v>547</v>
      </c>
    </row>
    <row r="132" spans="2:23" x14ac:dyDescent="0.35">
      <c r="B132" s="1133">
        <v>1</v>
      </c>
      <c r="C132" s="1134" t="s">
        <v>1410</v>
      </c>
      <c r="D132" s="1148">
        <f>+W118</f>
        <v>2.8081000000000003E-6</v>
      </c>
      <c r="E132" s="1148">
        <f t="shared" ref="E132:G139" si="77">+E44-E88</f>
        <v>-1.1689999999999999E-7</v>
      </c>
      <c r="F132" s="1148">
        <f t="shared" si="77"/>
        <v>0</v>
      </c>
      <c r="G132" s="1148">
        <f t="shared" si="77"/>
        <v>0</v>
      </c>
      <c r="H132" s="760">
        <f>+D132+E132-F132-G132</f>
        <v>2.6912000000000002E-6</v>
      </c>
      <c r="I132" s="1146">
        <f>+H132</f>
        <v>2.6912000000000002E-6</v>
      </c>
      <c r="J132" s="1148">
        <f t="shared" ref="J132:L139" si="78">+J44-J88</f>
        <v>-1.1689999999999999E-7</v>
      </c>
      <c r="K132" s="1148">
        <f t="shared" si="78"/>
        <v>0</v>
      </c>
      <c r="L132" s="1148">
        <f t="shared" si="78"/>
        <v>0</v>
      </c>
      <c r="M132" s="760">
        <f>+I132+J132-K132-L132</f>
        <v>2.5743000000000001E-6</v>
      </c>
      <c r="N132" s="1146">
        <f>+M132</f>
        <v>2.5743000000000001E-6</v>
      </c>
      <c r="O132" s="1148">
        <f t="shared" ref="O132:Q139" si="79">+O44-O88</f>
        <v>-1.1689999999999999E-7</v>
      </c>
      <c r="P132" s="1148">
        <f t="shared" si="79"/>
        <v>0</v>
      </c>
      <c r="Q132" s="1148">
        <f t="shared" si="79"/>
        <v>0</v>
      </c>
      <c r="R132" s="760">
        <f>+N132+O132-P132-Q132</f>
        <v>2.4574E-6</v>
      </c>
      <c r="S132" s="1146">
        <f>+R132</f>
        <v>2.4574E-6</v>
      </c>
      <c r="T132" s="1148">
        <f t="shared" ref="T132:V139" si="80">+T44-T88</f>
        <v>-1.1689999999999999E-7</v>
      </c>
      <c r="U132" s="1148">
        <f t="shared" si="80"/>
        <v>0</v>
      </c>
      <c r="V132" s="1148">
        <f t="shared" si="80"/>
        <v>0</v>
      </c>
      <c r="W132" s="760">
        <f>+S132+T132-U132-V132</f>
        <v>2.3404999999999999E-6</v>
      </c>
    </row>
    <row r="133" spans="2:23" x14ac:dyDescent="0.35">
      <c r="B133" s="1133">
        <v>2</v>
      </c>
      <c r="C133" s="1134" t="s">
        <v>1409</v>
      </c>
      <c r="D133" s="1148">
        <f t="shared" ref="D133:D139" si="81">+W119</f>
        <v>8.917527350493847</v>
      </c>
      <c r="E133" s="1148">
        <f t="shared" si="77"/>
        <v>-0.38618471109999997</v>
      </c>
      <c r="F133" s="1148">
        <f t="shared" si="77"/>
        <v>0</v>
      </c>
      <c r="G133" s="1148">
        <f t="shared" si="77"/>
        <v>0</v>
      </c>
      <c r="H133" s="760">
        <f t="shared" ref="H133:H139" si="82">+D133+E133-F133-G133</f>
        <v>8.5313426393938467</v>
      </c>
      <c r="I133" s="1146">
        <f t="shared" ref="I133:I139" si="83">+H133</f>
        <v>8.5313426393938467</v>
      </c>
      <c r="J133" s="1148">
        <f t="shared" si="78"/>
        <v>-0.38618471109999997</v>
      </c>
      <c r="K133" s="1148">
        <f t="shared" si="78"/>
        <v>0</v>
      </c>
      <c r="L133" s="1148">
        <f t="shared" si="78"/>
        <v>0</v>
      </c>
      <c r="M133" s="760">
        <f t="shared" ref="M133:M139" si="84">+I133+J133-K133-L133</f>
        <v>8.1451579282938464</v>
      </c>
      <c r="N133" s="1146">
        <f t="shared" ref="N133:N139" si="85">+M133</f>
        <v>8.1451579282938464</v>
      </c>
      <c r="O133" s="1148">
        <f t="shared" si="79"/>
        <v>-0.38618471109999997</v>
      </c>
      <c r="P133" s="1148">
        <f t="shared" si="79"/>
        <v>0</v>
      </c>
      <c r="Q133" s="1148">
        <f t="shared" si="79"/>
        <v>0</v>
      </c>
      <c r="R133" s="760">
        <f t="shared" ref="R133:R139" si="86">+N133+O133-P133-Q133</f>
        <v>7.7589732171938461</v>
      </c>
      <c r="S133" s="1146">
        <f t="shared" ref="S133:S139" si="87">+R133</f>
        <v>7.7589732171938461</v>
      </c>
      <c r="T133" s="1148">
        <f t="shared" si="80"/>
        <v>-0.38618471109999997</v>
      </c>
      <c r="U133" s="1148">
        <f t="shared" si="80"/>
        <v>0</v>
      </c>
      <c r="V133" s="1148">
        <f t="shared" si="80"/>
        <v>0</v>
      </c>
      <c r="W133" s="760">
        <f t="shared" ref="W133:W139" si="88">+S133+T133-U133-V133</f>
        <v>7.3727885060938458</v>
      </c>
    </row>
    <row r="134" spans="2:23" x14ac:dyDescent="0.35">
      <c r="B134" s="1133">
        <v>3</v>
      </c>
      <c r="C134" s="1134" t="s">
        <v>440</v>
      </c>
      <c r="D134" s="1148">
        <f t="shared" si="81"/>
        <v>37.735705634766447</v>
      </c>
      <c r="E134" s="1148">
        <f t="shared" si="77"/>
        <v>-3.0346454232050237</v>
      </c>
      <c r="F134" s="1148">
        <f t="shared" si="77"/>
        <v>0</v>
      </c>
      <c r="G134" s="1148">
        <f t="shared" si="77"/>
        <v>0</v>
      </c>
      <c r="H134" s="760">
        <f t="shared" si="82"/>
        <v>34.701060211561426</v>
      </c>
      <c r="I134" s="1146">
        <f t="shared" si="83"/>
        <v>34.701060211561426</v>
      </c>
      <c r="J134" s="1148">
        <f t="shared" si="78"/>
        <v>-3.0346454232050237</v>
      </c>
      <c r="K134" s="1148">
        <f t="shared" si="78"/>
        <v>0</v>
      </c>
      <c r="L134" s="1148">
        <f t="shared" si="78"/>
        <v>0</v>
      </c>
      <c r="M134" s="760">
        <f t="shared" si="84"/>
        <v>31.666414788356402</v>
      </c>
      <c r="N134" s="1146">
        <f t="shared" si="85"/>
        <v>31.666414788356402</v>
      </c>
      <c r="O134" s="1148">
        <f t="shared" si="79"/>
        <v>-3.0346454232050237</v>
      </c>
      <c r="P134" s="1148">
        <f t="shared" si="79"/>
        <v>0</v>
      </c>
      <c r="Q134" s="1148">
        <f t="shared" si="79"/>
        <v>0</v>
      </c>
      <c r="R134" s="760">
        <f t="shared" si="86"/>
        <v>28.631769365151378</v>
      </c>
      <c r="S134" s="1146">
        <f t="shared" si="87"/>
        <v>28.631769365151378</v>
      </c>
      <c r="T134" s="1148">
        <f t="shared" si="80"/>
        <v>-3.0346454232050237</v>
      </c>
      <c r="U134" s="1148">
        <f t="shared" si="80"/>
        <v>0</v>
      </c>
      <c r="V134" s="1148">
        <f t="shared" si="80"/>
        <v>0</v>
      </c>
      <c r="W134" s="760">
        <f t="shared" si="88"/>
        <v>25.597123941946354</v>
      </c>
    </row>
    <row r="135" spans="2:23" x14ac:dyDescent="0.35">
      <c r="B135" s="1133">
        <v>4</v>
      </c>
      <c r="C135" s="1134" t="s">
        <v>915</v>
      </c>
      <c r="D135" s="1148">
        <f t="shared" si="81"/>
        <v>2.1168234705546594</v>
      </c>
      <c r="E135" s="1148">
        <f t="shared" si="77"/>
        <v>3.827537151804275E-2</v>
      </c>
      <c r="F135" s="1148">
        <f t="shared" si="77"/>
        <v>0</v>
      </c>
      <c r="G135" s="1148">
        <f t="shared" si="77"/>
        <v>0</v>
      </c>
      <c r="H135" s="760">
        <f t="shared" si="82"/>
        <v>2.155098842072702</v>
      </c>
      <c r="I135" s="1146">
        <f t="shared" si="83"/>
        <v>2.155098842072702</v>
      </c>
      <c r="J135" s="1148">
        <f t="shared" si="78"/>
        <v>0.10287805417804277</v>
      </c>
      <c r="K135" s="1148">
        <f t="shared" si="78"/>
        <v>0</v>
      </c>
      <c r="L135" s="1148">
        <f t="shared" si="78"/>
        <v>0</v>
      </c>
      <c r="M135" s="760">
        <f t="shared" si="84"/>
        <v>2.2579768962507449</v>
      </c>
      <c r="N135" s="1146">
        <f t="shared" si="85"/>
        <v>2.2579768962507449</v>
      </c>
      <c r="O135" s="1148">
        <f t="shared" si="79"/>
        <v>0.22532490697804275</v>
      </c>
      <c r="P135" s="1148">
        <f t="shared" si="79"/>
        <v>0</v>
      </c>
      <c r="Q135" s="1148">
        <f t="shared" si="79"/>
        <v>0</v>
      </c>
      <c r="R135" s="760">
        <f t="shared" si="86"/>
        <v>2.4833018032287875</v>
      </c>
      <c r="S135" s="1146">
        <f t="shared" si="87"/>
        <v>2.4833018032287875</v>
      </c>
      <c r="T135" s="1148">
        <f t="shared" si="80"/>
        <v>0.22552327514804277</v>
      </c>
      <c r="U135" s="1148">
        <f t="shared" si="80"/>
        <v>0</v>
      </c>
      <c r="V135" s="1148">
        <f t="shared" si="80"/>
        <v>0</v>
      </c>
      <c r="W135" s="760">
        <f t="shared" si="88"/>
        <v>2.7088250783768304</v>
      </c>
    </row>
    <row r="136" spans="2:23" x14ac:dyDescent="0.35">
      <c r="B136" s="1133">
        <v>5</v>
      </c>
      <c r="C136" s="1134" t="s">
        <v>447</v>
      </c>
      <c r="D136" s="1148">
        <f t="shared" si="81"/>
        <v>0.37485814437478221</v>
      </c>
      <c r="E136" s="1148">
        <f t="shared" si="77"/>
        <v>3.0536372505000006E-2</v>
      </c>
      <c r="F136" s="1148">
        <f t="shared" si="77"/>
        <v>0</v>
      </c>
      <c r="G136" s="1148">
        <f t="shared" si="77"/>
        <v>0</v>
      </c>
      <c r="H136" s="760">
        <f t="shared" si="82"/>
        <v>0.40539451687978223</v>
      </c>
      <c r="I136" s="1146">
        <f t="shared" si="83"/>
        <v>0.40539451687978223</v>
      </c>
      <c r="J136" s="1148">
        <f t="shared" si="78"/>
        <v>-3.1362627494999996E-2</v>
      </c>
      <c r="K136" s="1148">
        <f t="shared" si="78"/>
        <v>0</v>
      </c>
      <c r="L136" s="1148">
        <f t="shared" si="78"/>
        <v>0</v>
      </c>
      <c r="M136" s="760">
        <f t="shared" si="84"/>
        <v>0.37403188938478221</v>
      </c>
      <c r="N136" s="1146">
        <f t="shared" si="85"/>
        <v>0.37403188938478221</v>
      </c>
      <c r="O136" s="1148">
        <f t="shared" si="79"/>
        <v>-3.1362627494999996E-2</v>
      </c>
      <c r="P136" s="1148">
        <f t="shared" si="79"/>
        <v>0</v>
      </c>
      <c r="Q136" s="1148">
        <f t="shared" si="79"/>
        <v>0</v>
      </c>
      <c r="R136" s="760">
        <f t="shared" si="86"/>
        <v>0.3426692618897822</v>
      </c>
      <c r="S136" s="1146">
        <f t="shared" si="87"/>
        <v>0.3426692618897822</v>
      </c>
      <c r="T136" s="1148">
        <f t="shared" si="80"/>
        <v>-3.1362627494999996E-2</v>
      </c>
      <c r="U136" s="1148">
        <f t="shared" si="80"/>
        <v>0</v>
      </c>
      <c r="V136" s="1148">
        <f t="shared" si="80"/>
        <v>0</v>
      </c>
      <c r="W136" s="760">
        <f t="shared" si="88"/>
        <v>0.31130663439478218</v>
      </c>
    </row>
    <row r="137" spans="2:23" x14ac:dyDescent="0.35">
      <c r="B137" s="1133">
        <v>6</v>
      </c>
      <c r="C137" s="1134" t="s">
        <v>879</v>
      </c>
      <c r="D137" s="1148">
        <f t="shared" si="81"/>
        <v>2.2587159999999992E-3</v>
      </c>
      <c r="E137" s="1148">
        <f t="shared" si="77"/>
        <v>-6.2681E-4</v>
      </c>
      <c r="F137" s="1148">
        <f t="shared" si="77"/>
        <v>0</v>
      </c>
      <c r="G137" s="1148">
        <f t="shared" si="77"/>
        <v>0</v>
      </c>
      <c r="H137" s="760">
        <f t="shared" si="82"/>
        <v>1.6319059999999992E-3</v>
      </c>
      <c r="I137" s="1146">
        <f t="shared" si="83"/>
        <v>1.6319059999999992E-3</v>
      </c>
      <c r="J137" s="1148">
        <f t="shared" si="78"/>
        <v>-6.0811566666666664E-4</v>
      </c>
      <c r="K137" s="1148">
        <f t="shared" si="78"/>
        <v>0</v>
      </c>
      <c r="L137" s="1148">
        <f t="shared" si="78"/>
        <v>0</v>
      </c>
      <c r="M137" s="760">
        <f t="shared" si="84"/>
        <v>1.0237903333333324E-3</v>
      </c>
      <c r="N137" s="1146">
        <f t="shared" si="85"/>
        <v>1.0237903333333324E-3</v>
      </c>
      <c r="O137" s="1148">
        <f t="shared" si="79"/>
        <v>-3.5475306666666641E-4</v>
      </c>
      <c r="P137" s="1148">
        <f t="shared" si="79"/>
        <v>0</v>
      </c>
      <c r="Q137" s="1148">
        <f t="shared" si="79"/>
        <v>0</v>
      </c>
      <c r="R137" s="760">
        <f t="shared" si="86"/>
        <v>6.69037266666666E-4</v>
      </c>
      <c r="S137" s="1146">
        <f t="shared" si="87"/>
        <v>6.69037266666666E-4</v>
      </c>
      <c r="T137" s="1148">
        <f t="shared" si="80"/>
        <v>-9.2372666666667687E-6</v>
      </c>
      <c r="U137" s="1148">
        <f t="shared" si="80"/>
        <v>0</v>
      </c>
      <c r="V137" s="1148">
        <f t="shared" si="80"/>
        <v>0</v>
      </c>
      <c r="W137" s="760">
        <f t="shared" si="88"/>
        <v>6.5979999999999923E-4</v>
      </c>
    </row>
    <row r="138" spans="2:23" x14ac:dyDescent="0.4">
      <c r="B138" s="1133">
        <v>7</v>
      </c>
      <c r="C138" s="1135" t="s">
        <v>1269</v>
      </c>
      <c r="D138" s="1148">
        <f t="shared" si="81"/>
        <v>4.774819801254658E-2</v>
      </c>
      <c r="E138" s="1148">
        <f t="shared" si="77"/>
        <v>-2.1570923699999998E-2</v>
      </c>
      <c r="F138" s="1148">
        <f t="shared" si="77"/>
        <v>0</v>
      </c>
      <c r="G138" s="1148">
        <f t="shared" si="77"/>
        <v>0</v>
      </c>
      <c r="H138" s="760">
        <f t="shared" si="82"/>
        <v>2.6177274312546583E-2</v>
      </c>
      <c r="I138" s="1146">
        <f t="shared" si="83"/>
        <v>2.6177274312546583E-2</v>
      </c>
      <c r="J138" s="1148">
        <f t="shared" si="78"/>
        <v>-1.179665851254659E-2</v>
      </c>
      <c r="K138" s="1148">
        <f t="shared" si="78"/>
        <v>0</v>
      </c>
      <c r="L138" s="1148">
        <f t="shared" si="78"/>
        <v>0</v>
      </c>
      <c r="M138" s="760">
        <f t="shared" si="84"/>
        <v>1.4380615799999993E-2</v>
      </c>
      <c r="N138" s="1146">
        <f t="shared" si="85"/>
        <v>1.4380615799999993E-2</v>
      </c>
      <c r="O138" s="1148">
        <f t="shared" si="79"/>
        <v>0</v>
      </c>
      <c r="P138" s="1148">
        <f t="shared" si="79"/>
        <v>0</v>
      </c>
      <c r="Q138" s="1148">
        <f t="shared" si="79"/>
        <v>0</v>
      </c>
      <c r="R138" s="760">
        <f t="shared" si="86"/>
        <v>1.4380615799999993E-2</v>
      </c>
      <c r="S138" s="1146">
        <f t="shared" si="87"/>
        <v>1.4380615799999993E-2</v>
      </c>
      <c r="T138" s="1148">
        <f t="shared" si="80"/>
        <v>0</v>
      </c>
      <c r="U138" s="1148">
        <f t="shared" si="80"/>
        <v>0</v>
      </c>
      <c r="V138" s="1148">
        <f t="shared" si="80"/>
        <v>0</v>
      </c>
      <c r="W138" s="760">
        <f t="shared" si="88"/>
        <v>1.4380615799999993E-2</v>
      </c>
    </row>
    <row r="139" spans="2:23" x14ac:dyDescent="0.4">
      <c r="B139" s="1133">
        <v>8</v>
      </c>
      <c r="C139" s="1135" t="s">
        <v>1270</v>
      </c>
      <c r="D139" s="1148">
        <f t="shared" si="81"/>
        <v>2.4832380000000025E-2</v>
      </c>
      <c r="E139" s="1148">
        <f t="shared" si="77"/>
        <v>0</v>
      </c>
      <c r="F139" s="1148">
        <f t="shared" si="77"/>
        <v>0</v>
      </c>
      <c r="G139" s="1148">
        <f t="shared" si="77"/>
        <v>0</v>
      </c>
      <c r="H139" s="760">
        <f t="shared" si="82"/>
        <v>2.4832380000000025E-2</v>
      </c>
      <c r="I139" s="1146">
        <f t="shared" si="83"/>
        <v>2.4832380000000025E-2</v>
      </c>
      <c r="J139" s="1148">
        <f t="shared" si="78"/>
        <v>0</v>
      </c>
      <c r="K139" s="1148">
        <f t="shared" si="78"/>
        <v>0</v>
      </c>
      <c r="L139" s="1148">
        <f t="shared" si="78"/>
        <v>0</v>
      </c>
      <c r="M139" s="760">
        <f t="shared" si="84"/>
        <v>2.4832380000000025E-2</v>
      </c>
      <c r="N139" s="1146">
        <f t="shared" si="85"/>
        <v>2.4832380000000025E-2</v>
      </c>
      <c r="O139" s="1148">
        <f t="shared" si="79"/>
        <v>0</v>
      </c>
      <c r="P139" s="1148">
        <f t="shared" si="79"/>
        <v>0</v>
      </c>
      <c r="Q139" s="1148">
        <f t="shared" si="79"/>
        <v>0</v>
      </c>
      <c r="R139" s="760">
        <f t="shared" si="86"/>
        <v>2.4832380000000025E-2</v>
      </c>
      <c r="S139" s="1146">
        <f t="shared" si="87"/>
        <v>2.4832380000000025E-2</v>
      </c>
      <c r="T139" s="1148">
        <f t="shared" si="80"/>
        <v>0</v>
      </c>
      <c r="U139" s="1148">
        <f t="shared" si="80"/>
        <v>0</v>
      </c>
      <c r="V139" s="1148">
        <f t="shared" si="80"/>
        <v>0</v>
      </c>
      <c r="W139" s="760">
        <f t="shared" si="88"/>
        <v>2.4832380000000025E-2</v>
      </c>
    </row>
    <row r="140" spans="2:23" ht="14.65" x14ac:dyDescent="0.4">
      <c r="B140" s="1136"/>
      <c r="C140" s="1137" t="s">
        <v>164</v>
      </c>
      <c r="D140" s="1147">
        <f>SUM(D132:D139)</f>
        <v>49.219756702302284</v>
      </c>
      <c r="E140" s="1147">
        <f t="shared" ref="E140:W140" si="89">SUM(E132:E139)</f>
        <v>-3.3742162408819811</v>
      </c>
      <c r="F140" s="1147">
        <f t="shared" si="89"/>
        <v>0</v>
      </c>
      <c r="G140" s="1147">
        <f t="shared" si="89"/>
        <v>0</v>
      </c>
      <c r="H140" s="1147">
        <f t="shared" si="89"/>
        <v>45.845540461420306</v>
      </c>
      <c r="I140" s="1147">
        <f t="shared" si="89"/>
        <v>45.845540461420306</v>
      </c>
      <c r="J140" s="1147">
        <f t="shared" si="89"/>
        <v>-3.3617195987011939</v>
      </c>
      <c r="K140" s="1147">
        <f t="shared" si="89"/>
        <v>0</v>
      </c>
      <c r="L140" s="1147">
        <f t="shared" si="89"/>
        <v>0</v>
      </c>
      <c r="M140" s="1147">
        <f t="shared" si="89"/>
        <v>42.483820862719107</v>
      </c>
      <c r="N140" s="1147">
        <f t="shared" si="89"/>
        <v>42.483820862719107</v>
      </c>
      <c r="O140" s="1147">
        <f t="shared" si="89"/>
        <v>-3.2272227247886476</v>
      </c>
      <c r="P140" s="1147">
        <f t="shared" si="89"/>
        <v>0</v>
      </c>
      <c r="Q140" s="1147">
        <f t="shared" si="89"/>
        <v>0</v>
      </c>
      <c r="R140" s="1147">
        <f t="shared" si="89"/>
        <v>39.25659813793046</v>
      </c>
      <c r="S140" s="1147">
        <f t="shared" si="89"/>
        <v>39.25659813793046</v>
      </c>
      <c r="T140" s="1147">
        <f t="shared" si="89"/>
        <v>-3.2266788408186473</v>
      </c>
      <c r="U140" s="1147">
        <f t="shared" si="89"/>
        <v>0</v>
      </c>
      <c r="V140" s="1147">
        <f t="shared" si="89"/>
        <v>0</v>
      </c>
      <c r="W140" s="1147">
        <f t="shared" si="89"/>
        <v>36.029919297111817</v>
      </c>
    </row>
  </sheetData>
  <mergeCells count="93">
    <mergeCell ref="S129:W129"/>
    <mergeCell ref="B128:B130"/>
    <mergeCell ref="C128:C130"/>
    <mergeCell ref="D129:H129"/>
    <mergeCell ref="I129:M129"/>
    <mergeCell ref="N129:R129"/>
    <mergeCell ref="S114:W114"/>
    <mergeCell ref="I84:M84"/>
    <mergeCell ref="I85:M85"/>
    <mergeCell ref="I100:M100"/>
    <mergeCell ref="D101:H101"/>
    <mergeCell ref="I101:M101"/>
    <mergeCell ref="S85:W85"/>
    <mergeCell ref="N100:R100"/>
    <mergeCell ref="S100:W100"/>
    <mergeCell ref="N101:R101"/>
    <mergeCell ref="S101:W101"/>
    <mergeCell ref="B100:B102"/>
    <mergeCell ref="C100:C102"/>
    <mergeCell ref="D100:H100"/>
    <mergeCell ref="S12:W12"/>
    <mergeCell ref="S13:W13"/>
    <mergeCell ref="S26:W26"/>
    <mergeCell ref="S27:W27"/>
    <mergeCell ref="S40:W40"/>
    <mergeCell ref="S41:W41"/>
    <mergeCell ref="S56:W56"/>
    <mergeCell ref="S57:W57"/>
    <mergeCell ref="S70:W70"/>
    <mergeCell ref="S71:W71"/>
    <mergeCell ref="N84:R84"/>
    <mergeCell ref="S84:W84"/>
    <mergeCell ref="N85:R85"/>
    <mergeCell ref="N12:R12"/>
    <mergeCell ref="N13:R13"/>
    <mergeCell ref="B84:B86"/>
    <mergeCell ref="C84:C86"/>
    <mergeCell ref="D84:H84"/>
    <mergeCell ref="D85:H85"/>
    <mergeCell ref="B12:B14"/>
    <mergeCell ref="C12:C14"/>
    <mergeCell ref="D12:H12"/>
    <mergeCell ref="I12:M12"/>
    <mergeCell ref="D13:H13"/>
    <mergeCell ref="I13:M13"/>
    <mergeCell ref="B26:B28"/>
    <mergeCell ref="C26:C28"/>
    <mergeCell ref="D26:H26"/>
    <mergeCell ref="I26:M26"/>
    <mergeCell ref="N26:R26"/>
    <mergeCell ref="D27:H27"/>
    <mergeCell ref="I27:M27"/>
    <mergeCell ref="N27:R27"/>
    <mergeCell ref="B40:B42"/>
    <mergeCell ref="C40:C42"/>
    <mergeCell ref="D40:H40"/>
    <mergeCell ref="I40:M40"/>
    <mergeCell ref="N40:R40"/>
    <mergeCell ref="D41:H41"/>
    <mergeCell ref="I41:M41"/>
    <mergeCell ref="N41:R41"/>
    <mergeCell ref="B56:B58"/>
    <mergeCell ref="C56:C58"/>
    <mergeCell ref="D56:H56"/>
    <mergeCell ref="I56:M56"/>
    <mergeCell ref="N56:R56"/>
    <mergeCell ref="D57:H57"/>
    <mergeCell ref="I57:M57"/>
    <mergeCell ref="N57:R57"/>
    <mergeCell ref="B70:B72"/>
    <mergeCell ref="C70:C72"/>
    <mergeCell ref="D70:H70"/>
    <mergeCell ref="I70:M70"/>
    <mergeCell ref="N70:R70"/>
    <mergeCell ref="D71:H71"/>
    <mergeCell ref="I71:M71"/>
    <mergeCell ref="N71:R71"/>
    <mergeCell ref="B2:W2"/>
    <mergeCell ref="B3:W3"/>
    <mergeCell ref="B4:W4"/>
    <mergeCell ref="S115:W115"/>
    <mergeCell ref="D128:H128"/>
    <mergeCell ref="I128:M128"/>
    <mergeCell ref="N128:R128"/>
    <mergeCell ref="S128:W128"/>
    <mergeCell ref="B114:B116"/>
    <mergeCell ref="C114:C116"/>
    <mergeCell ref="D114:H114"/>
    <mergeCell ref="I114:M114"/>
    <mergeCell ref="N114:R114"/>
    <mergeCell ref="D115:H115"/>
    <mergeCell ref="I115:M115"/>
    <mergeCell ref="N115:R115"/>
  </mergeCells>
  <pageMargins left="0.27559055118110237" right="0.23622047244094491" top="0.23622047244094491" bottom="0.23622047244094491" header="0.23622047244094491" footer="0.23622047244094491"/>
  <pageSetup paperSize="9" scale="34" fitToHeight="4" orientation="landscape" r:id="rId1"/>
  <headerFooter alignWithMargins="0">
    <oddHeader>&amp;F</oddHeader>
  </headerFooter>
  <rowBreaks count="2" manualBreakCount="2">
    <brk id="53" max="22" man="1"/>
    <brk id="97"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40"/>
  <sheetViews>
    <sheetView showGridLines="0" view="pageBreakPreview" topLeftCell="A63" zoomScale="80" zoomScaleNormal="68" workbookViewId="0">
      <selection activeCell="E68" sqref="E68"/>
    </sheetView>
  </sheetViews>
  <sheetFormatPr defaultColWidth="9.33203125" defaultRowHeight="13.9" x14ac:dyDescent="0.35"/>
  <cols>
    <col min="1" max="1" width="4.33203125" style="51" customWidth="1"/>
    <col min="2" max="2" width="6.33203125" style="51" customWidth="1"/>
    <col min="3" max="3" width="25.53125" style="51" customWidth="1"/>
    <col min="4" max="4" width="18.6640625" style="51" customWidth="1"/>
    <col min="5" max="5" width="20.6640625" style="51" customWidth="1"/>
    <col min="6" max="25" width="18.6640625" style="51" customWidth="1"/>
    <col min="26" max="29" width="8" style="51" bestFit="1" customWidth="1"/>
    <col min="30" max="16384" width="9.33203125" style="51"/>
  </cols>
  <sheetData>
    <row r="1" spans="1:23" x14ac:dyDescent="0.35">
      <c r="B1" s="83"/>
    </row>
    <row r="2" spans="1:23" x14ac:dyDescent="0.35">
      <c r="B2" s="1875" t="str">
        <f>+Index!B2</f>
        <v>Nidar Utilities Panvel LLP</v>
      </c>
      <c r="C2" s="1875"/>
      <c r="D2" s="1875"/>
      <c r="E2" s="1875"/>
      <c r="F2" s="1875"/>
      <c r="G2" s="1875"/>
      <c r="H2" s="1875"/>
      <c r="I2" s="1875"/>
      <c r="J2" s="1875"/>
      <c r="K2" s="1875"/>
      <c r="L2" s="1875"/>
      <c r="M2" s="1875"/>
      <c r="N2" s="1875"/>
      <c r="O2" s="1875"/>
      <c r="P2" s="1875"/>
      <c r="Q2" s="1875"/>
      <c r="R2" s="1875"/>
      <c r="S2" s="1875"/>
      <c r="T2" s="1875"/>
      <c r="U2" s="1875"/>
      <c r="V2" s="1875"/>
      <c r="W2" s="1875"/>
    </row>
    <row r="3" spans="1:23" x14ac:dyDescent="0.35">
      <c r="B3" s="1875" t="s">
        <v>340</v>
      </c>
      <c r="C3" s="1875"/>
      <c r="D3" s="1875"/>
      <c r="E3" s="1875"/>
      <c r="F3" s="1875"/>
      <c r="G3" s="1875"/>
      <c r="H3" s="1875"/>
      <c r="I3" s="1875"/>
      <c r="J3" s="1875"/>
      <c r="K3" s="1875"/>
      <c r="L3" s="1875"/>
      <c r="M3" s="1875"/>
      <c r="N3" s="1875"/>
      <c r="O3" s="1875"/>
      <c r="P3" s="1875"/>
      <c r="Q3" s="1875"/>
      <c r="R3" s="1875"/>
      <c r="S3" s="1875"/>
      <c r="T3" s="1875"/>
      <c r="U3" s="1875"/>
      <c r="V3" s="1875"/>
      <c r="W3" s="1875"/>
    </row>
    <row r="4" spans="1:23" x14ac:dyDescent="0.35">
      <c r="B4" s="1875" t="s">
        <v>541</v>
      </c>
      <c r="C4" s="1875"/>
      <c r="D4" s="1875"/>
      <c r="E4" s="1875"/>
      <c r="F4" s="1875"/>
      <c r="G4" s="1875"/>
      <c r="H4" s="1875"/>
      <c r="I4" s="1875"/>
      <c r="J4" s="1875"/>
      <c r="K4" s="1875"/>
      <c r="L4" s="1875"/>
      <c r="M4" s="1875"/>
      <c r="N4" s="1875"/>
      <c r="O4" s="1875"/>
      <c r="P4" s="1875"/>
      <c r="Q4" s="1875"/>
      <c r="R4" s="1875"/>
      <c r="S4" s="1875"/>
      <c r="T4" s="1875"/>
      <c r="U4" s="1875"/>
      <c r="V4" s="1875"/>
      <c r="W4" s="1875"/>
    </row>
    <row r="5" spans="1:23" x14ac:dyDescent="0.35">
      <c r="C5" s="83"/>
      <c r="E5" s="39"/>
      <c r="H5" s="39"/>
      <c r="I5" s="39"/>
    </row>
    <row r="6" spans="1:23" x14ac:dyDescent="0.35">
      <c r="C6" s="83"/>
      <c r="E6" s="39"/>
      <c r="H6" s="39"/>
      <c r="I6" s="39"/>
    </row>
    <row r="7" spans="1:23" x14ac:dyDescent="0.35">
      <c r="C7" s="83" t="s">
        <v>542</v>
      </c>
      <c r="E7" s="39"/>
      <c r="H7" s="39"/>
      <c r="I7" s="39"/>
    </row>
    <row r="8" spans="1:23" x14ac:dyDescent="0.35">
      <c r="C8" s="83"/>
      <c r="E8" s="39"/>
      <c r="H8" s="39"/>
      <c r="I8" s="39"/>
    </row>
    <row r="9" spans="1:23" x14ac:dyDescent="0.35">
      <c r="C9" s="83"/>
      <c r="E9" s="39"/>
      <c r="H9" s="39"/>
      <c r="I9" s="39"/>
    </row>
    <row r="10" spans="1:23" x14ac:dyDescent="0.35">
      <c r="A10" s="51" t="s">
        <v>521</v>
      </c>
      <c r="B10" s="83" t="s">
        <v>522</v>
      </c>
      <c r="C10" s="83"/>
      <c r="D10" s="83"/>
      <c r="E10" s="83"/>
      <c r="F10" s="83"/>
      <c r="G10" s="83"/>
      <c r="H10" s="83"/>
      <c r="J10" s="39"/>
      <c r="M10" s="39"/>
      <c r="N10" s="39"/>
      <c r="R10" s="368"/>
    </row>
    <row r="11" spans="1:23" x14ac:dyDescent="0.35">
      <c r="B11" s="369"/>
      <c r="C11" s="84"/>
      <c r="D11" s="84"/>
      <c r="E11" s="84"/>
      <c r="F11" s="84"/>
      <c r="G11" s="84"/>
      <c r="H11" s="84"/>
      <c r="J11" s="39"/>
      <c r="M11" s="39"/>
      <c r="N11" s="39"/>
      <c r="R11" s="368"/>
      <c r="W11" s="160" t="s">
        <v>110</v>
      </c>
    </row>
    <row r="12" spans="1:23" x14ac:dyDescent="0.35">
      <c r="B12" s="1947" t="s">
        <v>1</v>
      </c>
      <c r="C12" s="1947" t="s">
        <v>111</v>
      </c>
      <c r="D12" s="2052" t="s">
        <v>196</v>
      </c>
      <c r="E12" s="2052"/>
      <c r="F12" s="2052"/>
      <c r="G12" s="2052"/>
      <c r="H12" s="2052"/>
      <c r="I12" s="1947" t="s">
        <v>197</v>
      </c>
      <c r="J12" s="1947"/>
      <c r="K12" s="1947"/>
      <c r="L12" s="1947"/>
      <c r="M12" s="1947"/>
      <c r="N12" s="1947" t="s">
        <v>198</v>
      </c>
      <c r="O12" s="1947"/>
      <c r="P12" s="1947"/>
      <c r="Q12" s="1947"/>
      <c r="R12" s="1947"/>
      <c r="S12" s="1947" t="s">
        <v>199</v>
      </c>
      <c r="T12" s="1947"/>
      <c r="U12" s="1947"/>
      <c r="V12" s="1947"/>
      <c r="W12" s="1947"/>
    </row>
    <row r="13" spans="1:23" x14ac:dyDescent="0.35">
      <c r="B13" s="1947"/>
      <c r="C13" s="1947"/>
      <c r="D13" s="1947" t="s">
        <v>186</v>
      </c>
      <c r="E13" s="2051"/>
      <c r="F13" s="2051"/>
      <c r="G13" s="2051"/>
      <c r="H13" s="2051"/>
      <c r="I13" s="1947" t="s">
        <v>186</v>
      </c>
      <c r="J13" s="2051"/>
      <c r="K13" s="2051"/>
      <c r="L13" s="2051"/>
      <c r="M13" s="2051"/>
      <c r="N13" s="1947" t="s">
        <v>186</v>
      </c>
      <c r="O13" s="2051"/>
      <c r="P13" s="2051"/>
      <c r="Q13" s="2051"/>
      <c r="R13" s="2051"/>
      <c r="S13" s="1947" t="s">
        <v>186</v>
      </c>
      <c r="T13" s="2051"/>
      <c r="U13" s="2051"/>
      <c r="V13" s="2051"/>
      <c r="W13" s="2051"/>
    </row>
    <row r="14" spans="1:23" ht="27" x14ac:dyDescent="0.35">
      <c r="B14" s="1947"/>
      <c r="C14" s="1947"/>
      <c r="D14" s="106" t="s">
        <v>523</v>
      </c>
      <c r="E14" s="106" t="s">
        <v>524</v>
      </c>
      <c r="F14" s="106" t="s">
        <v>525</v>
      </c>
      <c r="G14" s="106" t="s">
        <v>543</v>
      </c>
      <c r="H14" s="106" t="s">
        <v>526</v>
      </c>
      <c r="I14" s="106" t="s">
        <v>523</v>
      </c>
      <c r="J14" s="106" t="s">
        <v>524</v>
      </c>
      <c r="K14" s="106" t="s">
        <v>525</v>
      </c>
      <c r="L14" s="106" t="s">
        <v>543</v>
      </c>
      <c r="M14" s="106" t="s">
        <v>526</v>
      </c>
      <c r="N14" s="106" t="s">
        <v>523</v>
      </c>
      <c r="O14" s="106" t="s">
        <v>524</v>
      </c>
      <c r="P14" s="106" t="s">
        <v>525</v>
      </c>
      <c r="Q14" s="106" t="s">
        <v>543</v>
      </c>
      <c r="R14" s="106" t="s">
        <v>526</v>
      </c>
      <c r="S14" s="106" t="s">
        <v>523</v>
      </c>
      <c r="T14" s="106" t="s">
        <v>524</v>
      </c>
      <c r="U14" s="106" t="s">
        <v>525</v>
      </c>
      <c r="V14" s="106" t="s">
        <v>543</v>
      </c>
      <c r="W14" s="106" t="s">
        <v>526</v>
      </c>
    </row>
    <row r="15" spans="1:23" x14ac:dyDescent="0.35">
      <c r="B15" s="217"/>
      <c r="C15" s="217"/>
      <c r="D15" s="217" t="s">
        <v>128</v>
      </c>
      <c r="E15" s="217" t="s">
        <v>129</v>
      </c>
      <c r="F15" s="217" t="s">
        <v>527</v>
      </c>
      <c r="G15" s="217" t="s">
        <v>130</v>
      </c>
      <c r="H15" s="217" t="s">
        <v>544</v>
      </c>
      <c r="I15" s="217" t="s">
        <v>331</v>
      </c>
      <c r="J15" s="217" t="s">
        <v>132</v>
      </c>
      <c r="K15" s="217" t="s">
        <v>133</v>
      </c>
      <c r="L15" s="217" t="s">
        <v>332</v>
      </c>
      <c r="M15" s="217" t="s">
        <v>545</v>
      </c>
      <c r="N15" s="217" t="s">
        <v>528</v>
      </c>
      <c r="O15" s="217" t="s">
        <v>529</v>
      </c>
      <c r="P15" s="217" t="s">
        <v>334</v>
      </c>
      <c r="Q15" s="217" t="s">
        <v>530</v>
      </c>
      <c r="R15" s="217" t="s">
        <v>546</v>
      </c>
      <c r="S15" s="217" t="s">
        <v>532</v>
      </c>
      <c r="T15" s="217" t="s">
        <v>533</v>
      </c>
      <c r="U15" s="217" t="s">
        <v>534</v>
      </c>
      <c r="V15" s="217" t="s">
        <v>535</v>
      </c>
      <c r="W15" s="217" t="s">
        <v>547</v>
      </c>
    </row>
    <row r="16" spans="1:23" s="39" customFormat="1" x14ac:dyDescent="0.35">
      <c r="B16" s="1133">
        <v>1</v>
      </c>
      <c r="C16" s="1134" t="s">
        <v>1410</v>
      </c>
      <c r="D16" s="763">
        <v>0</v>
      </c>
      <c r="E16" s="763">
        <f>+Capitalisation!J50</f>
        <v>3.4999999999999999E-6</v>
      </c>
      <c r="F16" s="1150"/>
      <c r="G16" s="1151"/>
      <c r="H16" s="763">
        <f>+D16+E16-F16-G16</f>
        <v>3.4999999999999999E-6</v>
      </c>
      <c r="I16" s="1152">
        <f>+H16</f>
        <v>3.4999999999999999E-6</v>
      </c>
      <c r="J16" s="1152">
        <f>+Capitalisation!M50</f>
        <v>0</v>
      </c>
      <c r="K16" s="1152"/>
      <c r="L16" s="1151"/>
      <c r="M16" s="763">
        <f>+I16+J16-K16-L16</f>
        <v>3.4999999999999999E-6</v>
      </c>
      <c r="N16" s="1152">
        <f>+M16</f>
        <v>3.4999999999999999E-6</v>
      </c>
      <c r="O16" s="1152">
        <f>+Capitalisation!P50</f>
        <v>0</v>
      </c>
      <c r="P16" s="1152"/>
      <c r="Q16" s="1151"/>
      <c r="R16" s="763">
        <f>+N16+O16-P16-Q16</f>
        <v>3.4999999999999999E-6</v>
      </c>
      <c r="S16" s="1152">
        <f>+R16</f>
        <v>3.4999999999999999E-6</v>
      </c>
      <c r="T16" s="1152">
        <f>+Capitalisation!S50</f>
        <v>0</v>
      </c>
      <c r="U16" s="1152"/>
      <c r="V16" s="1151"/>
      <c r="W16" s="763">
        <f>+S16+T16-U16-V16</f>
        <v>3.4999999999999999E-6</v>
      </c>
    </row>
    <row r="17" spans="2:23" s="39" customFormat="1" x14ac:dyDescent="0.35">
      <c r="B17" s="1133">
        <v>2</v>
      </c>
      <c r="C17" s="1134" t="s">
        <v>1409</v>
      </c>
      <c r="D17" s="763">
        <v>0</v>
      </c>
      <c r="E17" s="763">
        <f>+Capitalisation!J51</f>
        <v>11.562416499999999</v>
      </c>
      <c r="F17" s="1150"/>
      <c r="G17" s="1151"/>
      <c r="H17" s="763">
        <f t="shared" ref="H17:H23" si="0">+D17+E17-F17-G17</f>
        <v>11.562416499999999</v>
      </c>
      <c r="I17" s="1152">
        <f t="shared" ref="I17:I23" si="1">+H17</f>
        <v>11.562416499999999</v>
      </c>
      <c r="J17" s="1152">
        <f>+Capitalisation!M51</f>
        <v>0</v>
      </c>
      <c r="K17" s="1152"/>
      <c r="L17" s="1151"/>
      <c r="M17" s="763">
        <f t="shared" ref="M17:M23" si="2">+I17+J17-K17-L17</f>
        <v>11.562416499999999</v>
      </c>
      <c r="N17" s="1152">
        <f t="shared" ref="N17:N23" si="3">+M17</f>
        <v>11.562416499999999</v>
      </c>
      <c r="O17" s="1152">
        <f>+Capitalisation!P51</f>
        <v>0</v>
      </c>
      <c r="P17" s="1152"/>
      <c r="Q17" s="1151"/>
      <c r="R17" s="763">
        <f t="shared" ref="R17:R23" si="4">+N17+O17-P17-Q17</f>
        <v>11.562416499999999</v>
      </c>
      <c r="S17" s="1152">
        <f t="shared" ref="S17:S23" si="5">+R17</f>
        <v>11.562416499999999</v>
      </c>
      <c r="T17" s="1152">
        <f>+Capitalisation!S51</f>
        <v>0</v>
      </c>
      <c r="U17" s="1152"/>
      <c r="V17" s="1151"/>
      <c r="W17" s="763">
        <f t="shared" ref="W17:W23" si="6">+S17+T17-U17-V17</f>
        <v>11.562416499999999</v>
      </c>
    </row>
    <row r="18" spans="2:23" s="39" customFormat="1" x14ac:dyDescent="0.35">
      <c r="B18" s="1133">
        <v>3</v>
      </c>
      <c r="C18" s="1134" t="s">
        <v>440</v>
      </c>
      <c r="D18" s="763">
        <v>0</v>
      </c>
      <c r="E18" s="763">
        <f>+Capitalisation!J52</f>
        <v>43.916384399999998</v>
      </c>
      <c r="F18" s="1153"/>
      <c r="G18" s="1154"/>
      <c r="H18" s="763">
        <f t="shared" si="0"/>
        <v>43.916384399999998</v>
      </c>
      <c r="I18" s="1152">
        <f t="shared" si="1"/>
        <v>43.916384399999998</v>
      </c>
      <c r="J18" s="1152">
        <f>+Capitalisation!M52</f>
        <v>11.561528951458783</v>
      </c>
      <c r="K18" s="1152"/>
      <c r="L18" s="1154"/>
      <c r="M18" s="763">
        <f t="shared" si="2"/>
        <v>55.477913351458781</v>
      </c>
      <c r="N18" s="1152">
        <f t="shared" si="3"/>
        <v>55.477913351458781</v>
      </c>
      <c r="O18" s="1152">
        <f>+Capitalisation!P52</f>
        <v>4.9563993889999995</v>
      </c>
      <c r="P18" s="1152">
        <f>+Capitalisation!K77</f>
        <v>3.6920784959999997</v>
      </c>
      <c r="Q18" s="1154"/>
      <c r="R18" s="763">
        <f t="shared" si="4"/>
        <v>56.742234244458778</v>
      </c>
      <c r="S18" s="1152">
        <f t="shared" si="5"/>
        <v>56.742234244458778</v>
      </c>
      <c r="T18" s="1152">
        <f>+Capitalisation!S52</f>
        <v>0.64014373999999996</v>
      </c>
      <c r="U18" s="1152"/>
      <c r="V18" s="1154"/>
      <c r="W18" s="763">
        <f t="shared" si="6"/>
        <v>57.382377984458778</v>
      </c>
    </row>
    <row r="19" spans="2:23" x14ac:dyDescent="0.35">
      <c r="B19" s="1133">
        <v>4</v>
      </c>
      <c r="C19" s="1134" t="s">
        <v>915</v>
      </c>
      <c r="D19" s="763">
        <v>0</v>
      </c>
      <c r="E19" s="763">
        <f>+Capitalisation!J53</f>
        <v>0</v>
      </c>
      <c r="F19" s="1150"/>
      <c r="G19" s="1151"/>
      <c r="H19" s="763">
        <f t="shared" si="0"/>
        <v>0</v>
      </c>
      <c r="I19" s="1152">
        <f t="shared" si="1"/>
        <v>0</v>
      </c>
      <c r="J19" s="1152">
        <f>+Capitalisation!M53</f>
        <v>0</v>
      </c>
      <c r="K19" s="1152"/>
      <c r="L19" s="1151"/>
      <c r="M19" s="763">
        <f t="shared" si="2"/>
        <v>0</v>
      </c>
      <c r="N19" s="1152">
        <f t="shared" si="3"/>
        <v>0</v>
      </c>
      <c r="O19" s="1152">
        <f>+Capitalisation!P53</f>
        <v>0</v>
      </c>
      <c r="P19" s="1152"/>
      <c r="Q19" s="1151"/>
      <c r="R19" s="763">
        <f t="shared" si="4"/>
        <v>0</v>
      </c>
      <c r="S19" s="1152">
        <f t="shared" si="5"/>
        <v>0</v>
      </c>
      <c r="T19" s="1152">
        <f>+Capitalisation!S53</f>
        <v>0</v>
      </c>
      <c r="U19" s="1152"/>
      <c r="V19" s="1151"/>
      <c r="W19" s="763">
        <f t="shared" si="6"/>
        <v>0</v>
      </c>
    </row>
    <row r="20" spans="2:23" x14ac:dyDescent="0.35">
      <c r="B20" s="1133">
        <v>5</v>
      </c>
      <c r="C20" s="1134" t="s">
        <v>447</v>
      </c>
      <c r="D20" s="763">
        <v>0</v>
      </c>
      <c r="E20" s="763">
        <f>+Capitalisation!J54</f>
        <v>4.8567700000000005E-2</v>
      </c>
      <c r="F20" s="1150"/>
      <c r="G20" s="1151"/>
      <c r="H20" s="763">
        <f t="shared" si="0"/>
        <v>4.8567700000000005E-2</v>
      </c>
      <c r="I20" s="1152">
        <f t="shared" si="1"/>
        <v>4.8567700000000005E-2</v>
      </c>
      <c r="J20" s="1152">
        <f>+Capitalisation!M54</f>
        <v>0</v>
      </c>
      <c r="K20" s="1152"/>
      <c r="L20" s="1151"/>
      <c r="M20" s="763">
        <f t="shared" si="2"/>
        <v>4.8567700000000005E-2</v>
      </c>
      <c r="N20" s="1152">
        <f t="shared" si="3"/>
        <v>4.8567700000000005E-2</v>
      </c>
      <c r="O20" s="1152">
        <f>+Capitalisation!P54</f>
        <v>0</v>
      </c>
      <c r="P20" s="1152"/>
      <c r="Q20" s="1151"/>
      <c r="R20" s="763">
        <f t="shared" si="4"/>
        <v>4.8567700000000005E-2</v>
      </c>
      <c r="S20" s="1152">
        <f t="shared" si="5"/>
        <v>4.8567700000000005E-2</v>
      </c>
      <c r="T20" s="1152">
        <f>+Capitalisation!S54</f>
        <v>1.25139E-2</v>
      </c>
      <c r="U20" s="1152"/>
      <c r="V20" s="1151"/>
      <c r="W20" s="763">
        <f t="shared" si="6"/>
        <v>6.1081600000000007E-2</v>
      </c>
    </row>
    <row r="21" spans="2:23" x14ac:dyDescent="0.35">
      <c r="B21" s="1133">
        <v>6</v>
      </c>
      <c r="C21" s="1134" t="s">
        <v>879</v>
      </c>
      <c r="D21" s="763">
        <v>0</v>
      </c>
      <c r="E21" s="763">
        <f>+Capitalisation!J55</f>
        <v>5.9382000000000002E-3</v>
      </c>
      <c r="F21" s="1150"/>
      <c r="G21" s="1151"/>
      <c r="H21" s="763">
        <f t="shared" si="0"/>
        <v>5.9382000000000002E-3</v>
      </c>
      <c r="I21" s="1152">
        <f t="shared" si="1"/>
        <v>5.9382000000000002E-3</v>
      </c>
      <c r="J21" s="1152">
        <f>+Capitalisation!M55</f>
        <v>0</v>
      </c>
      <c r="K21" s="1152"/>
      <c r="L21" s="1151"/>
      <c r="M21" s="763">
        <f t="shared" si="2"/>
        <v>5.9382000000000002E-3</v>
      </c>
      <c r="N21" s="1152">
        <f t="shared" si="3"/>
        <v>5.9382000000000002E-3</v>
      </c>
      <c r="O21" s="1152">
        <f>+Capitalisation!P55</f>
        <v>0</v>
      </c>
      <c r="P21" s="1152"/>
      <c r="Q21" s="1151"/>
      <c r="R21" s="763">
        <f t="shared" si="4"/>
        <v>5.9382000000000002E-3</v>
      </c>
      <c r="S21" s="1152">
        <f t="shared" si="5"/>
        <v>5.9382000000000002E-3</v>
      </c>
      <c r="T21" s="1152">
        <f>+Capitalisation!S55</f>
        <v>0</v>
      </c>
      <c r="U21" s="1152"/>
      <c r="V21" s="1151"/>
      <c r="W21" s="763">
        <f t="shared" si="6"/>
        <v>5.9382000000000002E-3</v>
      </c>
    </row>
    <row r="22" spans="2:23" x14ac:dyDescent="0.4">
      <c r="B22" s="1133">
        <v>7</v>
      </c>
      <c r="C22" s="1135" t="s">
        <v>1269</v>
      </c>
      <c r="D22" s="763">
        <v>0</v>
      </c>
      <c r="E22" s="763">
        <f>+Capitalisation!J56</f>
        <v>1.3571147499999998E-2</v>
      </c>
      <c r="F22" s="1152"/>
      <c r="G22" s="1155"/>
      <c r="H22" s="763">
        <f t="shared" si="0"/>
        <v>1.3571147499999998E-2</v>
      </c>
      <c r="I22" s="1152">
        <f t="shared" si="1"/>
        <v>1.3571147499999998E-2</v>
      </c>
      <c r="J22" s="1152">
        <f>+Capitalisation!M56</f>
        <v>0</v>
      </c>
      <c r="K22" s="1156"/>
      <c r="L22" s="1155"/>
      <c r="M22" s="763">
        <f t="shared" si="2"/>
        <v>1.3571147499999998E-2</v>
      </c>
      <c r="N22" s="1152">
        <f t="shared" si="3"/>
        <v>1.3571147499999998E-2</v>
      </c>
      <c r="O22" s="1152">
        <f>+Capitalisation!P56</f>
        <v>1.0320912E-2</v>
      </c>
      <c r="P22" s="1152"/>
      <c r="Q22" s="1155"/>
      <c r="R22" s="763">
        <f t="shared" si="4"/>
        <v>2.38920595E-2</v>
      </c>
      <c r="S22" s="1152">
        <f t="shared" si="5"/>
        <v>2.38920595E-2</v>
      </c>
      <c r="T22" s="1152">
        <f>+Capitalisation!S56</f>
        <v>2.2350060000000003E-3</v>
      </c>
      <c r="U22" s="1156"/>
      <c r="V22" s="1155"/>
      <c r="W22" s="763">
        <f t="shared" si="6"/>
        <v>2.6127065500000001E-2</v>
      </c>
    </row>
    <row r="23" spans="2:23" ht="15.4" x14ac:dyDescent="0.4">
      <c r="B23" s="1133">
        <v>8</v>
      </c>
      <c r="C23" s="1135" t="s">
        <v>1270</v>
      </c>
      <c r="D23" s="763">
        <v>0</v>
      </c>
      <c r="E23" s="763">
        <f>+Capitalisation!J57</f>
        <v>0</v>
      </c>
      <c r="F23" s="1157"/>
      <c r="G23" s="1158"/>
      <c r="H23" s="763">
        <f t="shared" si="0"/>
        <v>0</v>
      </c>
      <c r="I23" s="1152">
        <f t="shared" si="1"/>
        <v>0</v>
      </c>
      <c r="J23" s="1152">
        <f>+Capitalisation!M57</f>
        <v>0</v>
      </c>
      <c r="K23" s="1159"/>
      <c r="L23" s="1158"/>
      <c r="M23" s="763">
        <f t="shared" si="2"/>
        <v>0</v>
      </c>
      <c r="N23" s="1152">
        <f t="shared" si="3"/>
        <v>0</v>
      </c>
      <c r="O23" s="1152">
        <f>+Capitalisation!P57</f>
        <v>0</v>
      </c>
      <c r="P23" s="1152"/>
      <c r="Q23" s="1158"/>
      <c r="R23" s="763">
        <f t="shared" si="4"/>
        <v>0</v>
      </c>
      <c r="S23" s="1152">
        <f t="shared" si="5"/>
        <v>0</v>
      </c>
      <c r="T23" s="1152">
        <f>+Capitalisation!S57</f>
        <v>0</v>
      </c>
      <c r="U23" s="1159"/>
      <c r="V23" s="1158"/>
      <c r="W23" s="763">
        <f t="shared" si="6"/>
        <v>0</v>
      </c>
    </row>
    <row r="24" spans="2:23" ht="14.65" x14ac:dyDescent="0.4">
      <c r="B24" s="1136"/>
      <c r="C24" s="1137" t="s">
        <v>164</v>
      </c>
      <c r="D24" s="1140">
        <f>SUM(D16:D23)</f>
        <v>0</v>
      </c>
      <c r="E24" s="1160">
        <f t="shared" ref="E24:W24" si="7">SUM(E16:E23)</f>
        <v>55.546881447500006</v>
      </c>
      <c r="F24" s="1160">
        <f t="shared" si="7"/>
        <v>0</v>
      </c>
      <c r="G24" s="1160">
        <f t="shared" si="7"/>
        <v>0</v>
      </c>
      <c r="H24" s="1160">
        <f t="shared" si="7"/>
        <v>55.546881447500006</v>
      </c>
      <c r="I24" s="1160">
        <f t="shared" si="7"/>
        <v>55.546881447500006</v>
      </c>
      <c r="J24" s="1160">
        <f t="shared" si="7"/>
        <v>11.561528951458783</v>
      </c>
      <c r="K24" s="1160">
        <f t="shared" si="7"/>
        <v>0</v>
      </c>
      <c r="L24" s="1160">
        <f t="shared" si="7"/>
        <v>0</v>
      </c>
      <c r="M24" s="1160">
        <f t="shared" si="7"/>
        <v>67.108410398958796</v>
      </c>
      <c r="N24" s="1160">
        <f t="shared" si="7"/>
        <v>67.108410398958796</v>
      </c>
      <c r="O24" s="1160">
        <f t="shared" si="7"/>
        <v>4.9667203009999996</v>
      </c>
      <c r="P24" s="1160">
        <f t="shared" si="7"/>
        <v>3.6920784959999997</v>
      </c>
      <c r="Q24" s="1160">
        <f t="shared" si="7"/>
        <v>0</v>
      </c>
      <c r="R24" s="1160">
        <f t="shared" si="7"/>
        <v>68.383052203958783</v>
      </c>
      <c r="S24" s="1160">
        <f t="shared" si="7"/>
        <v>68.383052203958783</v>
      </c>
      <c r="T24" s="1160">
        <f t="shared" si="7"/>
        <v>0.65489264599999997</v>
      </c>
      <c r="U24" s="1160">
        <f t="shared" si="7"/>
        <v>0</v>
      </c>
      <c r="V24" s="1160">
        <f t="shared" si="7"/>
        <v>0</v>
      </c>
      <c r="W24" s="1160">
        <f t="shared" si="7"/>
        <v>69.037944849958777</v>
      </c>
    </row>
    <row r="25" spans="2:23" ht="14.65" x14ac:dyDescent="0.4">
      <c r="B25" s="1138"/>
      <c r="C25" s="1139"/>
      <c r="D25" s="84"/>
      <c r="E25" s="84"/>
      <c r="F25" s="84"/>
      <c r="G25" s="84"/>
      <c r="H25" s="84"/>
      <c r="J25" s="39"/>
      <c r="M25" s="39"/>
      <c r="N25" s="39"/>
    </row>
    <row r="26" spans="2:23" x14ac:dyDescent="0.35">
      <c r="B26" s="1947" t="s">
        <v>1</v>
      </c>
      <c r="C26" s="1947" t="s">
        <v>111</v>
      </c>
      <c r="D26" s="2052" t="s">
        <v>112</v>
      </c>
      <c r="E26" s="2052"/>
      <c r="F26" s="2052"/>
      <c r="G26" s="2052"/>
      <c r="H26" s="2052"/>
      <c r="I26" s="2052" t="s">
        <v>113</v>
      </c>
      <c r="J26" s="2052"/>
      <c r="K26" s="2052"/>
      <c r="L26" s="2052"/>
      <c r="M26" s="2052"/>
      <c r="N26" s="1947" t="s">
        <v>114</v>
      </c>
      <c r="O26" s="1947"/>
      <c r="P26" s="1947"/>
      <c r="Q26" s="1947"/>
      <c r="R26" s="1947"/>
      <c r="S26" s="1947" t="s">
        <v>123</v>
      </c>
      <c r="T26" s="1947"/>
      <c r="U26" s="1947"/>
      <c r="V26" s="1947"/>
      <c r="W26" s="1947"/>
    </row>
    <row r="27" spans="2:23" x14ac:dyDescent="0.35">
      <c r="B27" s="1947"/>
      <c r="C27" s="1947"/>
      <c r="D27" s="1947" t="s">
        <v>186</v>
      </c>
      <c r="E27" s="2051"/>
      <c r="F27" s="2051"/>
      <c r="G27" s="2051"/>
      <c r="H27" s="2051"/>
      <c r="I27" s="1947" t="s">
        <v>186</v>
      </c>
      <c r="J27" s="2051"/>
      <c r="K27" s="2051"/>
      <c r="L27" s="2051"/>
      <c r="M27" s="2051"/>
      <c r="N27" s="1947" t="s">
        <v>186</v>
      </c>
      <c r="O27" s="2051"/>
      <c r="P27" s="2051"/>
      <c r="Q27" s="2051"/>
      <c r="R27" s="2051"/>
      <c r="S27" s="1947" t="s">
        <v>135</v>
      </c>
      <c r="T27" s="2051"/>
      <c r="U27" s="2051"/>
      <c r="V27" s="2051"/>
      <c r="W27" s="2051"/>
    </row>
    <row r="28" spans="2:23" ht="27" x14ac:dyDescent="0.35">
      <c r="B28" s="1947"/>
      <c r="C28" s="1947"/>
      <c r="D28" s="106" t="s">
        <v>523</v>
      </c>
      <c r="E28" s="106" t="s">
        <v>524</v>
      </c>
      <c r="F28" s="106" t="s">
        <v>525</v>
      </c>
      <c r="G28" s="106" t="s">
        <v>543</v>
      </c>
      <c r="H28" s="106" t="s">
        <v>526</v>
      </c>
      <c r="I28" s="106" t="s">
        <v>523</v>
      </c>
      <c r="J28" s="106" t="s">
        <v>524</v>
      </c>
      <c r="K28" s="106" t="s">
        <v>525</v>
      </c>
      <c r="L28" s="106" t="s">
        <v>543</v>
      </c>
      <c r="M28" s="106" t="s">
        <v>526</v>
      </c>
      <c r="N28" s="106" t="s">
        <v>523</v>
      </c>
      <c r="O28" s="106" t="s">
        <v>524</v>
      </c>
      <c r="P28" s="106" t="s">
        <v>525</v>
      </c>
      <c r="Q28" s="106" t="s">
        <v>543</v>
      </c>
      <c r="R28" s="106" t="s">
        <v>526</v>
      </c>
      <c r="S28" s="106" t="s">
        <v>523</v>
      </c>
      <c r="T28" s="106" t="s">
        <v>524</v>
      </c>
      <c r="U28" s="106" t="s">
        <v>525</v>
      </c>
      <c r="V28" s="106" t="s">
        <v>543</v>
      </c>
      <c r="W28" s="106" t="s">
        <v>526</v>
      </c>
    </row>
    <row r="29" spans="2:23" x14ac:dyDescent="0.35">
      <c r="B29" s="217"/>
      <c r="C29" s="217"/>
      <c r="D29" s="217" t="s">
        <v>128</v>
      </c>
      <c r="E29" s="217" t="s">
        <v>129</v>
      </c>
      <c r="F29" s="217" t="s">
        <v>527</v>
      </c>
      <c r="G29" s="217" t="s">
        <v>130</v>
      </c>
      <c r="H29" s="217" t="s">
        <v>544</v>
      </c>
      <c r="I29" s="217" t="s">
        <v>331</v>
      </c>
      <c r="J29" s="217" t="s">
        <v>132</v>
      </c>
      <c r="K29" s="217" t="s">
        <v>133</v>
      </c>
      <c r="L29" s="217" t="s">
        <v>332</v>
      </c>
      <c r="M29" s="217" t="s">
        <v>545</v>
      </c>
      <c r="N29" s="217" t="s">
        <v>528</v>
      </c>
      <c r="O29" s="217" t="s">
        <v>529</v>
      </c>
      <c r="P29" s="217" t="s">
        <v>334</v>
      </c>
      <c r="Q29" s="217" t="s">
        <v>530</v>
      </c>
      <c r="R29" s="217" t="s">
        <v>546</v>
      </c>
      <c r="S29" s="217" t="s">
        <v>532</v>
      </c>
      <c r="T29" s="217" t="s">
        <v>533</v>
      </c>
      <c r="U29" s="217" t="s">
        <v>534</v>
      </c>
      <c r="V29" s="217" t="s">
        <v>535</v>
      </c>
      <c r="W29" s="217" t="s">
        <v>547</v>
      </c>
    </row>
    <row r="30" spans="2:23" s="39" customFormat="1" x14ac:dyDescent="0.35">
      <c r="B30" s="1133">
        <v>1</v>
      </c>
      <c r="C30" s="1134" t="s">
        <v>1410</v>
      </c>
      <c r="D30" s="1142">
        <f>+W16</f>
        <v>3.4999999999999999E-6</v>
      </c>
      <c r="E30" s="763">
        <f>+Capitalisation!V50</f>
        <v>0</v>
      </c>
      <c r="F30" s="763"/>
      <c r="G30" s="795"/>
      <c r="H30" s="763">
        <f>+D30+E30-F30-G30</f>
        <v>3.4999999999999999E-6</v>
      </c>
      <c r="I30" s="676">
        <f>+H30</f>
        <v>3.4999999999999999E-6</v>
      </c>
      <c r="J30" s="676">
        <f>+Capitalisation!Y50</f>
        <v>0</v>
      </c>
      <c r="K30" s="676"/>
      <c r="L30" s="795"/>
      <c r="M30" s="763">
        <f>+I30+J30-K30-L30</f>
        <v>3.4999999999999999E-6</v>
      </c>
      <c r="N30" s="676">
        <f>+M30</f>
        <v>3.4999999999999999E-6</v>
      </c>
      <c r="O30" s="676">
        <f>+Capitalisation!AB50</f>
        <v>0</v>
      </c>
      <c r="P30" s="676"/>
      <c r="Q30" s="795"/>
      <c r="R30" s="763">
        <f>+N30+O30-P30-Q30</f>
        <v>3.4999999999999999E-6</v>
      </c>
      <c r="S30" s="676">
        <f>+R30</f>
        <v>3.4999999999999999E-6</v>
      </c>
      <c r="T30" s="676"/>
      <c r="U30" s="676"/>
      <c r="V30" s="795"/>
      <c r="W30" s="763">
        <f>+S30+T30-U30-V30</f>
        <v>3.4999999999999999E-6</v>
      </c>
    </row>
    <row r="31" spans="2:23" s="39" customFormat="1" x14ac:dyDescent="0.35">
      <c r="B31" s="1133">
        <v>2</v>
      </c>
      <c r="C31" s="1134" t="s">
        <v>1409</v>
      </c>
      <c r="D31" s="1142">
        <f t="shared" ref="D31:D37" si="8">+W17</f>
        <v>11.562416499999999</v>
      </c>
      <c r="E31" s="763">
        <f>+Capitalisation!V51</f>
        <v>0</v>
      </c>
      <c r="F31" s="763"/>
      <c r="G31" s="795"/>
      <c r="H31" s="763">
        <f t="shared" ref="H31:H37" si="9">+D31+E31-F31-G31</f>
        <v>11.562416499999999</v>
      </c>
      <c r="I31" s="676">
        <f t="shared" ref="I31:I37" si="10">+H31</f>
        <v>11.562416499999999</v>
      </c>
      <c r="J31" s="676">
        <f>+Capitalisation!Y51</f>
        <v>0</v>
      </c>
      <c r="K31" s="676"/>
      <c r="L31" s="795"/>
      <c r="M31" s="763">
        <f t="shared" ref="M31:M37" si="11">+I31+J31-K31-L31</f>
        <v>11.562416499999999</v>
      </c>
      <c r="N31" s="676">
        <f t="shared" ref="N31:N37" si="12">+M31</f>
        <v>11.562416499999999</v>
      </c>
      <c r="O31" s="676">
        <f>+Capitalisation!AB51</f>
        <v>0</v>
      </c>
      <c r="P31" s="676"/>
      <c r="Q31" s="795"/>
      <c r="R31" s="763">
        <f t="shared" ref="R31:R37" si="13">+N31+O31-P31-Q31</f>
        <v>11.562416499999999</v>
      </c>
      <c r="S31" s="676">
        <f t="shared" ref="S31:S37" si="14">+R31</f>
        <v>11.562416499999999</v>
      </c>
      <c r="T31" s="676"/>
      <c r="U31" s="676"/>
      <c r="V31" s="795"/>
      <c r="W31" s="763">
        <f t="shared" ref="W31:W37" si="15">+S31+T31-U31-V31</f>
        <v>11.562416499999999</v>
      </c>
    </row>
    <row r="32" spans="2:23" s="39" customFormat="1" x14ac:dyDescent="0.35">
      <c r="B32" s="1133">
        <v>3</v>
      </c>
      <c r="C32" s="1134" t="s">
        <v>440</v>
      </c>
      <c r="D32" s="1142">
        <f t="shared" si="8"/>
        <v>57.382377984458778</v>
      </c>
      <c r="E32" s="763">
        <f>+Capitalisation!V52</f>
        <v>0</v>
      </c>
      <c r="F32" s="762"/>
      <c r="G32" s="764"/>
      <c r="H32" s="763">
        <f t="shared" si="9"/>
        <v>57.382377984458778</v>
      </c>
      <c r="I32" s="676">
        <f t="shared" si="10"/>
        <v>57.382377984458778</v>
      </c>
      <c r="J32" s="676">
        <f>+Capitalisation!Y52</f>
        <v>9.1967151999999996E-2</v>
      </c>
      <c r="K32" s="676"/>
      <c r="L32" s="764"/>
      <c r="M32" s="763">
        <f t="shared" si="11"/>
        <v>57.47434513645878</v>
      </c>
      <c r="N32" s="676">
        <f t="shared" si="12"/>
        <v>57.47434513645878</v>
      </c>
      <c r="O32" s="676">
        <f>+Capitalisation!AB52</f>
        <v>0</v>
      </c>
      <c r="P32" s="676"/>
      <c r="Q32" s="764"/>
      <c r="R32" s="763">
        <f t="shared" si="13"/>
        <v>57.47434513645878</v>
      </c>
      <c r="S32" s="676">
        <f t="shared" si="14"/>
        <v>57.47434513645878</v>
      </c>
      <c r="T32" s="676"/>
      <c r="U32" s="676"/>
      <c r="V32" s="764"/>
      <c r="W32" s="763">
        <f t="shared" si="15"/>
        <v>57.47434513645878</v>
      </c>
    </row>
    <row r="33" spans="2:23" x14ac:dyDescent="0.35">
      <c r="B33" s="1133">
        <v>4</v>
      </c>
      <c r="C33" s="1134" t="s">
        <v>915</v>
      </c>
      <c r="D33" s="1142">
        <f t="shared" si="8"/>
        <v>0</v>
      </c>
      <c r="E33" s="763">
        <f>+Capitalisation!V53</f>
        <v>0</v>
      </c>
      <c r="F33" s="763"/>
      <c r="G33" s="795"/>
      <c r="H33" s="763">
        <f t="shared" si="9"/>
        <v>0</v>
      </c>
      <c r="I33" s="676">
        <f t="shared" si="10"/>
        <v>0</v>
      </c>
      <c r="J33" s="676">
        <f>+Capitalisation!Y53</f>
        <v>0</v>
      </c>
      <c r="K33" s="676"/>
      <c r="L33" s="795"/>
      <c r="M33" s="763">
        <f t="shared" si="11"/>
        <v>0</v>
      </c>
      <c r="N33" s="676">
        <f t="shared" si="12"/>
        <v>0</v>
      </c>
      <c r="O33" s="676">
        <f>+Capitalisation!AB53</f>
        <v>0</v>
      </c>
      <c r="P33" s="676"/>
      <c r="Q33" s="795"/>
      <c r="R33" s="763">
        <f t="shared" si="13"/>
        <v>0</v>
      </c>
      <c r="S33" s="676">
        <f t="shared" si="14"/>
        <v>0</v>
      </c>
      <c r="T33" s="676"/>
      <c r="U33" s="676"/>
      <c r="V33" s="795"/>
      <c r="W33" s="763">
        <f t="shared" si="15"/>
        <v>0</v>
      </c>
    </row>
    <row r="34" spans="2:23" x14ac:dyDescent="0.35">
      <c r="B34" s="1133">
        <v>5</v>
      </c>
      <c r="C34" s="1134" t="s">
        <v>447</v>
      </c>
      <c r="D34" s="1142">
        <f t="shared" si="8"/>
        <v>6.1081600000000007E-2</v>
      </c>
      <c r="E34" s="763">
        <f>+Capitalisation!V54</f>
        <v>0</v>
      </c>
      <c r="F34" s="763"/>
      <c r="G34" s="795"/>
      <c r="H34" s="763">
        <f t="shared" si="9"/>
        <v>6.1081600000000007E-2</v>
      </c>
      <c r="I34" s="676">
        <f t="shared" si="10"/>
        <v>6.1081600000000007E-2</v>
      </c>
      <c r="J34" s="676">
        <f>+Capitalisation!Y54</f>
        <v>8.5004999999999998E-4</v>
      </c>
      <c r="K34" s="676"/>
      <c r="L34" s="795"/>
      <c r="M34" s="763">
        <f t="shared" si="11"/>
        <v>6.1931650000000005E-2</v>
      </c>
      <c r="N34" s="676">
        <f t="shared" si="12"/>
        <v>6.1931650000000005E-2</v>
      </c>
      <c r="O34" s="676">
        <f>+Capitalisation!AB54</f>
        <v>7.8101249999999994E-3</v>
      </c>
      <c r="P34" s="676"/>
      <c r="Q34" s="795"/>
      <c r="R34" s="763">
        <f t="shared" si="13"/>
        <v>6.9741775000000006E-2</v>
      </c>
      <c r="S34" s="676">
        <f t="shared" si="14"/>
        <v>6.9741775000000006E-2</v>
      </c>
      <c r="T34" s="676"/>
      <c r="U34" s="676"/>
      <c r="V34" s="795"/>
      <c r="W34" s="763">
        <f t="shared" si="15"/>
        <v>6.9741775000000006E-2</v>
      </c>
    </row>
    <row r="35" spans="2:23" x14ac:dyDescent="0.35">
      <c r="B35" s="1133">
        <v>6</v>
      </c>
      <c r="C35" s="1134" t="s">
        <v>879</v>
      </c>
      <c r="D35" s="1142">
        <f t="shared" si="8"/>
        <v>5.9382000000000002E-3</v>
      </c>
      <c r="E35" s="763">
        <f>+Capitalisation!V55</f>
        <v>0</v>
      </c>
      <c r="F35" s="763"/>
      <c r="G35" s="795"/>
      <c r="H35" s="763">
        <f t="shared" si="9"/>
        <v>5.9382000000000002E-3</v>
      </c>
      <c r="I35" s="676">
        <f t="shared" si="10"/>
        <v>5.9382000000000002E-3</v>
      </c>
      <c r="J35" s="676">
        <f>+Capitalisation!Y55</f>
        <v>0</v>
      </c>
      <c r="K35" s="676"/>
      <c r="L35" s="795"/>
      <c r="M35" s="763">
        <f t="shared" si="11"/>
        <v>5.9382000000000002E-3</v>
      </c>
      <c r="N35" s="676">
        <f t="shared" si="12"/>
        <v>5.9382000000000002E-3</v>
      </c>
      <c r="O35" s="676">
        <f>+Capitalisation!AB55</f>
        <v>0</v>
      </c>
      <c r="P35" s="676"/>
      <c r="Q35" s="795"/>
      <c r="R35" s="763">
        <f t="shared" si="13"/>
        <v>5.9382000000000002E-3</v>
      </c>
      <c r="S35" s="676">
        <f t="shared" si="14"/>
        <v>5.9382000000000002E-3</v>
      </c>
      <c r="T35" s="676"/>
      <c r="U35" s="676"/>
      <c r="V35" s="795"/>
      <c r="W35" s="763">
        <f t="shared" si="15"/>
        <v>5.9382000000000002E-3</v>
      </c>
    </row>
    <row r="36" spans="2:23" x14ac:dyDescent="0.4">
      <c r="B36" s="1133">
        <v>7</v>
      </c>
      <c r="C36" s="1135" t="s">
        <v>1269</v>
      </c>
      <c r="D36" s="1142">
        <f t="shared" si="8"/>
        <v>2.6127065500000001E-2</v>
      </c>
      <c r="E36" s="763">
        <f>+Capitalisation!V56</f>
        <v>4.9749910000000007E-3</v>
      </c>
      <c r="F36" s="676"/>
      <c r="G36" s="700"/>
      <c r="H36" s="763">
        <f t="shared" si="9"/>
        <v>3.1102056500000003E-2</v>
      </c>
      <c r="I36" s="676">
        <f t="shared" si="10"/>
        <v>3.1102056500000003E-2</v>
      </c>
      <c r="J36" s="676">
        <f>+Capitalisation!Y56</f>
        <v>3.5545362499999997E-2</v>
      </c>
      <c r="K36" s="1161"/>
      <c r="L36" s="700"/>
      <c r="M36" s="763">
        <f t="shared" si="11"/>
        <v>6.6647418999999999E-2</v>
      </c>
      <c r="N36" s="676">
        <f t="shared" si="12"/>
        <v>6.6647418999999999E-2</v>
      </c>
      <c r="O36" s="676">
        <f>+Capitalisation!AB56</f>
        <v>5.2556599999999997E-3</v>
      </c>
      <c r="P36" s="1161"/>
      <c r="Q36" s="700"/>
      <c r="R36" s="763">
        <f t="shared" si="13"/>
        <v>7.1903078999999995E-2</v>
      </c>
      <c r="S36" s="676">
        <f t="shared" si="14"/>
        <v>7.1903078999999995E-2</v>
      </c>
      <c r="T36" s="1161"/>
      <c r="U36" s="1161"/>
      <c r="V36" s="700"/>
      <c r="W36" s="763">
        <f t="shared" si="15"/>
        <v>7.1903078999999995E-2</v>
      </c>
    </row>
    <row r="37" spans="2:23" ht="15.4" x14ac:dyDescent="0.4">
      <c r="B37" s="1133">
        <v>8</v>
      </c>
      <c r="C37" s="1135" t="s">
        <v>1270</v>
      </c>
      <c r="D37" s="1142">
        <f t="shared" si="8"/>
        <v>0</v>
      </c>
      <c r="E37" s="763">
        <f>+Capitalisation!V57</f>
        <v>0</v>
      </c>
      <c r="F37" s="1162"/>
      <c r="G37" s="796"/>
      <c r="H37" s="763">
        <f t="shared" si="9"/>
        <v>0</v>
      </c>
      <c r="I37" s="676">
        <f t="shared" si="10"/>
        <v>0</v>
      </c>
      <c r="J37" s="676">
        <f>+Capitalisation!Y57</f>
        <v>0</v>
      </c>
      <c r="K37" s="1163"/>
      <c r="L37" s="796"/>
      <c r="M37" s="763">
        <f t="shared" si="11"/>
        <v>0</v>
      </c>
      <c r="N37" s="676">
        <f t="shared" si="12"/>
        <v>0</v>
      </c>
      <c r="O37" s="676">
        <f>+Capitalisation!AB57</f>
        <v>0</v>
      </c>
      <c r="P37" s="1163"/>
      <c r="Q37" s="796"/>
      <c r="R37" s="763">
        <f t="shared" si="13"/>
        <v>0</v>
      </c>
      <c r="S37" s="676">
        <f t="shared" si="14"/>
        <v>0</v>
      </c>
      <c r="T37" s="1163"/>
      <c r="U37" s="1163"/>
      <c r="V37" s="796"/>
      <c r="W37" s="763">
        <f t="shared" si="15"/>
        <v>0</v>
      </c>
    </row>
    <row r="38" spans="2:23" ht="14.65" x14ac:dyDescent="0.4">
      <c r="B38" s="1136"/>
      <c r="C38" s="1137" t="s">
        <v>164</v>
      </c>
      <c r="D38" s="1140">
        <f t="shared" ref="D38:W38" si="16">SUM(D30:D37)</f>
        <v>69.037944849958777</v>
      </c>
      <c r="E38" s="1160">
        <f t="shared" si="16"/>
        <v>4.9749910000000007E-3</v>
      </c>
      <c r="F38" s="1160">
        <f t="shared" si="16"/>
        <v>0</v>
      </c>
      <c r="G38" s="1160">
        <f t="shared" si="16"/>
        <v>0</v>
      </c>
      <c r="H38" s="1160">
        <f t="shared" si="16"/>
        <v>69.042919840958774</v>
      </c>
      <c r="I38" s="1160">
        <f t="shared" si="16"/>
        <v>69.042919840958774</v>
      </c>
      <c r="J38" s="1160">
        <f t="shared" si="16"/>
        <v>0.1283625645</v>
      </c>
      <c r="K38" s="1160">
        <f t="shared" si="16"/>
        <v>0</v>
      </c>
      <c r="L38" s="1160">
        <f t="shared" si="16"/>
        <v>0</v>
      </c>
      <c r="M38" s="1160">
        <f t="shared" si="16"/>
        <v>69.171282405458797</v>
      </c>
      <c r="N38" s="1160">
        <f t="shared" si="16"/>
        <v>69.171282405458797</v>
      </c>
      <c r="O38" s="1160">
        <f t="shared" si="16"/>
        <v>1.3065785E-2</v>
      </c>
      <c r="P38" s="1160">
        <f t="shared" si="16"/>
        <v>0</v>
      </c>
      <c r="Q38" s="1160">
        <f t="shared" si="16"/>
        <v>0</v>
      </c>
      <c r="R38" s="1160">
        <f t="shared" si="16"/>
        <v>69.184348190458778</v>
      </c>
      <c r="S38" s="1160">
        <f t="shared" si="16"/>
        <v>69.184348190458778</v>
      </c>
      <c r="T38" s="1160">
        <f t="shared" si="16"/>
        <v>0</v>
      </c>
      <c r="U38" s="1160">
        <f t="shared" si="16"/>
        <v>0</v>
      </c>
      <c r="V38" s="1160">
        <f t="shared" si="16"/>
        <v>0</v>
      </c>
      <c r="W38" s="1160">
        <f t="shared" si="16"/>
        <v>69.184348190458778</v>
      </c>
    </row>
    <row r="39" spans="2:23" x14ac:dyDescent="0.35">
      <c r="B39" s="83"/>
      <c r="C39" s="84"/>
      <c r="D39" s="84"/>
      <c r="E39" s="84"/>
      <c r="F39" s="84"/>
      <c r="G39" s="84"/>
      <c r="H39" s="84"/>
      <c r="J39" s="39"/>
      <c r="M39" s="39"/>
      <c r="N39" s="39"/>
    </row>
    <row r="40" spans="2:23" x14ac:dyDescent="0.35">
      <c r="B40" s="1947" t="s">
        <v>1</v>
      </c>
      <c r="C40" s="1947" t="s">
        <v>111</v>
      </c>
      <c r="D40" s="2052" t="s">
        <v>124</v>
      </c>
      <c r="E40" s="2052"/>
      <c r="F40" s="2052"/>
      <c r="G40" s="2052"/>
      <c r="H40" s="2052"/>
      <c r="I40" s="2052" t="s">
        <v>125</v>
      </c>
      <c r="J40" s="2052"/>
      <c r="K40" s="2052"/>
      <c r="L40" s="2052"/>
      <c r="M40" s="2052"/>
      <c r="N40" s="2052" t="s">
        <v>126</v>
      </c>
      <c r="O40" s="2052"/>
      <c r="P40" s="2052"/>
      <c r="Q40" s="2052"/>
      <c r="R40" s="2052"/>
      <c r="S40" s="2052" t="s">
        <v>127</v>
      </c>
      <c r="T40" s="2052"/>
      <c r="U40" s="2052"/>
      <c r="V40" s="2052"/>
      <c r="W40" s="2052"/>
    </row>
    <row r="41" spans="2:23" x14ac:dyDescent="0.35">
      <c r="B41" s="1947"/>
      <c r="C41" s="1947"/>
      <c r="D41" s="2052" t="s">
        <v>135</v>
      </c>
      <c r="E41" s="2055"/>
      <c r="F41" s="2055"/>
      <c r="G41" s="2055"/>
      <c r="H41" s="2055"/>
      <c r="I41" s="2052" t="s">
        <v>135</v>
      </c>
      <c r="J41" s="2055"/>
      <c r="K41" s="2055"/>
      <c r="L41" s="2055"/>
      <c r="M41" s="2055"/>
      <c r="N41" s="2052" t="s">
        <v>135</v>
      </c>
      <c r="O41" s="2055"/>
      <c r="P41" s="2055"/>
      <c r="Q41" s="2055"/>
      <c r="R41" s="2055"/>
      <c r="S41" s="2052" t="s">
        <v>135</v>
      </c>
      <c r="T41" s="2055"/>
      <c r="U41" s="2055"/>
      <c r="V41" s="2055"/>
      <c r="W41" s="2055"/>
    </row>
    <row r="42" spans="2:23" ht="27" x14ac:dyDescent="0.35">
      <c r="B42" s="1947"/>
      <c r="C42" s="1947"/>
      <c r="D42" s="250" t="s">
        <v>523</v>
      </c>
      <c r="E42" s="250" t="s">
        <v>524</v>
      </c>
      <c r="F42" s="250" t="s">
        <v>525</v>
      </c>
      <c r="G42" s="106" t="s">
        <v>543</v>
      </c>
      <c r="H42" s="250" t="s">
        <v>526</v>
      </c>
      <c r="I42" s="250" t="s">
        <v>523</v>
      </c>
      <c r="J42" s="250" t="s">
        <v>524</v>
      </c>
      <c r="K42" s="250" t="s">
        <v>525</v>
      </c>
      <c r="L42" s="106" t="s">
        <v>543</v>
      </c>
      <c r="M42" s="250" t="s">
        <v>526</v>
      </c>
      <c r="N42" s="250" t="s">
        <v>523</v>
      </c>
      <c r="O42" s="250" t="s">
        <v>524</v>
      </c>
      <c r="P42" s="250" t="s">
        <v>525</v>
      </c>
      <c r="Q42" s="106" t="s">
        <v>543</v>
      </c>
      <c r="R42" s="250" t="s">
        <v>526</v>
      </c>
      <c r="S42" s="250" t="s">
        <v>523</v>
      </c>
      <c r="T42" s="250" t="s">
        <v>524</v>
      </c>
      <c r="U42" s="250" t="s">
        <v>525</v>
      </c>
      <c r="V42" s="106" t="s">
        <v>543</v>
      </c>
      <c r="W42" s="250" t="s">
        <v>526</v>
      </c>
    </row>
    <row r="43" spans="2:23" x14ac:dyDescent="0.35">
      <c r="B43" s="217"/>
      <c r="C43" s="217"/>
      <c r="D43" s="217" t="s">
        <v>128</v>
      </c>
      <c r="E43" s="217" t="s">
        <v>129</v>
      </c>
      <c r="F43" s="217" t="s">
        <v>527</v>
      </c>
      <c r="G43" s="217" t="s">
        <v>130</v>
      </c>
      <c r="H43" s="217" t="s">
        <v>544</v>
      </c>
      <c r="I43" s="217" t="s">
        <v>331</v>
      </c>
      <c r="J43" s="217" t="s">
        <v>132</v>
      </c>
      <c r="K43" s="217" t="s">
        <v>133</v>
      </c>
      <c r="L43" s="217" t="s">
        <v>332</v>
      </c>
      <c r="M43" s="217" t="s">
        <v>545</v>
      </c>
      <c r="N43" s="217" t="s">
        <v>528</v>
      </c>
      <c r="O43" s="217" t="s">
        <v>529</v>
      </c>
      <c r="P43" s="217" t="s">
        <v>334</v>
      </c>
      <c r="Q43" s="217" t="s">
        <v>530</v>
      </c>
      <c r="R43" s="217" t="s">
        <v>546</v>
      </c>
      <c r="S43" s="217" t="s">
        <v>532</v>
      </c>
      <c r="T43" s="217" t="s">
        <v>533</v>
      </c>
      <c r="U43" s="217" t="s">
        <v>534</v>
      </c>
      <c r="V43" s="217" t="s">
        <v>535</v>
      </c>
      <c r="W43" s="217" t="s">
        <v>547</v>
      </c>
    </row>
    <row r="44" spans="2:23" s="39" customFormat="1" x14ac:dyDescent="0.35">
      <c r="B44" s="1133">
        <v>1</v>
      </c>
      <c r="C44" s="1134" t="s">
        <v>1410</v>
      </c>
      <c r="D44" s="1142">
        <f>+W30</f>
        <v>3.4999999999999999E-6</v>
      </c>
      <c r="E44" s="52"/>
      <c r="F44" s="52"/>
      <c r="G44" s="372"/>
      <c r="H44" s="761">
        <f>+D44+E44-F44-G44</f>
        <v>3.4999999999999999E-6</v>
      </c>
      <c r="I44" s="1141">
        <f>+H44</f>
        <v>3.4999999999999999E-6</v>
      </c>
      <c r="J44" s="86"/>
      <c r="K44" s="86"/>
      <c r="L44" s="372"/>
      <c r="M44" s="761">
        <f>+I44+J44-K44-L44</f>
        <v>3.4999999999999999E-6</v>
      </c>
      <c r="N44" s="1141">
        <f>+M44</f>
        <v>3.4999999999999999E-6</v>
      </c>
      <c r="O44" s="86"/>
      <c r="P44" s="86"/>
      <c r="Q44" s="372"/>
      <c r="R44" s="761">
        <f>+N44+O44-P44-Q44</f>
        <v>3.4999999999999999E-6</v>
      </c>
      <c r="S44" s="1141">
        <f>+R44</f>
        <v>3.4999999999999999E-6</v>
      </c>
      <c r="T44" s="86"/>
      <c r="U44" s="86"/>
      <c r="V44" s="372"/>
      <c r="W44" s="761">
        <f>+S44+T44-U44-V44</f>
        <v>3.4999999999999999E-6</v>
      </c>
    </row>
    <row r="45" spans="2:23" s="39" customFormat="1" x14ac:dyDescent="0.35">
      <c r="B45" s="1133">
        <v>2</v>
      </c>
      <c r="C45" s="1134" t="s">
        <v>1409</v>
      </c>
      <c r="D45" s="1142">
        <f t="shared" ref="D45:D51" si="17">+W31</f>
        <v>11.562416499999999</v>
      </c>
      <c r="E45" s="52"/>
      <c r="F45" s="52"/>
      <c r="G45" s="372"/>
      <c r="H45" s="761">
        <f t="shared" ref="H45:H51" si="18">+D45+E45-F45-G45</f>
        <v>11.562416499999999</v>
      </c>
      <c r="I45" s="1141">
        <f t="shared" ref="I45:I51" si="19">+H45</f>
        <v>11.562416499999999</v>
      </c>
      <c r="J45" s="86"/>
      <c r="K45" s="86"/>
      <c r="L45" s="372"/>
      <c r="M45" s="761">
        <f t="shared" ref="M45:M51" si="20">+I45+J45-K45-L45</f>
        <v>11.562416499999999</v>
      </c>
      <c r="N45" s="1141">
        <f t="shared" ref="N45:N51" si="21">+M45</f>
        <v>11.562416499999999</v>
      </c>
      <c r="O45" s="86"/>
      <c r="P45" s="86"/>
      <c r="Q45" s="372"/>
      <c r="R45" s="761">
        <f t="shared" ref="R45:R51" si="22">+N45+O45-P45-Q45</f>
        <v>11.562416499999999</v>
      </c>
      <c r="S45" s="1141">
        <f t="shared" ref="S45:S51" si="23">+R45</f>
        <v>11.562416499999999</v>
      </c>
      <c r="T45" s="86"/>
      <c r="U45" s="86"/>
      <c r="V45" s="372"/>
      <c r="W45" s="761">
        <f t="shared" ref="W45:W51" si="24">+S45+T45-U45-V45</f>
        <v>11.562416499999999</v>
      </c>
    </row>
    <row r="46" spans="2:23" s="39" customFormat="1" x14ac:dyDescent="0.35">
      <c r="B46" s="1133">
        <v>3</v>
      </c>
      <c r="C46" s="1134" t="s">
        <v>440</v>
      </c>
      <c r="D46" s="1142">
        <f t="shared" si="17"/>
        <v>57.47434513645878</v>
      </c>
      <c r="E46" s="275"/>
      <c r="F46" s="275"/>
      <c r="G46" s="373"/>
      <c r="H46" s="761">
        <f t="shared" si="18"/>
        <v>57.47434513645878</v>
      </c>
      <c r="I46" s="1141">
        <f t="shared" si="19"/>
        <v>57.47434513645878</v>
      </c>
      <c r="J46" s="86"/>
      <c r="K46" s="86"/>
      <c r="L46" s="373"/>
      <c r="M46" s="761">
        <f t="shared" si="20"/>
        <v>57.47434513645878</v>
      </c>
      <c r="N46" s="1141">
        <f t="shared" si="21"/>
        <v>57.47434513645878</v>
      </c>
      <c r="O46" s="86"/>
      <c r="P46" s="86"/>
      <c r="Q46" s="373"/>
      <c r="R46" s="761">
        <f t="shared" si="22"/>
        <v>57.47434513645878</v>
      </c>
      <c r="S46" s="1141">
        <f t="shared" si="23"/>
        <v>57.47434513645878</v>
      </c>
      <c r="T46" s="86"/>
      <c r="U46" s="86"/>
      <c r="V46" s="373"/>
      <c r="W46" s="761">
        <f t="shared" si="24"/>
        <v>57.47434513645878</v>
      </c>
    </row>
    <row r="47" spans="2:23" x14ac:dyDescent="0.35">
      <c r="B47" s="1133">
        <v>4</v>
      </c>
      <c r="C47" s="1134" t="s">
        <v>915</v>
      </c>
      <c r="D47" s="1142">
        <f t="shared" si="17"/>
        <v>0</v>
      </c>
      <c r="E47" s="52"/>
      <c r="F47" s="52"/>
      <c r="G47" s="372"/>
      <c r="H47" s="761">
        <f t="shared" si="18"/>
        <v>0</v>
      </c>
      <c r="I47" s="1141">
        <f t="shared" si="19"/>
        <v>0</v>
      </c>
      <c r="J47" s="86"/>
      <c r="K47" s="86"/>
      <c r="L47" s="372"/>
      <c r="M47" s="761">
        <f t="shared" si="20"/>
        <v>0</v>
      </c>
      <c r="N47" s="1141">
        <f t="shared" si="21"/>
        <v>0</v>
      </c>
      <c r="O47" s="86"/>
      <c r="P47" s="86"/>
      <c r="Q47" s="372"/>
      <c r="R47" s="761">
        <f t="shared" si="22"/>
        <v>0</v>
      </c>
      <c r="S47" s="1141">
        <f t="shared" si="23"/>
        <v>0</v>
      </c>
      <c r="T47" s="86"/>
      <c r="U47" s="86"/>
      <c r="V47" s="372"/>
      <c r="W47" s="761">
        <f t="shared" si="24"/>
        <v>0</v>
      </c>
    </row>
    <row r="48" spans="2:23" x14ac:dyDescent="0.35">
      <c r="B48" s="1133">
        <v>5</v>
      </c>
      <c r="C48" s="1134" t="s">
        <v>447</v>
      </c>
      <c r="D48" s="1142">
        <f t="shared" si="17"/>
        <v>6.9741775000000006E-2</v>
      </c>
      <c r="E48" s="52"/>
      <c r="F48" s="52"/>
      <c r="G48" s="372"/>
      <c r="H48" s="761">
        <f t="shared" si="18"/>
        <v>6.9741775000000006E-2</v>
      </c>
      <c r="I48" s="1141">
        <f t="shared" si="19"/>
        <v>6.9741775000000006E-2</v>
      </c>
      <c r="J48" s="86"/>
      <c r="K48" s="86"/>
      <c r="L48" s="372"/>
      <c r="M48" s="761">
        <f t="shared" si="20"/>
        <v>6.9741775000000006E-2</v>
      </c>
      <c r="N48" s="1141">
        <f t="shared" si="21"/>
        <v>6.9741775000000006E-2</v>
      </c>
      <c r="O48" s="86"/>
      <c r="P48" s="86"/>
      <c r="Q48" s="372"/>
      <c r="R48" s="761">
        <f t="shared" si="22"/>
        <v>6.9741775000000006E-2</v>
      </c>
      <c r="S48" s="1141">
        <f t="shared" si="23"/>
        <v>6.9741775000000006E-2</v>
      </c>
      <c r="T48" s="86"/>
      <c r="U48" s="86"/>
      <c r="V48" s="372"/>
      <c r="W48" s="761">
        <f t="shared" si="24"/>
        <v>6.9741775000000006E-2</v>
      </c>
    </row>
    <row r="49" spans="2:26" x14ac:dyDescent="0.35">
      <c r="B49" s="1133">
        <v>6</v>
      </c>
      <c r="C49" s="1134" t="s">
        <v>879</v>
      </c>
      <c r="D49" s="1142">
        <f t="shared" si="17"/>
        <v>5.9382000000000002E-3</v>
      </c>
      <c r="E49" s="52"/>
      <c r="F49" s="52"/>
      <c r="G49" s="372"/>
      <c r="H49" s="761">
        <f t="shared" si="18"/>
        <v>5.9382000000000002E-3</v>
      </c>
      <c r="I49" s="1141">
        <f t="shared" si="19"/>
        <v>5.9382000000000002E-3</v>
      </c>
      <c r="J49" s="86"/>
      <c r="K49" s="86"/>
      <c r="L49" s="372"/>
      <c r="M49" s="761">
        <f t="shared" si="20"/>
        <v>5.9382000000000002E-3</v>
      </c>
      <c r="N49" s="1141">
        <f t="shared" si="21"/>
        <v>5.9382000000000002E-3</v>
      </c>
      <c r="O49" s="86"/>
      <c r="P49" s="86"/>
      <c r="Q49" s="372"/>
      <c r="R49" s="761">
        <f t="shared" si="22"/>
        <v>5.9382000000000002E-3</v>
      </c>
      <c r="S49" s="1141">
        <f t="shared" si="23"/>
        <v>5.9382000000000002E-3</v>
      </c>
      <c r="T49" s="86"/>
      <c r="U49" s="86"/>
      <c r="V49" s="372"/>
      <c r="W49" s="761">
        <f t="shared" si="24"/>
        <v>5.9382000000000002E-3</v>
      </c>
    </row>
    <row r="50" spans="2:26" x14ac:dyDescent="0.4">
      <c r="B50" s="1133">
        <v>7</v>
      </c>
      <c r="C50" s="1135" t="s">
        <v>1269</v>
      </c>
      <c r="D50" s="1142">
        <f t="shared" si="17"/>
        <v>7.1903078999999995E-2</v>
      </c>
      <c r="E50" s="86"/>
      <c r="F50" s="86"/>
      <c r="G50" s="374"/>
      <c r="H50" s="761">
        <f t="shared" si="18"/>
        <v>7.1903078999999995E-2</v>
      </c>
      <c r="I50" s="1141">
        <f t="shared" si="19"/>
        <v>7.1903078999999995E-2</v>
      </c>
      <c r="J50" s="370"/>
      <c r="K50" s="370"/>
      <c r="L50" s="374"/>
      <c r="M50" s="761">
        <f t="shared" si="20"/>
        <v>7.1903078999999995E-2</v>
      </c>
      <c r="N50" s="1141">
        <f t="shared" si="21"/>
        <v>7.1903078999999995E-2</v>
      </c>
      <c r="O50" s="370"/>
      <c r="P50" s="370"/>
      <c r="Q50" s="374"/>
      <c r="R50" s="761">
        <f t="shared" si="22"/>
        <v>7.1903078999999995E-2</v>
      </c>
      <c r="S50" s="1141">
        <f t="shared" si="23"/>
        <v>7.1903078999999995E-2</v>
      </c>
      <c r="T50" s="370"/>
      <c r="U50" s="370"/>
      <c r="V50" s="374"/>
      <c r="W50" s="761">
        <f t="shared" si="24"/>
        <v>7.1903078999999995E-2</v>
      </c>
    </row>
    <row r="51" spans="2:26" ht="15.4" x14ac:dyDescent="0.4">
      <c r="B51" s="1133">
        <v>8</v>
      </c>
      <c r="C51" s="1135" t="s">
        <v>1270</v>
      </c>
      <c r="D51" s="1142">
        <f t="shared" si="17"/>
        <v>0</v>
      </c>
      <c r="E51" s="94"/>
      <c r="F51" s="94"/>
      <c r="G51" s="375"/>
      <c r="H51" s="761">
        <f t="shared" si="18"/>
        <v>0</v>
      </c>
      <c r="I51" s="1141">
        <f t="shared" si="19"/>
        <v>0</v>
      </c>
      <c r="J51" s="371"/>
      <c r="K51" s="371"/>
      <c r="L51" s="375"/>
      <c r="M51" s="761">
        <f t="shared" si="20"/>
        <v>0</v>
      </c>
      <c r="N51" s="1141">
        <f t="shared" si="21"/>
        <v>0</v>
      </c>
      <c r="O51" s="371"/>
      <c r="P51" s="371"/>
      <c r="Q51" s="375"/>
      <c r="R51" s="761">
        <f t="shared" si="22"/>
        <v>0</v>
      </c>
      <c r="S51" s="1141">
        <f t="shared" si="23"/>
        <v>0</v>
      </c>
      <c r="T51" s="371"/>
      <c r="U51" s="371"/>
      <c r="V51" s="375"/>
      <c r="W51" s="761">
        <f t="shared" si="24"/>
        <v>0</v>
      </c>
    </row>
    <row r="52" spans="2:26" ht="15.4" x14ac:dyDescent="0.4">
      <c r="B52" s="1136"/>
      <c r="C52" s="1137" t="s">
        <v>164</v>
      </c>
      <c r="D52" s="1140">
        <f t="shared" ref="D52:W52" si="25">SUM(D44:D51)</f>
        <v>69.184348190458778</v>
      </c>
      <c r="E52" s="1140">
        <f t="shared" si="25"/>
        <v>0</v>
      </c>
      <c r="F52" s="1140">
        <f t="shared" si="25"/>
        <v>0</v>
      </c>
      <c r="G52" s="1140">
        <f t="shared" si="25"/>
        <v>0</v>
      </c>
      <c r="H52" s="1140">
        <f t="shared" si="25"/>
        <v>69.184348190458778</v>
      </c>
      <c r="I52" s="1140">
        <f t="shared" si="25"/>
        <v>69.184348190458778</v>
      </c>
      <c r="J52" s="1140">
        <f t="shared" si="25"/>
        <v>0</v>
      </c>
      <c r="K52" s="1140">
        <f t="shared" si="25"/>
        <v>0</v>
      </c>
      <c r="L52" s="1140">
        <f t="shared" si="25"/>
        <v>0</v>
      </c>
      <c r="M52" s="1140">
        <f t="shared" si="25"/>
        <v>69.184348190458778</v>
      </c>
      <c r="N52" s="1140">
        <f t="shared" si="25"/>
        <v>69.184348190458778</v>
      </c>
      <c r="O52" s="1140">
        <f t="shared" si="25"/>
        <v>0</v>
      </c>
      <c r="P52" s="1140">
        <f t="shared" si="25"/>
        <v>0</v>
      </c>
      <c r="Q52" s="1140">
        <f t="shared" si="25"/>
        <v>0</v>
      </c>
      <c r="R52" s="1140">
        <f t="shared" si="25"/>
        <v>69.184348190458778</v>
      </c>
      <c r="S52" s="1140">
        <f t="shared" si="25"/>
        <v>69.184348190458778</v>
      </c>
      <c r="T52" s="1140">
        <f t="shared" si="25"/>
        <v>0</v>
      </c>
      <c r="U52" s="1140">
        <f t="shared" si="25"/>
        <v>0</v>
      </c>
      <c r="V52" s="1140">
        <f t="shared" si="25"/>
        <v>0</v>
      </c>
      <c r="W52" s="1140">
        <f t="shared" si="25"/>
        <v>69.184348190458778</v>
      </c>
      <c r="X52" s="125"/>
      <c r="Y52" s="125"/>
      <c r="Z52" s="125"/>
    </row>
    <row r="53" spans="2:26" ht="15.4" x14ac:dyDescent="0.35">
      <c r="X53" s="125"/>
      <c r="Y53" s="125"/>
      <c r="Z53" s="125"/>
    </row>
    <row r="54" spans="2:26" x14ac:dyDescent="0.35">
      <c r="B54" s="83" t="s">
        <v>536</v>
      </c>
    </row>
    <row r="55" spans="2:26" x14ac:dyDescent="0.35">
      <c r="J55" s="39"/>
      <c r="M55" s="39"/>
      <c r="N55" s="39"/>
      <c r="R55" s="160" t="s">
        <v>110</v>
      </c>
    </row>
    <row r="56" spans="2:26" x14ac:dyDescent="0.35">
      <c r="B56" s="1947" t="s">
        <v>1</v>
      </c>
      <c r="C56" s="1947" t="s">
        <v>111</v>
      </c>
      <c r="D56" s="2052" t="s">
        <v>196</v>
      </c>
      <c r="E56" s="2052"/>
      <c r="F56" s="2052"/>
      <c r="G56" s="2052"/>
      <c r="H56" s="2052"/>
      <c r="I56" s="1947" t="s">
        <v>197</v>
      </c>
      <c r="J56" s="1947"/>
      <c r="K56" s="1947"/>
      <c r="L56" s="1947"/>
      <c r="M56" s="1947"/>
      <c r="N56" s="1947" t="s">
        <v>198</v>
      </c>
      <c r="O56" s="1947"/>
      <c r="P56" s="1947"/>
      <c r="Q56" s="1947"/>
      <c r="R56" s="1947"/>
      <c r="S56" s="1947" t="s">
        <v>199</v>
      </c>
      <c r="T56" s="1947"/>
      <c r="U56" s="1947"/>
      <c r="V56" s="1947"/>
      <c r="W56" s="1947"/>
    </row>
    <row r="57" spans="2:26" x14ac:dyDescent="0.35">
      <c r="B57" s="1947"/>
      <c r="C57" s="1947"/>
      <c r="D57" s="1947" t="s">
        <v>186</v>
      </c>
      <c r="E57" s="2051"/>
      <c r="F57" s="2051"/>
      <c r="G57" s="2051"/>
      <c r="H57" s="2051"/>
      <c r="I57" s="1947" t="s">
        <v>186</v>
      </c>
      <c r="J57" s="2051"/>
      <c r="K57" s="2051"/>
      <c r="L57" s="2051"/>
      <c r="M57" s="2051"/>
      <c r="N57" s="1947" t="s">
        <v>186</v>
      </c>
      <c r="O57" s="2051"/>
      <c r="P57" s="2051"/>
      <c r="Q57" s="2051"/>
      <c r="R57" s="2051"/>
      <c r="S57" s="1947" t="s">
        <v>186</v>
      </c>
      <c r="T57" s="2051"/>
      <c r="U57" s="2051"/>
      <c r="V57" s="2051"/>
      <c r="W57" s="2051"/>
    </row>
    <row r="58" spans="2:26" ht="40.5" x14ac:dyDescent="0.35">
      <c r="B58" s="1947"/>
      <c r="C58" s="1947"/>
      <c r="D58" s="250" t="s">
        <v>537</v>
      </c>
      <c r="E58" s="250" t="s">
        <v>524</v>
      </c>
      <c r="F58" s="251" t="s">
        <v>538</v>
      </c>
      <c r="G58" s="106" t="s">
        <v>543</v>
      </c>
      <c r="H58" s="250" t="s">
        <v>539</v>
      </c>
      <c r="I58" s="250" t="s">
        <v>537</v>
      </c>
      <c r="J58" s="250" t="s">
        <v>524</v>
      </c>
      <c r="K58" s="251" t="s">
        <v>538</v>
      </c>
      <c r="L58" s="106" t="s">
        <v>543</v>
      </c>
      <c r="M58" s="250" t="s">
        <v>539</v>
      </c>
      <c r="N58" s="250" t="s">
        <v>537</v>
      </c>
      <c r="O58" s="250" t="s">
        <v>524</v>
      </c>
      <c r="P58" s="251" t="s">
        <v>538</v>
      </c>
      <c r="Q58" s="106" t="s">
        <v>543</v>
      </c>
      <c r="R58" s="250" t="s">
        <v>539</v>
      </c>
      <c r="S58" s="250" t="s">
        <v>537</v>
      </c>
      <c r="T58" s="250" t="s">
        <v>524</v>
      </c>
      <c r="U58" s="251" t="s">
        <v>538</v>
      </c>
      <c r="V58" s="106" t="s">
        <v>543</v>
      </c>
      <c r="W58" s="250" t="s">
        <v>539</v>
      </c>
    </row>
    <row r="59" spans="2:26" x14ac:dyDescent="0.35">
      <c r="B59" s="217"/>
      <c r="C59" s="217"/>
      <c r="D59" s="217" t="s">
        <v>128</v>
      </c>
      <c r="E59" s="217" t="s">
        <v>129</v>
      </c>
      <c r="F59" s="217" t="s">
        <v>527</v>
      </c>
      <c r="G59" s="217" t="s">
        <v>130</v>
      </c>
      <c r="H59" s="217" t="s">
        <v>544</v>
      </c>
      <c r="I59" s="217" t="s">
        <v>331</v>
      </c>
      <c r="J59" s="217" t="s">
        <v>132</v>
      </c>
      <c r="K59" s="217" t="s">
        <v>133</v>
      </c>
      <c r="L59" s="217" t="s">
        <v>332</v>
      </c>
      <c r="M59" s="217" t="s">
        <v>545</v>
      </c>
      <c r="N59" s="217" t="s">
        <v>528</v>
      </c>
      <c r="O59" s="217" t="s">
        <v>529</v>
      </c>
      <c r="P59" s="217" t="s">
        <v>334</v>
      </c>
      <c r="Q59" s="217" t="s">
        <v>530</v>
      </c>
      <c r="R59" s="217" t="s">
        <v>546</v>
      </c>
      <c r="S59" s="217" t="s">
        <v>532</v>
      </c>
      <c r="T59" s="217" t="s">
        <v>533</v>
      </c>
      <c r="U59" s="217" t="s">
        <v>534</v>
      </c>
      <c r="V59" s="217" t="s">
        <v>535</v>
      </c>
      <c r="W59" s="217" t="s">
        <v>547</v>
      </c>
    </row>
    <row r="60" spans="2:26" x14ac:dyDescent="0.35">
      <c r="B60" s="1133">
        <v>1</v>
      </c>
      <c r="C60" s="1134" t="s">
        <v>1410</v>
      </c>
      <c r="D60" s="763">
        <v>0</v>
      </c>
      <c r="E60" s="763">
        <f>+Capitalisation!J64</f>
        <v>4.9999999999999998E-8</v>
      </c>
      <c r="F60" s="763"/>
      <c r="G60" s="795"/>
      <c r="H60" s="763">
        <f>+D60+E60-F60-G60</f>
        <v>4.9999999999999998E-8</v>
      </c>
      <c r="I60" s="676">
        <f>+H60</f>
        <v>4.9999999999999998E-8</v>
      </c>
      <c r="J60" s="676">
        <f>+Capitalisation!M64</f>
        <v>9.9999999999999995E-8</v>
      </c>
      <c r="K60" s="676"/>
      <c r="L60" s="795"/>
      <c r="M60" s="763">
        <f>+I60+J60-K60-L60</f>
        <v>1.4999999999999999E-7</v>
      </c>
      <c r="N60" s="676">
        <f>+M60</f>
        <v>1.4999999999999999E-7</v>
      </c>
      <c r="O60" s="676">
        <f>+Capitalisation!P64</f>
        <v>9.9999999999999995E-8</v>
      </c>
      <c r="P60" s="676"/>
      <c r="Q60" s="795"/>
      <c r="R60" s="763">
        <f>+N60+O60-P60-Q60</f>
        <v>2.4999999999999999E-7</v>
      </c>
      <c r="S60" s="676">
        <f>+R60</f>
        <v>2.4999999999999999E-7</v>
      </c>
      <c r="T60" s="676">
        <f>+Capitalisation!S64</f>
        <v>9.9999999999999995E-8</v>
      </c>
      <c r="U60" s="676"/>
      <c r="V60" s="795"/>
      <c r="W60" s="763">
        <f>+S60+T60-U60-V60</f>
        <v>3.4999999999999998E-7</v>
      </c>
    </row>
    <row r="61" spans="2:26" x14ac:dyDescent="0.35">
      <c r="B61" s="1133">
        <v>2</v>
      </c>
      <c r="C61" s="1134" t="s">
        <v>1409</v>
      </c>
      <c r="D61" s="763">
        <v>0</v>
      </c>
      <c r="E61" s="763">
        <f>+Capitalisation!J65</f>
        <v>0.17330699999999999</v>
      </c>
      <c r="F61" s="763"/>
      <c r="G61" s="795"/>
      <c r="H61" s="763">
        <f t="shared" ref="H61:H67" si="26">+D61+E61-F61-G61</f>
        <v>0.17330699999999999</v>
      </c>
      <c r="I61" s="676">
        <f t="shared" ref="I61:I67" si="27">+H61</f>
        <v>0.17330699999999999</v>
      </c>
      <c r="J61" s="676">
        <f>+Capitalisation!M65</f>
        <v>0.3803962569581531</v>
      </c>
      <c r="K61" s="676"/>
      <c r="L61" s="795"/>
      <c r="M61" s="763">
        <f t="shared" ref="M61:M67" si="28">+I61+J61-K61-L61</f>
        <v>0.55370325695815303</v>
      </c>
      <c r="N61" s="676">
        <f t="shared" ref="N61:N67" si="29">+M61</f>
        <v>0.55370325695815303</v>
      </c>
      <c r="O61" s="676">
        <f>+Capitalisation!P65</f>
        <v>0.31473622251056349</v>
      </c>
      <c r="P61" s="676"/>
      <c r="Q61" s="795"/>
      <c r="R61" s="763">
        <f t="shared" ref="R61:R67" si="30">+N61+O61-P61-Q61</f>
        <v>0.86843947946871647</v>
      </c>
      <c r="S61" s="676">
        <f t="shared" ref="S61:S67" si="31">+R61</f>
        <v>0.86843947946871647</v>
      </c>
      <c r="T61" s="676">
        <f>+Capitalisation!S65</f>
        <v>0.3475662397343583</v>
      </c>
      <c r="U61" s="676"/>
      <c r="V61" s="795"/>
      <c r="W61" s="763">
        <f t="shared" ref="W61:W67" si="32">+S61+T61-U61-V61</f>
        <v>1.2160057192030749</v>
      </c>
    </row>
    <row r="62" spans="2:26" x14ac:dyDescent="0.35">
      <c r="B62" s="1133">
        <v>3</v>
      </c>
      <c r="C62" s="1134" t="s">
        <v>440</v>
      </c>
      <c r="D62" s="763">
        <v>0</v>
      </c>
      <c r="E62" s="763">
        <f>+Capitalisation!J66</f>
        <v>1.0487950000000001</v>
      </c>
      <c r="F62" s="762"/>
      <c r="G62" s="764"/>
      <c r="H62" s="763">
        <f t="shared" si="26"/>
        <v>1.0487950000000001</v>
      </c>
      <c r="I62" s="676">
        <f t="shared" si="27"/>
        <v>1.0487950000000001</v>
      </c>
      <c r="J62" s="676">
        <f>+Capitalisation!M66</f>
        <v>2.3827464841082104</v>
      </c>
      <c r="K62" s="676"/>
      <c r="L62" s="764"/>
      <c r="M62" s="763">
        <f t="shared" si="28"/>
        <v>3.4315414841082106</v>
      </c>
      <c r="N62" s="676">
        <f t="shared" si="29"/>
        <v>3.4315414841082106</v>
      </c>
      <c r="O62" s="676">
        <f>+Capitalisation!P66</f>
        <v>2.4431427186974468</v>
      </c>
      <c r="P62" s="676">
        <f>+Capitalisation!L77</f>
        <v>0.31854139898632922</v>
      </c>
      <c r="Q62" s="764"/>
      <c r="R62" s="763">
        <f t="shared" si="30"/>
        <v>5.5561428038193279</v>
      </c>
      <c r="S62" s="676">
        <f t="shared" si="31"/>
        <v>5.5561428038193279</v>
      </c>
      <c r="T62" s="676">
        <f>+Capitalisation!S66</f>
        <v>2.763917151042421</v>
      </c>
      <c r="U62" s="676"/>
      <c r="V62" s="764"/>
      <c r="W62" s="763">
        <f t="shared" si="32"/>
        <v>8.3200599548617493</v>
      </c>
    </row>
    <row r="63" spans="2:26" x14ac:dyDescent="0.35">
      <c r="B63" s="1133">
        <v>4</v>
      </c>
      <c r="C63" s="1134" t="s">
        <v>915</v>
      </c>
      <c r="D63" s="763">
        <v>0</v>
      </c>
      <c r="E63" s="763">
        <f>+Capitalisation!J67</f>
        <v>0</v>
      </c>
      <c r="F63" s="763"/>
      <c r="G63" s="795"/>
      <c r="H63" s="763">
        <f t="shared" si="26"/>
        <v>0</v>
      </c>
      <c r="I63" s="676">
        <f t="shared" si="27"/>
        <v>0</v>
      </c>
      <c r="J63" s="676">
        <f>+Capitalisation!M67</f>
        <v>0</v>
      </c>
      <c r="K63" s="676"/>
      <c r="L63" s="795"/>
      <c r="M63" s="763">
        <f t="shared" si="28"/>
        <v>0</v>
      </c>
      <c r="N63" s="676">
        <f t="shared" si="29"/>
        <v>0</v>
      </c>
      <c r="O63" s="676">
        <f>+Capitalisation!P67</f>
        <v>0</v>
      </c>
      <c r="P63" s="676"/>
      <c r="Q63" s="795"/>
      <c r="R63" s="763">
        <f t="shared" si="30"/>
        <v>0</v>
      </c>
      <c r="S63" s="676">
        <f t="shared" si="31"/>
        <v>0</v>
      </c>
      <c r="T63" s="676">
        <f>+Capitalisation!S67</f>
        <v>0</v>
      </c>
      <c r="U63" s="676"/>
      <c r="V63" s="795"/>
      <c r="W63" s="763">
        <f t="shared" si="32"/>
        <v>0</v>
      </c>
    </row>
    <row r="64" spans="2:26" x14ac:dyDescent="0.35">
      <c r="B64" s="1133">
        <v>5</v>
      </c>
      <c r="C64" s="1134" t="s">
        <v>447</v>
      </c>
      <c r="D64" s="763">
        <v>0</v>
      </c>
      <c r="E64" s="763">
        <f>+Capitalisation!J68</f>
        <v>1.4820499999999999E-3</v>
      </c>
      <c r="F64" s="763"/>
      <c r="G64" s="795"/>
      <c r="H64" s="763">
        <f t="shared" si="26"/>
        <v>1.4820499999999999E-3</v>
      </c>
      <c r="I64" s="676">
        <f t="shared" si="27"/>
        <v>1.4820499999999999E-3</v>
      </c>
      <c r="J64" s="676">
        <f>+Capitalisation!M68</f>
        <v>2.9093255000000001E-3</v>
      </c>
      <c r="K64" s="676"/>
      <c r="L64" s="795"/>
      <c r="M64" s="763">
        <f t="shared" si="28"/>
        <v>4.3913755E-3</v>
      </c>
      <c r="N64" s="676">
        <f t="shared" si="29"/>
        <v>4.3913755E-3</v>
      </c>
      <c r="O64" s="676">
        <f>+Capitalisation!P68</f>
        <v>2.9093255000000001E-3</v>
      </c>
      <c r="P64" s="676"/>
      <c r="Q64" s="795"/>
      <c r="R64" s="763">
        <f t="shared" si="30"/>
        <v>7.3007009999999997E-3</v>
      </c>
      <c r="S64" s="676">
        <f t="shared" si="31"/>
        <v>7.3007009999999997E-3</v>
      </c>
      <c r="T64" s="676">
        <f>+Capitalisation!S68</f>
        <v>2.9093255000000001E-3</v>
      </c>
      <c r="U64" s="676"/>
      <c r="V64" s="795"/>
      <c r="W64" s="763">
        <f t="shared" si="32"/>
        <v>1.02100265E-2</v>
      </c>
    </row>
    <row r="65" spans="2:31" x14ac:dyDescent="0.35">
      <c r="B65" s="1133">
        <v>6</v>
      </c>
      <c r="C65" s="1134" t="s">
        <v>879</v>
      </c>
      <c r="D65" s="763">
        <v>0</v>
      </c>
      <c r="E65" s="763">
        <f>+Capitalisation!J69</f>
        <v>2.9493E-4</v>
      </c>
      <c r="F65" s="763"/>
      <c r="G65" s="795"/>
      <c r="H65" s="763">
        <f t="shared" si="26"/>
        <v>2.9493E-4</v>
      </c>
      <c r="I65" s="676">
        <f t="shared" si="27"/>
        <v>2.9493E-4</v>
      </c>
      <c r="J65" s="676">
        <f>+Capitalisation!M69</f>
        <v>5.077161E-4</v>
      </c>
      <c r="K65" s="676"/>
      <c r="L65" s="795"/>
      <c r="M65" s="763">
        <f t="shared" si="28"/>
        <v>8.0264609999999999E-4</v>
      </c>
      <c r="N65" s="676">
        <f t="shared" si="29"/>
        <v>8.0264609999999999E-4</v>
      </c>
      <c r="O65" s="676">
        <f>+Capitalisation!P69</f>
        <v>5.077161E-4</v>
      </c>
      <c r="P65" s="676"/>
      <c r="Q65" s="795"/>
      <c r="R65" s="763">
        <f t="shared" si="30"/>
        <v>1.3103621999999999E-3</v>
      </c>
      <c r="S65" s="676">
        <f t="shared" si="31"/>
        <v>1.3103621999999999E-3</v>
      </c>
      <c r="T65" s="676">
        <f>+Capitalisation!S69</f>
        <v>5.077161E-4</v>
      </c>
      <c r="U65" s="676"/>
      <c r="V65" s="795"/>
      <c r="W65" s="763">
        <f t="shared" si="32"/>
        <v>1.8180783E-3</v>
      </c>
    </row>
    <row r="66" spans="2:31" x14ac:dyDescent="0.4">
      <c r="B66" s="1133">
        <v>7</v>
      </c>
      <c r="C66" s="1135" t="s">
        <v>1269</v>
      </c>
      <c r="D66" s="763">
        <v>0</v>
      </c>
      <c r="E66" s="763">
        <f>+Capitalisation!J70</f>
        <v>1.83095E-3</v>
      </c>
      <c r="F66" s="676"/>
      <c r="G66" s="700"/>
      <c r="H66" s="763">
        <f t="shared" si="26"/>
        <v>1.83095E-3</v>
      </c>
      <c r="I66" s="676">
        <f t="shared" si="27"/>
        <v>1.83095E-3</v>
      </c>
      <c r="J66" s="676">
        <f>+Capitalisation!M70</f>
        <v>2.538373E-3</v>
      </c>
      <c r="K66" s="1161"/>
      <c r="L66" s="700"/>
      <c r="M66" s="763">
        <f t="shared" si="28"/>
        <v>4.3693229999999996E-3</v>
      </c>
      <c r="N66" s="676">
        <f t="shared" si="29"/>
        <v>4.3693229999999996E-3</v>
      </c>
      <c r="O66" s="676">
        <f>+Capitalisation!P70</f>
        <v>3.7124509999999999E-3</v>
      </c>
      <c r="P66" s="1161"/>
      <c r="Q66" s="700"/>
      <c r="R66" s="763">
        <f t="shared" si="30"/>
        <v>8.0817739999999999E-3</v>
      </c>
      <c r="S66" s="676">
        <f t="shared" si="31"/>
        <v>8.0817739999999999E-3</v>
      </c>
      <c r="T66" s="676">
        <f>+Capitalisation!S70</f>
        <v>5.3962899999999998E-3</v>
      </c>
      <c r="U66" s="1161"/>
      <c r="V66" s="700"/>
      <c r="W66" s="763">
        <f t="shared" si="32"/>
        <v>1.3478064E-2</v>
      </c>
    </row>
    <row r="67" spans="2:31" ht="15.4" x14ac:dyDescent="0.4">
      <c r="B67" s="1133">
        <v>8</v>
      </c>
      <c r="C67" s="1135" t="s">
        <v>1270</v>
      </c>
      <c r="D67" s="763">
        <v>0</v>
      </c>
      <c r="E67" s="763">
        <f>+Capitalisation!J71</f>
        <v>0</v>
      </c>
      <c r="F67" s="1162"/>
      <c r="G67" s="796"/>
      <c r="H67" s="763">
        <f t="shared" si="26"/>
        <v>0</v>
      </c>
      <c r="I67" s="676">
        <f t="shared" si="27"/>
        <v>0</v>
      </c>
      <c r="J67" s="676">
        <f>+Capitalisation!M71</f>
        <v>0</v>
      </c>
      <c r="K67" s="1163"/>
      <c r="L67" s="796"/>
      <c r="M67" s="763">
        <f t="shared" si="28"/>
        <v>0</v>
      </c>
      <c r="N67" s="676">
        <f t="shared" si="29"/>
        <v>0</v>
      </c>
      <c r="O67" s="676">
        <f>+Capitalisation!P71</f>
        <v>0</v>
      </c>
      <c r="P67" s="1163"/>
      <c r="Q67" s="796"/>
      <c r="R67" s="763">
        <f t="shared" si="30"/>
        <v>0</v>
      </c>
      <c r="S67" s="676">
        <f t="shared" si="31"/>
        <v>0</v>
      </c>
      <c r="T67" s="676">
        <f>+Capitalisation!S71</f>
        <v>0</v>
      </c>
      <c r="U67" s="1163"/>
      <c r="V67" s="796"/>
      <c r="W67" s="763">
        <f t="shared" si="32"/>
        <v>0</v>
      </c>
    </row>
    <row r="68" spans="2:31" ht="14.65" x14ac:dyDescent="0.4">
      <c r="B68" s="1136"/>
      <c r="C68" s="1137" t="s">
        <v>164</v>
      </c>
      <c r="D68" s="1160">
        <f t="shared" ref="D68:W68" si="33">SUM(D60:D67)</f>
        <v>0</v>
      </c>
      <c r="E68" s="1160">
        <f t="shared" si="33"/>
        <v>1.22570998</v>
      </c>
      <c r="F68" s="1160">
        <f t="shared" si="33"/>
        <v>0</v>
      </c>
      <c r="G68" s="1160">
        <f t="shared" si="33"/>
        <v>0</v>
      </c>
      <c r="H68" s="1160">
        <f t="shared" si="33"/>
        <v>1.22570998</v>
      </c>
      <c r="I68" s="1160">
        <f t="shared" si="33"/>
        <v>1.22570998</v>
      </c>
      <c r="J68" s="1160">
        <f t="shared" si="33"/>
        <v>2.7690982556663637</v>
      </c>
      <c r="K68" s="1160">
        <f t="shared" si="33"/>
        <v>0</v>
      </c>
      <c r="L68" s="1160">
        <f t="shared" si="33"/>
        <v>0</v>
      </c>
      <c r="M68" s="1160">
        <f t="shared" si="33"/>
        <v>3.9948082356663637</v>
      </c>
      <c r="N68" s="1160">
        <f t="shared" si="33"/>
        <v>3.9948082356663637</v>
      </c>
      <c r="O68" s="1160">
        <f t="shared" si="33"/>
        <v>2.7650085338080106</v>
      </c>
      <c r="P68" s="1160">
        <f t="shared" si="33"/>
        <v>0.31854139898632922</v>
      </c>
      <c r="Q68" s="1160">
        <f t="shared" si="33"/>
        <v>0</v>
      </c>
      <c r="R68" s="1160">
        <f t="shared" si="33"/>
        <v>6.4412753704880439</v>
      </c>
      <c r="S68" s="1160">
        <f t="shared" si="33"/>
        <v>6.4412753704880439</v>
      </c>
      <c r="T68" s="1160">
        <f t="shared" si="33"/>
        <v>3.1202968223767797</v>
      </c>
      <c r="U68" s="1160">
        <f t="shared" si="33"/>
        <v>0</v>
      </c>
      <c r="V68" s="1160">
        <f t="shared" si="33"/>
        <v>0</v>
      </c>
      <c r="W68" s="1160">
        <f t="shared" si="33"/>
        <v>9.5615721928648227</v>
      </c>
    </row>
    <row r="69" spans="2:31" x14ac:dyDescent="0.35">
      <c r="E69" s="662">
        <f>E68/AVERAGE(D24,H24)</f>
        <v>4.4132449853498137E-2</v>
      </c>
      <c r="J69" s="662">
        <f>J68/AVERAGE(I24,M24)</f>
        <v>4.5152528096916528E-2</v>
      </c>
      <c r="M69" s="39"/>
      <c r="N69" s="39"/>
      <c r="R69" s="160" t="s">
        <v>110</v>
      </c>
    </row>
    <row r="70" spans="2:31" x14ac:dyDescent="0.35">
      <c r="B70" s="1947" t="s">
        <v>1</v>
      </c>
      <c r="C70" s="1947" t="s">
        <v>111</v>
      </c>
      <c r="D70" s="2052" t="s">
        <v>112</v>
      </c>
      <c r="E70" s="2052"/>
      <c r="F70" s="2052"/>
      <c r="G70" s="2052"/>
      <c r="H70" s="2052"/>
      <c r="I70" s="2052" t="s">
        <v>113</v>
      </c>
      <c r="J70" s="2052"/>
      <c r="K70" s="2052"/>
      <c r="L70" s="2052"/>
      <c r="M70" s="2052"/>
      <c r="N70" s="1947" t="s">
        <v>114</v>
      </c>
      <c r="O70" s="1947"/>
      <c r="P70" s="1947"/>
      <c r="Q70" s="1947"/>
      <c r="R70" s="1947"/>
      <c r="S70" s="1947" t="s">
        <v>123</v>
      </c>
      <c r="T70" s="1947"/>
      <c r="U70" s="1947"/>
      <c r="V70" s="1947"/>
      <c r="W70" s="1947"/>
    </row>
    <row r="71" spans="2:31" x14ac:dyDescent="0.35">
      <c r="B71" s="1947"/>
      <c r="C71" s="1947"/>
      <c r="D71" s="1947" t="s">
        <v>186</v>
      </c>
      <c r="E71" s="2051"/>
      <c r="F71" s="2051"/>
      <c r="G71" s="2051"/>
      <c r="H71" s="2051"/>
      <c r="I71" s="1947" t="s">
        <v>186</v>
      </c>
      <c r="J71" s="2051"/>
      <c r="K71" s="2051"/>
      <c r="L71" s="2051"/>
      <c r="M71" s="2051"/>
      <c r="N71" s="1947" t="s">
        <v>187</v>
      </c>
      <c r="O71" s="2051"/>
      <c r="P71" s="2051"/>
      <c r="Q71" s="2051"/>
      <c r="R71" s="2051"/>
      <c r="S71" s="1947" t="s">
        <v>135</v>
      </c>
      <c r="T71" s="2051"/>
      <c r="U71" s="2051"/>
      <c r="V71" s="2051"/>
      <c r="W71" s="2051"/>
    </row>
    <row r="72" spans="2:31" ht="40.5" x14ac:dyDescent="0.35">
      <c r="B72" s="1947"/>
      <c r="C72" s="1947"/>
      <c r="D72" s="250" t="s">
        <v>537</v>
      </c>
      <c r="E72" s="250" t="s">
        <v>524</v>
      </c>
      <c r="F72" s="251" t="s">
        <v>538</v>
      </c>
      <c r="G72" s="106" t="s">
        <v>543</v>
      </c>
      <c r="H72" s="250" t="s">
        <v>539</v>
      </c>
      <c r="I72" s="250" t="s">
        <v>537</v>
      </c>
      <c r="J72" s="250" t="s">
        <v>524</v>
      </c>
      <c r="K72" s="251" t="s">
        <v>538</v>
      </c>
      <c r="L72" s="106" t="s">
        <v>543</v>
      </c>
      <c r="M72" s="250" t="s">
        <v>539</v>
      </c>
      <c r="N72" s="250" t="s">
        <v>537</v>
      </c>
      <c r="O72" s="250" t="s">
        <v>524</v>
      </c>
      <c r="P72" s="251" t="s">
        <v>538</v>
      </c>
      <c r="Q72" s="106" t="s">
        <v>543</v>
      </c>
      <c r="R72" s="250" t="s">
        <v>539</v>
      </c>
      <c r="S72" s="250" t="s">
        <v>537</v>
      </c>
      <c r="T72" s="250" t="s">
        <v>524</v>
      </c>
      <c r="U72" s="251" t="s">
        <v>538</v>
      </c>
      <c r="V72" s="106" t="s">
        <v>543</v>
      </c>
      <c r="W72" s="250" t="s">
        <v>539</v>
      </c>
    </row>
    <row r="73" spans="2:31" x14ac:dyDescent="0.35">
      <c r="B73" s="217"/>
      <c r="C73" s="217"/>
      <c r="D73" s="217" t="s">
        <v>128</v>
      </c>
      <c r="E73" s="217" t="s">
        <v>129</v>
      </c>
      <c r="F73" s="217" t="s">
        <v>527</v>
      </c>
      <c r="G73" s="217" t="s">
        <v>130</v>
      </c>
      <c r="H73" s="217" t="s">
        <v>544</v>
      </c>
      <c r="I73" s="217" t="s">
        <v>331</v>
      </c>
      <c r="J73" s="217" t="s">
        <v>132</v>
      </c>
      <c r="K73" s="217" t="s">
        <v>133</v>
      </c>
      <c r="L73" s="217" t="s">
        <v>332</v>
      </c>
      <c r="M73" s="217" t="s">
        <v>545</v>
      </c>
      <c r="N73" s="217" t="s">
        <v>528</v>
      </c>
      <c r="O73" s="217" t="s">
        <v>529</v>
      </c>
      <c r="P73" s="217" t="s">
        <v>334</v>
      </c>
      <c r="Q73" s="217" t="s">
        <v>530</v>
      </c>
      <c r="R73" s="217" t="s">
        <v>546</v>
      </c>
      <c r="S73" s="217" t="s">
        <v>532</v>
      </c>
      <c r="T73" s="217" t="s">
        <v>533</v>
      </c>
      <c r="U73" s="217" t="s">
        <v>534</v>
      </c>
      <c r="V73" s="217" t="s">
        <v>535</v>
      </c>
      <c r="W73" s="217" t="s">
        <v>547</v>
      </c>
      <c r="Z73" s="51" t="s">
        <v>1440</v>
      </c>
      <c r="AA73" s="51" t="s">
        <v>1441</v>
      </c>
      <c r="AB73" s="51" t="s">
        <v>1444</v>
      </c>
      <c r="AC73" s="51" t="s">
        <v>1442</v>
      </c>
      <c r="AD73" s="51" t="s">
        <v>1443</v>
      </c>
    </row>
    <row r="74" spans="2:31" x14ac:dyDescent="0.35">
      <c r="B74" s="1133">
        <v>1</v>
      </c>
      <c r="C74" s="1134" t="s">
        <v>1410</v>
      </c>
      <c r="D74" s="763">
        <f>+W60</f>
        <v>3.4999999999999998E-7</v>
      </c>
      <c r="E74" s="763">
        <f>+Capitalisation!V64</f>
        <v>9.9999999999999995E-8</v>
      </c>
      <c r="F74" s="763"/>
      <c r="G74" s="795"/>
      <c r="H74" s="763">
        <f>+D74+E74-F74-G74</f>
        <v>4.4999999999999998E-7</v>
      </c>
      <c r="I74" s="676">
        <f>+H74</f>
        <v>4.4999999999999998E-7</v>
      </c>
      <c r="J74" s="676">
        <f>+Capitalisation!Y64</f>
        <v>9.9999999999999995E-8</v>
      </c>
      <c r="K74" s="676"/>
      <c r="L74" s="795"/>
      <c r="M74" s="763">
        <f>+I74+J74-K74-L74</f>
        <v>5.5000000000000003E-7</v>
      </c>
      <c r="N74" s="676">
        <f>+M74</f>
        <v>5.5000000000000003E-7</v>
      </c>
      <c r="O74" s="676">
        <f>+Capitalisation!AB64</f>
        <v>2.4999999999999999E-8</v>
      </c>
      <c r="P74" s="676"/>
      <c r="Q74" s="795"/>
      <c r="R74" s="763">
        <f>+N74+O74-P74-Q74</f>
        <v>5.75E-7</v>
      </c>
      <c r="S74" s="676">
        <f>+R74</f>
        <v>5.75E-7</v>
      </c>
      <c r="T74" s="676">
        <f>AVERAGE(S30,W30)*Assum!F109</f>
        <v>1.1689999999999999E-7</v>
      </c>
      <c r="U74" s="676"/>
      <c r="V74" s="795"/>
      <c r="W74" s="763">
        <f>+S74+T74-U74-V74</f>
        <v>6.919E-7</v>
      </c>
      <c r="Z74" s="1186">
        <f>+S74/S30</f>
        <v>0.16428571428571428</v>
      </c>
      <c r="AA74" s="1186">
        <f>+D88/D44</f>
        <v>0.1976857142857143</v>
      </c>
      <c r="AB74" s="1186">
        <f t="shared" ref="AB74:AB81" si="34">+I88/I44</f>
        <v>0.23108571428571428</v>
      </c>
      <c r="AC74" s="1186">
        <f t="shared" ref="AC74:AC81" si="35">+N88/N44</f>
        <v>0.26448571428571427</v>
      </c>
      <c r="AD74" s="1186">
        <f t="shared" ref="AD74:AD81" si="36">+S88/S44</f>
        <v>0.29788571428571431</v>
      </c>
      <c r="AE74" s="1186">
        <f>+W88/W44</f>
        <v>0.33128571428571429</v>
      </c>
    </row>
    <row r="75" spans="2:31" x14ac:dyDescent="0.35">
      <c r="B75" s="1133">
        <v>2</v>
      </c>
      <c r="C75" s="1134" t="s">
        <v>1409</v>
      </c>
      <c r="D75" s="763">
        <f t="shared" ref="D75:D81" si="37">+W61</f>
        <v>1.2160057192030749</v>
      </c>
      <c r="E75" s="763">
        <f>+Capitalisation!V65</f>
        <v>0.3475662397343583</v>
      </c>
      <c r="F75" s="763"/>
      <c r="G75" s="795"/>
      <c r="H75" s="763">
        <f t="shared" ref="H75:H81" si="38">+D75+E75-F75-G75</f>
        <v>1.5635719589374331</v>
      </c>
      <c r="I75" s="676">
        <f t="shared" ref="I75:I81" si="39">+H75</f>
        <v>1.5635719589374331</v>
      </c>
      <c r="J75" s="676">
        <f>+Capitalisation!Y65</f>
        <v>0.3475662397343583</v>
      </c>
      <c r="K75" s="676"/>
      <c r="L75" s="795"/>
      <c r="M75" s="763">
        <f t="shared" ref="M75:M81" si="40">+I75+J75-K75-L75</f>
        <v>1.9111381986717912</v>
      </c>
      <c r="N75" s="676">
        <f t="shared" ref="N75:N81" si="41">+M75</f>
        <v>1.9111381986717912</v>
      </c>
      <c r="O75" s="676">
        <f>+Capitalisation!AB65</f>
        <v>0.3475662397343583</v>
      </c>
      <c r="P75" s="676"/>
      <c r="Q75" s="795"/>
      <c r="R75" s="763">
        <f t="shared" ref="R75:R81" si="42">+N75+O75-P75-Q75</f>
        <v>2.2587044384061494</v>
      </c>
      <c r="S75" s="676">
        <f t="shared" ref="S75:S81" si="43">+R75</f>
        <v>2.2587044384061494</v>
      </c>
      <c r="T75" s="676">
        <f>AVERAGE(S31,W31)*Assum!F110</f>
        <v>0.38618471109999997</v>
      </c>
      <c r="U75" s="676"/>
      <c r="V75" s="795"/>
      <c r="W75" s="763">
        <f t="shared" ref="W75:W81" si="44">+S75+T75-U75-V75</f>
        <v>2.6448891495061493</v>
      </c>
      <c r="Z75" s="1186">
        <f t="shared" ref="Z75:Z81" si="45">+S75/S31</f>
        <v>0.19534882162445449</v>
      </c>
      <c r="AA75" s="1186">
        <f t="shared" ref="AA75:AA81" si="46">+D89/D45</f>
        <v>0.22874882162445448</v>
      </c>
      <c r="AB75" s="1186">
        <f t="shared" si="34"/>
        <v>0.26214882162445446</v>
      </c>
      <c r="AC75" s="1186">
        <f t="shared" si="35"/>
        <v>0.29554882162445445</v>
      </c>
      <c r="AD75" s="1186">
        <f t="shared" si="36"/>
        <v>0.32894882162445443</v>
      </c>
      <c r="AE75" s="1186">
        <f t="shared" ref="AE75:AE81" si="47">+W89/W45</f>
        <v>0.36234882162445448</v>
      </c>
    </row>
    <row r="76" spans="2:31" x14ac:dyDescent="0.35">
      <c r="B76" s="1133">
        <v>3</v>
      </c>
      <c r="C76" s="1134" t="s">
        <v>440</v>
      </c>
      <c r="D76" s="763">
        <f t="shared" si="37"/>
        <v>8.3200599548617493</v>
      </c>
      <c r="E76" s="763">
        <f>+Capitalisation!V66</f>
        <v>2.7918903972088667</v>
      </c>
      <c r="F76" s="762"/>
      <c r="G76" s="764"/>
      <c r="H76" s="763">
        <f t="shared" si="38"/>
        <v>11.111950352070616</v>
      </c>
      <c r="I76" s="676">
        <f t="shared" si="39"/>
        <v>11.111950352070616</v>
      </c>
      <c r="J76" s="676">
        <f>+Capitalisation!Y66</f>
        <v>2.7957830501447982</v>
      </c>
      <c r="K76" s="676"/>
      <c r="L76" s="764"/>
      <c r="M76" s="763">
        <f t="shared" si="40"/>
        <v>13.907733402215415</v>
      </c>
      <c r="N76" s="676">
        <f t="shared" si="41"/>
        <v>13.907733402215415</v>
      </c>
      <c r="O76" s="676">
        <f>+Capitalisation!AB66</f>
        <v>2.7962606762719067</v>
      </c>
      <c r="P76" s="676"/>
      <c r="Q76" s="764"/>
      <c r="R76" s="763">
        <f t="shared" si="42"/>
        <v>16.703994078487323</v>
      </c>
      <c r="S76" s="676">
        <f t="shared" si="43"/>
        <v>16.703994078487323</v>
      </c>
      <c r="T76" s="676">
        <f>AVERAGE(S32,W32)*Assum!F111</f>
        <v>3.0346454232050237</v>
      </c>
      <c r="U76" s="676"/>
      <c r="V76" s="764"/>
      <c r="W76" s="763">
        <f t="shared" si="44"/>
        <v>19.738639501692347</v>
      </c>
      <c r="Z76" s="1186">
        <f t="shared" si="45"/>
        <v>0.29063391742572747</v>
      </c>
      <c r="AA76" s="1186">
        <f t="shared" si="46"/>
        <v>0.34343391742572749</v>
      </c>
      <c r="AB76" s="1186">
        <f t="shared" si="34"/>
        <v>0.3962339174257275</v>
      </c>
      <c r="AC76" s="1186">
        <f t="shared" si="35"/>
        <v>0.44903391742572751</v>
      </c>
      <c r="AD76" s="1186">
        <f t="shared" si="36"/>
        <v>0.50183391742572747</v>
      </c>
      <c r="AE76" s="1186">
        <f t="shared" si="47"/>
        <v>0.55463391742572754</v>
      </c>
    </row>
    <row r="77" spans="2:31" x14ac:dyDescent="0.35">
      <c r="B77" s="1133">
        <v>4</v>
      </c>
      <c r="C77" s="1134" t="s">
        <v>915</v>
      </c>
      <c r="D77" s="763">
        <f t="shared" si="37"/>
        <v>0</v>
      </c>
      <c r="E77" s="763">
        <f>+Capitalisation!V67</f>
        <v>0</v>
      </c>
      <c r="F77" s="763"/>
      <c r="G77" s="795"/>
      <c r="H77" s="763">
        <f t="shared" si="38"/>
        <v>0</v>
      </c>
      <c r="I77" s="676">
        <f t="shared" si="39"/>
        <v>0</v>
      </c>
      <c r="J77" s="676">
        <f>+Capitalisation!Y67</f>
        <v>0</v>
      </c>
      <c r="K77" s="676"/>
      <c r="L77" s="795"/>
      <c r="M77" s="763">
        <f t="shared" si="40"/>
        <v>0</v>
      </c>
      <c r="N77" s="676">
        <f t="shared" si="41"/>
        <v>0</v>
      </c>
      <c r="O77" s="676">
        <f>+Capitalisation!AB67</f>
        <v>0</v>
      </c>
      <c r="P77" s="676"/>
      <c r="Q77" s="795"/>
      <c r="R77" s="763">
        <f t="shared" si="42"/>
        <v>0</v>
      </c>
      <c r="S77" s="676">
        <f t="shared" si="43"/>
        <v>0</v>
      </c>
      <c r="T77" s="676">
        <f>AVERAGE(S33,W33)*Assum!F112</f>
        <v>0</v>
      </c>
      <c r="U77" s="676"/>
      <c r="V77" s="795"/>
      <c r="W77" s="763">
        <f t="shared" si="44"/>
        <v>0</v>
      </c>
      <c r="Z77" s="1186" t="e">
        <f t="shared" si="45"/>
        <v>#DIV/0!</v>
      </c>
      <c r="AA77" s="1186" t="e">
        <f t="shared" si="46"/>
        <v>#DIV/0!</v>
      </c>
      <c r="AB77" s="1186" t="e">
        <f t="shared" si="34"/>
        <v>#DIV/0!</v>
      </c>
      <c r="AC77" s="1186" t="e">
        <f t="shared" si="35"/>
        <v>#DIV/0!</v>
      </c>
      <c r="AD77" s="1186" t="e">
        <f t="shared" si="36"/>
        <v>#DIV/0!</v>
      </c>
      <c r="AE77" s="1186" t="e">
        <f t="shared" si="47"/>
        <v>#DIV/0!</v>
      </c>
    </row>
    <row r="78" spans="2:31" x14ac:dyDescent="0.35">
      <c r="B78" s="1133">
        <v>5</v>
      </c>
      <c r="C78" s="1134" t="s">
        <v>447</v>
      </c>
      <c r="D78" s="763">
        <f t="shared" si="37"/>
        <v>1.02100265E-2</v>
      </c>
      <c r="E78" s="763">
        <f>+Capitalisation!V68</f>
        <v>3.6222421856000001E-3</v>
      </c>
      <c r="F78" s="763"/>
      <c r="G78" s="795"/>
      <c r="H78" s="763">
        <f t="shared" si="38"/>
        <v>1.38322686856E-2</v>
      </c>
      <c r="I78" s="676">
        <f t="shared" si="39"/>
        <v>1.38322686856E-2</v>
      </c>
      <c r="J78" s="676">
        <f>+Capitalisation!Y68</f>
        <v>3.6254174999999999E-3</v>
      </c>
      <c r="K78" s="676"/>
      <c r="L78" s="795"/>
      <c r="M78" s="763">
        <f t="shared" si="40"/>
        <v>1.7457686185600001E-2</v>
      </c>
      <c r="N78" s="676">
        <f t="shared" si="41"/>
        <v>1.7457686185600001E-2</v>
      </c>
      <c r="O78" s="676">
        <f>+Capitalisation!AB68</f>
        <v>3.7448325745089036E-3</v>
      </c>
      <c r="P78" s="676"/>
      <c r="Q78" s="795"/>
      <c r="R78" s="763">
        <f t="shared" si="42"/>
        <v>2.1202518760108903E-2</v>
      </c>
      <c r="S78" s="676">
        <f t="shared" si="43"/>
        <v>2.1202518760108903E-2</v>
      </c>
      <c r="T78" s="676">
        <f>AVERAGE(S34,W34)*Assum!F113</f>
        <v>4.4146543574999997E-3</v>
      </c>
      <c r="U78" s="676"/>
      <c r="V78" s="795"/>
      <c r="W78" s="763">
        <f t="shared" si="44"/>
        <v>2.5617173117608902E-2</v>
      </c>
      <c r="Z78" s="1186">
        <f t="shared" si="45"/>
        <v>0.30401461333768609</v>
      </c>
      <c r="AA78" s="1186">
        <f t="shared" si="46"/>
        <v>0.36731461333768606</v>
      </c>
      <c r="AB78" s="1186">
        <f t="shared" si="34"/>
        <v>0.43061461333768603</v>
      </c>
      <c r="AC78" s="1186">
        <f t="shared" si="35"/>
        <v>0.49391461333768599</v>
      </c>
      <c r="AD78" s="1186">
        <f t="shared" si="36"/>
        <v>0.55721461333768596</v>
      </c>
      <c r="AE78" s="1186">
        <f t="shared" si="47"/>
        <v>0.62051461333768598</v>
      </c>
    </row>
    <row r="79" spans="2:31" x14ac:dyDescent="0.35">
      <c r="B79" s="1133">
        <v>6</v>
      </c>
      <c r="C79" s="1134" t="s">
        <v>879</v>
      </c>
      <c r="D79" s="763">
        <f t="shared" si="37"/>
        <v>1.8180783E-3</v>
      </c>
      <c r="E79" s="763">
        <f>+Capitalisation!V69</f>
        <v>5.077161E-4</v>
      </c>
      <c r="F79" s="763"/>
      <c r="G79" s="795"/>
      <c r="H79" s="763">
        <f t="shared" si="38"/>
        <v>2.3257944000000001E-3</v>
      </c>
      <c r="I79" s="676">
        <f t="shared" si="39"/>
        <v>2.3257944000000001E-3</v>
      </c>
      <c r="J79" s="676">
        <f>+Capitalisation!Y69</f>
        <v>5.077161E-4</v>
      </c>
      <c r="K79" s="676"/>
      <c r="L79" s="795"/>
      <c r="M79" s="763">
        <f t="shared" si="40"/>
        <v>2.8335105000000002E-3</v>
      </c>
      <c r="N79" s="676">
        <f t="shared" si="41"/>
        <v>2.8335105000000002E-3</v>
      </c>
      <c r="O79" s="676">
        <f>+Capitalisation!AB69</f>
        <v>5.077161E-4</v>
      </c>
      <c r="P79" s="676"/>
      <c r="Q79" s="795"/>
      <c r="R79" s="763">
        <f t="shared" si="42"/>
        <v>3.3412266000000003E-3</v>
      </c>
      <c r="S79" s="676">
        <f t="shared" si="43"/>
        <v>3.3412266000000003E-3</v>
      </c>
      <c r="T79" s="676">
        <f>AVERAGE(S35,W35)*Assum!F114</f>
        <v>5.6412900000000002E-4</v>
      </c>
      <c r="U79" s="676"/>
      <c r="V79" s="795"/>
      <c r="W79" s="763">
        <f t="shared" si="44"/>
        <v>3.9053556000000003E-3</v>
      </c>
      <c r="Z79" s="1186">
        <f t="shared" si="45"/>
        <v>0.5626665656259473</v>
      </c>
      <c r="AA79" s="1186">
        <f t="shared" si="46"/>
        <v>0.65766656562594727</v>
      </c>
      <c r="AB79" s="1186">
        <f t="shared" si="34"/>
        <v>0.75266656562594725</v>
      </c>
      <c r="AC79" s="1186">
        <f t="shared" si="35"/>
        <v>0.84766656562594733</v>
      </c>
      <c r="AD79" s="1186">
        <f t="shared" si="36"/>
        <v>0.9</v>
      </c>
      <c r="AE79" s="1186">
        <f t="shared" si="47"/>
        <v>0.9</v>
      </c>
    </row>
    <row r="80" spans="2:31" x14ac:dyDescent="0.4">
      <c r="B80" s="1133">
        <v>7</v>
      </c>
      <c r="C80" s="1135" t="s">
        <v>1269</v>
      </c>
      <c r="D80" s="763">
        <f t="shared" si="37"/>
        <v>1.3478064E-2</v>
      </c>
      <c r="E80" s="763">
        <f>+Capitalisation!V70</f>
        <v>4.5450385000000001E-3</v>
      </c>
      <c r="F80" s="676"/>
      <c r="G80" s="700"/>
      <c r="H80" s="763">
        <f t="shared" si="38"/>
        <v>1.8023102499999999E-2</v>
      </c>
      <c r="I80" s="676">
        <f t="shared" si="39"/>
        <v>1.8023102499999999E-2</v>
      </c>
      <c r="J80" s="676">
        <f>+Capitalisation!Y70</f>
        <v>8.3192044999999999E-3</v>
      </c>
      <c r="K80" s="1161"/>
      <c r="L80" s="700"/>
      <c r="M80" s="763">
        <f t="shared" si="40"/>
        <v>2.6342306999999999E-2</v>
      </c>
      <c r="N80" s="676">
        <f t="shared" si="41"/>
        <v>2.6342306999999999E-2</v>
      </c>
      <c r="O80" s="676">
        <f>+Capitalisation!AB70</f>
        <v>1.090121114372671E-2</v>
      </c>
      <c r="P80" s="1161"/>
      <c r="Q80" s="700"/>
      <c r="R80" s="763">
        <f t="shared" si="42"/>
        <v>3.7243518143726707E-2</v>
      </c>
      <c r="S80" s="676">
        <f t="shared" si="43"/>
        <v>3.7243518143726707E-2</v>
      </c>
      <c r="T80" s="676">
        <f>AVERAGE(S36,W36)*Assum!F115</f>
        <v>1.0785461849999999E-2</v>
      </c>
      <c r="U80" s="1161"/>
      <c r="V80" s="700"/>
      <c r="W80" s="763">
        <f t="shared" si="44"/>
        <v>4.8028979993726705E-2</v>
      </c>
      <c r="Z80" s="1186">
        <f t="shared" si="45"/>
        <v>0.51796833545510212</v>
      </c>
      <c r="AA80" s="1186">
        <f t="shared" si="46"/>
        <v>0.66796833545510215</v>
      </c>
      <c r="AB80" s="1186">
        <f t="shared" si="34"/>
        <v>0.81796833545510206</v>
      </c>
      <c r="AC80" s="1186">
        <f t="shared" si="35"/>
        <v>0.9</v>
      </c>
      <c r="AD80" s="1186">
        <f t="shared" si="36"/>
        <v>0.9</v>
      </c>
      <c r="AE80" s="1186">
        <f t="shared" si="47"/>
        <v>0.9</v>
      </c>
    </row>
    <row r="81" spans="2:38" ht="15.4" x14ac:dyDescent="0.4">
      <c r="B81" s="1133">
        <v>8</v>
      </c>
      <c r="C81" s="1135" t="s">
        <v>1270</v>
      </c>
      <c r="D81" s="763">
        <f t="shared" si="37"/>
        <v>0</v>
      </c>
      <c r="E81" s="763">
        <f>+Capitalisation!V71</f>
        <v>0</v>
      </c>
      <c r="F81" s="1162"/>
      <c r="G81" s="796"/>
      <c r="H81" s="763">
        <f t="shared" si="38"/>
        <v>0</v>
      </c>
      <c r="I81" s="676">
        <f t="shared" si="39"/>
        <v>0</v>
      </c>
      <c r="J81" s="676">
        <f>+Capitalisation!Y71</f>
        <v>0</v>
      </c>
      <c r="K81" s="1163"/>
      <c r="L81" s="796"/>
      <c r="M81" s="763">
        <f t="shared" si="40"/>
        <v>0</v>
      </c>
      <c r="N81" s="676">
        <f t="shared" si="41"/>
        <v>0</v>
      </c>
      <c r="O81" s="676">
        <f>+Capitalisation!AB71</f>
        <v>0</v>
      </c>
      <c r="P81" s="1163"/>
      <c r="Q81" s="796"/>
      <c r="R81" s="763">
        <f t="shared" si="42"/>
        <v>0</v>
      </c>
      <c r="S81" s="676">
        <f t="shared" si="43"/>
        <v>0</v>
      </c>
      <c r="T81" s="676">
        <f>AVERAGE(S37,W37)*Assum!F116</f>
        <v>0</v>
      </c>
      <c r="U81" s="1163"/>
      <c r="V81" s="796"/>
      <c r="W81" s="763">
        <f t="shared" si="44"/>
        <v>0</v>
      </c>
      <c r="Z81" s="1186" t="e">
        <f t="shared" si="45"/>
        <v>#DIV/0!</v>
      </c>
      <c r="AA81" s="1186" t="e">
        <f t="shared" si="46"/>
        <v>#DIV/0!</v>
      </c>
      <c r="AB81" s="1186" t="e">
        <f t="shared" si="34"/>
        <v>#DIV/0!</v>
      </c>
      <c r="AC81" s="1186" t="e">
        <f t="shared" si="35"/>
        <v>#DIV/0!</v>
      </c>
      <c r="AD81" s="1186" t="e">
        <f t="shared" si="36"/>
        <v>#DIV/0!</v>
      </c>
      <c r="AE81" s="1186" t="e">
        <f t="shared" si="47"/>
        <v>#DIV/0!</v>
      </c>
    </row>
    <row r="82" spans="2:38" ht="15.4" x14ac:dyDescent="0.4">
      <c r="B82" s="1136"/>
      <c r="C82" s="1137" t="s">
        <v>164</v>
      </c>
      <c r="D82" s="1160">
        <f t="shared" ref="D82:W82" si="48">SUM(D74:D81)</f>
        <v>9.5615721928648227</v>
      </c>
      <c r="E82" s="1160">
        <f t="shared" si="48"/>
        <v>3.148131733728825</v>
      </c>
      <c r="F82" s="1160">
        <f t="shared" si="48"/>
        <v>0</v>
      </c>
      <c r="G82" s="1160">
        <f t="shared" si="48"/>
        <v>0</v>
      </c>
      <c r="H82" s="1160">
        <f t="shared" si="48"/>
        <v>12.709703926593653</v>
      </c>
      <c r="I82" s="1160">
        <f t="shared" si="48"/>
        <v>12.709703926593653</v>
      </c>
      <c r="J82" s="1160">
        <f t="shared" si="48"/>
        <v>3.1558017279791564</v>
      </c>
      <c r="K82" s="1160">
        <f t="shared" si="48"/>
        <v>0</v>
      </c>
      <c r="L82" s="1160">
        <f t="shared" si="48"/>
        <v>0</v>
      </c>
      <c r="M82" s="1160">
        <f t="shared" si="48"/>
        <v>15.865505654572805</v>
      </c>
      <c r="N82" s="1160">
        <f t="shared" si="48"/>
        <v>15.865505654572805</v>
      </c>
      <c r="O82" s="1160">
        <f t="shared" si="48"/>
        <v>3.1589807008245008</v>
      </c>
      <c r="P82" s="1160">
        <f t="shared" si="48"/>
        <v>0</v>
      </c>
      <c r="Q82" s="1160">
        <f t="shared" si="48"/>
        <v>0</v>
      </c>
      <c r="R82" s="1160">
        <f t="shared" si="48"/>
        <v>19.024486355397308</v>
      </c>
      <c r="S82" s="1160">
        <f t="shared" si="48"/>
        <v>19.024486355397308</v>
      </c>
      <c r="T82" s="1160">
        <f t="shared" si="48"/>
        <v>3.436594496412523</v>
      </c>
      <c r="U82" s="1160">
        <f t="shared" si="48"/>
        <v>0</v>
      </c>
      <c r="V82" s="1160">
        <f t="shared" si="48"/>
        <v>0</v>
      </c>
      <c r="W82" s="1160">
        <f t="shared" si="48"/>
        <v>22.461080851809832</v>
      </c>
      <c r="X82" s="125"/>
      <c r="Y82" s="125"/>
      <c r="Z82" s="125"/>
      <c r="AA82" s="125"/>
      <c r="AB82" s="125"/>
      <c r="AC82" s="125"/>
      <c r="AD82" s="125"/>
      <c r="AE82" s="125"/>
      <c r="AF82" s="125"/>
      <c r="AG82" s="125"/>
      <c r="AH82" s="125"/>
      <c r="AI82" s="125"/>
      <c r="AJ82" s="125"/>
      <c r="AK82" s="125"/>
      <c r="AL82" s="125"/>
    </row>
    <row r="83" spans="2:38" ht="15.4" x14ac:dyDescent="0.4">
      <c r="B83" s="1138"/>
      <c r="C83" s="1139"/>
      <c r="D83" s="84"/>
      <c r="E83" s="84"/>
      <c r="F83" s="84"/>
      <c r="G83" s="84"/>
      <c r="H83" s="84"/>
      <c r="J83" s="39"/>
      <c r="M83" s="39"/>
      <c r="N83" s="39"/>
      <c r="X83" s="125"/>
      <c r="Y83" s="125"/>
      <c r="Z83" s="125"/>
      <c r="AA83" s="125"/>
      <c r="AB83" s="125"/>
      <c r="AC83" s="125"/>
      <c r="AD83" s="125"/>
      <c r="AE83" s="125"/>
      <c r="AF83" s="125"/>
      <c r="AG83" s="125"/>
      <c r="AH83" s="125"/>
      <c r="AI83" s="125"/>
      <c r="AJ83" s="125"/>
      <c r="AK83" s="125"/>
      <c r="AL83" s="125"/>
    </row>
    <row r="84" spans="2:38" x14ac:dyDescent="0.35">
      <c r="B84" s="1947" t="s">
        <v>1</v>
      </c>
      <c r="C84" s="1947" t="s">
        <v>111</v>
      </c>
      <c r="D84" s="2052" t="s">
        <v>124</v>
      </c>
      <c r="E84" s="2052"/>
      <c r="F84" s="2052"/>
      <c r="G84" s="2052"/>
      <c r="H84" s="2052"/>
      <c r="I84" s="2052" t="s">
        <v>125</v>
      </c>
      <c r="J84" s="2052"/>
      <c r="K84" s="2052"/>
      <c r="L84" s="2052"/>
      <c r="M84" s="2052"/>
      <c r="N84" s="2052" t="s">
        <v>126</v>
      </c>
      <c r="O84" s="2052"/>
      <c r="P84" s="2052"/>
      <c r="Q84" s="2052"/>
      <c r="R84" s="2052"/>
      <c r="S84" s="2052" t="s">
        <v>127</v>
      </c>
      <c r="T84" s="2052"/>
      <c r="U84" s="2052"/>
      <c r="V84" s="2052"/>
      <c r="W84" s="2052"/>
    </row>
    <row r="85" spans="2:38" x14ac:dyDescent="0.35">
      <c r="B85" s="1947"/>
      <c r="C85" s="1947"/>
      <c r="D85" s="2052" t="s">
        <v>135</v>
      </c>
      <c r="E85" s="2055"/>
      <c r="F85" s="2055"/>
      <c r="G85" s="2055"/>
      <c r="H85" s="2055"/>
      <c r="I85" s="2052" t="s">
        <v>135</v>
      </c>
      <c r="J85" s="2055"/>
      <c r="K85" s="2055"/>
      <c r="L85" s="2055"/>
      <c r="M85" s="2055"/>
      <c r="N85" s="2052" t="s">
        <v>135</v>
      </c>
      <c r="O85" s="2055"/>
      <c r="P85" s="2055"/>
      <c r="Q85" s="2055"/>
      <c r="R85" s="2055"/>
      <c r="S85" s="2052" t="s">
        <v>135</v>
      </c>
      <c r="T85" s="2055"/>
      <c r="U85" s="2055"/>
      <c r="V85" s="2055"/>
      <c r="W85" s="2055"/>
    </row>
    <row r="86" spans="2:38" ht="40.5" x14ac:dyDescent="0.35">
      <c r="B86" s="1947"/>
      <c r="C86" s="1947"/>
      <c r="D86" s="250" t="s">
        <v>537</v>
      </c>
      <c r="E86" s="250" t="s">
        <v>524</v>
      </c>
      <c r="F86" s="251" t="s">
        <v>538</v>
      </c>
      <c r="G86" s="106" t="s">
        <v>543</v>
      </c>
      <c r="H86" s="250" t="s">
        <v>539</v>
      </c>
      <c r="I86" s="250" t="s">
        <v>537</v>
      </c>
      <c r="J86" s="250" t="s">
        <v>524</v>
      </c>
      <c r="K86" s="251" t="s">
        <v>538</v>
      </c>
      <c r="L86" s="106" t="s">
        <v>543</v>
      </c>
      <c r="M86" s="250" t="s">
        <v>539</v>
      </c>
      <c r="N86" s="250" t="s">
        <v>537</v>
      </c>
      <c r="O86" s="250" t="s">
        <v>524</v>
      </c>
      <c r="P86" s="251" t="s">
        <v>538</v>
      </c>
      <c r="Q86" s="106" t="s">
        <v>543</v>
      </c>
      <c r="R86" s="250" t="s">
        <v>539</v>
      </c>
      <c r="S86" s="250" t="s">
        <v>537</v>
      </c>
      <c r="T86" s="250" t="s">
        <v>524</v>
      </c>
      <c r="U86" s="251" t="s">
        <v>538</v>
      </c>
      <c r="V86" s="106" t="s">
        <v>543</v>
      </c>
      <c r="W86" s="250" t="s">
        <v>539</v>
      </c>
    </row>
    <row r="87" spans="2:38" x14ac:dyDescent="0.35">
      <c r="B87" s="217"/>
      <c r="C87" s="217"/>
      <c r="D87" s="217" t="s">
        <v>128</v>
      </c>
      <c r="E87" s="217" t="s">
        <v>129</v>
      </c>
      <c r="F87" s="217" t="s">
        <v>527</v>
      </c>
      <c r="G87" s="217" t="s">
        <v>130</v>
      </c>
      <c r="H87" s="217" t="s">
        <v>544</v>
      </c>
      <c r="I87" s="217" t="s">
        <v>331</v>
      </c>
      <c r="J87" s="217" t="s">
        <v>132</v>
      </c>
      <c r="K87" s="217" t="s">
        <v>133</v>
      </c>
      <c r="L87" s="217" t="s">
        <v>332</v>
      </c>
      <c r="M87" s="217" t="s">
        <v>545</v>
      </c>
      <c r="N87" s="217" t="s">
        <v>528</v>
      </c>
      <c r="O87" s="217" t="s">
        <v>529</v>
      </c>
      <c r="P87" s="217" t="s">
        <v>334</v>
      </c>
      <c r="Q87" s="217" t="s">
        <v>530</v>
      </c>
      <c r="R87" s="217" t="s">
        <v>546</v>
      </c>
      <c r="S87" s="217" t="s">
        <v>532</v>
      </c>
      <c r="T87" s="217" t="s">
        <v>533</v>
      </c>
      <c r="U87" s="217" t="s">
        <v>534</v>
      </c>
      <c r="V87" s="217" t="s">
        <v>535</v>
      </c>
      <c r="W87" s="217" t="s">
        <v>547</v>
      </c>
    </row>
    <row r="88" spans="2:38" x14ac:dyDescent="0.35">
      <c r="B88" s="1133">
        <v>1</v>
      </c>
      <c r="C88" s="1134" t="s">
        <v>1410</v>
      </c>
      <c r="D88" s="1142">
        <f>+W74</f>
        <v>6.919E-7</v>
      </c>
      <c r="E88" s="676">
        <f>AVERAGE(D44,H44)*Assum!$F109</f>
        <v>1.1689999999999999E-7</v>
      </c>
      <c r="F88" s="52"/>
      <c r="G88" s="372"/>
      <c r="H88" s="761">
        <f>+D88+E88-F88-G88</f>
        <v>8.0879999999999999E-7</v>
      </c>
      <c r="I88" s="1141">
        <f>+H88</f>
        <v>8.0879999999999999E-7</v>
      </c>
      <c r="J88" s="676">
        <f>AVERAGE(I44,M44)*Assum!$F109</f>
        <v>1.1689999999999999E-7</v>
      </c>
      <c r="K88" s="86"/>
      <c r="L88" s="372"/>
      <c r="M88" s="761">
        <f>+I88+J88-K88-L88</f>
        <v>9.2569999999999998E-7</v>
      </c>
      <c r="N88" s="1141">
        <f>+M88</f>
        <v>9.2569999999999998E-7</v>
      </c>
      <c r="O88" s="676">
        <f>AVERAGE(N44,R44)*Assum!$F109</f>
        <v>1.1689999999999999E-7</v>
      </c>
      <c r="P88" s="86"/>
      <c r="Q88" s="372"/>
      <c r="R88" s="761">
        <f>+N88+O88-P88-Q88</f>
        <v>1.0426E-6</v>
      </c>
      <c r="S88" s="1141">
        <f>+R88</f>
        <v>1.0426E-6</v>
      </c>
      <c r="T88" s="676">
        <f>AVERAGE(S44,W44)*Assum!$F109</f>
        <v>1.1689999999999999E-7</v>
      </c>
      <c r="U88" s="86"/>
      <c r="V88" s="372"/>
      <c r="W88" s="761">
        <f>+S88+T88-U88-V88</f>
        <v>1.1595000000000001E-6</v>
      </c>
    </row>
    <row r="89" spans="2:38" x14ac:dyDescent="0.35">
      <c r="B89" s="1133">
        <v>2</v>
      </c>
      <c r="C89" s="1134" t="s">
        <v>1409</v>
      </c>
      <c r="D89" s="1142">
        <f t="shared" ref="D89:D95" si="49">+W75</f>
        <v>2.6448891495061493</v>
      </c>
      <c r="E89" s="676">
        <f>AVERAGE(D45,H45)*Assum!$F110</f>
        <v>0.38618471109999997</v>
      </c>
      <c r="F89" s="52"/>
      <c r="G89" s="372"/>
      <c r="H89" s="761">
        <f t="shared" ref="H89:H95" si="50">+D89+E89-F89-G89</f>
        <v>3.0310738606061491</v>
      </c>
      <c r="I89" s="1141">
        <f t="shared" ref="I89:I95" si="51">+H89</f>
        <v>3.0310738606061491</v>
      </c>
      <c r="J89" s="676">
        <f>AVERAGE(I45,M45)*Assum!$F110</f>
        <v>0.38618471109999997</v>
      </c>
      <c r="K89" s="86"/>
      <c r="L89" s="372"/>
      <c r="M89" s="761">
        <f t="shared" ref="M89:M95" si="52">+I89+J89-K89-L89</f>
        <v>3.417258571706149</v>
      </c>
      <c r="N89" s="1141">
        <f t="shared" ref="N89:N95" si="53">+M89</f>
        <v>3.417258571706149</v>
      </c>
      <c r="O89" s="676">
        <f>AVERAGE(N45,R45)*Assum!$F110</f>
        <v>0.38618471109999997</v>
      </c>
      <c r="P89" s="86"/>
      <c r="Q89" s="372"/>
      <c r="R89" s="761">
        <f t="shared" ref="R89:R95" si="54">+N89+O89-P89-Q89</f>
        <v>3.8034432828061489</v>
      </c>
      <c r="S89" s="1141">
        <f t="shared" ref="S89:S95" si="55">+R89</f>
        <v>3.8034432828061489</v>
      </c>
      <c r="T89" s="676">
        <f>AVERAGE(S45,W45)*Assum!$F110</f>
        <v>0.38618471109999997</v>
      </c>
      <c r="U89" s="86"/>
      <c r="V89" s="372"/>
      <c r="W89" s="761">
        <f t="shared" ref="W89:W95" si="56">+S89+T89-U89-V89</f>
        <v>4.1896279939061492</v>
      </c>
    </row>
    <row r="90" spans="2:38" x14ac:dyDescent="0.35">
      <c r="B90" s="1133">
        <v>3</v>
      </c>
      <c r="C90" s="1134" t="s">
        <v>440</v>
      </c>
      <c r="D90" s="1142">
        <f t="shared" si="49"/>
        <v>19.738639501692347</v>
      </c>
      <c r="E90" s="676">
        <f>AVERAGE(D46,H46)*Assum!$F111</f>
        <v>3.0346454232050237</v>
      </c>
      <c r="F90" s="275"/>
      <c r="G90" s="373"/>
      <c r="H90" s="761">
        <f t="shared" si="50"/>
        <v>22.773284924897371</v>
      </c>
      <c r="I90" s="1141">
        <f t="shared" si="51"/>
        <v>22.773284924897371</v>
      </c>
      <c r="J90" s="676">
        <f>AVERAGE(I46,M46)*Assum!$F111</f>
        <v>3.0346454232050237</v>
      </c>
      <c r="K90" s="86"/>
      <c r="L90" s="373"/>
      <c r="M90" s="761">
        <f t="shared" si="52"/>
        <v>25.807930348102396</v>
      </c>
      <c r="N90" s="1141">
        <f t="shared" si="53"/>
        <v>25.807930348102396</v>
      </c>
      <c r="O90" s="676">
        <f>AVERAGE(N46,R46)*Assum!$F111</f>
        <v>3.0346454232050237</v>
      </c>
      <c r="P90" s="86"/>
      <c r="Q90" s="373"/>
      <c r="R90" s="761">
        <f t="shared" si="54"/>
        <v>28.84257577130742</v>
      </c>
      <c r="S90" s="1141">
        <f t="shared" si="55"/>
        <v>28.84257577130742</v>
      </c>
      <c r="T90" s="676">
        <f>AVERAGE(S46,W46)*Assum!$F111</f>
        <v>3.0346454232050237</v>
      </c>
      <c r="U90" s="86"/>
      <c r="V90" s="373"/>
      <c r="W90" s="761">
        <f t="shared" si="56"/>
        <v>31.877221194512444</v>
      </c>
    </row>
    <row r="91" spans="2:38" x14ac:dyDescent="0.35">
      <c r="B91" s="1133">
        <v>4</v>
      </c>
      <c r="C91" s="1134" t="s">
        <v>915</v>
      </c>
      <c r="D91" s="1142">
        <f t="shared" si="49"/>
        <v>0</v>
      </c>
      <c r="E91" s="676">
        <f>AVERAGE(D47,H47)*Assum!$F112</f>
        <v>0</v>
      </c>
      <c r="F91" s="52"/>
      <c r="G91" s="372"/>
      <c r="H91" s="761">
        <f t="shared" si="50"/>
        <v>0</v>
      </c>
      <c r="I91" s="1141">
        <f t="shared" si="51"/>
        <v>0</v>
      </c>
      <c r="J91" s="676">
        <f>AVERAGE(I47,M47)*Assum!$F112</f>
        <v>0</v>
      </c>
      <c r="K91" s="86"/>
      <c r="L91" s="372"/>
      <c r="M91" s="761">
        <f t="shared" si="52"/>
        <v>0</v>
      </c>
      <c r="N91" s="1141">
        <f t="shared" si="53"/>
        <v>0</v>
      </c>
      <c r="O91" s="676">
        <f>AVERAGE(N47,R47)*Assum!$F112</f>
        <v>0</v>
      </c>
      <c r="P91" s="86"/>
      <c r="Q91" s="372"/>
      <c r="R91" s="761">
        <f t="shared" si="54"/>
        <v>0</v>
      </c>
      <c r="S91" s="1141">
        <f t="shared" si="55"/>
        <v>0</v>
      </c>
      <c r="T91" s="676">
        <f>AVERAGE(S47,W47)*Assum!$F112</f>
        <v>0</v>
      </c>
      <c r="U91" s="86"/>
      <c r="V91" s="372"/>
      <c r="W91" s="761">
        <f t="shared" si="56"/>
        <v>0</v>
      </c>
    </row>
    <row r="92" spans="2:38" x14ac:dyDescent="0.35">
      <c r="B92" s="1133">
        <v>5</v>
      </c>
      <c r="C92" s="1134" t="s">
        <v>447</v>
      </c>
      <c r="D92" s="1142">
        <f t="shared" si="49"/>
        <v>2.5617173117608902E-2</v>
      </c>
      <c r="E92" s="676">
        <f>AVERAGE(D48,H48)*Assum!$F113</f>
        <v>4.4146543574999997E-3</v>
      </c>
      <c r="F92" s="52"/>
      <c r="G92" s="372"/>
      <c r="H92" s="761">
        <f t="shared" si="50"/>
        <v>3.0031827475108901E-2</v>
      </c>
      <c r="I92" s="1141">
        <f t="shared" si="51"/>
        <v>3.0031827475108901E-2</v>
      </c>
      <c r="J92" s="676">
        <f>AVERAGE(I48,M48)*Assum!$F113</f>
        <v>4.4146543574999997E-3</v>
      </c>
      <c r="K92" s="86"/>
      <c r="L92" s="372"/>
      <c r="M92" s="761">
        <f t="shared" si="52"/>
        <v>3.44464818326089E-2</v>
      </c>
      <c r="N92" s="1141">
        <f t="shared" si="53"/>
        <v>3.44464818326089E-2</v>
      </c>
      <c r="O92" s="676">
        <f>AVERAGE(N48,R48)*Assum!$F113</f>
        <v>4.4146543574999997E-3</v>
      </c>
      <c r="P92" s="86"/>
      <c r="Q92" s="372"/>
      <c r="R92" s="761">
        <f t="shared" si="54"/>
        <v>3.8861136190108898E-2</v>
      </c>
      <c r="S92" s="1141">
        <f t="shared" si="55"/>
        <v>3.8861136190108898E-2</v>
      </c>
      <c r="T92" s="676">
        <f>AVERAGE(S48,W48)*Assum!$F113</f>
        <v>4.4146543574999997E-3</v>
      </c>
      <c r="U92" s="86"/>
      <c r="V92" s="372"/>
      <c r="W92" s="761">
        <f t="shared" si="56"/>
        <v>4.3275790547608897E-2</v>
      </c>
    </row>
    <row r="93" spans="2:38" x14ac:dyDescent="0.35">
      <c r="B93" s="1133">
        <v>6</v>
      </c>
      <c r="C93" s="1134" t="s">
        <v>879</v>
      </c>
      <c r="D93" s="1142">
        <f t="shared" si="49"/>
        <v>3.9053556000000003E-3</v>
      </c>
      <c r="E93" s="676">
        <f>AVERAGE(D49,H49)*Assum!$F114</f>
        <v>5.6412900000000002E-4</v>
      </c>
      <c r="F93" s="52"/>
      <c r="G93" s="372"/>
      <c r="H93" s="761">
        <f t="shared" si="50"/>
        <v>4.4694846000000003E-3</v>
      </c>
      <c r="I93" s="1141">
        <f t="shared" si="51"/>
        <v>4.4694846000000003E-3</v>
      </c>
      <c r="J93" s="676">
        <f>AVERAGE(I49,M49)*Assum!$F114</f>
        <v>5.6412900000000002E-4</v>
      </c>
      <c r="K93" s="86"/>
      <c r="L93" s="372"/>
      <c r="M93" s="761">
        <f t="shared" si="52"/>
        <v>5.0336136000000004E-3</v>
      </c>
      <c r="N93" s="1141">
        <f t="shared" si="53"/>
        <v>5.0336136000000004E-3</v>
      </c>
      <c r="O93" s="676">
        <f>IF(AC79&lt;70%,AVERAGE(N49,R49)*Assum!$F114,IF(AC79&gt;70%,MIN(AVERAGE(N49,R49)*Assum!$G$114,R49*90%-N93),0))</f>
        <v>3.1076639999999978E-4</v>
      </c>
      <c r="P93" s="86"/>
      <c r="Q93" s="372"/>
      <c r="R93" s="761">
        <f t="shared" si="54"/>
        <v>5.3443800000000001E-3</v>
      </c>
      <c r="S93" s="1141">
        <f t="shared" si="55"/>
        <v>5.3443800000000001E-3</v>
      </c>
      <c r="T93" s="676">
        <f>IF(AD79&lt;70%,AVERAGE(S49,W49)*Assum!$F114,IF(AND(AD79&gt;70%,AD79&lt;90%),AVERAGE(S49,W49)*Assum!$G114,0))</f>
        <v>0</v>
      </c>
      <c r="U93" s="86"/>
      <c r="V93" s="372"/>
      <c r="W93" s="761">
        <f t="shared" si="56"/>
        <v>5.3443800000000001E-3</v>
      </c>
    </row>
    <row r="94" spans="2:38" x14ac:dyDescent="0.4">
      <c r="B94" s="1133">
        <v>7</v>
      </c>
      <c r="C94" s="1135" t="s">
        <v>1269</v>
      </c>
      <c r="D94" s="1142">
        <f t="shared" si="49"/>
        <v>4.8028979993726705E-2</v>
      </c>
      <c r="E94" s="676">
        <f>AVERAGE(D50,H50)*Assum!$F115</f>
        <v>1.0785461849999999E-2</v>
      </c>
      <c r="F94" s="86"/>
      <c r="G94" s="374"/>
      <c r="H94" s="761">
        <f t="shared" si="50"/>
        <v>5.8814441843726702E-2</v>
      </c>
      <c r="I94" s="1141">
        <f t="shared" si="51"/>
        <v>5.8814441843726702E-2</v>
      </c>
      <c r="J94" s="676">
        <f>IF(AB80&lt;70%,AVERAGE(I50,M50)*Assum!$F115,IF(AB80&gt;70%,MIN(AVERAGE(I50,M50)*Assum!$G$115,M50*90%-I94),0))</f>
        <v>5.898329256273295E-3</v>
      </c>
      <c r="K94" s="370"/>
      <c r="L94" s="374"/>
      <c r="M94" s="761">
        <f t="shared" si="52"/>
        <v>6.4712771099999997E-2</v>
      </c>
      <c r="N94" s="1141">
        <f t="shared" si="53"/>
        <v>6.4712771099999997E-2</v>
      </c>
      <c r="O94" s="676">
        <f>IF(AC80&lt;70%,AVERAGE(N50,R50)*Assum!$F115,IF(AC80&gt;70%,MIN(AVERAGE(N50,R50)*Assum!$G$115,R50*90%-N94),0))</f>
        <v>0</v>
      </c>
      <c r="P94" s="370"/>
      <c r="Q94" s="374"/>
      <c r="R94" s="761">
        <f t="shared" si="54"/>
        <v>6.4712771099999997E-2</v>
      </c>
      <c r="S94" s="1141">
        <f t="shared" si="55"/>
        <v>6.4712771099999997E-2</v>
      </c>
      <c r="T94" s="676">
        <f>IF(AD80&lt;70%,AVERAGE(S50,W50)*Assum!$F115,IF(AND(AD80&gt;70%,AD80&lt;90%),AVERAGE(S50,W50)*Assum!$G115,0))</f>
        <v>0</v>
      </c>
      <c r="U94" s="370"/>
      <c r="V94" s="374"/>
      <c r="W94" s="761">
        <f t="shared" si="56"/>
        <v>6.4712771099999997E-2</v>
      </c>
    </row>
    <row r="95" spans="2:38" ht="15.4" x14ac:dyDescent="0.4">
      <c r="B95" s="1133">
        <v>8</v>
      </c>
      <c r="C95" s="1135" t="s">
        <v>1270</v>
      </c>
      <c r="D95" s="1142">
        <f t="shared" si="49"/>
        <v>0</v>
      </c>
      <c r="E95" s="676">
        <f>AVERAGE(D51,H51)*Assum!$F116</f>
        <v>0</v>
      </c>
      <c r="F95" s="94"/>
      <c r="G95" s="375"/>
      <c r="H95" s="761">
        <f t="shared" si="50"/>
        <v>0</v>
      </c>
      <c r="I95" s="1141">
        <f t="shared" si="51"/>
        <v>0</v>
      </c>
      <c r="J95" s="676">
        <f>AVERAGE(I51,M51)*Assum!$F116</f>
        <v>0</v>
      </c>
      <c r="K95" s="371"/>
      <c r="L95" s="375"/>
      <c r="M95" s="761">
        <f t="shared" si="52"/>
        <v>0</v>
      </c>
      <c r="N95" s="1141">
        <f t="shared" si="53"/>
        <v>0</v>
      </c>
      <c r="O95" s="676">
        <f>AVERAGE(N37,R37)*Assum!$F116</f>
        <v>0</v>
      </c>
      <c r="P95" s="371"/>
      <c r="Q95" s="375"/>
      <c r="R95" s="761">
        <f t="shared" si="54"/>
        <v>0</v>
      </c>
      <c r="S95" s="1141">
        <f t="shared" si="55"/>
        <v>0</v>
      </c>
      <c r="T95" s="676">
        <f>AVERAGE(S51,W51)*Assum!$F116</f>
        <v>0</v>
      </c>
      <c r="U95" s="371"/>
      <c r="V95" s="375"/>
      <c r="W95" s="761">
        <f t="shared" si="56"/>
        <v>0</v>
      </c>
    </row>
    <row r="96" spans="2:38" ht="14.65" x14ac:dyDescent="0.4">
      <c r="B96" s="1136"/>
      <c r="C96" s="1137" t="s">
        <v>164</v>
      </c>
      <c r="D96" s="1140">
        <f t="shared" ref="D96:W96" si="57">SUM(D88:D95)</f>
        <v>22.461080851809832</v>
      </c>
      <c r="E96" s="1140">
        <f t="shared" si="57"/>
        <v>3.436594496412523</v>
      </c>
      <c r="F96" s="1140">
        <f t="shared" si="57"/>
        <v>0</v>
      </c>
      <c r="G96" s="1140">
        <f t="shared" si="57"/>
        <v>0</v>
      </c>
      <c r="H96" s="1140">
        <f t="shared" si="57"/>
        <v>25.897675348222357</v>
      </c>
      <c r="I96" s="1140">
        <f t="shared" si="57"/>
        <v>25.897675348222357</v>
      </c>
      <c r="J96" s="1140">
        <f t="shared" si="57"/>
        <v>3.4317073638187963</v>
      </c>
      <c r="K96" s="1140">
        <f t="shared" si="57"/>
        <v>0</v>
      </c>
      <c r="L96" s="1140">
        <f t="shared" si="57"/>
        <v>0</v>
      </c>
      <c r="M96" s="1140">
        <f t="shared" si="57"/>
        <v>29.329382712041156</v>
      </c>
      <c r="N96" s="1140">
        <f t="shared" si="57"/>
        <v>29.329382712041156</v>
      </c>
      <c r="O96" s="1140">
        <f t="shared" si="57"/>
        <v>3.4255556719625235</v>
      </c>
      <c r="P96" s="1140">
        <f t="shared" si="57"/>
        <v>0</v>
      </c>
      <c r="Q96" s="1140">
        <f t="shared" si="57"/>
        <v>0</v>
      </c>
      <c r="R96" s="1140">
        <f t="shared" si="57"/>
        <v>32.754938384003673</v>
      </c>
      <c r="S96" s="1140">
        <f t="shared" si="57"/>
        <v>32.754938384003673</v>
      </c>
      <c r="T96" s="1140">
        <f t="shared" si="57"/>
        <v>3.4252449055625234</v>
      </c>
      <c r="U96" s="1140">
        <f t="shared" si="57"/>
        <v>0</v>
      </c>
      <c r="V96" s="1140">
        <f t="shared" si="57"/>
        <v>0</v>
      </c>
      <c r="W96" s="1140">
        <f t="shared" si="57"/>
        <v>36.180183289566202</v>
      </c>
    </row>
    <row r="97" spans="2:23" ht="14.65" x14ac:dyDescent="0.4">
      <c r="B97" s="1138"/>
      <c r="C97" s="1139"/>
      <c r="D97" s="84"/>
      <c r="E97" s="84"/>
      <c r="F97" s="84"/>
      <c r="G97" s="84"/>
      <c r="H97" s="84"/>
      <c r="J97" s="39"/>
      <c r="M97" s="39"/>
      <c r="N97" s="39"/>
    </row>
    <row r="98" spans="2:23" x14ac:dyDescent="0.35">
      <c r="B98" s="83" t="s">
        <v>540</v>
      </c>
    </row>
    <row r="99" spans="2:23" x14ac:dyDescent="0.35">
      <c r="J99" s="39"/>
      <c r="M99" s="39"/>
      <c r="N99" s="39"/>
      <c r="R99" s="368"/>
      <c r="W99" s="160" t="s">
        <v>110</v>
      </c>
    </row>
    <row r="100" spans="2:23" x14ac:dyDescent="0.35">
      <c r="B100" s="1947" t="s">
        <v>1</v>
      </c>
      <c r="C100" s="1947" t="s">
        <v>111</v>
      </c>
      <c r="D100" s="2052" t="s">
        <v>196</v>
      </c>
      <c r="E100" s="2052"/>
      <c r="F100" s="2052"/>
      <c r="G100" s="2052"/>
      <c r="H100" s="2052"/>
      <c r="I100" s="1947" t="s">
        <v>197</v>
      </c>
      <c r="J100" s="1947"/>
      <c r="K100" s="1947"/>
      <c r="L100" s="1947"/>
      <c r="M100" s="1947"/>
      <c r="N100" s="1947" t="s">
        <v>198</v>
      </c>
      <c r="O100" s="1947"/>
      <c r="P100" s="1947"/>
      <c r="Q100" s="1947"/>
      <c r="R100" s="1947"/>
      <c r="S100" s="1947" t="s">
        <v>199</v>
      </c>
      <c r="T100" s="1947"/>
      <c r="U100" s="1947"/>
      <c r="V100" s="1947"/>
      <c r="W100" s="1947"/>
    </row>
    <row r="101" spans="2:23" x14ac:dyDescent="0.35">
      <c r="B101" s="1947"/>
      <c r="C101" s="1947"/>
      <c r="D101" s="1947" t="s">
        <v>186</v>
      </c>
      <c r="E101" s="2051"/>
      <c r="F101" s="2051"/>
      <c r="G101" s="2051"/>
      <c r="H101" s="2051"/>
      <c r="I101" s="1947" t="s">
        <v>186</v>
      </c>
      <c r="J101" s="2051"/>
      <c r="K101" s="2051"/>
      <c r="L101" s="2051"/>
      <c r="M101" s="2051"/>
      <c r="N101" s="1947" t="s">
        <v>186</v>
      </c>
      <c r="O101" s="2051"/>
      <c r="P101" s="2051"/>
      <c r="Q101" s="2051"/>
      <c r="R101" s="2051"/>
      <c r="S101" s="1947" t="s">
        <v>186</v>
      </c>
      <c r="T101" s="2051"/>
      <c r="U101" s="2051"/>
      <c r="V101" s="2051"/>
      <c r="W101" s="2051"/>
    </row>
    <row r="102" spans="2:23" ht="27" x14ac:dyDescent="0.35">
      <c r="B102" s="1947"/>
      <c r="C102" s="1947"/>
      <c r="D102" s="250" t="s">
        <v>523</v>
      </c>
      <c r="E102" s="250" t="s">
        <v>524</v>
      </c>
      <c r="F102" s="251" t="s">
        <v>538</v>
      </c>
      <c r="G102" s="106" t="s">
        <v>543</v>
      </c>
      <c r="H102" s="250" t="s">
        <v>526</v>
      </c>
      <c r="I102" s="250" t="s">
        <v>523</v>
      </c>
      <c r="J102" s="250" t="s">
        <v>524</v>
      </c>
      <c r="K102" s="251" t="s">
        <v>538</v>
      </c>
      <c r="L102" s="106" t="s">
        <v>543</v>
      </c>
      <c r="M102" s="250" t="s">
        <v>526</v>
      </c>
      <c r="N102" s="250" t="s">
        <v>523</v>
      </c>
      <c r="O102" s="250" t="s">
        <v>524</v>
      </c>
      <c r="P102" s="251" t="s">
        <v>538</v>
      </c>
      <c r="Q102" s="106" t="s">
        <v>543</v>
      </c>
      <c r="R102" s="250" t="s">
        <v>526</v>
      </c>
      <c r="S102" s="250" t="s">
        <v>523</v>
      </c>
      <c r="T102" s="250" t="s">
        <v>524</v>
      </c>
      <c r="U102" s="251" t="s">
        <v>538</v>
      </c>
      <c r="V102" s="106" t="s">
        <v>543</v>
      </c>
      <c r="W102" s="250" t="s">
        <v>526</v>
      </c>
    </row>
    <row r="103" spans="2:23" x14ac:dyDescent="0.35">
      <c r="B103" s="217"/>
      <c r="C103" s="217"/>
      <c r="D103" s="217" t="s">
        <v>128</v>
      </c>
      <c r="E103" s="217" t="s">
        <v>129</v>
      </c>
      <c r="F103" s="217" t="s">
        <v>527</v>
      </c>
      <c r="G103" s="217" t="s">
        <v>130</v>
      </c>
      <c r="H103" s="217" t="s">
        <v>544</v>
      </c>
      <c r="I103" s="217" t="s">
        <v>331</v>
      </c>
      <c r="J103" s="217" t="s">
        <v>132</v>
      </c>
      <c r="K103" s="217" t="s">
        <v>133</v>
      </c>
      <c r="L103" s="217" t="s">
        <v>332</v>
      </c>
      <c r="M103" s="217" t="s">
        <v>545</v>
      </c>
      <c r="N103" s="217" t="s">
        <v>528</v>
      </c>
      <c r="O103" s="217" t="s">
        <v>529</v>
      </c>
      <c r="P103" s="217" t="s">
        <v>334</v>
      </c>
      <c r="Q103" s="217" t="s">
        <v>530</v>
      </c>
      <c r="R103" s="217" t="s">
        <v>546</v>
      </c>
      <c r="S103" s="217" t="s">
        <v>532</v>
      </c>
      <c r="T103" s="217" t="s">
        <v>533</v>
      </c>
      <c r="U103" s="217" t="s">
        <v>534</v>
      </c>
      <c r="V103" s="217" t="s">
        <v>535</v>
      </c>
      <c r="W103" s="217" t="s">
        <v>547</v>
      </c>
    </row>
    <row r="104" spans="2:23" x14ac:dyDescent="0.35">
      <c r="B104" s="1133">
        <v>1</v>
      </c>
      <c r="C104" s="1134" t="s">
        <v>1410</v>
      </c>
      <c r="D104" s="1148">
        <f>+D16-D60</f>
        <v>0</v>
      </c>
      <c r="E104" s="1148">
        <f>+E16-E60</f>
        <v>3.45E-6</v>
      </c>
      <c r="F104" s="1148">
        <f>+F16-F60</f>
        <v>0</v>
      </c>
      <c r="G104" s="1148">
        <f>+G16-G60</f>
        <v>0</v>
      </c>
      <c r="H104" s="760">
        <f>+D104+E104-F104-G104</f>
        <v>3.45E-6</v>
      </c>
      <c r="I104" s="1146">
        <f>+H104</f>
        <v>3.45E-6</v>
      </c>
      <c r="J104" s="1148">
        <f t="shared" ref="J104:L111" si="58">+J16-J60</f>
        <v>-9.9999999999999995E-8</v>
      </c>
      <c r="K104" s="1148">
        <f t="shared" si="58"/>
        <v>0</v>
      </c>
      <c r="L104" s="1148">
        <f t="shared" si="58"/>
        <v>0</v>
      </c>
      <c r="M104" s="760">
        <f>+I104+J104-K104-L104</f>
        <v>3.3500000000000001E-6</v>
      </c>
      <c r="N104" s="1146">
        <f>+M104</f>
        <v>3.3500000000000001E-6</v>
      </c>
      <c r="O104" s="1148">
        <f t="shared" ref="O104:Q111" si="59">+O16-O60</f>
        <v>-9.9999999999999995E-8</v>
      </c>
      <c r="P104" s="1148">
        <f t="shared" si="59"/>
        <v>0</v>
      </c>
      <c r="Q104" s="1148">
        <f t="shared" si="59"/>
        <v>0</v>
      </c>
      <c r="R104" s="760">
        <f>+N104+O104-P104-Q104</f>
        <v>3.2500000000000002E-6</v>
      </c>
      <c r="S104" s="1146">
        <f>+R104</f>
        <v>3.2500000000000002E-6</v>
      </c>
      <c r="T104" s="1148">
        <f t="shared" ref="T104:V111" si="60">+T16-T60</f>
        <v>-9.9999999999999995E-8</v>
      </c>
      <c r="U104" s="1148">
        <f t="shared" si="60"/>
        <v>0</v>
      </c>
      <c r="V104" s="1148">
        <f t="shared" si="60"/>
        <v>0</v>
      </c>
      <c r="W104" s="760">
        <f>+S104+T104-U104-V104</f>
        <v>3.1500000000000003E-6</v>
      </c>
    </row>
    <row r="105" spans="2:23" x14ac:dyDescent="0.35">
      <c r="B105" s="1133">
        <v>2</v>
      </c>
      <c r="C105" s="1134" t="s">
        <v>1409</v>
      </c>
      <c r="D105" s="1148">
        <f t="shared" ref="D105:G111" si="61">+D17-D61</f>
        <v>0</v>
      </c>
      <c r="E105" s="1148">
        <f t="shared" si="61"/>
        <v>11.3891095</v>
      </c>
      <c r="F105" s="1148">
        <f t="shared" si="61"/>
        <v>0</v>
      </c>
      <c r="G105" s="1148">
        <f t="shared" si="61"/>
        <v>0</v>
      </c>
      <c r="H105" s="760">
        <f t="shared" ref="H105:H111" si="62">+D105+E105-F105-G105</f>
        <v>11.3891095</v>
      </c>
      <c r="I105" s="1146">
        <f t="shared" ref="I105:I111" si="63">+H105</f>
        <v>11.3891095</v>
      </c>
      <c r="J105" s="1148">
        <f t="shared" si="58"/>
        <v>-0.3803962569581531</v>
      </c>
      <c r="K105" s="1148">
        <f t="shared" si="58"/>
        <v>0</v>
      </c>
      <c r="L105" s="1148">
        <f t="shared" si="58"/>
        <v>0</v>
      </c>
      <c r="M105" s="760">
        <f t="shared" ref="M105:M111" si="64">+I105+J105-K105-L105</f>
        <v>11.008713243041846</v>
      </c>
      <c r="N105" s="1146">
        <f t="shared" ref="N105:N111" si="65">+M105</f>
        <v>11.008713243041846</v>
      </c>
      <c r="O105" s="1148">
        <f t="shared" si="59"/>
        <v>-0.31473622251056349</v>
      </c>
      <c r="P105" s="1148">
        <f t="shared" si="59"/>
        <v>0</v>
      </c>
      <c r="Q105" s="1148">
        <f t="shared" si="59"/>
        <v>0</v>
      </c>
      <c r="R105" s="760">
        <f t="shared" ref="R105:R111" si="66">+N105+O105-P105-Q105</f>
        <v>10.693977020531284</v>
      </c>
      <c r="S105" s="1146">
        <f t="shared" ref="S105:S111" si="67">+R105</f>
        <v>10.693977020531284</v>
      </c>
      <c r="T105" s="1148">
        <f t="shared" si="60"/>
        <v>-0.3475662397343583</v>
      </c>
      <c r="U105" s="1148">
        <f t="shared" si="60"/>
        <v>0</v>
      </c>
      <c r="V105" s="1148">
        <f t="shared" si="60"/>
        <v>0</v>
      </c>
      <c r="W105" s="760">
        <f t="shared" ref="W105:W111" si="68">+S105+T105-U105-V105</f>
        <v>10.346410780796925</v>
      </c>
    </row>
    <row r="106" spans="2:23" x14ac:dyDescent="0.35">
      <c r="B106" s="1133">
        <v>3</v>
      </c>
      <c r="C106" s="1134" t="s">
        <v>440</v>
      </c>
      <c r="D106" s="1148">
        <f t="shared" si="61"/>
        <v>0</v>
      </c>
      <c r="E106" s="1148">
        <f t="shared" si="61"/>
        <v>42.8675894</v>
      </c>
      <c r="F106" s="1148">
        <f t="shared" si="61"/>
        <v>0</v>
      </c>
      <c r="G106" s="1148">
        <f t="shared" si="61"/>
        <v>0</v>
      </c>
      <c r="H106" s="760">
        <f t="shared" si="62"/>
        <v>42.8675894</v>
      </c>
      <c r="I106" s="1146">
        <f t="shared" si="63"/>
        <v>42.8675894</v>
      </c>
      <c r="J106" s="1148">
        <f t="shared" si="58"/>
        <v>9.1787824673505725</v>
      </c>
      <c r="K106" s="1148">
        <f t="shared" si="58"/>
        <v>0</v>
      </c>
      <c r="L106" s="1148">
        <f t="shared" si="58"/>
        <v>0</v>
      </c>
      <c r="M106" s="760">
        <f t="shared" si="64"/>
        <v>52.046371867350572</v>
      </c>
      <c r="N106" s="1146">
        <f t="shared" si="65"/>
        <v>52.046371867350572</v>
      </c>
      <c r="O106" s="1148">
        <f t="shared" si="59"/>
        <v>2.5132566703025527</v>
      </c>
      <c r="P106" s="1148">
        <f t="shared" si="59"/>
        <v>3.3735370970136707</v>
      </c>
      <c r="Q106" s="1148">
        <f t="shared" si="59"/>
        <v>0</v>
      </c>
      <c r="R106" s="760">
        <f t="shared" si="66"/>
        <v>51.186091440639458</v>
      </c>
      <c r="S106" s="1146">
        <f t="shared" si="67"/>
        <v>51.186091440639458</v>
      </c>
      <c r="T106" s="1148">
        <f t="shared" si="60"/>
        <v>-2.1237734110424209</v>
      </c>
      <c r="U106" s="1148">
        <f t="shared" si="60"/>
        <v>0</v>
      </c>
      <c r="V106" s="1148">
        <f t="shared" si="60"/>
        <v>0</v>
      </c>
      <c r="W106" s="760">
        <f t="shared" si="68"/>
        <v>49.062318029597037</v>
      </c>
    </row>
    <row r="107" spans="2:23" x14ac:dyDescent="0.35">
      <c r="B107" s="1133">
        <v>4</v>
      </c>
      <c r="C107" s="1134" t="s">
        <v>915</v>
      </c>
      <c r="D107" s="1148">
        <f t="shared" si="61"/>
        <v>0</v>
      </c>
      <c r="E107" s="1148">
        <f t="shared" si="61"/>
        <v>0</v>
      </c>
      <c r="F107" s="1148">
        <f t="shared" si="61"/>
        <v>0</v>
      </c>
      <c r="G107" s="1148">
        <f t="shared" si="61"/>
        <v>0</v>
      </c>
      <c r="H107" s="760">
        <f t="shared" si="62"/>
        <v>0</v>
      </c>
      <c r="I107" s="1146">
        <f t="shared" si="63"/>
        <v>0</v>
      </c>
      <c r="J107" s="1148">
        <f t="shared" si="58"/>
        <v>0</v>
      </c>
      <c r="K107" s="1148">
        <f t="shared" si="58"/>
        <v>0</v>
      </c>
      <c r="L107" s="1148">
        <f t="shared" si="58"/>
        <v>0</v>
      </c>
      <c r="M107" s="760">
        <f t="shared" si="64"/>
        <v>0</v>
      </c>
      <c r="N107" s="1146">
        <f t="shared" si="65"/>
        <v>0</v>
      </c>
      <c r="O107" s="1148">
        <f t="shared" si="59"/>
        <v>0</v>
      </c>
      <c r="P107" s="1148">
        <f t="shared" si="59"/>
        <v>0</v>
      </c>
      <c r="Q107" s="1148">
        <f t="shared" si="59"/>
        <v>0</v>
      </c>
      <c r="R107" s="760">
        <f t="shared" si="66"/>
        <v>0</v>
      </c>
      <c r="S107" s="1146">
        <f t="shared" si="67"/>
        <v>0</v>
      </c>
      <c r="T107" s="1148">
        <f t="shared" si="60"/>
        <v>0</v>
      </c>
      <c r="U107" s="1148">
        <f t="shared" si="60"/>
        <v>0</v>
      </c>
      <c r="V107" s="1148">
        <f t="shared" si="60"/>
        <v>0</v>
      </c>
      <c r="W107" s="760">
        <f t="shared" si="68"/>
        <v>0</v>
      </c>
    </row>
    <row r="108" spans="2:23" x14ac:dyDescent="0.35">
      <c r="B108" s="1133">
        <v>5</v>
      </c>
      <c r="C108" s="1134" t="s">
        <v>447</v>
      </c>
      <c r="D108" s="1148">
        <f t="shared" si="61"/>
        <v>0</v>
      </c>
      <c r="E108" s="1148">
        <f t="shared" si="61"/>
        <v>4.7085650000000007E-2</v>
      </c>
      <c r="F108" s="1148">
        <f t="shared" si="61"/>
        <v>0</v>
      </c>
      <c r="G108" s="1148">
        <f t="shared" si="61"/>
        <v>0</v>
      </c>
      <c r="H108" s="760">
        <f t="shared" si="62"/>
        <v>4.7085650000000007E-2</v>
      </c>
      <c r="I108" s="1146">
        <f t="shared" si="63"/>
        <v>4.7085650000000007E-2</v>
      </c>
      <c r="J108" s="1148">
        <f t="shared" si="58"/>
        <v>-2.9093255000000001E-3</v>
      </c>
      <c r="K108" s="1148">
        <f t="shared" si="58"/>
        <v>0</v>
      </c>
      <c r="L108" s="1148">
        <f t="shared" si="58"/>
        <v>0</v>
      </c>
      <c r="M108" s="760">
        <f t="shared" si="64"/>
        <v>4.417632450000001E-2</v>
      </c>
      <c r="N108" s="1146">
        <f t="shared" si="65"/>
        <v>4.417632450000001E-2</v>
      </c>
      <c r="O108" s="1148">
        <f t="shared" si="59"/>
        <v>-2.9093255000000001E-3</v>
      </c>
      <c r="P108" s="1148">
        <f t="shared" si="59"/>
        <v>0</v>
      </c>
      <c r="Q108" s="1148">
        <f t="shared" si="59"/>
        <v>0</v>
      </c>
      <c r="R108" s="760">
        <f t="shared" si="66"/>
        <v>4.1266999000000013E-2</v>
      </c>
      <c r="S108" s="1146">
        <f t="shared" si="67"/>
        <v>4.1266999000000013E-2</v>
      </c>
      <c r="T108" s="1148">
        <f t="shared" si="60"/>
        <v>9.6045744999999991E-3</v>
      </c>
      <c r="U108" s="1148">
        <f t="shared" si="60"/>
        <v>0</v>
      </c>
      <c r="V108" s="1148">
        <f t="shared" si="60"/>
        <v>0</v>
      </c>
      <c r="W108" s="760">
        <f t="shared" si="68"/>
        <v>5.087157350000001E-2</v>
      </c>
    </row>
    <row r="109" spans="2:23" x14ac:dyDescent="0.35">
      <c r="B109" s="1133">
        <v>6</v>
      </c>
      <c r="C109" s="1134" t="s">
        <v>879</v>
      </c>
      <c r="D109" s="1148">
        <f t="shared" si="61"/>
        <v>0</v>
      </c>
      <c r="E109" s="1148">
        <f t="shared" si="61"/>
        <v>5.6432700000000006E-3</v>
      </c>
      <c r="F109" s="1148">
        <f t="shared" si="61"/>
        <v>0</v>
      </c>
      <c r="G109" s="1148">
        <f t="shared" si="61"/>
        <v>0</v>
      </c>
      <c r="H109" s="760">
        <f t="shared" si="62"/>
        <v>5.6432700000000006E-3</v>
      </c>
      <c r="I109" s="1146">
        <f t="shared" si="63"/>
        <v>5.6432700000000006E-3</v>
      </c>
      <c r="J109" s="1148">
        <f t="shared" si="58"/>
        <v>-5.077161E-4</v>
      </c>
      <c r="K109" s="1148">
        <f t="shared" si="58"/>
        <v>0</v>
      </c>
      <c r="L109" s="1148">
        <f t="shared" si="58"/>
        <v>0</v>
      </c>
      <c r="M109" s="760">
        <f t="shared" si="64"/>
        <v>5.1355539000000009E-3</v>
      </c>
      <c r="N109" s="1146">
        <f t="shared" si="65"/>
        <v>5.1355539000000009E-3</v>
      </c>
      <c r="O109" s="1148">
        <f t="shared" si="59"/>
        <v>-5.077161E-4</v>
      </c>
      <c r="P109" s="1148">
        <f t="shared" si="59"/>
        <v>0</v>
      </c>
      <c r="Q109" s="1148">
        <f t="shared" si="59"/>
        <v>0</v>
      </c>
      <c r="R109" s="760">
        <f t="shared" si="66"/>
        <v>4.6278378000000012E-3</v>
      </c>
      <c r="S109" s="1146">
        <f t="shared" si="67"/>
        <v>4.6278378000000012E-3</v>
      </c>
      <c r="T109" s="1148">
        <f t="shared" si="60"/>
        <v>-5.077161E-4</v>
      </c>
      <c r="U109" s="1148">
        <f t="shared" si="60"/>
        <v>0</v>
      </c>
      <c r="V109" s="1148">
        <f t="shared" si="60"/>
        <v>0</v>
      </c>
      <c r="W109" s="760">
        <f t="shared" si="68"/>
        <v>4.1201217000000016E-3</v>
      </c>
    </row>
    <row r="110" spans="2:23" x14ac:dyDescent="0.4">
      <c r="B110" s="1133">
        <v>7</v>
      </c>
      <c r="C110" s="1135" t="s">
        <v>1269</v>
      </c>
      <c r="D110" s="1148">
        <f t="shared" si="61"/>
        <v>0</v>
      </c>
      <c r="E110" s="1148">
        <f t="shared" si="61"/>
        <v>1.1740197499999999E-2</v>
      </c>
      <c r="F110" s="1148">
        <f t="shared" si="61"/>
        <v>0</v>
      </c>
      <c r="G110" s="1148">
        <f t="shared" si="61"/>
        <v>0</v>
      </c>
      <c r="H110" s="760">
        <f t="shared" si="62"/>
        <v>1.1740197499999999E-2</v>
      </c>
      <c r="I110" s="1146">
        <f t="shared" si="63"/>
        <v>1.1740197499999999E-2</v>
      </c>
      <c r="J110" s="1148">
        <f t="shared" si="58"/>
        <v>-2.538373E-3</v>
      </c>
      <c r="K110" s="1148">
        <f t="shared" si="58"/>
        <v>0</v>
      </c>
      <c r="L110" s="1148">
        <f t="shared" si="58"/>
        <v>0</v>
      </c>
      <c r="M110" s="760">
        <f t="shared" si="64"/>
        <v>9.2018244999999988E-3</v>
      </c>
      <c r="N110" s="1146">
        <f t="shared" si="65"/>
        <v>9.2018244999999988E-3</v>
      </c>
      <c r="O110" s="1148">
        <f t="shared" si="59"/>
        <v>6.6084609999999995E-3</v>
      </c>
      <c r="P110" s="1148">
        <f t="shared" si="59"/>
        <v>0</v>
      </c>
      <c r="Q110" s="1148">
        <f t="shared" si="59"/>
        <v>0</v>
      </c>
      <c r="R110" s="760">
        <f t="shared" si="66"/>
        <v>1.58102855E-2</v>
      </c>
      <c r="S110" s="1146">
        <f t="shared" si="67"/>
        <v>1.58102855E-2</v>
      </c>
      <c r="T110" s="1148">
        <f t="shared" si="60"/>
        <v>-3.1612839999999994E-3</v>
      </c>
      <c r="U110" s="1148">
        <f t="shared" si="60"/>
        <v>0</v>
      </c>
      <c r="V110" s="1148">
        <f t="shared" si="60"/>
        <v>0</v>
      </c>
      <c r="W110" s="760">
        <f t="shared" si="68"/>
        <v>1.26490015E-2</v>
      </c>
    </row>
    <row r="111" spans="2:23" x14ac:dyDescent="0.4">
      <c r="B111" s="1133">
        <v>8</v>
      </c>
      <c r="C111" s="1135" t="s">
        <v>1270</v>
      </c>
      <c r="D111" s="1148">
        <f t="shared" si="61"/>
        <v>0</v>
      </c>
      <c r="E111" s="1148">
        <f t="shared" si="61"/>
        <v>0</v>
      </c>
      <c r="F111" s="1148">
        <f t="shared" si="61"/>
        <v>0</v>
      </c>
      <c r="G111" s="1148">
        <f t="shared" si="61"/>
        <v>0</v>
      </c>
      <c r="H111" s="760">
        <f t="shared" si="62"/>
        <v>0</v>
      </c>
      <c r="I111" s="1146">
        <f t="shared" si="63"/>
        <v>0</v>
      </c>
      <c r="J111" s="1148">
        <f t="shared" si="58"/>
        <v>0</v>
      </c>
      <c r="K111" s="1148">
        <f t="shared" si="58"/>
        <v>0</v>
      </c>
      <c r="L111" s="1148">
        <f t="shared" si="58"/>
        <v>0</v>
      </c>
      <c r="M111" s="760">
        <f t="shared" si="64"/>
        <v>0</v>
      </c>
      <c r="N111" s="1146">
        <f t="shared" si="65"/>
        <v>0</v>
      </c>
      <c r="O111" s="1148">
        <f t="shared" si="59"/>
        <v>0</v>
      </c>
      <c r="P111" s="1148">
        <f t="shared" si="59"/>
        <v>0</v>
      </c>
      <c r="Q111" s="1148">
        <f t="shared" si="59"/>
        <v>0</v>
      </c>
      <c r="R111" s="760">
        <f t="shared" si="66"/>
        <v>0</v>
      </c>
      <c r="S111" s="1146">
        <f t="shared" si="67"/>
        <v>0</v>
      </c>
      <c r="T111" s="1148">
        <f t="shared" si="60"/>
        <v>0</v>
      </c>
      <c r="U111" s="1148">
        <f t="shared" si="60"/>
        <v>0</v>
      </c>
      <c r="V111" s="1148">
        <f t="shared" si="60"/>
        <v>0</v>
      </c>
      <c r="W111" s="760">
        <f t="shared" si="68"/>
        <v>0</v>
      </c>
    </row>
    <row r="112" spans="2:23" ht="14.65" x14ac:dyDescent="0.4">
      <c r="B112" s="1136"/>
      <c r="C112" s="1137" t="s">
        <v>164</v>
      </c>
      <c r="D112" s="1147">
        <f>SUM(D104:D111)</f>
        <v>0</v>
      </c>
      <c r="E112" s="1147">
        <f t="shared" ref="E112:W112" si="69">SUM(E104:E111)</f>
        <v>54.321171467500001</v>
      </c>
      <c r="F112" s="1147">
        <f t="shared" si="69"/>
        <v>0</v>
      </c>
      <c r="G112" s="1147">
        <f t="shared" si="69"/>
        <v>0</v>
      </c>
      <c r="H112" s="1147">
        <f t="shared" si="69"/>
        <v>54.321171467500001</v>
      </c>
      <c r="I112" s="1147">
        <f t="shared" si="69"/>
        <v>54.321171467500001</v>
      </c>
      <c r="J112" s="1147">
        <f t="shared" si="69"/>
        <v>8.7924306957924205</v>
      </c>
      <c r="K112" s="1147">
        <f t="shared" si="69"/>
        <v>0</v>
      </c>
      <c r="L112" s="1147">
        <f t="shared" si="69"/>
        <v>0</v>
      </c>
      <c r="M112" s="1147">
        <f t="shared" si="69"/>
        <v>63.11360216329242</v>
      </c>
      <c r="N112" s="1147">
        <f t="shared" si="69"/>
        <v>63.11360216329242</v>
      </c>
      <c r="O112" s="1147">
        <f t="shared" si="69"/>
        <v>2.201711767191989</v>
      </c>
      <c r="P112" s="1147">
        <f t="shared" si="69"/>
        <v>3.3735370970136707</v>
      </c>
      <c r="Q112" s="1147">
        <f t="shared" si="69"/>
        <v>0</v>
      </c>
      <c r="R112" s="1147">
        <f t="shared" si="69"/>
        <v>61.941776833470747</v>
      </c>
      <c r="S112" s="1147">
        <f t="shared" si="69"/>
        <v>61.941776833470747</v>
      </c>
      <c r="T112" s="1147">
        <f t="shared" si="69"/>
        <v>-2.4654041763767793</v>
      </c>
      <c r="U112" s="1147">
        <f t="shared" si="69"/>
        <v>0</v>
      </c>
      <c r="V112" s="1147">
        <f t="shared" si="69"/>
        <v>0</v>
      </c>
      <c r="W112" s="1147">
        <f t="shared" si="69"/>
        <v>59.476372657093961</v>
      </c>
    </row>
    <row r="113" spans="2:38" ht="14.65" x14ac:dyDescent="0.4">
      <c r="B113" s="1138"/>
      <c r="C113" s="1139"/>
      <c r="D113" s="84"/>
      <c r="E113" s="84"/>
      <c r="F113" s="84"/>
      <c r="G113" s="84"/>
      <c r="H113" s="84"/>
      <c r="J113" s="39"/>
      <c r="M113" s="39"/>
      <c r="N113" s="39"/>
    </row>
    <row r="114" spans="2:38" x14ac:dyDescent="0.35">
      <c r="B114" s="1947" t="s">
        <v>1</v>
      </c>
      <c r="C114" s="1947" t="s">
        <v>111</v>
      </c>
      <c r="D114" s="2053" t="s">
        <v>112</v>
      </c>
      <c r="E114" s="2053"/>
      <c r="F114" s="2053"/>
      <c r="G114" s="2053"/>
      <c r="H114" s="2053"/>
      <c r="I114" s="2053" t="s">
        <v>113</v>
      </c>
      <c r="J114" s="2053"/>
      <c r="K114" s="2053"/>
      <c r="L114" s="2053"/>
      <c r="M114" s="2053"/>
      <c r="N114" s="2054" t="s">
        <v>114</v>
      </c>
      <c r="O114" s="2054"/>
      <c r="P114" s="2054"/>
      <c r="Q114" s="2054"/>
      <c r="R114" s="2054"/>
      <c r="S114" s="2054" t="s">
        <v>123</v>
      </c>
      <c r="T114" s="2054"/>
      <c r="U114" s="2054"/>
      <c r="V114" s="2054"/>
      <c r="W114" s="2054"/>
    </row>
    <row r="115" spans="2:38" x14ac:dyDescent="0.35">
      <c r="B115" s="1947"/>
      <c r="C115" s="1947"/>
      <c r="D115" s="1947" t="s">
        <v>186</v>
      </c>
      <c r="E115" s="2051"/>
      <c r="F115" s="2051"/>
      <c r="G115" s="2051"/>
      <c r="H115" s="2051"/>
      <c r="I115" s="1947" t="s">
        <v>186</v>
      </c>
      <c r="J115" s="2051"/>
      <c r="K115" s="2051"/>
      <c r="L115" s="2051"/>
      <c r="M115" s="2051"/>
      <c r="N115" s="1947" t="s">
        <v>187</v>
      </c>
      <c r="O115" s="2051"/>
      <c r="P115" s="2051"/>
      <c r="Q115" s="2051"/>
      <c r="R115" s="2051"/>
      <c r="S115" s="1947" t="s">
        <v>135</v>
      </c>
      <c r="T115" s="2051"/>
      <c r="U115" s="2051"/>
      <c r="V115" s="2051"/>
      <c r="W115" s="2051"/>
    </row>
    <row r="116" spans="2:38" ht="27" x14ac:dyDescent="0.35">
      <c r="B116" s="1947"/>
      <c r="C116" s="1947"/>
      <c r="D116" s="250" t="s">
        <v>523</v>
      </c>
      <c r="E116" s="250" t="s">
        <v>524</v>
      </c>
      <c r="F116" s="251" t="s">
        <v>538</v>
      </c>
      <c r="G116" s="106" t="s">
        <v>543</v>
      </c>
      <c r="H116" s="250" t="s">
        <v>526</v>
      </c>
      <c r="I116" s="250" t="s">
        <v>523</v>
      </c>
      <c r="J116" s="250" t="s">
        <v>524</v>
      </c>
      <c r="K116" s="251" t="s">
        <v>538</v>
      </c>
      <c r="L116" s="106" t="s">
        <v>543</v>
      </c>
      <c r="M116" s="250" t="s">
        <v>526</v>
      </c>
      <c r="N116" s="250" t="s">
        <v>523</v>
      </c>
      <c r="O116" s="250" t="s">
        <v>524</v>
      </c>
      <c r="P116" s="251" t="s">
        <v>538</v>
      </c>
      <c r="Q116" s="106" t="s">
        <v>543</v>
      </c>
      <c r="R116" s="250" t="s">
        <v>526</v>
      </c>
      <c r="S116" s="250" t="s">
        <v>523</v>
      </c>
      <c r="T116" s="250" t="s">
        <v>524</v>
      </c>
      <c r="U116" s="251" t="s">
        <v>538</v>
      </c>
      <c r="V116" s="106" t="s">
        <v>543</v>
      </c>
      <c r="W116" s="250" t="s">
        <v>526</v>
      </c>
    </row>
    <row r="117" spans="2:38" x14ac:dyDescent="0.35">
      <c r="B117" s="217"/>
      <c r="C117" s="217"/>
      <c r="D117" s="217" t="s">
        <v>128</v>
      </c>
      <c r="E117" s="217" t="s">
        <v>129</v>
      </c>
      <c r="F117" s="217" t="s">
        <v>527</v>
      </c>
      <c r="G117" s="217" t="s">
        <v>130</v>
      </c>
      <c r="H117" s="217" t="s">
        <v>544</v>
      </c>
      <c r="I117" s="217" t="s">
        <v>331</v>
      </c>
      <c r="J117" s="217" t="s">
        <v>132</v>
      </c>
      <c r="K117" s="217" t="s">
        <v>133</v>
      </c>
      <c r="L117" s="217" t="s">
        <v>332</v>
      </c>
      <c r="M117" s="217" t="s">
        <v>545</v>
      </c>
      <c r="N117" s="217" t="s">
        <v>528</v>
      </c>
      <c r="O117" s="217" t="s">
        <v>529</v>
      </c>
      <c r="P117" s="217" t="s">
        <v>334</v>
      </c>
      <c r="Q117" s="217" t="s">
        <v>530</v>
      </c>
      <c r="R117" s="217" t="s">
        <v>546</v>
      </c>
      <c r="S117" s="217" t="s">
        <v>532</v>
      </c>
      <c r="T117" s="217" t="s">
        <v>533</v>
      </c>
      <c r="U117" s="217" t="s">
        <v>534</v>
      </c>
      <c r="V117" s="217" t="s">
        <v>535</v>
      </c>
      <c r="W117" s="217" t="s">
        <v>547</v>
      </c>
    </row>
    <row r="118" spans="2:38" x14ac:dyDescent="0.35">
      <c r="B118" s="1133">
        <v>1</v>
      </c>
      <c r="C118" s="1134" t="s">
        <v>1410</v>
      </c>
      <c r="D118" s="1142">
        <f>+W104</f>
        <v>3.1500000000000003E-6</v>
      </c>
      <c r="E118" s="1148">
        <f t="shared" ref="E118:G125" si="70">+E30-E74</f>
        <v>-9.9999999999999995E-8</v>
      </c>
      <c r="F118" s="1148">
        <f t="shared" si="70"/>
        <v>0</v>
      </c>
      <c r="G118" s="1148">
        <f t="shared" si="70"/>
        <v>0</v>
      </c>
      <c r="H118" s="760">
        <f>+D118+E118-F118-G118</f>
        <v>3.0500000000000004E-6</v>
      </c>
      <c r="I118" s="1146">
        <f>+H118</f>
        <v>3.0500000000000004E-6</v>
      </c>
      <c r="J118" s="1148">
        <f t="shared" ref="J118:L125" si="71">+J30-J74</f>
        <v>-9.9999999999999995E-8</v>
      </c>
      <c r="K118" s="1148">
        <f t="shared" si="71"/>
        <v>0</v>
      </c>
      <c r="L118" s="1148">
        <f t="shared" si="71"/>
        <v>0</v>
      </c>
      <c r="M118" s="760">
        <f>+I118+J118-K118-L118</f>
        <v>2.9500000000000006E-6</v>
      </c>
      <c r="N118" s="1146">
        <f>+M118</f>
        <v>2.9500000000000006E-6</v>
      </c>
      <c r="O118" s="1148">
        <f t="shared" ref="O118:Q125" si="72">+O30-O74</f>
        <v>-2.4999999999999999E-8</v>
      </c>
      <c r="P118" s="1148">
        <f t="shared" si="72"/>
        <v>0</v>
      </c>
      <c r="Q118" s="1148">
        <f t="shared" si="72"/>
        <v>0</v>
      </c>
      <c r="R118" s="760">
        <f>+N118+O118-P118-Q118</f>
        <v>2.9250000000000004E-6</v>
      </c>
      <c r="S118" s="1146">
        <f>+R118</f>
        <v>2.9250000000000004E-6</v>
      </c>
      <c r="T118" s="1148">
        <f t="shared" ref="T118:V125" si="73">+T30-T74</f>
        <v>-1.1689999999999999E-7</v>
      </c>
      <c r="U118" s="1148">
        <f t="shared" si="73"/>
        <v>0</v>
      </c>
      <c r="V118" s="1148">
        <f t="shared" si="73"/>
        <v>0</v>
      </c>
      <c r="W118" s="760">
        <f>+S118+T118-U118-V118</f>
        <v>2.8081000000000003E-6</v>
      </c>
    </row>
    <row r="119" spans="2:38" x14ac:dyDescent="0.35">
      <c r="B119" s="1133">
        <v>2</v>
      </c>
      <c r="C119" s="1134" t="s">
        <v>1409</v>
      </c>
      <c r="D119" s="1142">
        <f t="shared" ref="D119:D125" si="74">+W105</f>
        <v>10.346410780796925</v>
      </c>
      <c r="E119" s="1148">
        <f t="shared" si="70"/>
        <v>-0.3475662397343583</v>
      </c>
      <c r="F119" s="1148">
        <f t="shared" si="70"/>
        <v>0</v>
      </c>
      <c r="G119" s="1148">
        <f t="shared" si="70"/>
        <v>0</v>
      </c>
      <c r="H119" s="760">
        <f t="shared" ref="H119:H125" si="75">+D119+E119-F119-G119</f>
        <v>9.9988445410625655</v>
      </c>
      <c r="I119" s="1146">
        <f t="shared" ref="I119:I125" si="76">+H119</f>
        <v>9.9988445410625655</v>
      </c>
      <c r="J119" s="1148">
        <f t="shared" si="71"/>
        <v>-0.3475662397343583</v>
      </c>
      <c r="K119" s="1148">
        <f t="shared" si="71"/>
        <v>0</v>
      </c>
      <c r="L119" s="1148">
        <f t="shared" si="71"/>
        <v>0</v>
      </c>
      <c r="M119" s="760">
        <f t="shared" ref="M119:M125" si="77">+I119+J119-K119-L119</f>
        <v>9.6512783013282064</v>
      </c>
      <c r="N119" s="1146">
        <f t="shared" ref="N119:N125" si="78">+M119</f>
        <v>9.6512783013282064</v>
      </c>
      <c r="O119" s="1148">
        <f t="shared" si="72"/>
        <v>-0.3475662397343583</v>
      </c>
      <c r="P119" s="1148">
        <f t="shared" si="72"/>
        <v>0</v>
      </c>
      <c r="Q119" s="1148">
        <f t="shared" si="72"/>
        <v>0</v>
      </c>
      <c r="R119" s="760">
        <f t="shared" ref="R119:R125" si="79">+N119+O119-P119-Q119</f>
        <v>9.3037120615938473</v>
      </c>
      <c r="S119" s="1146">
        <f t="shared" ref="S119:S125" si="80">+R119</f>
        <v>9.3037120615938473</v>
      </c>
      <c r="T119" s="1148">
        <f t="shared" si="73"/>
        <v>-0.38618471109999997</v>
      </c>
      <c r="U119" s="1148">
        <f t="shared" si="73"/>
        <v>0</v>
      </c>
      <c r="V119" s="1148">
        <f t="shared" si="73"/>
        <v>0</v>
      </c>
      <c r="W119" s="760">
        <f t="shared" ref="W119:W125" si="81">+S119+T119-U119-V119</f>
        <v>8.917527350493847</v>
      </c>
    </row>
    <row r="120" spans="2:38" x14ac:dyDescent="0.35">
      <c r="B120" s="1133">
        <v>3</v>
      </c>
      <c r="C120" s="1134" t="s">
        <v>440</v>
      </c>
      <c r="D120" s="1142">
        <f t="shared" si="74"/>
        <v>49.062318029597037</v>
      </c>
      <c r="E120" s="1148">
        <f t="shared" si="70"/>
        <v>-2.7918903972088667</v>
      </c>
      <c r="F120" s="1148">
        <f t="shared" si="70"/>
        <v>0</v>
      </c>
      <c r="G120" s="1148">
        <f t="shared" si="70"/>
        <v>0</v>
      </c>
      <c r="H120" s="760">
        <f t="shared" si="75"/>
        <v>46.27042763238817</v>
      </c>
      <c r="I120" s="1146">
        <f t="shared" si="76"/>
        <v>46.27042763238817</v>
      </c>
      <c r="J120" s="1148">
        <f t="shared" si="71"/>
        <v>-2.7038158981447982</v>
      </c>
      <c r="K120" s="1148">
        <f t="shared" si="71"/>
        <v>0</v>
      </c>
      <c r="L120" s="1148">
        <f t="shared" si="71"/>
        <v>0</v>
      </c>
      <c r="M120" s="760">
        <f t="shared" si="77"/>
        <v>43.566611734243374</v>
      </c>
      <c r="N120" s="1146">
        <f t="shared" si="78"/>
        <v>43.566611734243374</v>
      </c>
      <c r="O120" s="1148">
        <f t="shared" si="72"/>
        <v>-2.7962606762719067</v>
      </c>
      <c r="P120" s="1148">
        <f t="shared" si="72"/>
        <v>0</v>
      </c>
      <c r="Q120" s="1148">
        <f t="shared" si="72"/>
        <v>0</v>
      </c>
      <c r="R120" s="760">
        <f t="shared" si="79"/>
        <v>40.770351057971467</v>
      </c>
      <c r="S120" s="1146">
        <f t="shared" si="80"/>
        <v>40.770351057971467</v>
      </c>
      <c r="T120" s="1148">
        <f t="shared" si="73"/>
        <v>-3.0346454232050237</v>
      </c>
      <c r="U120" s="1148">
        <f t="shared" si="73"/>
        <v>0</v>
      </c>
      <c r="V120" s="1148">
        <f t="shared" si="73"/>
        <v>0</v>
      </c>
      <c r="W120" s="760">
        <f t="shared" si="81"/>
        <v>37.735705634766447</v>
      </c>
    </row>
    <row r="121" spans="2:38" x14ac:dyDescent="0.35">
      <c r="B121" s="1133">
        <v>4</v>
      </c>
      <c r="C121" s="1134" t="s">
        <v>915</v>
      </c>
      <c r="D121" s="1142">
        <f t="shared" si="74"/>
        <v>0</v>
      </c>
      <c r="E121" s="1148">
        <f t="shared" si="70"/>
        <v>0</v>
      </c>
      <c r="F121" s="1148">
        <f t="shared" si="70"/>
        <v>0</v>
      </c>
      <c r="G121" s="1148">
        <f t="shared" si="70"/>
        <v>0</v>
      </c>
      <c r="H121" s="760">
        <f t="shared" si="75"/>
        <v>0</v>
      </c>
      <c r="I121" s="1146">
        <f t="shared" si="76"/>
        <v>0</v>
      </c>
      <c r="J121" s="1148">
        <f t="shared" si="71"/>
        <v>0</v>
      </c>
      <c r="K121" s="1148">
        <f t="shared" si="71"/>
        <v>0</v>
      </c>
      <c r="L121" s="1148">
        <f t="shared" si="71"/>
        <v>0</v>
      </c>
      <c r="M121" s="760">
        <f t="shared" si="77"/>
        <v>0</v>
      </c>
      <c r="N121" s="1146">
        <f t="shared" si="78"/>
        <v>0</v>
      </c>
      <c r="O121" s="1148">
        <f t="shared" si="72"/>
        <v>0</v>
      </c>
      <c r="P121" s="1148">
        <f t="shared" si="72"/>
        <v>0</v>
      </c>
      <c r="Q121" s="1148">
        <f t="shared" si="72"/>
        <v>0</v>
      </c>
      <c r="R121" s="760">
        <f t="shared" si="79"/>
        <v>0</v>
      </c>
      <c r="S121" s="1146">
        <f t="shared" si="80"/>
        <v>0</v>
      </c>
      <c r="T121" s="1148">
        <f t="shared" si="73"/>
        <v>0</v>
      </c>
      <c r="U121" s="1148">
        <f t="shared" si="73"/>
        <v>0</v>
      </c>
      <c r="V121" s="1148">
        <f t="shared" si="73"/>
        <v>0</v>
      </c>
      <c r="W121" s="760">
        <f t="shared" si="81"/>
        <v>0</v>
      </c>
    </row>
    <row r="122" spans="2:38" x14ac:dyDescent="0.35">
      <c r="B122" s="1133">
        <v>5</v>
      </c>
      <c r="C122" s="1134" t="s">
        <v>447</v>
      </c>
      <c r="D122" s="1142">
        <f t="shared" si="74"/>
        <v>5.087157350000001E-2</v>
      </c>
      <c r="E122" s="1148">
        <f t="shared" si="70"/>
        <v>-3.6222421856000001E-3</v>
      </c>
      <c r="F122" s="1148">
        <f t="shared" si="70"/>
        <v>0</v>
      </c>
      <c r="G122" s="1148">
        <f t="shared" si="70"/>
        <v>0</v>
      </c>
      <c r="H122" s="760">
        <f t="shared" si="75"/>
        <v>4.7249331314400012E-2</v>
      </c>
      <c r="I122" s="1146">
        <f t="shared" si="76"/>
        <v>4.7249331314400012E-2</v>
      </c>
      <c r="J122" s="1148">
        <f t="shared" si="71"/>
        <v>-2.7753674999999997E-3</v>
      </c>
      <c r="K122" s="1148">
        <f t="shared" si="71"/>
        <v>0</v>
      </c>
      <c r="L122" s="1148">
        <f t="shared" si="71"/>
        <v>0</v>
      </c>
      <c r="M122" s="760">
        <f t="shared" si="77"/>
        <v>4.4473963814400011E-2</v>
      </c>
      <c r="N122" s="1146">
        <f t="shared" si="78"/>
        <v>4.4473963814400011E-2</v>
      </c>
      <c r="O122" s="1148">
        <f t="shared" si="72"/>
        <v>4.0652924254910953E-3</v>
      </c>
      <c r="P122" s="1148">
        <f t="shared" si="72"/>
        <v>0</v>
      </c>
      <c r="Q122" s="1148">
        <f t="shared" si="72"/>
        <v>0</v>
      </c>
      <c r="R122" s="760">
        <f t="shared" si="79"/>
        <v>4.853925623989111E-2</v>
      </c>
      <c r="S122" s="1146">
        <f t="shared" si="80"/>
        <v>4.853925623989111E-2</v>
      </c>
      <c r="T122" s="1148">
        <f t="shared" si="73"/>
        <v>-4.4146543574999997E-3</v>
      </c>
      <c r="U122" s="1148">
        <f t="shared" si="73"/>
        <v>0</v>
      </c>
      <c r="V122" s="1148">
        <f t="shared" si="73"/>
        <v>0</v>
      </c>
      <c r="W122" s="760">
        <f t="shared" si="81"/>
        <v>4.4124601882391111E-2</v>
      </c>
    </row>
    <row r="123" spans="2:38" x14ac:dyDescent="0.35">
      <c r="B123" s="1133">
        <v>6</v>
      </c>
      <c r="C123" s="1134" t="s">
        <v>879</v>
      </c>
      <c r="D123" s="1142">
        <f t="shared" si="74"/>
        <v>4.1201217000000016E-3</v>
      </c>
      <c r="E123" s="1148">
        <f t="shared" si="70"/>
        <v>-5.077161E-4</v>
      </c>
      <c r="F123" s="1148">
        <f t="shared" si="70"/>
        <v>0</v>
      </c>
      <c r="G123" s="1148">
        <f t="shared" si="70"/>
        <v>0</v>
      </c>
      <c r="H123" s="760">
        <f t="shared" si="75"/>
        <v>3.6124056000000015E-3</v>
      </c>
      <c r="I123" s="1146">
        <f t="shared" si="76"/>
        <v>3.6124056000000015E-3</v>
      </c>
      <c r="J123" s="1148">
        <f t="shared" si="71"/>
        <v>-5.077161E-4</v>
      </c>
      <c r="K123" s="1148">
        <f t="shared" si="71"/>
        <v>0</v>
      </c>
      <c r="L123" s="1148">
        <f t="shared" si="71"/>
        <v>0</v>
      </c>
      <c r="M123" s="760">
        <f t="shared" si="77"/>
        <v>3.1046895000000014E-3</v>
      </c>
      <c r="N123" s="1146">
        <f t="shared" si="78"/>
        <v>3.1046895000000014E-3</v>
      </c>
      <c r="O123" s="1148">
        <f t="shared" si="72"/>
        <v>-5.077161E-4</v>
      </c>
      <c r="P123" s="1148">
        <f t="shared" si="72"/>
        <v>0</v>
      </c>
      <c r="Q123" s="1148">
        <f t="shared" si="72"/>
        <v>0</v>
      </c>
      <c r="R123" s="760">
        <f t="shared" si="79"/>
        <v>2.5969734000000013E-3</v>
      </c>
      <c r="S123" s="1146">
        <f t="shared" si="80"/>
        <v>2.5969734000000013E-3</v>
      </c>
      <c r="T123" s="1148">
        <f t="shared" si="73"/>
        <v>-5.6412900000000002E-4</v>
      </c>
      <c r="U123" s="1148">
        <f t="shared" si="73"/>
        <v>0</v>
      </c>
      <c r="V123" s="1148">
        <f t="shared" si="73"/>
        <v>0</v>
      </c>
      <c r="W123" s="760">
        <f t="shared" si="81"/>
        <v>2.0328444000000012E-3</v>
      </c>
    </row>
    <row r="124" spans="2:38" x14ac:dyDescent="0.4">
      <c r="B124" s="1133">
        <v>7</v>
      </c>
      <c r="C124" s="1135" t="s">
        <v>1269</v>
      </c>
      <c r="D124" s="1142">
        <f t="shared" si="74"/>
        <v>1.26490015E-2</v>
      </c>
      <c r="E124" s="1148">
        <f t="shared" si="70"/>
        <v>4.2995250000000054E-4</v>
      </c>
      <c r="F124" s="1148">
        <f t="shared" si="70"/>
        <v>0</v>
      </c>
      <c r="G124" s="1148">
        <f t="shared" si="70"/>
        <v>0</v>
      </c>
      <c r="H124" s="760">
        <f t="shared" si="75"/>
        <v>1.3078954E-2</v>
      </c>
      <c r="I124" s="1146">
        <f t="shared" si="76"/>
        <v>1.3078954E-2</v>
      </c>
      <c r="J124" s="1148">
        <f t="shared" si="71"/>
        <v>2.7226157999999997E-2</v>
      </c>
      <c r="K124" s="1148">
        <f t="shared" si="71"/>
        <v>0</v>
      </c>
      <c r="L124" s="1148">
        <f t="shared" si="71"/>
        <v>0</v>
      </c>
      <c r="M124" s="760">
        <f t="shared" si="77"/>
        <v>4.0305111999999997E-2</v>
      </c>
      <c r="N124" s="1146">
        <f t="shared" si="78"/>
        <v>4.0305111999999997E-2</v>
      </c>
      <c r="O124" s="1148">
        <f t="shared" si="72"/>
        <v>-5.6455511437267106E-3</v>
      </c>
      <c r="P124" s="1148">
        <f t="shared" si="72"/>
        <v>0</v>
      </c>
      <c r="Q124" s="1148">
        <f t="shared" si="72"/>
        <v>0</v>
      </c>
      <c r="R124" s="760">
        <f t="shared" si="79"/>
        <v>3.4659560856273287E-2</v>
      </c>
      <c r="S124" s="1146">
        <f t="shared" si="80"/>
        <v>3.4659560856273287E-2</v>
      </c>
      <c r="T124" s="1148">
        <f t="shared" si="73"/>
        <v>-1.0785461849999999E-2</v>
      </c>
      <c r="U124" s="1148">
        <f t="shared" si="73"/>
        <v>0</v>
      </c>
      <c r="V124" s="1148">
        <f t="shared" si="73"/>
        <v>0</v>
      </c>
      <c r="W124" s="760">
        <f t="shared" si="81"/>
        <v>2.387409900627329E-2</v>
      </c>
    </row>
    <row r="125" spans="2:38" x14ac:dyDescent="0.4">
      <c r="B125" s="1133">
        <v>8</v>
      </c>
      <c r="C125" s="1135" t="s">
        <v>1270</v>
      </c>
      <c r="D125" s="1142">
        <f t="shared" si="74"/>
        <v>0</v>
      </c>
      <c r="E125" s="1148">
        <f t="shared" si="70"/>
        <v>0</v>
      </c>
      <c r="F125" s="1148">
        <f t="shared" si="70"/>
        <v>0</v>
      </c>
      <c r="G125" s="1148">
        <f t="shared" si="70"/>
        <v>0</v>
      </c>
      <c r="H125" s="760">
        <f t="shared" si="75"/>
        <v>0</v>
      </c>
      <c r="I125" s="1146">
        <f t="shared" si="76"/>
        <v>0</v>
      </c>
      <c r="J125" s="1148">
        <f t="shared" si="71"/>
        <v>0</v>
      </c>
      <c r="K125" s="1148">
        <f t="shared" si="71"/>
        <v>0</v>
      </c>
      <c r="L125" s="1148">
        <f t="shared" si="71"/>
        <v>0</v>
      </c>
      <c r="M125" s="760">
        <f t="shared" si="77"/>
        <v>0</v>
      </c>
      <c r="N125" s="1146">
        <f t="shared" si="78"/>
        <v>0</v>
      </c>
      <c r="O125" s="1148">
        <f t="shared" si="72"/>
        <v>0</v>
      </c>
      <c r="P125" s="1148">
        <f t="shared" si="72"/>
        <v>0</v>
      </c>
      <c r="Q125" s="1148">
        <f t="shared" si="72"/>
        <v>0</v>
      </c>
      <c r="R125" s="760">
        <f t="shared" si="79"/>
        <v>0</v>
      </c>
      <c r="S125" s="1146">
        <f t="shared" si="80"/>
        <v>0</v>
      </c>
      <c r="T125" s="1148">
        <f t="shared" si="73"/>
        <v>0</v>
      </c>
      <c r="U125" s="1148">
        <f t="shared" si="73"/>
        <v>0</v>
      </c>
      <c r="V125" s="1148">
        <f t="shared" si="73"/>
        <v>0</v>
      </c>
      <c r="W125" s="760">
        <f t="shared" si="81"/>
        <v>0</v>
      </c>
    </row>
    <row r="126" spans="2:38" ht="14.65" x14ac:dyDescent="0.4">
      <c r="B126" s="1136"/>
      <c r="C126" s="1137" t="s">
        <v>164</v>
      </c>
      <c r="D126" s="1140">
        <f t="shared" ref="D126:W126" si="82">SUM(D118:D125)</f>
        <v>59.476372657093961</v>
      </c>
      <c r="E126" s="1147">
        <f t="shared" si="82"/>
        <v>-3.1431567427288249</v>
      </c>
      <c r="F126" s="1147">
        <f t="shared" si="82"/>
        <v>0</v>
      </c>
      <c r="G126" s="1147">
        <f t="shared" si="82"/>
        <v>0</v>
      </c>
      <c r="H126" s="1147">
        <f t="shared" si="82"/>
        <v>56.333215914365134</v>
      </c>
      <c r="I126" s="1147">
        <f t="shared" si="82"/>
        <v>56.333215914365134</v>
      </c>
      <c r="J126" s="1147">
        <f t="shared" si="82"/>
        <v>-3.0274391634791566</v>
      </c>
      <c r="K126" s="1147">
        <f t="shared" si="82"/>
        <v>0</v>
      </c>
      <c r="L126" s="1147">
        <f t="shared" si="82"/>
        <v>0</v>
      </c>
      <c r="M126" s="1147">
        <f t="shared" si="82"/>
        <v>53.305776750885975</v>
      </c>
      <c r="N126" s="1147">
        <f t="shared" si="82"/>
        <v>53.305776750885975</v>
      </c>
      <c r="O126" s="1147">
        <f t="shared" si="82"/>
        <v>-3.1459149158245006</v>
      </c>
      <c r="P126" s="1147">
        <f t="shared" si="82"/>
        <v>0</v>
      </c>
      <c r="Q126" s="1147">
        <f t="shared" si="82"/>
        <v>0</v>
      </c>
      <c r="R126" s="1147">
        <f t="shared" si="82"/>
        <v>50.159861835061484</v>
      </c>
      <c r="S126" s="1147">
        <f t="shared" si="82"/>
        <v>50.159861835061484</v>
      </c>
      <c r="T126" s="1147">
        <f t="shared" si="82"/>
        <v>-3.436594496412523</v>
      </c>
      <c r="U126" s="1147">
        <f t="shared" si="82"/>
        <v>0</v>
      </c>
      <c r="V126" s="1147">
        <f t="shared" si="82"/>
        <v>0</v>
      </c>
      <c r="W126" s="1147">
        <f t="shared" si="82"/>
        <v>46.723267338648959</v>
      </c>
    </row>
    <row r="127" spans="2:38" ht="15.4" x14ac:dyDescent="0.35">
      <c r="B127" s="125"/>
      <c r="C127" s="83"/>
      <c r="D127" s="83"/>
      <c r="E127" s="83"/>
      <c r="F127" s="83"/>
      <c r="G127" s="83"/>
      <c r="H127" s="83"/>
      <c r="I127" s="125"/>
      <c r="J127" s="125"/>
      <c r="K127" s="125"/>
      <c r="L127" s="125"/>
      <c r="M127" s="125"/>
      <c r="N127" s="125"/>
      <c r="O127" s="125"/>
      <c r="P127" s="125"/>
      <c r="Q127" s="125"/>
      <c r="R127" s="125"/>
      <c r="S127" s="125"/>
      <c r="T127" s="125"/>
      <c r="U127" s="125"/>
      <c r="V127" s="125"/>
      <c r="W127" s="160" t="s">
        <v>110</v>
      </c>
      <c r="X127" s="125"/>
      <c r="Y127" s="125"/>
      <c r="Z127" s="125"/>
      <c r="AA127" s="125"/>
      <c r="AB127" s="125"/>
      <c r="AC127" s="125"/>
      <c r="AD127" s="125"/>
      <c r="AE127" s="125"/>
      <c r="AF127" s="125"/>
      <c r="AG127" s="125"/>
      <c r="AH127" s="125"/>
      <c r="AI127" s="125"/>
      <c r="AJ127" s="125"/>
      <c r="AK127" s="125"/>
      <c r="AL127" s="125"/>
    </row>
    <row r="128" spans="2:38" x14ac:dyDescent="0.35">
      <c r="B128" s="1947" t="s">
        <v>1</v>
      </c>
      <c r="C128" s="1947" t="s">
        <v>111</v>
      </c>
      <c r="D128" s="2052" t="s">
        <v>124</v>
      </c>
      <c r="E128" s="2052"/>
      <c r="F128" s="2052"/>
      <c r="G128" s="2052"/>
      <c r="H128" s="2052"/>
      <c r="I128" s="2052" t="s">
        <v>125</v>
      </c>
      <c r="J128" s="2052"/>
      <c r="K128" s="2052"/>
      <c r="L128" s="2052"/>
      <c r="M128" s="2052"/>
      <c r="N128" s="2052" t="s">
        <v>126</v>
      </c>
      <c r="O128" s="2052"/>
      <c r="P128" s="2052"/>
      <c r="Q128" s="2052"/>
      <c r="R128" s="2052"/>
      <c r="S128" s="2052" t="s">
        <v>127</v>
      </c>
      <c r="T128" s="2052"/>
      <c r="U128" s="2052"/>
      <c r="V128" s="2052"/>
      <c r="W128" s="2052"/>
    </row>
    <row r="129" spans="2:23" x14ac:dyDescent="0.35">
      <c r="B129" s="1947"/>
      <c r="C129" s="1947"/>
      <c r="D129" s="2052" t="s">
        <v>135</v>
      </c>
      <c r="E129" s="2055"/>
      <c r="F129" s="2055"/>
      <c r="G129" s="2055"/>
      <c r="H129" s="2055"/>
      <c r="I129" s="2052" t="s">
        <v>135</v>
      </c>
      <c r="J129" s="2055"/>
      <c r="K129" s="2055"/>
      <c r="L129" s="2055"/>
      <c r="M129" s="2055"/>
      <c r="N129" s="2052" t="s">
        <v>135</v>
      </c>
      <c r="O129" s="2055"/>
      <c r="P129" s="2055"/>
      <c r="Q129" s="2055"/>
      <c r="R129" s="2055"/>
      <c r="S129" s="2052" t="s">
        <v>135</v>
      </c>
      <c r="T129" s="2055"/>
      <c r="U129" s="2055"/>
      <c r="V129" s="2055"/>
      <c r="W129" s="2055"/>
    </row>
    <row r="130" spans="2:23" ht="27" x14ac:dyDescent="0.35">
      <c r="B130" s="1947"/>
      <c r="C130" s="1947"/>
      <c r="D130" s="250" t="s">
        <v>523</v>
      </c>
      <c r="E130" s="250" t="s">
        <v>524</v>
      </c>
      <c r="F130" s="251" t="s">
        <v>538</v>
      </c>
      <c r="G130" s="106" t="s">
        <v>543</v>
      </c>
      <c r="H130" s="250" t="s">
        <v>526</v>
      </c>
      <c r="I130" s="250" t="s">
        <v>523</v>
      </c>
      <c r="J130" s="250" t="s">
        <v>524</v>
      </c>
      <c r="K130" s="251" t="s">
        <v>538</v>
      </c>
      <c r="L130" s="106" t="s">
        <v>543</v>
      </c>
      <c r="M130" s="250" t="s">
        <v>526</v>
      </c>
      <c r="N130" s="250" t="s">
        <v>523</v>
      </c>
      <c r="O130" s="250" t="s">
        <v>524</v>
      </c>
      <c r="P130" s="251" t="s">
        <v>538</v>
      </c>
      <c r="Q130" s="106" t="s">
        <v>543</v>
      </c>
      <c r="R130" s="250" t="s">
        <v>526</v>
      </c>
      <c r="S130" s="250" t="s">
        <v>523</v>
      </c>
      <c r="T130" s="250" t="s">
        <v>524</v>
      </c>
      <c r="U130" s="251" t="s">
        <v>538</v>
      </c>
      <c r="V130" s="106" t="s">
        <v>543</v>
      </c>
      <c r="W130" s="250" t="s">
        <v>526</v>
      </c>
    </row>
    <row r="131" spans="2:23" x14ac:dyDescent="0.35">
      <c r="B131" s="217"/>
      <c r="C131" s="217"/>
      <c r="D131" s="217" t="s">
        <v>128</v>
      </c>
      <c r="E131" s="217" t="s">
        <v>129</v>
      </c>
      <c r="F131" s="217" t="s">
        <v>527</v>
      </c>
      <c r="G131" s="217" t="s">
        <v>130</v>
      </c>
      <c r="H131" s="217" t="s">
        <v>544</v>
      </c>
      <c r="I131" s="217" t="s">
        <v>331</v>
      </c>
      <c r="J131" s="217" t="s">
        <v>132</v>
      </c>
      <c r="K131" s="217" t="s">
        <v>133</v>
      </c>
      <c r="L131" s="217" t="s">
        <v>332</v>
      </c>
      <c r="M131" s="217" t="s">
        <v>545</v>
      </c>
      <c r="N131" s="217" t="s">
        <v>528</v>
      </c>
      <c r="O131" s="217" t="s">
        <v>529</v>
      </c>
      <c r="P131" s="217" t="s">
        <v>334</v>
      </c>
      <c r="Q131" s="217" t="s">
        <v>530</v>
      </c>
      <c r="R131" s="217" t="s">
        <v>546</v>
      </c>
      <c r="S131" s="217" t="s">
        <v>532</v>
      </c>
      <c r="T131" s="217" t="s">
        <v>533</v>
      </c>
      <c r="U131" s="217" t="s">
        <v>534</v>
      </c>
      <c r="V131" s="217" t="s">
        <v>535</v>
      </c>
      <c r="W131" s="217" t="s">
        <v>547</v>
      </c>
    </row>
    <row r="132" spans="2:23" x14ac:dyDescent="0.35">
      <c r="B132" s="1133">
        <v>1</v>
      </c>
      <c r="C132" s="1134" t="s">
        <v>1410</v>
      </c>
      <c r="D132" s="1142">
        <f>+W118</f>
        <v>2.8081000000000003E-6</v>
      </c>
      <c r="E132" s="1148">
        <f t="shared" ref="E132:G139" si="83">+E44-E88</f>
        <v>-1.1689999999999999E-7</v>
      </c>
      <c r="F132" s="1148">
        <f t="shared" si="83"/>
        <v>0</v>
      </c>
      <c r="G132" s="1148">
        <f t="shared" si="83"/>
        <v>0</v>
      </c>
      <c r="H132" s="760">
        <f>+D132+E132-F132-G132</f>
        <v>2.6912000000000002E-6</v>
      </c>
      <c r="I132" s="1146">
        <f>+H132</f>
        <v>2.6912000000000002E-6</v>
      </c>
      <c r="J132" s="1148">
        <f t="shared" ref="J132:L139" si="84">+J44-J88</f>
        <v>-1.1689999999999999E-7</v>
      </c>
      <c r="K132" s="1148">
        <f t="shared" si="84"/>
        <v>0</v>
      </c>
      <c r="L132" s="1148">
        <f t="shared" si="84"/>
        <v>0</v>
      </c>
      <c r="M132" s="760">
        <f>+I132+J132-K132-L132</f>
        <v>2.5743000000000001E-6</v>
      </c>
      <c r="N132" s="1146">
        <f>+M132</f>
        <v>2.5743000000000001E-6</v>
      </c>
      <c r="O132" s="1148">
        <f t="shared" ref="O132:Q139" si="85">+O44-O88</f>
        <v>-1.1689999999999999E-7</v>
      </c>
      <c r="P132" s="1148">
        <f t="shared" si="85"/>
        <v>0</v>
      </c>
      <c r="Q132" s="1148">
        <f t="shared" si="85"/>
        <v>0</v>
      </c>
      <c r="R132" s="760">
        <f>+N132+O132-P132-Q132</f>
        <v>2.4574E-6</v>
      </c>
      <c r="S132" s="1146">
        <f>+R132</f>
        <v>2.4574E-6</v>
      </c>
      <c r="T132" s="1148">
        <f t="shared" ref="T132:V139" si="86">+T44-T88</f>
        <v>-1.1689999999999999E-7</v>
      </c>
      <c r="U132" s="1148">
        <f t="shared" si="86"/>
        <v>0</v>
      </c>
      <c r="V132" s="1148">
        <f t="shared" si="86"/>
        <v>0</v>
      </c>
      <c r="W132" s="760">
        <f>+S132+T132-U132-V132</f>
        <v>2.3404999999999999E-6</v>
      </c>
    </row>
    <row r="133" spans="2:23" x14ac:dyDescent="0.35">
      <c r="B133" s="1133">
        <v>2</v>
      </c>
      <c r="C133" s="1134" t="s">
        <v>1409</v>
      </c>
      <c r="D133" s="1142">
        <f t="shared" ref="D133:D139" si="87">+W119</f>
        <v>8.917527350493847</v>
      </c>
      <c r="E133" s="1148">
        <f t="shared" si="83"/>
        <v>-0.38618471109999997</v>
      </c>
      <c r="F133" s="1148">
        <f t="shared" si="83"/>
        <v>0</v>
      </c>
      <c r="G133" s="1148">
        <f t="shared" si="83"/>
        <v>0</v>
      </c>
      <c r="H133" s="760">
        <f t="shared" ref="H133:H139" si="88">+D133+E133-F133-G133</f>
        <v>8.5313426393938467</v>
      </c>
      <c r="I133" s="1146">
        <f t="shared" ref="I133:I139" si="89">+H133</f>
        <v>8.5313426393938467</v>
      </c>
      <c r="J133" s="1148">
        <f t="shared" si="84"/>
        <v>-0.38618471109999997</v>
      </c>
      <c r="K133" s="1148">
        <f t="shared" si="84"/>
        <v>0</v>
      </c>
      <c r="L133" s="1148">
        <f t="shared" si="84"/>
        <v>0</v>
      </c>
      <c r="M133" s="760">
        <f t="shared" ref="M133:M139" si="90">+I133+J133-K133-L133</f>
        <v>8.1451579282938464</v>
      </c>
      <c r="N133" s="1146">
        <f t="shared" ref="N133:N139" si="91">+M133</f>
        <v>8.1451579282938464</v>
      </c>
      <c r="O133" s="1148">
        <f t="shared" si="85"/>
        <v>-0.38618471109999997</v>
      </c>
      <c r="P133" s="1148">
        <f t="shared" si="85"/>
        <v>0</v>
      </c>
      <c r="Q133" s="1148">
        <f t="shared" si="85"/>
        <v>0</v>
      </c>
      <c r="R133" s="760">
        <f t="shared" ref="R133:R139" si="92">+N133+O133-P133-Q133</f>
        <v>7.7589732171938461</v>
      </c>
      <c r="S133" s="1146">
        <f t="shared" ref="S133:S139" si="93">+R133</f>
        <v>7.7589732171938461</v>
      </c>
      <c r="T133" s="1148">
        <f t="shared" si="86"/>
        <v>-0.38618471109999997</v>
      </c>
      <c r="U133" s="1148">
        <f t="shared" si="86"/>
        <v>0</v>
      </c>
      <c r="V133" s="1148">
        <f t="shared" si="86"/>
        <v>0</v>
      </c>
      <c r="W133" s="760">
        <f t="shared" ref="W133:W139" si="94">+S133+T133-U133-V133</f>
        <v>7.3727885060938458</v>
      </c>
    </row>
    <row r="134" spans="2:23" x14ac:dyDescent="0.35">
      <c r="B134" s="1133">
        <v>3</v>
      </c>
      <c r="C134" s="1134" t="s">
        <v>440</v>
      </c>
      <c r="D134" s="1142">
        <f t="shared" si="87"/>
        <v>37.735705634766447</v>
      </c>
      <c r="E134" s="1148">
        <f t="shared" si="83"/>
        <v>-3.0346454232050237</v>
      </c>
      <c r="F134" s="1148">
        <f t="shared" si="83"/>
        <v>0</v>
      </c>
      <c r="G134" s="1148">
        <f t="shared" si="83"/>
        <v>0</v>
      </c>
      <c r="H134" s="760">
        <f t="shared" si="88"/>
        <v>34.701060211561426</v>
      </c>
      <c r="I134" s="1146">
        <f t="shared" si="89"/>
        <v>34.701060211561426</v>
      </c>
      <c r="J134" s="1148">
        <f t="shared" si="84"/>
        <v>-3.0346454232050237</v>
      </c>
      <c r="K134" s="1148">
        <f t="shared" si="84"/>
        <v>0</v>
      </c>
      <c r="L134" s="1148">
        <f t="shared" si="84"/>
        <v>0</v>
      </c>
      <c r="M134" s="760">
        <f t="shared" si="90"/>
        <v>31.666414788356402</v>
      </c>
      <c r="N134" s="1146">
        <f t="shared" si="91"/>
        <v>31.666414788356402</v>
      </c>
      <c r="O134" s="1148">
        <f t="shared" si="85"/>
        <v>-3.0346454232050237</v>
      </c>
      <c r="P134" s="1148">
        <f t="shared" si="85"/>
        <v>0</v>
      </c>
      <c r="Q134" s="1148">
        <f t="shared" si="85"/>
        <v>0</v>
      </c>
      <c r="R134" s="760">
        <f t="shared" si="92"/>
        <v>28.631769365151378</v>
      </c>
      <c r="S134" s="1146">
        <f t="shared" si="93"/>
        <v>28.631769365151378</v>
      </c>
      <c r="T134" s="1148">
        <f t="shared" si="86"/>
        <v>-3.0346454232050237</v>
      </c>
      <c r="U134" s="1148">
        <f t="shared" si="86"/>
        <v>0</v>
      </c>
      <c r="V134" s="1148">
        <f t="shared" si="86"/>
        <v>0</v>
      </c>
      <c r="W134" s="760">
        <f t="shared" si="94"/>
        <v>25.597123941946354</v>
      </c>
    </row>
    <row r="135" spans="2:23" x14ac:dyDescent="0.35">
      <c r="B135" s="1133">
        <v>4</v>
      </c>
      <c r="C135" s="1134" t="s">
        <v>915</v>
      </c>
      <c r="D135" s="1142">
        <f t="shared" si="87"/>
        <v>0</v>
      </c>
      <c r="E135" s="1148">
        <f t="shared" si="83"/>
        <v>0</v>
      </c>
      <c r="F135" s="1148">
        <f t="shared" si="83"/>
        <v>0</v>
      </c>
      <c r="G135" s="1148">
        <f t="shared" si="83"/>
        <v>0</v>
      </c>
      <c r="H135" s="760">
        <f t="shared" si="88"/>
        <v>0</v>
      </c>
      <c r="I135" s="1146">
        <f t="shared" si="89"/>
        <v>0</v>
      </c>
      <c r="J135" s="1148">
        <f t="shared" si="84"/>
        <v>0</v>
      </c>
      <c r="K135" s="1148">
        <f t="shared" si="84"/>
        <v>0</v>
      </c>
      <c r="L135" s="1148">
        <f t="shared" si="84"/>
        <v>0</v>
      </c>
      <c r="M135" s="760">
        <f t="shared" si="90"/>
        <v>0</v>
      </c>
      <c r="N135" s="1146">
        <f t="shared" si="91"/>
        <v>0</v>
      </c>
      <c r="O135" s="1148">
        <f t="shared" si="85"/>
        <v>0</v>
      </c>
      <c r="P135" s="1148">
        <f t="shared" si="85"/>
        <v>0</v>
      </c>
      <c r="Q135" s="1148">
        <f t="shared" si="85"/>
        <v>0</v>
      </c>
      <c r="R135" s="760">
        <f t="shared" si="92"/>
        <v>0</v>
      </c>
      <c r="S135" s="1146">
        <f t="shared" si="93"/>
        <v>0</v>
      </c>
      <c r="T135" s="1148">
        <f t="shared" si="86"/>
        <v>0</v>
      </c>
      <c r="U135" s="1148">
        <f t="shared" si="86"/>
        <v>0</v>
      </c>
      <c r="V135" s="1148">
        <f t="shared" si="86"/>
        <v>0</v>
      </c>
      <c r="W135" s="760">
        <f t="shared" si="94"/>
        <v>0</v>
      </c>
    </row>
    <row r="136" spans="2:23" x14ac:dyDescent="0.35">
      <c r="B136" s="1133">
        <v>5</v>
      </c>
      <c r="C136" s="1134" t="s">
        <v>447</v>
      </c>
      <c r="D136" s="1142">
        <f t="shared" si="87"/>
        <v>4.4124601882391111E-2</v>
      </c>
      <c r="E136" s="1148">
        <f t="shared" si="83"/>
        <v>-4.4146543574999997E-3</v>
      </c>
      <c r="F136" s="1148">
        <f t="shared" si="83"/>
        <v>0</v>
      </c>
      <c r="G136" s="1148">
        <f t="shared" si="83"/>
        <v>0</v>
      </c>
      <c r="H136" s="760">
        <f t="shared" si="88"/>
        <v>3.9709947524891112E-2</v>
      </c>
      <c r="I136" s="1146">
        <f t="shared" si="89"/>
        <v>3.9709947524891112E-2</v>
      </c>
      <c r="J136" s="1148">
        <f t="shared" si="84"/>
        <v>-4.4146543574999997E-3</v>
      </c>
      <c r="K136" s="1148">
        <f t="shared" si="84"/>
        <v>0</v>
      </c>
      <c r="L136" s="1148">
        <f t="shared" si="84"/>
        <v>0</v>
      </c>
      <c r="M136" s="760">
        <f t="shared" si="90"/>
        <v>3.5295293167391113E-2</v>
      </c>
      <c r="N136" s="1146">
        <f t="shared" si="91"/>
        <v>3.5295293167391113E-2</v>
      </c>
      <c r="O136" s="1148">
        <f t="shared" si="85"/>
        <v>-4.4146543574999997E-3</v>
      </c>
      <c r="P136" s="1148">
        <f t="shared" si="85"/>
        <v>0</v>
      </c>
      <c r="Q136" s="1148">
        <f t="shared" si="85"/>
        <v>0</v>
      </c>
      <c r="R136" s="760">
        <f t="shared" si="92"/>
        <v>3.0880638809891114E-2</v>
      </c>
      <c r="S136" s="1146">
        <f t="shared" si="93"/>
        <v>3.0880638809891114E-2</v>
      </c>
      <c r="T136" s="1148">
        <f t="shared" si="86"/>
        <v>-4.4146543574999997E-3</v>
      </c>
      <c r="U136" s="1148">
        <f t="shared" si="86"/>
        <v>0</v>
      </c>
      <c r="V136" s="1148">
        <f t="shared" si="86"/>
        <v>0</v>
      </c>
      <c r="W136" s="760">
        <f t="shared" si="94"/>
        <v>2.6465984452391116E-2</v>
      </c>
    </row>
    <row r="137" spans="2:23" x14ac:dyDescent="0.35">
      <c r="B137" s="1133">
        <v>6</v>
      </c>
      <c r="C137" s="1134" t="s">
        <v>879</v>
      </c>
      <c r="D137" s="1142">
        <f t="shared" si="87"/>
        <v>2.0328444000000012E-3</v>
      </c>
      <c r="E137" s="1148">
        <f t="shared" si="83"/>
        <v>-5.6412900000000002E-4</v>
      </c>
      <c r="F137" s="1148">
        <f t="shared" si="83"/>
        <v>0</v>
      </c>
      <c r="G137" s="1148">
        <f t="shared" si="83"/>
        <v>0</v>
      </c>
      <c r="H137" s="760">
        <f t="shared" si="88"/>
        <v>1.4687154000000012E-3</v>
      </c>
      <c r="I137" s="1146">
        <f t="shared" si="89"/>
        <v>1.4687154000000012E-3</v>
      </c>
      <c r="J137" s="1148">
        <f t="shared" si="84"/>
        <v>-5.6412900000000002E-4</v>
      </c>
      <c r="K137" s="1148">
        <f t="shared" si="84"/>
        <v>0</v>
      </c>
      <c r="L137" s="1148">
        <f t="shared" si="84"/>
        <v>0</v>
      </c>
      <c r="M137" s="760">
        <f t="shared" si="90"/>
        <v>9.045864000000012E-4</v>
      </c>
      <c r="N137" s="1146">
        <f t="shared" si="91"/>
        <v>9.045864000000012E-4</v>
      </c>
      <c r="O137" s="1148">
        <f t="shared" si="85"/>
        <v>-3.1076639999999978E-4</v>
      </c>
      <c r="P137" s="1148">
        <f t="shared" si="85"/>
        <v>0</v>
      </c>
      <c r="Q137" s="1148">
        <f t="shared" si="85"/>
        <v>0</v>
      </c>
      <c r="R137" s="760">
        <f t="shared" si="92"/>
        <v>5.9382000000000141E-4</v>
      </c>
      <c r="S137" s="1146">
        <f t="shared" si="93"/>
        <v>5.9382000000000141E-4</v>
      </c>
      <c r="T137" s="1148">
        <f t="shared" si="86"/>
        <v>0</v>
      </c>
      <c r="U137" s="1148">
        <f t="shared" si="86"/>
        <v>0</v>
      </c>
      <c r="V137" s="1148">
        <f t="shared" si="86"/>
        <v>0</v>
      </c>
      <c r="W137" s="760">
        <f t="shared" si="94"/>
        <v>5.9382000000000141E-4</v>
      </c>
    </row>
    <row r="138" spans="2:23" x14ac:dyDescent="0.4">
      <c r="B138" s="1133">
        <v>7</v>
      </c>
      <c r="C138" s="1135" t="s">
        <v>1269</v>
      </c>
      <c r="D138" s="1142">
        <f t="shared" si="87"/>
        <v>2.387409900627329E-2</v>
      </c>
      <c r="E138" s="1148">
        <f t="shared" si="83"/>
        <v>-1.0785461849999999E-2</v>
      </c>
      <c r="F138" s="1148">
        <f t="shared" si="83"/>
        <v>0</v>
      </c>
      <c r="G138" s="1148">
        <f t="shared" si="83"/>
        <v>0</v>
      </c>
      <c r="H138" s="760">
        <f t="shared" si="88"/>
        <v>1.3088637156273291E-2</v>
      </c>
      <c r="I138" s="1146">
        <f t="shared" si="89"/>
        <v>1.3088637156273291E-2</v>
      </c>
      <c r="J138" s="1148">
        <f t="shared" si="84"/>
        <v>-5.898329256273295E-3</v>
      </c>
      <c r="K138" s="1148">
        <f t="shared" si="84"/>
        <v>0</v>
      </c>
      <c r="L138" s="1148">
        <f t="shared" si="84"/>
        <v>0</v>
      </c>
      <c r="M138" s="760">
        <f t="shared" si="90"/>
        <v>7.1903078999999964E-3</v>
      </c>
      <c r="N138" s="1146">
        <f t="shared" si="91"/>
        <v>7.1903078999999964E-3</v>
      </c>
      <c r="O138" s="1148">
        <f t="shared" si="85"/>
        <v>0</v>
      </c>
      <c r="P138" s="1148">
        <f t="shared" si="85"/>
        <v>0</v>
      </c>
      <c r="Q138" s="1148">
        <f t="shared" si="85"/>
        <v>0</v>
      </c>
      <c r="R138" s="760">
        <f t="shared" si="92"/>
        <v>7.1903078999999964E-3</v>
      </c>
      <c r="S138" s="1146">
        <f t="shared" si="93"/>
        <v>7.1903078999999964E-3</v>
      </c>
      <c r="T138" s="1148">
        <f t="shared" si="86"/>
        <v>0</v>
      </c>
      <c r="U138" s="1148">
        <f t="shared" si="86"/>
        <v>0</v>
      </c>
      <c r="V138" s="1148">
        <f t="shared" si="86"/>
        <v>0</v>
      </c>
      <c r="W138" s="760">
        <f t="shared" si="94"/>
        <v>7.1903078999999964E-3</v>
      </c>
    </row>
    <row r="139" spans="2:23" x14ac:dyDescent="0.4">
      <c r="B139" s="1133">
        <v>8</v>
      </c>
      <c r="C139" s="1135" t="s">
        <v>1270</v>
      </c>
      <c r="D139" s="1142">
        <f t="shared" si="87"/>
        <v>0</v>
      </c>
      <c r="E139" s="1148">
        <f t="shared" si="83"/>
        <v>0</v>
      </c>
      <c r="F139" s="1148">
        <f t="shared" si="83"/>
        <v>0</v>
      </c>
      <c r="G139" s="1148">
        <f t="shared" si="83"/>
        <v>0</v>
      </c>
      <c r="H139" s="760">
        <f t="shared" si="88"/>
        <v>0</v>
      </c>
      <c r="I139" s="1146">
        <f t="shared" si="89"/>
        <v>0</v>
      </c>
      <c r="J139" s="1148">
        <f t="shared" si="84"/>
        <v>0</v>
      </c>
      <c r="K139" s="1148">
        <f t="shared" si="84"/>
        <v>0</v>
      </c>
      <c r="L139" s="1148">
        <f t="shared" si="84"/>
        <v>0</v>
      </c>
      <c r="M139" s="760">
        <f t="shared" si="90"/>
        <v>0</v>
      </c>
      <c r="N139" s="1146">
        <f t="shared" si="91"/>
        <v>0</v>
      </c>
      <c r="O139" s="1148">
        <f t="shared" si="85"/>
        <v>0</v>
      </c>
      <c r="P139" s="1148">
        <f t="shared" si="85"/>
        <v>0</v>
      </c>
      <c r="Q139" s="1148">
        <f t="shared" si="85"/>
        <v>0</v>
      </c>
      <c r="R139" s="760">
        <f t="shared" si="92"/>
        <v>0</v>
      </c>
      <c r="S139" s="1146">
        <f t="shared" si="93"/>
        <v>0</v>
      </c>
      <c r="T139" s="1148">
        <f t="shared" si="86"/>
        <v>0</v>
      </c>
      <c r="U139" s="1148">
        <f t="shared" si="86"/>
        <v>0</v>
      </c>
      <c r="V139" s="1148">
        <f t="shared" si="86"/>
        <v>0</v>
      </c>
      <c r="W139" s="760">
        <f t="shared" si="94"/>
        <v>0</v>
      </c>
    </row>
    <row r="140" spans="2:23" ht="14.65" x14ac:dyDescent="0.4">
      <c r="B140" s="1136"/>
      <c r="C140" s="1137" t="s">
        <v>164</v>
      </c>
      <c r="D140" s="1140">
        <f t="shared" ref="D140:W140" si="95">SUM(D132:D139)</f>
        <v>46.723267338648959</v>
      </c>
      <c r="E140" s="1147">
        <f t="shared" si="95"/>
        <v>-3.436594496412523</v>
      </c>
      <c r="F140" s="1147">
        <f t="shared" si="95"/>
        <v>0</v>
      </c>
      <c r="G140" s="1147">
        <f t="shared" si="95"/>
        <v>0</v>
      </c>
      <c r="H140" s="1147">
        <f t="shared" si="95"/>
        <v>43.286672842236442</v>
      </c>
      <c r="I140" s="1147">
        <f t="shared" si="95"/>
        <v>43.286672842236442</v>
      </c>
      <c r="J140" s="1147">
        <f t="shared" si="95"/>
        <v>-3.4317073638187963</v>
      </c>
      <c r="K140" s="1147">
        <f t="shared" si="95"/>
        <v>0</v>
      </c>
      <c r="L140" s="1147">
        <f t="shared" si="95"/>
        <v>0</v>
      </c>
      <c r="M140" s="1147">
        <f t="shared" si="95"/>
        <v>39.854965478417633</v>
      </c>
      <c r="N140" s="1147">
        <f t="shared" si="95"/>
        <v>39.854965478417633</v>
      </c>
      <c r="O140" s="1147">
        <f t="shared" si="95"/>
        <v>-3.4255556719625235</v>
      </c>
      <c r="P140" s="1147">
        <f t="shared" si="95"/>
        <v>0</v>
      </c>
      <c r="Q140" s="1147">
        <f t="shared" si="95"/>
        <v>0</v>
      </c>
      <c r="R140" s="1147">
        <f t="shared" si="95"/>
        <v>36.429409806455112</v>
      </c>
      <c r="S140" s="1147">
        <f t="shared" si="95"/>
        <v>36.429409806455112</v>
      </c>
      <c r="T140" s="1147">
        <f t="shared" si="95"/>
        <v>-3.4252449055625234</v>
      </c>
      <c r="U140" s="1147">
        <f t="shared" si="95"/>
        <v>0</v>
      </c>
      <c r="V140" s="1147">
        <f t="shared" si="95"/>
        <v>0</v>
      </c>
      <c r="W140" s="1147">
        <f t="shared" si="95"/>
        <v>33.00416490089259</v>
      </c>
    </row>
  </sheetData>
  <mergeCells count="93">
    <mergeCell ref="S100:W100"/>
    <mergeCell ref="D101:H101"/>
    <mergeCell ref="I101:M101"/>
    <mergeCell ref="N101:R101"/>
    <mergeCell ref="S101:W101"/>
    <mergeCell ref="B100:B102"/>
    <mergeCell ref="C100:C102"/>
    <mergeCell ref="D100:H100"/>
    <mergeCell ref="I100:M100"/>
    <mergeCell ref="N100:R100"/>
    <mergeCell ref="S56:W56"/>
    <mergeCell ref="D57:H57"/>
    <mergeCell ref="I57:M57"/>
    <mergeCell ref="N57:R57"/>
    <mergeCell ref="S57:W57"/>
    <mergeCell ref="B56:B58"/>
    <mergeCell ref="C56:C58"/>
    <mergeCell ref="D56:H56"/>
    <mergeCell ref="I56:M56"/>
    <mergeCell ref="N56:R56"/>
    <mergeCell ref="I12:M12"/>
    <mergeCell ref="N12:R12"/>
    <mergeCell ref="S12:W12"/>
    <mergeCell ref="D13:H13"/>
    <mergeCell ref="I13:M13"/>
    <mergeCell ref="N13:R13"/>
    <mergeCell ref="S13:W13"/>
    <mergeCell ref="S114:W114"/>
    <mergeCell ref="S115:W115"/>
    <mergeCell ref="D115:H115"/>
    <mergeCell ref="I115:M115"/>
    <mergeCell ref="N115:R115"/>
    <mergeCell ref="B114:B116"/>
    <mergeCell ref="C114:C116"/>
    <mergeCell ref="D114:H114"/>
    <mergeCell ref="I114:M114"/>
    <mergeCell ref="N114:R114"/>
    <mergeCell ref="S128:W128"/>
    <mergeCell ref="D129:H129"/>
    <mergeCell ref="I129:M129"/>
    <mergeCell ref="N129:R129"/>
    <mergeCell ref="S129:W129"/>
    <mergeCell ref="B128:B130"/>
    <mergeCell ref="C128:C130"/>
    <mergeCell ref="D128:H128"/>
    <mergeCell ref="I128:M128"/>
    <mergeCell ref="N128:R128"/>
    <mergeCell ref="D84:H84"/>
    <mergeCell ref="I84:M84"/>
    <mergeCell ref="N84:R84"/>
    <mergeCell ref="S84:W84"/>
    <mergeCell ref="B84:B86"/>
    <mergeCell ref="C84:C86"/>
    <mergeCell ref="D85:H85"/>
    <mergeCell ref="I85:M85"/>
    <mergeCell ref="N85:R85"/>
    <mergeCell ref="S85:W85"/>
    <mergeCell ref="S70:W70"/>
    <mergeCell ref="D71:H71"/>
    <mergeCell ref="I71:M71"/>
    <mergeCell ref="N71:R71"/>
    <mergeCell ref="S71:W71"/>
    <mergeCell ref="B70:B72"/>
    <mergeCell ref="C70:C72"/>
    <mergeCell ref="D70:H70"/>
    <mergeCell ref="I70:M70"/>
    <mergeCell ref="N70:R70"/>
    <mergeCell ref="S40:W40"/>
    <mergeCell ref="D41:H41"/>
    <mergeCell ref="I41:M41"/>
    <mergeCell ref="N41:R41"/>
    <mergeCell ref="S41:W41"/>
    <mergeCell ref="B40:B42"/>
    <mergeCell ref="C40:C42"/>
    <mergeCell ref="D40:H40"/>
    <mergeCell ref="I40:M40"/>
    <mergeCell ref="N40:R40"/>
    <mergeCell ref="B2:W2"/>
    <mergeCell ref="B3:W3"/>
    <mergeCell ref="B4:W4"/>
    <mergeCell ref="B26:B28"/>
    <mergeCell ref="C26:C28"/>
    <mergeCell ref="D26:H26"/>
    <mergeCell ref="I26:M26"/>
    <mergeCell ref="N26:R26"/>
    <mergeCell ref="S26:W26"/>
    <mergeCell ref="D27:H27"/>
    <mergeCell ref="I27:M27"/>
    <mergeCell ref="N27:R27"/>
    <mergeCell ref="S27:W27"/>
    <mergeCell ref="B12:B14"/>
    <mergeCell ref="C12:C14"/>
    <mergeCell ref="D12:H12"/>
  </mergeCells>
  <pageMargins left="0.27559055118110237" right="0.23622047244094491" top="0.23622047244094491" bottom="0.23622047244094491" header="0.23622047244094491" footer="0.23622047244094491"/>
  <pageSetup paperSize="9" scale="34" fitToHeight="2" orientation="landscape" r:id="rId1"/>
  <headerFooter alignWithMargins="0"/>
  <rowBreaks count="1" manualBreakCount="1">
    <brk id="96"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C5A2A-82FE-4760-B69E-9748A8B0C1D9}">
  <dimension ref="A1:AL140"/>
  <sheetViews>
    <sheetView showGridLines="0" view="pageBreakPreview" topLeftCell="A59" zoomScale="80" zoomScaleNormal="68" workbookViewId="0">
      <selection activeCell="T92" sqref="T92"/>
    </sheetView>
  </sheetViews>
  <sheetFormatPr defaultColWidth="9.33203125" defaultRowHeight="13.9" x14ac:dyDescent="0.35"/>
  <cols>
    <col min="1" max="1" width="4.33203125" style="51" customWidth="1"/>
    <col min="2" max="2" width="6.33203125" style="51" customWidth="1"/>
    <col min="3" max="3" width="36.33203125" style="51" customWidth="1"/>
    <col min="4" max="4" width="18.6640625" style="51" customWidth="1"/>
    <col min="5" max="5" width="20.6640625" style="51" customWidth="1"/>
    <col min="6" max="27" width="18.6640625" style="51" customWidth="1"/>
    <col min="28" max="16384" width="9.33203125" style="51"/>
  </cols>
  <sheetData>
    <row r="1" spans="1:23" x14ac:dyDescent="0.35">
      <c r="B1" s="83"/>
    </row>
    <row r="2" spans="1:23" x14ac:dyDescent="0.35">
      <c r="B2" s="1875" t="str">
        <f>+Index!B2</f>
        <v>Nidar Utilities Panvel LLP</v>
      </c>
      <c r="C2" s="1875"/>
      <c r="D2" s="1875"/>
      <c r="E2" s="1875"/>
      <c r="F2" s="1875"/>
      <c r="G2" s="1875"/>
      <c r="H2" s="1875"/>
      <c r="I2" s="1875"/>
      <c r="J2" s="1875"/>
      <c r="K2" s="1875"/>
      <c r="L2" s="1875"/>
      <c r="M2" s="1875"/>
      <c r="N2" s="1875"/>
      <c r="O2" s="1875"/>
      <c r="P2" s="1875"/>
      <c r="Q2" s="1875"/>
      <c r="R2" s="1875"/>
      <c r="S2" s="1875"/>
      <c r="T2" s="1875"/>
      <c r="U2" s="1875"/>
      <c r="V2" s="1875"/>
      <c r="W2" s="1875"/>
    </row>
    <row r="3" spans="1:23" x14ac:dyDescent="0.35">
      <c r="B3" s="1875" t="s">
        <v>340</v>
      </c>
      <c r="C3" s="1875"/>
      <c r="D3" s="1875"/>
      <c r="E3" s="1875"/>
      <c r="F3" s="1875"/>
      <c r="G3" s="1875"/>
      <c r="H3" s="1875"/>
      <c r="I3" s="1875"/>
      <c r="J3" s="1875"/>
      <c r="K3" s="1875"/>
      <c r="L3" s="1875"/>
      <c r="M3" s="1875"/>
      <c r="N3" s="1875"/>
      <c r="O3" s="1875"/>
      <c r="P3" s="1875"/>
      <c r="Q3" s="1875"/>
      <c r="R3" s="1875"/>
      <c r="S3" s="1875"/>
      <c r="T3" s="1875"/>
      <c r="U3" s="1875"/>
      <c r="V3" s="1875"/>
      <c r="W3" s="1875"/>
    </row>
    <row r="4" spans="1:23" x14ac:dyDescent="0.35">
      <c r="B4" s="2056" t="s">
        <v>548</v>
      </c>
      <c r="C4" s="2056"/>
      <c r="D4" s="2056"/>
      <c r="E4" s="2056"/>
      <c r="F4" s="2056"/>
      <c r="G4" s="2056"/>
      <c r="H4" s="2056"/>
      <c r="I4" s="2056"/>
      <c r="J4" s="2056"/>
      <c r="K4" s="2056"/>
      <c r="L4" s="2056"/>
      <c r="M4" s="2056"/>
      <c r="N4" s="2056"/>
      <c r="O4" s="2056"/>
      <c r="P4" s="2056"/>
      <c r="Q4" s="2056"/>
      <c r="R4" s="2056"/>
      <c r="S4" s="2056"/>
      <c r="T4" s="2056"/>
      <c r="U4" s="2056"/>
      <c r="V4" s="2056"/>
      <c r="W4" s="2056"/>
    </row>
    <row r="5" spans="1:23" x14ac:dyDescent="0.35">
      <c r="C5" s="83"/>
      <c r="E5" s="39"/>
      <c r="H5" s="39"/>
      <c r="I5" s="39"/>
    </row>
    <row r="6" spans="1:23" x14ac:dyDescent="0.35">
      <c r="C6" s="83"/>
      <c r="E6" s="39"/>
      <c r="H6" s="39"/>
      <c r="I6" s="39"/>
    </row>
    <row r="7" spans="1:23" x14ac:dyDescent="0.35">
      <c r="C7" s="83" t="s">
        <v>542</v>
      </c>
      <c r="E7" s="39"/>
      <c r="H7" s="39"/>
      <c r="I7" s="39"/>
    </row>
    <row r="8" spans="1:23" x14ac:dyDescent="0.35">
      <c r="C8" s="83"/>
      <c r="E8" s="39"/>
      <c r="H8" s="39"/>
      <c r="I8" s="39"/>
    </row>
    <row r="9" spans="1:23" x14ac:dyDescent="0.35">
      <c r="C9" s="83"/>
      <c r="E9" s="39"/>
      <c r="H9" s="39"/>
      <c r="I9" s="39"/>
    </row>
    <row r="10" spans="1:23" x14ac:dyDescent="0.35">
      <c r="A10" s="51" t="s">
        <v>521</v>
      </c>
      <c r="B10" s="83" t="s">
        <v>522</v>
      </c>
      <c r="C10" s="83"/>
      <c r="D10" s="83"/>
      <c r="E10" s="83"/>
      <c r="F10" s="83"/>
      <c r="G10" s="83"/>
      <c r="H10" s="83"/>
      <c r="J10" s="39"/>
      <c r="M10" s="39"/>
      <c r="N10" s="39"/>
      <c r="R10" s="368"/>
    </row>
    <row r="11" spans="1:23" x14ac:dyDescent="0.35">
      <c r="B11" s="369"/>
      <c r="C11" s="84"/>
      <c r="D11" s="84"/>
      <c r="E11" s="84"/>
      <c r="F11" s="84"/>
      <c r="G11" s="84"/>
      <c r="H11" s="84"/>
      <c r="J11" s="39"/>
      <c r="M11" s="39"/>
      <c r="N11" s="39"/>
      <c r="R11" s="368"/>
      <c r="W11" s="160" t="s">
        <v>110</v>
      </c>
    </row>
    <row r="12" spans="1:23" ht="13.8" customHeight="1" x14ac:dyDescent="0.35">
      <c r="B12" s="1947" t="s">
        <v>1</v>
      </c>
      <c r="C12" s="1947" t="s">
        <v>111</v>
      </c>
      <c r="D12" s="2052" t="s">
        <v>196</v>
      </c>
      <c r="E12" s="2052"/>
      <c r="F12" s="2052"/>
      <c r="G12" s="2052"/>
      <c r="H12" s="2052"/>
      <c r="I12" s="1947" t="s">
        <v>197</v>
      </c>
      <c r="J12" s="1947"/>
      <c r="K12" s="1947"/>
      <c r="L12" s="1947"/>
      <c r="M12" s="1947"/>
      <c r="N12" s="1947" t="s">
        <v>198</v>
      </c>
      <c r="O12" s="1947"/>
      <c r="P12" s="1947"/>
      <c r="Q12" s="1947"/>
      <c r="R12" s="1947"/>
      <c r="S12" s="1947" t="s">
        <v>199</v>
      </c>
      <c r="T12" s="1947"/>
      <c r="U12" s="1947"/>
      <c r="V12" s="1947"/>
      <c r="W12" s="1947"/>
    </row>
    <row r="13" spans="1:23" x14ac:dyDescent="0.35">
      <c r="B13" s="1947"/>
      <c r="C13" s="1947"/>
      <c r="D13" s="1947" t="s">
        <v>186</v>
      </c>
      <c r="E13" s="2051"/>
      <c r="F13" s="2051"/>
      <c r="G13" s="2051"/>
      <c r="H13" s="2051"/>
      <c r="I13" s="1947" t="s">
        <v>186</v>
      </c>
      <c r="J13" s="2051"/>
      <c r="K13" s="2051"/>
      <c r="L13" s="2051"/>
      <c r="M13" s="2051"/>
      <c r="N13" s="1947" t="s">
        <v>186</v>
      </c>
      <c r="O13" s="2051"/>
      <c r="P13" s="2051"/>
      <c r="Q13" s="2051"/>
      <c r="R13" s="2051"/>
      <c r="S13" s="1947" t="s">
        <v>186</v>
      </c>
      <c r="T13" s="2051"/>
      <c r="U13" s="2051"/>
      <c r="V13" s="2051"/>
      <c r="W13" s="2051"/>
    </row>
    <row r="14" spans="1:23" ht="27" x14ac:dyDescent="0.35">
      <c r="B14" s="1947"/>
      <c r="C14" s="1947"/>
      <c r="D14" s="106" t="s">
        <v>523</v>
      </c>
      <c r="E14" s="106" t="s">
        <v>524</v>
      </c>
      <c r="F14" s="106" t="s">
        <v>525</v>
      </c>
      <c r="G14" s="106" t="s">
        <v>543</v>
      </c>
      <c r="H14" s="106" t="s">
        <v>526</v>
      </c>
      <c r="I14" s="106" t="s">
        <v>523</v>
      </c>
      <c r="J14" s="106" t="s">
        <v>524</v>
      </c>
      <c r="K14" s="106" t="s">
        <v>525</v>
      </c>
      <c r="L14" s="106" t="s">
        <v>543</v>
      </c>
      <c r="M14" s="106" t="s">
        <v>526</v>
      </c>
      <c r="N14" s="106" t="s">
        <v>523</v>
      </c>
      <c r="O14" s="106" t="s">
        <v>524</v>
      </c>
      <c r="P14" s="106" t="s">
        <v>525</v>
      </c>
      <c r="Q14" s="106" t="s">
        <v>543</v>
      </c>
      <c r="R14" s="106" t="s">
        <v>526</v>
      </c>
      <c r="S14" s="106" t="s">
        <v>523</v>
      </c>
      <c r="T14" s="106" t="s">
        <v>524</v>
      </c>
      <c r="U14" s="106" t="s">
        <v>525</v>
      </c>
      <c r="V14" s="106" t="s">
        <v>543</v>
      </c>
      <c r="W14" s="106" t="s">
        <v>526</v>
      </c>
    </row>
    <row r="15" spans="1:23" x14ac:dyDescent="0.35">
      <c r="B15" s="217"/>
      <c r="C15" s="217"/>
      <c r="D15" s="217" t="s">
        <v>128</v>
      </c>
      <c r="E15" s="217" t="s">
        <v>129</v>
      </c>
      <c r="F15" s="217" t="s">
        <v>527</v>
      </c>
      <c r="G15" s="217" t="s">
        <v>130</v>
      </c>
      <c r="H15" s="217" t="s">
        <v>544</v>
      </c>
      <c r="I15" s="217" t="s">
        <v>331</v>
      </c>
      <c r="J15" s="217" t="s">
        <v>132</v>
      </c>
      <c r="K15" s="217" t="s">
        <v>133</v>
      </c>
      <c r="L15" s="217" t="s">
        <v>332</v>
      </c>
      <c r="M15" s="217" t="s">
        <v>545</v>
      </c>
      <c r="N15" s="217" t="s">
        <v>528</v>
      </c>
      <c r="O15" s="217" t="s">
        <v>529</v>
      </c>
      <c r="P15" s="217" t="s">
        <v>334</v>
      </c>
      <c r="Q15" s="217" t="s">
        <v>530</v>
      </c>
      <c r="R15" s="217" t="s">
        <v>546</v>
      </c>
      <c r="S15" s="217" t="s">
        <v>532</v>
      </c>
      <c r="T15" s="217" t="s">
        <v>533</v>
      </c>
      <c r="U15" s="217" t="s">
        <v>534</v>
      </c>
      <c r="V15" s="217" t="s">
        <v>535</v>
      </c>
      <c r="W15" s="217" t="s">
        <v>547</v>
      </c>
    </row>
    <row r="16" spans="1:23" s="39" customFormat="1" x14ac:dyDescent="0.35">
      <c r="B16" s="1133">
        <v>1</v>
      </c>
      <c r="C16" s="1134" t="s">
        <v>1410</v>
      </c>
      <c r="D16" s="52"/>
      <c r="E16" s="52"/>
      <c r="F16" s="52"/>
      <c r="G16" s="372"/>
      <c r="H16" s="761">
        <f>+D16+E16-F16-G16</f>
        <v>0</v>
      </c>
      <c r="I16" s="1141">
        <f>+H16</f>
        <v>0</v>
      </c>
      <c r="J16" s="86"/>
      <c r="K16" s="86"/>
      <c r="L16" s="372"/>
      <c r="M16" s="761">
        <f>+I16+J16-K16-L16</f>
        <v>0</v>
      </c>
      <c r="N16" s="1141">
        <f>+M16</f>
        <v>0</v>
      </c>
      <c r="O16" s="86"/>
      <c r="P16" s="86"/>
      <c r="Q16" s="372"/>
      <c r="R16" s="761">
        <f>+N16+O16-P16-Q16</f>
        <v>0</v>
      </c>
      <c r="S16" s="1141">
        <f>+R16</f>
        <v>0</v>
      </c>
      <c r="T16" s="86"/>
      <c r="U16" s="86"/>
      <c r="V16" s="372"/>
      <c r="W16" s="761">
        <f>+S16+T16-U16-V16</f>
        <v>0</v>
      </c>
    </row>
    <row r="17" spans="2:23" s="39" customFormat="1" x14ac:dyDescent="0.35">
      <c r="B17" s="1133">
        <v>2</v>
      </c>
      <c r="C17" s="1134" t="s">
        <v>1409</v>
      </c>
      <c r="D17" s="52"/>
      <c r="E17" s="52"/>
      <c r="F17" s="52"/>
      <c r="G17" s="372"/>
      <c r="H17" s="761">
        <f t="shared" ref="H17:H23" si="0">+D17+E17-F17-G17</f>
        <v>0</v>
      </c>
      <c r="I17" s="1141">
        <f t="shared" ref="I17:I23" si="1">+H17</f>
        <v>0</v>
      </c>
      <c r="J17" s="86"/>
      <c r="K17" s="86"/>
      <c r="L17" s="372"/>
      <c r="M17" s="761">
        <f t="shared" ref="M17:M23" si="2">+I17+J17-K17-L17</f>
        <v>0</v>
      </c>
      <c r="N17" s="1141">
        <f t="shared" ref="N17:N23" si="3">+M17</f>
        <v>0</v>
      </c>
      <c r="O17" s="86"/>
      <c r="P17" s="86"/>
      <c r="Q17" s="372"/>
      <c r="R17" s="761">
        <f t="shared" ref="R17:R23" si="4">+N17+O17-P17-Q17</f>
        <v>0</v>
      </c>
      <c r="S17" s="1141">
        <f t="shared" ref="S17:S23" si="5">+R17</f>
        <v>0</v>
      </c>
      <c r="T17" s="86"/>
      <c r="U17" s="86"/>
      <c r="V17" s="372"/>
      <c r="W17" s="761">
        <f t="shared" ref="W17:W23" si="6">+S17+T17-U17-V17</f>
        <v>0</v>
      </c>
    </row>
    <row r="18" spans="2:23" s="39" customFormat="1" x14ac:dyDescent="0.35">
      <c r="B18" s="1133">
        <v>3</v>
      </c>
      <c r="C18" s="1134" t="s">
        <v>440</v>
      </c>
      <c r="D18" s="275"/>
      <c r="E18" s="275"/>
      <c r="F18" s="275"/>
      <c r="G18" s="373"/>
      <c r="H18" s="761">
        <f t="shared" si="0"/>
        <v>0</v>
      </c>
      <c r="I18" s="1141">
        <f t="shared" si="1"/>
        <v>0</v>
      </c>
      <c r="J18" s="86"/>
      <c r="K18" s="86"/>
      <c r="L18" s="373"/>
      <c r="M18" s="761">
        <f t="shared" si="2"/>
        <v>0</v>
      </c>
      <c r="N18" s="1141">
        <f t="shared" si="3"/>
        <v>0</v>
      </c>
      <c r="O18" s="86"/>
      <c r="P18" s="86"/>
      <c r="Q18" s="373"/>
      <c r="R18" s="761">
        <f t="shared" si="4"/>
        <v>0</v>
      </c>
      <c r="S18" s="1141">
        <f t="shared" si="5"/>
        <v>0</v>
      </c>
      <c r="T18" s="86"/>
      <c r="U18" s="86"/>
      <c r="V18" s="373"/>
      <c r="W18" s="761">
        <f t="shared" si="6"/>
        <v>0</v>
      </c>
    </row>
    <row r="19" spans="2:23" x14ac:dyDescent="0.35">
      <c r="B19" s="1133">
        <v>4</v>
      </c>
      <c r="C19" s="1134" t="s">
        <v>915</v>
      </c>
      <c r="D19" s="52"/>
      <c r="E19" s="52"/>
      <c r="F19" s="52"/>
      <c r="G19" s="372"/>
      <c r="H19" s="761">
        <f t="shared" si="0"/>
        <v>0</v>
      </c>
      <c r="I19" s="1141">
        <f t="shared" si="1"/>
        <v>0</v>
      </c>
      <c r="J19" s="86"/>
      <c r="K19" s="86"/>
      <c r="L19" s="372"/>
      <c r="M19" s="761">
        <f t="shared" si="2"/>
        <v>0</v>
      </c>
      <c r="N19" s="1141">
        <f t="shared" si="3"/>
        <v>0</v>
      </c>
      <c r="O19" s="86"/>
      <c r="P19" s="86"/>
      <c r="Q19" s="372"/>
      <c r="R19" s="761">
        <f t="shared" si="4"/>
        <v>0</v>
      </c>
      <c r="S19" s="1141">
        <f t="shared" si="5"/>
        <v>0</v>
      </c>
      <c r="T19" s="86"/>
      <c r="U19" s="86"/>
      <c r="V19" s="372"/>
      <c r="W19" s="761">
        <f t="shared" si="6"/>
        <v>0</v>
      </c>
    </row>
    <row r="20" spans="2:23" x14ac:dyDescent="0.35">
      <c r="B20" s="1133">
        <v>5</v>
      </c>
      <c r="C20" s="1134" t="s">
        <v>447</v>
      </c>
      <c r="D20" s="52"/>
      <c r="E20" s="52"/>
      <c r="F20" s="52"/>
      <c r="G20" s="372"/>
      <c r="H20" s="761">
        <f t="shared" si="0"/>
        <v>0</v>
      </c>
      <c r="I20" s="1141">
        <f t="shared" si="1"/>
        <v>0</v>
      </c>
      <c r="J20" s="86"/>
      <c r="K20" s="86"/>
      <c r="L20" s="372"/>
      <c r="M20" s="761">
        <f t="shared" si="2"/>
        <v>0</v>
      </c>
      <c r="N20" s="1141">
        <f t="shared" si="3"/>
        <v>0</v>
      </c>
      <c r="O20" s="86"/>
      <c r="P20" s="86"/>
      <c r="Q20" s="372"/>
      <c r="R20" s="761">
        <f t="shared" si="4"/>
        <v>0</v>
      </c>
      <c r="S20" s="1141">
        <f t="shared" si="5"/>
        <v>0</v>
      </c>
      <c r="T20" s="86"/>
      <c r="U20" s="86"/>
      <c r="V20" s="372"/>
      <c r="W20" s="761">
        <f t="shared" si="6"/>
        <v>0</v>
      </c>
    </row>
    <row r="21" spans="2:23" x14ac:dyDescent="0.35">
      <c r="B21" s="1133">
        <v>6</v>
      </c>
      <c r="C21" s="1134" t="s">
        <v>879</v>
      </c>
      <c r="D21" s="52"/>
      <c r="E21" s="52"/>
      <c r="F21" s="52"/>
      <c r="G21" s="372"/>
      <c r="H21" s="761">
        <f t="shared" si="0"/>
        <v>0</v>
      </c>
      <c r="I21" s="1141">
        <f t="shared" si="1"/>
        <v>0</v>
      </c>
      <c r="J21" s="86"/>
      <c r="K21" s="86"/>
      <c r="L21" s="372"/>
      <c r="M21" s="761">
        <f t="shared" si="2"/>
        <v>0</v>
      </c>
      <c r="N21" s="1141">
        <f t="shared" si="3"/>
        <v>0</v>
      </c>
      <c r="O21" s="86"/>
      <c r="P21" s="86"/>
      <c r="Q21" s="372"/>
      <c r="R21" s="761">
        <f t="shared" si="4"/>
        <v>0</v>
      </c>
      <c r="S21" s="1141">
        <f t="shared" si="5"/>
        <v>0</v>
      </c>
      <c r="T21" s="86"/>
      <c r="U21" s="86"/>
      <c r="V21" s="372"/>
      <c r="W21" s="761">
        <f t="shared" si="6"/>
        <v>0</v>
      </c>
    </row>
    <row r="22" spans="2:23" x14ac:dyDescent="0.4">
      <c r="B22" s="1133">
        <v>7</v>
      </c>
      <c r="C22" s="1135" t="s">
        <v>1269</v>
      </c>
      <c r="D22" s="86"/>
      <c r="E22" s="86"/>
      <c r="F22" s="86"/>
      <c r="G22" s="374"/>
      <c r="H22" s="761">
        <f t="shared" si="0"/>
        <v>0</v>
      </c>
      <c r="I22" s="1141">
        <f t="shared" si="1"/>
        <v>0</v>
      </c>
      <c r="J22" s="370"/>
      <c r="K22" s="370"/>
      <c r="L22" s="374"/>
      <c r="M22" s="761">
        <f t="shared" si="2"/>
        <v>0</v>
      </c>
      <c r="N22" s="1141">
        <f t="shared" si="3"/>
        <v>0</v>
      </c>
      <c r="O22" s="370"/>
      <c r="P22" s="370"/>
      <c r="Q22" s="374"/>
      <c r="R22" s="761">
        <f t="shared" si="4"/>
        <v>0</v>
      </c>
      <c r="S22" s="1141">
        <f t="shared" si="5"/>
        <v>0</v>
      </c>
      <c r="T22" s="370"/>
      <c r="U22" s="370"/>
      <c r="V22" s="374"/>
      <c r="W22" s="761">
        <f t="shared" si="6"/>
        <v>0</v>
      </c>
    </row>
    <row r="23" spans="2:23" ht="15.4" x14ac:dyDescent="0.4">
      <c r="B23" s="1133">
        <v>8</v>
      </c>
      <c r="C23" s="1135" t="s">
        <v>1270</v>
      </c>
      <c r="D23" s="94"/>
      <c r="E23" s="94"/>
      <c r="F23" s="94"/>
      <c r="G23" s="375"/>
      <c r="H23" s="761">
        <f t="shared" si="0"/>
        <v>0</v>
      </c>
      <c r="I23" s="1141">
        <f t="shared" si="1"/>
        <v>0</v>
      </c>
      <c r="J23" s="371"/>
      <c r="K23" s="371"/>
      <c r="L23" s="375"/>
      <c r="M23" s="761">
        <f t="shared" si="2"/>
        <v>0</v>
      </c>
      <c r="N23" s="1141">
        <f t="shared" si="3"/>
        <v>0</v>
      </c>
      <c r="O23" s="371"/>
      <c r="P23" s="371"/>
      <c r="Q23" s="375"/>
      <c r="R23" s="761">
        <f t="shared" si="4"/>
        <v>0</v>
      </c>
      <c r="S23" s="1141">
        <f t="shared" si="5"/>
        <v>0</v>
      </c>
      <c r="T23" s="371"/>
      <c r="U23" s="371"/>
      <c r="V23" s="375"/>
      <c r="W23" s="761">
        <f t="shared" si="6"/>
        <v>0</v>
      </c>
    </row>
    <row r="24" spans="2:23" ht="14.65" x14ac:dyDescent="0.4">
      <c r="B24" s="1136"/>
      <c r="C24" s="1137" t="s">
        <v>164</v>
      </c>
      <c r="D24" s="1140">
        <f>SUM(D16:D23)</f>
        <v>0</v>
      </c>
      <c r="E24" s="1140">
        <f t="shared" ref="E24:W24" si="7">SUM(E16:E23)</f>
        <v>0</v>
      </c>
      <c r="F24" s="1140">
        <f t="shared" si="7"/>
        <v>0</v>
      </c>
      <c r="G24" s="1140">
        <f t="shared" si="7"/>
        <v>0</v>
      </c>
      <c r="H24" s="1140">
        <f t="shared" si="7"/>
        <v>0</v>
      </c>
      <c r="I24" s="1140">
        <f t="shared" si="7"/>
        <v>0</v>
      </c>
      <c r="J24" s="1140">
        <f t="shared" si="7"/>
        <v>0</v>
      </c>
      <c r="K24" s="1140">
        <f t="shared" si="7"/>
        <v>0</v>
      </c>
      <c r="L24" s="1140">
        <f t="shared" si="7"/>
        <v>0</v>
      </c>
      <c r="M24" s="1140">
        <f t="shared" si="7"/>
        <v>0</v>
      </c>
      <c r="N24" s="1140">
        <f t="shared" si="7"/>
        <v>0</v>
      </c>
      <c r="O24" s="1140">
        <f t="shared" si="7"/>
        <v>0</v>
      </c>
      <c r="P24" s="1140">
        <f t="shared" si="7"/>
        <v>0</v>
      </c>
      <c r="Q24" s="1140">
        <f t="shared" si="7"/>
        <v>0</v>
      </c>
      <c r="R24" s="1140">
        <f t="shared" si="7"/>
        <v>0</v>
      </c>
      <c r="S24" s="1140">
        <f t="shared" si="7"/>
        <v>0</v>
      </c>
      <c r="T24" s="1140">
        <f t="shared" si="7"/>
        <v>0</v>
      </c>
      <c r="U24" s="1140">
        <f t="shared" si="7"/>
        <v>0</v>
      </c>
      <c r="V24" s="1140">
        <f t="shared" si="7"/>
        <v>0</v>
      </c>
      <c r="W24" s="1140">
        <f t="shared" si="7"/>
        <v>0</v>
      </c>
    </row>
    <row r="25" spans="2:23" ht="14.65" x14ac:dyDescent="0.4">
      <c r="B25" s="1138"/>
      <c r="C25" s="1139"/>
      <c r="D25" s="84"/>
      <c r="E25" s="84"/>
      <c r="F25" s="84"/>
      <c r="G25" s="84"/>
      <c r="H25" s="84"/>
      <c r="J25" s="39"/>
      <c r="M25" s="39"/>
      <c r="N25" s="39"/>
    </row>
    <row r="26" spans="2:23" ht="13.8" customHeight="1" x14ac:dyDescent="0.35">
      <c r="B26" s="1947" t="s">
        <v>1</v>
      </c>
      <c r="C26" s="1947" t="s">
        <v>111</v>
      </c>
      <c r="D26" s="2052" t="s">
        <v>112</v>
      </c>
      <c r="E26" s="2052"/>
      <c r="F26" s="2052"/>
      <c r="G26" s="2052"/>
      <c r="H26" s="2052"/>
      <c r="I26" s="2052" t="s">
        <v>113</v>
      </c>
      <c r="J26" s="2052"/>
      <c r="K26" s="2052"/>
      <c r="L26" s="2052"/>
      <c r="M26" s="2052"/>
      <c r="N26" s="1947" t="s">
        <v>114</v>
      </c>
      <c r="O26" s="1947"/>
      <c r="P26" s="1947"/>
      <c r="Q26" s="1947"/>
      <c r="R26" s="1947"/>
      <c r="S26" s="1947" t="s">
        <v>123</v>
      </c>
      <c r="T26" s="1947"/>
      <c r="U26" s="1947"/>
      <c r="V26" s="1947"/>
      <c r="W26" s="1947"/>
    </row>
    <row r="27" spans="2:23" x14ac:dyDescent="0.35">
      <c r="B27" s="1947"/>
      <c r="C27" s="1947"/>
      <c r="D27" s="1947" t="s">
        <v>186</v>
      </c>
      <c r="E27" s="2051"/>
      <c r="F27" s="2051"/>
      <c r="G27" s="2051"/>
      <c r="H27" s="2051"/>
      <c r="I27" s="1947" t="s">
        <v>186</v>
      </c>
      <c r="J27" s="2051"/>
      <c r="K27" s="2051"/>
      <c r="L27" s="2051"/>
      <c r="M27" s="2051"/>
      <c r="N27" s="1947" t="s">
        <v>187</v>
      </c>
      <c r="O27" s="2051"/>
      <c r="P27" s="2051"/>
      <c r="Q27" s="2051"/>
      <c r="R27" s="2051"/>
      <c r="S27" s="1947" t="s">
        <v>135</v>
      </c>
      <c r="T27" s="2051"/>
      <c r="U27" s="2051"/>
      <c r="V27" s="2051"/>
      <c r="W27" s="2051"/>
    </row>
    <row r="28" spans="2:23" ht="27" x14ac:dyDescent="0.35">
      <c r="B28" s="1947"/>
      <c r="C28" s="1947"/>
      <c r="D28" s="106" t="s">
        <v>523</v>
      </c>
      <c r="E28" s="106" t="s">
        <v>524</v>
      </c>
      <c r="F28" s="106" t="s">
        <v>525</v>
      </c>
      <c r="G28" s="106" t="s">
        <v>543</v>
      </c>
      <c r="H28" s="106" t="s">
        <v>526</v>
      </c>
      <c r="I28" s="106" t="s">
        <v>523</v>
      </c>
      <c r="J28" s="106" t="s">
        <v>524</v>
      </c>
      <c r="K28" s="106" t="s">
        <v>525</v>
      </c>
      <c r="L28" s="106" t="s">
        <v>543</v>
      </c>
      <c r="M28" s="106" t="s">
        <v>526</v>
      </c>
      <c r="N28" s="106" t="s">
        <v>523</v>
      </c>
      <c r="O28" s="106" t="s">
        <v>524</v>
      </c>
      <c r="P28" s="106" t="s">
        <v>525</v>
      </c>
      <c r="Q28" s="106" t="s">
        <v>543</v>
      </c>
      <c r="R28" s="106" t="s">
        <v>526</v>
      </c>
      <c r="S28" s="106" t="s">
        <v>523</v>
      </c>
      <c r="T28" s="106" t="s">
        <v>524</v>
      </c>
      <c r="U28" s="106" t="s">
        <v>525</v>
      </c>
      <c r="V28" s="106" t="s">
        <v>543</v>
      </c>
      <c r="W28" s="106" t="s">
        <v>526</v>
      </c>
    </row>
    <row r="29" spans="2:23" x14ac:dyDescent="0.35">
      <c r="B29" s="217"/>
      <c r="C29" s="217"/>
      <c r="D29" s="217" t="s">
        <v>128</v>
      </c>
      <c r="E29" s="217" t="s">
        <v>129</v>
      </c>
      <c r="F29" s="217" t="s">
        <v>527</v>
      </c>
      <c r="G29" s="217" t="s">
        <v>130</v>
      </c>
      <c r="H29" s="217" t="s">
        <v>544</v>
      </c>
      <c r="I29" s="217" t="s">
        <v>331</v>
      </c>
      <c r="J29" s="217" t="s">
        <v>132</v>
      </c>
      <c r="K29" s="217" t="s">
        <v>133</v>
      </c>
      <c r="L29" s="217" t="s">
        <v>332</v>
      </c>
      <c r="M29" s="217" t="s">
        <v>545</v>
      </c>
      <c r="N29" s="217" t="s">
        <v>528</v>
      </c>
      <c r="O29" s="217" t="s">
        <v>529</v>
      </c>
      <c r="P29" s="217" t="s">
        <v>334</v>
      </c>
      <c r="Q29" s="217" t="s">
        <v>530</v>
      </c>
      <c r="R29" s="217" t="s">
        <v>546</v>
      </c>
      <c r="S29" s="217" t="s">
        <v>532</v>
      </c>
      <c r="T29" s="217" t="s">
        <v>533</v>
      </c>
      <c r="U29" s="217" t="s">
        <v>534</v>
      </c>
      <c r="V29" s="217" t="s">
        <v>535</v>
      </c>
      <c r="W29" s="217" t="s">
        <v>547</v>
      </c>
    </row>
    <row r="30" spans="2:23" s="39" customFormat="1" x14ac:dyDescent="0.35">
      <c r="B30" s="1133">
        <v>1</v>
      </c>
      <c r="C30" s="1134" t="s">
        <v>1410</v>
      </c>
      <c r="D30" s="1142">
        <f>+W16</f>
        <v>0</v>
      </c>
      <c r="E30" s="52"/>
      <c r="F30" s="52"/>
      <c r="G30" s="372"/>
      <c r="H30" s="761">
        <f>+D30+E30-F30-G30</f>
        <v>0</v>
      </c>
      <c r="I30" s="1141">
        <f>+H30</f>
        <v>0</v>
      </c>
      <c r="J30" s="86"/>
      <c r="K30" s="86"/>
      <c r="L30" s="372"/>
      <c r="M30" s="761">
        <f>+I30+J30-K30-L30</f>
        <v>0</v>
      </c>
      <c r="N30" s="1141">
        <f>+M30</f>
        <v>0</v>
      </c>
      <c r="O30" s="86"/>
      <c r="P30" s="86"/>
      <c r="Q30" s="372"/>
      <c r="R30" s="761">
        <f>+N30+O30-P30-Q30</f>
        <v>0</v>
      </c>
      <c r="S30" s="1141">
        <f>+R30</f>
        <v>0</v>
      </c>
      <c r="T30" s="86"/>
      <c r="U30" s="86"/>
      <c r="V30" s="372"/>
      <c r="W30" s="761">
        <f>+S30+T30-U30-V30</f>
        <v>0</v>
      </c>
    </row>
    <row r="31" spans="2:23" s="39" customFormat="1" x14ac:dyDescent="0.35">
      <c r="B31" s="1133">
        <v>2</v>
      </c>
      <c r="C31" s="1134" t="s">
        <v>1409</v>
      </c>
      <c r="D31" s="1142">
        <f t="shared" ref="D31:D37" si="8">+W17</f>
        <v>0</v>
      </c>
      <c r="E31" s="52"/>
      <c r="F31" s="52"/>
      <c r="G31" s="372"/>
      <c r="H31" s="761">
        <f t="shared" ref="H31:H37" si="9">+D31+E31-F31-G31</f>
        <v>0</v>
      </c>
      <c r="I31" s="1141">
        <f t="shared" ref="I31:I37" si="10">+H31</f>
        <v>0</v>
      </c>
      <c r="J31" s="86"/>
      <c r="K31" s="86"/>
      <c r="L31" s="372"/>
      <c r="M31" s="761">
        <f t="shared" ref="M31:M37" si="11">+I31+J31-K31-L31</f>
        <v>0</v>
      </c>
      <c r="N31" s="1141">
        <f t="shared" ref="N31:N37" si="12">+M31</f>
        <v>0</v>
      </c>
      <c r="O31" s="86"/>
      <c r="P31" s="86"/>
      <c r="Q31" s="372"/>
      <c r="R31" s="761">
        <f t="shared" ref="R31:R37" si="13">+N31+O31-P31-Q31</f>
        <v>0</v>
      </c>
      <c r="S31" s="1141">
        <f t="shared" ref="S31:S37" si="14">+R31</f>
        <v>0</v>
      </c>
      <c r="T31" s="86"/>
      <c r="U31" s="86"/>
      <c r="V31" s="372"/>
      <c r="W31" s="761">
        <f t="shared" ref="W31:W37" si="15">+S31+T31-U31-V31</f>
        <v>0</v>
      </c>
    </row>
    <row r="32" spans="2:23" s="39" customFormat="1" x14ac:dyDescent="0.35">
      <c r="B32" s="1133">
        <v>3</v>
      </c>
      <c r="C32" s="1134" t="s">
        <v>440</v>
      </c>
      <c r="D32" s="1142">
        <f t="shared" si="8"/>
        <v>0</v>
      </c>
      <c r="E32" s="275"/>
      <c r="F32" s="275"/>
      <c r="G32" s="373"/>
      <c r="H32" s="761">
        <f t="shared" si="9"/>
        <v>0</v>
      </c>
      <c r="I32" s="1141">
        <f t="shared" si="10"/>
        <v>0</v>
      </c>
      <c r="J32" s="86"/>
      <c r="K32" s="86"/>
      <c r="L32" s="373"/>
      <c r="M32" s="761">
        <f t="shared" si="11"/>
        <v>0</v>
      </c>
      <c r="N32" s="1141">
        <f t="shared" si="12"/>
        <v>0</v>
      </c>
      <c r="O32" s="86"/>
      <c r="P32" s="86"/>
      <c r="Q32" s="373"/>
      <c r="R32" s="761">
        <f t="shared" si="13"/>
        <v>0</v>
      </c>
      <c r="S32" s="1141">
        <f t="shared" si="14"/>
        <v>0</v>
      </c>
      <c r="T32" s="86"/>
      <c r="U32" s="86"/>
      <c r="V32" s="373"/>
      <c r="W32" s="761">
        <f t="shared" si="15"/>
        <v>0</v>
      </c>
    </row>
    <row r="33" spans="2:23" x14ac:dyDescent="0.35">
      <c r="B33" s="1133">
        <v>4</v>
      </c>
      <c r="C33" s="1134" t="s">
        <v>915</v>
      </c>
      <c r="D33" s="1142">
        <f t="shared" si="8"/>
        <v>0</v>
      </c>
      <c r="E33" s="52"/>
      <c r="F33" s="52"/>
      <c r="G33" s="372"/>
      <c r="H33" s="761">
        <f t="shared" si="9"/>
        <v>0</v>
      </c>
      <c r="I33" s="1141">
        <f t="shared" si="10"/>
        <v>0</v>
      </c>
      <c r="J33" s="86"/>
      <c r="K33" s="86"/>
      <c r="L33" s="372"/>
      <c r="M33" s="761">
        <f t="shared" si="11"/>
        <v>0</v>
      </c>
      <c r="N33" s="1141">
        <f t="shared" si="12"/>
        <v>0</v>
      </c>
      <c r="O33" s="86"/>
      <c r="P33" s="86"/>
      <c r="Q33" s="372"/>
      <c r="R33" s="761">
        <f t="shared" si="13"/>
        <v>0</v>
      </c>
      <c r="S33" s="1141">
        <f t="shared" si="14"/>
        <v>0</v>
      </c>
      <c r="T33" s="86"/>
      <c r="U33" s="86"/>
      <c r="V33" s="372"/>
      <c r="W33" s="761">
        <f t="shared" si="15"/>
        <v>0</v>
      </c>
    </row>
    <row r="34" spans="2:23" x14ac:dyDescent="0.35">
      <c r="B34" s="1133">
        <v>5</v>
      </c>
      <c r="C34" s="1134" t="s">
        <v>447</v>
      </c>
      <c r="D34" s="1142">
        <f t="shared" si="8"/>
        <v>0</v>
      </c>
      <c r="E34" s="52"/>
      <c r="F34" s="52"/>
      <c r="G34" s="372"/>
      <c r="H34" s="761">
        <f t="shared" si="9"/>
        <v>0</v>
      </c>
      <c r="I34" s="1141">
        <f t="shared" si="10"/>
        <v>0</v>
      </c>
      <c r="J34" s="86"/>
      <c r="K34" s="86"/>
      <c r="L34" s="372"/>
      <c r="M34" s="761">
        <f t="shared" si="11"/>
        <v>0</v>
      </c>
      <c r="N34" s="1141">
        <f t="shared" si="12"/>
        <v>0</v>
      </c>
      <c r="O34" s="86"/>
      <c r="P34" s="86"/>
      <c r="Q34" s="372"/>
      <c r="R34" s="761">
        <f t="shared" si="13"/>
        <v>0</v>
      </c>
      <c r="S34" s="1141">
        <f t="shared" si="14"/>
        <v>0</v>
      </c>
      <c r="T34" s="675">
        <f>+'F4.2'!AY26</f>
        <v>0.29597659999999998</v>
      </c>
      <c r="U34" s="86"/>
      <c r="V34" s="372"/>
      <c r="W34" s="761">
        <f t="shared" si="15"/>
        <v>0.29597659999999998</v>
      </c>
    </row>
    <row r="35" spans="2:23" x14ac:dyDescent="0.35">
      <c r="B35" s="1133">
        <v>6</v>
      </c>
      <c r="C35" s="1134" t="s">
        <v>879</v>
      </c>
      <c r="D35" s="1142">
        <f t="shared" si="8"/>
        <v>0</v>
      </c>
      <c r="E35" s="52"/>
      <c r="F35" s="52"/>
      <c r="G35" s="372"/>
      <c r="H35" s="761">
        <f t="shared" si="9"/>
        <v>0</v>
      </c>
      <c r="I35" s="1141">
        <f t="shared" si="10"/>
        <v>0</v>
      </c>
      <c r="J35" s="86"/>
      <c r="K35" s="86"/>
      <c r="L35" s="372"/>
      <c r="M35" s="761">
        <f t="shared" si="11"/>
        <v>0</v>
      </c>
      <c r="N35" s="1141">
        <f t="shared" si="12"/>
        <v>0</v>
      </c>
      <c r="O35" s="86"/>
      <c r="P35" s="86"/>
      <c r="Q35" s="372"/>
      <c r="R35" s="761">
        <f t="shared" si="13"/>
        <v>0</v>
      </c>
      <c r="S35" s="1141">
        <f t="shared" si="14"/>
        <v>0</v>
      </c>
      <c r="T35" s="86"/>
      <c r="U35" s="86"/>
      <c r="V35" s="372"/>
      <c r="W35" s="761">
        <f t="shared" si="15"/>
        <v>0</v>
      </c>
    </row>
    <row r="36" spans="2:23" x14ac:dyDescent="0.4">
      <c r="B36" s="1133">
        <v>7</v>
      </c>
      <c r="C36" s="1135" t="s">
        <v>1269</v>
      </c>
      <c r="D36" s="1142">
        <f t="shared" si="8"/>
        <v>0</v>
      </c>
      <c r="E36" s="86"/>
      <c r="F36" s="86"/>
      <c r="G36" s="374"/>
      <c r="H36" s="761">
        <f t="shared" si="9"/>
        <v>0</v>
      </c>
      <c r="I36" s="1141">
        <f t="shared" si="10"/>
        <v>0</v>
      </c>
      <c r="J36" s="370"/>
      <c r="K36" s="370"/>
      <c r="L36" s="374"/>
      <c r="M36" s="761">
        <f t="shared" si="11"/>
        <v>0</v>
      </c>
      <c r="N36" s="1141">
        <f t="shared" si="12"/>
        <v>0</v>
      </c>
      <c r="O36" s="370"/>
      <c r="P36" s="370"/>
      <c r="Q36" s="374"/>
      <c r="R36" s="761">
        <f t="shared" si="13"/>
        <v>0</v>
      </c>
      <c r="S36" s="1141">
        <f t="shared" si="14"/>
        <v>0</v>
      </c>
      <c r="T36" s="370"/>
      <c r="U36" s="370"/>
      <c r="V36" s="374"/>
      <c r="W36" s="761">
        <f t="shared" si="15"/>
        <v>0</v>
      </c>
    </row>
    <row r="37" spans="2:23" ht="15.4" x14ac:dyDescent="0.4">
      <c r="B37" s="1133">
        <v>8</v>
      </c>
      <c r="C37" s="1135" t="s">
        <v>1270</v>
      </c>
      <c r="D37" s="1142">
        <f t="shared" si="8"/>
        <v>0</v>
      </c>
      <c r="E37" s="94"/>
      <c r="F37" s="94"/>
      <c r="G37" s="375"/>
      <c r="H37" s="761">
        <f t="shared" si="9"/>
        <v>0</v>
      </c>
      <c r="I37" s="1141">
        <f t="shared" si="10"/>
        <v>0</v>
      </c>
      <c r="J37" s="371"/>
      <c r="K37" s="371"/>
      <c r="L37" s="375"/>
      <c r="M37" s="761">
        <f t="shared" si="11"/>
        <v>0</v>
      </c>
      <c r="N37" s="1141">
        <f t="shared" si="12"/>
        <v>0</v>
      </c>
      <c r="O37" s="371"/>
      <c r="P37" s="371"/>
      <c r="Q37" s="375"/>
      <c r="R37" s="761">
        <f t="shared" si="13"/>
        <v>0</v>
      </c>
      <c r="S37" s="1141">
        <f t="shared" si="14"/>
        <v>0</v>
      </c>
      <c r="T37" s="371"/>
      <c r="U37" s="371"/>
      <c r="V37" s="375"/>
      <c r="W37" s="761">
        <f t="shared" si="15"/>
        <v>0</v>
      </c>
    </row>
    <row r="38" spans="2:23" ht="14.65" x14ac:dyDescent="0.4">
      <c r="B38" s="1136"/>
      <c r="C38" s="1137" t="s">
        <v>164</v>
      </c>
      <c r="D38" s="1140">
        <f>SUM(D30:D37)</f>
        <v>0</v>
      </c>
      <c r="E38" s="1140">
        <f t="shared" ref="E38:W38" si="16">SUM(E30:E37)</f>
        <v>0</v>
      </c>
      <c r="F38" s="1140">
        <f t="shared" si="16"/>
        <v>0</v>
      </c>
      <c r="G38" s="1140">
        <f t="shared" si="16"/>
        <v>0</v>
      </c>
      <c r="H38" s="1140">
        <f t="shared" si="16"/>
        <v>0</v>
      </c>
      <c r="I38" s="1140">
        <f t="shared" si="16"/>
        <v>0</v>
      </c>
      <c r="J38" s="1140">
        <f t="shared" si="16"/>
        <v>0</v>
      </c>
      <c r="K38" s="1140">
        <f t="shared" si="16"/>
        <v>0</v>
      </c>
      <c r="L38" s="1140">
        <f t="shared" si="16"/>
        <v>0</v>
      </c>
      <c r="M38" s="1140">
        <f t="shared" si="16"/>
        <v>0</v>
      </c>
      <c r="N38" s="1140">
        <f t="shared" si="16"/>
        <v>0</v>
      </c>
      <c r="O38" s="1140">
        <f t="shared" si="16"/>
        <v>0</v>
      </c>
      <c r="P38" s="1140">
        <f t="shared" si="16"/>
        <v>0</v>
      </c>
      <c r="Q38" s="1140">
        <f t="shared" si="16"/>
        <v>0</v>
      </c>
      <c r="R38" s="1140">
        <f t="shared" si="16"/>
        <v>0</v>
      </c>
      <c r="S38" s="1140">
        <f t="shared" si="16"/>
        <v>0</v>
      </c>
      <c r="T38" s="1140">
        <f t="shared" si="16"/>
        <v>0.29597659999999998</v>
      </c>
      <c r="U38" s="1140">
        <f t="shared" si="16"/>
        <v>0</v>
      </c>
      <c r="V38" s="1140">
        <f t="shared" si="16"/>
        <v>0</v>
      </c>
      <c r="W38" s="1140">
        <f t="shared" si="16"/>
        <v>0.29597659999999998</v>
      </c>
    </row>
    <row r="39" spans="2:23" x14ac:dyDescent="0.35">
      <c r="B39" s="83"/>
      <c r="C39" s="84"/>
      <c r="D39" s="84"/>
      <c r="E39" s="84"/>
      <c r="F39" s="84"/>
      <c r="G39" s="84"/>
      <c r="H39" s="84"/>
      <c r="J39" s="39"/>
      <c r="M39" s="39"/>
      <c r="N39" s="39"/>
    </row>
    <row r="40" spans="2:23" x14ac:dyDescent="0.35">
      <c r="B40" s="1947" t="s">
        <v>1</v>
      </c>
      <c r="C40" s="1947" t="s">
        <v>111</v>
      </c>
      <c r="D40" s="2052" t="s">
        <v>124</v>
      </c>
      <c r="E40" s="2052"/>
      <c r="F40" s="2052"/>
      <c r="G40" s="2052"/>
      <c r="H40" s="2052"/>
      <c r="I40" s="2052" t="s">
        <v>125</v>
      </c>
      <c r="J40" s="2052"/>
      <c r="K40" s="2052"/>
      <c r="L40" s="2052"/>
      <c r="M40" s="2052"/>
      <c r="N40" s="2052" t="s">
        <v>126</v>
      </c>
      <c r="O40" s="2052"/>
      <c r="P40" s="2052"/>
      <c r="Q40" s="2052"/>
      <c r="R40" s="2052"/>
      <c r="S40" s="2052" t="s">
        <v>127</v>
      </c>
      <c r="T40" s="2052"/>
      <c r="U40" s="2052"/>
      <c r="V40" s="2052"/>
      <c r="W40" s="2052"/>
    </row>
    <row r="41" spans="2:23" x14ac:dyDescent="0.35">
      <c r="B41" s="1947"/>
      <c r="C41" s="1947"/>
      <c r="D41" s="2052" t="s">
        <v>135</v>
      </c>
      <c r="E41" s="2055"/>
      <c r="F41" s="2055"/>
      <c r="G41" s="2055"/>
      <c r="H41" s="2055"/>
      <c r="I41" s="2052" t="s">
        <v>135</v>
      </c>
      <c r="J41" s="2055"/>
      <c r="K41" s="2055"/>
      <c r="L41" s="2055"/>
      <c r="M41" s="2055"/>
      <c r="N41" s="2052" t="s">
        <v>135</v>
      </c>
      <c r="O41" s="2055"/>
      <c r="P41" s="2055"/>
      <c r="Q41" s="2055"/>
      <c r="R41" s="2055"/>
      <c r="S41" s="2052" t="s">
        <v>135</v>
      </c>
      <c r="T41" s="2055"/>
      <c r="U41" s="2055"/>
      <c r="V41" s="2055"/>
      <c r="W41" s="2055"/>
    </row>
    <row r="42" spans="2:23" ht="13.8" customHeight="1" x14ac:dyDescent="0.35">
      <c r="B42" s="1947"/>
      <c r="C42" s="1947"/>
      <c r="D42" s="250" t="s">
        <v>523</v>
      </c>
      <c r="E42" s="250" t="s">
        <v>524</v>
      </c>
      <c r="F42" s="250" t="s">
        <v>525</v>
      </c>
      <c r="G42" s="106" t="s">
        <v>543</v>
      </c>
      <c r="H42" s="250" t="s">
        <v>526</v>
      </c>
      <c r="I42" s="250" t="s">
        <v>523</v>
      </c>
      <c r="J42" s="250" t="s">
        <v>524</v>
      </c>
      <c r="K42" s="250" t="s">
        <v>525</v>
      </c>
      <c r="L42" s="106" t="s">
        <v>543</v>
      </c>
      <c r="M42" s="250" t="s">
        <v>526</v>
      </c>
      <c r="N42" s="250" t="s">
        <v>523</v>
      </c>
      <c r="O42" s="250" t="s">
        <v>524</v>
      </c>
      <c r="P42" s="250" t="s">
        <v>525</v>
      </c>
      <c r="Q42" s="106" t="s">
        <v>543</v>
      </c>
      <c r="R42" s="250" t="s">
        <v>526</v>
      </c>
      <c r="S42" s="250" t="s">
        <v>523</v>
      </c>
      <c r="T42" s="250" t="s">
        <v>524</v>
      </c>
      <c r="U42" s="250" t="s">
        <v>525</v>
      </c>
      <c r="V42" s="106" t="s">
        <v>543</v>
      </c>
      <c r="W42" s="250" t="s">
        <v>526</v>
      </c>
    </row>
    <row r="43" spans="2:23" x14ac:dyDescent="0.35">
      <c r="B43" s="217"/>
      <c r="C43" s="217"/>
      <c r="D43" s="217" t="s">
        <v>128</v>
      </c>
      <c r="E43" s="217" t="s">
        <v>129</v>
      </c>
      <c r="F43" s="217" t="s">
        <v>527</v>
      </c>
      <c r="G43" s="217" t="s">
        <v>130</v>
      </c>
      <c r="H43" s="217" t="s">
        <v>544</v>
      </c>
      <c r="I43" s="217" t="s">
        <v>331</v>
      </c>
      <c r="J43" s="217" t="s">
        <v>132</v>
      </c>
      <c r="K43" s="217" t="s">
        <v>133</v>
      </c>
      <c r="L43" s="217" t="s">
        <v>332</v>
      </c>
      <c r="M43" s="217" t="s">
        <v>545</v>
      </c>
      <c r="N43" s="217" t="s">
        <v>528</v>
      </c>
      <c r="O43" s="217" t="s">
        <v>529</v>
      </c>
      <c r="P43" s="217" t="s">
        <v>334</v>
      </c>
      <c r="Q43" s="217" t="s">
        <v>530</v>
      </c>
      <c r="R43" s="217" t="s">
        <v>546</v>
      </c>
      <c r="S43" s="217" t="s">
        <v>532</v>
      </c>
      <c r="T43" s="217" t="s">
        <v>533</v>
      </c>
      <c r="U43" s="217" t="s">
        <v>534</v>
      </c>
      <c r="V43" s="217" t="s">
        <v>535</v>
      </c>
      <c r="W43" s="217" t="s">
        <v>547</v>
      </c>
    </row>
    <row r="44" spans="2:23" x14ac:dyDescent="0.35">
      <c r="B44" s="1133">
        <v>1</v>
      </c>
      <c r="C44" s="1134" t="s">
        <v>1410</v>
      </c>
      <c r="D44" s="1142">
        <f>+W30</f>
        <v>0</v>
      </c>
      <c r="E44" s="52"/>
      <c r="F44" s="52"/>
      <c r="G44" s="372"/>
      <c r="H44" s="761">
        <f>+D44+E44-F44-G44</f>
        <v>0</v>
      </c>
      <c r="I44" s="1141">
        <f>+H44</f>
        <v>0</v>
      </c>
      <c r="J44" s="86"/>
      <c r="K44" s="86"/>
      <c r="L44" s="372"/>
      <c r="M44" s="761">
        <f>+I44+J44-K44-L44</f>
        <v>0</v>
      </c>
      <c r="N44" s="1141">
        <f>+M44</f>
        <v>0</v>
      </c>
      <c r="O44" s="86"/>
      <c r="P44" s="86"/>
      <c r="Q44" s="372"/>
      <c r="R44" s="761">
        <f>+N44+O44-P44-Q44</f>
        <v>0</v>
      </c>
      <c r="S44" s="1141">
        <f>+R44</f>
        <v>0</v>
      </c>
      <c r="T44" s="86"/>
      <c r="U44" s="86"/>
      <c r="V44" s="372"/>
      <c r="W44" s="761">
        <f>+S44+T44-U44-V44</f>
        <v>0</v>
      </c>
    </row>
    <row r="45" spans="2:23" x14ac:dyDescent="0.35">
      <c r="B45" s="1133">
        <v>2</v>
      </c>
      <c r="C45" s="1134" t="s">
        <v>1409</v>
      </c>
      <c r="D45" s="1142">
        <f t="shared" ref="D45:D51" si="17">+W31</f>
        <v>0</v>
      </c>
      <c r="E45" s="52"/>
      <c r="F45" s="52"/>
      <c r="G45" s="372"/>
      <c r="H45" s="761">
        <f t="shared" ref="H45:H51" si="18">+D45+E45-F45-G45</f>
        <v>0</v>
      </c>
      <c r="I45" s="1141">
        <f t="shared" ref="I45:I51" si="19">+H45</f>
        <v>0</v>
      </c>
      <c r="J45" s="86"/>
      <c r="K45" s="86"/>
      <c r="L45" s="372"/>
      <c r="M45" s="761">
        <f t="shared" ref="M45:M51" si="20">+I45+J45-K45-L45</f>
        <v>0</v>
      </c>
      <c r="N45" s="1141">
        <f t="shared" ref="N45:N51" si="21">+M45</f>
        <v>0</v>
      </c>
      <c r="O45" s="86"/>
      <c r="P45" s="86"/>
      <c r="Q45" s="372"/>
      <c r="R45" s="761">
        <f t="shared" ref="R45:R51" si="22">+N45+O45-P45-Q45</f>
        <v>0</v>
      </c>
      <c r="S45" s="1141">
        <f t="shared" ref="S45:S51" si="23">+R45</f>
        <v>0</v>
      </c>
      <c r="T45" s="86"/>
      <c r="U45" s="86"/>
      <c r="V45" s="372"/>
      <c r="W45" s="761">
        <f t="shared" ref="W45:W51" si="24">+S45+T45-U45-V45</f>
        <v>0</v>
      </c>
    </row>
    <row r="46" spans="2:23" s="39" customFormat="1" x14ac:dyDescent="0.35">
      <c r="B46" s="1133">
        <v>3</v>
      </c>
      <c r="C46" s="1134" t="s">
        <v>440</v>
      </c>
      <c r="D46" s="1142">
        <f t="shared" si="17"/>
        <v>0</v>
      </c>
      <c r="E46" s="275"/>
      <c r="F46" s="275"/>
      <c r="G46" s="373"/>
      <c r="H46" s="761">
        <f t="shared" si="18"/>
        <v>0</v>
      </c>
      <c r="I46" s="1141">
        <f t="shared" si="19"/>
        <v>0</v>
      </c>
      <c r="J46" s="86"/>
      <c r="K46" s="86"/>
      <c r="L46" s="373"/>
      <c r="M46" s="761">
        <f t="shared" si="20"/>
        <v>0</v>
      </c>
      <c r="N46" s="1141">
        <f t="shared" si="21"/>
        <v>0</v>
      </c>
      <c r="O46" s="86"/>
      <c r="P46" s="86"/>
      <c r="Q46" s="373"/>
      <c r="R46" s="761">
        <f t="shared" si="22"/>
        <v>0</v>
      </c>
      <c r="S46" s="1141">
        <f t="shared" si="23"/>
        <v>0</v>
      </c>
      <c r="T46" s="86"/>
      <c r="U46" s="86"/>
      <c r="V46" s="373"/>
      <c r="W46" s="761">
        <f t="shared" si="24"/>
        <v>0</v>
      </c>
    </row>
    <row r="47" spans="2:23" s="39" customFormat="1" x14ac:dyDescent="0.35">
      <c r="B47" s="1133">
        <v>4</v>
      </c>
      <c r="C47" s="1134" t="s">
        <v>915</v>
      </c>
      <c r="D47" s="1142">
        <f t="shared" si="17"/>
        <v>0</v>
      </c>
      <c r="E47" s="52"/>
      <c r="F47" s="52"/>
      <c r="G47" s="372"/>
      <c r="H47" s="761">
        <f t="shared" si="18"/>
        <v>0</v>
      </c>
      <c r="I47" s="1141">
        <f t="shared" si="19"/>
        <v>0</v>
      </c>
      <c r="J47" s="86"/>
      <c r="K47" s="86"/>
      <c r="L47" s="372"/>
      <c r="M47" s="761">
        <f t="shared" si="20"/>
        <v>0</v>
      </c>
      <c r="N47" s="1141">
        <f t="shared" si="21"/>
        <v>0</v>
      </c>
      <c r="O47" s="86"/>
      <c r="P47" s="86"/>
      <c r="Q47" s="372"/>
      <c r="R47" s="761">
        <f t="shared" si="22"/>
        <v>0</v>
      </c>
      <c r="S47" s="1141">
        <f t="shared" si="23"/>
        <v>0</v>
      </c>
      <c r="T47" s="86"/>
      <c r="U47" s="86"/>
      <c r="V47" s="372"/>
      <c r="W47" s="761">
        <f t="shared" si="24"/>
        <v>0</v>
      </c>
    </row>
    <row r="48" spans="2:23" s="39" customFormat="1" x14ac:dyDescent="0.35">
      <c r="B48" s="1133">
        <v>5</v>
      </c>
      <c r="C48" s="1134" t="s">
        <v>447</v>
      </c>
      <c r="D48" s="1142">
        <f t="shared" si="17"/>
        <v>0.29597659999999998</v>
      </c>
      <c r="E48" s="52">
        <f>+'F4.2'!AZ26</f>
        <v>0.06</v>
      </c>
      <c r="F48" s="52"/>
      <c r="G48" s="372"/>
      <c r="H48" s="761">
        <f t="shared" si="18"/>
        <v>0.35597659999999998</v>
      </c>
      <c r="I48" s="1141">
        <f t="shared" si="19"/>
        <v>0.35597659999999998</v>
      </c>
      <c r="J48" s="86"/>
      <c r="K48" s="86"/>
      <c r="L48" s="372"/>
      <c r="M48" s="761">
        <f t="shared" si="20"/>
        <v>0.35597659999999998</v>
      </c>
      <c r="N48" s="1141">
        <f t="shared" si="21"/>
        <v>0.35597659999999998</v>
      </c>
      <c r="O48" s="86"/>
      <c r="P48" s="86"/>
      <c r="Q48" s="372"/>
      <c r="R48" s="761">
        <f t="shared" si="22"/>
        <v>0.35597659999999998</v>
      </c>
      <c r="S48" s="1141">
        <f t="shared" si="23"/>
        <v>0.35597659999999998</v>
      </c>
      <c r="T48" s="86"/>
      <c r="U48" s="86"/>
      <c r="V48" s="372"/>
      <c r="W48" s="761">
        <f t="shared" si="24"/>
        <v>0.35597659999999998</v>
      </c>
    </row>
    <row r="49" spans="2:26" x14ac:dyDescent="0.35">
      <c r="B49" s="1133">
        <v>6</v>
      </c>
      <c r="C49" s="1134" t="s">
        <v>879</v>
      </c>
      <c r="D49" s="1142">
        <f t="shared" si="17"/>
        <v>0</v>
      </c>
      <c r="E49" s="52"/>
      <c r="F49" s="52"/>
      <c r="G49" s="372"/>
      <c r="H49" s="761">
        <f t="shared" si="18"/>
        <v>0</v>
      </c>
      <c r="I49" s="1141">
        <f t="shared" si="19"/>
        <v>0</v>
      </c>
      <c r="J49" s="86"/>
      <c r="K49" s="86"/>
      <c r="L49" s="372"/>
      <c r="M49" s="761">
        <f t="shared" si="20"/>
        <v>0</v>
      </c>
      <c r="N49" s="1141">
        <f t="shared" si="21"/>
        <v>0</v>
      </c>
      <c r="O49" s="86"/>
      <c r="P49" s="86"/>
      <c r="Q49" s="372"/>
      <c r="R49" s="761">
        <f t="shared" si="22"/>
        <v>0</v>
      </c>
      <c r="S49" s="1141">
        <f t="shared" si="23"/>
        <v>0</v>
      </c>
      <c r="T49" s="86"/>
      <c r="U49" s="86"/>
      <c r="V49" s="372"/>
      <c r="W49" s="761">
        <f t="shared" si="24"/>
        <v>0</v>
      </c>
    </row>
    <row r="50" spans="2:26" x14ac:dyDescent="0.4">
      <c r="B50" s="1133">
        <v>7</v>
      </c>
      <c r="C50" s="1135" t="s">
        <v>1269</v>
      </c>
      <c r="D50" s="1142">
        <f t="shared" si="17"/>
        <v>0</v>
      </c>
      <c r="E50" s="86"/>
      <c r="F50" s="86"/>
      <c r="G50" s="374"/>
      <c r="H50" s="761">
        <f t="shared" si="18"/>
        <v>0</v>
      </c>
      <c r="I50" s="1141">
        <f t="shared" si="19"/>
        <v>0</v>
      </c>
      <c r="J50" s="370"/>
      <c r="K50" s="370"/>
      <c r="L50" s="374"/>
      <c r="M50" s="761">
        <f t="shared" si="20"/>
        <v>0</v>
      </c>
      <c r="N50" s="1141">
        <f t="shared" si="21"/>
        <v>0</v>
      </c>
      <c r="O50" s="370"/>
      <c r="P50" s="370"/>
      <c r="Q50" s="374"/>
      <c r="R50" s="761">
        <f t="shared" si="22"/>
        <v>0</v>
      </c>
      <c r="S50" s="1141">
        <f t="shared" si="23"/>
        <v>0</v>
      </c>
      <c r="T50" s="370"/>
      <c r="U50" s="370"/>
      <c r="V50" s="374"/>
      <c r="W50" s="761">
        <f t="shared" si="24"/>
        <v>0</v>
      </c>
    </row>
    <row r="51" spans="2:26" ht="15.4" x14ac:dyDescent="0.4">
      <c r="B51" s="1133">
        <v>8</v>
      </c>
      <c r="C51" s="1135" t="s">
        <v>1270</v>
      </c>
      <c r="D51" s="1142">
        <f t="shared" si="17"/>
        <v>0</v>
      </c>
      <c r="E51" s="94"/>
      <c r="F51" s="94"/>
      <c r="G51" s="375"/>
      <c r="H51" s="761">
        <f t="shared" si="18"/>
        <v>0</v>
      </c>
      <c r="I51" s="1141">
        <f t="shared" si="19"/>
        <v>0</v>
      </c>
      <c r="J51" s="371"/>
      <c r="K51" s="371"/>
      <c r="L51" s="375"/>
      <c r="M51" s="761">
        <f t="shared" si="20"/>
        <v>0</v>
      </c>
      <c r="N51" s="1141">
        <f t="shared" si="21"/>
        <v>0</v>
      </c>
      <c r="O51" s="371"/>
      <c r="P51" s="371"/>
      <c r="Q51" s="375"/>
      <c r="R51" s="761">
        <f t="shared" si="22"/>
        <v>0</v>
      </c>
      <c r="S51" s="1141">
        <f t="shared" si="23"/>
        <v>0</v>
      </c>
      <c r="T51" s="371"/>
      <c r="U51" s="371"/>
      <c r="V51" s="375"/>
      <c r="W51" s="761">
        <f t="shared" si="24"/>
        <v>0</v>
      </c>
    </row>
    <row r="52" spans="2:26" ht="14.65" x14ac:dyDescent="0.4">
      <c r="B52" s="1136"/>
      <c r="C52" s="1137" t="s">
        <v>164</v>
      </c>
      <c r="D52" s="1140">
        <f>SUM(D44:D51)</f>
        <v>0.29597659999999998</v>
      </c>
      <c r="E52" s="1140">
        <f t="shared" ref="E52:W52" si="25">SUM(E44:E51)</f>
        <v>0.06</v>
      </c>
      <c r="F52" s="1140">
        <f t="shared" si="25"/>
        <v>0</v>
      </c>
      <c r="G52" s="1140">
        <f t="shared" si="25"/>
        <v>0</v>
      </c>
      <c r="H52" s="1140">
        <f t="shared" si="25"/>
        <v>0.35597659999999998</v>
      </c>
      <c r="I52" s="1140">
        <f t="shared" si="25"/>
        <v>0.35597659999999998</v>
      </c>
      <c r="J52" s="1140">
        <f t="shared" si="25"/>
        <v>0</v>
      </c>
      <c r="K52" s="1140">
        <f t="shared" si="25"/>
        <v>0</v>
      </c>
      <c r="L52" s="1140">
        <f t="shared" si="25"/>
        <v>0</v>
      </c>
      <c r="M52" s="1140">
        <f t="shared" si="25"/>
        <v>0.35597659999999998</v>
      </c>
      <c r="N52" s="1140">
        <f t="shared" si="25"/>
        <v>0.35597659999999998</v>
      </c>
      <c r="O52" s="1140">
        <f t="shared" si="25"/>
        <v>0</v>
      </c>
      <c r="P52" s="1140">
        <f t="shared" si="25"/>
        <v>0</v>
      </c>
      <c r="Q52" s="1140">
        <f t="shared" si="25"/>
        <v>0</v>
      </c>
      <c r="R52" s="1140">
        <f t="shared" si="25"/>
        <v>0.35597659999999998</v>
      </c>
      <c r="S52" s="1140">
        <f t="shared" si="25"/>
        <v>0.35597659999999998</v>
      </c>
      <c r="T52" s="1140">
        <f t="shared" si="25"/>
        <v>0</v>
      </c>
      <c r="U52" s="1140">
        <f t="shared" si="25"/>
        <v>0</v>
      </c>
      <c r="V52" s="1140">
        <f t="shared" si="25"/>
        <v>0</v>
      </c>
      <c r="W52" s="1140">
        <f t="shared" si="25"/>
        <v>0.35597659999999998</v>
      </c>
    </row>
    <row r="54" spans="2:26" ht="15.4" x14ac:dyDescent="0.35">
      <c r="B54" s="83" t="s">
        <v>536</v>
      </c>
      <c r="X54" s="125"/>
      <c r="Y54" s="125"/>
      <c r="Z54" s="125"/>
    </row>
    <row r="55" spans="2:26" x14ac:dyDescent="0.35">
      <c r="J55" s="39"/>
      <c r="M55" s="39"/>
      <c r="N55" s="39"/>
      <c r="R55" s="160" t="s">
        <v>110</v>
      </c>
    </row>
    <row r="56" spans="2:26" ht="15.4" x14ac:dyDescent="0.35">
      <c r="B56" s="1947" t="s">
        <v>1</v>
      </c>
      <c r="C56" s="1947" t="s">
        <v>111</v>
      </c>
      <c r="D56" s="2052" t="s">
        <v>196</v>
      </c>
      <c r="E56" s="2052"/>
      <c r="F56" s="2052"/>
      <c r="G56" s="2052"/>
      <c r="H56" s="2052"/>
      <c r="I56" s="1947" t="s">
        <v>197</v>
      </c>
      <c r="J56" s="1947"/>
      <c r="K56" s="1947"/>
      <c r="L56" s="1947"/>
      <c r="M56" s="1947"/>
      <c r="N56" s="1947" t="s">
        <v>198</v>
      </c>
      <c r="O56" s="1947"/>
      <c r="P56" s="1947"/>
      <c r="Q56" s="1947"/>
      <c r="R56" s="1947"/>
      <c r="S56" s="1947" t="s">
        <v>199</v>
      </c>
      <c r="T56" s="1947"/>
      <c r="U56" s="1947"/>
      <c r="V56" s="1947"/>
      <c r="W56" s="1947"/>
      <c r="X56" s="125"/>
      <c r="Y56" s="125"/>
      <c r="Z56" s="125"/>
    </row>
    <row r="57" spans="2:26" x14ac:dyDescent="0.35">
      <c r="B57" s="1947"/>
      <c r="C57" s="1947"/>
      <c r="D57" s="1947" t="s">
        <v>186</v>
      </c>
      <c r="E57" s="2051"/>
      <c r="F57" s="2051"/>
      <c r="G57" s="2051"/>
      <c r="H57" s="2051"/>
      <c r="I57" s="1947" t="s">
        <v>186</v>
      </c>
      <c r="J57" s="2051"/>
      <c r="K57" s="2051"/>
      <c r="L57" s="2051"/>
      <c r="M57" s="2051"/>
      <c r="N57" s="1947" t="s">
        <v>186</v>
      </c>
      <c r="O57" s="2051"/>
      <c r="P57" s="2051"/>
      <c r="Q57" s="2051"/>
      <c r="R57" s="2051"/>
      <c r="S57" s="1947" t="s">
        <v>186</v>
      </c>
      <c r="T57" s="2051"/>
      <c r="U57" s="2051"/>
      <c r="V57" s="2051"/>
      <c r="W57" s="2051"/>
    </row>
    <row r="58" spans="2:26" ht="40.5" x14ac:dyDescent="0.35">
      <c r="B58" s="1947"/>
      <c r="C58" s="1947"/>
      <c r="D58" s="250" t="s">
        <v>537</v>
      </c>
      <c r="E58" s="250" t="s">
        <v>524</v>
      </c>
      <c r="F58" s="251" t="s">
        <v>538</v>
      </c>
      <c r="G58" s="106" t="s">
        <v>543</v>
      </c>
      <c r="H58" s="250" t="s">
        <v>539</v>
      </c>
      <c r="I58" s="250" t="s">
        <v>537</v>
      </c>
      <c r="J58" s="250" t="s">
        <v>524</v>
      </c>
      <c r="K58" s="251" t="s">
        <v>538</v>
      </c>
      <c r="L58" s="106" t="s">
        <v>543</v>
      </c>
      <c r="M58" s="250" t="s">
        <v>539</v>
      </c>
      <c r="N58" s="250" t="s">
        <v>537</v>
      </c>
      <c r="O58" s="250" t="s">
        <v>524</v>
      </c>
      <c r="P58" s="251" t="s">
        <v>538</v>
      </c>
      <c r="Q58" s="106" t="s">
        <v>543</v>
      </c>
      <c r="R58" s="250" t="s">
        <v>539</v>
      </c>
      <c r="S58" s="250" t="s">
        <v>537</v>
      </c>
      <c r="T58" s="250" t="s">
        <v>524</v>
      </c>
      <c r="U58" s="251" t="s">
        <v>538</v>
      </c>
      <c r="V58" s="106" t="s">
        <v>543</v>
      </c>
      <c r="W58" s="250" t="s">
        <v>539</v>
      </c>
    </row>
    <row r="59" spans="2:26" ht="13.8" customHeight="1" x14ac:dyDescent="0.35">
      <c r="B59" s="217"/>
      <c r="C59" s="217"/>
      <c r="D59" s="217" t="s">
        <v>128</v>
      </c>
      <c r="E59" s="217" t="s">
        <v>129</v>
      </c>
      <c r="F59" s="217" t="s">
        <v>527</v>
      </c>
      <c r="G59" s="217" t="s">
        <v>130</v>
      </c>
      <c r="H59" s="217" t="s">
        <v>544</v>
      </c>
      <c r="I59" s="217" t="s">
        <v>331</v>
      </c>
      <c r="J59" s="217" t="s">
        <v>132</v>
      </c>
      <c r="K59" s="217" t="s">
        <v>133</v>
      </c>
      <c r="L59" s="217" t="s">
        <v>332</v>
      </c>
      <c r="M59" s="217" t="s">
        <v>545</v>
      </c>
      <c r="N59" s="217" t="s">
        <v>528</v>
      </c>
      <c r="O59" s="217" t="s">
        <v>529</v>
      </c>
      <c r="P59" s="217" t="s">
        <v>334</v>
      </c>
      <c r="Q59" s="217" t="s">
        <v>530</v>
      </c>
      <c r="R59" s="217" t="s">
        <v>546</v>
      </c>
      <c r="S59" s="217" t="s">
        <v>532</v>
      </c>
      <c r="T59" s="217" t="s">
        <v>533</v>
      </c>
      <c r="U59" s="217" t="s">
        <v>534</v>
      </c>
      <c r="V59" s="217" t="s">
        <v>535</v>
      </c>
      <c r="W59" s="217" t="s">
        <v>547</v>
      </c>
    </row>
    <row r="60" spans="2:26" x14ac:dyDescent="0.35">
      <c r="B60" s="1133">
        <v>1</v>
      </c>
      <c r="C60" s="1134" t="s">
        <v>1410</v>
      </c>
      <c r="D60" s="1142"/>
      <c r="E60" s="52"/>
      <c r="F60" s="52"/>
      <c r="G60" s="372"/>
      <c r="H60" s="761">
        <f>+D60+E60-F60-G60</f>
        <v>0</v>
      </c>
      <c r="I60" s="1141">
        <f>+H60</f>
        <v>0</v>
      </c>
      <c r="J60" s="86"/>
      <c r="K60" s="86"/>
      <c r="L60" s="372"/>
      <c r="M60" s="761">
        <f>+I60+J60-K60-L60</f>
        <v>0</v>
      </c>
      <c r="N60" s="1141">
        <f>+M60</f>
        <v>0</v>
      </c>
      <c r="O60" s="86"/>
      <c r="P60" s="86"/>
      <c r="Q60" s="372"/>
      <c r="R60" s="761">
        <f>+N60+O60-P60-Q60</f>
        <v>0</v>
      </c>
      <c r="S60" s="1141">
        <f>+R60</f>
        <v>0</v>
      </c>
      <c r="T60" s="86"/>
      <c r="U60" s="86"/>
      <c r="V60" s="372"/>
      <c r="W60" s="761">
        <f>+S60+T60-U60-V60</f>
        <v>0</v>
      </c>
    </row>
    <row r="61" spans="2:26" x14ac:dyDescent="0.35">
      <c r="B61" s="1133">
        <v>2</v>
      </c>
      <c r="C61" s="1134" t="s">
        <v>1409</v>
      </c>
      <c r="D61" s="1142"/>
      <c r="E61" s="52"/>
      <c r="F61" s="52"/>
      <c r="G61" s="372"/>
      <c r="H61" s="761">
        <f t="shared" ref="H61:H67" si="26">+D61+E61-F61-G61</f>
        <v>0</v>
      </c>
      <c r="I61" s="1141">
        <f t="shared" ref="I61:I67" si="27">+H61</f>
        <v>0</v>
      </c>
      <c r="J61" s="86"/>
      <c r="K61" s="86"/>
      <c r="L61" s="372"/>
      <c r="M61" s="761">
        <f t="shared" ref="M61:M67" si="28">+I61+J61-K61-L61</f>
        <v>0</v>
      </c>
      <c r="N61" s="1141">
        <f t="shared" ref="N61:N67" si="29">+M61</f>
        <v>0</v>
      </c>
      <c r="O61" s="86"/>
      <c r="P61" s="86"/>
      <c r="Q61" s="372"/>
      <c r="R61" s="761">
        <f t="shared" ref="R61:R67" si="30">+N61+O61-P61-Q61</f>
        <v>0</v>
      </c>
      <c r="S61" s="1141">
        <f t="shared" ref="S61:S67" si="31">+R61</f>
        <v>0</v>
      </c>
      <c r="T61" s="86"/>
      <c r="U61" s="86"/>
      <c r="V61" s="372"/>
      <c r="W61" s="761">
        <f t="shared" ref="W61:W67" si="32">+S61+T61-U61-V61</f>
        <v>0</v>
      </c>
    </row>
    <row r="62" spans="2:26" x14ac:dyDescent="0.35">
      <c r="B62" s="1133">
        <v>3</v>
      </c>
      <c r="C62" s="1134" t="s">
        <v>440</v>
      </c>
      <c r="D62" s="1142"/>
      <c r="E62" s="275"/>
      <c r="F62" s="275"/>
      <c r="G62" s="373"/>
      <c r="H62" s="761">
        <f t="shared" si="26"/>
        <v>0</v>
      </c>
      <c r="I62" s="1141">
        <f t="shared" si="27"/>
        <v>0</v>
      </c>
      <c r="J62" s="86"/>
      <c r="K62" s="86"/>
      <c r="L62" s="373"/>
      <c r="M62" s="761">
        <f t="shared" si="28"/>
        <v>0</v>
      </c>
      <c r="N62" s="1141">
        <f t="shared" si="29"/>
        <v>0</v>
      </c>
      <c r="O62" s="86"/>
      <c r="P62" s="86"/>
      <c r="Q62" s="373"/>
      <c r="R62" s="761">
        <f t="shared" si="30"/>
        <v>0</v>
      </c>
      <c r="S62" s="1141">
        <f t="shared" si="31"/>
        <v>0</v>
      </c>
      <c r="T62" s="86"/>
      <c r="U62" s="86"/>
      <c r="V62" s="373"/>
      <c r="W62" s="761">
        <f t="shared" si="32"/>
        <v>0</v>
      </c>
    </row>
    <row r="63" spans="2:26" x14ac:dyDescent="0.35">
      <c r="B63" s="1133">
        <v>4</v>
      </c>
      <c r="C63" s="1134" t="s">
        <v>915</v>
      </c>
      <c r="D63" s="1142"/>
      <c r="E63" s="52"/>
      <c r="F63" s="52"/>
      <c r="G63" s="372"/>
      <c r="H63" s="761">
        <f t="shared" si="26"/>
        <v>0</v>
      </c>
      <c r="I63" s="1141">
        <f t="shared" si="27"/>
        <v>0</v>
      </c>
      <c r="J63" s="86"/>
      <c r="K63" s="86"/>
      <c r="L63" s="372"/>
      <c r="M63" s="761">
        <f t="shared" si="28"/>
        <v>0</v>
      </c>
      <c r="N63" s="1141">
        <f t="shared" si="29"/>
        <v>0</v>
      </c>
      <c r="O63" s="86"/>
      <c r="P63" s="86"/>
      <c r="Q63" s="372"/>
      <c r="R63" s="761">
        <f t="shared" si="30"/>
        <v>0</v>
      </c>
      <c r="S63" s="1141">
        <f t="shared" si="31"/>
        <v>0</v>
      </c>
      <c r="T63" s="86"/>
      <c r="U63" s="86"/>
      <c r="V63" s="372"/>
      <c r="W63" s="761">
        <f t="shared" si="32"/>
        <v>0</v>
      </c>
    </row>
    <row r="64" spans="2:26" x14ac:dyDescent="0.35">
      <c r="B64" s="1133">
        <v>5</v>
      </c>
      <c r="C64" s="1134" t="s">
        <v>447</v>
      </c>
      <c r="D64" s="1142"/>
      <c r="E64" s="52"/>
      <c r="F64" s="52"/>
      <c r="G64" s="372"/>
      <c r="H64" s="761">
        <f t="shared" si="26"/>
        <v>0</v>
      </c>
      <c r="I64" s="1141">
        <f t="shared" si="27"/>
        <v>0</v>
      </c>
      <c r="J64" s="86"/>
      <c r="K64" s="86"/>
      <c r="L64" s="372"/>
      <c r="M64" s="761">
        <f t="shared" si="28"/>
        <v>0</v>
      </c>
      <c r="N64" s="1141">
        <f t="shared" si="29"/>
        <v>0</v>
      </c>
      <c r="O64" s="86"/>
      <c r="P64" s="86"/>
      <c r="Q64" s="372"/>
      <c r="R64" s="761">
        <f t="shared" si="30"/>
        <v>0</v>
      </c>
      <c r="S64" s="1141">
        <f t="shared" si="31"/>
        <v>0</v>
      </c>
      <c r="T64" s="86"/>
      <c r="U64" s="86"/>
      <c r="V64" s="372"/>
      <c r="W64" s="761">
        <f t="shared" si="32"/>
        <v>0</v>
      </c>
    </row>
    <row r="65" spans="2:23" x14ac:dyDescent="0.35">
      <c r="B65" s="1133">
        <v>6</v>
      </c>
      <c r="C65" s="1134" t="s">
        <v>879</v>
      </c>
      <c r="D65" s="1142"/>
      <c r="E65" s="52"/>
      <c r="F65" s="52"/>
      <c r="G65" s="372"/>
      <c r="H65" s="761">
        <f t="shared" si="26"/>
        <v>0</v>
      </c>
      <c r="I65" s="1141">
        <f t="shared" si="27"/>
        <v>0</v>
      </c>
      <c r="J65" s="86"/>
      <c r="K65" s="86"/>
      <c r="L65" s="372"/>
      <c r="M65" s="761">
        <f t="shared" si="28"/>
        <v>0</v>
      </c>
      <c r="N65" s="1141">
        <f t="shared" si="29"/>
        <v>0</v>
      </c>
      <c r="O65" s="86"/>
      <c r="P65" s="86"/>
      <c r="Q65" s="372"/>
      <c r="R65" s="761">
        <f t="shared" si="30"/>
        <v>0</v>
      </c>
      <c r="S65" s="1141">
        <f t="shared" si="31"/>
        <v>0</v>
      </c>
      <c r="T65" s="86"/>
      <c r="U65" s="86"/>
      <c r="V65" s="372"/>
      <c r="W65" s="761">
        <f t="shared" si="32"/>
        <v>0</v>
      </c>
    </row>
    <row r="66" spans="2:23" x14ac:dyDescent="0.4">
      <c r="B66" s="1133">
        <v>7</v>
      </c>
      <c r="C66" s="1135" t="s">
        <v>1269</v>
      </c>
      <c r="D66" s="1142"/>
      <c r="E66" s="86"/>
      <c r="F66" s="86"/>
      <c r="G66" s="374"/>
      <c r="H66" s="761">
        <f t="shared" si="26"/>
        <v>0</v>
      </c>
      <c r="I66" s="1141">
        <f t="shared" si="27"/>
        <v>0</v>
      </c>
      <c r="J66" s="370"/>
      <c r="K66" s="370"/>
      <c r="L66" s="374"/>
      <c r="M66" s="761">
        <f t="shared" si="28"/>
        <v>0</v>
      </c>
      <c r="N66" s="1141">
        <f t="shared" si="29"/>
        <v>0</v>
      </c>
      <c r="O66" s="370"/>
      <c r="P66" s="370"/>
      <c r="Q66" s="374"/>
      <c r="R66" s="761">
        <f t="shared" si="30"/>
        <v>0</v>
      </c>
      <c r="S66" s="1141">
        <f t="shared" si="31"/>
        <v>0</v>
      </c>
      <c r="T66" s="370"/>
      <c r="U66" s="370"/>
      <c r="V66" s="374"/>
      <c r="W66" s="761">
        <f t="shared" si="32"/>
        <v>0</v>
      </c>
    </row>
    <row r="67" spans="2:23" ht="15.4" x14ac:dyDescent="0.4">
      <c r="B67" s="1133">
        <v>8</v>
      </c>
      <c r="C67" s="1135" t="s">
        <v>1270</v>
      </c>
      <c r="D67" s="1142"/>
      <c r="E67" s="94"/>
      <c r="F67" s="94"/>
      <c r="G67" s="375"/>
      <c r="H67" s="761">
        <f t="shared" si="26"/>
        <v>0</v>
      </c>
      <c r="I67" s="1141">
        <f t="shared" si="27"/>
        <v>0</v>
      </c>
      <c r="J67" s="371"/>
      <c r="K67" s="371"/>
      <c r="L67" s="375"/>
      <c r="M67" s="761">
        <f t="shared" si="28"/>
        <v>0</v>
      </c>
      <c r="N67" s="1141">
        <f t="shared" si="29"/>
        <v>0</v>
      </c>
      <c r="O67" s="371"/>
      <c r="P67" s="371"/>
      <c r="Q67" s="375"/>
      <c r="R67" s="761">
        <f t="shared" si="30"/>
        <v>0</v>
      </c>
      <c r="S67" s="1141">
        <f t="shared" si="31"/>
        <v>0</v>
      </c>
      <c r="T67" s="371"/>
      <c r="U67" s="371"/>
      <c r="V67" s="375"/>
      <c r="W67" s="761">
        <f t="shared" si="32"/>
        <v>0</v>
      </c>
    </row>
    <row r="68" spans="2:23" ht="14.65" x14ac:dyDescent="0.4">
      <c r="B68" s="1136"/>
      <c r="C68" s="1137" t="s">
        <v>164</v>
      </c>
      <c r="D68" s="1140">
        <f>SUM(D60:D67)</f>
        <v>0</v>
      </c>
      <c r="E68" s="1140">
        <f t="shared" ref="E68:W68" si="33">SUM(E60:E67)</f>
        <v>0</v>
      </c>
      <c r="F68" s="1140">
        <f t="shared" si="33"/>
        <v>0</v>
      </c>
      <c r="G68" s="1140">
        <f t="shared" si="33"/>
        <v>0</v>
      </c>
      <c r="H68" s="1140">
        <f t="shared" si="33"/>
        <v>0</v>
      </c>
      <c r="I68" s="1140">
        <f t="shared" si="33"/>
        <v>0</v>
      </c>
      <c r="J68" s="1140">
        <f t="shared" si="33"/>
        <v>0</v>
      </c>
      <c r="K68" s="1140">
        <f t="shared" si="33"/>
        <v>0</v>
      </c>
      <c r="L68" s="1140">
        <f t="shared" si="33"/>
        <v>0</v>
      </c>
      <c r="M68" s="1140">
        <f t="shared" si="33"/>
        <v>0</v>
      </c>
      <c r="N68" s="1140">
        <f t="shared" si="33"/>
        <v>0</v>
      </c>
      <c r="O68" s="1140">
        <f t="shared" si="33"/>
        <v>0</v>
      </c>
      <c r="P68" s="1140">
        <f t="shared" si="33"/>
        <v>0</v>
      </c>
      <c r="Q68" s="1140">
        <f t="shared" si="33"/>
        <v>0</v>
      </c>
      <c r="R68" s="1140">
        <f t="shared" si="33"/>
        <v>0</v>
      </c>
      <c r="S68" s="1140">
        <f t="shared" si="33"/>
        <v>0</v>
      </c>
      <c r="T68" s="1140">
        <f t="shared" si="33"/>
        <v>0</v>
      </c>
      <c r="U68" s="1140">
        <f t="shared" si="33"/>
        <v>0</v>
      </c>
      <c r="V68" s="1140">
        <f t="shared" si="33"/>
        <v>0</v>
      </c>
      <c r="W68" s="1140">
        <f t="shared" si="33"/>
        <v>0</v>
      </c>
    </row>
    <row r="69" spans="2:23" x14ac:dyDescent="0.35">
      <c r="J69" s="39"/>
      <c r="M69" s="39"/>
      <c r="N69" s="39"/>
      <c r="R69" s="160" t="s">
        <v>110</v>
      </c>
    </row>
    <row r="70" spans="2:23" x14ac:dyDescent="0.35">
      <c r="B70" s="1947" t="s">
        <v>1</v>
      </c>
      <c r="C70" s="1947" t="s">
        <v>111</v>
      </c>
      <c r="D70" s="2052" t="s">
        <v>112</v>
      </c>
      <c r="E70" s="2052"/>
      <c r="F70" s="2052"/>
      <c r="G70" s="2052"/>
      <c r="H70" s="2052"/>
      <c r="I70" s="2052" t="s">
        <v>113</v>
      </c>
      <c r="J70" s="2052"/>
      <c r="K70" s="2052"/>
      <c r="L70" s="2052"/>
      <c r="M70" s="2052"/>
      <c r="N70" s="1947" t="s">
        <v>114</v>
      </c>
      <c r="O70" s="1947"/>
      <c r="P70" s="1947"/>
      <c r="Q70" s="1947"/>
      <c r="R70" s="1947"/>
      <c r="S70" s="1947" t="s">
        <v>123</v>
      </c>
      <c r="T70" s="1947"/>
      <c r="U70" s="1947"/>
      <c r="V70" s="1947"/>
      <c r="W70" s="1947"/>
    </row>
    <row r="71" spans="2:23" x14ac:dyDescent="0.35">
      <c r="B71" s="1947"/>
      <c r="C71" s="1947"/>
      <c r="D71" s="1947" t="s">
        <v>186</v>
      </c>
      <c r="E71" s="2051"/>
      <c r="F71" s="2051"/>
      <c r="G71" s="2051"/>
      <c r="H71" s="2051"/>
      <c r="I71" s="1947" t="s">
        <v>186</v>
      </c>
      <c r="J71" s="2051"/>
      <c r="K71" s="2051"/>
      <c r="L71" s="2051"/>
      <c r="M71" s="2051"/>
      <c r="N71" s="1947" t="s">
        <v>187</v>
      </c>
      <c r="O71" s="2051"/>
      <c r="P71" s="2051"/>
      <c r="Q71" s="2051"/>
      <c r="R71" s="2051"/>
      <c r="S71" s="1947" t="s">
        <v>135</v>
      </c>
      <c r="T71" s="2051"/>
      <c r="U71" s="2051"/>
      <c r="V71" s="2051"/>
      <c r="W71" s="2051"/>
    </row>
    <row r="72" spans="2:23" ht="40.5" x14ac:dyDescent="0.35">
      <c r="B72" s="1947"/>
      <c r="C72" s="1947"/>
      <c r="D72" s="250" t="s">
        <v>537</v>
      </c>
      <c r="E72" s="250" t="s">
        <v>524</v>
      </c>
      <c r="F72" s="251" t="s">
        <v>538</v>
      </c>
      <c r="G72" s="106" t="s">
        <v>543</v>
      </c>
      <c r="H72" s="250" t="s">
        <v>539</v>
      </c>
      <c r="I72" s="250" t="s">
        <v>537</v>
      </c>
      <c r="J72" s="250" t="s">
        <v>524</v>
      </c>
      <c r="K72" s="251" t="s">
        <v>538</v>
      </c>
      <c r="L72" s="106" t="s">
        <v>543</v>
      </c>
      <c r="M72" s="250" t="s">
        <v>539</v>
      </c>
      <c r="N72" s="250" t="s">
        <v>537</v>
      </c>
      <c r="O72" s="250" t="s">
        <v>524</v>
      </c>
      <c r="P72" s="251" t="s">
        <v>538</v>
      </c>
      <c r="Q72" s="106" t="s">
        <v>543</v>
      </c>
      <c r="R72" s="250" t="s">
        <v>539</v>
      </c>
      <c r="S72" s="250" t="s">
        <v>537</v>
      </c>
      <c r="T72" s="250" t="s">
        <v>524</v>
      </c>
      <c r="U72" s="251" t="s">
        <v>538</v>
      </c>
      <c r="V72" s="106" t="s">
        <v>543</v>
      </c>
      <c r="W72" s="250" t="s">
        <v>539</v>
      </c>
    </row>
    <row r="73" spans="2:23" ht="13.8" customHeight="1" x14ac:dyDescent="0.35">
      <c r="B73" s="217"/>
      <c r="C73" s="217"/>
      <c r="D73" s="217" t="s">
        <v>128</v>
      </c>
      <c r="E73" s="217" t="s">
        <v>129</v>
      </c>
      <c r="F73" s="217" t="s">
        <v>527</v>
      </c>
      <c r="G73" s="217" t="s">
        <v>130</v>
      </c>
      <c r="H73" s="217" t="s">
        <v>544</v>
      </c>
      <c r="I73" s="217" t="s">
        <v>331</v>
      </c>
      <c r="J73" s="217" t="s">
        <v>132</v>
      </c>
      <c r="K73" s="217" t="s">
        <v>133</v>
      </c>
      <c r="L73" s="217" t="s">
        <v>332</v>
      </c>
      <c r="M73" s="217" t="s">
        <v>545</v>
      </c>
      <c r="N73" s="217" t="s">
        <v>528</v>
      </c>
      <c r="O73" s="217" t="s">
        <v>529</v>
      </c>
      <c r="P73" s="217" t="s">
        <v>334</v>
      </c>
      <c r="Q73" s="217" t="s">
        <v>530</v>
      </c>
      <c r="R73" s="217" t="s">
        <v>546</v>
      </c>
      <c r="S73" s="217" t="s">
        <v>532</v>
      </c>
      <c r="T73" s="217" t="s">
        <v>533</v>
      </c>
      <c r="U73" s="217" t="s">
        <v>534</v>
      </c>
      <c r="V73" s="217" t="s">
        <v>535</v>
      </c>
      <c r="W73" s="217" t="s">
        <v>547</v>
      </c>
    </row>
    <row r="74" spans="2:23" x14ac:dyDescent="0.35">
      <c r="B74" s="1133">
        <v>1</v>
      </c>
      <c r="C74" s="1134" t="s">
        <v>1410</v>
      </c>
      <c r="D74" s="1142">
        <f>+W60</f>
        <v>0</v>
      </c>
      <c r="E74" s="52"/>
      <c r="F74" s="52"/>
      <c r="G74" s="372"/>
      <c r="H74" s="761">
        <f>+D74+E74-F74-G74</f>
        <v>0</v>
      </c>
      <c r="I74" s="1141">
        <f>+H74</f>
        <v>0</v>
      </c>
      <c r="J74" s="86"/>
      <c r="K74" s="86"/>
      <c r="L74" s="372"/>
      <c r="M74" s="761">
        <f>+I74+J74-K74-L74</f>
        <v>0</v>
      </c>
      <c r="N74" s="1141">
        <f>+M74</f>
        <v>0</v>
      </c>
      <c r="O74" s="86"/>
      <c r="P74" s="86"/>
      <c r="Q74" s="372"/>
      <c r="R74" s="761">
        <f>+N74+O74-P74-Q74</f>
        <v>0</v>
      </c>
      <c r="S74" s="1141">
        <f>+R74</f>
        <v>0</v>
      </c>
      <c r="T74" s="676">
        <f>AVERAGE(S30,W30)*Assum!$H109</f>
        <v>0</v>
      </c>
      <c r="U74" s="86"/>
      <c r="V74" s="372"/>
      <c r="W74" s="761">
        <f>+S74+T74-U74-V74</f>
        <v>0</v>
      </c>
    </row>
    <row r="75" spans="2:23" x14ac:dyDescent="0.35">
      <c r="B75" s="1133">
        <v>2</v>
      </c>
      <c r="C75" s="1134" t="s">
        <v>1409</v>
      </c>
      <c r="D75" s="1142">
        <f t="shared" ref="D75:D81" si="34">+W61</f>
        <v>0</v>
      </c>
      <c r="E75" s="52"/>
      <c r="F75" s="52"/>
      <c r="G75" s="372"/>
      <c r="H75" s="761">
        <f t="shared" ref="H75:H81" si="35">+D75+E75-F75-G75</f>
        <v>0</v>
      </c>
      <c r="I75" s="1141">
        <f t="shared" ref="I75:I81" si="36">+H75</f>
        <v>0</v>
      </c>
      <c r="J75" s="86"/>
      <c r="K75" s="86"/>
      <c r="L75" s="372"/>
      <c r="M75" s="761">
        <f t="shared" ref="M75:M81" si="37">+I75+J75-K75-L75</f>
        <v>0</v>
      </c>
      <c r="N75" s="1141">
        <f t="shared" ref="N75:N81" si="38">+M75</f>
        <v>0</v>
      </c>
      <c r="O75" s="86"/>
      <c r="P75" s="86"/>
      <c r="Q75" s="372"/>
      <c r="R75" s="761">
        <f t="shared" ref="R75:R81" si="39">+N75+O75-P75-Q75</f>
        <v>0</v>
      </c>
      <c r="S75" s="1141">
        <f t="shared" ref="S75:S81" si="40">+R75</f>
        <v>0</v>
      </c>
      <c r="T75" s="676">
        <f>AVERAGE(S31,W31)*Assum!$H110</f>
        <v>0</v>
      </c>
      <c r="U75" s="86"/>
      <c r="V75" s="372"/>
      <c r="W75" s="761">
        <f t="shared" ref="W75:W81" si="41">+S75+T75-U75-V75</f>
        <v>0</v>
      </c>
    </row>
    <row r="76" spans="2:23" x14ac:dyDescent="0.35">
      <c r="B76" s="1133">
        <v>3</v>
      </c>
      <c r="C76" s="1134" t="s">
        <v>440</v>
      </c>
      <c r="D76" s="1142">
        <f t="shared" si="34"/>
        <v>0</v>
      </c>
      <c r="E76" s="275"/>
      <c r="F76" s="275"/>
      <c r="G76" s="373"/>
      <c r="H76" s="761">
        <f t="shared" si="35"/>
        <v>0</v>
      </c>
      <c r="I76" s="1141">
        <f t="shared" si="36"/>
        <v>0</v>
      </c>
      <c r="J76" s="86"/>
      <c r="K76" s="86"/>
      <c r="L76" s="373"/>
      <c r="M76" s="761">
        <f t="shared" si="37"/>
        <v>0</v>
      </c>
      <c r="N76" s="1141">
        <f t="shared" si="38"/>
        <v>0</v>
      </c>
      <c r="O76" s="86"/>
      <c r="P76" s="86"/>
      <c r="Q76" s="373"/>
      <c r="R76" s="761">
        <f t="shared" si="39"/>
        <v>0</v>
      </c>
      <c r="S76" s="1141">
        <f t="shared" si="40"/>
        <v>0</v>
      </c>
      <c r="T76" s="676">
        <f>AVERAGE(S32,W32)*Assum!$H111</f>
        <v>0</v>
      </c>
      <c r="U76" s="86"/>
      <c r="V76" s="373"/>
      <c r="W76" s="761">
        <f t="shared" si="41"/>
        <v>0</v>
      </c>
    </row>
    <row r="77" spans="2:23" x14ac:dyDescent="0.35">
      <c r="B77" s="1133">
        <v>4</v>
      </c>
      <c r="C77" s="1134" t="s">
        <v>915</v>
      </c>
      <c r="D77" s="1142">
        <f t="shared" si="34"/>
        <v>0</v>
      </c>
      <c r="E77" s="52"/>
      <c r="F77" s="52"/>
      <c r="G77" s="372"/>
      <c r="H77" s="761">
        <f t="shared" si="35"/>
        <v>0</v>
      </c>
      <c r="I77" s="1141">
        <f t="shared" si="36"/>
        <v>0</v>
      </c>
      <c r="J77" s="86"/>
      <c r="K77" s="86"/>
      <c r="L77" s="372"/>
      <c r="M77" s="761">
        <f t="shared" si="37"/>
        <v>0</v>
      </c>
      <c r="N77" s="1141">
        <f t="shared" si="38"/>
        <v>0</v>
      </c>
      <c r="O77" s="86"/>
      <c r="P77" s="86"/>
      <c r="Q77" s="372"/>
      <c r="R77" s="761">
        <f t="shared" si="39"/>
        <v>0</v>
      </c>
      <c r="S77" s="1141">
        <f t="shared" si="40"/>
        <v>0</v>
      </c>
      <c r="T77" s="676">
        <f>AVERAGE(S33,W33)*Assum!$H112</f>
        <v>0</v>
      </c>
      <c r="U77" s="86"/>
      <c r="V77" s="372"/>
      <c r="W77" s="761">
        <f t="shared" si="41"/>
        <v>0</v>
      </c>
    </row>
    <row r="78" spans="2:23" x14ac:dyDescent="0.35">
      <c r="B78" s="1133">
        <v>5</v>
      </c>
      <c r="C78" s="1134" t="s">
        <v>447</v>
      </c>
      <c r="D78" s="1142">
        <f t="shared" si="34"/>
        <v>0</v>
      </c>
      <c r="E78" s="52"/>
      <c r="F78" s="52"/>
      <c r="G78" s="372"/>
      <c r="H78" s="761">
        <f t="shared" si="35"/>
        <v>0</v>
      </c>
      <c r="I78" s="1141">
        <f t="shared" si="36"/>
        <v>0</v>
      </c>
      <c r="J78" s="86"/>
      <c r="K78" s="86"/>
      <c r="L78" s="372"/>
      <c r="M78" s="761">
        <f t="shared" si="37"/>
        <v>0</v>
      </c>
      <c r="N78" s="1141">
        <f t="shared" si="38"/>
        <v>0</v>
      </c>
      <c r="O78" s="86"/>
      <c r="P78" s="86"/>
      <c r="Q78" s="372"/>
      <c r="R78" s="761">
        <f t="shared" si="39"/>
        <v>0</v>
      </c>
      <c r="S78" s="1141">
        <f t="shared" si="40"/>
        <v>0</v>
      </c>
      <c r="T78" s="676">
        <f>AVERAGE(S34,W34)*Assum!$H113</f>
        <v>9.367659389999998E-3</v>
      </c>
      <c r="U78" s="86"/>
      <c r="V78" s="372"/>
      <c r="W78" s="761">
        <f t="shared" si="41"/>
        <v>9.367659389999998E-3</v>
      </c>
    </row>
    <row r="79" spans="2:23" x14ac:dyDescent="0.35">
      <c r="B79" s="1133">
        <v>6</v>
      </c>
      <c r="C79" s="1134" t="s">
        <v>879</v>
      </c>
      <c r="D79" s="1142">
        <f t="shared" si="34"/>
        <v>0</v>
      </c>
      <c r="E79" s="52"/>
      <c r="F79" s="52"/>
      <c r="G79" s="372"/>
      <c r="H79" s="761">
        <f t="shared" si="35"/>
        <v>0</v>
      </c>
      <c r="I79" s="1141">
        <f t="shared" si="36"/>
        <v>0</v>
      </c>
      <c r="J79" s="86"/>
      <c r="K79" s="86"/>
      <c r="L79" s="372"/>
      <c r="M79" s="761">
        <f t="shared" si="37"/>
        <v>0</v>
      </c>
      <c r="N79" s="1141">
        <f t="shared" si="38"/>
        <v>0</v>
      </c>
      <c r="O79" s="86"/>
      <c r="P79" s="86"/>
      <c r="Q79" s="372"/>
      <c r="R79" s="761">
        <f t="shared" si="39"/>
        <v>0</v>
      </c>
      <c r="S79" s="1141">
        <f t="shared" si="40"/>
        <v>0</v>
      </c>
      <c r="T79" s="676">
        <f>AVERAGE(S35,W35)*Assum!$H114</f>
        <v>0</v>
      </c>
      <c r="U79" s="86"/>
      <c r="V79" s="372"/>
      <c r="W79" s="761">
        <f t="shared" si="41"/>
        <v>0</v>
      </c>
    </row>
    <row r="80" spans="2:23" x14ac:dyDescent="0.4">
      <c r="B80" s="1133">
        <v>7</v>
      </c>
      <c r="C80" s="1135" t="s">
        <v>1269</v>
      </c>
      <c r="D80" s="1142">
        <f t="shared" si="34"/>
        <v>0</v>
      </c>
      <c r="E80" s="86"/>
      <c r="F80" s="86"/>
      <c r="G80" s="374"/>
      <c r="H80" s="761">
        <f t="shared" si="35"/>
        <v>0</v>
      </c>
      <c r="I80" s="1141">
        <f t="shared" si="36"/>
        <v>0</v>
      </c>
      <c r="J80" s="370"/>
      <c r="K80" s="370"/>
      <c r="L80" s="374"/>
      <c r="M80" s="761">
        <f t="shared" si="37"/>
        <v>0</v>
      </c>
      <c r="N80" s="1141">
        <f t="shared" si="38"/>
        <v>0</v>
      </c>
      <c r="O80" s="370"/>
      <c r="P80" s="370"/>
      <c r="Q80" s="374"/>
      <c r="R80" s="761">
        <f t="shared" si="39"/>
        <v>0</v>
      </c>
      <c r="S80" s="1141">
        <f t="shared" si="40"/>
        <v>0</v>
      </c>
      <c r="T80" s="676">
        <f>AVERAGE(S36,W36)*Assum!$H115</f>
        <v>0</v>
      </c>
      <c r="U80" s="370"/>
      <c r="V80" s="374"/>
      <c r="W80" s="761">
        <f t="shared" si="41"/>
        <v>0</v>
      </c>
    </row>
    <row r="81" spans="2:38" ht="15.4" x14ac:dyDescent="0.4">
      <c r="B81" s="1133">
        <v>8</v>
      </c>
      <c r="C81" s="1135" t="s">
        <v>1270</v>
      </c>
      <c r="D81" s="1142">
        <f t="shared" si="34"/>
        <v>0</v>
      </c>
      <c r="E81" s="94"/>
      <c r="F81" s="94"/>
      <c r="G81" s="375"/>
      <c r="H81" s="761">
        <f t="shared" si="35"/>
        <v>0</v>
      </c>
      <c r="I81" s="1141">
        <f t="shared" si="36"/>
        <v>0</v>
      </c>
      <c r="J81" s="371"/>
      <c r="K81" s="371"/>
      <c r="L81" s="375"/>
      <c r="M81" s="761">
        <f t="shared" si="37"/>
        <v>0</v>
      </c>
      <c r="N81" s="1141">
        <f t="shared" si="38"/>
        <v>0</v>
      </c>
      <c r="O81" s="371"/>
      <c r="P81" s="371"/>
      <c r="Q81" s="375"/>
      <c r="R81" s="761">
        <f t="shared" si="39"/>
        <v>0</v>
      </c>
      <c r="S81" s="1141">
        <f t="shared" si="40"/>
        <v>0</v>
      </c>
      <c r="T81" s="676">
        <f>AVERAGE(S37,W37)*Assum!$H116</f>
        <v>0</v>
      </c>
      <c r="U81" s="371"/>
      <c r="V81" s="375"/>
      <c r="W81" s="761">
        <f t="shared" si="41"/>
        <v>0</v>
      </c>
    </row>
    <row r="82" spans="2:38" ht="14.65" x14ac:dyDescent="0.4">
      <c r="B82" s="1136"/>
      <c r="C82" s="1137" t="s">
        <v>164</v>
      </c>
      <c r="D82" s="1140">
        <f>SUM(D74:D81)</f>
        <v>0</v>
      </c>
      <c r="E82" s="1140">
        <f t="shared" ref="E82:W82" si="42">SUM(E74:E81)</f>
        <v>0</v>
      </c>
      <c r="F82" s="1140">
        <f t="shared" si="42"/>
        <v>0</v>
      </c>
      <c r="G82" s="1140">
        <f t="shared" si="42"/>
        <v>0</v>
      </c>
      <c r="H82" s="1140">
        <f t="shared" si="42"/>
        <v>0</v>
      </c>
      <c r="I82" s="1140">
        <f t="shared" si="42"/>
        <v>0</v>
      </c>
      <c r="J82" s="1140">
        <f t="shared" si="42"/>
        <v>0</v>
      </c>
      <c r="K82" s="1140">
        <f t="shared" si="42"/>
        <v>0</v>
      </c>
      <c r="L82" s="1140">
        <f t="shared" si="42"/>
        <v>0</v>
      </c>
      <c r="M82" s="1140">
        <f t="shared" si="42"/>
        <v>0</v>
      </c>
      <c r="N82" s="1140">
        <f t="shared" si="42"/>
        <v>0</v>
      </c>
      <c r="O82" s="1140">
        <f t="shared" si="42"/>
        <v>0</v>
      </c>
      <c r="P82" s="1140">
        <f t="shared" si="42"/>
        <v>0</v>
      </c>
      <c r="Q82" s="1140">
        <f t="shared" si="42"/>
        <v>0</v>
      </c>
      <c r="R82" s="1140">
        <f t="shared" si="42"/>
        <v>0</v>
      </c>
      <c r="S82" s="1140">
        <f t="shared" si="42"/>
        <v>0</v>
      </c>
      <c r="T82" s="1140">
        <f t="shared" si="42"/>
        <v>9.367659389999998E-3</v>
      </c>
      <c r="U82" s="1140">
        <f t="shared" si="42"/>
        <v>0</v>
      </c>
      <c r="V82" s="1140">
        <f t="shared" si="42"/>
        <v>0</v>
      </c>
      <c r="W82" s="1140">
        <f t="shared" si="42"/>
        <v>9.367659389999998E-3</v>
      </c>
    </row>
    <row r="83" spans="2:38" ht="14.65" x14ac:dyDescent="0.4">
      <c r="B83" s="1138"/>
      <c r="C83" s="1139"/>
      <c r="D83" s="84"/>
      <c r="E83" s="84"/>
      <c r="F83" s="84"/>
      <c r="G83" s="84"/>
      <c r="H83" s="84"/>
      <c r="J83" s="39"/>
      <c r="M83" s="39"/>
      <c r="N83" s="39"/>
    </row>
    <row r="84" spans="2:38" x14ac:dyDescent="0.35">
      <c r="B84" s="1947" t="s">
        <v>1</v>
      </c>
      <c r="C84" s="1947" t="s">
        <v>111</v>
      </c>
      <c r="D84" s="2052" t="s">
        <v>124</v>
      </c>
      <c r="E84" s="2052"/>
      <c r="F84" s="2052"/>
      <c r="G84" s="2052"/>
      <c r="H84" s="2052"/>
      <c r="I84" s="2052" t="s">
        <v>125</v>
      </c>
      <c r="J84" s="2052"/>
      <c r="K84" s="2052"/>
      <c r="L84" s="2052"/>
      <c r="M84" s="2052"/>
      <c r="N84" s="2052" t="s">
        <v>126</v>
      </c>
      <c r="O84" s="2052"/>
      <c r="P84" s="2052"/>
      <c r="Q84" s="2052"/>
      <c r="R84" s="2052"/>
      <c r="S84" s="2052" t="s">
        <v>127</v>
      </c>
      <c r="T84" s="2052"/>
      <c r="U84" s="2052"/>
      <c r="V84" s="2052"/>
      <c r="W84" s="2052"/>
    </row>
    <row r="85" spans="2:38" ht="15.4" x14ac:dyDescent="0.35">
      <c r="B85" s="1947"/>
      <c r="C85" s="1947"/>
      <c r="D85" s="2052" t="s">
        <v>135</v>
      </c>
      <c r="E85" s="2055"/>
      <c r="F85" s="2055"/>
      <c r="G85" s="2055"/>
      <c r="H85" s="2055"/>
      <c r="I85" s="2052" t="s">
        <v>135</v>
      </c>
      <c r="J85" s="2055"/>
      <c r="K85" s="2055"/>
      <c r="L85" s="2055"/>
      <c r="M85" s="2055"/>
      <c r="N85" s="2052" t="s">
        <v>135</v>
      </c>
      <c r="O85" s="2055"/>
      <c r="P85" s="2055"/>
      <c r="Q85" s="2055"/>
      <c r="R85" s="2055"/>
      <c r="S85" s="2052" t="s">
        <v>135</v>
      </c>
      <c r="T85" s="2055"/>
      <c r="U85" s="2055"/>
      <c r="V85" s="2055"/>
      <c r="W85" s="2055"/>
      <c r="X85" s="125"/>
      <c r="Y85" s="125"/>
      <c r="Z85" s="125"/>
      <c r="AA85" s="125"/>
      <c r="AB85" s="125"/>
      <c r="AC85" s="125"/>
      <c r="AD85" s="125"/>
      <c r="AE85" s="125"/>
      <c r="AF85" s="125"/>
      <c r="AG85" s="125"/>
      <c r="AH85" s="125"/>
      <c r="AI85" s="125"/>
      <c r="AJ85" s="125"/>
      <c r="AK85" s="125"/>
      <c r="AL85" s="125"/>
    </row>
    <row r="86" spans="2:38" ht="40.5" x14ac:dyDescent="0.35">
      <c r="B86" s="1947"/>
      <c r="C86" s="1947"/>
      <c r="D86" s="250" t="s">
        <v>537</v>
      </c>
      <c r="E86" s="250" t="s">
        <v>524</v>
      </c>
      <c r="F86" s="251" t="s">
        <v>538</v>
      </c>
      <c r="G86" s="106" t="s">
        <v>543</v>
      </c>
      <c r="H86" s="250" t="s">
        <v>539</v>
      </c>
      <c r="I86" s="250" t="s">
        <v>537</v>
      </c>
      <c r="J86" s="250" t="s">
        <v>524</v>
      </c>
      <c r="K86" s="251" t="s">
        <v>538</v>
      </c>
      <c r="L86" s="106" t="s">
        <v>543</v>
      </c>
      <c r="M86" s="250" t="s">
        <v>539</v>
      </c>
      <c r="N86" s="250" t="s">
        <v>537</v>
      </c>
      <c r="O86" s="250" t="s">
        <v>524</v>
      </c>
      <c r="P86" s="251" t="s">
        <v>538</v>
      </c>
      <c r="Q86" s="106" t="s">
        <v>543</v>
      </c>
      <c r="R86" s="250" t="s">
        <v>539</v>
      </c>
      <c r="S86" s="250" t="s">
        <v>537</v>
      </c>
      <c r="T86" s="250" t="s">
        <v>524</v>
      </c>
      <c r="U86" s="251" t="s">
        <v>538</v>
      </c>
      <c r="V86" s="106" t="s">
        <v>543</v>
      </c>
      <c r="W86" s="250" t="s">
        <v>539</v>
      </c>
      <c r="X86" s="125"/>
      <c r="Y86" s="125"/>
      <c r="Z86" s="125"/>
      <c r="AA86" s="125"/>
      <c r="AB86" s="125"/>
      <c r="AC86" s="125"/>
      <c r="AD86" s="125"/>
      <c r="AE86" s="125"/>
      <c r="AF86" s="125"/>
      <c r="AG86" s="125"/>
      <c r="AH86" s="125"/>
      <c r="AI86" s="125"/>
      <c r="AJ86" s="125"/>
      <c r="AK86" s="125"/>
      <c r="AL86" s="125"/>
    </row>
    <row r="87" spans="2:38" ht="15.4" x14ac:dyDescent="0.35">
      <c r="B87" s="217"/>
      <c r="C87" s="217"/>
      <c r="D87" s="217" t="s">
        <v>128</v>
      </c>
      <c r="E87" s="217" t="s">
        <v>129</v>
      </c>
      <c r="F87" s="217" t="s">
        <v>527</v>
      </c>
      <c r="G87" s="217" t="s">
        <v>130</v>
      </c>
      <c r="H87" s="217" t="s">
        <v>544</v>
      </c>
      <c r="I87" s="217" t="s">
        <v>331</v>
      </c>
      <c r="J87" s="217" t="s">
        <v>132</v>
      </c>
      <c r="K87" s="217" t="s">
        <v>133</v>
      </c>
      <c r="L87" s="217" t="s">
        <v>332</v>
      </c>
      <c r="M87" s="217" t="s">
        <v>545</v>
      </c>
      <c r="N87" s="217" t="s">
        <v>528</v>
      </c>
      <c r="O87" s="217" t="s">
        <v>529</v>
      </c>
      <c r="P87" s="217" t="s">
        <v>334</v>
      </c>
      <c r="Q87" s="217" t="s">
        <v>530</v>
      </c>
      <c r="R87" s="217" t="s">
        <v>546</v>
      </c>
      <c r="S87" s="217" t="s">
        <v>532</v>
      </c>
      <c r="T87" s="217" t="s">
        <v>533</v>
      </c>
      <c r="U87" s="217" t="s">
        <v>534</v>
      </c>
      <c r="V87" s="217" t="s">
        <v>535</v>
      </c>
      <c r="W87" s="217" t="s">
        <v>547</v>
      </c>
      <c r="X87" s="125"/>
      <c r="Y87" s="125"/>
      <c r="Z87" s="125"/>
      <c r="AA87" s="125"/>
      <c r="AB87" s="125"/>
      <c r="AC87" s="125"/>
      <c r="AD87" s="125"/>
      <c r="AE87" s="125"/>
      <c r="AF87" s="125"/>
      <c r="AG87" s="125"/>
      <c r="AH87" s="125"/>
      <c r="AI87" s="125"/>
      <c r="AJ87" s="125"/>
      <c r="AK87" s="125"/>
      <c r="AL87" s="125"/>
    </row>
    <row r="88" spans="2:38" x14ac:dyDescent="0.35">
      <c r="B88" s="1133">
        <v>1</v>
      </c>
      <c r="C88" s="1134" t="s">
        <v>1410</v>
      </c>
      <c r="D88" s="1142">
        <f>+W74</f>
        <v>0</v>
      </c>
      <c r="E88" s="676">
        <f>AVERAGE(D44,H44)*Assum!$H109</f>
        <v>0</v>
      </c>
      <c r="F88" s="52"/>
      <c r="G88" s="372"/>
      <c r="H88" s="761">
        <f>+D88+E88-F88-G88</f>
        <v>0</v>
      </c>
      <c r="I88" s="1141">
        <f>+H88</f>
        <v>0</v>
      </c>
      <c r="J88" s="676">
        <f>AVERAGE(I44,M44)*Assum!$H109</f>
        <v>0</v>
      </c>
      <c r="K88" s="86"/>
      <c r="L88" s="372"/>
      <c r="M88" s="761">
        <f>+I88+J88-K88-L88</f>
        <v>0</v>
      </c>
      <c r="N88" s="1141">
        <f>+M88</f>
        <v>0</v>
      </c>
      <c r="O88" s="676">
        <f>AVERAGE(N44,R44)*Assum!$H109</f>
        <v>0</v>
      </c>
      <c r="P88" s="86"/>
      <c r="Q88" s="372"/>
      <c r="R88" s="761">
        <f>+N88+O88-P88-Q88</f>
        <v>0</v>
      </c>
      <c r="S88" s="1141">
        <f>+R88</f>
        <v>0</v>
      </c>
      <c r="T88" s="676">
        <f>AVERAGE(S44,W44)*Assum!$H109</f>
        <v>0</v>
      </c>
      <c r="U88" s="86"/>
      <c r="V88" s="372"/>
      <c r="W88" s="761">
        <f>+S88+T88-U88-V88</f>
        <v>0</v>
      </c>
    </row>
    <row r="89" spans="2:38" ht="13.8" customHeight="1" x14ac:dyDescent="0.35">
      <c r="B89" s="1133">
        <v>2</v>
      </c>
      <c r="C89" s="1134" t="s">
        <v>1409</v>
      </c>
      <c r="D89" s="1142">
        <f t="shared" ref="D89:D95" si="43">+W75</f>
        <v>0</v>
      </c>
      <c r="E89" s="676">
        <f>AVERAGE(D45,H45)*Assum!$H110</f>
        <v>0</v>
      </c>
      <c r="F89" s="52"/>
      <c r="G89" s="372"/>
      <c r="H89" s="761">
        <f t="shared" ref="H89:H95" si="44">+D89+E89-F89-G89</f>
        <v>0</v>
      </c>
      <c r="I89" s="1141">
        <f t="shared" ref="I89:I95" si="45">+H89</f>
        <v>0</v>
      </c>
      <c r="J89" s="676">
        <f>AVERAGE(I45,M45)*Assum!$H110</f>
        <v>0</v>
      </c>
      <c r="K89" s="86"/>
      <c r="L89" s="372"/>
      <c r="M89" s="761">
        <f t="shared" ref="M89:M95" si="46">+I89+J89-K89-L89</f>
        <v>0</v>
      </c>
      <c r="N89" s="1141">
        <f t="shared" ref="N89:N95" si="47">+M89</f>
        <v>0</v>
      </c>
      <c r="O89" s="676">
        <f>AVERAGE(N45,R45)*Assum!$H110</f>
        <v>0</v>
      </c>
      <c r="P89" s="86"/>
      <c r="Q89" s="372"/>
      <c r="R89" s="761">
        <f t="shared" ref="R89:R95" si="48">+N89+O89-P89-Q89</f>
        <v>0</v>
      </c>
      <c r="S89" s="1141">
        <f t="shared" ref="S89:S95" si="49">+R89</f>
        <v>0</v>
      </c>
      <c r="T89" s="676">
        <f>AVERAGE(S45,W45)*Assum!$H110</f>
        <v>0</v>
      </c>
      <c r="U89" s="86"/>
      <c r="V89" s="372"/>
      <c r="W89" s="761">
        <f t="shared" ref="W89:W95" si="50">+S89+T89-U89-V89</f>
        <v>0</v>
      </c>
    </row>
    <row r="90" spans="2:38" x14ac:dyDescent="0.35">
      <c r="B90" s="1133">
        <v>3</v>
      </c>
      <c r="C90" s="1134" t="s">
        <v>440</v>
      </c>
      <c r="D90" s="1142">
        <f t="shared" si="43"/>
        <v>0</v>
      </c>
      <c r="E90" s="676">
        <f>AVERAGE(D46,H46)*Assum!$H111</f>
        <v>0</v>
      </c>
      <c r="F90" s="275"/>
      <c r="G90" s="373"/>
      <c r="H90" s="761">
        <f t="shared" si="44"/>
        <v>0</v>
      </c>
      <c r="I90" s="1141">
        <f t="shared" si="45"/>
        <v>0</v>
      </c>
      <c r="J90" s="676">
        <f>AVERAGE(I46,M46)*Assum!$H111</f>
        <v>0</v>
      </c>
      <c r="K90" s="86"/>
      <c r="L90" s="373"/>
      <c r="M90" s="761">
        <f t="shared" si="46"/>
        <v>0</v>
      </c>
      <c r="N90" s="1141">
        <f t="shared" si="47"/>
        <v>0</v>
      </c>
      <c r="O90" s="676">
        <f>AVERAGE(N46,R46)*Assum!$H111</f>
        <v>0</v>
      </c>
      <c r="P90" s="86"/>
      <c r="Q90" s="373"/>
      <c r="R90" s="761">
        <f t="shared" si="48"/>
        <v>0</v>
      </c>
      <c r="S90" s="1141">
        <f t="shared" si="49"/>
        <v>0</v>
      </c>
      <c r="T90" s="676">
        <f>AVERAGE(S46,W46)*Assum!$H111</f>
        <v>0</v>
      </c>
      <c r="U90" s="86"/>
      <c r="V90" s="373"/>
      <c r="W90" s="761">
        <f t="shared" si="50"/>
        <v>0</v>
      </c>
    </row>
    <row r="91" spans="2:38" x14ac:dyDescent="0.35">
      <c r="B91" s="1133">
        <v>4</v>
      </c>
      <c r="C91" s="1134" t="s">
        <v>915</v>
      </c>
      <c r="D91" s="1142">
        <f t="shared" si="43"/>
        <v>0</v>
      </c>
      <c r="E91" s="676">
        <f>AVERAGE(D47,H47)*Assum!$H112</f>
        <v>0</v>
      </c>
      <c r="F91" s="52"/>
      <c r="G91" s="372"/>
      <c r="H91" s="761">
        <f t="shared" si="44"/>
        <v>0</v>
      </c>
      <c r="I91" s="1141">
        <f t="shared" si="45"/>
        <v>0</v>
      </c>
      <c r="J91" s="676">
        <f>AVERAGE(I47,M47)*Assum!$H112</f>
        <v>0</v>
      </c>
      <c r="K91" s="86"/>
      <c r="L91" s="372"/>
      <c r="M91" s="761">
        <f t="shared" si="46"/>
        <v>0</v>
      </c>
      <c r="N91" s="1141">
        <f t="shared" si="47"/>
        <v>0</v>
      </c>
      <c r="O91" s="676">
        <f>AVERAGE(N47,R47)*Assum!$H112</f>
        <v>0</v>
      </c>
      <c r="P91" s="86"/>
      <c r="Q91" s="372"/>
      <c r="R91" s="761">
        <f t="shared" si="48"/>
        <v>0</v>
      </c>
      <c r="S91" s="1141">
        <f t="shared" si="49"/>
        <v>0</v>
      </c>
      <c r="T91" s="676">
        <f>AVERAGE(S47,W47)*Assum!$H112</f>
        <v>0</v>
      </c>
      <c r="U91" s="86"/>
      <c r="V91" s="372"/>
      <c r="W91" s="761">
        <f t="shared" si="50"/>
        <v>0</v>
      </c>
    </row>
    <row r="92" spans="2:38" x14ac:dyDescent="0.35">
      <c r="B92" s="1133">
        <v>5</v>
      </c>
      <c r="C92" s="1134" t="s">
        <v>447</v>
      </c>
      <c r="D92" s="1142">
        <f t="shared" si="43"/>
        <v>9.367659389999998E-3</v>
      </c>
      <c r="E92" s="676">
        <f>AVERAGE(D48,H48)*Assum!$H113</f>
        <v>2.0634318779999994E-2</v>
      </c>
      <c r="F92" s="52"/>
      <c r="G92" s="372"/>
      <c r="H92" s="761">
        <f t="shared" si="44"/>
        <v>3.0001978169999992E-2</v>
      </c>
      <c r="I92" s="1141">
        <f t="shared" si="45"/>
        <v>3.0001978169999992E-2</v>
      </c>
      <c r="J92" s="676">
        <f>AVERAGE(I48,M48)*Assum!$H113</f>
        <v>2.2533318779999995E-2</v>
      </c>
      <c r="K92" s="86"/>
      <c r="L92" s="372"/>
      <c r="M92" s="761">
        <f t="shared" si="46"/>
        <v>5.2535296949999991E-2</v>
      </c>
      <c r="N92" s="1141">
        <f t="shared" si="47"/>
        <v>5.2535296949999991E-2</v>
      </c>
      <c r="O92" s="676">
        <f>AVERAGE(N48,R48)*Assum!$H113</f>
        <v>2.2533318779999995E-2</v>
      </c>
      <c r="P92" s="86"/>
      <c r="Q92" s="372"/>
      <c r="R92" s="761">
        <f t="shared" si="48"/>
        <v>7.5068615729999982E-2</v>
      </c>
      <c r="S92" s="1141">
        <f t="shared" si="49"/>
        <v>7.5068615729999982E-2</v>
      </c>
      <c r="T92" s="676">
        <f>AVERAGE(S48,W48)*Assum!$H113</f>
        <v>2.2533318779999995E-2</v>
      </c>
      <c r="U92" s="86"/>
      <c r="V92" s="372"/>
      <c r="W92" s="761">
        <f t="shared" si="50"/>
        <v>9.7601934509999974E-2</v>
      </c>
    </row>
    <row r="93" spans="2:38" x14ac:dyDescent="0.35">
      <c r="B93" s="1133">
        <v>6</v>
      </c>
      <c r="C93" s="1134" t="s">
        <v>879</v>
      </c>
      <c r="D93" s="1142">
        <f t="shared" si="43"/>
        <v>0</v>
      </c>
      <c r="E93" s="676">
        <f>AVERAGE(D49,H49)*Assum!$H114</f>
        <v>0</v>
      </c>
      <c r="F93" s="52"/>
      <c r="G93" s="372"/>
      <c r="H93" s="761">
        <f t="shared" si="44"/>
        <v>0</v>
      </c>
      <c r="I93" s="1141">
        <f t="shared" si="45"/>
        <v>0</v>
      </c>
      <c r="J93" s="676">
        <f>AVERAGE(I49,M49)*Assum!$H114</f>
        <v>0</v>
      </c>
      <c r="K93" s="86"/>
      <c r="L93" s="372"/>
      <c r="M93" s="761">
        <f t="shared" si="46"/>
        <v>0</v>
      </c>
      <c r="N93" s="1141">
        <f t="shared" si="47"/>
        <v>0</v>
      </c>
      <c r="O93" s="676">
        <f>AVERAGE(N49,R49)*Assum!$H114</f>
        <v>0</v>
      </c>
      <c r="P93" s="86"/>
      <c r="Q93" s="372"/>
      <c r="R93" s="761">
        <f t="shared" si="48"/>
        <v>0</v>
      </c>
      <c r="S93" s="1141">
        <f t="shared" si="49"/>
        <v>0</v>
      </c>
      <c r="T93" s="676">
        <f>AVERAGE(S49,W49)*Assum!$H114</f>
        <v>0</v>
      </c>
      <c r="U93" s="86"/>
      <c r="V93" s="372"/>
      <c r="W93" s="761">
        <f t="shared" si="50"/>
        <v>0</v>
      </c>
    </row>
    <row r="94" spans="2:38" x14ac:dyDescent="0.4">
      <c r="B94" s="1133">
        <v>7</v>
      </c>
      <c r="C94" s="1135" t="s">
        <v>1269</v>
      </c>
      <c r="D94" s="1142">
        <f t="shared" si="43"/>
        <v>0</v>
      </c>
      <c r="E94" s="676">
        <f>AVERAGE(D50,H50)*Assum!$H115</f>
        <v>0</v>
      </c>
      <c r="F94" s="86"/>
      <c r="G94" s="374"/>
      <c r="H94" s="761">
        <f t="shared" si="44"/>
        <v>0</v>
      </c>
      <c r="I94" s="1141">
        <f t="shared" si="45"/>
        <v>0</v>
      </c>
      <c r="J94" s="676">
        <f>AVERAGE(I50,M50)*Assum!$H115</f>
        <v>0</v>
      </c>
      <c r="K94" s="370"/>
      <c r="L94" s="374"/>
      <c r="M94" s="761">
        <f t="shared" si="46"/>
        <v>0</v>
      </c>
      <c r="N94" s="1141">
        <f t="shared" si="47"/>
        <v>0</v>
      </c>
      <c r="O94" s="676">
        <f>AVERAGE(N50,R50)*Assum!$H115</f>
        <v>0</v>
      </c>
      <c r="P94" s="370"/>
      <c r="Q94" s="374"/>
      <c r="R94" s="761">
        <f t="shared" si="48"/>
        <v>0</v>
      </c>
      <c r="S94" s="1141">
        <f t="shared" si="49"/>
        <v>0</v>
      </c>
      <c r="T94" s="676">
        <f>AVERAGE(S50,W50)*Assum!$H115</f>
        <v>0</v>
      </c>
      <c r="U94" s="370"/>
      <c r="V94" s="374"/>
      <c r="W94" s="761">
        <f t="shared" si="50"/>
        <v>0</v>
      </c>
    </row>
    <row r="95" spans="2:38" ht="15.4" x14ac:dyDescent="0.4">
      <c r="B95" s="1133">
        <v>8</v>
      </c>
      <c r="C95" s="1135" t="s">
        <v>1270</v>
      </c>
      <c r="D95" s="1142">
        <f t="shared" si="43"/>
        <v>0</v>
      </c>
      <c r="E95" s="676">
        <f>AVERAGE(D51,H51)*Assum!$H116</f>
        <v>0</v>
      </c>
      <c r="F95" s="94"/>
      <c r="G95" s="375"/>
      <c r="H95" s="761">
        <f t="shared" si="44"/>
        <v>0</v>
      </c>
      <c r="I95" s="1141">
        <f t="shared" si="45"/>
        <v>0</v>
      </c>
      <c r="J95" s="676">
        <f>AVERAGE(I51,M51)*Assum!$H116</f>
        <v>0</v>
      </c>
      <c r="K95" s="371"/>
      <c r="L95" s="375"/>
      <c r="M95" s="761">
        <f t="shared" si="46"/>
        <v>0</v>
      </c>
      <c r="N95" s="1141">
        <f t="shared" si="47"/>
        <v>0</v>
      </c>
      <c r="O95" s="676">
        <f>AVERAGE(N51,R51)*Assum!$H116</f>
        <v>0</v>
      </c>
      <c r="P95" s="371"/>
      <c r="Q95" s="375"/>
      <c r="R95" s="761">
        <f t="shared" si="48"/>
        <v>0</v>
      </c>
      <c r="S95" s="1141">
        <f t="shared" si="49"/>
        <v>0</v>
      </c>
      <c r="T95" s="676">
        <f>AVERAGE(S51,W51)*Assum!$H116</f>
        <v>0</v>
      </c>
      <c r="U95" s="371"/>
      <c r="V95" s="375"/>
      <c r="W95" s="761">
        <f t="shared" si="50"/>
        <v>0</v>
      </c>
    </row>
    <row r="96" spans="2:38" ht="14.65" x14ac:dyDescent="0.4">
      <c r="B96" s="1136"/>
      <c r="C96" s="1137" t="s">
        <v>164</v>
      </c>
      <c r="D96" s="1140">
        <f>SUM(D88:D95)</f>
        <v>9.367659389999998E-3</v>
      </c>
      <c r="E96" s="1140">
        <f t="shared" ref="E96:W96" si="51">SUM(E88:E95)</f>
        <v>2.0634318779999994E-2</v>
      </c>
      <c r="F96" s="1140">
        <f t="shared" si="51"/>
        <v>0</v>
      </c>
      <c r="G96" s="1140">
        <f t="shared" si="51"/>
        <v>0</v>
      </c>
      <c r="H96" s="1140">
        <f t="shared" si="51"/>
        <v>3.0001978169999992E-2</v>
      </c>
      <c r="I96" s="1140">
        <f t="shared" si="51"/>
        <v>3.0001978169999992E-2</v>
      </c>
      <c r="J96" s="1140">
        <f t="shared" si="51"/>
        <v>2.2533318779999995E-2</v>
      </c>
      <c r="K96" s="1140">
        <f t="shared" si="51"/>
        <v>0</v>
      </c>
      <c r="L96" s="1140">
        <f t="shared" si="51"/>
        <v>0</v>
      </c>
      <c r="M96" s="1140">
        <f t="shared" si="51"/>
        <v>5.2535296949999991E-2</v>
      </c>
      <c r="N96" s="1140">
        <f t="shared" si="51"/>
        <v>5.2535296949999991E-2</v>
      </c>
      <c r="O96" s="1140">
        <f t="shared" si="51"/>
        <v>2.2533318779999995E-2</v>
      </c>
      <c r="P96" s="1140">
        <f t="shared" si="51"/>
        <v>0</v>
      </c>
      <c r="Q96" s="1140">
        <f t="shared" si="51"/>
        <v>0</v>
      </c>
      <c r="R96" s="1140">
        <f t="shared" si="51"/>
        <v>7.5068615729999982E-2</v>
      </c>
      <c r="S96" s="1140">
        <f t="shared" si="51"/>
        <v>7.5068615729999982E-2</v>
      </c>
      <c r="T96" s="1140">
        <f t="shared" si="51"/>
        <v>2.2533318779999995E-2</v>
      </c>
      <c r="U96" s="1140">
        <f t="shared" si="51"/>
        <v>0</v>
      </c>
      <c r="V96" s="1140">
        <f t="shared" si="51"/>
        <v>0</v>
      </c>
      <c r="W96" s="1140">
        <f t="shared" si="51"/>
        <v>9.7601934509999974E-2</v>
      </c>
    </row>
    <row r="97" spans="2:23" ht="14.65" x14ac:dyDescent="0.4">
      <c r="B97" s="1138"/>
      <c r="C97" s="1139"/>
      <c r="D97" s="84"/>
      <c r="E97" s="84"/>
      <c r="F97" s="84"/>
      <c r="G97" s="84"/>
      <c r="H97" s="84"/>
      <c r="J97" s="39"/>
      <c r="M97" s="39"/>
      <c r="N97" s="39"/>
    </row>
    <row r="98" spans="2:23" x14ac:dyDescent="0.35">
      <c r="B98" s="83" t="s">
        <v>540</v>
      </c>
    </row>
    <row r="99" spans="2:23" x14ac:dyDescent="0.35">
      <c r="J99" s="39"/>
      <c r="M99" s="39"/>
      <c r="N99" s="39"/>
      <c r="R99" s="368"/>
      <c r="W99" s="160" t="s">
        <v>110</v>
      </c>
    </row>
    <row r="100" spans="2:23" x14ac:dyDescent="0.35">
      <c r="B100" s="1947" t="s">
        <v>1</v>
      </c>
      <c r="C100" s="1947" t="s">
        <v>111</v>
      </c>
      <c r="D100" s="2052" t="s">
        <v>196</v>
      </c>
      <c r="E100" s="2052"/>
      <c r="F100" s="2052"/>
      <c r="G100" s="2052"/>
      <c r="H100" s="2052"/>
      <c r="I100" s="1947" t="s">
        <v>197</v>
      </c>
      <c r="J100" s="1947"/>
      <c r="K100" s="1947"/>
      <c r="L100" s="1947"/>
      <c r="M100" s="1947"/>
      <c r="N100" s="1947" t="s">
        <v>198</v>
      </c>
      <c r="O100" s="1947"/>
      <c r="P100" s="1947"/>
      <c r="Q100" s="1947"/>
      <c r="R100" s="1947"/>
      <c r="S100" s="1947" t="s">
        <v>199</v>
      </c>
      <c r="T100" s="1947"/>
      <c r="U100" s="1947"/>
      <c r="V100" s="1947"/>
      <c r="W100" s="1947"/>
    </row>
    <row r="101" spans="2:23" x14ac:dyDescent="0.35">
      <c r="B101" s="1947"/>
      <c r="C101" s="1947"/>
      <c r="D101" s="1947" t="s">
        <v>186</v>
      </c>
      <c r="E101" s="2051"/>
      <c r="F101" s="2051"/>
      <c r="G101" s="2051"/>
      <c r="H101" s="2051"/>
      <c r="I101" s="1947" t="s">
        <v>186</v>
      </c>
      <c r="J101" s="2051"/>
      <c r="K101" s="2051"/>
      <c r="L101" s="2051"/>
      <c r="M101" s="2051"/>
      <c r="N101" s="1947" t="s">
        <v>186</v>
      </c>
      <c r="O101" s="2051"/>
      <c r="P101" s="2051"/>
      <c r="Q101" s="2051"/>
      <c r="R101" s="2051"/>
      <c r="S101" s="1947" t="s">
        <v>186</v>
      </c>
      <c r="T101" s="2051"/>
      <c r="U101" s="2051"/>
      <c r="V101" s="2051"/>
      <c r="W101" s="2051"/>
    </row>
    <row r="102" spans="2:23" ht="27" x14ac:dyDescent="0.35">
      <c r="B102" s="1947"/>
      <c r="C102" s="1947"/>
      <c r="D102" s="250" t="s">
        <v>523</v>
      </c>
      <c r="E102" s="250" t="s">
        <v>524</v>
      </c>
      <c r="F102" s="251" t="s">
        <v>538</v>
      </c>
      <c r="G102" s="106" t="s">
        <v>543</v>
      </c>
      <c r="H102" s="250" t="s">
        <v>526</v>
      </c>
      <c r="I102" s="250" t="s">
        <v>523</v>
      </c>
      <c r="J102" s="250" t="s">
        <v>524</v>
      </c>
      <c r="K102" s="251" t="s">
        <v>538</v>
      </c>
      <c r="L102" s="106" t="s">
        <v>543</v>
      </c>
      <c r="M102" s="250" t="s">
        <v>526</v>
      </c>
      <c r="N102" s="250" t="s">
        <v>523</v>
      </c>
      <c r="O102" s="250" t="s">
        <v>524</v>
      </c>
      <c r="P102" s="251" t="s">
        <v>538</v>
      </c>
      <c r="Q102" s="106" t="s">
        <v>543</v>
      </c>
      <c r="R102" s="250" t="s">
        <v>526</v>
      </c>
      <c r="S102" s="250" t="s">
        <v>523</v>
      </c>
      <c r="T102" s="250" t="s">
        <v>524</v>
      </c>
      <c r="U102" s="251" t="s">
        <v>538</v>
      </c>
      <c r="V102" s="106" t="s">
        <v>543</v>
      </c>
      <c r="W102" s="250" t="s">
        <v>526</v>
      </c>
    </row>
    <row r="103" spans="2:23" x14ac:dyDescent="0.35">
      <c r="B103" s="217"/>
      <c r="C103" s="217"/>
      <c r="D103" s="217" t="s">
        <v>128</v>
      </c>
      <c r="E103" s="217" t="s">
        <v>129</v>
      </c>
      <c r="F103" s="217" t="s">
        <v>527</v>
      </c>
      <c r="G103" s="217" t="s">
        <v>130</v>
      </c>
      <c r="H103" s="217" t="s">
        <v>544</v>
      </c>
      <c r="I103" s="217" t="s">
        <v>331</v>
      </c>
      <c r="J103" s="217" t="s">
        <v>132</v>
      </c>
      <c r="K103" s="217" t="s">
        <v>133</v>
      </c>
      <c r="L103" s="217" t="s">
        <v>332</v>
      </c>
      <c r="M103" s="217" t="s">
        <v>545</v>
      </c>
      <c r="N103" s="217" t="s">
        <v>528</v>
      </c>
      <c r="O103" s="217" t="s">
        <v>529</v>
      </c>
      <c r="P103" s="217" t="s">
        <v>334</v>
      </c>
      <c r="Q103" s="217" t="s">
        <v>530</v>
      </c>
      <c r="R103" s="217" t="s">
        <v>546</v>
      </c>
      <c r="S103" s="217" t="s">
        <v>532</v>
      </c>
      <c r="T103" s="217" t="s">
        <v>533</v>
      </c>
      <c r="U103" s="217" t="s">
        <v>534</v>
      </c>
      <c r="V103" s="217" t="s">
        <v>535</v>
      </c>
      <c r="W103" s="217" t="s">
        <v>547</v>
      </c>
    </row>
    <row r="104" spans="2:23" ht="13.8" customHeight="1" x14ac:dyDescent="0.35">
      <c r="B104" s="1133">
        <v>1</v>
      </c>
      <c r="C104" s="1134" t="s">
        <v>1410</v>
      </c>
      <c r="D104" s="1148">
        <f>+D16-D60</f>
        <v>0</v>
      </c>
      <c r="E104" s="1148">
        <f>+E16-E60</f>
        <v>0</v>
      </c>
      <c r="F104" s="1148">
        <f>+F16-F60</f>
        <v>0</v>
      </c>
      <c r="G104" s="1148">
        <f>+G16-G60</f>
        <v>0</v>
      </c>
      <c r="H104" s="760">
        <f>+D104+E104-F104-G104</f>
        <v>0</v>
      </c>
      <c r="I104" s="1146">
        <f>+H104</f>
        <v>0</v>
      </c>
      <c r="J104" s="1148">
        <f t="shared" ref="J104:L111" si="52">+J16-J60</f>
        <v>0</v>
      </c>
      <c r="K104" s="1148">
        <f t="shared" si="52"/>
        <v>0</v>
      </c>
      <c r="L104" s="1148">
        <f t="shared" si="52"/>
        <v>0</v>
      </c>
      <c r="M104" s="760">
        <f>+I104+J104-K104-L104</f>
        <v>0</v>
      </c>
      <c r="N104" s="1146">
        <f>+M104</f>
        <v>0</v>
      </c>
      <c r="O104" s="1148">
        <f t="shared" ref="O104:Q111" si="53">+O16-O60</f>
        <v>0</v>
      </c>
      <c r="P104" s="1148">
        <f t="shared" si="53"/>
        <v>0</v>
      </c>
      <c r="Q104" s="1148">
        <f t="shared" si="53"/>
        <v>0</v>
      </c>
      <c r="R104" s="760">
        <f>+N104+O104-P104-Q104</f>
        <v>0</v>
      </c>
      <c r="S104" s="1146">
        <f>+R104</f>
        <v>0</v>
      </c>
      <c r="T104" s="1148">
        <f t="shared" ref="T104:V111" si="54">+T16-T60</f>
        <v>0</v>
      </c>
      <c r="U104" s="1148">
        <f t="shared" si="54"/>
        <v>0</v>
      </c>
      <c r="V104" s="1148">
        <f t="shared" si="54"/>
        <v>0</v>
      </c>
      <c r="W104" s="760">
        <f>+S104+T104-U104-V104</f>
        <v>0</v>
      </c>
    </row>
    <row r="105" spans="2:23" x14ac:dyDescent="0.35">
      <c r="B105" s="1133">
        <v>2</v>
      </c>
      <c r="C105" s="1134" t="s">
        <v>1409</v>
      </c>
      <c r="D105" s="1148">
        <f t="shared" ref="D105:G111" si="55">+D17-D61</f>
        <v>0</v>
      </c>
      <c r="E105" s="1148">
        <f t="shared" si="55"/>
        <v>0</v>
      </c>
      <c r="F105" s="1148">
        <f t="shared" si="55"/>
        <v>0</v>
      </c>
      <c r="G105" s="1148">
        <f t="shared" si="55"/>
        <v>0</v>
      </c>
      <c r="H105" s="760">
        <f t="shared" ref="H105:H111" si="56">+D105+E105-F105-G105</f>
        <v>0</v>
      </c>
      <c r="I105" s="1146">
        <f t="shared" ref="I105:I111" si="57">+H105</f>
        <v>0</v>
      </c>
      <c r="J105" s="1148">
        <f t="shared" si="52"/>
        <v>0</v>
      </c>
      <c r="K105" s="1148">
        <f t="shared" si="52"/>
        <v>0</v>
      </c>
      <c r="L105" s="1148">
        <f t="shared" si="52"/>
        <v>0</v>
      </c>
      <c r="M105" s="760">
        <f t="shared" ref="M105:M111" si="58">+I105+J105-K105-L105</f>
        <v>0</v>
      </c>
      <c r="N105" s="1146">
        <f t="shared" ref="N105:N111" si="59">+M105</f>
        <v>0</v>
      </c>
      <c r="O105" s="1148">
        <f t="shared" si="53"/>
        <v>0</v>
      </c>
      <c r="P105" s="1148">
        <f t="shared" si="53"/>
        <v>0</v>
      </c>
      <c r="Q105" s="1148">
        <f t="shared" si="53"/>
        <v>0</v>
      </c>
      <c r="R105" s="760">
        <f t="shared" ref="R105:R111" si="60">+N105+O105-P105-Q105</f>
        <v>0</v>
      </c>
      <c r="S105" s="1146">
        <f t="shared" ref="S105:S111" si="61">+R105</f>
        <v>0</v>
      </c>
      <c r="T105" s="1148">
        <f t="shared" si="54"/>
        <v>0</v>
      </c>
      <c r="U105" s="1148">
        <f t="shared" si="54"/>
        <v>0</v>
      </c>
      <c r="V105" s="1148">
        <f t="shared" si="54"/>
        <v>0</v>
      </c>
      <c r="W105" s="760">
        <f t="shared" ref="W105:W111" si="62">+S105+T105-U105-V105</f>
        <v>0</v>
      </c>
    </row>
    <row r="106" spans="2:23" x14ac:dyDescent="0.35">
      <c r="B106" s="1133">
        <v>3</v>
      </c>
      <c r="C106" s="1134" t="s">
        <v>440</v>
      </c>
      <c r="D106" s="1148">
        <f t="shared" si="55"/>
        <v>0</v>
      </c>
      <c r="E106" s="1148">
        <f t="shared" si="55"/>
        <v>0</v>
      </c>
      <c r="F106" s="1148">
        <f t="shared" si="55"/>
        <v>0</v>
      </c>
      <c r="G106" s="1148">
        <f t="shared" si="55"/>
        <v>0</v>
      </c>
      <c r="H106" s="760">
        <f t="shared" si="56"/>
        <v>0</v>
      </c>
      <c r="I106" s="1146">
        <f t="shared" si="57"/>
        <v>0</v>
      </c>
      <c r="J106" s="1148">
        <f t="shared" si="52"/>
        <v>0</v>
      </c>
      <c r="K106" s="1148">
        <f t="shared" si="52"/>
        <v>0</v>
      </c>
      <c r="L106" s="1148">
        <f t="shared" si="52"/>
        <v>0</v>
      </c>
      <c r="M106" s="760">
        <f t="shared" si="58"/>
        <v>0</v>
      </c>
      <c r="N106" s="1146">
        <f t="shared" si="59"/>
        <v>0</v>
      </c>
      <c r="O106" s="1148">
        <f t="shared" si="53"/>
        <v>0</v>
      </c>
      <c r="P106" s="1148">
        <f t="shared" si="53"/>
        <v>0</v>
      </c>
      <c r="Q106" s="1148">
        <f t="shared" si="53"/>
        <v>0</v>
      </c>
      <c r="R106" s="760">
        <f t="shared" si="60"/>
        <v>0</v>
      </c>
      <c r="S106" s="1146">
        <f t="shared" si="61"/>
        <v>0</v>
      </c>
      <c r="T106" s="1148">
        <f t="shared" si="54"/>
        <v>0</v>
      </c>
      <c r="U106" s="1148">
        <f t="shared" si="54"/>
        <v>0</v>
      </c>
      <c r="V106" s="1148">
        <f t="shared" si="54"/>
        <v>0</v>
      </c>
      <c r="W106" s="760">
        <f t="shared" si="62"/>
        <v>0</v>
      </c>
    </row>
    <row r="107" spans="2:23" x14ac:dyDescent="0.35">
      <c r="B107" s="1133">
        <v>4</v>
      </c>
      <c r="C107" s="1134" t="s">
        <v>915</v>
      </c>
      <c r="D107" s="1148">
        <f t="shared" si="55"/>
        <v>0</v>
      </c>
      <c r="E107" s="1148">
        <f t="shared" si="55"/>
        <v>0</v>
      </c>
      <c r="F107" s="1148">
        <f t="shared" si="55"/>
        <v>0</v>
      </c>
      <c r="G107" s="1148">
        <f t="shared" si="55"/>
        <v>0</v>
      </c>
      <c r="H107" s="760">
        <f t="shared" si="56"/>
        <v>0</v>
      </c>
      <c r="I107" s="1146">
        <f t="shared" si="57"/>
        <v>0</v>
      </c>
      <c r="J107" s="1148">
        <f t="shared" si="52"/>
        <v>0</v>
      </c>
      <c r="K107" s="1148">
        <f t="shared" si="52"/>
        <v>0</v>
      </c>
      <c r="L107" s="1148">
        <f t="shared" si="52"/>
        <v>0</v>
      </c>
      <c r="M107" s="760">
        <f t="shared" si="58"/>
        <v>0</v>
      </c>
      <c r="N107" s="1146">
        <f t="shared" si="59"/>
        <v>0</v>
      </c>
      <c r="O107" s="1148">
        <f t="shared" si="53"/>
        <v>0</v>
      </c>
      <c r="P107" s="1148">
        <f t="shared" si="53"/>
        <v>0</v>
      </c>
      <c r="Q107" s="1148">
        <f t="shared" si="53"/>
        <v>0</v>
      </c>
      <c r="R107" s="760">
        <f t="shared" si="60"/>
        <v>0</v>
      </c>
      <c r="S107" s="1146">
        <f t="shared" si="61"/>
        <v>0</v>
      </c>
      <c r="T107" s="1148">
        <f t="shared" si="54"/>
        <v>0</v>
      </c>
      <c r="U107" s="1148">
        <f t="shared" si="54"/>
        <v>0</v>
      </c>
      <c r="V107" s="1148">
        <f t="shared" si="54"/>
        <v>0</v>
      </c>
      <c r="W107" s="760">
        <f t="shared" si="62"/>
        <v>0</v>
      </c>
    </row>
    <row r="108" spans="2:23" x14ac:dyDescent="0.35">
      <c r="B108" s="1133">
        <v>5</v>
      </c>
      <c r="C108" s="1134" t="s">
        <v>447</v>
      </c>
      <c r="D108" s="1148">
        <f t="shared" si="55"/>
        <v>0</v>
      </c>
      <c r="E108" s="1148">
        <f t="shared" si="55"/>
        <v>0</v>
      </c>
      <c r="F108" s="1148">
        <f t="shared" si="55"/>
        <v>0</v>
      </c>
      <c r="G108" s="1148">
        <f t="shared" si="55"/>
        <v>0</v>
      </c>
      <c r="H108" s="760">
        <f t="shared" si="56"/>
        <v>0</v>
      </c>
      <c r="I108" s="1146">
        <f t="shared" si="57"/>
        <v>0</v>
      </c>
      <c r="J108" s="1148">
        <f t="shared" si="52"/>
        <v>0</v>
      </c>
      <c r="K108" s="1148">
        <f t="shared" si="52"/>
        <v>0</v>
      </c>
      <c r="L108" s="1148">
        <f t="shared" si="52"/>
        <v>0</v>
      </c>
      <c r="M108" s="760">
        <f t="shared" si="58"/>
        <v>0</v>
      </c>
      <c r="N108" s="1146">
        <f t="shared" si="59"/>
        <v>0</v>
      </c>
      <c r="O108" s="1148">
        <f t="shared" si="53"/>
        <v>0</v>
      </c>
      <c r="P108" s="1148">
        <f t="shared" si="53"/>
        <v>0</v>
      </c>
      <c r="Q108" s="1148">
        <f t="shared" si="53"/>
        <v>0</v>
      </c>
      <c r="R108" s="760">
        <f t="shared" si="60"/>
        <v>0</v>
      </c>
      <c r="S108" s="1146">
        <f t="shared" si="61"/>
        <v>0</v>
      </c>
      <c r="T108" s="1148">
        <f t="shared" si="54"/>
        <v>0</v>
      </c>
      <c r="U108" s="1148">
        <f t="shared" si="54"/>
        <v>0</v>
      </c>
      <c r="V108" s="1148">
        <f t="shared" si="54"/>
        <v>0</v>
      </c>
      <c r="W108" s="760">
        <f t="shared" si="62"/>
        <v>0</v>
      </c>
    </row>
    <row r="109" spans="2:23" x14ac:dyDescent="0.35">
      <c r="B109" s="1133">
        <v>6</v>
      </c>
      <c r="C109" s="1134" t="s">
        <v>879</v>
      </c>
      <c r="D109" s="1148">
        <f t="shared" si="55"/>
        <v>0</v>
      </c>
      <c r="E109" s="1148">
        <f t="shared" si="55"/>
        <v>0</v>
      </c>
      <c r="F109" s="1148">
        <f t="shared" si="55"/>
        <v>0</v>
      </c>
      <c r="G109" s="1148">
        <f t="shared" si="55"/>
        <v>0</v>
      </c>
      <c r="H109" s="760">
        <f t="shared" si="56"/>
        <v>0</v>
      </c>
      <c r="I109" s="1146">
        <f t="shared" si="57"/>
        <v>0</v>
      </c>
      <c r="J109" s="1148">
        <f t="shared" si="52"/>
        <v>0</v>
      </c>
      <c r="K109" s="1148">
        <f t="shared" si="52"/>
        <v>0</v>
      </c>
      <c r="L109" s="1148">
        <f t="shared" si="52"/>
        <v>0</v>
      </c>
      <c r="M109" s="760">
        <f t="shared" si="58"/>
        <v>0</v>
      </c>
      <c r="N109" s="1146">
        <f t="shared" si="59"/>
        <v>0</v>
      </c>
      <c r="O109" s="1148">
        <f t="shared" si="53"/>
        <v>0</v>
      </c>
      <c r="P109" s="1148">
        <f t="shared" si="53"/>
        <v>0</v>
      </c>
      <c r="Q109" s="1148">
        <f t="shared" si="53"/>
        <v>0</v>
      </c>
      <c r="R109" s="760">
        <f t="shared" si="60"/>
        <v>0</v>
      </c>
      <c r="S109" s="1146">
        <f t="shared" si="61"/>
        <v>0</v>
      </c>
      <c r="T109" s="1148">
        <f t="shared" si="54"/>
        <v>0</v>
      </c>
      <c r="U109" s="1148">
        <f t="shared" si="54"/>
        <v>0</v>
      </c>
      <c r="V109" s="1148">
        <f t="shared" si="54"/>
        <v>0</v>
      </c>
      <c r="W109" s="760">
        <f t="shared" si="62"/>
        <v>0</v>
      </c>
    </row>
    <row r="110" spans="2:23" x14ac:dyDescent="0.4">
      <c r="B110" s="1133">
        <v>7</v>
      </c>
      <c r="C110" s="1135" t="s">
        <v>1269</v>
      </c>
      <c r="D110" s="1148">
        <f t="shared" si="55"/>
        <v>0</v>
      </c>
      <c r="E110" s="1148">
        <f t="shared" si="55"/>
        <v>0</v>
      </c>
      <c r="F110" s="1148">
        <f t="shared" si="55"/>
        <v>0</v>
      </c>
      <c r="G110" s="1148">
        <f t="shared" si="55"/>
        <v>0</v>
      </c>
      <c r="H110" s="760">
        <f t="shared" si="56"/>
        <v>0</v>
      </c>
      <c r="I110" s="1146">
        <f t="shared" si="57"/>
        <v>0</v>
      </c>
      <c r="J110" s="1148">
        <f t="shared" si="52"/>
        <v>0</v>
      </c>
      <c r="K110" s="1148">
        <f t="shared" si="52"/>
        <v>0</v>
      </c>
      <c r="L110" s="1148">
        <f t="shared" si="52"/>
        <v>0</v>
      </c>
      <c r="M110" s="760">
        <f t="shared" si="58"/>
        <v>0</v>
      </c>
      <c r="N110" s="1146">
        <f t="shared" si="59"/>
        <v>0</v>
      </c>
      <c r="O110" s="1148">
        <f t="shared" si="53"/>
        <v>0</v>
      </c>
      <c r="P110" s="1148">
        <f t="shared" si="53"/>
        <v>0</v>
      </c>
      <c r="Q110" s="1148">
        <f t="shared" si="53"/>
        <v>0</v>
      </c>
      <c r="R110" s="760">
        <f t="shared" si="60"/>
        <v>0</v>
      </c>
      <c r="S110" s="1146">
        <f t="shared" si="61"/>
        <v>0</v>
      </c>
      <c r="T110" s="1148">
        <f t="shared" si="54"/>
        <v>0</v>
      </c>
      <c r="U110" s="1148">
        <f t="shared" si="54"/>
        <v>0</v>
      </c>
      <c r="V110" s="1148">
        <f t="shared" si="54"/>
        <v>0</v>
      </c>
      <c r="W110" s="760">
        <f t="shared" si="62"/>
        <v>0</v>
      </c>
    </row>
    <row r="111" spans="2:23" x14ac:dyDescent="0.4">
      <c r="B111" s="1133">
        <v>8</v>
      </c>
      <c r="C111" s="1135" t="s">
        <v>1270</v>
      </c>
      <c r="D111" s="1148">
        <f t="shared" si="55"/>
        <v>0</v>
      </c>
      <c r="E111" s="1148">
        <f t="shared" si="55"/>
        <v>0</v>
      </c>
      <c r="F111" s="1148">
        <f t="shared" si="55"/>
        <v>0</v>
      </c>
      <c r="G111" s="1148">
        <f t="shared" si="55"/>
        <v>0</v>
      </c>
      <c r="H111" s="760">
        <f t="shared" si="56"/>
        <v>0</v>
      </c>
      <c r="I111" s="1146">
        <f t="shared" si="57"/>
        <v>0</v>
      </c>
      <c r="J111" s="1148">
        <f t="shared" si="52"/>
        <v>0</v>
      </c>
      <c r="K111" s="1148">
        <f t="shared" si="52"/>
        <v>0</v>
      </c>
      <c r="L111" s="1148">
        <f t="shared" si="52"/>
        <v>0</v>
      </c>
      <c r="M111" s="760">
        <f t="shared" si="58"/>
        <v>0</v>
      </c>
      <c r="N111" s="1146">
        <f t="shared" si="59"/>
        <v>0</v>
      </c>
      <c r="O111" s="1148">
        <f t="shared" si="53"/>
        <v>0</v>
      </c>
      <c r="P111" s="1148">
        <f t="shared" si="53"/>
        <v>0</v>
      </c>
      <c r="Q111" s="1148">
        <f t="shared" si="53"/>
        <v>0</v>
      </c>
      <c r="R111" s="760">
        <f t="shared" si="60"/>
        <v>0</v>
      </c>
      <c r="S111" s="1146">
        <f t="shared" si="61"/>
        <v>0</v>
      </c>
      <c r="T111" s="1148">
        <f t="shared" si="54"/>
        <v>0</v>
      </c>
      <c r="U111" s="1148">
        <f t="shared" si="54"/>
        <v>0</v>
      </c>
      <c r="V111" s="1148">
        <f t="shared" si="54"/>
        <v>0</v>
      </c>
      <c r="W111" s="760">
        <f t="shared" si="62"/>
        <v>0</v>
      </c>
    </row>
    <row r="112" spans="2:23" ht="14.65" x14ac:dyDescent="0.4">
      <c r="B112" s="1136"/>
      <c r="C112" s="1137" t="s">
        <v>164</v>
      </c>
      <c r="D112" s="1147">
        <f>SUM(D104:D111)</f>
        <v>0</v>
      </c>
      <c r="E112" s="1147">
        <f t="shared" ref="E112:W112" si="63">SUM(E104:E111)</f>
        <v>0</v>
      </c>
      <c r="F112" s="1147">
        <f t="shared" si="63"/>
        <v>0</v>
      </c>
      <c r="G112" s="1147">
        <f t="shared" si="63"/>
        <v>0</v>
      </c>
      <c r="H112" s="1147">
        <f t="shared" si="63"/>
        <v>0</v>
      </c>
      <c r="I112" s="1147">
        <f t="shared" si="63"/>
        <v>0</v>
      </c>
      <c r="J112" s="1147">
        <f t="shared" si="63"/>
        <v>0</v>
      </c>
      <c r="K112" s="1147">
        <f t="shared" si="63"/>
        <v>0</v>
      </c>
      <c r="L112" s="1147">
        <f t="shared" si="63"/>
        <v>0</v>
      </c>
      <c r="M112" s="1147">
        <f t="shared" si="63"/>
        <v>0</v>
      </c>
      <c r="N112" s="1147">
        <f t="shared" si="63"/>
        <v>0</v>
      </c>
      <c r="O112" s="1147">
        <f t="shared" si="63"/>
        <v>0</v>
      </c>
      <c r="P112" s="1147">
        <f t="shared" si="63"/>
        <v>0</v>
      </c>
      <c r="Q112" s="1147">
        <f t="shared" si="63"/>
        <v>0</v>
      </c>
      <c r="R112" s="1147">
        <f t="shared" si="63"/>
        <v>0</v>
      </c>
      <c r="S112" s="1147">
        <f t="shared" si="63"/>
        <v>0</v>
      </c>
      <c r="T112" s="1147">
        <f t="shared" si="63"/>
        <v>0</v>
      </c>
      <c r="U112" s="1147">
        <f t="shared" si="63"/>
        <v>0</v>
      </c>
      <c r="V112" s="1147">
        <f t="shared" si="63"/>
        <v>0</v>
      </c>
      <c r="W112" s="1147">
        <f t="shared" si="63"/>
        <v>0</v>
      </c>
    </row>
    <row r="113" spans="2:23" ht="14.65" x14ac:dyDescent="0.4">
      <c r="B113" s="1138"/>
      <c r="C113" s="1139"/>
      <c r="D113" s="84"/>
      <c r="E113" s="84"/>
      <c r="F113" s="84"/>
      <c r="G113" s="84"/>
      <c r="H113" s="84"/>
      <c r="J113" s="39"/>
      <c r="M113" s="39"/>
      <c r="N113" s="39"/>
    </row>
    <row r="114" spans="2:23" x14ac:dyDescent="0.35">
      <c r="B114" s="1947" t="s">
        <v>1</v>
      </c>
      <c r="C114" s="1947" t="s">
        <v>111</v>
      </c>
      <c r="D114" s="2053" t="s">
        <v>112</v>
      </c>
      <c r="E114" s="2053"/>
      <c r="F114" s="2053"/>
      <c r="G114" s="2053"/>
      <c r="H114" s="2053"/>
      <c r="I114" s="2053" t="s">
        <v>113</v>
      </c>
      <c r="J114" s="2053"/>
      <c r="K114" s="2053"/>
      <c r="L114" s="2053"/>
      <c r="M114" s="2053"/>
      <c r="N114" s="2054" t="s">
        <v>114</v>
      </c>
      <c r="O114" s="2054"/>
      <c r="P114" s="2054"/>
      <c r="Q114" s="2054"/>
      <c r="R114" s="2054"/>
      <c r="S114" s="2054" t="s">
        <v>123</v>
      </c>
      <c r="T114" s="2054"/>
      <c r="U114" s="2054"/>
      <c r="V114" s="2054"/>
      <c r="W114" s="2054"/>
    </row>
    <row r="115" spans="2:23" x14ac:dyDescent="0.35">
      <c r="B115" s="1947"/>
      <c r="C115" s="1947"/>
      <c r="D115" s="1947" t="s">
        <v>186</v>
      </c>
      <c r="E115" s="2051"/>
      <c r="F115" s="2051"/>
      <c r="G115" s="2051"/>
      <c r="H115" s="2051"/>
      <c r="I115" s="1947" t="s">
        <v>186</v>
      </c>
      <c r="J115" s="2051"/>
      <c r="K115" s="2051"/>
      <c r="L115" s="2051"/>
      <c r="M115" s="2051"/>
      <c r="N115" s="1947" t="s">
        <v>187</v>
      </c>
      <c r="O115" s="2051"/>
      <c r="P115" s="2051"/>
      <c r="Q115" s="2051"/>
      <c r="R115" s="2051"/>
      <c r="S115" s="1947" t="s">
        <v>135</v>
      </c>
      <c r="T115" s="2051"/>
      <c r="U115" s="2051"/>
      <c r="V115" s="2051"/>
      <c r="W115" s="2051"/>
    </row>
    <row r="116" spans="2:23" ht="27" x14ac:dyDescent="0.35">
      <c r="B116" s="1947"/>
      <c r="C116" s="1947"/>
      <c r="D116" s="250" t="s">
        <v>523</v>
      </c>
      <c r="E116" s="250" t="s">
        <v>524</v>
      </c>
      <c r="F116" s="251" t="s">
        <v>538</v>
      </c>
      <c r="G116" s="106" t="s">
        <v>543</v>
      </c>
      <c r="H116" s="250" t="s">
        <v>526</v>
      </c>
      <c r="I116" s="250" t="s">
        <v>523</v>
      </c>
      <c r="J116" s="250" t="s">
        <v>524</v>
      </c>
      <c r="K116" s="251" t="s">
        <v>538</v>
      </c>
      <c r="L116" s="106" t="s">
        <v>543</v>
      </c>
      <c r="M116" s="250" t="s">
        <v>526</v>
      </c>
      <c r="N116" s="250" t="s">
        <v>523</v>
      </c>
      <c r="O116" s="250" t="s">
        <v>524</v>
      </c>
      <c r="P116" s="251" t="s">
        <v>538</v>
      </c>
      <c r="Q116" s="106" t="s">
        <v>543</v>
      </c>
      <c r="R116" s="250" t="s">
        <v>526</v>
      </c>
      <c r="S116" s="250" t="s">
        <v>523</v>
      </c>
      <c r="T116" s="250" t="s">
        <v>524</v>
      </c>
      <c r="U116" s="251" t="s">
        <v>538</v>
      </c>
      <c r="V116" s="106" t="s">
        <v>543</v>
      </c>
      <c r="W116" s="250" t="s">
        <v>526</v>
      </c>
    </row>
    <row r="117" spans="2:23" ht="13.8" customHeight="1" x14ac:dyDescent="0.35">
      <c r="B117" s="217"/>
      <c r="C117" s="217"/>
      <c r="D117" s="217" t="s">
        <v>128</v>
      </c>
      <c r="E117" s="217" t="s">
        <v>129</v>
      </c>
      <c r="F117" s="217" t="s">
        <v>527</v>
      </c>
      <c r="G117" s="217" t="s">
        <v>130</v>
      </c>
      <c r="H117" s="217" t="s">
        <v>544</v>
      </c>
      <c r="I117" s="217" t="s">
        <v>331</v>
      </c>
      <c r="J117" s="217" t="s">
        <v>132</v>
      </c>
      <c r="K117" s="217" t="s">
        <v>133</v>
      </c>
      <c r="L117" s="217" t="s">
        <v>332</v>
      </c>
      <c r="M117" s="217" t="s">
        <v>545</v>
      </c>
      <c r="N117" s="217" t="s">
        <v>528</v>
      </c>
      <c r="O117" s="217" t="s">
        <v>529</v>
      </c>
      <c r="P117" s="217" t="s">
        <v>334</v>
      </c>
      <c r="Q117" s="217" t="s">
        <v>530</v>
      </c>
      <c r="R117" s="217" t="s">
        <v>546</v>
      </c>
      <c r="S117" s="217" t="s">
        <v>532</v>
      </c>
      <c r="T117" s="217" t="s">
        <v>533</v>
      </c>
      <c r="U117" s="217" t="s">
        <v>534</v>
      </c>
      <c r="V117" s="217" t="s">
        <v>535</v>
      </c>
      <c r="W117" s="217" t="s">
        <v>547</v>
      </c>
    </row>
    <row r="118" spans="2:23" x14ac:dyDescent="0.35">
      <c r="B118" s="1133">
        <v>1</v>
      </c>
      <c r="C118" s="1134" t="s">
        <v>1410</v>
      </c>
      <c r="D118" s="1142">
        <f>+W104</f>
        <v>0</v>
      </c>
      <c r="E118" s="1148">
        <f t="shared" ref="E118:G125" si="64">+E30-E74</f>
        <v>0</v>
      </c>
      <c r="F118" s="1148">
        <f t="shared" si="64"/>
        <v>0</v>
      </c>
      <c r="G118" s="1148">
        <f t="shared" si="64"/>
        <v>0</v>
      </c>
      <c r="H118" s="760">
        <f>+D118+E118-F118-G118</f>
        <v>0</v>
      </c>
      <c r="I118" s="1146">
        <f>+H118</f>
        <v>0</v>
      </c>
      <c r="J118" s="1148">
        <f t="shared" ref="J118:L125" si="65">+J30-J74</f>
        <v>0</v>
      </c>
      <c r="K118" s="1148">
        <f t="shared" si="65"/>
        <v>0</v>
      </c>
      <c r="L118" s="1148">
        <f t="shared" si="65"/>
        <v>0</v>
      </c>
      <c r="M118" s="760">
        <f>+I118+J118-K118-L118</f>
        <v>0</v>
      </c>
      <c r="N118" s="1146">
        <f>+M118</f>
        <v>0</v>
      </c>
      <c r="O118" s="1148">
        <f t="shared" ref="O118:Q125" si="66">+O30-O74</f>
        <v>0</v>
      </c>
      <c r="P118" s="1148">
        <f t="shared" si="66"/>
        <v>0</v>
      </c>
      <c r="Q118" s="1148">
        <f t="shared" si="66"/>
        <v>0</v>
      </c>
      <c r="R118" s="760">
        <f>+N118+O118-P118-Q118</f>
        <v>0</v>
      </c>
      <c r="S118" s="1146">
        <f>+R118</f>
        <v>0</v>
      </c>
      <c r="T118" s="1148">
        <f t="shared" ref="T118:V125" si="67">+T30-T74</f>
        <v>0</v>
      </c>
      <c r="U118" s="1148">
        <f t="shared" si="67"/>
        <v>0</v>
      </c>
      <c r="V118" s="1148">
        <f t="shared" si="67"/>
        <v>0</v>
      </c>
      <c r="W118" s="760">
        <f>+S118+T118-U118-V118</f>
        <v>0</v>
      </c>
    </row>
    <row r="119" spans="2:23" x14ac:dyDescent="0.35">
      <c r="B119" s="1133">
        <v>2</v>
      </c>
      <c r="C119" s="1134" t="s">
        <v>1409</v>
      </c>
      <c r="D119" s="1142">
        <f t="shared" ref="D119:D125" si="68">+W105</f>
        <v>0</v>
      </c>
      <c r="E119" s="1148">
        <f t="shared" si="64"/>
        <v>0</v>
      </c>
      <c r="F119" s="1148">
        <f t="shared" si="64"/>
        <v>0</v>
      </c>
      <c r="G119" s="1148">
        <f t="shared" si="64"/>
        <v>0</v>
      </c>
      <c r="H119" s="760">
        <f t="shared" ref="H119:H125" si="69">+D119+E119-F119-G119</f>
        <v>0</v>
      </c>
      <c r="I119" s="1146">
        <f t="shared" ref="I119:I125" si="70">+H119</f>
        <v>0</v>
      </c>
      <c r="J119" s="1148">
        <f t="shared" si="65"/>
        <v>0</v>
      </c>
      <c r="K119" s="1148">
        <f t="shared" si="65"/>
        <v>0</v>
      </c>
      <c r="L119" s="1148">
        <f t="shared" si="65"/>
        <v>0</v>
      </c>
      <c r="M119" s="760">
        <f t="shared" ref="M119:M125" si="71">+I119+J119-K119-L119</f>
        <v>0</v>
      </c>
      <c r="N119" s="1146">
        <f t="shared" ref="N119:N125" si="72">+M119</f>
        <v>0</v>
      </c>
      <c r="O119" s="1148">
        <f t="shared" si="66"/>
        <v>0</v>
      </c>
      <c r="P119" s="1148">
        <f t="shared" si="66"/>
        <v>0</v>
      </c>
      <c r="Q119" s="1148">
        <f t="shared" si="66"/>
        <v>0</v>
      </c>
      <c r="R119" s="760">
        <f t="shared" ref="R119:R125" si="73">+N119+O119-P119-Q119</f>
        <v>0</v>
      </c>
      <c r="S119" s="1146">
        <f t="shared" ref="S119:S125" si="74">+R119</f>
        <v>0</v>
      </c>
      <c r="T119" s="1148">
        <f t="shared" si="67"/>
        <v>0</v>
      </c>
      <c r="U119" s="1148">
        <f t="shared" si="67"/>
        <v>0</v>
      </c>
      <c r="V119" s="1148">
        <f t="shared" si="67"/>
        <v>0</v>
      </c>
      <c r="W119" s="760">
        <f t="shared" ref="W119:W125" si="75">+S119+T119-U119-V119</f>
        <v>0</v>
      </c>
    </row>
    <row r="120" spans="2:23" x14ac:dyDescent="0.35">
      <c r="B120" s="1133">
        <v>3</v>
      </c>
      <c r="C120" s="1134" t="s">
        <v>440</v>
      </c>
      <c r="D120" s="1142">
        <f t="shared" si="68"/>
        <v>0</v>
      </c>
      <c r="E120" s="1148">
        <f t="shared" si="64"/>
        <v>0</v>
      </c>
      <c r="F120" s="1148">
        <f t="shared" si="64"/>
        <v>0</v>
      </c>
      <c r="G120" s="1148">
        <f t="shared" si="64"/>
        <v>0</v>
      </c>
      <c r="H120" s="760">
        <f t="shared" si="69"/>
        <v>0</v>
      </c>
      <c r="I120" s="1146">
        <f t="shared" si="70"/>
        <v>0</v>
      </c>
      <c r="J120" s="1148">
        <f t="shared" si="65"/>
        <v>0</v>
      </c>
      <c r="K120" s="1148">
        <f t="shared" si="65"/>
        <v>0</v>
      </c>
      <c r="L120" s="1148">
        <f t="shared" si="65"/>
        <v>0</v>
      </c>
      <c r="M120" s="760">
        <f t="shared" si="71"/>
        <v>0</v>
      </c>
      <c r="N120" s="1146">
        <f t="shared" si="72"/>
        <v>0</v>
      </c>
      <c r="O120" s="1148">
        <f t="shared" si="66"/>
        <v>0</v>
      </c>
      <c r="P120" s="1148">
        <f t="shared" si="66"/>
        <v>0</v>
      </c>
      <c r="Q120" s="1148">
        <f t="shared" si="66"/>
        <v>0</v>
      </c>
      <c r="R120" s="760">
        <f t="shared" si="73"/>
        <v>0</v>
      </c>
      <c r="S120" s="1146">
        <f t="shared" si="74"/>
        <v>0</v>
      </c>
      <c r="T120" s="1148">
        <f t="shared" si="67"/>
        <v>0</v>
      </c>
      <c r="U120" s="1148">
        <f t="shared" si="67"/>
        <v>0</v>
      </c>
      <c r="V120" s="1148">
        <f t="shared" si="67"/>
        <v>0</v>
      </c>
      <c r="W120" s="760">
        <f t="shared" si="75"/>
        <v>0</v>
      </c>
    </row>
    <row r="121" spans="2:23" x14ac:dyDescent="0.35">
      <c r="B121" s="1133">
        <v>4</v>
      </c>
      <c r="C121" s="1134" t="s">
        <v>915</v>
      </c>
      <c r="D121" s="1142">
        <f t="shared" si="68"/>
        <v>0</v>
      </c>
      <c r="E121" s="1148">
        <f t="shared" si="64"/>
        <v>0</v>
      </c>
      <c r="F121" s="1148">
        <f t="shared" si="64"/>
        <v>0</v>
      </c>
      <c r="G121" s="1148">
        <f t="shared" si="64"/>
        <v>0</v>
      </c>
      <c r="H121" s="760">
        <f t="shared" si="69"/>
        <v>0</v>
      </c>
      <c r="I121" s="1146">
        <f t="shared" si="70"/>
        <v>0</v>
      </c>
      <c r="J121" s="1148">
        <f t="shared" si="65"/>
        <v>0</v>
      </c>
      <c r="K121" s="1148">
        <f t="shared" si="65"/>
        <v>0</v>
      </c>
      <c r="L121" s="1148">
        <f t="shared" si="65"/>
        <v>0</v>
      </c>
      <c r="M121" s="760">
        <f t="shared" si="71"/>
        <v>0</v>
      </c>
      <c r="N121" s="1146">
        <f t="shared" si="72"/>
        <v>0</v>
      </c>
      <c r="O121" s="1148">
        <f t="shared" si="66"/>
        <v>0</v>
      </c>
      <c r="P121" s="1148">
        <f t="shared" si="66"/>
        <v>0</v>
      </c>
      <c r="Q121" s="1148">
        <f t="shared" si="66"/>
        <v>0</v>
      </c>
      <c r="R121" s="760">
        <f t="shared" si="73"/>
        <v>0</v>
      </c>
      <c r="S121" s="1146">
        <f t="shared" si="74"/>
        <v>0</v>
      </c>
      <c r="T121" s="1148">
        <f t="shared" si="67"/>
        <v>0</v>
      </c>
      <c r="U121" s="1148">
        <f t="shared" si="67"/>
        <v>0</v>
      </c>
      <c r="V121" s="1148">
        <f t="shared" si="67"/>
        <v>0</v>
      </c>
      <c r="W121" s="760">
        <f t="shared" si="75"/>
        <v>0</v>
      </c>
    </row>
    <row r="122" spans="2:23" x14ac:dyDescent="0.35">
      <c r="B122" s="1133">
        <v>5</v>
      </c>
      <c r="C122" s="1134" t="s">
        <v>447</v>
      </c>
      <c r="D122" s="1142">
        <f t="shared" si="68"/>
        <v>0</v>
      </c>
      <c r="E122" s="1148">
        <f t="shared" si="64"/>
        <v>0</v>
      </c>
      <c r="F122" s="1148">
        <f t="shared" si="64"/>
        <v>0</v>
      </c>
      <c r="G122" s="1148">
        <f t="shared" si="64"/>
        <v>0</v>
      </c>
      <c r="H122" s="760">
        <f t="shared" si="69"/>
        <v>0</v>
      </c>
      <c r="I122" s="1146">
        <f t="shared" si="70"/>
        <v>0</v>
      </c>
      <c r="J122" s="1148">
        <f t="shared" si="65"/>
        <v>0</v>
      </c>
      <c r="K122" s="1148">
        <f t="shared" si="65"/>
        <v>0</v>
      </c>
      <c r="L122" s="1148">
        <f t="shared" si="65"/>
        <v>0</v>
      </c>
      <c r="M122" s="760">
        <f t="shared" si="71"/>
        <v>0</v>
      </c>
      <c r="N122" s="1146">
        <f t="shared" si="72"/>
        <v>0</v>
      </c>
      <c r="O122" s="1148">
        <f t="shared" si="66"/>
        <v>0</v>
      </c>
      <c r="P122" s="1148">
        <f t="shared" si="66"/>
        <v>0</v>
      </c>
      <c r="Q122" s="1148">
        <f t="shared" si="66"/>
        <v>0</v>
      </c>
      <c r="R122" s="760">
        <f t="shared" si="73"/>
        <v>0</v>
      </c>
      <c r="S122" s="1146">
        <f t="shared" si="74"/>
        <v>0</v>
      </c>
      <c r="T122" s="1148">
        <f t="shared" si="67"/>
        <v>0.28660894060999997</v>
      </c>
      <c r="U122" s="1148">
        <f t="shared" si="67"/>
        <v>0</v>
      </c>
      <c r="V122" s="1148">
        <f t="shared" si="67"/>
        <v>0</v>
      </c>
      <c r="W122" s="760">
        <f t="shared" si="75"/>
        <v>0.28660894060999997</v>
      </c>
    </row>
    <row r="123" spans="2:23" x14ac:dyDescent="0.35">
      <c r="B123" s="1133">
        <v>6</v>
      </c>
      <c r="C123" s="1134" t="s">
        <v>879</v>
      </c>
      <c r="D123" s="1142">
        <f t="shared" si="68"/>
        <v>0</v>
      </c>
      <c r="E123" s="1148">
        <f t="shared" si="64"/>
        <v>0</v>
      </c>
      <c r="F123" s="1148">
        <f t="shared" si="64"/>
        <v>0</v>
      </c>
      <c r="G123" s="1148">
        <f t="shared" si="64"/>
        <v>0</v>
      </c>
      <c r="H123" s="760">
        <f t="shared" si="69"/>
        <v>0</v>
      </c>
      <c r="I123" s="1146">
        <f t="shared" si="70"/>
        <v>0</v>
      </c>
      <c r="J123" s="1148">
        <f t="shared" si="65"/>
        <v>0</v>
      </c>
      <c r="K123" s="1148">
        <f t="shared" si="65"/>
        <v>0</v>
      </c>
      <c r="L123" s="1148">
        <f t="shared" si="65"/>
        <v>0</v>
      </c>
      <c r="M123" s="760">
        <f t="shared" si="71"/>
        <v>0</v>
      </c>
      <c r="N123" s="1146">
        <f t="shared" si="72"/>
        <v>0</v>
      </c>
      <c r="O123" s="1148">
        <f t="shared" si="66"/>
        <v>0</v>
      </c>
      <c r="P123" s="1148">
        <f t="shared" si="66"/>
        <v>0</v>
      </c>
      <c r="Q123" s="1148">
        <f t="shared" si="66"/>
        <v>0</v>
      </c>
      <c r="R123" s="760">
        <f t="shared" si="73"/>
        <v>0</v>
      </c>
      <c r="S123" s="1146">
        <f t="shared" si="74"/>
        <v>0</v>
      </c>
      <c r="T123" s="1148">
        <f t="shared" si="67"/>
        <v>0</v>
      </c>
      <c r="U123" s="1148">
        <f t="shared" si="67"/>
        <v>0</v>
      </c>
      <c r="V123" s="1148">
        <f t="shared" si="67"/>
        <v>0</v>
      </c>
      <c r="W123" s="760">
        <f t="shared" si="75"/>
        <v>0</v>
      </c>
    </row>
    <row r="124" spans="2:23" x14ac:dyDescent="0.4">
      <c r="B124" s="1133">
        <v>7</v>
      </c>
      <c r="C124" s="1135" t="s">
        <v>1269</v>
      </c>
      <c r="D124" s="1142">
        <f t="shared" si="68"/>
        <v>0</v>
      </c>
      <c r="E124" s="1148">
        <f t="shared" si="64"/>
        <v>0</v>
      </c>
      <c r="F124" s="1148">
        <f t="shared" si="64"/>
        <v>0</v>
      </c>
      <c r="G124" s="1148">
        <f t="shared" si="64"/>
        <v>0</v>
      </c>
      <c r="H124" s="760">
        <f t="shared" si="69"/>
        <v>0</v>
      </c>
      <c r="I124" s="1146">
        <f t="shared" si="70"/>
        <v>0</v>
      </c>
      <c r="J124" s="1148">
        <f t="shared" si="65"/>
        <v>0</v>
      </c>
      <c r="K124" s="1148">
        <f t="shared" si="65"/>
        <v>0</v>
      </c>
      <c r="L124" s="1148">
        <f t="shared" si="65"/>
        <v>0</v>
      </c>
      <c r="M124" s="760">
        <f t="shared" si="71"/>
        <v>0</v>
      </c>
      <c r="N124" s="1146">
        <f t="shared" si="72"/>
        <v>0</v>
      </c>
      <c r="O124" s="1148">
        <f t="shared" si="66"/>
        <v>0</v>
      </c>
      <c r="P124" s="1148">
        <f t="shared" si="66"/>
        <v>0</v>
      </c>
      <c r="Q124" s="1148">
        <f t="shared" si="66"/>
        <v>0</v>
      </c>
      <c r="R124" s="760">
        <f t="shared" si="73"/>
        <v>0</v>
      </c>
      <c r="S124" s="1146">
        <f t="shared" si="74"/>
        <v>0</v>
      </c>
      <c r="T124" s="1148">
        <f t="shared" si="67"/>
        <v>0</v>
      </c>
      <c r="U124" s="1148">
        <f t="shared" si="67"/>
        <v>0</v>
      </c>
      <c r="V124" s="1148">
        <f t="shared" si="67"/>
        <v>0</v>
      </c>
      <c r="W124" s="760">
        <f t="shared" si="75"/>
        <v>0</v>
      </c>
    </row>
    <row r="125" spans="2:23" x14ac:dyDescent="0.4">
      <c r="B125" s="1133">
        <v>8</v>
      </c>
      <c r="C125" s="1135" t="s">
        <v>1270</v>
      </c>
      <c r="D125" s="1142">
        <f t="shared" si="68"/>
        <v>0</v>
      </c>
      <c r="E125" s="1148">
        <f t="shared" si="64"/>
        <v>0</v>
      </c>
      <c r="F125" s="1148">
        <f t="shared" si="64"/>
        <v>0</v>
      </c>
      <c r="G125" s="1148">
        <f t="shared" si="64"/>
        <v>0</v>
      </c>
      <c r="H125" s="760">
        <f t="shared" si="69"/>
        <v>0</v>
      </c>
      <c r="I125" s="1146">
        <f t="shared" si="70"/>
        <v>0</v>
      </c>
      <c r="J125" s="1148">
        <f t="shared" si="65"/>
        <v>0</v>
      </c>
      <c r="K125" s="1148">
        <f t="shared" si="65"/>
        <v>0</v>
      </c>
      <c r="L125" s="1148">
        <f t="shared" si="65"/>
        <v>0</v>
      </c>
      <c r="M125" s="760">
        <f t="shared" si="71"/>
        <v>0</v>
      </c>
      <c r="N125" s="1146">
        <f t="shared" si="72"/>
        <v>0</v>
      </c>
      <c r="O125" s="1148">
        <f t="shared" si="66"/>
        <v>0</v>
      </c>
      <c r="P125" s="1148">
        <f t="shared" si="66"/>
        <v>0</v>
      </c>
      <c r="Q125" s="1148">
        <f t="shared" si="66"/>
        <v>0</v>
      </c>
      <c r="R125" s="760">
        <f t="shared" si="73"/>
        <v>0</v>
      </c>
      <c r="S125" s="1146">
        <f t="shared" si="74"/>
        <v>0</v>
      </c>
      <c r="T125" s="1148">
        <f t="shared" si="67"/>
        <v>0</v>
      </c>
      <c r="U125" s="1148">
        <f t="shared" si="67"/>
        <v>0</v>
      </c>
      <c r="V125" s="1148">
        <f t="shared" si="67"/>
        <v>0</v>
      </c>
      <c r="W125" s="760">
        <f t="shared" si="75"/>
        <v>0</v>
      </c>
    </row>
    <row r="126" spans="2:23" ht="14.65" x14ac:dyDescent="0.4">
      <c r="B126" s="1136"/>
      <c r="C126" s="1137" t="s">
        <v>164</v>
      </c>
      <c r="D126" s="1140">
        <f t="shared" ref="D126:W126" si="76">SUM(D118:D125)</f>
        <v>0</v>
      </c>
      <c r="E126" s="1147">
        <f t="shared" si="76"/>
        <v>0</v>
      </c>
      <c r="F126" s="1147">
        <f t="shared" si="76"/>
        <v>0</v>
      </c>
      <c r="G126" s="1147">
        <f t="shared" si="76"/>
        <v>0</v>
      </c>
      <c r="H126" s="1147">
        <f t="shared" si="76"/>
        <v>0</v>
      </c>
      <c r="I126" s="1147">
        <f t="shared" si="76"/>
        <v>0</v>
      </c>
      <c r="J126" s="1147">
        <f t="shared" si="76"/>
        <v>0</v>
      </c>
      <c r="K126" s="1147">
        <f t="shared" si="76"/>
        <v>0</v>
      </c>
      <c r="L126" s="1147">
        <f t="shared" si="76"/>
        <v>0</v>
      </c>
      <c r="M126" s="1147">
        <f t="shared" si="76"/>
        <v>0</v>
      </c>
      <c r="N126" s="1147">
        <f t="shared" si="76"/>
        <v>0</v>
      </c>
      <c r="O126" s="1147">
        <f t="shared" si="76"/>
        <v>0</v>
      </c>
      <c r="P126" s="1147">
        <f t="shared" si="76"/>
        <v>0</v>
      </c>
      <c r="Q126" s="1147">
        <f t="shared" si="76"/>
        <v>0</v>
      </c>
      <c r="R126" s="1147">
        <f t="shared" si="76"/>
        <v>0</v>
      </c>
      <c r="S126" s="1147">
        <f t="shared" si="76"/>
        <v>0</v>
      </c>
      <c r="T126" s="1147">
        <f t="shared" si="76"/>
        <v>0.28660894060999997</v>
      </c>
      <c r="U126" s="1147">
        <f t="shared" si="76"/>
        <v>0</v>
      </c>
      <c r="V126" s="1147">
        <f t="shared" si="76"/>
        <v>0</v>
      </c>
      <c r="W126" s="1147">
        <f t="shared" si="76"/>
        <v>0.28660894060999997</v>
      </c>
    </row>
    <row r="127" spans="2:23" ht="15.4" x14ac:dyDescent="0.35">
      <c r="B127" s="125"/>
      <c r="C127" s="83"/>
      <c r="D127" s="83"/>
      <c r="E127" s="83"/>
      <c r="F127" s="83"/>
      <c r="G127" s="83"/>
      <c r="H127" s="83"/>
      <c r="I127" s="125"/>
      <c r="J127" s="125"/>
      <c r="K127" s="125"/>
      <c r="L127" s="125"/>
      <c r="M127" s="125"/>
      <c r="N127" s="125"/>
      <c r="O127" s="125"/>
      <c r="P127" s="125"/>
      <c r="Q127" s="125"/>
      <c r="R127" s="125"/>
      <c r="S127" s="125"/>
      <c r="T127" s="125"/>
      <c r="U127" s="125"/>
      <c r="V127" s="125"/>
      <c r="W127" s="160" t="s">
        <v>110</v>
      </c>
    </row>
    <row r="128" spans="2:23" x14ac:dyDescent="0.35">
      <c r="B128" s="1947" t="s">
        <v>1</v>
      </c>
      <c r="C128" s="1947" t="s">
        <v>111</v>
      </c>
      <c r="D128" s="2052" t="s">
        <v>124</v>
      </c>
      <c r="E128" s="2052"/>
      <c r="F128" s="2052"/>
      <c r="G128" s="2052"/>
      <c r="H128" s="2052"/>
      <c r="I128" s="2052" t="s">
        <v>125</v>
      </c>
      <c r="J128" s="2052"/>
      <c r="K128" s="2052"/>
      <c r="L128" s="2052"/>
      <c r="M128" s="2052"/>
      <c r="N128" s="2052" t="s">
        <v>126</v>
      </c>
      <c r="O128" s="2052"/>
      <c r="P128" s="2052"/>
      <c r="Q128" s="2052"/>
      <c r="R128" s="2052"/>
      <c r="S128" s="2052" t="s">
        <v>127</v>
      </c>
      <c r="T128" s="2052"/>
      <c r="U128" s="2052"/>
      <c r="V128" s="2052"/>
      <c r="W128" s="2052"/>
    </row>
    <row r="129" spans="2:38" x14ac:dyDescent="0.35">
      <c r="B129" s="1947"/>
      <c r="C129" s="1947"/>
      <c r="D129" s="2052" t="s">
        <v>135</v>
      </c>
      <c r="E129" s="2055"/>
      <c r="F129" s="2055"/>
      <c r="G129" s="2055"/>
      <c r="H129" s="2055"/>
      <c r="I129" s="2052" t="s">
        <v>135</v>
      </c>
      <c r="J129" s="2055"/>
      <c r="K129" s="2055"/>
      <c r="L129" s="2055"/>
      <c r="M129" s="2055"/>
      <c r="N129" s="2052" t="s">
        <v>135</v>
      </c>
      <c r="O129" s="2055"/>
      <c r="P129" s="2055"/>
      <c r="Q129" s="2055"/>
      <c r="R129" s="2055"/>
      <c r="S129" s="2052" t="s">
        <v>135</v>
      </c>
      <c r="T129" s="2055"/>
      <c r="U129" s="2055"/>
      <c r="V129" s="2055"/>
      <c r="W129" s="2055"/>
    </row>
    <row r="130" spans="2:38" ht="27" x14ac:dyDescent="0.35">
      <c r="B130" s="1947"/>
      <c r="C130" s="1947"/>
      <c r="D130" s="250" t="s">
        <v>523</v>
      </c>
      <c r="E130" s="250" t="s">
        <v>524</v>
      </c>
      <c r="F130" s="251" t="s">
        <v>538</v>
      </c>
      <c r="G130" s="106" t="s">
        <v>543</v>
      </c>
      <c r="H130" s="250" t="s">
        <v>526</v>
      </c>
      <c r="I130" s="250" t="s">
        <v>523</v>
      </c>
      <c r="J130" s="250" t="s">
        <v>524</v>
      </c>
      <c r="K130" s="251" t="s">
        <v>538</v>
      </c>
      <c r="L130" s="106" t="s">
        <v>543</v>
      </c>
      <c r="M130" s="250" t="s">
        <v>526</v>
      </c>
      <c r="N130" s="250" t="s">
        <v>523</v>
      </c>
      <c r="O130" s="250" t="s">
        <v>524</v>
      </c>
      <c r="P130" s="251" t="s">
        <v>538</v>
      </c>
      <c r="Q130" s="106" t="s">
        <v>543</v>
      </c>
      <c r="R130" s="250" t="s">
        <v>526</v>
      </c>
      <c r="S130" s="250" t="s">
        <v>523</v>
      </c>
      <c r="T130" s="250" t="s">
        <v>524</v>
      </c>
      <c r="U130" s="251" t="s">
        <v>538</v>
      </c>
      <c r="V130" s="106" t="s">
        <v>543</v>
      </c>
      <c r="W130" s="250" t="s">
        <v>526</v>
      </c>
      <c r="X130" s="125"/>
      <c r="Y130" s="125"/>
      <c r="Z130" s="125"/>
      <c r="AA130" s="125"/>
      <c r="AB130" s="125"/>
      <c r="AC130" s="125"/>
      <c r="AD130" s="125"/>
      <c r="AE130" s="125"/>
      <c r="AF130" s="125"/>
      <c r="AG130" s="125"/>
      <c r="AH130" s="125"/>
      <c r="AI130" s="125"/>
      <c r="AJ130" s="125"/>
      <c r="AK130" s="125"/>
      <c r="AL130" s="125"/>
    </row>
    <row r="131" spans="2:38" ht="15.4" x14ac:dyDescent="0.35">
      <c r="B131" s="217"/>
      <c r="C131" s="217"/>
      <c r="D131" s="217" t="s">
        <v>128</v>
      </c>
      <c r="E131" s="217" t="s">
        <v>129</v>
      </c>
      <c r="F131" s="217" t="s">
        <v>527</v>
      </c>
      <c r="G131" s="217" t="s">
        <v>130</v>
      </c>
      <c r="H131" s="217" t="s">
        <v>544</v>
      </c>
      <c r="I131" s="217" t="s">
        <v>331</v>
      </c>
      <c r="J131" s="217" t="s">
        <v>132</v>
      </c>
      <c r="K131" s="217" t="s">
        <v>133</v>
      </c>
      <c r="L131" s="217" t="s">
        <v>332</v>
      </c>
      <c r="M131" s="217" t="s">
        <v>545</v>
      </c>
      <c r="N131" s="217" t="s">
        <v>528</v>
      </c>
      <c r="O131" s="217" t="s">
        <v>529</v>
      </c>
      <c r="P131" s="217" t="s">
        <v>334</v>
      </c>
      <c r="Q131" s="217" t="s">
        <v>530</v>
      </c>
      <c r="R131" s="217" t="s">
        <v>546</v>
      </c>
      <c r="S131" s="217" t="s">
        <v>532</v>
      </c>
      <c r="T131" s="217" t="s">
        <v>533</v>
      </c>
      <c r="U131" s="217" t="s">
        <v>534</v>
      </c>
      <c r="V131" s="217" t="s">
        <v>535</v>
      </c>
      <c r="W131" s="217" t="s">
        <v>547</v>
      </c>
      <c r="X131" s="125"/>
      <c r="Y131" s="125"/>
      <c r="Z131" s="125"/>
      <c r="AA131" s="125"/>
      <c r="AB131" s="125"/>
      <c r="AC131" s="125"/>
      <c r="AD131" s="125"/>
      <c r="AE131" s="125"/>
      <c r="AF131" s="125"/>
      <c r="AG131" s="125"/>
      <c r="AH131" s="125"/>
      <c r="AI131" s="125"/>
      <c r="AJ131" s="125"/>
      <c r="AK131" s="125"/>
      <c r="AL131" s="125"/>
    </row>
    <row r="132" spans="2:38" ht="13.8" customHeight="1" x14ac:dyDescent="0.35">
      <c r="B132" s="1133">
        <v>1</v>
      </c>
      <c r="C132" s="1134" t="s">
        <v>1410</v>
      </c>
      <c r="D132" s="1142">
        <f>+W118</f>
        <v>0</v>
      </c>
      <c r="E132" s="1148">
        <f t="shared" ref="E132:G139" si="77">+E44-E88</f>
        <v>0</v>
      </c>
      <c r="F132" s="1148">
        <f t="shared" si="77"/>
        <v>0</v>
      </c>
      <c r="G132" s="1148">
        <f t="shared" si="77"/>
        <v>0</v>
      </c>
      <c r="H132" s="760">
        <f>+D132+E132-F132-G132</f>
        <v>0</v>
      </c>
      <c r="I132" s="1146">
        <f>+H132</f>
        <v>0</v>
      </c>
      <c r="J132" s="1148">
        <f t="shared" ref="J132:L139" si="78">+J44-J88</f>
        <v>0</v>
      </c>
      <c r="K132" s="1148">
        <f t="shared" si="78"/>
        <v>0</v>
      </c>
      <c r="L132" s="1148">
        <f t="shared" si="78"/>
        <v>0</v>
      </c>
      <c r="M132" s="760">
        <f>+I132+J132-K132-L132</f>
        <v>0</v>
      </c>
      <c r="N132" s="1146">
        <f>+M132</f>
        <v>0</v>
      </c>
      <c r="O132" s="1148">
        <f t="shared" ref="O132:Q139" si="79">+O44-O88</f>
        <v>0</v>
      </c>
      <c r="P132" s="1148">
        <f t="shared" si="79"/>
        <v>0</v>
      </c>
      <c r="Q132" s="1148">
        <f t="shared" si="79"/>
        <v>0</v>
      </c>
      <c r="R132" s="760">
        <f>+N132+O132-P132-Q132</f>
        <v>0</v>
      </c>
      <c r="S132" s="1146">
        <f>+R132</f>
        <v>0</v>
      </c>
      <c r="T132" s="1148">
        <f t="shared" ref="T132:V139" si="80">+T44-T88</f>
        <v>0</v>
      </c>
      <c r="U132" s="1148">
        <f t="shared" si="80"/>
        <v>0</v>
      </c>
      <c r="V132" s="1148">
        <f t="shared" si="80"/>
        <v>0</v>
      </c>
      <c r="W132" s="760">
        <f>+S132+T132-U132-V132</f>
        <v>0</v>
      </c>
    </row>
    <row r="133" spans="2:38" x14ac:dyDescent="0.35">
      <c r="B133" s="1133">
        <v>2</v>
      </c>
      <c r="C133" s="1134" t="s">
        <v>1409</v>
      </c>
      <c r="D133" s="1142">
        <f t="shared" ref="D133:D139" si="81">+W119</f>
        <v>0</v>
      </c>
      <c r="E133" s="1148">
        <f t="shared" si="77"/>
        <v>0</v>
      </c>
      <c r="F133" s="1148">
        <f t="shared" si="77"/>
        <v>0</v>
      </c>
      <c r="G133" s="1148">
        <f t="shared" si="77"/>
        <v>0</v>
      </c>
      <c r="H133" s="760">
        <f t="shared" ref="H133:H139" si="82">+D133+E133-F133-G133</f>
        <v>0</v>
      </c>
      <c r="I133" s="1146">
        <f t="shared" ref="I133:I139" si="83">+H133</f>
        <v>0</v>
      </c>
      <c r="J133" s="1148">
        <f t="shared" si="78"/>
        <v>0</v>
      </c>
      <c r="K133" s="1148">
        <f t="shared" si="78"/>
        <v>0</v>
      </c>
      <c r="L133" s="1148">
        <f t="shared" si="78"/>
        <v>0</v>
      </c>
      <c r="M133" s="760">
        <f t="shared" ref="M133:M139" si="84">+I133+J133-K133-L133</f>
        <v>0</v>
      </c>
      <c r="N133" s="1146">
        <f t="shared" ref="N133:N139" si="85">+M133</f>
        <v>0</v>
      </c>
      <c r="O133" s="1148">
        <f t="shared" si="79"/>
        <v>0</v>
      </c>
      <c r="P133" s="1148">
        <f t="shared" si="79"/>
        <v>0</v>
      </c>
      <c r="Q133" s="1148">
        <f t="shared" si="79"/>
        <v>0</v>
      </c>
      <c r="R133" s="760">
        <f t="shared" ref="R133:R139" si="86">+N133+O133-P133-Q133</f>
        <v>0</v>
      </c>
      <c r="S133" s="1146">
        <f t="shared" ref="S133:S139" si="87">+R133</f>
        <v>0</v>
      </c>
      <c r="T133" s="1148">
        <f t="shared" si="80"/>
        <v>0</v>
      </c>
      <c r="U133" s="1148">
        <f t="shared" si="80"/>
        <v>0</v>
      </c>
      <c r="V133" s="1148">
        <f t="shared" si="80"/>
        <v>0</v>
      </c>
      <c r="W133" s="760">
        <f t="shared" ref="W133:W139" si="88">+S133+T133-U133-V133</f>
        <v>0</v>
      </c>
    </row>
    <row r="134" spans="2:38" x14ac:dyDescent="0.35">
      <c r="B134" s="1133">
        <v>3</v>
      </c>
      <c r="C134" s="1134" t="s">
        <v>440</v>
      </c>
      <c r="D134" s="1142">
        <f t="shared" si="81"/>
        <v>0</v>
      </c>
      <c r="E134" s="1148">
        <f t="shared" si="77"/>
        <v>0</v>
      </c>
      <c r="F134" s="1148">
        <f t="shared" si="77"/>
        <v>0</v>
      </c>
      <c r="G134" s="1148">
        <f t="shared" si="77"/>
        <v>0</v>
      </c>
      <c r="H134" s="760">
        <f t="shared" si="82"/>
        <v>0</v>
      </c>
      <c r="I134" s="1146">
        <f t="shared" si="83"/>
        <v>0</v>
      </c>
      <c r="J134" s="1148">
        <f t="shared" si="78"/>
        <v>0</v>
      </c>
      <c r="K134" s="1148">
        <f t="shared" si="78"/>
        <v>0</v>
      </c>
      <c r="L134" s="1148">
        <f t="shared" si="78"/>
        <v>0</v>
      </c>
      <c r="M134" s="760">
        <f t="shared" si="84"/>
        <v>0</v>
      </c>
      <c r="N134" s="1146">
        <f t="shared" si="85"/>
        <v>0</v>
      </c>
      <c r="O134" s="1148">
        <f t="shared" si="79"/>
        <v>0</v>
      </c>
      <c r="P134" s="1148">
        <f t="shared" si="79"/>
        <v>0</v>
      </c>
      <c r="Q134" s="1148">
        <f t="shared" si="79"/>
        <v>0</v>
      </c>
      <c r="R134" s="760">
        <f t="shared" si="86"/>
        <v>0</v>
      </c>
      <c r="S134" s="1146">
        <f t="shared" si="87"/>
        <v>0</v>
      </c>
      <c r="T134" s="1148">
        <f t="shared" si="80"/>
        <v>0</v>
      </c>
      <c r="U134" s="1148">
        <f t="shared" si="80"/>
        <v>0</v>
      </c>
      <c r="V134" s="1148">
        <f t="shared" si="80"/>
        <v>0</v>
      </c>
      <c r="W134" s="760">
        <f t="shared" si="88"/>
        <v>0</v>
      </c>
    </row>
    <row r="135" spans="2:38" x14ac:dyDescent="0.35">
      <c r="B135" s="1133">
        <v>4</v>
      </c>
      <c r="C135" s="1134" t="s">
        <v>915</v>
      </c>
      <c r="D135" s="1142">
        <f t="shared" si="81"/>
        <v>0</v>
      </c>
      <c r="E135" s="1148">
        <f t="shared" si="77"/>
        <v>0</v>
      </c>
      <c r="F135" s="1148">
        <f t="shared" si="77"/>
        <v>0</v>
      </c>
      <c r="G135" s="1148">
        <f t="shared" si="77"/>
        <v>0</v>
      </c>
      <c r="H135" s="760">
        <f t="shared" si="82"/>
        <v>0</v>
      </c>
      <c r="I135" s="1146">
        <f t="shared" si="83"/>
        <v>0</v>
      </c>
      <c r="J135" s="1148">
        <f t="shared" si="78"/>
        <v>0</v>
      </c>
      <c r="K135" s="1148">
        <f t="shared" si="78"/>
        <v>0</v>
      </c>
      <c r="L135" s="1148">
        <f t="shared" si="78"/>
        <v>0</v>
      </c>
      <c r="M135" s="760">
        <f t="shared" si="84"/>
        <v>0</v>
      </c>
      <c r="N135" s="1146">
        <f t="shared" si="85"/>
        <v>0</v>
      </c>
      <c r="O135" s="1148">
        <f t="shared" si="79"/>
        <v>0</v>
      </c>
      <c r="P135" s="1148">
        <f t="shared" si="79"/>
        <v>0</v>
      </c>
      <c r="Q135" s="1148">
        <f t="shared" si="79"/>
        <v>0</v>
      </c>
      <c r="R135" s="760">
        <f t="shared" si="86"/>
        <v>0</v>
      </c>
      <c r="S135" s="1146">
        <f t="shared" si="87"/>
        <v>0</v>
      </c>
      <c r="T135" s="1148">
        <f t="shared" si="80"/>
        <v>0</v>
      </c>
      <c r="U135" s="1148">
        <f t="shared" si="80"/>
        <v>0</v>
      </c>
      <c r="V135" s="1148">
        <f t="shared" si="80"/>
        <v>0</v>
      </c>
      <c r="W135" s="760">
        <f t="shared" si="88"/>
        <v>0</v>
      </c>
    </row>
    <row r="136" spans="2:38" x14ac:dyDescent="0.35">
      <c r="B136" s="1133">
        <v>5</v>
      </c>
      <c r="C136" s="1134" t="s">
        <v>447</v>
      </c>
      <c r="D136" s="1142">
        <f t="shared" si="81"/>
        <v>0.28660894060999997</v>
      </c>
      <c r="E136" s="1148">
        <f t="shared" si="77"/>
        <v>3.9365681220000004E-2</v>
      </c>
      <c r="F136" s="1148">
        <f t="shared" si="77"/>
        <v>0</v>
      </c>
      <c r="G136" s="1148">
        <f t="shared" si="77"/>
        <v>0</v>
      </c>
      <c r="H136" s="760">
        <f t="shared" si="82"/>
        <v>0.32597462182999998</v>
      </c>
      <c r="I136" s="1146">
        <f t="shared" si="83"/>
        <v>0.32597462182999998</v>
      </c>
      <c r="J136" s="1148">
        <f t="shared" si="78"/>
        <v>-2.2533318779999995E-2</v>
      </c>
      <c r="K136" s="1148">
        <f t="shared" si="78"/>
        <v>0</v>
      </c>
      <c r="L136" s="1148">
        <f t="shared" si="78"/>
        <v>0</v>
      </c>
      <c r="M136" s="760">
        <f t="shared" si="84"/>
        <v>0.30344130305</v>
      </c>
      <c r="N136" s="1146">
        <f t="shared" si="85"/>
        <v>0.30344130305</v>
      </c>
      <c r="O136" s="1148">
        <f t="shared" si="79"/>
        <v>-2.2533318779999995E-2</v>
      </c>
      <c r="P136" s="1148">
        <f t="shared" si="79"/>
        <v>0</v>
      </c>
      <c r="Q136" s="1148">
        <f t="shared" si="79"/>
        <v>0</v>
      </c>
      <c r="R136" s="760">
        <f t="shared" si="86"/>
        <v>0.28090798427000002</v>
      </c>
      <c r="S136" s="1146">
        <f t="shared" si="87"/>
        <v>0.28090798427000002</v>
      </c>
      <c r="T136" s="1148">
        <f t="shared" si="80"/>
        <v>-2.2533318779999995E-2</v>
      </c>
      <c r="U136" s="1148">
        <f t="shared" si="80"/>
        <v>0</v>
      </c>
      <c r="V136" s="1148">
        <f t="shared" si="80"/>
        <v>0</v>
      </c>
      <c r="W136" s="760">
        <f t="shared" si="88"/>
        <v>0.25837466549000004</v>
      </c>
    </row>
    <row r="137" spans="2:38" x14ac:dyDescent="0.35">
      <c r="B137" s="1133">
        <v>6</v>
      </c>
      <c r="C137" s="1134" t="s">
        <v>879</v>
      </c>
      <c r="D137" s="1142">
        <f t="shared" si="81"/>
        <v>0</v>
      </c>
      <c r="E137" s="1148">
        <f t="shared" si="77"/>
        <v>0</v>
      </c>
      <c r="F137" s="1148">
        <f t="shared" si="77"/>
        <v>0</v>
      </c>
      <c r="G137" s="1148">
        <f t="shared" si="77"/>
        <v>0</v>
      </c>
      <c r="H137" s="760">
        <f t="shared" si="82"/>
        <v>0</v>
      </c>
      <c r="I137" s="1146">
        <f t="shared" si="83"/>
        <v>0</v>
      </c>
      <c r="J137" s="1148">
        <f t="shared" si="78"/>
        <v>0</v>
      </c>
      <c r="K137" s="1148">
        <f t="shared" si="78"/>
        <v>0</v>
      </c>
      <c r="L137" s="1148">
        <f t="shared" si="78"/>
        <v>0</v>
      </c>
      <c r="M137" s="760">
        <f t="shared" si="84"/>
        <v>0</v>
      </c>
      <c r="N137" s="1146">
        <f t="shared" si="85"/>
        <v>0</v>
      </c>
      <c r="O137" s="1148">
        <f t="shared" si="79"/>
        <v>0</v>
      </c>
      <c r="P137" s="1148">
        <f t="shared" si="79"/>
        <v>0</v>
      </c>
      <c r="Q137" s="1148">
        <f t="shared" si="79"/>
        <v>0</v>
      </c>
      <c r="R137" s="760">
        <f t="shared" si="86"/>
        <v>0</v>
      </c>
      <c r="S137" s="1146">
        <f t="shared" si="87"/>
        <v>0</v>
      </c>
      <c r="T137" s="1148">
        <f t="shared" si="80"/>
        <v>0</v>
      </c>
      <c r="U137" s="1148">
        <f t="shared" si="80"/>
        <v>0</v>
      </c>
      <c r="V137" s="1148">
        <f t="shared" si="80"/>
        <v>0</v>
      </c>
      <c r="W137" s="760">
        <f t="shared" si="88"/>
        <v>0</v>
      </c>
    </row>
    <row r="138" spans="2:38" x14ac:dyDescent="0.4">
      <c r="B138" s="1133">
        <v>7</v>
      </c>
      <c r="C138" s="1135" t="s">
        <v>1269</v>
      </c>
      <c r="D138" s="1142">
        <f t="shared" si="81"/>
        <v>0</v>
      </c>
      <c r="E138" s="1148">
        <f t="shared" si="77"/>
        <v>0</v>
      </c>
      <c r="F138" s="1148">
        <f t="shared" si="77"/>
        <v>0</v>
      </c>
      <c r="G138" s="1148">
        <f t="shared" si="77"/>
        <v>0</v>
      </c>
      <c r="H138" s="760">
        <f t="shared" si="82"/>
        <v>0</v>
      </c>
      <c r="I138" s="1146">
        <f t="shared" si="83"/>
        <v>0</v>
      </c>
      <c r="J138" s="1148">
        <f t="shared" si="78"/>
        <v>0</v>
      </c>
      <c r="K138" s="1148">
        <f t="shared" si="78"/>
        <v>0</v>
      </c>
      <c r="L138" s="1148">
        <f t="shared" si="78"/>
        <v>0</v>
      </c>
      <c r="M138" s="760">
        <f t="shared" si="84"/>
        <v>0</v>
      </c>
      <c r="N138" s="1146">
        <f t="shared" si="85"/>
        <v>0</v>
      </c>
      <c r="O138" s="1148">
        <f t="shared" si="79"/>
        <v>0</v>
      </c>
      <c r="P138" s="1148">
        <f t="shared" si="79"/>
        <v>0</v>
      </c>
      <c r="Q138" s="1148">
        <f t="shared" si="79"/>
        <v>0</v>
      </c>
      <c r="R138" s="760">
        <f t="shared" si="86"/>
        <v>0</v>
      </c>
      <c r="S138" s="1146">
        <f t="shared" si="87"/>
        <v>0</v>
      </c>
      <c r="T138" s="1148">
        <f t="shared" si="80"/>
        <v>0</v>
      </c>
      <c r="U138" s="1148">
        <f t="shared" si="80"/>
        <v>0</v>
      </c>
      <c r="V138" s="1148">
        <f t="shared" si="80"/>
        <v>0</v>
      </c>
      <c r="W138" s="760">
        <f t="shared" si="88"/>
        <v>0</v>
      </c>
    </row>
    <row r="139" spans="2:38" x14ac:dyDescent="0.4">
      <c r="B139" s="1133">
        <v>8</v>
      </c>
      <c r="C139" s="1135" t="s">
        <v>1270</v>
      </c>
      <c r="D139" s="1142">
        <f t="shared" si="81"/>
        <v>0</v>
      </c>
      <c r="E139" s="1148">
        <f t="shared" si="77"/>
        <v>0</v>
      </c>
      <c r="F139" s="1148">
        <f t="shared" si="77"/>
        <v>0</v>
      </c>
      <c r="G139" s="1148">
        <f t="shared" si="77"/>
        <v>0</v>
      </c>
      <c r="H139" s="760">
        <f t="shared" si="82"/>
        <v>0</v>
      </c>
      <c r="I139" s="1146">
        <f t="shared" si="83"/>
        <v>0</v>
      </c>
      <c r="J139" s="1148">
        <f t="shared" si="78"/>
        <v>0</v>
      </c>
      <c r="K139" s="1148">
        <f t="shared" si="78"/>
        <v>0</v>
      </c>
      <c r="L139" s="1148">
        <f t="shared" si="78"/>
        <v>0</v>
      </c>
      <c r="M139" s="760">
        <f t="shared" si="84"/>
        <v>0</v>
      </c>
      <c r="N139" s="1146">
        <f t="shared" si="85"/>
        <v>0</v>
      </c>
      <c r="O139" s="1148">
        <f t="shared" si="79"/>
        <v>0</v>
      </c>
      <c r="P139" s="1148">
        <f t="shared" si="79"/>
        <v>0</v>
      </c>
      <c r="Q139" s="1148">
        <f t="shared" si="79"/>
        <v>0</v>
      </c>
      <c r="R139" s="760">
        <f t="shared" si="86"/>
        <v>0</v>
      </c>
      <c r="S139" s="1146">
        <f t="shared" si="87"/>
        <v>0</v>
      </c>
      <c r="T139" s="1148">
        <f t="shared" si="80"/>
        <v>0</v>
      </c>
      <c r="U139" s="1148">
        <f t="shared" si="80"/>
        <v>0</v>
      </c>
      <c r="V139" s="1148">
        <f t="shared" si="80"/>
        <v>0</v>
      </c>
      <c r="W139" s="760">
        <f t="shared" si="88"/>
        <v>0</v>
      </c>
    </row>
    <row r="140" spans="2:38" ht="14.65" x14ac:dyDescent="0.4">
      <c r="B140" s="1136"/>
      <c r="C140" s="1137" t="s">
        <v>164</v>
      </c>
      <c r="D140" s="1140">
        <f t="shared" ref="D140:W140" si="89">SUM(D132:D139)</f>
        <v>0.28660894060999997</v>
      </c>
      <c r="E140" s="1147">
        <f t="shared" si="89"/>
        <v>3.9365681220000004E-2</v>
      </c>
      <c r="F140" s="1147">
        <f t="shared" si="89"/>
        <v>0</v>
      </c>
      <c r="G140" s="1147">
        <f t="shared" si="89"/>
        <v>0</v>
      </c>
      <c r="H140" s="1147">
        <f t="shared" si="89"/>
        <v>0.32597462182999998</v>
      </c>
      <c r="I140" s="1147">
        <f t="shared" si="89"/>
        <v>0.32597462182999998</v>
      </c>
      <c r="J140" s="1147">
        <f t="shared" si="89"/>
        <v>-2.2533318779999995E-2</v>
      </c>
      <c r="K140" s="1147">
        <f t="shared" si="89"/>
        <v>0</v>
      </c>
      <c r="L140" s="1147">
        <f t="shared" si="89"/>
        <v>0</v>
      </c>
      <c r="M140" s="1147">
        <f t="shared" si="89"/>
        <v>0.30344130305</v>
      </c>
      <c r="N140" s="1147">
        <f t="shared" si="89"/>
        <v>0.30344130305</v>
      </c>
      <c r="O140" s="1147">
        <f t="shared" si="89"/>
        <v>-2.2533318779999995E-2</v>
      </c>
      <c r="P140" s="1147">
        <f t="shared" si="89"/>
        <v>0</v>
      </c>
      <c r="Q140" s="1147">
        <f t="shared" si="89"/>
        <v>0</v>
      </c>
      <c r="R140" s="1147">
        <f t="shared" si="89"/>
        <v>0.28090798427000002</v>
      </c>
      <c r="S140" s="1147">
        <f t="shared" si="89"/>
        <v>0.28090798427000002</v>
      </c>
      <c r="T140" s="1147">
        <f t="shared" si="89"/>
        <v>-2.2533318779999995E-2</v>
      </c>
      <c r="U140" s="1147">
        <f t="shared" si="89"/>
        <v>0</v>
      </c>
      <c r="V140" s="1147">
        <f t="shared" si="89"/>
        <v>0</v>
      </c>
      <c r="W140" s="1147">
        <f t="shared" si="89"/>
        <v>0.25837466549000004</v>
      </c>
    </row>
  </sheetData>
  <mergeCells count="93">
    <mergeCell ref="B26:B28"/>
    <mergeCell ref="C26:C28"/>
    <mergeCell ref="D26:H26"/>
    <mergeCell ref="I26:M26"/>
    <mergeCell ref="N26:R26"/>
    <mergeCell ref="S26:W26"/>
    <mergeCell ref="D27:H27"/>
    <mergeCell ref="I27:M27"/>
    <mergeCell ref="N27:R27"/>
    <mergeCell ref="S27:W27"/>
    <mergeCell ref="N13:R13"/>
    <mergeCell ref="S13:W13"/>
    <mergeCell ref="B12:B14"/>
    <mergeCell ref="C12:C14"/>
    <mergeCell ref="D12:H12"/>
    <mergeCell ref="I12:M12"/>
    <mergeCell ref="N12:R12"/>
    <mergeCell ref="B2:W2"/>
    <mergeCell ref="B3:W3"/>
    <mergeCell ref="B4:W4"/>
    <mergeCell ref="B40:B42"/>
    <mergeCell ref="C40:C42"/>
    <mergeCell ref="D40:H40"/>
    <mergeCell ref="I40:M40"/>
    <mergeCell ref="N40:R40"/>
    <mergeCell ref="S40:W40"/>
    <mergeCell ref="D41:H41"/>
    <mergeCell ref="I41:M41"/>
    <mergeCell ref="N41:R41"/>
    <mergeCell ref="S41:W41"/>
    <mergeCell ref="S12:W12"/>
    <mergeCell ref="D13:H13"/>
    <mergeCell ref="I13:M13"/>
    <mergeCell ref="B56:B58"/>
    <mergeCell ref="C56:C58"/>
    <mergeCell ref="D56:H56"/>
    <mergeCell ref="I56:M56"/>
    <mergeCell ref="N56:R56"/>
    <mergeCell ref="S56:W56"/>
    <mergeCell ref="D57:H57"/>
    <mergeCell ref="I57:M57"/>
    <mergeCell ref="N57:R57"/>
    <mergeCell ref="S57:W57"/>
    <mergeCell ref="B70:B72"/>
    <mergeCell ref="C70:C72"/>
    <mergeCell ref="D70:H70"/>
    <mergeCell ref="I70:M70"/>
    <mergeCell ref="N70:R70"/>
    <mergeCell ref="S70:W70"/>
    <mergeCell ref="D71:H71"/>
    <mergeCell ref="I71:M71"/>
    <mergeCell ref="N71:R71"/>
    <mergeCell ref="S71:W71"/>
    <mergeCell ref="B84:B86"/>
    <mergeCell ref="C84:C86"/>
    <mergeCell ref="D84:H84"/>
    <mergeCell ref="I84:M84"/>
    <mergeCell ref="N84:R84"/>
    <mergeCell ref="S84:W84"/>
    <mergeCell ref="D85:H85"/>
    <mergeCell ref="I85:M85"/>
    <mergeCell ref="N85:R85"/>
    <mergeCell ref="S85:W85"/>
    <mergeCell ref="B100:B102"/>
    <mergeCell ref="C100:C102"/>
    <mergeCell ref="D100:H100"/>
    <mergeCell ref="I100:M100"/>
    <mergeCell ref="N100:R100"/>
    <mergeCell ref="S100:W100"/>
    <mergeCell ref="D101:H101"/>
    <mergeCell ref="I101:M101"/>
    <mergeCell ref="N101:R101"/>
    <mergeCell ref="S101:W101"/>
    <mergeCell ref="B114:B116"/>
    <mergeCell ref="C114:C116"/>
    <mergeCell ref="D114:H114"/>
    <mergeCell ref="I114:M114"/>
    <mergeCell ref="N114:R114"/>
    <mergeCell ref="S114:W114"/>
    <mergeCell ref="D115:H115"/>
    <mergeCell ref="I115:M115"/>
    <mergeCell ref="N115:R115"/>
    <mergeCell ref="S115:W115"/>
    <mergeCell ref="B128:B130"/>
    <mergeCell ref="C128:C130"/>
    <mergeCell ref="D128:H128"/>
    <mergeCell ref="I128:M128"/>
    <mergeCell ref="N128:R128"/>
    <mergeCell ref="S128:W128"/>
    <mergeCell ref="D129:H129"/>
    <mergeCell ref="I129:M129"/>
    <mergeCell ref="N129:R129"/>
    <mergeCell ref="S129:W129"/>
  </mergeCells>
  <pageMargins left="0.27559055118110237" right="0.23622047244094491" top="0.23622047244094491" bottom="0.23622047244094491" header="0.23622047244094491" footer="0.23622047244094491"/>
  <pageSetup paperSize="9" scale="34" fitToHeight="2" orientation="landscape" r:id="rId1"/>
  <headerFooter alignWithMargins="0"/>
  <rowBreaks count="2" manualBreakCount="2">
    <brk id="54" max="22" man="1"/>
    <brk id="99"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40"/>
  <sheetViews>
    <sheetView showGridLines="0" view="pageBreakPreview" topLeftCell="A55" zoomScale="80" zoomScaleNormal="68" workbookViewId="0">
      <selection activeCell="E67" sqref="E67"/>
    </sheetView>
  </sheetViews>
  <sheetFormatPr defaultColWidth="9.33203125" defaultRowHeight="13.9" x14ac:dyDescent="0.35"/>
  <cols>
    <col min="1" max="1" width="4.33203125" style="51" customWidth="1"/>
    <col min="2" max="2" width="6.33203125" style="51" customWidth="1"/>
    <col min="3" max="3" width="36.33203125" style="51" customWidth="1"/>
    <col min="4" max="4" width="18.6640625" style="51" customWidth="1"/>
    <col min="5" max="5" width="20.6640625" style="51" customWidth="1"/>
    <col min="6" max="25" width="18.6640625" style="51" customWidth="1"/>
    <col min="26" max="31" width="8" style="51" bestFit="1" customWidth="1"/>
    <col min="32" max="16384" width="9.33203125" style="51"/>
  </cols>
  <sheetData>
    <row r="1" spans="1:23" x14ac:dyDescent="0.35">
      <c r="B1" s="83"/>
    </row>
    <row r="2" spans="1:23" x14ac:dyDescent="0.35">
      <c r="B2" s="1875" t="str">
        <f>+Index!B2</f>
        <v>Nidar Utilities Panvel LLP</v>
      </c>
      <c r="C2" s="1875"/>
      <c r="D2" s="1875"/>
      <c r="E2" s="1875"/>
      <c r="F2" s="1875"/>
      <c r="G2" s="1875"/>
      <c r="H2" s="1875"/>
      <c r="I2" s="1875"/>
      <c r="J2" s="1875"/>
      <c r="K2" s="1875"/>
      <c r="L2" s="1875"/>
      <c r="M2" s="1875"/>
      <c r="N2" s="1875"/>
      <c r="O2" s="1875"/>
      <c r="P2" s="1875"/>
      <c r="Q2" s="1875"/>
      <c r="R2" s="1875"/>
      <c r="S2" s="1875"/>
      <c r="T2" s="1875"/>
      <c r="U2" s="1875"/>
      <c r="V2" s="1875"/>
      <c r="W2" s="1875"/>
    </row>
    <row r="3" spans="1:23" x14ac:dyDescent="0.35">
      <c r="B3" s="1875" t="s">
        <v>340</v>
      </c>
      <c r="C3" s="1875"/>
      <c r="D3" s="1875"/>
      <c r="E3" s="1875"/>
      <c r="F3" s="1875"/>
      <c r="G3" s="1875"/>
      <c r="H3" s="1875"/>
      <c r="I3" s="1875"/>
      <c r="J3" s="1875"/>
      <c r="K3" s="1875"/>
      <c r="L3" s="1875"/>
      <c r="M3" s="1875"/>
      <c r="N3" s="1875"/>
      <c r="O3" s="1875"/>
      <c r="P3" s="1875"/>
      <c r="Q3" s="1875"/>
      <c r="R3" s="1875"/>
      <c r="S3" s="1875"/>
      <c r="T3" s="1875"/>
      <c r="U3" s="1875"/>
      <c r="V3" s="1875"/>
      <c r="W3" s="1875"/>
    </row>
    <row r="4" spans="1:23" x14ac:dyDescent="0.35">
      <c r="B4" s="1875" t="s">
        <v>549</v>
      </c>
      <c r="C4" s="1875"/>
      <c r="D4" s="1875"/>
      <c r="E4" s="1875"/>
      <c r="F4" s="1875"/>
      <c r="G4" s="1875"/>
      <c r="H4" s="1875"/>
      <c r="I4" s="1875"/>
      <c r="J4" s="1875"/>
      <c r="K4" s="1875"/>
      <c r="L4" s="1875"/>
      <c r="M4" s="1875"/>
      <c r="N4" s="1875"/>
      <c r="O4" s="1875"/>
      <c r="P4" s="1875"/>
      <c r="Q4" s="1875"/>
      <c r="R4" s="1875"/>
      <c r="S4" s="1875"/>
      <c r="T4" s="1875"/>
      <c r="U4" s="1875"/>
      <c r="V4" s="1875"/>
      <c r="W4" s="1875"/>
    </row>
    <row r="5" spans="1:23" x14ac:dyDescent="0.35">
      <c r="C5" s="83"/>
      <c r="E5" s="39"/>
      <c r="H5" s="39"/>
      <c r="I5" s="39"/>
    </row>
    <row r="6" spans="1:23" x14ac:dyDescent="0.35">
      <c r="C6" s="83"/>
      <c r="E6" s="39"/>
      <c r="H6" s="39"/>
      <c r="I6" s="39"/>
    </row>
    <row r="7" spans="1:23" x14ac:dyDescent="0.35">
      <c r="C7" s="83" t="s">
        <v>550</v>
      </c>
      <c r="E7" s="39"/>
      <c r="H7" s="39"/>
      <c r="I7" s="39"/>
    </row>
    <row r="8" spans="1:23" x14ac:dyDescent="0.35">
      <c r="C8" s="83"/>
      <c r="E8" s="39"/>
      <c r="H8" s="39"/>
      <c r="I8" s="39"/>
    </row>
    <row r="9" spans="1:23" x14ac:dyDescent="0.35">
      <c r="C9" s="83"/>
      <c r="E9" s="39"/>
      <c r="H9" s="39"/>
      <c r="I9" s="39"/>
    </row>
    <row r="10" spans="1:23" x14ac:dyDescent="0.35">
      <c r="A10" s="51" t="s">
        <v>521</v>
      </c>
      <c r="B10" s="83" t="s">
        <v>522</v>
      </c>
      <c r="C10" s="83"/>
      <c r="D10" s="83"/>
      <c r="E10" s="83"/>
      <c r="F10" s="83"/>
      <c r="G10" s="83"/>
      <c r="H10" s="83"/>
      <c r="J10" s="39"/>
      <c r="M10" s="39"/>
      <c r="N10" s="39"/>
      <c r="R10" s="368"/>
    </row>
    <row r="11" spans="1:23" x14ac:dyDescent="0.35">
      <c r="B11" s="369"/>
      <c r="C11" s="84"/>
      <c r="D11" s="84"/>
      <c r="E11" s="84"/>
      <c r="F11" s="84"/>
      <c r="G11" s="84"/>
      <c r="H11" s="84"/>
      <c r="J11" s="39"/>
      <c r="M11" s="39"/>
      <c r="N11" s="39"/>
      <c r="R11" s="368"/>
      <c r="W11" s="160" t="s">
        <v>110</v>
      </c>
    </row>
    <row r="12" spans="1:23" ht="13.8" customHeight="1" x14ac:dyDescent="0.35">
      <c r="B12" s="1947" t="s">
        <v>1</v>
      </c>
      <c r="C12" s="1947" t="s">
        <v>111</v>
      </c>
      <c r="D12" s="2052" t="s">
        <v>196</v>
      </c>
      <c r="E12" s="2052"/>
      <c r="F12" s="2052"/>
      <c r="G12" s="2052"/>
      <c r="H12" s="2052"/>
      <c r="I12" s="1947" t="s">
        <v>197</v>
      </c>
      <c r="J12" s="1947"/>
      <c r="K12" s="1947"/>
      <c r="L12" s="1947"/>
      <c r="M12" s="1947"/>
      <c r="N12" s="1947" t="s">
        <v>198</v>
      </c>
      <c r="O12" s="1947"/>
      <c r="P12" s="1947"/>
      <c r="Q12" s="1947"/>
      <c r="R12" s="1947"/>
      <c r="S12" s="1947" t="s">
        <v>199</v>
      </c>
      <c r="T12" s="1947"/>
      <c r="U12" s="1947"/>
      <c r="V12" s="1947"/>
      <c r="W12" s="1947"/>
    </row>
    <row r="13" spans="1:23" x14ac:dyDescent="0.35">
      <c r="B13" s="1947"/>
      <c r="C13" s="1947"/>
      <c r="D13" s="1947" t="s">
        <v>186</v>
      </c>
      <c r="E13" s="2051"/>
      <c r="F13" s="2051"/>
      <c r="G13" s="2051"/>
      <c r="H13" s="2051"/>
      <c r="I13" s="1947" t="s">
        <v>186</v>
      </c>
      <c r="J13" s="2051"/>
      <c r="K13" s="2051"/>
      <c r="L13" s="2051"/>
      <c r="M13" s="2051"/>
      <c r="N13" s="1947" t="s">
        <v>186</v>
      </c>
      <c r="O13" s="2051"/>
      <c r="P13" s="2051"/>
      <c r="Q13" s="2051"/>
      <c r="R13" s="2051"/>
      <c r="S13" s="1947" t="s">
        <v>186</v>
      </c>
      <c r="T13" s="2051"/>
      <c r="U13" s="2051"/>
      <c r="V13" s="2051"/>
      <c r="W13" s="2051"/>
    </row>
    <row r="14" spans="1:23" ht="27" x14ac:dyDescent="0.35">
      <c r="B14" s="1947"/>
      <c r="C14" s="1947"/>
      <c r="D14" s="106" t="s">
        <v>523</v>
      </c>
      <c r="E14" s="106" t="s">
        <v>524</v>
      </c>
      <c r="F14" s="106" t="s">
        <v>525</v>
      </c>
      <c r="G14" s="106" t="s">
        <v>543</v>
      </c>
      <c r="H14" s="106" t="s">
        <v>526</v>
      </c>
      <c r="I14" s="106" t="s">
        <v>523</v>
      </c>
      <c r="J14" s="106" t="s">
        <v>524</v>
      </c>
      <c r="K14" s="106" t="s">
        <v>525</v>
      </c>
      <c r="L14" s="106" t="s">
        <v>543</v>
      </c>
      <c r="M14" s="106" t="s">
        <v>526</v>
      </c>
      <c r="N14" s="106" t="s">
        <v>523</v>
      </c>
      <c r="O14" s="106" t="s">
        <v>524</v>
      </c>
      <c r="P14" s="106" t="s">
        <v>525</v>
      </c>
      <c r="Q14" s="106" t="s">
        <v>543</v>
      </c>
      <c r="R14" s="106" t="s">
        <v>526</v>
      </c>
      <c r="S14" s="106" t="s">
        <v>523</v>
      </c>
      <c r="T14" s="106" t="s">
        <v>524</v>
      </c>
      <c r="U14" s="106" t="s">
        <v>525</v>
      </c>
      <c r="V14" s="106" t="s">
        <v>543</v>
      </c>
      <c r="W14" s="106" t="s">
        <v>526</v>
      </c>
    </row>
    <row r="15" spans="1:23" x14ac:dyDescent="0.35">
      <c r="B15" s="217"/>
      <c r="C15" s="217"/>
      <c r="D15" s="217" t="s">
        <v>128</v>
      </c>
      <c r="E15" s="217" t="s">
        <v>129</v>
      </c>
      <c r="F15" s="217" t="s">
        <v>527</v>
      </c>
      <c r="G15" s="217" t="s">
        <v>130</v>
      </c>
      <c r="H15" s="217" t="s">
        <v>544</v>
      </c>
      <c r="I15" s="217" t="s">
        <v>331</v>
      </c>
      <c r="J15" s="217" t="s">
        <v>132</v>
      </c>
      <c r="K15" s="217" t="s">
        <v>133</v>
      </c>
      <c r="L15" s="217" t="s">
        <v>332</v>
      </c>
      <c r="M15" s="217" t="s">
        <v>545</v>
      </c>
      <c r="N15" s="217" t="s">
        <v>528</v>
      </c>
      <c r="O15" s="217" t="s">
        <v>529</v>
      </c>
      <c r="P15" s="217" t="s">
        <v>334</v>
      </c>
      <c r="Q15" s="217" t="s">
        <v>530</v>
      </c>
      <c r="R15" s="217" t="s">
        <v>546</v>
      </c>
      <c r="S15" s="217" t="s">
        <v>532</v>
      </c>
      <c r="T15" s="217" t="s">
        <v>533</v>
      </c>
      <c r="U15" s="217" t="s">
        <v>534</v>
      </c>
      <c r="V15" s="217" t="s">
        <v>535</v>
      </c>
      <c r="W15" s="217" t="s">
        <v>547</v>
      </c>
    </row>
    <row r="16" spans="1:23" s="39" customFormat="1" x14ac:dyDescent="0.35">
      <c r="B16" s="1133">
        <v>1</v>
      </c>
      <c r="C16" s="1134" t="s">
        <v>1410</v>
      </c>
      <c r="D16" s="761">
        <v>0</v>
      </c>
      <c r="E16" s="763">
        <f>+Capitalisation!K50</f>
        <v>0</v>
      </c>
      <c r="F16" s="1150"/>
      <c r="G16" s="1151"/>
      <c r="H16" s="763">
        <f>+D16+E16-F16-G16</f>
        <v>0</v>
      </c>
      <c r="I16" s="1152">
        <f>+H16</f>
        <v>0</v>
      </c>
      <c r="J16" s="1152">
        <f>+Capitalisation!N50</f>
        <v>0</v>
      </c>
      <c r="K16" s="1152"/>
      <c r="L16" s="1151"/>
      <c r="M16" s="763">
        <f>+I16+J16-K16-L16</f>
        <v>0</v>
      </c>
      <c r="N16" s="1152">
        <f>+M16</f>
        <v>0</v>
      </c>
      <c r="O16" s="1152">
        <f>+Capitalisation!Q50</f>
        <v>0</v>
      </c>
      <c r="P16" s="1152"/>
      <c r="Q16" s="1151"/>
      <c r="R16" s="763">
        <f>+N16+O16-P16-Q16</f>
        <v>0</v>
      </c>
      <c r="S16" s="1152">
        <f>+R16</f>
        <v>0</v>
      </c>
      <c r="T16" s="1152">
        <f>+Capitalisation!T50</f>
        <v>0</v>
      </c>
      <c r="U16" s="1152"/>
      <c r="V16" s="1151"/>
      <c r="W16" s="763">
        <f>+S16+T16-U16-V16</f>
        <v>0</v>
      </c>
    </row>
    <row r="17" spans="2:23" s="39" customFormat="1" x14ac:dyDescent="0.35">
      <c r="B17" s="1133">
        <v>2</v>
      </c>
      <c r="C17" s="1134" t="s">
        <v>1409</v>
      </c>
      <c r="D17" s="761">
        <v>0</v>
      </c>
      <c r="E17" s="763">
        <f>+Capitalisation!K51</f>
        <v>0</v>
      </c>
      <c r="F17" s="1150"/>
      <c r="G17" s="1151"/>
      <c r="H17" s="763">
        <f t="shared" ref="H17:H23" si="0">+D17+E17-F17-G17</f>
        <v>0</v>
      </c>
      <c r="I17" s="1152">
        <f t="shared" ref="I17:I23" si="1">+H17</f>
        <v>0</v>
      </c>
      <c r="J17" s="1152">
        <f>+Capitalisation!N51</f>
        <v>0</v>
      </c>
      <c r="K17" s="1152"/>
      <c r="L17" s="1151"/>
      <c r="M17" s="763">
        <f t="shared" ref="M17:M23" si="2">+I17+J17-K17-L17</f>
        <v>0</v>
      </c>
      <c r="N17" s="1152">
        <f t="shared" ref="N17:N23" si="3">+M17</f>
        <v>0</v>
      </c>
      <c r="O17" s="1152">
        <f>+Capitalisation!Q51</f>
        <v>0</v>
      </c>
      <c r="P17" s="1152"/>
      <c r="Q17" s="1151"/>
      <c r="R17" s="763">
        <f t="shared" ref="R17:R23" si="4">+N17+O17-P17-Q17</f>
        <v>0</v>
      </c>
      <c r="S17" s="1152">
        <f t="shared" ref="S17:S23" si="5">+R17</f>
        <v>0</v>
      </c>
      <c r="T17" s="1152">
        <f>+Capitalisation!T51</f>
        <v>0</v>
      </c>
      <c r="U17" s="1152"/>
      <c r="V17" s="1151"/>
      <c r="W17" s="763">
        <f t="shared" ref="W17:W23" si="6">+S17+T17-U17-V17</f>
        <v>0</v>
      </c>
    </row>
    <row r="18" spans="2:23" s="39" customFormat="1" x14ac:dyDescent="0.35">
      <c r="B18" s="1133">
        <v>3</v>
      </c>
      <c r="C18" s="1134" t="s">
        <v>440</v>
      </c>
      <c r="D18" s="761">
        <v>0</v>
      </c>
      <c r="E18" s="763">
        <f>+Capitalisation!K52</f>
        <v>0</v>
      </c>
      <c r="F18" s="1153"/>
      <c r="G18" s="1154"/>
      <c r="H18" s="763">
        <f t="shared" si="0"/>
        <v>0</v>
      </c>
      <c r="I18" s="1152">
        <f t="shared" si="1"/>
        <v>0</v>
      </c>
      <c r="J18" s="1152">
        <f>+Capitalisation!N52</f>
        <v>0</v>
      </c>
      <c r="K18" s="1152"/>
      <c r="L18" s="1154"/>
      <c r="M18" s="763">
        <f t="shared" si="2"/>
        <v>0</v>
      </c>
      <c r="N18" s="1152">
        <f t="shared" si="3"/>
        <v>0</v>
      </c>
      <c r="O18" s="1152">
        <f>+Capitalisation!Q52</f>
        <v>0</v>
      </c>
      <c r="P18" s="1152"/>
      <c r="Q18" s="1154"/>
      <c r="R18" s="763">
        <f t="shared" si="4"/>
        <v>0</v>
      </c>
      <c r="S18" s="1152">
        <f t="shared" si="5"/>
        <v>0</v>
      </c>
      <c r="T18" s="1152">
        <f>+Capitalisation!T52</f>
        <v>0</v>
      </c>
      <c r="U18" s="1152"/>
      <c r="V18" s="1154"/>
      <c r="W18" s="763">
        <f t="shared" si="6"/>
        <v>0</v>
      </c>
    </row>
    <row r="19" spans="2:23" x14ac:dyDescent="0.35">
      <c r="B19" s="1133">
        <v>4</v>
      </c>
      <c r="C19" s="1134" t="s">
        <v>915</v>
      </c>
      <c r="D19" s="761">
        <v>0</v>
      </c>
      <c r="E19" s="763">
        <f>+Capitalisation!K53</f>
        <v>0.48908190000000001</v>
      </c>
      <c r="F19" s="1150"/>
      <c r="G19" s="1151"/>
      <c r="H19" s="763">
        <f t="shared" si="0"/>
        <v>0.48908190000000001</v>
      </c>
      <c r="I19" s="1152">
        <f t="shared" si="1"/>
        <v>0.48908190000000001</v>
      </c>
      <c r="J19" s="1152">
        <f>+Capitalisation!N53</f>
        <v>1.2686292989234327</v>
      </c>
      <c r="K19" s="1152"/>
      <c r="L19" s="1151"/>
      <c r="M19" s="763">
        <f t="shared" si="2"/>
        <v>1.7577111989234326</v>
      </c>
      <c r="N19" s="1152">
        <f t="shared" si="3"/>
        <v>1.7577111989234326</v>
      </c>
      <c r="O19" s="1152">
        <f>+Capitalisation!Q53</f>
        <v>0</v>
      </c>
      <c r="P19" s="1152"/>
      <c r="Q19" s="1151"/>
      <c r="R19" s="763">
        <f t="shared" si="4"/>
        <v>1.7577111989234326</v>
      </c>
      <c r="S19" s="1152">
        <f t="shared" si="5"/>
        <v>1.7577111989234326</v>
      </c>
      <c r="T19" s="1152">
        <f>+Capitalisation!T53</f>
        <v>0.291515523</v>
      </c>
      <c r="U19" s="1152"/>
      <c r="V19" s="1151"/>
      <c r="W19" s="763">
        <f t="shared" si="6"/>
        <v>2.0492267219234326</v>
      </c>
    </row>
    <row r="20" spans="2:23" x14ac:dyDescent="0.35">
      <c r="B20" s="1133">
        <v>5</v>
      </c>
      <c r="C20" s="1134" t="s">
        <v>447</v>
      </c>
      <c r="D20" s="761">
        <v>0</v>
      </c>
      <c r="E20" s="763">
        <f>+Capitalisation!K54</f>
        <v>4.8567700000000005E-2</v>
      </c>
      <c r="F20" s="1150"/>
      <c r="G20" s="1151"/>
      <c r="H20" s="763">
        <f t="shared" si="0"/>
        <v>4.8567700000000005E-2</v>
      </c>
      <c r="I20" s="1152">
        <f t="shared" si="1"/>
        <v>4.8567700000000005E-2</v>
      </c>
      <c r="J20" s="1152">
        <f>+Capitalisation!N54</f>
        <v>0</v>
      </c>
      <c r="K20" s="1152"/>
      <c r="L20" s="1151"/>
      <c r="M20" s="763">
        <f t="shared" si="2"/>
        <v>4.8567700000000005E-2</v>
      </c>
      <c r="N20" s="1152">
        <f t="shared" si="3"/>
        <v>4.8567700000000005E-2</v>
      </c>
      <c r="O20" s="1152">
        <f>+Capitalisation!Q54</f>
        <v>0</v>
      </c>
      <c r="P20" s="1152"/>
      <c r="Q20" s="1151"/>
      <c r="R20" s="763">
        <f t="shared" si="4"/>
        <v>4.8567700000000005E-2</v>
      </c>
      <c r="S20" s="1152">
        <f t="shared" si="5"/>
        <v>4.8567700000000005E-2</v>
      </c>
      <c r="T20" s="1152">
        <f>+Capitalisation!T54</f>
        <v>1.25139E-2</v>
      </c>
      <c r="U20" s="1152"/>
      <c r="V20" s="1151"/>
      <c r="W20" s="763">
        <f t="shared" si="6"/>
        <v>6.1081600000000007E-2</v>
      </c>
    </row>
    <row r="21" spans="2:23" x14ac:dyDescent="0.35">
      <c r="B21" s="1133">
        <v>6</v>
      </c>
      <c r="C21" s="1134" t="s">
        <v>879</v>
      </c>
      <c r="D21" s="761">
        <v>0</v>
      </c>
      <c r="E21" s="763">
        <f>+Capitalisation!K55</f>
        <v>6.5979999999999977E-4</v>
      </c>
      <c r="F21" s="1150"/>
      <c r="G21" s="1151"/>
      <c r="H21" s="763">
        <f t="shared" si="0"/>
        <v>6.5979999999999977E-4</v>
      </c>
      <c r="I21" s="1152">
        <f t="shared" si="1"/>
        <v>6.5979999999999977E-4</v>
      </c>
      <c r="J21" s="1152">
        <f>+Capitalisation!N55</f>
        <v>0</v>
      </c>
      <c r="K21" s="1152"/>
      <c r="L21" s="1151"/>
      <c r="M21" s="763">
        <f t="shared" si="2"/>
        <v>6.5979999999999977E-4</v>
      </c>
      <c r="N21" s="1152">
        <f t="shared" si="3"/>
        <v>6.5979999999999977E-4</v>
      </c>
      <c r="O21" s="1152">
        <f>+Capitalisation!Q55</f>
        <v>0</v>
      </c>
      <c r="P21" s="1152"/>
      <c r="Q21" s="1151"/>
      <c r="R21" s="763">
        <f t="shared" si="4"/>
        <v>6.5979999999999977E-4</v>
      </c>
      <c r="S21" s="1152">
        <f t="shared" si="5"/>
        <v>6.5979999999999977E-4</v>
      </c>
      <c r="T21" s="1152">
        <f>+Capitalisation!T55</f>
        <v>0</v>
      </c>
      <c r="U21" s="1152"/>
      <c r="V21" s="1151"/>
      <c r="W21" s="763">
        <f t="shared" si="6"/>
        <v>6.5979999999999977E-4</v>
      </c>
    </row>
    <row r="22" spans="2:23" x14ac:dyDescent="0.4">
      <c r="B22" s="1133">
        <v>7</v>
      </c>
      <c r="C22" s="1135" t="s">
        <v>1269</v>
      </c>
      <c r="D22" s="761">
        <v>0</v>
      </c>
      <c r="E22" s="763">
        <f>+Capitalisation!K56</f>
        <v>1.3571147499999998E-2</v>
      </c>
      <c r="F22" s="1152"/>
      <c r="G22" s="1155"/>
      <c r="H22" s="763">
        <f t="shared" si="0"/>
        <v>1.3571147499999998E-2</v>
      </c>
      <c r="I22" s="1152">
        <f t="shared" si="1"/>
        <v>1.3571147499999998E-2</v>
      </c>
      <c r="J22" s="1152">
        <f>+Capitalisation!N56</f>
        <v>0</v>
      </c>
      <c r="K22" s="1156"/>
      <c r="L22" s="1155"/>
      <c r="M22" s="763">
        <f t="shared" si="2"/>
        <v>1.3571147499999998E-2</v>
      </c>
      <c r="N22" s="1152">
        <f t="shared" si="3"/>
        <v>1.3571147499999998E-2</v>
      </c>
      <c r="O22" s="1152">
        <f>+Capitalisation!Q56</f>
        <v>1.0320912E-2</v>
      </c>
      <c r="P22" s="1156"/>
      <c r="Q22" s="1155"/>
      <c r="R22" s="763">
        <f t="shared" si="4"/>
        <v>2.38920595E-2</v>
      </c>
      <c r="S22" s="1152">
        <f t="shared" si="5"/>
        <v>2.38920595E-2</v>
      </c>
      <c r="T22" s="1152">
        <f>+Capitalisation!T56</f>
        <v>2.2350060000000003E-3</v>
      </c>
      <c r="U22" s="1156"/>
      <c r="V22" s="1155"/>
      <c r="W22" s="763">
        <f t="shared" si="6"/>
        <v>2.6127065500000001E-2</v>
      </c>
    </row>
    <row r="23" spans="2:23" ht="15.4" x14ac:dyDescent="0.4">
      <c r="B23" s="1133">
        <v>8</v>
      </c>
      <c r="C23" s="1135" t="s">
        <v>1270</v>
      </c>
      <c r="D23" s="761">
        <v>0</v>
      </c>
      <c r="E23" s="763">
        <f>+Capitalisation!K57</f>
        <v>0.214033</v>
      </c>
      <c r="F23" s="1157"/>
      <c r="G23" s="1158"/>
      <c r="H23" s="763">
        <f t="shared" si="0"/>
        <v>0.214033</v>
      </c>
      <c r="I23" s="1152">
        <f t="shared" si="1"/>
        <v>0.214033</v>
      </c>
      <c r="J23" s="1152">
        <f>+Capitalisation!N57</f>
        <v>0</v>
      </c>
      <c r="K23" s="1159"/>
      <c r="L23" s="1158"/>
      <c r="M23" s="763">
        <f t="shared" si="2"/>
        <v>0.214033</v>
      </c>
      <c r="N23" s="1152">
        <f t="shared" si="3"/>
        <v>0.214033</v>
      </c>
      <c r="O23" s="1152">
        <f>+Capitalisation!Q57</f>
        <v>0</v>
      </c>
      <c r="P23" s="1159"/>
      <c r="Q23" s="1158"/>
      <c r="R23" s="763">
        <f t="shared" si="4"/>
        <v>0.214033</v>
      </c>
      <c r="S23" s="1152">
        <f t="shared" si="5"/>
        <v>0.214033</v>
      </c>
      <c r="T23" s="1152">
        <f>+Capitalisation!T57</f>
        <v>0</v>
      </c>
      <c r="U23" s="1159"/>
      <c r="V23" s="1158"/>
      <c r="W23" s="763">
        <f t="shared" si="6"/>
        <v>0.214033</v>
      </c>
    </row>
    <row r="24" spans="2:23" ht="14.65" x14ac:dyDescent="0.4">
      <c r="B24" s="1136"/>
      <c r="C24" s="1137" t="s">
        <v>164</v>
      </c>
      <c r="D24" s="1140">
        <f t="shared" ref="D24:W24" si="7">SUM(D16:D23)</f>
        <v>0</v>
      </c>
      <c r="E24" s="1160">
        <f t="shared" si="7"/>
        <v>0.76591354750000007</v>
      </c>
      <c r="F24" s="1160">
        <f t="shared" si="7"/>
        <v>0</v>
      </c>
      <c r="G24" s="1160">
        <f t="shared" si="7"/>
        <v>0</v>
      </c>
      <c r="H24" s="1160">
        <f t="shared" si="7"/>
        <v>0.76591354750000007</v>
      </c>
      <c r="I24" s="1160">
        <f t="shared" si="7"/>
        <v>0.76591354750000007</v>
      </c>
      <c r="J24" s="1160">
        <f t="shared" si="7"/>
        <v>1.2686292989234327</v>
      </c>
      <c r="K24" s="1160">
        <f t="shared" si="7"/>
        <v>0</v>
      </c>
      <c r="L24" s="1160">
        <f t="shared" si="7"/>
        <v>0</v>
      </c>
      <c r="M24" s="1160">
        <f t="shared" si="7"/>
        <v>2.0345428464234327</v>
      </c>
      <c r="N24" s="1160">
        <f t="shared" si="7"/>
        <v>2.0345428464234327</v>
      </c>
      <c r="O24" s="1160">
        <f t="shared" si="7"/>
        <v>1.0320912E-2</v>
      </c>
      <c r="P24" s="1160">
        <f t="shared" si="7"/>
        <v>0</v>
      </c>
      <c r="Q24" s="1160">
        <f t="shared" si="7"/>
        <v>0</v>
      </c>
      <c r="R24" s="1160">
        <f t="shared" si="7"/>
        <v>2.0448637584234328</v>
      </c>
      <c r="S24" s="1160">
        <f t="shared" si="7"/>
        <v>2.0448637584234328</v>
      </c>
      <c r="T24" s="1160">
        <f t="shared" si="7"/>
        <v>0.306264429</v>
      </c>
      <c r="U24" s="1160">
        <f t="shared" si="7"/>
        <v>0</v>
      </c>
      <c r="V24" s="1160">
        <f t="shared" si="7"/>
        <v>0</v>
      </c>
      <c r="W24" s="1160">
        <f t="shared" si="7"/>
        <v>2.3511281874234329</v>
      </c>
    </row>
    <row r="25" spans="2:23" ht="14.65" x14ac:dyDescent="0.4">
      <c r="B25" s="1138"/>
      <c r="C25" s="1139"/>
      <c r="D25" s="84"/>
      <c r="E25" s="84"/>
      <c r="F25" s="84"/>
      <c r="G25" s="84"/>
      <c r="H25" s="84"/>
      <c r="J25" s="39"/>
      <c r="M25" s="39"/>
      <c r="N25" s="39"/>
    </row>
    <row r="26" spans="2:23" ht="13.8" customHeight="1" x14ac:dyDescent="0.35">
      <c r="B26" s="1947" t="s">
        <v>1</v>
      </c>
      <c r="C26" s="1947" t="s">
        <v>111</v>
      </c>
      <c r="D26" s="2052" t="s">
        <v>112</v>
      </c>
      <c r="E26" s="2052"/>
      <c r="F26" s="2052"/>
      <c r="G26" s="2052"/>
      <c r="H26" s="2052"/>
      <c r="I26" s="2052" t="s">
        <v>113</v>
      </c>
      <c r="J26" s="2052"/>
      <c r="K26" s="2052"/>
      <c r="L26" s="2052"/>
      <c r="M26" s="2052"/>
      <c r="N26" s="1947" t="s">
        <v>114</v>
      </c>
      <c r="O26" s="1947"/>
      <c r="P26" s="1947"/>
      <c r="Q26" s="1947"/>
      <c r="R26" s="1947"/>
      <c r="S26" s="1947" t="s">
        <v>123</v>
      </c>
      <c r="T26" s="1947"/>
      <c r="U26" s="1947"/>
      <c r="V26" s="1947"/>
      <c r="W26" s="1947"/>
    </row>
    <row r="27" spans="2:23" x14ac:dyDescent="0.35">
      <c r="B27" s="1947"/>
      <c r="C27" s="1947"/>
      <c r="D27" s="1947" t="s">
        <v>186</v>
      </c>
      <c r="E27" s="2051"/>
      <c r="F27" s="2051"/>
      <c r="G27" s="2051"/>
      <c r="H27" s="2051"/>
      <c r="I27" s="1947" t="s">
        <v>186</v>
      </c>
      <c r="J27" s="2051"/>
      <c r="K27" s="2051"/>
      <c r="L27" s="2051"/>
      <c r="M27" s="2051"/>
      <c r="N27" s="1947" t="s">
        <v>187</v>
      </c>
      <c r="O27" s="2051"/>
      <c r="P27" s="2051"/>
      <c r="Q27" s="2051"/>
      <c r="R27" s="2051"/>
      <c r="S27" s="1947" t="s">
        <v>135</v>
      </c>
      <c r="T27" s="2051"/>
      <c r="U27" s="2051"/>
      <c r="V27" s="2051"/>
      <c r="W27" s="2051"/>
    </row>
    <row r="28" spans="2:23" ht="27" x14ac:dyDescent="0.35">
      <c r="B28" s="1947"/>
      <c r="C28" s="1947"/>
      <c r="D28" s="106" t="s">
        <v>523</v>
      </c>
      <c r="E28" s="106" t="s">
        <v>524</v>
      </c>
      <c r="F28" s="106" t="s">
        <v>525</v>
      </c>
      <c r="G28" s="106" t="s">
        <v>543</v>
      </c>
      <c r="H28" s="106" t="s">
        <v>526</v>
      </c>
      <c r="I28" s="106" t="s">
        <v>523</v>
      </c>
      <c r="J28" s="106" t="s">
        <v>524</v>
      </c>
      <c r="K28" s="106" t="s">
        <v>525</v>
      </c>
      <c r="L28" s="106" t="s">
        <v>543</v>
      </c>
      <c r="M28" s="106" t="s">
        <v>526</v>
      </c>
      <c r="N28" s="106" t="s">
        <v>523</v>
      </c>
      <c r="O28" s="106" t="s">
        <v>524</v>
      </c>
      <c r="P28" s="106" t="s">
        <v>525</v>
      </c>
      <c r="Q28" s="106" t="s">
        <v>543</v>
      </c>
      <c r="R28" s="106" t="s">
        <v>526</v>
      </c>
      <c r="S28" s="106" t="s">
        <v>523</v>
      </c>
      <c r="T28" s="106" t="s">
        <v>524</v>
      </c>
      <c r="U28" s="106" t="s">
        <v>525</v>
      </c>
      <c r="V28" s="106" t="s">
        <v>543</v>
      </c>
      <c r="W28" s="106" t="s">
        <v>526</v>
      </c>
    </row>
    <row r="29" spans="2:23" x14ac:dyDescent="0.35">
      <c r="B29" s="217"/>
      <c r="C29" s="217"/>
      <c r="D29" s="217" t="s">
        <v>128</v>
      </c>
      <c r="E29" s="217" t="s">
        <v>129</v>
      </c>
      <c r="F29" s="217" t="s">
        <v>527</v>
      </c>
      <c r="G29" s="217" t="s">
        <v>130</v>
      </c>
      <c r="H29" s="217" t="s">
        <v>544</v>
      </c>
      <c r="I29" s="217" t="s">
        <v>331</v>
      </c>
      <c r="J29" s="217" t="s">
        <v>132</v>
      </c>
      <c r="K29" s="217" t="s">
        <v>133</v>
      </c>
      <c r="L29" s="217" t="s">
        <v>332</v>
      </c>
      <c r="M29" s="217" t="s">
        <v>545</v>
      </c>
      <c r="N29" s="217" t="s">
        <v>528</v>
      </c>
      <c r="O29" s="217" t="s">
        <v>529</v>
      </c>
      <c r="P29" s="217" t="s">
        <v>334</v>
      </c>
      <c r="Q29" s="217" t="s">
        <v>530</v>
      </c>
      <c r="R29" s="217" t="s">
        <v>546</v>
      </c>
      <c r="S29" s="217" t="s">
        <v>532</v>
      </c>
      <c r="T29" s="217" t="s">
        <v>533</v>
      </c>
      <c r="U29" s="217" t="s">
        <v>534</v>
      </c>
      <c r="V29" s="217" t="s">
        <v>535</v>
      </c>
      <c r="W29" s="217" t="s">
        <v>547</v>
      </c>
    </row>
    <row r="30" spans="2:23" s="39" customFormat="1" x14ac:dyDescent="0.35">
      <c r="B30" s="1133">
        <v>1</v>
      </c>
      <c r="C30" s="1134" t="s">
        <v>1410</v>
      </c>
      <c r="D30" s="1142">
        <f>+W16</f>
        <v>0</v>
      </c>
      <c r="E30" s="763">
        <f>+Capitalisation!W50</f>
        <v>0</v>
      </c>
      <c r="F30" s="763"/>
      <c r="G30" s="795"/>
      <c r="H30" s="763">
        <f>+D30+E30-F30-G30</f>
        <v>0</v>
      </c>
      <c r="I30" s="676">
        <f>+H30</f>
        <v>0</v>
      </c>
      <c r="J30" s="676">
        <f>+Capitalisation!Z50</f>
        <v>0</v>
      </c>
      <c r="K30" s="676"/>
      <c r="L30" s="795"/>
      <c r="M30" s="763">
        <f>+I30+J30-K30-L30</f>
        <v>0</v>
      </c>
      <c r="N30" s="676">
        <f>+M30</f>
        <v>0</v>
      </c>
      <c r="O30" s="676">
        <f>+Capitalisation!AC50</f>
        <v>0</v>
      </c>
      <c r="P30" s="676"/>
      <c r="Q30" s="795"/>
      <c r="R30" s="763">
        <f>+N30+O30-P30-Q30</f>
        <v>0</v>
      </c>
      <c r="S30" s="676">
        <f>+R30</f>
        <v>0</v>
      </c>
      <c r="T30" s="676"/>
      <c r="U30" s="676"/>
      <c r="V30" s="795"/>
      <c r="W30" s="763">
        <f>+S30+T30-U30-V30</f>
        <v>0</v>
      </c>
    </row>
    <row r="31" spans="2:23" s="39" customFormat="1" x14ac:dyDescent="0.35">
      <c r="B31" s="1133">
        <v>2</v>
      </c>
      <c r="C31" s="1134" t="s">
        <v>1409</v>
      </c>
      <c r="D31" s="1142">
        <f t="shared" ref="D31:D37" si="8">+W17</f>
        <v>0</v>
      </c>
      <c r="E31" s="763">
        <f>+Capitalisation!W51</f>
        <v>0</v>
      </c>
      <c r="F31" s="763"/>
      <c r="G31" s="795"/>
      <c r="H31" s="763">
        <f t="shared" ref="H31:H37" si="9">+D31+E31-F31-G31</f>
        <v>0</v>
      </c>
      <c r="I31" s="676">
        <f t="shared" ref="I31:I37" si="10">+H31</f>
        <v>0</v>
      </c>
      <c r="J31" s="676">
        <f>+Capitalisation!Z51</f>
        <v>0</v>
      </c>
      <c r="K31" s="676"/>
      <c r="L31" s="795"/>
      <c r="M31" s="763">
        <f t="shared" ref="M31:M37" si="11">+I31+J31-K31-L31</f>
        <v>0</v>
      </c>
      <c r="N31" s="676">
        <f t="shared" ref="N31:N37" si="12">+M31</f>
        <v>0</v>
      </c>
      <c r="O31" s="676">
        <f>+Capitalisation!AC51</f>
        <v>0</v>
      </c>
      <c r="P31" s="676"/>
      <c r="Q31" s="795"/>
      <c r="R31" s="763">
        <f t="shared" ref="R31:R37" si="13">+N31+O31-P31-Q31</f>
        <v>0</v>
      </c>
      <c r="S31" s="676">
        <f t="shared" ref="S31:S37" si="14">+R31</f>
        <v>0</v>
      </c>
      <c r="T31" s="676"/>
      <c r="U31" s="676"/>
      <c r="V31" s="795"/>
      <c r="W31" s="763">
        <f t="shared" ref="W31:W37" si="15">+S31+T31-U31-V31</f>
        <v>0</v>
      </c>
    </row>
    <row r="32" spans="2:23" s="39" customFormat="1" x14ac:dyDescent="0.35">
      <c r="B32" s="1133">
        <v>3</v>
      </c>
      <c r="C32" s="1134" t="s">
        <v>440</v>
      </c>
      <c r="D32" s="1142">
        <f t="shared" si="8"/>
        <v>0</v>
      </c>
      <c r="E32" s="763">
        <f>+Capitalisation!W52</f>
        <v>0</v>
      </c>
      <c r="F32" s="762"/>
      <c r="G32" s="764"/>
      <c r="H32" s="763">
        <f t="shared" si="9"/>
        <v>0</v>
      </c>
      <c r="I32" s="676">
        <f t="shared" si="10"/>
        <v>0</v>
      </c>
      <c r="J32" s="676">
        <f>+Capitalisation!Z52</f>
        <v>0</v>
      </c>
      <c r="K32" s="676"/>
      <c r="L32" s="764"/>
      <c r="M32" s="763">
        <f t="shared" si="11"/>
        <v>0</v>
      </c>
      <c r="N32" s="676">
        <f t="shared" si="12"/>
        <v>0</v>
      </c>
      <c r="O32" s="676">
        <f>+Capitalisation!AC52</f>
        <v>0</v>
      </c>
      <c r="P32" s="676"/>
      <c r="Q32" s="764"/>
      <c r="R32" s="763">
        <f t="shared" si="13"/>
        <v>0</v>
      </c>
      <c r="S32" s="676">
        <f t="shared" si="14"/>
        <v>0</v>
      </c>
      <c r="T32" s="676"/>
      <c r="U32" s="676"/>
      <c r="V32" s="764"/>
      <c r="W32" s="763">
        <f t="shared" si="15"/>
        <v>0</v>
      </c>
    </row>
    <row r="33" spans="2:23" x14ac:dyDescent="0.35">
      <c r="B33" s="1133">
        <v>4</v>
      </c>
      <c r="C33" s="1134" t="s">
        <v>915</v>
      </c>
      <c r="D33" s="1142">
        <f t="shared" si="8"/>
        <v>2.0492267219234326</v>
      </c>
      <c r="E33" s="763">
        <f>+Capitalisation!W53</f>
        <v>1.196946608</v>
      </c>
      <c r="F33" s="763"/>
      <c r="G33" s="795"/>
      <c r="H33" s="763">
        <f t="shared" si="9"/>
        <v>3.2461733299234323</v>
      </c>
      <c r="I33" s="676">
        <f t="shared" si="10"/>
        <v>3.2461733299234323</v>
      </c>
      <c r="J33" s="676">
        <f>+Capitalisation!Z53</f>
        <v>1.0655415E-2</v>
      </c>
      <c r="K33" s="676"/>
      <c r="L33" s="795"/>
      <c r="M33" s="763">
        <f t="shared" si="11"/>
        <v>3.2568287449234323</v>
      </c>
      <c r="N33" s="676">
        <f t="shared" si="12"/>
        <v>3.2568287449234323</v>
      </c>
      <c r="O33" s="676">
        <f>+Capitalisation!AC53</f>
        <v>0</v>
      </c>
      <c r="P33" s="676"/>
      <c r="Q33" s="795"/>
      <c r="R33" s="763">
        <f t="shared" si="13"/>
        <v>3.2568287449234323</v>
      </c>
      <c r="S33" s="676">
        <f t="shared" si="14"/>
        <v>3.2568287449234323</v>
      </c>
      <c r="T33" s="676"/>
      <c r="U33" s="676"/>
      <c r="V33" s="795"/>
      <c r="W33" s="763">
        <f t="shared" si="15"/>
        <v>3.2568287449234323</v>
      </c>
    </row>
    <row r="34" spans="2:23" x14ac:dyDescent="0.35">
      <c r="B34" s="1133">
        <v>5</v>
      </c>
      <c r="C34" s="1134" t="s">
        <v>447</v>
      </c>
      <c r="D34" s="1142">
        <f t="shared" si="8"/>
        <v>6.1081600000000007E-2</v>
      </c>
      <c r="E34" s="763">
        <f>+Capitalisation!W54</f>
        <v>0</v>
      </c>
      <c r="F34" s="763"/>
      <c r="G34" s="795"/>
      <c r="H34" s="763">
        <f t="shared" si="9"/>
        <v>6.1081600000000007E-2</v>
      </c>
      <c r="I34" s="676">
        <f t="shared" si="10"/>
        <v>6.1081600000000007E-2</v>
      </c>
      <c r="J34" s="676">
        <f>+Capitalisation!Z54</f>
        <v>8.5004999999999998E-4</v>
      </c>
      <c r="K34" s="676"/>
      <c r="L34" s="795"/>
      <c r="M34" s="763">
        <f t="shared" si="11"/>
        <v>6.1931650000000005E-2</v>
      </c>
      <c r="N34" s="676">
        <f t="shared" si="12"/>
        <v>6.1931650000000005E-2</v>
      </c>
      <c r="O34" s="676">
        <f>+Capitalisation!AC54</f>
        <v>7.8101249999999994E-3</v>
      </c>
      <c r="P34" s="676"/>
      <c r="Q34" s="795"/>
      <c r="R34" s="763">
        <f t="shared" si="13"/>
        <v>6.9741775000000006E-2</v>
      </c>
      <c r="S34" s="676">
        <f t="shared" si="14"/>
        <v>6.9741775000000006E-2</v>
      </c>
      <c r="T34" s="676"/>
      <c r="U34" s="676"/>
      <c r="V34" s="795"/>
      <c r="W34" s="763">
        <f t="shared" si="15"/>
        <v>6.9741775000000006E-2</v>
      </c>
    </row>
    <row r="35" spans="2:23" x14ac:dyDescent="0.35">
      <c r="B35" s="1133">
        <v>6</v>
      </c>
      <c r="C35" s="1134" t="s">
        <v>879</v>
      </c>
      <c r="D35" s="1142">
        <f t="shared" si="8"/>
        <v>6.5979999999999977E-4</v>
      </c>
      <c r="E35" s="763">
        <f>+Capitalisation!W55</f>
        <v>0</v>
      </c>
      <c r="F35" s="763"/>
      <c r="G35" s="795"/>
      <c r="H35" s="763">
        <f t="shared" si="9"/>
        <v>6.5979999999999977E-4</v>
      </c>
      <c r="I35" s="676">
        <f t="shared" si="10"/>
        <v>6.5979999999999977E-4</v>
      </c>
      <c r="J35" s="676">
        <f>+Capitalisation!Z55</f>
        <v>0</v>
      </c>
      <c r="K35" s="676"/>
      <c r="L35" s="795"/>
      <c r="M35" s="763">
        <f t="shared" si="11"/>
        <v>6.5979999999999977E-4</v>
      </c>
      <c r="N35" s="676">
        <f t="shared" si="12"/>
        <v>6.5979999999999977E-4</v>
      </c>
      <c r="O35" s="676">
        <f>+Capitalisation!AC55</f>
        <v>0</v>
      </c>
      <c r="P35" s="676"/>
      <c r="Q35" s="795"/>
      <c r="R35" s="763">
        <f t="shared" si="13"/>
        <v>6.5979999999999977E-4</v>
      </c>
      <c r="S35" s="676">
        <f t="shared" si="14"/>
        <v>6.5979999999999977E-4</v>
      </c>
      <c r="T35" s="676"/>
      <c r="U35" s="676"/>
      <c r="V35" s="795"/>
      <c r="W35" s="763">
        <f t="shared" si="15"/>
        <v>6.5979999999999977E-4</v>
      </c>
    </row>
    <row r="36" spans="2:23" x14ac:dyDescent="0.4">
      <c r="B36" s="1133">
        <v>7</v>
      </c>
      <c r="C36" s="1135" t="s">
        <v>1269</v>
      </c>
      <c r="D36" s="1142">
        <f t="shared" si="8"/>
        <v>2.6127065500000001E-2</v>
      </c>
      <c r="E36" s="763">
        <f>+Capitalisation!W56</f>
        <v>4.9749910000000007E-3</v>
      </c>
      <c r="F36" s="676"/>
      <c r="G36" s="700"/>
      <c r="H36" s="763">
        <f t="shared" si="9"/>
        <v>3.1102056500000003E-2</v>
      </c>
      <c r="I36" s="676">
        <f t="shared" si="10"/>
        <v>3.1102056500000003E-2</v>
      </c>
      <c r="J36" s="676">
        <f>+Capitalisation!Z56</f>
        <v>3.5545362499999997E-2</v>
      </c>
      <c r="K36" s="1161"/>
      <c r="L36" s="700"/>
      <c r="M36" s="763">
        <f t="shared" si="11"/>
        <v>6.6647418999999999E-2</v>
      </c>
      <c r="N36" s="676">
        <f t="shared" si="12"/>
        <v>6.6647418999999999E-2</v>
      </c>
      <c r="O36" s="676">
        <f>+Capitalisation!AC56</f>
        <v>5.2556599999999997E-3</v>
      </c>
      <c r="P36" s="1161"/>
      <c r="Q36" s="700"/>
      <c r="R36" s="763">
        <f t="shared" si="13"/>
        <v>7.1903078999999995E-2</v>
      </c>
      <c r="S36" s="676">
        <f t="shared" si="14"/>
        <v>7.1903078999999995E-2</v>
      </c>
      <c r="T36" s="1161"/>
      <c r="U36" s="1161"/>
      <c r="V36" s="700"/>
      <c r="W36" s="763">
        <f t="shared" si="15"/>
        <v>7.1903078999999995E-2</v>
      </c>
    </row>
    <row r="37" spans="2:23" ht="15.4" x14ac:dyDescent="0.4">
      <c r="B37" s="1133">
        <v>8</v>
      </c>
      <c r="C37" s="1135" t="s">
        <v>1270</v>
      </c>
      <c r="D37" s="1142">
        <f t="shared" si="8"/>
        <v>0.214033</v>
      </c>
      <c r="E37" s="763">
        <f>+Capitalisation!W57</f>
        <v>2.65028E-2</v>
      </c>
      <c r="F37" s="1162"/>
      <c r="G37" s="796"/>
      <c r="H37" s="763">
        <f t="shared" si="9"/>
        <v>0.24053579999999999</v>
      </c>
      <c r="I37" s="676">
        <f t="shared" si="10"/>
        <v>0.24053579999999999</v>
      </c>
      <c r="J37" s="676">
        <f>+Capitalisation!Z57</f>
        <v>0</v>
      </c>
      <c r="K37" s="1163"/>
      <c r="L37" s="796"/>
      <c r="M37" s="763">
        <f t="shared" si="11"/>
        <v>0.24053579999999999</v>
      </c>
      <c r="N37" s="676">
        <f t="shared" si="12"/>
        <v>0.24053579999999999</v>
      </c>
      <c r="O37" s="676">
        <f>+Capitalisation!AC57</f>
        <v>7.7879999999999998E-3</v>
      </c>
      <c r="P37" s="1163"/>
      <c r="Q37" s="796"/>
      <c r="R37" s="763">
        <f t="shared" si="13"/>
        <v>0.24832379999999998</v>
      </c>
      <c r="S37" s="676">
        <f t="shared" si="14"/>
        <v>0.24832379999999998</v>
      </c>
      <c r="T37" s="1163"/>
      <c r="U37" s="1163"/>
      <c r="V37" s="796"/>
      <c r="W37" s="763">
        <f t="shared" si="15"/>
        <v>0.24832379999999998</v>
      </c>
    </row>
    <row r="38" spans="2:23" ht="14.65" x14ac:dyDescent="0.4">
      <c r="B38" s="1136"/>
      <c r="C38" s="1137" t="s">
        <v>164</v>
      </c>
      <c r="D38" s="1140">
        <f>SUM(D30:D37)</f>
        <v>2.3511281874234329</v>
      </c>
      <c r="E38" s="1160">
        <f t="shared" ref="E38:W38" si="16">SUM(E30:E37)</f>
        <v>1.2284243990000001</v>
      </c>
      <c r="F38" s="1160">
        <f t="shared" si="16"/>
        <v>0</v>
      </c>
      <c r="G38" s="1160">
        <f t="shared" si="16"/>
        <v>0</v>
      </c>
      <c r="H38" s="1160">
        <f t="shared" si="16"/>
        <v>3.5795525864234325</v>
      </c>
      <c r="I38" s="1160">
        <f t="shared" si="16"/>
        <v>3.5795525864234325</v>
      </c>
      <c r="J38" s="1160">
        <f t="shared" si="16"/>
        <v>4.7050827499999996E-2</v>
      </c>
      <c r="K38" s="1160">
        <f t="shared" si="16"/>
        <v>0</v>
      </c>
      <c r="L38" s="1160">
        <f t="shared" si="16"/>
        <v>0</v>
      </c>
      <c r="M38" s="1160">
        <f t="shared" si="16"/>
        <v>3.6266034139234327</v>
      </c>
      <c r="N38" s="1160">
        <f t="shared" si="16"/>
        <v>3.6266034139234327</v>
      </c>
      <c r="O38" s="1160">
        <f t="shared" si="16"/>
        <v>2.0853785E-2</v>
      </c>
      <c r="P38" s="1160">
        <f t="shared" si="16"/>
        <v>0</v>
      </c>
      <c r="Q38" s="1160">
        <f t="shared" si="16"/>
        <v>0</v>
      </c>
      <c r="R38" s="1160">
        <f t="shared" si="16"/>
        <v>3.647457198923433</v>
      </c>
      <c r="S38" s="1160">
        <f t="shared" si="16"/>
        <v>3.647457198923433</v>
      </c>
      <c r="T38" s="1160">
        <f t="shared" si="16"/>
        <v>0</v>
      </c>
      <c r="U38" s="1160">
        <f t="shared" si="16"/>
        <v>0</v>
      </c>
      <c r="V38" s="1160">
        <f t="shared" si="16"/>
        <v>0</v>
      </c>
      <c r="W38" s="1160">
        <f t="shared" si="16"/>
        <v>3.647457198923433</v>
      </c>
    </row>
    <row r="39" spans="2:23" x14ac:dyDescent="0.35">
      <c r="B39" s="83"/>
      <c r="C39" s="84"/>
      <c r="D39" s="84"/>
      <c r="E39" s="84"/>
      <c r="F39" s="84"/>
      <c r="G39" s="84"/>
      <c r="H39" s="84"/>
      <c r="J39" s="39"/>
      <c r="M39" s="39"/>
      <c r="N39" s="39"/>
    </row>
    <row r="40" spans="2:23" x14ac:dyDescent="0.35">
      <c r="B40" s="1947" t="s">
        <v>1</v>
      </c>
      <c r="C40" s="1947" t="s">
        <v>111</v>
      </c>
      <c r="D40" s="2052" t="s">
        <v>124</v>
      </c>
      <c r="E40" s="2052"/>
      <c r="F40" s="2052"/>
      <c r="G40" s="2052"/>
      <c r="H40" s="2052"/>
      <c r="I40" s="2052" t="s">
        <v>125</v>
      </c>
      <c r="J40" s="2052"/>
      <c r="K40" s="2052"/>
      <c r="L40" s="2052"/>
      <c r="M40" s="2052"/>
      <c r="N40" s="2052" t="s">
        <v>126</v>
      </c>
      <c r="O40" s="2052"/>
      <c r="P40" s="2052"/>
      <c r="Q40" s="2052"/>
      <c r="R40" s="2052"/>
      <c r="S40" s="2052" t="s">
        <v>127</v>
      </c>
      <c r="T40" s="2052"/>
      <c r="U40" s="2052"/>
      <c r="V40" s="2052"/>
      <c r="W40" s="2052"/>
    </row>
    <row r="41" spans="2:23" x14ac:dyDescent="0.35">
      <c r="B41" s="1947"/>
      <c r="C41" s="1947"/>
      <c r="D41" s="2052" t="s">
        <v>135</v>
      </c>
      <c r="E41" s="2055"/>
      <c r="F41" s="2055"/>
      <c r="G41" s="2055"/>
      <c r="H41" s="2055"/>
      <c r="I41" s="2052" t="s">
        <v>135</v>
      </c>
      <c r="J41" s="2055"/>
      <c r="K41" s="2055"/>
      <c r="L41" s="2055"/>
      <c r="M41" s="2055"/>
      <c r="N41" s="2052" t="s">
        <v>135</v>
      </c>
      <c r="O41" s="2055"/>
      <c r="P41" s="2055"/>
      <c r="Q41" s="2055"/>
      <c r="R41" s="2055"/>
      <c r="S41" s="2052" t="s">
        <v>135</v>
      </c>
      <c r="T41" s="2055"/>
      <c r="U41" s="2055"/>
      <c r="V41" s="2055"/>
      <c r="W41" s="2055"/>
    </row>
    <row r="42" spans="2:23" ht="13.8" customHeight="1" x14ac:dyDescent="0.35">
      <c r="B42" s="1947"/>
      <c r="C42" s="1947"/>
      <c r="D42" s="250" t="s">
        <v>523</v>
      </c>
      <c r="E42" s="250" t="s">
        <v>524</v>
      </c>
      <c r="F42" s="250" t="s">
        <v>525</v>
      </c>
      <c r="G42" s="106" t="s">
        <v>543</v>
      </c>
      <c r="H42" s="250" t="s">
        <v>526</v>
      </c>
      <c r="I42" s="250" t="s">
        <v>523</v>
      </c>
      <c r="J42" s="250" t="s">
        <v>524</v>
      </c>
      <c r="K42" s="250" t="s">
        <v>525</v>
      </c>
      <c r="L42" s="106" t="s">
        <v>543</v>
      </c>
      <c r="M42" s="250" t="s">
        <v>526</v>
      </c>
      <c r="N42" s="250" t="s">
        <v>523</v>
      </c>
      <c r="O42" s="250" t="s">
        <v>524</v>
      </c>
      <c r="P42" s="250" t="s">
        <v>525</v>
      </c>
      <c r="Q42" s="106" t="s">
        <v>543</v>
      </c>
      <c r="R42" s="250" t="s">
        <v>526</v>
      </c>
      <c r="S42" s="250" t="s">
        <v>523</v>
      </c>
      <c r="T42" s="250" t="s">
        <v>524</v>
      </c>
      <c r="U42" s="250" t="s">
        <v>525</v>
      </c>
      <c r="V42" s="106" t="s">
        <v>543</v>
      </c>
      <c r="W42" s="250" t="s">
        <v>526</v>
      </c>
    </row>
    <row r="43" spans="2:23" x14ac:dyDescent="0.35">
      <c r="B43" s="217"/>
      <c r="C43" s="217"/>
      <c r="D43" s="217" t="s">
        <v>128</v>
      </c>
      <c r="E43" s="217" t="s">
        <v>129</v>
      </c>
      <c r="F43" s="217" t="s">
        <v>527</v>
      </c>
      <c r="G43" s="217" t="s">
        <v>130</v>
      </c>
      <c r="H43" s="217" t="s">
        <v>544</v>
      </c>
      <c r="I43" s="217" t="s">
        <v>331</v>
      </c>
      <c r="J43" s="217" t="s">
        <v>132</v>
      </c>
      <c r="K43" s="217" t="s">
        <v>133</v>
      </c>
      <c r="L43" s="217" t="s">
        <v>332</v>
      </c>
      <c r="M43" s="217" t="s">
        <v>545</v>
      </c>
      <c r="N43" s="217" t="s">
        <v>528</v>
      </c>
      <c r="O43" s="217" t="s">
        <v>529</v>
      </c>
      <c r="P43" s="217" t="s">
        <v>334</v>
      </c>
      <c r="Q43" s="217" t="s">
        <v>530</v>
      </c>
      <c r="R43" s="217" t="s">
        <v>546</v>
      </c>
      <c r="S43" s="217" t="s">
        <v>532</v>
      </c>
      <c r="T43" s="217" t="s">
        <v>533</v>
      </c>
      <c r="U43" s="217" t="s">
        <v>534</v>
      </c>
      <c r="V43" s="217" t="s">
        <v>535</v>
      </c>
      <c r="W43" s="217" t="s">
        <v>547</v>
      </c>
    </row>
    <row r="44" spans="2:23" x14ac:dyDescent="0.35">
      <c r="B44" s="1133">
        <v>1</v>
      </c>
      <c r="C44" s="1134" t="s">
        <v>1410</v>
      </c>
      <c r="D44" s="1142">
        <f>+W30</f>
        <v>0</v>
      </c>
      <c r="E44" s="52"/>
      <c r="F44" s="52"/>
      <c r="G44" s="372"/>
      <c r="H44" s="761">
        <f>+D44+E44-F44-G44</f>
        <v>0</v>
      </c>
      <c r="I44" s="1141">
        <f>+H44</f>
        <v>0</v>
      </c>
      <c r="J44" s="86"/>
      <c r="K44" s="86"/>
      <c r="L44" s="372"/>
      <c r="M44" s="761">
        <f>+I44+J44-K44-L44</f>
        <v>0</v>
      </c>
      <c r="N44" s="1141">
        <f>+M44</f>
        <v>0</v>
      </c>
      <c r="O44" s="86"/>
      <c r="P44" s="86"/>
      <c r="Q44" s="372"/>
      <c r="R44" s="761">
        <f>+N44+O44-P44-Q44</f>
        <v>0</v>
      </c>
      <c r="S44" s="1141">
        <f>+R44</f>
        <v>0</v>
      </c>
      <c r="T44" s="86"/>
      <c r="U44" s="86"/>
      <c r="V44" s="372"/>
      <c r="W44" s="761">
        <f>+S44+T44-U44-V44</f>
        <v>0</v>
      </c>
    </row>
    <row r="45" spans="2:23" x14ac:dyDescent="0.35">
      <c r="B45" s="1133">
        <v>2</v>
      </c>
      <c r="C45" s="1134" t="s">
        <v>1409</v>
      </c>
      <c r="D45" s="1142">
        <f t="shared" ref="D45:D51" si="17">+W31</f>
        <v>0</v>
      </c>
      <c r="E45" s="52"/>
      <c r="F45" s="52"/>
      <c r="G45" s="372"/>
      <c r="H45" s="761">
        <f t="shared" ref="H45:H51" si="18">+D45+E45-F45-G45</f>
        <v>0</v>
      </c>
      <c r="I45" s="1141">
        <f t="shared" ref="I45:I51" si="19">+H45</f>
        <v>0</v>
      </c>
      <c r="J45" s="86"/>
      <c r="K45" s="86"/>
      <c r="L45" s="372"/>
      <c r="M45" s="761">
        <f t="shared" ref="M45:M51" si="20">+I45+J45-K45-L45</f>
        <v>0</v>
      </c>
      <c r="N45" s="1141">
        <f t="shared" ref="N45:N51" si="21">+M45</f>
        <v>0</v>
      </c>
      <c r="O45" s="86"/>
      <c r="P45" s="86"/>
      <c r="Q45" s="372"/>
      <c r="R45" s="761">
        <f t="shared" ref="R45:R51" si="22">+N45+O45-P45-Q45</f>
        <v>0</v>
      </c>
      <c r="S45" s="1141">
        <f t="shared" ref="S45:S51" si="23">+R45</f>
        <v>0</v>
      </c>
      <c r="T45" s="86"/>
      <c r="U45" s="86"/>
      <c r="V45" s="372"/>
      <c r="W45" s="761">
        <f t="shared" ref="W45:W51" si="24">+S45+T45-U45-V45</f>
        <v>0</v>
      </c>
    </row>
    <row r="46" spans="2:23" s="39" customFormat="1" x14ac:dyDescent="0.35">
      <c r="B46" s="1133">
        <v>3</v>
      </c>
      <c r="C46" s="1134" t="s">
        <v>440</v>
      </c>
      <c r="D46" s="1142">
        <f t="shared" si="17"/>
        <v>0</v>
      </c>
      <c r="E46" s="275"/>
      <c r="F46" s="275"/>
      <c r="G46" s="373"/>
      <c r="H46" s="761">
        <f t="shared" si="18"/>
        <v>0</v>
      </c>
      <c r="I46" s="1141">
        <f t="shared" si="19"/>
        <v>0</v>
      </c>
      <c r="J46" s="86"/>
      <c r="K46" s="86"/>
      <c r="L46" s="373"/>
      <c r="M46" s="761">
        <f t="shared" si="20"/>
        <v>0</v>
      </c>
      <c r="N46" s="1141">
        <f t="shared" si="21"/>
        <v>0</v>
      </c>
      <c r="O46" s="86"/>
      <c r="P46" s="86"/>
      <c r="Q46" s="373"/>
      <c r="R46" s="761">
        <f t="shared" si="22"/>
        <v>0</v>
      </c>
      <c r="S46" s="1141">
        <f t="shared" si="23"/>
        <v>0</v>
      </c>
      <c r="T46" s="86"/>
      <c r="U46" s="86"/>
      <c r="V46" s="373"/>
      <c r="W46" s="761">
        <f t="shared" si="24"/>
        <v>0</v>
      </c>
    </row>
    <row r="47" spans="2:23" s="39" customFormat="1" x14ac:dyDescent="0.35">
      <c r="B47" s="1133">
        <v>4</v>
      </c>
      <c r="C47" s="1134" t="s">
        <v>915</v>
      </c>
      <c r="D47" s="1142">
        <f t="shared" si="17"/>
        <v>3.2568287449234323</v>
      </c>
      <c r="E47" s="52"/>
      <c r="F47" s="52"/>
      <c r="G47" s="372"/>
      <c r="H47" s="761">
        <f t="shared" si="18"/>
        <v>3.2568287449234323</v>
      </c>
      <c r="I47" s="1141">
        <f t="shared" si="19"/>
        <v>3.2568287449234323</v>
      </c>
      <c r="J47" s="86"/>
      <c r="K47" s="86"/>
      <c r="L47" s="372"/>
      <c r="M47" s="761">
        <f t="shared" si="20"/>
        <v>3.2568287449234323</v>
      </c>
      <c r="N47" s="1141">
        <f t="shared" si="21"/>
        <v>3.2568287449234323</v>
      </c>
      <c r="O47" s="86"/>
      <c r="P47" s="86"/>
      <c r="Q47" s="372"/>
      <c r="R47" s="761">
        <f t="shared" si="22"/>
        <v>3.2568287449234323</v>
      </c>
      <c r="S47" s="1141">
        <f t="shared" si="23"/>
        <v>3.2568287449234323</v>
      </c>
      <c r="T47" s="86"/>
      <c r="U47" s="86"/>
      <c r="V47" s="372"/>
      <c r="W47" s="761">
        <f t="shared" si="24"/>
        <v>3.2568287449234323</v>
      </c>
    </row>
    <row r="48" spans="2:23" s="39" customFormat="1" x14ac:dyDescent="0.35">
      <c r="B48" s="1133">
        <v>5</v>
      </c>
      <c r="C48" s="1134" t="s">
        <v>447</v>
      </c>
      <c r="D48" s="1142">
        <f t="shared" si="17"/>
        <v>6.9741775000000006E-2</v>
      </c>
      <c r="E48" s="52"/>
      <c r="F48" s="52"/>
      <c r="G48" s="372"/>
      <c r="H48" s="761">
        <f t="shared" si="18"/>
        <v>6.9741775000000006E-2</v>
      </c>
      <c r="I48" s="1141">
        <f t="shared" si="19"/>
        <v>6.9741775000000006E-2</v>
      </c>
      <c r="J48" s="86"/>
      <c r="K48" s="86"/>
      <c r="L48" s="372"/>
      <c r="M48" s="761">
        <f t="shared" si="20"/>
        <v>6.9741775000000006E-2</v>
      </c>
      <c r="N48" s="1141">
        <f t="shared" si="21"/>
        <v>6.9741775000000006E-2</v>
      </c>
      <c r="O48" s="86"/>
      <c r="P48" s="86"/>
      <c r="Q48" s="372"/>
      <c r="R48" s="761">
        <f t="shared" si="22"/>
        <v>6.9741775000000006E-2</v>
      </c>
      <c r="S48" s="1141">
        <f t="shared" si="23"/>
        <v>6.9741775000000006E-2</v>
      </c>
      <c r="T48" s="86"/>
      <c r="U48" s="86"/>
      <c r="V48" s="372"/>
      <c r="W48" s="761">
        <f t="shared" si="24"/>
        <v>6.9741775000000006E-2</v>
      </c>
    </row>
    <row r="49" spans="2:26" x14ac:dyDescent="0.35">
      <c r="B49" s="1133">
        <v>6</v>
      </c>
      <c r="C49" s="1134" t="s">
        <v>879</v>
      </c>
      <c r="D49" s="1142">
        <f t="shared" si="17"/>
        <v>6.5979999999999977E-4</v>
      </c>
      <c r="E49" s="52"/>
      <c r="F49" s="52"/>
      <c r="G49" s="372"/>
      <c r="H49" s="761">
        <f t="shared" si="18"/>
        <v>6.5979999999999977E-4</v>
      </c>
      <c r="I49" s="1141">
        <f t="shared" si="19"/>
        <v>6.5979999999999977E-4</v>
      </c>
      <c r="J49" s="86"/>
      <c r="K49" s="86"/>
      <c r="L49" s="372"/>
      <c r="M49" s="761">
        <f t="shared" si="20"/>
        <v>6.5979999999999977E-4</v>
      </c>
      <c r="N49" s="1141">
        <f t="shared" si="21"/>
        <v>6.5979999999999977E-4</v>
      </c>
      <c r="O49" s="86"/>
      <c r="P49" s="86"/>
      <c r="Q49" s="372"/>
      <c r="R49" s="761">
        <f t="shared" si="22"/>
        <v>6.5979999999999977E-4</v>
      </c>
      <c r="S49" s="1141">
        <f t="shared" si="23"/>
        <v>6.5979999999999977E-4</v>
      </c>
      <c r="T49" s="86"/>
      <c r="U49" s="86"/>
      <c r="V49" s="372"/>
      <c r="W49" s="761">
        <f t="shared" si="24"/>
        <v>6.5979999999999977E-4</v>
      </c>
    </row>
    <row r="50" spans="2:26" x14ac:dyDescent="0.4">
      <c r="B50" s="1133">
        <v>7</v>
      </c>
      <c r="C50" s="1135" t="s">
        <v>1269</v>
      </c>
      <c r="D50" s="1142">
        <f t="shared" si="17"/>
        <v>7.1903078999999995E-2</v>
      </c>
      <c r="E50" s="86"/>
      <c r="F50" s="86"/>
      <c r="G50" s="374"/>
      <c r="H50" s="761">
        <f t="shared" si="18"/>
        <v>7.1903078999999995E-2</v>
      </c>
      <c r="I50" s="1141">
        <f t="shared" si="19"/>
        <v>7.1903078999999995E-2</v>
      </c>
      <c r="J50" s="370"/>
      <c r="K50" s="370"/>
      <c r="L50" s="374"/>
      <c r="M50" s="761">
        <f t="shared" si="20"/>
        <v>7.1903078999999995E-2</v>
      </c>
      <c r="N50" s="1141">
        <f t="shared" si="21"/>
        <v>7.1903078999999995E-2</v>
      </c>
      <c r="O50" s="370"/>
      <c r="P50" s="370"/>
      <c r="Q50" s="374"/>
      <c r="R50" s="761">
        <f t="shared" si="22"/>
        <v>7.1903078999999995E-2</v>
      </c>
      <c r="S50" s="1141">
        <f t="shared" si="23"/>
        <v>7.1903078999999995E-2</v>
      </c>
      <c r="T50" s="370"/>
      <c r="U50" s="370"/>
      <c r="V50" s="374"/>
      <c r="W50" s="761">
        <f t="shared" si="24"/>
        <v>7.1903078999999995E-2</v>
      </c>
    </row>
    <row r="51" spans="2:26" ht="15.4" x14ac:dyDescent="0.4">
      <c r="B51" s="1133">
        <v>8</v>
      </c>
      <c r="C51" s="1135" t="s">
        <v>1270</v>
      </c>
      <c r="D51" s="1142">
        <f t="shared" si="17"/>
        <v>0.24832379999999998</v>
      </c>
      <c r="E51" s="94"/>
      <c r="F51" s="94"/>
      <c r="G51" s="375"/>
      <c r="H51" s="761">
        <f t="shared" si="18"/>
        <v>0.24832379999999998</v>
      </c>
      <c r="I51" s="1141">
        <f t="shared" si="19"/>
        <v>0.24832379999999998</v>
      </c>
      <c r="J51" s="371"/>
      <c r="K51" s="371"/>
      <c r="L51" s="375"/>
      <c r="M51" s="761">
        <f t="shared" si="20"/>
        <v>0.24832379999999998</v>
      </c>
      <c r="N51" s="1141">
        <f t="shared" si="21"/>
        <v>0.24832379999999998</v>
      </c>
      <c r="O51" s="371"/>
      <c r="P51" s="371"/>
      <c r="Q51" s="375"/>
      <c r="R51" s="761">
        <f t="shared" si="22"/>
        <v>0.24832379999999998</v>
      </c>
      <c r="S51" s="1141">
        <f t="shared" si="23"/>
        <v>0.24832379999999998</v>
      </c>
      <c r="T51" s="371"/>
      <c r="U51" s="371"/>
      <c r="V51" s="375"/>
      <c r="W51" s="761">
        <f t="shared" si="24"/>
        <v>0.24832379999999998</v>
      </c>
    </row>
    <row r="52" spans="2:26" ht="14.65" x14ac:dyDescent="0.4">
      <c r="B52" s="1136"/>
      <c r="C52" s="1137" t="s">
        <v>164</v>
      </c>
      <c r="D52" s="1140">
        <f>SUM(D44:D51)</f>
        <v>3.647457198923433</v>
      </c>
      <c r="E52" s="1140">
        <f t="shared" ref="E52:W52" si="25">SUM(E44:E51)</f>
        <v>0</v>
      </c>
      <c r="F52" s="1140">
        <f t="shared" si="25"/>
        <v>0</v>
      </c>
      <c r="G52" s="1140">
        <f t="shared" si="25"/>
        <v>0</v>
      </c>
      <c r="H52" s="1140">
        <f t="shared" si="25"/>
        <v>3.647457198923433</v>
      </c>
      <c r="I52" s="1140">
        <f t="shared" si="25"/>
        <v>3.647457198923433</v>
      </c>
      <c r="J52" s="1140">
        <f t="shared" si="25"/>
        <v>0</v>
      </c>
      <c r="K52" s="1140">
        <f t="shared" si="25"/>
        <v>0</v>
      </c>
      <c r="L52" s="1140">
        <f t="shared" si="25"/>
        <v>0</v>
      </c>
      <c r="M52" s="1140">
        <f t="shared" si="25"/>
        <v>3.647457198923433</v>
      </c>
      <c r="N52" s="1140">
        <f t="shared" si="25"/>
        <v>3.647457198923433</v>
      </c>
      <c r="O52" s="1140">
        <f t="shared" si="25"/>
        <v>0</v>
      </c>
      <c r="P52" s="1140">
        <f t="shared" si="25"/>
        <v>0</v>
      </c>
      <c r="Q52" s="1140">
        <f t="shared" si="25"/>
        <v>0</v>
      </c>
      <c r="R52" s="1140">
        <f t="shared" si="25"/>
        <v>3.647457198923433</v>
      </c>
      <c r="S52" s="1140">
        <f t="shared" si="25"/>
        <v>3.647457198923433</v>
      </c>
      <c r="T52" s="1140">
        <f t="shared" si="25"/>
        <v>0</v>
      </c>
      <c r="U52" s="1140">
        <f t="shared" si="25"/>
        <v>0</v>
      </c>
      <c r="V52" s="1140">
        <f t="shared" si="25"/>
        <v>0</v>
      </c>
      <c r="W52" s="1140">
        <f t="shared" si="25"/>
        <v>3.647457198923433</v>
      </c>
    </row>
    <row r="54" spans="2:26" ht="15.4" x14ac:dyDescent="0.35">
      <c r="B54" s="83" t="s">
        <v>536</v>
      </c>
      <c r="X54" s="125"/>
      <c r="Y54" s="125"/>
      <c r="Z54" s="125"/>
    </row>
    <row r="55" spans="2:26" x14ac:dyDescent="0.35">
      <c r="J55" s="39"/>
      <c r="M55" s="39"/>
      <c r="N55" s="39"/>
      <c r="R55" s="160" t="s">
        <v>110</v>
      </c>
    </row>
    <row r="56" spans="2:26" ht="15.4" x14ac:dyDescent="0.35">
      <c r="B56" s="1947" t="s">
        <v>1</v>
      </c>
      <c r="C56" s="1947" t="s">
        <v>111</v>
      </c>
      <c r="D56" s="2052" t="s">
        <v>196</v>
      </c>
      <c r="E56" s="2052"/>
      <c r="F56" s="2052"/>
      <c r="G56" s="2052"/>
      <c r="H56" s="2052"/>
      <c r="I56" s="1947" t="s">
        <v>197</v>
      </c>
      <c r="J56" s="1947"/>
      <c r="K56" s="1947"/>
      <c r="L56" s="1947"/>
      <c r="M56" s="1947"/>
      <c r="N56" s="1947" t="s">
        <v>198</v>
      </c>
      <c r="O56" s="1947"/>
      <c r="P56" s="1947"/>
      <c r="Q56" s="1947"/>
      <c r="R56" s="1947"/>
      <c r="S56" s="1947" t="s">
        <v>199</v>
      </c>
      <c r="T56" s="1947"/>
      <c r="U56" s="1947"/>
      <c r="V56" s="1947"/>
      <c r="W56" s="1947"/>
      <c r="X56" s="125"/>
      <c r="Y56" s="125"/>
      <c r="Z56" s="125"/>
    </row>
    <row r="57" spans="2:26" x14ac:dyDescent="0.35">
      <c r="B57" s="1947"/>
      <c r="C57" s="1947"/>
      <c r="D57" s="1947" t="s">
        <v>186</v>
      </c>
      <c r="E57" s="2051"/>
      <c r="F57" s="2051"/>
      <c r="G57" s="2051"/>
      <c r="H57" s="2051"/>
      <c r="I57" s="1947" t="s">
        <v>186</v>
      </c>
      <c r="J57" s="2051"/>
      <c r="K57" s="2051"/>
      <c r="L57" s="2051"/>
      <c r="M57" s="2051"/>
      <c r="N57" s="1947" t="s">
        <v>186</v>
      </c>
      <c r="O57" s="2051"/>
      <c r="P57" s="2051"/>
      <c r="Q57" s="2051"/>
      <c r="R57" s="2051"/>
      <c r="S57" s="1947" t="s">
        <v>186</v>
      </c>
      <c r="T57" s="2051"/>
      <c r="U57" s="2051"/>
      <c r="V57" s="2051"/>
      <c r="W57" s="2051"/>
    </row>
    <row r="58" spans="2:26" ht="40.5" x14ac:dyDescent="0.35">
      <c r="B58" s="1947"/>
      <c r="C58" s="1947"/>
      <c r="D58" s="250" t="s">
        <v>537</v>
      </c>
      <c r="E58" s="250" t="s">
        <v>524</v>
      </c>
      <c r="F58" s="251" t="s">
        <v>538</v>
      </c>
      <c r="G58" s="106" t="s">
        <v>543</v>
      </c>
      <c r="H58" s="250" t="s">
        <v>539</v>
      </c>
      <c r="I58" s="250" t="s">
        <v>537</v>
      </c>
      <c r="J58" s="250" t="s">
        <v>524</v>
      </c>
      <c r="K58" s="251" t="s">
        <v>538</v>
      </c>
      <c r="L58" s="106" t="s">
        <v>543</v>
      </c>
      <c r="M58" s="250" t="s">
        <v>539</v>
      </c>
      <c r="N58" s="250" t="s">
        <v>537</v>
      </c>
      <c r="O58" s="250" t="s">
        <v>524</v>
      </c>
      <c r="P58" s="251" t="s">
        <v>538</v>
      </c>
      <c r="Q58" s="106" t="s">
        <v>543</v>
      </c>
      <c r="R58" s="250" t="s">
        <v>539</v>
      </c>
      <c r="S58" s="250" t="s">
        <v>537</v>
      </c>
      <c r="T58" s="250" t="s">
        <v>524</v>
      </c>
      <c r="U58" s="251" t="s">
        <v>538</v>
      </c>
      <c r="V58" s="106" t="s">
        <v>543</v>
      </c>
      <c r="W58" s="250" t="s">
        <v>539</v>
      </c>
    </row>
    <row r="59" spans="2:26" ht="13.8" customHeight="1" x14ac:dyDescent="0.35">
      <c r="B59" s="217"/>
      <c r="C59" s="217"/>
      <c r="D59" s="217" t="s">
        <v>128</v>
      </c>
      <c r="E59" s="217" t="s">
        <v>129</v>
      </c>
      <c r="F59" s="217" t="s">
        <v>527</v>
      </c>
      <c r="G59" s="217" t="s">
        <v>130</v>
      </c>
      <c r="H59" s="217" t="s">
        <v>544</v>
      </c>
      <c r="I59" s="217" t="s">
        <v>331</v>
      </c>
      <c r="J59" s="217" t="s">
        <v>132</v>
      </c>
      <c r="K59" s="217" t="s">
        <v>133</v>
      </c>
      <c r="L59" s="217" t="s">
        <v>332</v>
      </c>
      <c r="M59" s="217" t="s">
        <v>545</v>
      </c>
      <c r="N59" s="217" t="s">
        <v>528</v>
      </c>
      <c r="O59" s="217" t="s">
        <v>529</v>
      </c>
      <c r="P59" s="217" t="s">
        <v>334</v>
      </c>
      <c r="Q59" s="217" t="s">
        <v>530</v>
      </c>
      <c r="R59" s="217" t="s">
        <v>546</v>
      </c>
      <c r="S59" s="217" t="s">
        <v>532</v>
      </c>
      <c r="T59" s="217" t="s">
        <v>533</v>
      </c>
      <c r="U59" s="217" t="s">
        <v>534</v>
      </c>
      <c r="V59" s="217" t="s">
        <v>535</v>
      </c>
      <c r="W59" s="217" t="s">
        <v>547</v>
      </c>
    </row>
    <row r="60" spans="2:26" x14ac:dyDescent="0.35">
      <c r="B60" s="1133">
        <v>1</v>
      </c>
      <c r="C60" s="1134" t="s">
        <v>1410</v>
      </c>
      <c r="D60" s="1142">
        <v>0</v>
      </c>
      <c r="E60" s="763">
        <f>+Capitalisation!K64</f>
        <v>0</v>
      </c>
      <c r="F60" s="763"/>
      <c r="G60" s="795"/>
      <c r="H60" s="763">
        <f>+D60+E60-F60-G60</f>
        <v>0</v>
      </c>
      <c r="I60" s="676">
        <f>+H60</f>
        <v>0</v>
      </c>
      <c r="J60" s="676">
        <f>+Capitalisation!N64</f>
        <v>0</v>
      </c>
      <c r="K60" s="676"/>
      <c r="L60" s="795"/>
      <c r="M60" s="763">
        <f>+I60+J60-K60-L60</f>
        <v>0</v>
      </c>
      <c r="N60" s="676">
        <f>+M60</f>
        <v>0</v>
      </c>
      <c r="O60" s="676">
        <f>+Capitalisation!Q64</f>
        <v>0</v>
      </c>
      <c r="P60" s="676"/>
      <c r="Q60" s="795"/>
      <c r="R60" s="763">
        <f>+N60+O60-P60-Q60</f>
        <v>0</v>
      </c>
      <c r="S60" s="676">
        <f>+R60</f>
        <v>0</v>
      </c>
      <c r="T60" s="676">
        <f>+Capitalisation!T64</f>
        <v>0</v>
      </c>
      <c r="U60" s="676"/>
      <c r="V60" s="795"/>
      <c r="W60" s="763">
        <f>+S60+T60-U60-V60</f>
        <v>0</v>
      </c>
    </row>
    <row r="61" spans="2:26" x14ac:dyDescent="0.35">
      <c r="B61" s="1133">
        <v>2</v>
      </c>
      <c r="C61" s="1134" t="s">
        <v>1409</v>
      </c>
      <c r="D61" s="1142">
        <v>0</v>
      </c>
      <c r="E61" s="763">
        <f>+Capitalisation!K65</f>
        <v>0</v>
      </c>
      <c r="F61" s="763"/>
      <c r="G61" s="795"/>
      <c r="H61" s="763">
        <f t="shared" ref="H61:H67" si="26">+D61+E61-F61-G61</f>
        <v>0</v>
      </c>
      <c r="I61" s="676">
        <f t="shared" ref="I61:I67" si="27">+H61</f>
        <v>0</v>
      </c>
      <c r="J61" s="676">
        <f>+Capitalisation!N65</f>
        <v>0</v>
      </c>
      <c r="K61" s="676"/>
      <c r="L61" s="795"/>
      <c r="M61" s="763">
        <f t="shared" ref="M61:M67" si="28">+I61+J61-K61-L61</f>
        <v>0</v>
      </c>
      <c r="N61" s="676">
        <f t="shared" ref="N61:N67" si="29">+M61</f>
        <v>0</v>
      </c>
      <c r="O61" s="676">
        <f>+Capitalisation!Q65</f>
        <v>0</v>
      </c>
      <c r="P61" s="676"/>
      <c r="Q61" s="795"/>
      <c r="R61" s="763">
        <f t="shared" ref="R61:R67" si="30">+N61+O61-P61-Q61</f>
        <v>0</v>
      </c>
      <c r="S61" s="676">
        <f t="shared" ref="S61:S67" si="31">+R61</f>
        <v>0</v>
      </c>
      <c r="T61" s="676">
        <f>+Capitalisation!T65</f>
        <v>0</v>
      </c>
      <c r="U61" s="676"/>
      <c r="V61" s="795"/>
      <c r="W61" s="763">
        <f t="shared" ref="W61:W67" si="32">+S61+T61-U61-V61</f>
        <v>0</v>
      </c>
    </row>
    <row r="62" spans="2:26" x14ac:dyDescent="0.35">
      <c r="B62" s="1133">
        <v>3</v>
      </c>
      <c r="C62" s="1134" t="s">
        <v>440</v>
      </c>
      <c r="D62" s="1142">
        <v>0</v>
      </c>
      <c r="E62" s="763">
        <f>+Capitalisation!K66</f>
        <v>0</v>
      </c>
      <c r="F62" s="762"/>
      <c r="G62" s="764"/>
      <c r="H62" s="763">
        <f t="shared" si="26"/>
        <v>0</v>
      </c>
      <c r="I62" s="676">
        <f t="shared" si="27"/>
        <v>0</v>
      </c>
      <c r="J62" s="676">
        <f>+Capitalisation!N66</f>
        <v>0</v>
      </c>
      <c r="K62" s="676"/>
      <c r="L62" s="764"/>
      <c r="M62" s="763">
        <f t="shared" si="28"/>
        <v>0</v>
      </c>
      <c r="N62" s="676">
        <f t="shared" si="29"/>
        <v>0</v>
      </c>
      <c r="O62" s="676">
        <f>+Capitalisation!Q66</f>
        <v>0</v>
      </c>
      <c r="P62" s="676"/>
      <c r="Q62" s="764"/>
      <c r="R62" s="763">
        <f t="shared" si="30"/>
        <v>0</v>
      </c>
      <c r="S62" s="676">
        <f t="shared" si="31"/>
        <v>0</v>
      </c>
      <c r="T62" s="676">
        <f>+Capitalisation!T66</f>
        <v>0</v>
      </c>
      <c r="U62" s="676"/>
      <c r="V62" s="764"/>
      <c r="W62" s="763">
        <f t="shared" si="32"/>
        <v>0</v>
      </c>
    </row>
    <row r="63" spans="2:26" x14ac:dyDescent="0.35">
      <c r="B63" s="1133">
        <v>4</v>
      </c>
      <c r="C63" s="1134" t="s">
        <v>915</v>
      </c>
      <c r="D63" s="1142">
        <v>0</v>
      </c>
      <c r="E63" s="763">
        <f>+Capitalisation!K67</f>
        <v>4.4155000000000002E-3</v>
      </c>
      <c r="F63" s="763"/>
      <c r="G63" s="795"/>
      <c r="H63" s="763">
        <f t="shared" si="26"/>
        <v>4.4155000000000002E-3</v>
      </c>
      <c r="I63" s="676">
        <f t="shared" si="27"/>
        <v>4.4155000000000002E-3</v>
      </c>
      <c r="J63" s="676">
        <f>+Capitalisation!N67</f>
        <v>3.102594220344888E-2</v>
      </c>
      <c r="K63" s="676"/>
      <c r="L63" s="795"/>
      <c r="M63" s="763">
        <f t="shared" si="28"/>
        <v>3.5441442203448879E-2</v>
      </c>
      <c r="N63" s="676">
        <f t="shared" si="29"/>
        <v>3.5441442203448879E-2</v>
      </c>
      <c r="O63" s="676">
        <f>+Capitalisation!Q67</f>
        <v>0.14002539125307428</v>
      </c>
      <c r="P63" s="676"/>
      <c r="Q63" s="795"/>
      <c r="R63" s="763">
        <f t="shared" si="30"/>
        <v>0.17546683345652317</v>
      </c>
      <c r="S63" s="676">
        <f t="shared" si="31"/>
        <v>0.17546683345652317</v>
      </c>
      <c r="T63" s="676">
        <f>+Capitalisation!T67</f>
        <v>0.15169225071137904</v>
      </c>
      <c r="U63" s="676"/>
      <c r="V63" s="795"/>
      <c r="W63" s="763">
        <f t="shared" si="32"/>
        <v>0.32715908416790218</v>
      </c>
    </row>
    <row r="64" spans="2:26" x14ac:dyDescent="0.35">
      <c r="B64" s="1133">
        <v>5</v>
      </c>
      <c r="C64" s="1134" t="s">
        <v>447</v>
      </c>
      <c r="D64" s="1142">
        <v>0</v>
      </c>
      <c r="E64" s="763">
        <f>+Capitalisation!K68</f>
        <v>1.4820499999999999E-3</v>
      </c>
      <c r="F64" s="763"/>
      <c r="G64" s="795"/>
      <c r="H64" s="763">
        <f t="shared" si="26"/>
        <v>1.4820499999999999E-3</v>
      </c>
      <c r="I64" s="676">
        <f t="shared" si="27"/>
        <v>1.4820499999999999E-3</v>
      </c>
      <c r="J64" s="676">
        <f>+Capitalisation!N68</f>
        <v>2.9093255000000001E-3</v>
      </c>
      <c r="K64" s="676"/>
      <c r="L64" s="795"/>
      <c r="M64" s="763">
        <f t="shared" si="28"/>
        <v>4.3913755E-3</v>
      </c>
      <c r="N64" s="676">
        <f t="shared" si="29"/>
        <v>4.3913755E-3</v>
      </c>
      <c r="O64" s="676">
        <f>+Capitalisation!Q68</f>
        <v>2.9093255000000001E-3</v>
      </c>
      <c r="P64" s="676"/>
      <c r="Q64" s="795"/>
      <c r="R64" s="763">
        <f t="shared" si="30"/>
        <v>7.3007009999999997E-3</v>
      </c>
      <c r="S64" s="676">
        <f t="shared" si="31"/>
        <v>7.3007009999999997E-3</v>
      </c>
      <c r="T64" s="676">
        <f>+Capitalisation!T68</f>
        <v>2.9093255000000001E-3</v>
      </c>
      <c r="U64" s="676"/>
      <c r="V64" s="795"/>
      <c r="W64" s="763">
        <f t="shared" si="32"/>
        <v>1.02100265E-2</v>
      </c>
    </row>
    <row r="65" spans="2:31" x14ac:dyDescent="0.35">
      <c r="B65" s="1133">
        <v>6</v>
      </c>
      <c r="C65" s="1134" t="s">
        <v>879</v>
      </c>
      <c r="D65" s="1142">
        <v>0</v>
      </c>
      <c r="E65" s="763">
        <f>+Capitalisation!K69</f>
        <v>3.2769999999999993E-5</v>
      </c>
      <c r="F65" s="763"/>
      <c r="G65" s="795"/>
      <c r="H65" s="763">
        <f t="shared" si="26"/>
        <v>3.2769999999999993E-5</v>
      </c>
      <c r="I65" s="676">
        <f t="shared" si="27"/>
        <v>3.2769999999999993E-5</v>
      </c>
      <c r="J65" s="676">
        <f>+Capitalisation!N69</f>
        <v>5.641289999999999E-5</v>
      </c>
      <c r="K65" s="676"/>
      <c r="L65" s="795"/>
      <c r="M65" s="763">
        <f t="shared" si="28"/>
        <v>8.9182899999999983E-5</v>
      </c>
      <c r="N65" s="676">
        <f t="shared" si="29"/>
        <v>8.9182899999999983E-5</v>
      </c>
      <c r="O65" s="676">
        <f>+Capitalisation!Q69</f>
        <v>5.641289999999999E-5</v>
      </c>
      <c r="P65" s="676"/>
      <c r="Q65" s="795"/>
      <c r="R65" s="763">
        <f t="shared" si="30"/>
        <v>1.4559579999999997E-4</v>
      </c>
      <c r="S65" s="676">
        <f t="shared" si="31"/>
        <v>1.4559579999999997E-4</v>
      </c>
      <c r="T65" s="676">
        <f>+Capitalisation!T69</f>
        <v>5.641289999999999E-5</v>
      </c>
      <c r="U65" s="676"/>
      <c r="V65" s="795"/>
      <c r="W65" s="763">
        <f t="shared" si="32"/>
        <v>2.0200869999999996E-4</v>
      </c>
    </row>
    <row r="66" spans="2:31" x14ac:dyDescent="0.4">
      <c r="B66" s="1133">
        <v>7</v>
      </c>
      <c r="C66" s="1135" t="s">
        <v>1269</v>
      </c>
      <c r="D66" s="1142">
        <v>0</v>
      </c>
      <c r="E66" s="763">
        <f>+Capitalisation!K70</f>
        <v>1.83095E-3</v>
      </c>
      <c r="F66" s="676"/>
      <c r="G66" s="700"/>
      <c r="H66" s="763">
        <f t="shared" si="26"/>
        <v>1.83095E-3</v>
      </c>
      <c r="I66" s="676">
        <f t="shared" si="27"/>
        <v>1.83095E-3</v>
      </c>
      <c r="J66" s="676">
        <f>+Capitalisation!N70</f>
        <v>2.538373E-3</v>
      </c>
      <c r="K66" s="1161"/>
      <c r="L66" s="700"/>
      <c r="M66" s="763">
        <f t="shared" si="28"/>
        <v>4.3693229999999996E-3</v>
      </c>
      <c r="N66" s="676">
        <f t="shared" si="29"/>
        <v>4.3693229999999996E-3</v>
      </c>
      <c r="O66" s="676">
        <f>+Capitalisation!Q70</f>
        <v>3.7124509999999999E-3</v>
      </c>
      <c r="P66" s="1161"/>
      <c r="Q66" s="700"/>
      <c r="R66" s="763">
        <f t="shared" si="30"/>
        <v>8.0817739999999999E-3</v>
      </c>
      <c r="S66" s="676">
        <f t="shared" si="31"/>
        <v>8.0817739999999999E-3</v>
      </c>
      <c r="T66" s="676">
        <f>+Capitalisation!T70</f>
        <v>5.3962899999999998E-3</v>
      </c>
      <c r="U66" s="1161"/>
      <c r="V66" s="700"/>
      <c r="W66" s="763">
        <f t="shared" si="32"/>
        <v>1.3478064E-2</v>
      </c>
    </row>
    <row r="67" spans="2:31" ht="15.4" x14ac:dyDescent="0.4">
      <c r="B67" s="1133">
        <v>8</v>
      </c>
      <c r="C67" s="1135" t="s">
        <v>1270</v>
      </c>
      <c r="D67" s="1142">
        <v>0</v>
      </c>
      <c r="E67" s="763">
        <f>+Capitalisation!K71</f>
        <v>2.9656600000000002E-2</v>
      </c>
      <c r="F67" s="1162"/>
      <c r="G67" s="796"/>
      <c r="H67" s="763">
        <f t="shared" si="26"/>
        <v>2.9656600000000002E-2</v>
      </c>
      <c r="I67" s="676">
        <f t="shared" si="27"/>
        <v>2.9656600000000002E-2</v>
      </c>
      <c r="J67" s="676">
        <f>+Capitalisation!N71</f>
        <v>5.7788909999999999E-2</v>
      </c>
      <c r="K67" s="1163"/>
      <c r="L67" s="796"/>
      <c r="M67" s="763">
        <f t="shared" si="28"/>
        <v>8.7445510000000004E-2</v>
      </c>
      <c r="N67" s="676">
        <f t="shared" si="29"/>
        <v>8.7445510000000004E-2</v>
      </c>
      <c r="O67" s="676">
        <f>+Capitalisation!Q71</f>
        <v>5.7788909999999999E-2</v>
      </c>
      <c r="P67" s="1163"/>
      <c r="Q67" s="796"/>
      <c r="R67" s="763">
        <f t="shared" si="30"/>
        <v>0.14523442</v>
      </c>
      <c r="S67" s="676">
        <f t="shared" si="31"/>
        <v>0.14523442</v>
      </c>
      <c r="T67" s="676">
        <f>+Capitalisation!T71</f>
        <v>5.7788909999999999E-2</v>
      </c>
      <c r="U67" s="1163"/>
      <c r="V67" s="796"/>
      <c r="W67" s="763">
        <f t="shared" si="32"/>
        <v>0.20302333</v>
      </c>
    </row>
    <row r="68" spans="2:31" ht="14.65" x14ac:dyDescent="0.4">
      <c r="B68" s="1136"/>
      <c r="C68" s="1137" t="s">
        <v>164</v>
      </c>
      <c r="D68" s="1140">
        <f>SUM(D60:D67)</f>
        <v>0</v>
      </c>
      <c r="E68" s="1160">
        <f t="shared" ref="E68:W68" si="33">SUM(E60:E67)</f>
        <v>3.7417869999999999E-2</v>
      </c>
      <c r="F68" s="1160">
        <f t="shared" si="33"/>
        <v>0</v>
      </c>
      <c r="G68" s="1160">
        <f t="shared" si="33"/>
        <v>0</v>
      </c>
      <c r="H68" s="1160">
        <f t="shared" si="33"/>
        <v>3.7417869999999999E-2</v>
      </c>
      <c r="I68" s="1160">
        <f t="shared" si="33"/>
        <v>3.7417869999999999E-2</v>
      </c>
      <c r="J68" s="1160">
        <f t="shared" si="33"/>
        <v>9.431896360344888E-2</v>
      </c>
      <c r="K68" s="1160">
        <f t="shared" si="33"/>
        <v>0</v>
      </c>
      <c r="L68" s="1160">
        <f t="shared" si="33"/>
        <v>0</v>
      </c>
      <c r="M68" s="1160">
        <f t="shared" si="33"/>
        <v>0.1317368336034489</v>
      </c>
      <c r="N68" s="1160">
        <f t="shared" si="33"/>
        <v>0.1317368336034489</v>
      </c>
      <c r="O68" s="1160">
        <f t="shared" si="33"/>
        <v>0.20449249065307429</v>
      </c>
      <c r="P68" s="1160">
        <f t="shared" si="33"/>
        <v>0</v>
      </c>
      <c r="Q68" s="1160">
        <f t="shared" si="33"/>
        <v>0</v>
      </c>
      <c r="R68" s="1160">
        <f t="shared" si="33"/>
        <v>0.33622932425652319</v>
      </c>
      <c r="S68" s="1160">
        <f t="shared" si="33"/>
        <v>0.33622932425652319</v>
      </c>
      <c r="T68" s="1160">
        <f t="shared" si="33"/>
        <v>0.21784318911137904</v>
      </c>
      <c r="U68" s="1160">
        <f t="shared" si="33"/>
        <v>0</v>
      </c>
      <c r="V68" s="1160">
        <f t="shared" si="33"/>
        <v>0</v>
      </c>
      <c r="W68" s="1160">
        <f t="shared" si="33"/>
        <v>0.5540725133679022</v>
      </c>
    </row>
    <row r="69" spans="2:31" x14ac:dyDescent="0.35">
      <c r="D69" s="1852"/>
      <c r="E69" s="662">
        <f>E68/AVERAGE(D24,H24)</f>
        <v>9.7707816037814615E-2</v>
      </c>
      <c r="J69" s="662">
        <f>J68/AVERAGE(I24,M24)</f>
        <v>6.7359708801827275E-2</v>
      </c>
      <c r="M69" s="39"/>
      <c r="N69" s="39"/>
      <c r="R69" s="160" t="s">
        <v>110</v>
      </c>
    </row>
    <row r="70" spans="2:31" x14ac:dyDescent="0.35">
      <c r="B70" s="1947" t="s">
        <v>1</v>
      </c>
      <c r="C70" s="1947" t="s">
        <v>111</v>
      </c>
      <c r="D70" s="2052" t="s">
        <v>112</v>
      </c>
      <c r="E70" s="2052"/>
      <c r="F70" s="2052"/>
      <c r="G70" s="2052"/>
      <c r="H70" s="2052"/>
      <c r="I70" s="2052" t="s">
        <v>113</v>
      </c>
      <c r="J70" s="2052"/>
      <c r="K70" s="2052"/>
      <c r="L70" s="2052"/>
      <c r="M70" s="2052"/>
      <c r="N70" s="1947" t="s">
        <v>114</v>
      </c>
      <c r="O70" s="1947"/>
      <c r="P70" s="1947"/>
      <c r="Q70" s="1947"/>
      <c r="R70" s="1947"/>
      <c r="S70" s="1947" t="s">
        <v>123</v>
      </c>
      <c r="T70" s="1947"/>
      <c r="U70" s="1947"/>
      <c r="V70" s="1947"/>
      <c r="W70" s="1947"/>
    </row>
    <row r="71" spans="2:31" x14ac:dyDescent="0.35">
      <c r="B71" s="1947"/>
      <c r="C71" s="1947"/>
      <c r="D71" s="1947" t="s">
        <v>186</v>
      </c>
      <c r="E71" s="2051"/>
      <c r="F71" s="2051"/>
      <c r="G71" s="2051"/>
      <c r="H71" s="2051"/>
      <c r="I71" s="1947" t="s">
        <v>186</v>
      </c>
      <c r="J71" s="2051"/>
      <c r="K71" s="2051"/>
      <c r="L71" s="2051"/>
      <c r="M71" s="2051"/>
      <c r="N71" s="1947" t="s">
        <v>187</v>
      </c>
      <c r="O71" s="2051"/>
      <c r="P71" s="2051"/>
      <c r="Q71" s="2051"/>
      <c r="R71" s="2051"/>
      <c r="S71" s="1947" t="s">
        <v>135</v>
      </c>
      <c r="T71" s="2051"/>
      <c r="U71" s="2051"/>
      <c r="V71" s="2051"/>
      <c r="W71" s="2051"/>
    </row>
    <row r="72" spans="2:31" ht="40.5" x14ac:dyDescent="0.35">
      <c r="B72" s="1947"/>
      <c r="C72" s="1947"/>
      <c r="D72" s="250" t="s">
        <v>537</v>
      </c>
      <c r="E72" s="250" t="s">
        <v>524</v>
      </c>
      <c r="F72" s="251" t="s">
        <v>538</v>
      </c>
      <c r="G72" s="106" t="s">
        <v>543</v>
      </c>
      <c r="H72" s="250" t="s">
        <v>539</v>
      </c>
      <c r="I72" s="250" t="s">
        <v>537</v>
      </c>
      <c r="J72" s="250" t="s">
        <v>524</v>
      </c>
      <c r="K72" s="251" t="s">
        <v>538</v>
      </c>
      <c r="L72" s="106" t="s">
        <v>543</v>
      </c>
      <c r="M72" s="250" t="s">
        <v>539</v>
      </c>
      <c r="N72" s="250" t="s">
        <v>537</v>
      </c>
      <c r="O72" s="250" t="s">
        <v>524</v>
      </c>
      <c r="P72" s="251" t="s">
        <v>538</v>
      </c>
      <c r="Q72" s="106" t="s">
        <v>543</v>
      </c>
      <c r="R72" s="250" t="s">
        <v>539</v>
      </c>
      <c r="S72" s="250" t="s">
        <v>537</v>
      </c>
      <c r="T72" s="250" t="s">
        <v>524</v>
      </c>
      <c r="U72" s="251" t="s">
        <v>538</v>
      </c>
      <c r="V72" s="106" t="s">
        <v>543</v>
      </c>
      <c r="W72" s="250" t="s">
        <v>539</v>
      </c>
    </row>
    <row r="73" spans="2:31" ht="13.8" customHeight="1" x14ac:dyDescent="0.35">
      <c r="B73" s="217"/>
      <c r="C73" s="217"/>
      <c r="D73" s="217" t="s">
        <v>128</v>
      </c>
      <c r="E73" s="217" t="s">
        <v>129</v>
      </c>
      <c r="F73" s="217" t="s">
        <v>527</v>
      </c>
      <c r="G73" s="217" t="s">
        <v>130</v>
      </c>
      <c r="H73" s="217" t="s">
        <v>544</v>
      </c>
      <c r="I73" s="217" t="s">
        <v>331</v>
      </c>
      <c r="J73" s="217" t="s">
        <v>132</v>
      </c>
      <c r="K73" s="217" t="s">
        <v>133</v>
      </c>
      <c r="L73" s="217" t="s">
        <v>332</v>
      </c>
      <c r="M73" s="217" t="s">
        <v>545</v>
      </c>
      <c r="N73" s="217" t="s">
        <v>528</v>
      </c>
      <c r="O73" s="217" t="s">
        <v>529</v>
      </c>
      <c r="P73" s="217" t="s">
        <v>334</v>
      </c>
      <c r="Q73" s="217" t="s">
        <v>530</v>
      </c>
      <c r="R73" s="217" t="s">
        <v>546</v>
      </c>
      <c r="S73" s="217" t="s">
        <v>532</v>
      </c>
      <c r="T73" s="217" t="s">
        <v>533</v>
      </c>
      <c r="U73" s="217" t="s">
        <v>534</v>
      </c>
      <c r="V73" s="217" t="s">
        <v>535</v>
      </c>
      <c r="W73" s="217" t="s">
        <v>547</v>
      </c>
      <c r="Z73" s="51" t="s">
        <v>1440</v>
      </c>
      <c r="AA73" s="51" t="s">
        <v>1441</v>
      </c>
      <c r="AB73" s="51" t="s">
        <v>1444</v>
      </c>
      <c r="AC73" s="51" t="s">
        <v>1442</v>
      </c>
      <c r="AD73" s="51" t="s">
        <v>1443</v>
      </c>
    </row>
    <row r="74" spans="2:31" x14ac:dyDescent="0.35">
      <c r="B74" s="1133">
        <v>1</v>
      </c>
      <c r="C74" s="1134" t="s">
        <v>1410</v>
      </c>
      <c r="D74" s="763">
        <f>+W60</f>
        <v>0</v>
      </c>
      <c r="E74" s="763">
        <f>+Capitalisation!W64</f>
        <v>0</v>
      </c>
      <c r="F74" s="763"/>
      <c r="G74" s="795"/>
      <c r="H74" s="763">
        <f>+D74+E74-F74-G74</f>
        <v>0</v>
      </c>
      <c r="I74" s="676">
        <f>+H74</f>
        <v>0</v>
      </c>
      <c r="J74" s="676">
        <f>+Capitalisation!Z64</f>
        <v>0</v>
      </c>
      <c r="K74" s="676"/>
      <c r="L74" s="795"/>
      <c r="M74" s="763">
        <f>+I74+J74-K74-L74</f>
        <v>0</v>
      </c>
      <c r="N74" s="676">
        <f>+M74</f>
        <v>0</v>
      </c>
      <c r="O74" s="676">
        <f>+Capitalisation!AC64</f>
        <v>0</v>
      </c>
      <c r="P74" s="676"/>
      <c r="Q74" s="795"/>
      <c r="R74" s="763">
        <f>+N74+O74-P74-Q74</f>
        <v>0</v>
      </c>
      <c r="S74" s="676">
        <f>+R74</f>
        <v>0</v>
      </c>
      <c r="T74" s="676">
        <f>AVERAGE(S30,W30)*Assum!F109</f>
        <v>0</v>
      </c>
      <c r="U74" s="676"/>
      <c r="V74" s="795"/>
      <c r="W74" s="763">
        <f>+S74+T74-U74-V74</f>
        <v>0</v>
      </c>
      <c r="Z74" s="1186">
        <f>IFERROR(+S74/S30,0)</f>
        <v>0</v>
      </c>
      <c r="AA74" s="1186">
        <f>IFERROR(+D88/D44,0)</f>
        <v>0</v>
      </c>
      <c r="AB74" s="1186">
        <f>IFERROR(+I88/I44,0)</f>
        <v>0</v>
      </c>
      <c r="AC74" s="1186">
        <f>IFERROR(+N88/N44,0)</f>
        <v>0</v>
      </c>
      <c r="AD74" s="1186">
        <f>IFERROR(S88/S44,0)</f>
        <v>0</v>
      </c>
      <c r="AE74" s="1186">
        <f>IFERROR(+W88/W44,0)</f>
        <v>0</v>
      </c>
    </row>
    <row r="75" spans="2:31" x14ac:dyDescent="0.35">
      <c r="B75" s="1133">
        <v>2</v>
      </c>
      <c r="C75" s="1134" t="s">
        <v>1409</v>
      </c>
      <c r="D75" s="763">
        <f t="shared" ref="D75:D81" si="34">+W61</f>
        <v>0</v>
      </c>
      <c r="E75" s="763">
        <f>+Capitalisation!W65</f>
        <v>0</v>
      </c>
      <c r="F75" s="763"/>
      <c r="G75" s="795"/>
      <c r="H75" s="763">
        <f t="shared" ref="H75:H81" si="35">+D75+E75-F75-G75</f>
        <v>0</v>
      </c>
      <c r="I75" s="676">
        <f t="shared" ref="I75:I81" si="36">+H75</f>
        <v>0</v>
      </c>
      <c r="J75" s="676">
        <f>+Capitalisation!Z65</f>
        <v>0</v>
      </c>
      <c r="K75" s="676"/>
      <c r="L75" s="795"/>
      <c r="M75" s="763">
        <f t="shared" ref="M75:M81" si="37">+I75+J75-K75-L75</f>
        <v>0</v>
      </c>
      <c r="N75" s="676">
        <f t="shared" ref="N75:N81" si="38">+M75</f>
        <v>0</v>
      </c>
      <c r="O75" s="676">
        <f>+Capitalisation!AC65</f>
        <v>0</v>
      </c>
      <c r="P75" s="676"/>
      <c r="Q75" s="795"/>
      <c r="R75" s="763">
        <f t="shared" ref="R75:R81" si="39">+N75+O75-P75-Q75</f>
        <v>0</v>
      </c>
      <c r="S75" s="676">
        <f t="shared" ref="S75:S81" si="40">+R75</f>
        <v>0</v>
      </c>
      <c r="T75" s="676">
        <f>AVERAGE(S31,W31)*Assum!F110</f>
        <v>0</v>
      </c>
      <c r="U75" s="676"/>
      <c r="V75" s="795"/>
      <c r="W75" s="763">
        <f t="shared" ref="W75:W81" si="41">+S75+T75-U75-V75</f>
        <v>0</v>
      </c>
      <c r="Z75" s="1186">
        <f t="shared" ref="Z75:Z81" si="42">IFERROR(+S75/S31,0)</f>
        <v>0</v>
      </c>
      <c r="AA75" s="1186">
        <f t="shared" ref="AA75:AA81" si="43">IFERROR(+D89/D45,0)</f>
        <v>0</v>
      </c>
      <c r="AB75" s="1186">
        <f t="shared" ref="AB75:AB81" si="44">IFERROR(+I89/I45,0)</f>
        <v>0</v>
      </c>
      <c r="AC75" s="1186">
        <f t="shared" ref="AC75:AC81" si="45">IFERROR(+N89/N45,0)</f>
        <v>0</v>
      </c>
      <c r="AD75" s="1186">
        <f t="shared" ref="AD75:AD81" si="46">IFERROR(S89/S45,0)</f>
        <v>0</v>
      </c>
      <c r="AE75" s="1186">
        <f t="shared" ref="AE75:AE81" si="47">IFERROR(+W89/W45,0)</f>
        <v>0</v>
      </c>
    </row>
    <row r="76" spans="2:31" x14ac:dyDescent="0.35">
      <c r="B76" s="1133">
        <v>3</v>
      </c>
      <c r="C76" s="1134" t="s">
        <v>440</v>
      </c>
      <c r="D76" s="763">
        <f t="shared" si="34"/>
        <v>0</v>
      </c>
      <c r="E76" s="763">
        <f>+Capitalisation!W66</f>
        <v>0</v>
      </c>
      <c r="F76" s="762"/>
      <c r="G76" s="764"/>
      <c r="H76" s="763">
        <f t="shared" si="35"/>
        <v>0</v>
      </c>
      <c r="I76" s="676">
        <f t="shared" si="36"/>
        <v>0</v>
      </c>
      <c r="J76" s="676">
        <f>+Capitalisation!Z66</f>
        <v>0</v>
      </c>
      <c r="K76" s="676"/>
      <c r="L76" s="764"/>
      <c r="M76" s="763">
        <f t="shared" si="37"/>
        <v>0</v>
      </c>
      <c r="N76" s="676">
        <f t="shared" si="38"/>
        <v>0</v>
      </c>
      <c r="O76" s="676">
        <f>+Capitalisation!AC66</f>
        <v>0</v>
      </c>
      <c r="P76" s="676"/>
      <c r="Q76" s="764"/>
      <c r="R76" s="763">
        <f t="shared" si="39"/>
        <v>0</v>
      </c>
      <c r="S76" s="676">
        <f t="shared" si="40"/>
        <v>0</v>
      </c>
      <c r="T76" s="676">
        <f>AVERAGE(S32,W32)*Assum!F111</f>
        <v>0</v>
      </c>
      <c r="U76" s="676"/>
      <c r="V76" s="764"/>
      <c r="W76" s="763">
        <f t="shared" si="41"/>
        <v>0</v>
      </c>
      <c r="Z76" s="1186">
        <f t="shared" si="42"/>
        <v>0</v>
      </c>
      <c r="AA76" s="1186">
        <f t="shared" si="43"/>
        <v>0</v>
      </c>
      <c r="AB76" s="1186">
        <f t="shared" si="44"/>
        <v>0</v>
      </c>
      <c r="AC76" s="1186">
        <f t="shared" si="45"/>
        <v>0</v>
      </c>
      <c r="AD76" s="1186">
        <f t="shared" si="46"/>
        <v>0</v>
      </c>
      <c r="AE76" s="1186">
        <f t="shared" si="47"/>
        <v>0</v>
      </c>
    </row>
    <row r="77" spans="2:31" x14ac:dyDescent="0.35">
      <c r="B77" s="1133">
        <v>4</v>
      </c>
      <c r="C77" s="1134" t="s">
        <v>915</v>
      </c>
      <c r="D77" s="763">
        <f t="shared" si="34"/>
        <v>0.32715908416790218</v>
      </c>
      <c r="E77" s="763">
        <f>+Capitalisation!W67</f>
        <v>0.2191224976225534</v>
      </c>
      <c r="F77" s="763"/>
      <c r="G77" s="795"/>
      <c r="H77" s="763">
        <f t="shared" si="35"/>
        <v>0.54628158179045561</v>
      </c>
      <c r="I77" s="676">
        <f t="shared" si="36"/>
        <v>0.54628158179045561</v>
      </c>
      <c r="J77" s="676">
        <f>+Capitalisation!Z67</f>
        <v>0.2636616335543277</v>
      </c>
      <c r="K77" s="676"/>
      <c r="L77" s="795"/>
      <c r="M77" s="763">
        <f t="shared" si="37"/>
        <v>0.80994321534478331</v>
      </c>
      <c r="N77" s="676">
        <f t="shared" si="38"/>
        <v>0.80994321534478331</v>
      </c>
      <c r="O77" s="676">
        <f>+Capitalisation!AC67</f>
        <v>0.26380312329203259</v>
      </c>
      <c r="P77" s="676"/>
      <c r="Q77" s="795"/>
      <c r="R77" s="763">
        <f t="shared" si="39"/>
        <v>1.0737463386368158</v>
      </c>
      <c r="S77" s="676">
        <f t="shared" si="40"/>
        <v>1.0737463386368158</v>
      </c>
      <c r="T77" s="676">
        <f>AVERAGE(S33,W33)*Assum!F112</f>
        <v>0.17196055773195723</v>
      </c>
      <c r="U77" s="676"/>
      <c r="V77" s="795"/>
      <c r="W77" s="763">
        <f t="shared" si="41"/>
        <v>1.245706896368773</v>
      </c>
      <c r="Z77" s="1186">
        <f t="shared" si="42"/>
        <v>0.32969075832142331</v>
      </c>
      <c r="AA77" s="1186">
        <f t="shared" si="43"/>
        <v>0.38249075832142332</v>
      </c>
      <c r="AB77" s="1186">
        <f t="shared" si="44"/>
        <v>0.43529075832142328</v>
      </c>
      <c r="AC77" s="1186">
        <f t="shared" si="45"/>
        <v>0.48809075832142329</v>
      </c>
      <c r="AD77" s="1186">
        <f t="shared" si="46"/>
        <v>0.5408907583214233</v>
      </c>
      <c r="AE77" s="1186">
        <f t="shared" si="47"/>
        <v>0.59369075832142326</v>
      </c>
    </row>
    <row r="78" spans="2:31" x14ac:dyDescent="0.35">
      <c r="B78" s="1133">
        <v>5</v>
      </c>
      <c r="C78" s="1134" t="s">
        <v>447</v>
      </c>
      <c r="D78" s="763">
        <f t="shared" si="34"/>
        <v>1.02100265E-2</v>
      </c>
      <c r="E78" s="763">
        <f>+Capitalisation!W68</f>
        <v>3.6222421856000001E-3</v>
      </c>
      <c r="F78" s="763"/>
      <c r="G78" s="795"/>
      <c r="H78" s="763">
        <f t="shared" si="35"/>
        <v>1.38322686856E-2</v>
      </c>
      <c r="I78" s="676">
        <f t="shared" si="36"/>
        <v>1.38322686856E-2</v>
      </c>
      <c r="J78" s="676">
        <f>+Capitalisation!Z68</f>
        <v>3.6254174999999999E-3</v>
      </c>
      <c r="K78" s="676"/>
      <c r="L78" s="795"/>
      <c r="M78" s="763">
        <f t="shared" si="37"/>
        <v>1.7457686185600001E-2</v>
      </c>
      <c r="N78" s="676">
        <f t="shared" si="38"/>
        <v>1.7457686185600001E-2</v>
      </c>
      <c r="O78" s="676">
        <f>+Capitalisation!AC68</f>
        <v>3.7448325745089036E-3</v>
      </c>
      <c r="P78" s="676"/>
      <c r="Q78" s="795"/>
      <c r="R78" s="763">
        <f t="shared" si="39"/>
        <v>2.1202518760108903E-2</v>
      </c>
      <c r="S78" s="676">
        <f t="shared" si="40"/>
        <v>2.1202518760108903E-2</v>
      </c>
      <c r="T78" s="676">
        <f>AVERAGE(S34,W34)*Assum!F113</f>
        <v>4.4146543574999997E-3</v>
      </c>
      <c r="U78" s="676"/>
      <c r="V78" s="795"/>
      <c r="W78" s="763">
        <f t="shared" si="41"/>
        <v>2.5617173117608902E-2</v>
      </c>
      <c r="Z78" s="1186">
        <f t="shared" si="42"/>
        <v>0.30401461333768609</v>
      </c>
      <c r="AA78" s="1186">
        <f t="shared" si="43"/>
        <v>0.36731461333768606</v>
      </c>
      <c r="AB78" s="1186">
        <f t="shared" si="44"/>
        <v>0.43061461333768603</v>
      </c>
      <c r="AC78" s="1186">
        <f t="shared" si="45"/>
        <v>0.49391461333768599</v>
      </c>
      <c r="AD78" s="1186">
        <f t="shared" si="46"/>
        <v>0.55721461333768596</v>
      </c>
      <c r="AE78" s="1186">
        <f t="shared" si="47"/>
        <v>0.62051461333768598</v>
      </c>
    </row>
    <row r="79" spans="2:31" x14ac:dyDescent="0.35">
      <c r="B79" s="1133">
        <v>6</v>
      </c>
      <c r="C79" s="1134" t="s">
        <v>879</v>
      </c>
      <c r="D79" s="763">
        <f t="shared" si="34"/>
        <v>2.0200869999999996E-4</v>
      </c>
      <c r="E79" s="763">
        <f>+Capitalisation!W69</f>
        <v>5.641289999999999E-5</v>
      </c>
      <c r="F79" s="763"/>
      <c r="G79" s="795"/>
      <c r="H79" s="763">
        <f t="shared" si="35"/>
        <v>2.5842159999999993E-4</v>
      </c>
      <c r="I79" s="676">
        <f t="shared" si="36"/>
        <v>2.5842159999999993E-4</v>
      </c>
      <c r="J79" s="676">
        <f>+Capitalisation!Z69</f>
        <v>5.641289999999999E-5</v>
      </c>
      <c r="K79" s="676"/>
      <c r="L79" s="795"/>
      <c r="M79" s="763">
        <f t="shared" si="37"/>
        <v>3.148344999999999E-4</v>
      </c>
      <c r="N79" s="676">
        <f t="shared" si="38"/>
        <v>3.148344999999999E-4</v>
      </c>
      <c r="O79" s="676">
        <f>+Capitalisation!AC69</f>
        <v>5.641289999999999E-5</v>
      </c>
      <c r="P79" s="676"/>
      <c r="Q79" s="795"/>
      <c r="R79" s="763">
        <f t="shared" si="39"/>
        <v>3.7124739999999987E-4</v>
      </c>
      <c r="S79" s="676">
        <f t="shared" si="40"/>
        <v>3.7124739999999987E-4</v>
      </c>
      <c r="T79" s="676">
        <f>AVERAGE(S35,W35)*Assum!F114</f>
        <v>6.2680999999999978E-5</v>
      </c>
      <c r="U79" s="676"/>
      <c r="V79" s="795"/>
      <c r="W79" s="763">
        <f t="shared" si="41"/>
        <v>4.3392839999999985E-4</v>
      </c>
      <c r="Z79" s="1186">
        <f t="shared" si="42"/>
        <v>0.5626665656259473</v>
      </c>
      <c r="AA79" s="1186">
        <f t="shared" si="43"/>
        <v>0.65766656562594727</v>
      </c>
      <c r="AB79" s="1186">
        <f t="shared" si="44"/>
        <v>0.75266656562594714</v>
      </c>
      <c r="AC79" s="1186">
        <f t="shared" si="45"/>
        <v>0.81933323229261379</v>
      </c>
      <c r="AD79" s="1186">
        <f t="shared" si="46"/>
        <v>0.88599989895928044</v>
      </c>
      <c r="AE79" s="1186">
        <f t="shared" si="47"/>
        <v>0.9</v>
      </c>
    </row>
    <row r="80" spans="2:31" x14ac:dyDescent="0.4">
      <c r="B80" s="1133">
        <v>7</v>
      </c>
      <c r="C80" s="1135" t="s">
        <v>1269</v>
      </c>
      <c r="D80" s="763">
        <f t="shared" si="34"/>
        <v>1.3478064E-2</v>
      </c>
      <c r="E80" s="763">
        <f>+Capitalisation!W70</f>
        <v>4.5450385000000001E-3</v>
      </c>
      <c r="F80" s="676"/>
      <c r="G80" s="700"/>
      <c r="H80" s="763">
        <f t="shared" si="35"/>
        <v>1.8023102499999999E-2</v>
      </c>
      <c r="I80" s="676">
        <f t="shared" si="36"/>
        <v>1.8023102499999999E-2</v>
      </c>
      <c r="J80" s="676">
        <f>+Capitalisation!Z70</f>
        <v>8.3192044999999999E-3</v>
      </c>
      <c r="K80" s="1161"/>
      <c r="L80" s="700"/>
      <c r="M80" s="763">
        <f t="shared" si="37"/>
        <v>2.6342306999999999E-2</v>
      </c>
      <c r="N80" s="676">
        <f t="shared" si="38"/>
        <v>2.6342306999999999E-2</v>
      </c>
      <c r="O80" s="676">
        <f>+Capitalisation!AC70</f>
        <v>1.090121114372671E-2</v>
      </c>
      <c r="P80" s="1161"/>
      <c r="Q80" s="700"/>
      <c r="R80" s="763">
        <f t="shared" si="39"/>
        <v>3.7243518143726707E-2</v>
      </c>
      <c r="S80" s="676">
        <f t="shared" si="40"/>
        <v>3.7243518143726707E-2</v>
      </c>
      <c r="T80" s="676">
        <f>AVERAGE(S36,W36)*Assum!F115</f>
        <v>1.0785461849999999E-2</v>
      </c>
      <c r="U80" s="1161"/>
      <c r="V80" s="700"/>
      <c r="W80" s="763">
        <f t="shared" si="41"/>
        <v>4.8028979993726705E-2</v>
      </c>
      <c r="Z80" s="1186">
        <f t="shared" si="42"/>
        <v>0.51796833545510212</v>
      </c>
      <c r="AA80" s="1186">
        <f t="shared" si="43"/>
        <v>0.66796833545510215</v>
      </c>
      <c r="AB80" s="1186">
        <f t="shared" si="44"/>
        <v>0.81796833545510206</v>
      </c>
      <c r="AC80" s="1186">
        <f t="shared" si="45"/>
        <v>0.9</v>
      </c>
      <c r="AD80" s="1186">
        <f t="shared" si="46"/>
        <v>0.9</v>
      </c>
      <c r="AE80" s="1186">
        <f t="shared" si="47"/>
        <v>0.9</v>
      </c>
    </row>
    <row r="81" spans="2:38" ht="15.4" x14ac:dyDescent="0.4">
      <c r="B81" s="1133">
        <v>8</v>
      </c>
      <c r="C81" s="1135" t="s">
        <v>1270</v>
      </c>
      <c r="D81" s="763">
        <f t="shared" si="34"/>
        <v>0.20302333</v>
      </c>
      <c r="E81" s="763">
        <f>+Capitalisation!W71</f>
        <v>1.6216652712328799E-3</v>
      </c>
      <c r="F81" s="1162"/>
      <c r="G81" s="796"/>
      <c r="H81" s="763">
        <f t="shared" si="35"/>
        <v>0.20464499527123289</v>
      </c>
      <c r="I81" s="676">
        <f t="shared" si="36"/>
        <v>0.20464499527123289</v>
      </c>
      <c r="J81" s="676">
        <f>+Capitalisation!Z71</f>
        <v>7.1557560000000001E-3</v>
      </c>
      <c r="K81" s="1163"/>
      <c r="L81" s="796"/>
      <c r="M81" s="763">
        <f t="shared" si="37"/>
        <v>0.21180075127123291</v>
      </c>
      <c r="N81" s="676">
        <f t="shared" si="38"/>
        <v>0.21180075127123291</v>
      </c>
      <c r="O81" s="676">
        <f>+Capitalisation!AC71</f>
        <v>7.3861954520547937E-3</v>
      </c>
      <c r="P81" s="1163"/>
      <c r="Q81" s="796"/>
      <c r="R81" s="763">
        <f t="shared" si="39"/>
        <v>0.2191869467232877</v>
      </c>
      <c r="S81" s="676">
        <f t="shared" si="40"/>
        <v>0.2191869467232877</v>
      </c>
      <c r="T81" s="676">
        <f>IF(Z81&lt;70%,AVERAGE(S37,W37)*Assum!$F116,IF(AND(Z81&gt;70%,Z81&lt;90%),MIN(S37*90%-S81,AVERAGE(S37,W37)*Assum!$G$116),0))</f>
        <v>4.3044732767122951E-3</v>
      </c>
      <c r="U81" s="1163"/>
      <c r="V81" s="796"/>
      <c r="W81" s="763">
        <f t="shared" si="41"/>
        <v>0.22349142</v>
      </c>
      <c r="Z81" s="1186">
        <f t="shared" si="42"/>
        <v>0.88266588511970145</v>
      </c>
      <c r="AA81" s="1186">
        <f t="shared" si="43"/>
        <v>0.9</v>
      </c>
      <c r="AB81" s="1186">
        <f t="shared" si="44"/>
        <v>0.9</v>
      </c>
      <c r="AC81" s="1186">
        <f t="shared" si="45"/>
        <v>0.9</v>
      </c>
      <c r="AD81" s="1186">
        <f t="shared" si="46"/>
        <v>0.9</v>
      </c>
      <c r="AE81" s="1186">
        <f t="shared" si="47"/>
        <v>0.9</v>
      </c>
    </row>
    <row r="82" spans="2:38" ht="14.65" x14ac:dyDescent="0.4">
      <c r="B82" s="1136"/>
      <c r="C82" s="1137" t="s">
        <v>164</v>
      </c>
      <c r="D82" s="1160">
        <f>SUM(D74:D81)</f>
        <v>0.5540725133679022</v>
      </c>
      <c r="E82" s="1160">
        <f t="shared" ref="E82:W82" si="48">SUM(E74:E81)</f>
        <v>0.22896785647938628</v>
      </c>
      <c r="F82" s="1160">
        <f t="shared" si="48"/>
        <v>0</v>
      </c>
      <c r="G82" s="1160">
        <f t="shared" si="48"/>
        <v>0</v>
      </c>
      <c r="H82" s="1160">
        <f t="shared" si="48"/>
        <v>0.78304036984728842</v>
      </c>
      <c r="I82" s="1160">
        <f t="shared" si="48"/>
        <v>0.78304036984728842</v>
      </c>
      <c r="J82" s="1160">
        <f t="shared" si="48"/>
        <v>0.28281842445432775</v>
      </c>
      <c r="K82" s="1160">
        <f t="shared" si="48"/>
        <v>0</v>
      </c>
      <c r="L82" s="1160">
        <f t="shared" si="48"/>
        <v>0</v>
      </c>
      <c r="M82" s="1160">
        <f t="shared" si="48"/>
        <v>1.0658587943016162</v>
      </c>
      <c r="N82" s="1160">
        <f t="shared" si="48"/>
        <v>1.0658587943016162</v>
      </c>
      <c r="O82" s="1160">
        <f t="shared" si="48"/>
        <v>0.28589177536232302</v>
      </c>
      <c r="P82" s="1160">
        <f t="shared" si="48"/>
        <v>0</v>
      </c>
      <c r="Q82" s="1160">
        <f t="shared" si="48"/>
        <v>0</v>
      </c>
      <c r="R82" s="1160">
        <f t="shared" si="48"/>
        <v>1.3517505696639389</v>
      </c>
      <c r="S82" s="1160">
        <f t="shared" si="48"/>
        <v>1.3517505696639389</v>
      </c>
      <c r="T82" s="1160">
        <f t="shared" si="48"/>
        <v>0.19152782821616954</v>
      </c>
      <c r="U82" s="1160">
        <f t="shared" si="48"/>
        <v>0</v>
      </c>
      <c r="V82" s="1160">
        <f t="shared" si="48"/>
        <v>0</v>
      </c>
      <c r="W82" s="1160">
        <f t="shared" si="48"/>
        <v>1.5432783978801086</v>
      </c>
    </row>
    <row r="83" spans="2:38" ht="14.65" x14ac:dyDescent="0.4">
      <c r="B83" s="1138"/>
      <c r="C83" s="1139"/>
      <c r="D83" s="84"/>
      <c r="E83" s="84"/>
      <c r="F83" s="84"/>
      <c r="G83" s="84"/>
      <c r="H83" s="84"/>
      <c r="J83" s="39"/>
      <c r="M83" s="39"/>
      <c r="N83" s="39"/>
    </row>
    <row r="84" spans="2:38" x14ac:dyDescent="0.35">
      <c r="B84" s="1947" t="s">
        <v>1</v>
      </c>
      <c r="C84" s="1947" t="s">
        <v>111</v>
      </c>
      <c r="D84" s="2052" t="s">
        <v>124</v>
      </c>
      <c r="E84" s="2052"/>
      <c r="F84" s="2052"/>
      <c r="G84" s="2052"/>
      <c r="H84" s="2052"/>
      <c r="I84" s="2052" t="s">
        <v>125</v>
      </c>
      <c r="J84" s="2052"/>
      <c r="K84" s="2052"/>
      <c r="L84" s="2052"/>
      <c r="M84" s="2052"/>
      <c r="N84" s="2052" t="s">
        <v>126</v>
      </c>
      <c r="O84" s="2052"/>
      <c r="P84" s="2052"/>
      <c r="Q84" s="2052"/>
      <c r="R84" s="2052"/>
      <c r="S84" s="2052" t="s">
        <v>127</v>
      </c>
      <c r="T84" s="2052"/>
      <c r="U84" s="2052"/>
      <c r="V84" s="2052"/>
      <c r="W84" s="2052"/>
    </row>
    <row r="85" spans="2:38" ht="15.4" x14ac:dyDescent="0.35">
      <c r="B85" s="1947"/>
      <c r="C85" s="1947"/>
      <c r="D85" s="2052" t="s">
        <v>135</v>
      </c>
      <c r="E85" s="2055"/>
      <c r="F85" s="2055"/>
      <c r="G85" s="2055"/>
      <c r="H85" s="2055"/>
      <c r="I85" s="2052" t="s">
        <v>135</v>
      </c>
      <c r="J85" s="2055"/>
      <c r="K85" s="2055"/>
      <c r="L85" s="2055"/>
      <c r="M85" s="2055"/>
      <c r="N85" s="2052" t="s">
        <v>135</v>
      </c>
      <c r="O85" s="2055"/>
      <c r="P85" s="2055"/>
      <c r="Q85" s="2055"/>
      <c r="R85" s="2055"/>
      <c r="S85" s="2052" t="s">
        <v>135</v>
      </c>
      <c r="T85" s="2055"/>
      <c r="U85" s="2055"/>
      <c r="V85" s="2055"/>
      <c r="W85" s="2055"/>
      <c r="X85" s="125"/>
      <c r="Y85" s="125"/>
      <c r="Z85" s="125"/>
      <c r="AA85" s="125"/>
      <c r="AB85" s="125"/>
      <c r="AC85" s="125"/>
      <c r="AD85" s="125"/>
      <c r="AE85" s="125"/>
      <c r="AF85" s="125"/>
      <c r="AG85" s="125"/>
      <c r="AH85" s="125"/>
      <c r="AI85" s="125"/>
      <c r="AJ85" s="125"/>
      <c r="AK85" s="125"/>
      <c r="AL85" s="125"/>
    </row>
    <row r="86" spans="2:38" ht="40.5" x14ac:dyDescent="0.35">
      <c r="B86" s="1947"/>
      <c r="C86" s="1947"/>
      <c r="D86" s="250" t="s">
        <v>537</v>
      </c>
      <c r="E86" s="250" t="s">
        <v>524</v>
      </c>
      <c r="F86" s="251" t="s">
        <v>538</v>
      </c>
      <c r="G86" s="106" t="s">
        <v>543</v>
      </c>
      <c r="H86" s="250" t="s">
        <v>539</v>
      </c>
      <c r="I86" s="250" t="s">
        <v>537</v>
      </c>
      <c r="J86" s="250" t="s">
        <v>524</v>
      </c>
      <c r="K86" s="251" t="s">
        <v>538</v>
      </c>
      <c r="L86" s="106" t="s">
        <v>543</v>
      </c>
      <c r="M86" s="250" t="s">
        <v>539</v>
      </c>
      <c r="N86" s="250" t="s">
        <v>537</v>
      </c>
      <c r="O86" s="250" t="s">
        <v>524</v>
      </c>
      <c r="P86" s="251" t="s">
        <v>538</v>
      </c>
      <c r="Q86" s="106" t="s">
        <v>543</v>
      </c>
      <c r="R86" s="250" t="s">
        <v>539</v>
      </c>
      <c r="S86" s="250" t="s">
        <v>537</v>
      </c>
      <c r="T86" s="250" t="s">
        <v>524</v>
      </c>
      <c r="U86" s="251" t="s">
        <v>538</v>
      </c>
      <c r="V86" s="106" t="s">
        <v>543</v>
      </c>
      <c r="W86" s="250" t="s">
        <v>539</v>
      </c>
      <c r="X86" s="125"/>
      <c r="Y86" s="125"/>
      <c r="Z86" s="125"/>
      <c r="AA86" s="125"/>
      <c r="AB86" s="125"/>
      <c r="AC86" s="125"/>
      <c r="AD86" s="125"/>
      <c r="AE86" s="125"/>
      <c r="AF86" s="125"/>
      <c r="AG86" s="125"/>
      <c r="AH86" s="125"/>
      <c r="AI86" s="125"/>
      <c r="AJ86" s="125"/>
      <c r="AK86" s="125"/>
      <c r="AL86" s="125"/>
    </row>
    <row r="87" spans="2:38" ht="15.4" x14ac:dyDescent="0.35">
      <c r="B87" s="217"/>
      <c r="C87" s="217"/>
      <c r="D87" s="217" t="s">
        <v>128</v>
      </c>
      <c r="E87" s="217" t="s">
        <v>129</v>
      </c>
      <c r="F87" s="217" t="s">
        <v>527</v>
      </c>
      <c r="G87" s="217" t="s">
        <v>130</v>
      </c>
      <c r="H87" s="217" t="s">
        <v>544</v>
      </c>
      <c r="I87" s="217" t="s">
        <v>331</v>
      </c>
      <c r="J87" s="217" t="s">
        <v>132</v>
      </c>
      <c r="K87" s="217" t="s">
        <v>133</v>
      </c>
      <c r="L87" s="217" t="s">
        <v>332</v>
      </c>
      <c r="M87" s="217" t="s">
        <v>545</v>
      </c>
      <c r="N87" s="217" t="s">
        <v>528</v>
      </c>
      <c r="O87" s="217" t="s">
        <v>529</v>
      </c>
      <c r="P87" s="217" t="s">
        <v>334</v>
      </c>
      <c r="Q87" s="217" t="s">
        <v>530</v>
      </c>
      <c r="R87" s="217" t="s">
        <v>546</v>
      </c>
      <c r="S87" s="217" t="s">
        <v>532</v>
      </c>
      <c r="T87" s="217" t="s">
        <v>533</v>
      </c>
      <c r="U87" s="217" t="s">
        <v>534</v>
      </c>
      <c r="V87" s="217" t="s">
        <v>535</v>
      </c>
      <c r="W87" s="217" t="s">
        <v>547</v>
      </c>
      <c r="X87" s="125"/>
      <c r="Y87" s="125"/>
      <c r="Z87" s="125"/>
      <c r="AA87" s="125"/>
      <c r="AB87" s="125"/>
      <c r="AC87" s="125"/>
      <c r="AD87" s="125"/>
      <c r="AE87" s="125"/>
      <c r="AF87" s="125"/>
      <c r="AG87" s="125"/>
      <c r="AH87" s="125"/>
      <c r="AI87" s="125"/>
      <c r="AJ87" s="125"/>
      <c r="AK87" s="125"/>
      <c r="AL87" s="125"/>
    </row>
    <row r="88" spans="2:38" x14ac:dyDescent="0.35">
      <c r="B88" s="1133">
        <v>1</v>
      </c>
      <c r="C88" s="1134" t="s">
        <v>1410</v>
      </c>
      <c r="D88" s="1142">
        <f>+W74</f>
        <v>0</v>
      </c>
      <c r="E88" s="676">
        <f>IF(AA74&lt;70%,AVERAGE(D44,H44)*Assum!$F109,IF(AND(AA74&gt;70%,AA74&lt;90%),AVERAGE(D44,H44)*Assum!$G109,0))</f>
        <v>0</v>
      </c>
      <c r="F88" s="52"/>
      <c r="G88" s="372"/>
      <c r="H88" s="761">
        <f>+D88+E88-F88-G88</f>
        <v>0</v>
      </c>
      <c r="I88" s="1141">
        <f>+H88</f>
        <v>0</v>
      </c>
      <c r="J88" s="676">
        <f>IF(AB74&lt;70%,AVERAGE(I44,M44)*Assum!$F109,IF(AND(AB74&gt;70%,AB74&lt;90%),AVERAGE(I44,M44)*Assum!$G109,0))</f>
        <v>0</v>
      </c>
      <c r="K88" s="86"/>
      <c r="L88" s="372"/>
      <c r="M88" s="761">
        <f>+I88+J88-K88-L88</f>
        <v>0</v>
      </c>
      <c r="N88" s="1141">
        <f>+M88</f>
        <v>0</v>
      </c>
      <c r="O88" s="676">
        <f>IF(AC74&lt;70%,AVERAGE(N44,R44)*Assum!$F109,IF(AND(AC74&gt;70%,AC74&lt;90%),MIN(N44*90%-N88,AVERAGE(N44,R44)*Assum!$G109),0))</f>
        <v>0</v>
      </c>
      <c r="P88" s="86"/>
      <c r="Q88" s="372"/>
      <c r="R88" s="761">
        <f>+N88+O88-P88-Q88</f>
        <v>0</v>
      </c>
      <c r="S88" s="1141">
        <f>+R88</f>
        <v>0</v>
      </c>
      <c r="T88" s="676">
        <f>IF(AD74&lt;70%,AVERAGE(S44,W44)*Assum!$F109,IF(AND(AD74&gt;70%,AD74&lt;90%),AVERAGE(S44,W44)*Assum!$G109,0))</f>
        <v>0</v>
      </c>
      <c r="U88" s="86"/>
      <c r="V88" s="372"/>
      <c r="W88" s="761">
        <f>+S88+T88-U88-V88</f>
        <v>0</v>
      </c>
    </row>
    <row r="89" spans="2:38" ht="13.8" customHeight="1" x14ac:dyDescent="0.35">
      <c r="B89" s="1133">
        <v>2</v>
      </c>
      <c r="C89" s="1134" t="s">
        <v>1409</v>
      </c>
      <c r="D89" s="1142">
        <f t="shared" ref="D89:D95" si="49">+W75</f>
        <v>0</v>
      </c>
      <c r="E89" s="676">
        <f>IF(AA75&lt;70%,AVERAGE(D45,H45)*Assum!$F110,IF(AND(AA75&gt;70%,AA75&lt;90%),AVERAGE(D45,H45)*Assum!$G110,0))</f>
        <v>0</v>
      </c>
      <c r="F89" s="52"/>
      <c r="G89" s="372"/>
      <c r="H89" s="761">
        <f t="shared" ref="H89:H95" si="50">+D89+E89-F89-G89</f>
        <v>0</v>
      </c>
      <c r="I89" s="1141">
        <f t="shared" ref="I89:I95" si="51">+H89</f>
        <v>0</v>
      </c>
      <c r="J89" s="676">
        <f>IF(AB75&lt;70%,AVERAGE(I45,M45)*Assum!$F110,IF(AND(AB75&gt;70%,AB75&lt;90%),AVERAGE(I45,M45)*Assum!$G110,0))</f>
        <v>0</v>
      </c>
      <c r="K89" s="86"/>
      <c r="L89" s="372"/>
      <c r="M89" s="761">
        <f t="shared" ref="M89:M95" si="52">+I89+J89-K89-L89</f>
        <v>0</v>
      </c>
      <c r="N89" s="1141">
        <f t="shared" ref="N89:N95" si="53">+M89</f>
        <v>0</v>
      </c>
      <c r="O89" s="676">
        <f>IF(AC75&lt;70%,AVERAGE(N45,R45)*Assum!$F110,IF(AND(AC75&gt;70%,AC75&lt;90%),MIN(N45*90%-N89,AVERAGE(N45,R45)*Assum!$G110),0))</f>
        <v>0</v>
      </c>
      <c r="P89" s="86"/>
      <c r="Q89" s="372"/>
      <c r="R89" s="761">
        <f t="shared" ref="R89:R95" si="54">+N89+O89-P89-Q89</f>
        <v>0</v>
      </c>
      <c r="S89" s="1141">
        <f t="shared" ref="S89:S95" si="55">+R89</f>
        <v>0</v>
      </c>
      <c r="T89" s="676">
        <f>IF(AD75&lt;70%,AVERAGE(S45,W45)*Assum!$F110,IF(AND(AD75&gt;70%,AD75&lt;90%),AVERAGE(S45,W45)*Assum!$G110,0))</f>
        <v>0</v>
      </c>
      <c r="U89" s="86"/>
      <c r="V89" s="372"/>
      <c r="W89" s="761">
        <f t="shared" ref="W89:W95" si="56">+S89+T89-U89-V89</f>
        <v>0</v>
      </c>
    </row>
    <row r="90" spans="2:38" x14ac:dyDescent="0.35">
      <c r="B90" s="1133">
        <v>3</v>
      </c>
      <c r="C90" s="1134" t="s">
        <v>440</v>
      </c>
      <c r="D90" s="1142">
        <f t="shared" si="49"/>
        <v>0</v>
      </c>
      <c r="E90" s="676">
        <f>IF(AA76&lt;70%,AVERAGE(D46,H46)*Assum!$F111,IF(AND(AA76&gt;70%,AA76&lt;90%),AVERAGE(D46,H46)*Assum!$G111,0))</f>
        <v>0</v>
      </c>
      <c r="F90" s="275"/>
      <c r="G90" s="373"/>
      <c r="H90" s="761">
        <f t="shared" si="50"/>
        <v>0</v>
      </c>
      <c r="I90" s="1141">
        <f t="shared" si="51"/>
        <v>0</v>
      </c>
      <c r="J90" s="676">
        <f>IF(AB76&lt;70%,AVERAGE(I46,M46)*Assum!$F111,IF(AND(AB76&gt;70%,AB76&lt;90%),AVERAGE(I46,M46)*Assum!$G111,0))</f>
        <v>0</v>
      </c>
      <c r="K90" s="86"/>
      <c r="L90" s="373"/>
      <c r="M90" s="761">
        <f t="shared" si="52"/>
        <v>0</v>
      </c>
      <c r="N90" s="1141">
        <f t="shared" si="53"/>
        <v>0</v>
      </c>
      <c r="O90" s="676">
        <f>IF(AC76&lt;70%,AVERAGE(N46,R46)*Assum!$F111,IF(AND(AC76&gt;70%,AC76&lt;90%),MIN(N46*90%-N90,AVERAGE(N46,R46)*Assum!$G111),0))</f>
        <v>0</v>
      </c>
      <c r="P90" s="86"/>
      <c r="Q90" s="373"/>
      <c r="R90" s="761">
        <f t="shared" si="54"/>
        <v>0</v>
      </c>
      <c r="S90" s="1141">
        <f t="shared" si="55"/>
        <v>0</v>
      </c>
      <c r="T90" s="676">
        <f>IF(AD76&lt;70%,AVERAGE(S46,W46)*Assum!$F111,IF(AND(AD76&gt;70%,AD76&lt;90%),AVERAGE(S46,W46)*Assum!$G111,0))</f>
        <v>0</v>
      </c>
      <c r="U90" s="86"/>
      <c r="V90" s="373"/>
      <c r="W90" s="761">
        <f t="shared" si="56"/>
        <v>0</v>
      </c>
    </row>
    <row r="91" spans="2:38" x14ac:dyDescent="0.35">
      <c r="B91" s="1133">
        <v>4</v>
      </c>
      <c r="C91" s="1134" t="s">
        <v>915</v>
      </c>
      <c r="D91" s="1142">
        <f t="shared" si="49"/>
        <v>1.245706896368773</v>
      </c>
      <c r="E91" s="676">
        <f>IF(AA77&lt;70%,AVERAGE(D47,H47)*Assum!$F112,IF(AND(AA77&gt;70%,AA77&lt;90%),AVERAGE(D47,H47)*Assum!$G112,0))</f>
        <v>0.17196055773195723</v>
      </c>
      <c r="F91" s="52"/>
      <c r="G91" s="372"/>
      <c r="H91" s="761">
        <f t="shared" si="50"/>
        <v>1.4176674541007301</v>
      </c>
      <c r="I91" s="1141">
        <f t="shared" si="51"/>
        <v>1.4176674541007301</v>
      </c>
      <c r="J91" s="676">
        <f>IF(AB77&lt;70%,AVERAGE(I47,M47)*Assum!$F112,IF(AND(AB77&gt;70%,AB77&lt;90%),AVERAGE(I47,M47)*Assum!$G112,0))</f>
        <v>0.17196055773195723</v>
      </c>
      <c r="K91" s="86"/>
      <c r="L91" s="372"/>
      <c r="M91" s="761">
        <f t="shared" si="52"/>
        <v>1.5896280118326873</v>
      </c>
      <c r="N91" s="1141">
        <f t="shared" si="53"/>
        <v>1.5896280118326873</v>
      </c>
      <c r="O91" s="676">
        <f>IF(AC77&lt;70%,AVERAGE(N47,R47)*Assum!$F112,IF(AND(AC77&gt;70%,AC77&lt;90%),MIN(N47*90%-N91,AVERAGE(N47,R47)*Assum!$G112),0))</f>
        <v>0.17196055773195723</v>
      </c>
      <c r="P91" s="86"/>
      <c r="Q91" s="372"/>
      <c r="R91" s="761">
        <f t="shared" si="54"/>
        <v>1.7615885695646445</v>
      </c>
      <c r="S91" s="1141">
        <f t="shared" si="55"/>
        <v>1.7615885695646445</v>
      </c>
      <c r="T91" s="676">
        <f>IF(AD77&lt;70%,AVERAGE(S47,W47)*Assum!$F112,IF(AND(AD77&gt;70%,AD77&lt;90%),AVERAGE(S47,W47)*Assum!$G112,0))</f>
        <v>0.17196055773195723</v>
      </c>
      <c r="U91" s="86"/>
      <c r="V91" s="372"/>
      <c r="W91" s="761">
        <f t="shared" si="56"/>
        <v>1.9335491272966017</v>
      </c>
    </row>
    <row r="92" spans="2:38" x14ac:dyDescent="0.35">
      <c r="B92" s="1133">
        <v>5</v>
      </c>
      <c r="C92" s="1134" t="s">
        <v>447</v>
      </c>
      <c r="D92" s="1142">
        <f t="shared" si="49"/>
        <v>2.5617173117608902E-2</v>
      </c>
      <c r="E92" s="676">
        <f>IF(AA78&lt;70%,AVERAGE(D48,H48)*Assum!$F113,IF(AND(AA78&gt;70%,AA78&lt;90%),AVERAGE(D48,H48)*Assum!$G113,0))</f>
        <v>4.4146543574999997E-3</v>
      </c>
      <c r="F92" s="52"/>
      <c r="G92" s="372"/>
      <c r="H92" s="761">
        <f t="shared" si="50"/>
        <v>3.0031827475108901E-2</v>
      </c>
      <c r="I92" s="1141">
        <f t="shared" si="51"/>
        <v>3.0031827475108901E-2</v>
      </c>
      <c r="J92" s="676">
        <f>IF(AB78&lt;70%,AVERAGE(I48,M48)*Assum!$F113,IF(AND(AB78&gt;70%,AB78&lt;90%),AVERAGE(I48,M48)*Assum!$G113,0))</f>
        <v>4.4146543574999997E-3</v>
      </c>
      <c r="K92" s="86"/>
      <c r="L92" s="372"/>
      <c r="M92" s="761">
        <f t="shared" si="52"/>
        <v>3.44464818326089E-2</v>
      </c>
      <c r="N92" s="1141">
        <f t="shared" si="53"/>
        <v>3.44464818326089E-2</v>
      </c>
      <c r="O92" s="676">
        <f>IF(AC78&lt;70%,AVERAGE(N48,R48)*Assum!$F113,IF(AND(AC78&gt;70%,AC78&lt;90%),MIN(N48*90%-N92,AVERAGE(N48,R48)*Assum!$G113),0))</f>
        <v>4.4146543574999997E-3</v>
      </c>
      <c r="P92" s="86"/>
      <c r="Q92" s="372"/>
      <c r="R92" s="761">
        <f t="shared" si="54"/>
        <v>3.8861136190108898E-2</v>
      </c>
      <c r="S92" s="1141">
        <f t="shared" si="55"/>
        <v>3.8861136190108898E-2</v>
      </c>
      <c r="T92" s="676">
        <f>IF(AD78&lt;70%,AVERAGE(S48,W48)*Assum!$F113,IF(AND(AD78&gt;70%,AD78&lt;90%),AVERAGE(S48,W48)*Assum!$G113,0))</f>
        <v>4.4146543574999997E-3</v>
      </c>
      <c r="U92" s="86"/>
      <c r="V92" s="372"/>
      <c r="W92" s="761">
        <f t="shared" si="56"/>
        <v>4.3275790547608897E-2</v>
      </c>
    </row>
    <row r="93" spans="2:38" x14ac:dyDescent="0.35">
      <c r="B93" s="1133">
        <v>6</v>
      </c>
      <c r="C93" s="1134" t="s">
        <v>879</v>
      </c>
      <c r="D93" s="1142">
        <f t="shared" si="49"/>
        <v>4.3392839999999985E-4</v>
      </c>
      <c r="E93" s="676">
        <f>IF(AA79&lt;70%,AVERAGE(D49,H49)*Assum!$F114,IF(AND(AA79&gt;70%,AA79&lt;90%),AVERAGE(D49,H49)*Assum!$G114,0))</f>
        <v>6.2680999999999978E-5</v>
      </c>
      <c r="F93" s="52"/>
      <c r="G93" s="372"/>
      <c r="H93" s="761">
        <f t="shared" si="50"/>
        <v>4.9660939999999977E-4</v>
      </c>
      <c r="I93" s="1141">
        <f t="shared" si="51"/>
        <v>4.9660939999999977E-4</v>
      </c>
      <c r="J93" s="676">
        <f>IF(AB79&lt;70%,AVERAGE(I49,M49)*Assum!$F114,IF(AND(AB79&gt;70%,AB79&lt;90%),AVERAGE(I49,M49)*Assum!$G114,0))</f>
        <v>4.398666666666665E-5</v>
      </c>
      <c r="K93" s="86"/>
      <c r="L93" s="372"/>
      <c r="M93" s="761">
        <f t="shared" si="52"/>
        <v>5.4059606666666639E-4</v>
      </c>
      <c r="N93" s="1141">
        <f t="shared" si="53"/>
        <v>5.4059606666666639E-4</v>
      </c>
      <c r="O93" s="676">
        <f>IF(AC79&lt;70%,AVERAGE(N49,R49)*Assum!$F114,IF(AND(AC79&gt;70%,AC79&lt;90%),MIN(N49*90%-N93,AVERAGE(N49,R49)*Assum!$G114),0))</f>
        <v>4.398666666666665E-5</v>
      </c>
      <c r="P93" s="86"/>
      <c r="Q93" s="372"/>
      <c r="R93" s="761">
        <f t="shared" si="54"/>
        <v>5.8458273333333302E-4</v>
      </c>
      <c r="S93" s="1141">
        <f t="shared" si="55"/>
        <v>5.8458273333333302E-4</v>
      </c>
      <c r="T93" s="676">
        <f>IF(AD79&lt;70%,AVERAGE(S49,W49)*Assum!$F114,IF(AND(AD79&gt;70%,AD79&lt;90%),MIN(S49*90%-S93,AVERAGE(S49,W49)*Assum!$G114),0))</f>
        <v>9.2372666666667687E-6</v>
      </c>
      <c r="U93" s="86"/>
      <c r="V93" s="372"/>
      <c r="W93" s="761">
        <f t="shared" si="56"/>
        <v>5.9381999999999979E-4</v>
      </c>
    </row>
    <row r="94" spans="2:38" x14ac:dyDescent="0.4">
      <c r="B94" s="1133">
        <v>7</v>
      </c>
      <c r="C94" s="1135" t="s">
        <v>1269</v>
      </c>
      <c r="D94" s="1142">
        <f t="shared" si="49"/>
        <v>4.8028979993726705E-2</v>
      </c>
      <c r="E94" s="676">
        <f>IF(AA80&lt;70%,AVERAGE(D50,H50)*Assum!$F115,IF(AND(AA80&gt;70%,AA80&lt;90%),MIN(D50*90%-D94,AVERAGE(D50,H50)*Assum!$G115),0))</f>
        <v>1.0785461849999999E-2</v>
      </c>
      <c r="F94" s="86"/>
      <c r="G94" s="374"/>
      <c r="H94" s="761">
        <f t="shared" si="50"/>
        <v>5.8814441843726702E-2</v>
      </c>
      <c r="I94" s="1141">
        <f t="shared" si="51"/>
        <v>5.8814441843726702E-2</v>
      </c>
      <c r="J94" s="676">
        <f>IF(AB80&lt;70%,AVERAGE(I50,M50)*Assum!$F115,IF(AND(AB80&gt;70%,AB80&lt;90%),MIN(I50*90%-I94,AVERAGE(I50,M50)*Assum!$G115),0))</f>
        <v>5.898329256273295E-3</v>
      </c>
      <c r="K94" s="370"/>
      <c r="L94" s="374"/>
      <c r="M94" s="761">
        <f t="shared" si="52"/>
        <v>6.4712771099999997E-2</v>
      </c>
      <c r="N94" s="1141">
        <f t="shared" si="53"/>
        <v>6.4712771099999997E-2</v>
      </c>
      <c r="O94" s="676">
        <f>IF(AC80&lt;70%,AVERAGE(N50,R50)*Assum!$F115,IF(AND(AC80&gt;70%,AC80&lt;90%),MIN(N50*90%-N94,AVERAGE(N50,R50)*Assum!$G115),0))</f>
        <v>0</v>
      </c>
      <c r="P94" s="370"/>
      <c r="Q94" s="374"/>
      <c r="R94" s="761">
        <f t="shared" si="54"/>
        <v>6.4712771099999997E-2</v>
      </c>
      <c r="S94" s="1141">
        <f t="shared" si="55"/>
        <v>6.4712771099999997E-2</v>
      </c>
      <c r="T94" s="676">
        <f>IF(AD80&lt;70%,AVERAGE(S50,W50)*Assum!$F115,IF(AND(AD80&gt;70%,AD80&lt;90%),AVERAGE(S50,W50)*Assum!$G115,0))</f>
        <v>0</v>
      </c>
      <c r="U94" s="370"/>
      <c r="V94" s="374"/>
      <c r="W94" s="761">
        <f t="shared" si="56"/>
        <v>6.4712771099999997E-2</v>
      </c>
    </row>
    <row r="95" spans="2:38" ht="15.4" x14ac:dyDescent="0.4">
      <c r="B95" s="1133">
        <v>8</v>
      </c>
      <c r="C95" s="1135" t="s">
        <v>1270</v>
      </c>
      <c r="D95" s="1142">
        <f t="shared" si="49"/>
        <v>0.22349142</v>
      </c>
      <c r="E95" s="676">
        <f>IF(AA81&lt;70%,AVERAGE(D51,H51)*Assum!$F116,IF(AND(AA81&gt;70%,AA81&lt;90%),AVERAGE(D51,H51)*Assum!$G116,0))</f>
        <v>0</v>
      </c>
      <c r="F95" s="94"/>
      <c r="G95" s="375"/>
      <c r="H95" s="761">
        <f t="shared" si="50"/>
        <v>0.22349142</v>
      </c>
      <c r="I95" s="1141">
        <f t="shared" si="51"/>
        <v>0.22349142</v>
      </c>
      <c r="J95" s="676">
        <f>IF(AB81&lt;70%,AVERAGE(I51,M51)*Assum!$F116,IF(AND(AB81&gt;70%,AB81&lt;90%),AVERAGE(I51,M51)*Assum!$G116,0))</f>
        <v>0</v>
      </c>
      <c r="K95" s="371"/>
      <c r="L95" s="375"/>
      <c r="M95" s="761">
        <f t="shared" si="52"/>
        <v>0.22349142</v>
      </c>
      <c r="N95" s="1141">
        <f t="shared" si="53"/>
        <v>0.22349142</v>
      </c>
      <c r="O95" s="676">
        <f>IF(AC81&lt;70%,AVERAGE(N51,R51)*Assum!$F116,IF(AND(AC81&gt;70%,AC81&lt;90%),MIN(N51*90%-N95,AVERAGE(N51,R51)*Assum!$G116),0))</f>
        <v>0</v>
      </c>
      <c r="P95" s="371"/>
      <c r="Q95" s="375"/>
      <c r="R95" s="761">
        <f t="shared" si="54"/>
        <v>0.22349142</v>
      </c>
      <c r="S95" s="1141">
        <f t="shared" si="55"/>
        <v>0.22349142</v>
      </c>
      <c r="T95" s="676">
        <f>IF(AD81&lt;70%,AVERAGE(S51,W51)*Assum!$F116,IF(AND(AD81&gt;70%,AD81&lt;90%),AVERAGE(S51,W51)*Assum!$G116,0))</f>
        <v>0</v>
      </c>
      <c r="U95" s="371"/>
      <c r="V95" s="375"/>
      <c r="W95" s="761">
        <f t="shared" si="56"/>
        <v>0.22349142</v>
      </c>
    </row>
    <row r="96" spans="2:38" ht="14.65" x14ac:dyDescent="0.4">
      <c r="B96" s="1136"/>
      <c r="C96" s="1137" t="s">
        <v>164</v>
      </c>
      <c r="D96" s="1140">
        <f>SUM(D88:D95)</f>
        <v>1.5432783978801086</v>
      </c>
      <c r="E96" s="1140">
        <f t="shared" ref="E96:W96" si="57">SUM(E88:E95)</f>
        <v>0.18722335493945724</v>
      </c>
      <c r="F96" s="1140">
        <f t="shared" si="57"/>
        <v>0</v>
      </c>
      <c r="G96" s="1140">
        <f t="shared" si="57"/>
        <v>0</v>
      </c>
      <c r="H96" s="1140">
        <f t="shared" si="57"/>
        <v>1.7305017528195656</v>
      </c>
      <c r="I96" s="1140">
        <f t="shared" si="57"/>
        <v>1.7305017528195656</v>
      </c>
      <c r="J96" s="1140">
        <f t="shared" si="57"/>
        <v>0.18231752801239717</v>
      </c>
      <c r="K96" s="1140">
        <f t="shared" si="57"/>
        <v>0</v>
      </c>
      <c r="L96" s="1140">
        <f t="shared" si="57"/>
        <v>0</v>
      </c>
      <c r="M96" s="1140">
        <f t="shared" si="57"/>
        <v>1.9128192808319628</v>
      </c>
      <c r="N96" s="1140">
        <f t="shared" si="57"/>
        <v>1.9128192808319628</v>
      </c>
      <c r="O96" s="1140">
        <f t="shared" si="57"/>
        <v>0.17641919875612389</v>
      </c>
      <c r="P96" s="1140">
        <f t="shared" si="57"/>
        <v>0</v>
      </c>
      <c r="Q96" s="1140">
        <f t="shared" si="57"/>
        <v>0</v>
      </c>
      <c r="R96" s="1140">
        <f t="shared" si="57"/>
        <v>2.0892384795880865</v>
      </c>
      <c r="S96" s="1140">
        <f t="shared" si="57"/>
        <v>2.0892384795880865</v>
      </c>
      <c r="T96" s="1140">
        <f t="shared" si="57"/>
        <v>0.17638444935612388</v>
      </c>
      <c r="U96" s="1140">
        <f t="shared" si="57"/>
        <v>0</v>
      </c>
      <c r="V96" s="1140">
        <f t="shared" si="57"/>
        <v>0</v>
      </c>
      <c r="W96" s="1140">
        <f t="shared" si="57"/>
        <v>2.2656229289442109</v>
      </c>
    </row>
    <row r="97" spans="2:23" ht="14.65" x14ac:dyDescent="0.4">
      <c r="B97" s="1138"/>
      <c r="C97" s="1139"/>
      <c r="D97" s="84"/>
      <c r="E97" s="84"/>
      <c r="F97" s="84"/>
      <c r="G97" s="84"/>
      <c r="H97" s="84"/>
      <c r="J97" s="39"/>
      <c r="M97" s="39"/>
      <c r="N97" s="39"/>
    </row>
    <row r="98" spans="2:23" x14ac:dyDescent="0.35">
      <c r="B98" s="83" t="s">
        <v>540</v>
      </c>
    </row>
    <row r="99" spans="2:23" x14ac:dyDescent="0.35">
      <c r="J99" s="39"/>
      <c r="M99" s="39"/>
      <c r="N99" s="39"/>
      <c r="R99" s="368"/>
      <c r="W99" s="160" t="s">
        <v>110</v>
      </c>
    </row>
    <row r="100" spans="2:23" x14ac:dyDescent="0.35">
      <c r="B100" s="1947" t="s">
        <v>1</v>
      </c>
      <c r="C100" s="1947" t="s">
        <v>111</v>
      </c>
      <c r="D100" s="2052" t="s">
        <v>196</v>
      </c>
      <c r="E100" s="2052"/>
      <c r="F100" s="2052"/>
      <c r="G100" s="2052"/>
      <c r="H100" s="2052"/>
      <c r="I100" s="1947" t="s">
        <v>197</v>
      </c>
      <c r="J100" s="1947"/>
      <c r="K100" s="1947"/>
      <c r="L100" s="1947"/>
      <c r="M100" s="1947"/>
      <c r="N100" s="1947" t="s">
        <v>198</v>
      </c>
      <c r="O100" s="1947"/>
      <c r="P100" s="1947"/>
      <c r="Q100" s="1947"/>
      <c r="R100" s="1947"/>
      <c r="S100" s="1947" t="s">
        <v>199</v>
      </c>
      <c r="T100" s="1947"/>
      <c r="U100" s="1947"/>
      <c r="V100" s="1947"/>
      <c r="W100" s="1947"/>
    </row>
    <row r="101" spans="2:23" x14ac:dyDescent="0.35">
      <c r="B101" s="1947"/>
      <c r="C101" s="1947"/>
      <c r="D101" s="1947" t="s">
        <v>186</v>
      </c>
      <c r="E101" s="2051"/>
      <c r="F101" s="2051"/>
      <c r="G101" s="2051"/>
      <c r="H101" s="2051"/>
      <c r="I101" s="1947" t="s">
        <v>186</v>
      </c>
      <c r="J101" s="2051"/>
      <c r="K101" s="2051"/>
      <c r="L101" s="2051"/>
      <c r="M101" s="2051"/>
      <c r="N101" s="1947" t="s">
        <v>186</v>
      </c>
      <c r="O101" s="2051"/>
      <c r="P101" s="2051"/>
      <c r="Q101" s="2051"/>
      <c r="R101" s="2051"/>
      <c r="S101" s="1947" t="s">
        <v>186</v>
      </c>
      <c r="T101" s="2051"/>
      <c r="U101" s="2051"/>
      <c r="V101" s="2051"/>
      <c r="W101" s="2051"/>
    </row>
    <row r="102" spans="2:23" ht="27" x14ac:dyDescent="0.35">
      <c r="B102" s="1947"/>
      <c r="C102" s="1947"/>
      <c r="D102" s="250" t="s">
        <v>523</v>
      </c>
      <c r="E102" s="250" t="s">
        <v>524</v>
      </c>
      <c r="F102" s="251" t="s">
        <v>538</v>
      </c>
      <c r="G102" s="106" t="s">
        <v>543</v>
      </c>
      <c r="H102" s="250" t="s">
        <v>526</v>
      </c>
      <c r="I102" s="250" t="s">
        <v>523</v>
      </c>
      <c r="J102" s="250" t="s">
        <v>524</v>
      </c>
      <c r="K102" s="251" t="s">
        <v>538</v>
      </c>
      <c r="L102" s="106" t="s">
        <v>543</v>
      </c>
      <c r="M102" s="250" t="s">
        <v>526</v>
      </c>
      <c r="N102" s="250" t="s">
        <v>523</v>
      </c>
      <c r="O102" s="250" t="s">
        <v>524</v>
      </c>
      <c r="P102" s="251" t="s">
        <v>538</v>
      </c>
      <c r="Q102" s="106" t="s">
        <v>543</v>
      </c>
      <c r="R102" s="250" t="s">
        <v>526</v>
      </c>
      <c r="S102" s="250" t="s">
        <v>523</v>
      </c>
      <c r="T102" s="250" t="s">
        <v>524</v>
      </c>
      <c r="U102" s="251" t="s">
        <v>538</v>
      </c>
      <c r="V102" s="106" t="s">
        <v>543</v>
      </c>
      <c r="W102" s="250" t="s">
        <v>526</v>
      </c>
    </row>
    <row r="103" spans="2:23" x14ac:dyDescent="0.35">
      <c r="B103" s="217"/>
      <c r="C103" s="217"/>
      <c r="D103" s="217" t="s">
        <v>128</v>
      </c>
      <c r="E103" s="217" t="s">
        <v>129</v>
      </c>
      <c r="F103" s="217" t="s">
        <v>527</v>
      </c>
      <c r="G103" s="217" t="s">
        <v>130</v>
      </c>
      <c r="H103" s="217" t="s">
        <v>544</v>
      </c>
      <c r="I103" s="217" t="s">
        <v>331</v>
      </c>
      <c r="J103" s="217" t="s">
        <v>132</v>
      </c>
      <c r="K103" s="217" t="s">
        <v>133</v>
      </c>
      <c r="L103" s="217" t="s">
        <v>332</v>
      </c>
      <c r="M103" s="217" t="s">
        <v>545</v>
      </c>
      <c r="N103" s="217" t="s">
        <v>528</v>
      </c>
      <c r="O103" s="217" t="s">
        <v>529</v>
      </c>
      <c r="P103" s="217" t="s">
        <v>334</v>
      </c>
      <c r="Q103" s="217" t="s">
        <v>530</v>
      </c>
      <c r="R103" s="217" t="s">
        <v>546</v>
      </c>
      <c r="S103" s="217" t="s">
        <v>532</v>
      </c>
      <c r="T103" s="217" t="s">
        <v>533</v>
      </c>
      <c r="U103" s="217" t="s">
        <v>534</v>
      </c>
      <c r="V103" s="217" t="s">
        <v>535</v>
      </c>
      <c r="W103" s="217" t="s">
        <v>547</v>
      </c>
    </row>
    <row r="104" spans="2:23" ht="13.8" customHeight="1" x14ac:dyDescent="0.35">
      <c r="B104" s="1133">
        <v>1</v>
      </c>
      <c r="C104" s="1134" t="s">
        <v>1410</v>
      </c>
      <c r="D104" s="1148">
        <f>+D16-D60</f>
        <v>0</v>
      </c>
      <c r="E104" s="1148">
        <f>+E16-E60</f>
        <v>0</v>
      </c>
      <c r="F104" s="1148">
        <f>+F16-F60</f>
        <v>0</v>
      </c>
      <c r="G104" s="1148">
        <f>+G16-G60</f>
        <v>0</v>
      </c>
      <c r="H104" s="760">
        <f>+D104+E104-F104-G104</f>
        <v>0</v>
      </c>
      <c r="I104" s="1146">
        <f>+H104</f>
        <v>0</v>
      </c>
      <c r="J104" s="1148">
        <f t="shared" ref="J104:L111" si="58">+J16-J60</f>
        <v>0</v>
      </c>
      <c r="K104" s="1148">
        <f t="shared" si="58"/>
        <v>0</v>
      </c>
      <c r="L104" s="1148">
        <f t="shared" si="58"/>
        <v>0</v>
      </c>
      <c r="M104" s="760">
        <f>+I104+J104-K104-L104</f>
        <v>0</v>
      </c>
      <c r="N104" s="1146">
        <f>+M104</f>
        <v>0</v>
      </c>
      <c r="O104" s="1148">
        <f t="shared" ref="O104:Q111" si="59">+O16-O60</f>
        <v>0</v>
      </c>
      <c r="P104" s="1148">
        <f t="shared" si="59"/>
        <v>0</v>
      </c>
      <c r="Q104" s="1148">
        <f t="shared" si="59"/>
        <v>0</v>
      </c>
      <c r="R104" s="760">
        <f>+N104+O104-P104-Q104</f>
        <v>0</v>
      </c>
      <c r="S104" s="1146">
        <f>+R104</f>
        <v>0</v>
      </c>
      <c r="T104" s="1148">
        <f t="shared" ref="T104:V111" si="60">+T16-T60</f>
        <v>0</v>
      </c>
      <c r="U104" s="1148">
        <f t="shared" si="60"/>
        <v>0</v>
      </c>
      <c r="V104" s="1148">
        <f t="shared" si="60"/>
        <v>0</v>
      </c>
      <c r="W104" s="760">
        <f>+S104+T104-U104-V104</f>
        <v>0</v>
      </c>
    </row>
    <row r="105" spans="2:23" x14ac:dyDescent="0.35">
      <c r="B105" s="1133">
        <v>2</v>
      </c>
      <c r="C105" s="1134" t="s">
        <v>1409</v>
      </c>
      <c r="D105" s="1148">
        <f t="shared" ref="D105:G111" si="61">+D17-D61</f>
        <v>0</v>
      </c>
      <c r="E105" s="1148">
        <f t="shared" si="61"/>
        <v>0</v>
      </c>
      <c r="F105" s="1148">
        <f t="shared" si="61"/>
        <v>0</v>
      </c>
      <c r="G105" s="1148">
        <f t="shared" si="61"/>
        <v>0</v>
      </c>
      <c r="H105" s="760">
        <f t="shared" ref="H105:H111" si="62">+D105+E105-F105-G105</f>
        <v>0</v>
      </c>
      <c r="I105" s="1146">
        <f t="shared" ref="I105:I111" si="63">+H105</f>
        <v>0</v>
      </c>
      <c r="J105" s="1148">
        <f t="shared" si="58"/>
        <v>0</v>
      </c>
      <c r="K105" s="1148">
        <f t="shared" si="58"/>
        <v>0</v>
      </c>
      <c r="L105" s="1148">
        <f t="shared" si="58"/>
        <v>0</v>
      </c>
      <c r="M105" s="760">
        <f t="shared" ref="M105:M111" si="64">+I105+J105-K105-L105</f>
        <v>0</v>
      </c>
      <c r="N105" s="1146">
        <f t="shared" ref="N105:N111" si="65">+M105</f>
        <v>0</v>
      </c>
      <c r="O105" s="1148">
        <f t="shared" si="59"/>
        <v>0</v>
      </c>
      <c r="P105" s="1148">
        <f t="shared" si="59"/>
        <v>0</v>
      </c>
      <c r="Q105" s="1148">
        <f t="shared" si="59"/>
        <v>0</v>
      </c>
      <c r="R105" s="760">
        <f t="shared" ref="R105:R111" si="66">+N105+O105-P105-Q105</f>
        <v>0</v>
      </c>
      <c r="S105" s="1146">
        <f t="shared" ref="S105:S111" si="67">+R105</f>
        <v>0</v>
      </c>
      <c r="T105" s="1148">
        <f t="shared" si="60"/>
        <v>0</v>
      </c>
      <c r="U105" s="1148">
        <f t="shared" si="60"/>
        <v>0</v>
      </c>
      <c r="V105" s="1148">
        <f t="shared" si="60"/>
        <v>0</v>
      </c>
      <c r="W105" s="760">
        <f t="shared" ref="W105:W111" si="68">+S105+T105-U105-V105</f>
        <v>0</v>
      </c>
    </row>
    <row r="106" spans="2:23" x14ac:dyDescent="0.35">
      <c r="B106" s="1133">
        <v>3</v>
      </c>
      <c r="C106" s="1134" t="s">
        <v>440</v>
      </c>
      <c r="D106" s="1148">
        <f t="shared" si="61"/>
        <v>0</v>
      </c>
      <c r="E106" s="1148">
        <f t="shared" si="61"/>
        <v>0</v>
      </c>
      <c r="F106" s="1148">
        <f t="shared" si="61"/>
        <v>0</v>
      </c>
      <c r="G106" s="1148">
        <f t="shared" si="61"/>
        <v>0</v>
      </c>
      <c r="H106" s="760">
        <f t="shared" si="62"/>
        <v>0</v>
      </c>
      <c r="I106" s="1146">
        <f t="shared" si="63"/>
        <v>0</v>
      </c>
      <c r="J106" s="1148">
        <f t="shared" si="58"/>
        <v>0</v>
      </c>
      <c r="K106" s="1148">
        <f t="shared" si="58"/>
        <v>0</v>
      </c>
      <c r="L106" s="1148">
        <f t="shared" si="58"/>
        <v>0</v>
      </c>
      <c r="M106" s="760">
        <f t="shared" si="64"/>
        <v>0</v>
      </c>
      <c r="N106" s="1146">
        <f t="shared" si="65"/>
        <v>0</v>
      </c>
      <c r="O106" s="1148">
        <f t="shared" si="59"/>
        <v>0</v>
      </c>
      <c r="P106" s="1148">
        <f t="shared" si="59"/>
        <v>0</v>
      </c>
      <c r="Q106" s="1148">
        <f t="shared" si="59"/>
        <v>0</v>
      </c>
      <c r="R106" s="760">
        <f t="shared" si="66"/>
        <v>0</v>
      </c>
      <c r="S106" s="1146">
        <f t="shared" si="67"/>
        <v>0</v>
      </c>
      <c r="T106" s="1148">
        <f t="shared" si="60"/>
        <v>0</v>
      </c>
      <c r="U106" s="1148">
        <f t="shared" si="60"/>
        <v>0</v>
      </c>
      <c r="V106" s="1148">
        <f t="shared" si="60"/>
        <v>0</v>
      </c>
      <c r="W106" s="760">
        <f t="shared" si="68"/>
        <v>0</v>
      </c>
    </row>
    <row r="107" spans="2:23" x14ac:dyDescent="0.35">
      <c r="B107" s="1133">
        <v>4</v>
      </c>
      <c r="C107" s="1134" t="s">
        <v>915</v>
      </c>
      <c r="D107" s="1148">
        <f t="shared" si="61"/>
        <v>0</v>
      </c>
      <c r="E107" s="1148">
        <f t="shared" si="61"/>
        <v>0.4846664</v>
      </c>
      <c r="F107" s="1148">
        <f t="shared" si="61"/>
        <v>0</v>
      </c>
      <c r="G107" s="1148">
        <f t="shared" si="61"/>
        <v>0</v>
      </c>
      <c r="H107" s="760">
        <f t="shared" si="62"/>
        <v>0.4846664</v>
      </c>
      <c r="I107" s="1146">
        <f t="shared" si="63"/>
        <v>0.4846664</v>
      </c>
      <c r="J107" s="1148">
        <f t="shared" si="58"/>
        <v>1.2376033567199838</v>
      </c>
      <c r="K107" s="1148">
        <f t="shared" si="58"/>
        <v>0</v>
      </c>
      <c r="L107" s="1148">
        <f t="shared" si="58"/>
        <v>0</v>
      </c>
      <c r="M107" s="760">
        <f t="shared" si="64"/>
        <v>1.7222697567199838</v>
      </c>
      <c r="N107" s="1146">
        <f t="shared" si="65"/>
        <v>1.7222697567199838</v>
      </c>
      <c r="O107" s="1148">
        <f t="shared" si="59"/>
        <v>-0.14002539125307428</v>
      </c>
      <c r="P107" s="1148">
        <f t="shared" si="59"/>
        <v>0</v>
      </c>
      <c r="Q107" s="1148">
        <f t="shared" si="59"/>
        <v>0</v>
      </c>
      <c r="R107" s="760">
        <f t="shared" si="66"/>
        <v>1.5822443654669096</v>
      </c>
      <c r="S107" s="1146">
        <f t="shared" si="67"/>
        <v>1.5822443654669096</v>
      </c>
      <c r="T107" s="1148">
        <f t="shared" si="60"/>
        <v>0.13982327228862096</v>
      </c>
      <c r="U107" s="1148">
        <f t="shared" si="60"/>
        <v>0</v>
      </c>
      <c r="V107" s="1148">
        <f t="shared" si="60"/>
        <v>0</v>
      </c>
      <c r="W107" s="760">
        <f t="shared" si="68"/>
        <v>1.7220676377555306</v>
      </c>
    </row>
    <row r="108" spans="2:23" x14ac:dyDescent="0.35">
      <c r="B108" s="1133">
        <v>5</v>
      </c>
      <c r="C108" s="1134" t="s">
        <v>447</v>
      </c>
      <c r="D108" s="1148">
        <f t="shared" si="61"/>
        <v>0</v>
      </c>
      <c r="E108" s="1148">
        <f t="shared" si="61"/>
        <v>4.7085650000000007E-2</v>
      </c>
      <c r="F108" s="1148">
        <f t="shared" si="61"/>
        <v>0</v>
      </c>
      <c r="G108" s="1148">
        <f t="shared" si="61"/>
        <v>0</v>
      </c>
      <c r="H108" s="760">
        <f t="shared" si="62"/>
        <v>4.7085650000000007E-2</v>
      </c>
      <c r="I108" s="1146">
        <f t="shared" si="63"/>
        <v>4.7085650000000007E-2</v>
      </c>
      <c r="J108" s="1148">
        <f t="shared" si="58"/>
        <v>-2.9093255000000001E-3</v>
      </c>
      <c r="K108" s="1148">
        <f t="shared" si="58"/>
        <v>0</v>
      </c>
      <c r="L108" s="1148">
        <f t="shared" si="58"/>
        <v>0</v>
      </c>
      <c r="M108" s="760">
        <f t="shared" si="64"/>
        <v>4.417632450000001E-2</v>
      </c>
      <c r="N108" s="1146">
        <f t="shared" si="65"/>
        <v>4.417632450000001E-2</v>
      </c>
      <c r="O108" s="1148">
        <f t="shared" si="59"/>
        <v>-2.9093255000000001E-3</v>
      </c>
      <c r="P108" s="1148">
        <f t="shared" si="59"/>
        <v>0</v>
      </c>
      <c r="Q108" s="1148">
        <f t="shared" si="59"/>
        <v>0</v>
      </c>
      <c r="R108" s="760">
        <f t="shared" si="66"/>
        <v>4.1266999000000013E-2</v>
      </c>
      <c r="S108" s="1146">
        <f t="shared" si="67"/>
        <v>4.1266999000000013E-2</v>
      </c>
      <c r="T108" s="1148">
        <f t="shared" si="60"/>
        <v>9.6045744999999991E-3</v>
      </c>
      <c r="U108" s="1148">
        <f t="shared" si="60"/>
        <v>0</v>
      </c>
      <c r="V108" s="1148">
        <f t="shared" si="60"/>
        <v>0</v>
      </c>
      <c r="W108" s="760">
        <f t="shared" si="68"/>
        <v>5.087157350000001E-2</v>
      </c>
    </row>
    <row r="109" spans="2:23" x14ac:dyDescent="0.35">
      <c r="B109" s="1133">
        <v>6</v>
      </c>
      <c r="C109" s="1134" t="s">
        <v>879</v>
      </c>
      <c r="D109" s="1148">
        <f t="shared" si="61"/>
        <v>0</v>
      </c>
      <c r="E109" s="1148">
        <f t="shared" si="61"/>
        <v>6.2702999999999978E-4</v>
      </c>
      <c r="F109" s="1148">
        <f t="shared" si="61"/>
        <v>0</v>
      </c>
      <c r="G109" s="1148">
        <f t="shared" si="61"/>
        <v>0</v>
      </c>
      <c r="H109" s="760">
        <f t="shared" si="62"/>
        <v>6.2702999999999978E-4</v>
      </c>
      <c r="I109" s="1146">
        <f t="shared" si="63"/>
        <v>6.2702999999999978E-4</v>
      </c>
      <c r="J109" s="1148">
        <f t="shared" si="58"/>
        <v>-5.641289999999999E-5</v>
      </c>
      <c r="K109" s="1148">
        <f t="shared" si="58"/>
        <v>0</v>
      </c>
      <c r="L109" s="1148">
        <f t="shared" si="58"/>
        <v>0</v>
      </c>
      <c r="M109" s="760">
        <f t="shared" si="64"/>
        <v>5.7061709999999975E-4</v>
      </c>
      <c r="N109" s="1146">
        <f t="shared" si="65"/>
        <v>5.7061709999999975E-4</v>
      </c>
      <c r="O109" s="1148">
        <f t="shared" si="59"/>
        <v>-5.641289999999999E-5</v>
      </c>
      <c r="P109" s="1148">
        <f t="shared" si="59"/>
        <v>0</v>
      </c>
      <c r="Q109" s="1148">
        <f t="shared" si="59"/>
        <v>0</v>
      </c>
      <c r="R109" s="760">
        <f t="shared" si="66"/>
        <v>5.1420419999999973E-4</v>
      </c>
      <c r="S109" s="1146">
        <f t="shared" si="67"/>
        <v>5.1420419999999973E-4</v>
      </c>
      <c r="T109" s="1148">
        <f t="shared" si="60"/>
        <v>-5.641289999999999E-5</v>
      </c>
      <c r="U109" s="1148">
        <f t="shared" si="60"/>
        <v>0</v>
      </c>
      <c r="V109" s="1148">
        <f t="shared" si="60"/>
        <v>0</v>
      </c>
      <c r="W109" s="760">
        <f t="shared" si="68"/>
        <v>4.5779129999999976E-4</v>
      </c>
    </row>
    <row r="110" spans="2:23" x14ac:dyDescent="0.4">
      <c r="B110" s="1133">
        <v>7</v>
      </c>
      <c r="C110" s="1135" t="s">
        <v>1269</v>
      </c>
      <c r="D110" s="1148">
        <f t="shared" si="61"/>
        <v>0</v>
      </c>
      <c r="E110" s="1148">
        <f t="shared" si="61"/>
        <v>1.1740197499999999E-2</v>
      </c>
      <c r="F110" s="1148">
        <f t="shared" si="61"/>
        <v>0</v>
      </c>
      <c r="G110" s="1148">
        <f t="shared" si="61"/>
        <v>0</v>
      </c>
      <c r="H110" s="760">
        <f t="shared" si="62"/>
        <v>1.1740197499999999E-2</v>
      </c>
      <c r="I110" s="1146">
        <f t="shared" si="63"/>
        <v>1.1740197499999999E-2</v>
      </c>
      <c r="J110" s="1148">
        <f t="shared" si="58"/>
        <v>-2.538373E-3</v>
      </c>
      <c r="K110" s="1148">
        <f t="shared" si="58"/>
        <v>0</v>
      </c>
      <c r="L110" s="1148">
        <f t="shared" si="58"/>
        <v>0</v>
      </c>
      <c r="M110" s="760">
        <f t="shared" si="64"/>
        <v>9.2018244999999988E-3</v>
      </c>
      <c r="N110" s="1146">
        <f t="shared" si="65"/>
        <v>9.2018244999999988E-3</v>
      </c>
      <c r="O110" s="1148">
        <f t="shared" si="59"/>
        <v>6.6084609999999995E-3</v>
      </c>
      <c r="P110" s="1148">
        <f t="shared" si="59"/>
        <v>0</v>
      </c>
      <c r="Q110" s="1148">
        <f t="shared" si="59"/>
        <v>0</v>
      </c>
      <c r="R110" s="760">
        <f t="shared" si="66"/>
        <v>1.58102855E-2</v>
      </c>
      <c r="S110" s="1146">
        <f t="shared" si="67"/>
        <v>1.58102855E-2</v>
      </c>
      <c r="T110" s="1148">
        <f t="shared" si="60"/>
        <v>-3.1612839999999994E-3</v>
      </c>
      <c r="U110" s="1148">
        <f t="shared" si="60"/>
        <v>0</v>
      </c>
      <c r="V110" s="1148">
        <f t="shared" si="60"/>
        <v>0</v>
      </c>
      <c r="W110" s="760">
        <f t="shared" si="68"/>
        <v>1.26490015E-2</v>
      </c>
    </row>
    <row r="111" spans="2:23" x14ac:dyDescent="0.4">
      <c r="B111" s="1133">
        <v>8</v>
      </c>
      <c r="C111" s="1135" t="s">
        <v>1270</v>
      </c>
      <c r="D111" s="1148">
        <f t="shared" si="61"/>
        <v>0</v>
      </c>
      <c r="E111" s="1148">
        <f t="shared" si="61"/>
        <v>0.1843764</v>
      </c>
      <c r="F111" s="1148">
        <f t="shared" si="61"/>
        <v>0</v>
      </c>
      <c r="G111" s="1148">
        <f t="shared" si="61"/>
        <v>0</v>
      </c>
      <c r="H111" s="760">
        <f t="shared" si="62"/>
        <v>0.1843764</v>
      </c>
      <c r="I111" s="1146">
        <f t="shared" si="63"/>
        <v>0.1843764</v>
      </c>
      <c r="J111" s="1148">
        <f t="shared" si="58"/>
        <v>-5.7788909999999999E-2</v>
      </c>
      <c r="K111" s="1148">
        <f t="shared" si="58"/>
        <v>0</v>
      </c>
      <c r="L111" s="1148">
        <f t="shared" si="58"/>
        <v>0</v>
      </c>
      <c r="M111" s="760">
        <f t="shared" si="64"/>
        <v>0.12658749</v>
      </c>
      <c r="N111" s="1146">
        <f t="shared" si="65"/>
        <v>0.12658749</v>
      </c>
      <c r="O111" s="1148">
        <f t="shared" si="59"/>
        <v>-5.7788909999999999E-2</v>
      </c>
      <c r="P111" s="1148">
        <f t="shared" si="59"/>
        <v>0</v>
      </c>
      <c r="Q111" s="1148">
        <f t="shared" si="59"/>
        <v>0</v>
      </c>
      <c r="R111" s="760">
        <f t="shared" si="66"/>
        <v>6.8798579999999998E-2</v>
      </c>
      <c r="S111" s="1146">
        <f t="shared" si="67"/>
        <v>6.8798579999999998E-2</v>
      </c>
      <c r="T111" s="1148">
        <f t="shared" si="60"/>
        <v>-5.7788909999999999E-2</v>
      </c>
      <c r="U111" s="1148">
        <f t="shared" si="60"/>
        <v>0</v>
      </c>
      <c r="V111" s="1148">
        <f t="shared" si="60"/>
        <v>0</v>
      </c>
      <c r="W111" s="760">
        <f t="shared" si="68"/>
        <v>1.1009669999999999E-2</v>
      </c>
    </row>
    <row r="112" spans="2:23" ht="14.65" x14ac:dyDescent="0.4">
      <c r="B112" s="1136"/>
      <c r="C112" s="1137" t="s">
        <v>164</v>
      </c>
      <c r="D112" s="1147">
        <f>SUM(D104:D111)</f>
        <v>0</v>
      </c>
      <c r="E112" s="1147">
        <f t="shared" ref="E112:W112" si="69">SUM(E104:E111)</f>
        <v>0.72849567749999999</v>
      </c>
      <c r="F112" s="1147">
        <f t="shared" si="69"/>
        <v>0</v>
      </c>
      <c r="G112" s="1147">
        <f t="shared" si="69"/>
        <v>0</v>
      </c>
      <c r="H112" s="1147">
        <f t="shared" si="69"/>
        <v>0.72849567749999999</v>
      </c>
      <c r="I112" s="1147">
        <f t="shared" si="69"/>
        <v>0.72849567749999999</v>
      </c>
      <c r="J112" s="1147">
        <f t="shared" si="69"/>
        <v>1.174310335319984</v>
      </c>
      <c r="K112" s="1147">
        <f t="shared" si="69"/>
        <v>0</v>
      </c>
      <c r="L112" s="1147">
        <f t="shared" si="69"/>
        <v>0</v>
      </c>
      <c r="M112" s="1147">
        <f t="shared" si="69"/>
        <v>1.9028060128199837</v>
      </c>
      <c r="N112" s="1147">
        <f t="shared" si="69"/>
        <v>1.9028060128199837</v>
      </c>
      <c r="O112" s="1147">
        <f t="shared" si="69"/>
        <v>-0.19417157865307427</v>
      </c>
      <c r="P112" s="1147">
        <f t="shared" si="69"/>
        <v>0</v>
      </c>
      <c r="Q112" s="1147">
        <f t="shared" si="69"/>
        <v>0</v>
      </c>
      <c r="R112" s="1147">
        <f t="shared" si="69"/>
        <v>1.7086344341669095</v>
      </c>
      <c r="S112" s="1147">
        <f t="shared" si="69"/>
        <v>1.7086344341669095</v>
      </c>
      <c r="T112" s="1147">
        <f t="shared" si="69"/>
        <v>8.8421239888620967E-2</v>
      </c>
      <c r="U112" s="1147">
        <f t="shared" si="69"/>
        <v>0</v>
      </c>
      <c r="V112" s="1147">
        <f t="shared" si="69"/>
        <v>0</v>
      </c>
      <c r="W112" s="1147">
        <f t="shared" si="69"/>
        <v>1.7970556740555306</v>
      </c>
    </row>
    <row r="113" spans="2:23" ht="14.65" x14ac:dyDescent="0.4">
      <c r="B113" s="1138"/>
      <c r="C113" s="1139"/>
      <c r="D113" s="84"/>
      <c r="E113" s="84"/>
      <c r="F113" s="84"/>
      <c r="G113" s="84"/>
      <c r="H113" s="84"/>
      <c r="J113" s="39"/>
      <c r="M113" s="39"/>
      <c r="N113" s="39"/>
    </row>
    <row r="114" spans="2:23" x14ac:dyDescent="0.35">
      <c r="B114" s="1947" t="s">
        <v>1</v>
      </c>
      <c r="C114" s="1947" t="s">
        <v>111</v>
      </c>
      <c r="D114" s="2053" t="s">
        <v>112</v>
      </c>
      <c r="E114" s="2053"/>
      <c r="F114" s="2053"/>
      <c r="G114" s="2053"/>
      <c r="H114" s="2053"/>
      <c r="I114" s="2053" t="s">
        <v>113</v>
      </c>
      <c r="J114" s="2053"/>
      <c r="K114" s="2053"/>
      <c r="L114" s="2053"/>
      <c r="M114" s="2053"/>
      <c r="N114" s="2054" t="s">
        <v>114</v>
      </c>
      <c r="O114" s="2054"/>
      <c r="P114" s="2054"/>
      <c r="Q114" s="2054"/>
      <c r="R114" s="2054"/>
      <c r="S114" s="2054" t="s">
        <v>123</v>
      </c>
      <c r="T114" s="2054"/>
      <c r="U114" s="2054"/>
      <c r="V114" s="2054"/>
      <c r="W114" s="2054"/>
    </row>
    <row r="115" spans="2:23" x14ac:dyDescent="0.35">
      <c r="B115" s="1947"/>
      <c r="C115" s="1947"/>
      <c r="D115" s="1947" t="s">
        <v>186</v>
      </c>
      <c r="E115" s="2051"/>
      <c r="F115" s="2051"/>
      <c r="G115" s="2051"/>
      <c r="H115" s="2051"/>
      <c r="I115" s="1947" t="s">
        <v>186</v>
      </c>
      <c r="J115" s="2051"/>
      <c r="K115" s="2051"/>
      <c r="L115" s="2051"/>
      <c r="M115" s="2051"/>
      <c r="N115" s="1947" t="s">
        <v>187</v>
      </c>
      <c r="O115" s="2051"/>
      <c r="P115" s="2051"/>
      <c r="Q115" s="2051"/>
      <c r="R115" s="2051"/>
      <c r="S115" s="1947" t="s">
        <v>135</v>
      </c>
      <c r="T115" s="2051"/>
      <c r="U115" s="2051"/>
      <c r="V115" s="2051"/>
      <c r="W115" s="2051"/>
    </row>
    <row r="116" spans="2:23" ht="27" x14ac:dyDescent="0.35">
      <c r="B116" s="1947"/>
      <c r="C116" s="1947"/>
      <c r="D116" s="250" t="s">
        <v>523</v>
      </c>
      <c r="E116" s="250" t="s">
        <v>524</v>
      </c>
      <c r="F116" s="251" t="s">
        <v>538</v>
      </c>
      <c r="G116" s="106" t="s">
        <v>543</v>
      </c>
      <c r="H116" s="250" t="s">
        <v>526</v>
      </c>
      <c r="I116" s="250" t="s">
        <v>523</v>
      </c>
      <c r="J116" s="250" t="s">
        <v>524</v>
      </c>
      <c r="K116" s="251" t="s">
        <v>538</v>
      </c>
      <c r="L116" s="106" t="s">
        <v>543</v>
      </c>
      <c r="M116" s="250" t="s">
        <v>526</v>
      </c>
      <c r="N116" s="250" t="s">
        <v>523</v>
      </c>
      <c r="O116" s="250" t="s">
        <v>524</v>
      </c>
      <c r="P116" s="251" t="s">
        <v>538</v>
      </c>
      <c r="Q116" s="106" t="s">
        <v>543</v>
      </c>
      <c r="R116" s="250" t="s">
        <v>526</v>
      </c>
      <c r="S116" s="250" t="s">
        <v>523</v>
      </c>
      <c r="T116" s="250" t="s">
        <v>524</v>
      </c>
      <c r="U116" s="251" t="s">
        <v>538</v>
      </c>
      <c r="V116" s="106" t="s">
        <v>543</v>
      </c>
      <c r="W116" s="250" t="s">
        <v>526</v>
      </c>
    </row>
    <row r="117" spans="2:23" x14ac:dyDescent="0.35">
      <c r="B117" s="217"/>
      <c r="C117" s="217"/>
      <c r="D117" s="217" t="s">
        <v>128</v>
      </c>
      <c r="E117" s="217" t="s">
        <v>129</v>
      </c>
      <c r="F117" s="217" t="s">
        <v>527</v>
      </c>
      <c r="G117" s="217" t="s">
        <v>130</v>
      </c>
      <c r="H117" s="217" t="s">
        <v>544</v>
      </c>
      <c r="I117" s="217" t="s">
        <v>331</v>
      </c>
      <c r="J117" s="217" t="s">
        <v>132</v>
      </c>
      <c r="K117" s="217" t="s">
        <v>133</v>
      </c>
      <c r="L117" s="217" t="s">
        <v>332</v>
      </c>
      <c r="M117" s="217" t="s">
        <v>545</v>
      </c>
      <c r="N117" s="217" t="s">
        <v>528</v>
      </c>
      <c r="O117" s="217" t="s">
        <v>529</v>
      </c>
      <c r="P117" s="217" t="s">
        <v>334</v>
      </c>
      <c r="Q117" s="217" t="s">
        <v>530</v>
      </c>
      <c r="R117" s="217" t="s">
        <v>546</v>
      </c>
      <c r="S117" s="217" t="s">
        <v>532</v>
      </c>
      <c r="T117" s="217" t="s">
        <v>533</v>
      </c>
      <c r="U117" s="217" t="s">
        <v>534</v>
      </c>
      <c r="V117" s="217" t="s">
        <v>535</v>
      </c>
      <c r="W117" s="217" t="s">
        <v>547</v>
      </c>
    </row>
    <row r="118" spans="2:23" ht="13.8" customHeight="1" x14ac:dyDescent="0.35">
      <c r="B118" s="1133">
        <v>1</v>
      </c>
      <c r="C118" s="1134" t="s">
        <v>1410</v>
      </c>
      <c r="D118" s="1142">
        <f>+W104</f>
        <v>0</v>
      </c>
      <c r="E118" s="1148">
        <f t="shared" ref="E118:G125" si="70">+E30-E74</f>
        <v>0</v>
      </c>
      <c r="F118" s="1148">
        <f t="shared" si="70"/>
        <v>0</v>
      </c>
      <c r="G118" s="1148">
        <f t="shared" si="70"/>
        <v>0</v>
      </c>
      <c r="H118" s="760">
        <f>+D118+E118-F118-G118</f>
        <v>0</v>
      </c>
      <c r="I118" s="1146">
        <f>+H118</f>
        <v>0</v>
      </c>
      <c r="J118" s="1148">
        <f t="shared" ref="J118:L125" si="71">+J30-J74</f>
        <v>0</v>
      </c>
      <c r="K118" s="1148">
        <f t="shared" si="71"/>
        <v>0</v>
      </c>
      <c r="L118" s="1148">
        <f t="shared" si="71"/>
        <v>0</v>
      </c>
      <c r="M118" s="760">
        <f>+I118+J118-K118-L118</f>
        <v>0</v>
      </c>
      <c r="N118" s="1146">
        <f>+M118</f>
        <v>0</v>
      </c>
      <c r="O118" s="1148">
        <f t="shared" ref="O118:Q125" si="72">+O30-O74</f>
        <v>0</v>
      </c>
      <c r="P118" s="1148">
        <f t="shared" si="72"/>
        <v>0</v>
      </c>
      <c r="Q118" s="1148">
        <f t="shared" si="72"/>
        <v>0</v>
      </c>
      <c r="R118" s="760">
        <f>+N118+O118-P118-Q118</f>
        <v>0</v>
      </c>
      <c r="S118" s="1146">
        <f>+R118</f>
        <v>0</v>
      </c>
      <c r="T118" s="1148">
        <f t="shared" ref="T118:V125" si="73">+T30-T74</f>
        <v>0</v>
      </c>
      <c r="U118" s="1148">
        <f t="shared" si="73"/>
        <v>0</v>
      </c>
      <c r="V118" s="1148">
        <f t="shared" si="73"/>
        <v>0</v>
      </c>
      <c r="W118" s="760">
        <f>+S118+T118-U118-V118</f>
        <v>0</v>
      </c>
    </row>
    <row r="119" spans="2:23" x14ac:dyDescent="0.35">
      <c r="B119" s="1133">
        <v>2</v>
      </c>
      <c r="C119" s="1134" t="s">
        <v>1409</v>
      </c>
      <c r="D119" s="1142">
        <f t="shared" ref="D119:D125" si="74">+W105</f>
        <v>0</v>
      </c>
      <c r="E119" s="1148">
        <f t="shared" si="70"/>
        <v>0</v>
      </c>
      <c r="F119" s="1148">
        <f t="shared" si="70"/>
        <v>0</v>
      </c>
      <c r="G119" s="1148">
        <f t="shared" si="70"/>
        <v>0</v>
      </c>
      <c r="H119" s="760">
        <f t="shared" ref="H119:H125" si="75">+D119+E119-F119-G119</f>
        <v>0</v>
      </c>
      <c r="I119" s="1146">
        <f t="shared" ref="I119:I125" si="76">+H119</f>
        <v>0</v>
      </c>
      <c r="J119" s="1148">
        <f t="shared" si="71"/>
        <v>0</v>
      </c>
      <c r="K119" s="1148">
        <f t="shared" si="71"/>
        <v>0</v>
      </c>
      <c r="L119" s="1148">
        <f t="shared" si="71"/>
        <v>0</v>
      </c>
      <c r="M119" s="760">
        <f t="shared" ref="M119:M125" si="77">+I119+J119-K119-L119</f>
        <v>0</v>
      </c>
      <c r="N119" s="1146">
        <f t="shared" ref="N119:N125" si="78">+M119</f>
        <v>0</v>
      </c>
      <c r="O119" s="1148">
        <f t="shared" si="72"/>
        <v>0</v>
      </c>
      <c r="P119" s="1148">
        <f t="shared" si="72"/>
        <v>0</v>
      </c>
      <c r="Q119" s="1148">
        <f t="shared" si="72"/>
        <v>0</v>
      </c>
      <c r="R119" s="760">
        <f t="shared" ref="R119:R125" si="79">+N119+O119-P119-Q119</f>
        <v>0</v>
      </c>
      <c r="S119" s="1146">
        <f t="shared" ref="S119:S125" si="80">+R119</f>
        <v>0</v>
      </c>
      <c r="T119" s="1148">
        <f t="shared" si="73"/>
        <v>0</v>
      </c>
      <c r="U119" s="1148">
        <f t="shared" si="73"/>
        <v>0</v>
      </c>
      <c r="V119" s="1148">
        <f t="shared" si="73"/>
        <v>0</v>
      </c>
      <c r="W119" s="760">
        <f t="shared" ref="W119:W125" si="81">+S119+T119-U119-V119</f>
        <v>0</v>
      </c>
    </row>
    <row r="120" spans="2:23" x14ac:dyDescent="0.35">
      <c r="B120" s="1133">
        <v>3</v>
      </c>
      <c r="C120" s="1134" t="s">
        <v>440</v>
      </c>
      <c r="D120" s="1142">
        <f t="shared" si="74"/>
        <v>0</v>
      </c>
      <c r="E120" s="1148">
        <f t="shared" si="70"/>
        <v>0</v>
      </c>
      <c r="F120" s="1148">
        <f t="shared" si="70"/>
        <v>0</v>
      </c>
      <c r="G120" s="1148">
        <f t="shared" si="70"/>
        <v>0</v>
      </c>
      <c r="H120" s="760">
        <f t="shared" si="75"/>
        <v>0</v>
      </c>
      <c r="I120" s="1146">
        <f t="shared" si="76"/>
        <v>0</v>
      </c>
      <c r="J120" s="1148">
        <f t="shared" si="71"/>
        <v>0</v>
      </c>
      <c r="K120" s="1148">
        <f t="shared" si="71"/>
        <v>0</v>
      </c>
      <c r="L120" s="1148">
        <f t="shared" si="71"/>
        <v>0</v>
      </c>
      <c r="M120" s="760">
        <f t="shared" si="77"/>
        <v>0</v>
      </c>
      <c r="N120" s="1146">
        <f t="shared" si="78"/>
        <v>0</v>
      </c>
      <c r="O120" s="1148">
        <f t="shared" si="72"/>
        <v>0</v>
      </c>
      <c r="P120" s="1148">
        <f t="shared" si="72"/>
        <v>0</v>
      </c>
      <c r="Q120" s="1148">
        <f t="shared" si="72"/>
        <v>0</v>
      </c>
      <c r="R120" s="760">
        <f t="shared" si="79"/>
        <v>0</v>
      </c>
      <c r="S120" s="1146">
        <f t="shared" si="80"/>
        <v>0</v>
      </c>
      <c r="T120" s="1148">
        <f t="shared" si="73"/>
        <v>0</v>
      </c>
      <c r="U120" s="1148">
        <f t="shared" si="73"/>
        <v>0</v>
      </c>
      <c r="V120" s="1148">
        <f t="shared" si="73"/>
        <v>0</v>
      </c>
      <c r="W120" s="760">
        <f t="shared" si="81"/>
        <v>0</v>
      </c>
    </row>
    <row r="121" spans="2:23" x14ac:dyDescent="0.35">
      <c r="B121" s="1133">
        <v>4</v>
      </c>
      <c r="C121" s="1134" t="s">
        <v>915</v>
      </c>
      <c r="D121" s="1142">
        <f t="shared" si="74"/>
        <v>1.7220676377555306</v>
      </c>
      <c r="E121" s="1148">
        <f t="shared" si="70"/>
        <v>0.97782411037744654</v>
      </c>
      <c r="F121" s="1148">
        <f t="shared" si="70"/>
        <v>0</v>
      </c>
      <c r="G121" s="1148">
        <f t="shared" si="70"/>
        <v>0</v>
      </c>
      <c r="H121" s="760">
        <f t="shared" si="75"/>
        <v>2.6998917481329769</v>
      </c>
      <c r="I121" s="1146">
        <f t="shared" si="76"/>
        <v>2.6998917481329769</v>
      </c>
      <c r="J121" s="1148">
        <f t="shared" si="71"/>
        <v>-0.2530062185543277</v>
      </c>
      <c r="K121" s="1148">
        <f t="shared" si="71"/>
        <v>0</v>
      </c>
      <c r="L121" s="1148">
        <f t="shared" si="71"/>
        <v>0</v>
      </c>
      <c r="M121" s="760">
        <f t="shared" si="77"/>
        <v>2.4468855295786494</v>
      </c>
      <c r="N121" s="1146">
        <f t="shared" si="78"/>
        <v>2.4468855295786494</v>
      </c>
      <c r="O121" s="1148">
        <f t="shared" si="72"/>
        <v>-0.26380312329203259</v>
      </c>
      <c r="P121" s="1148">
        <f t="shared" si="72"/>
        <v>0</v>
      </c>
      <c r="Q121" s="1148">
        <f t="shared" si="72"/>
        <v>0</v>
      </c>
      <c r="R121" s="760">
        <f t="shared" si="79"/>
        <v>2.1830824062866165</v>
      </c>
      <c r="S121" s="1146">
        <f t="shared" si="80"/>
        <v>2.1830824062866165</v>
      </c>
      <c r="T121" s="1148">
        <f t="shared" si="73"/>
        <v>-0.17196055773195723</v>
      </c>
      <c r="U121" s="1148">
        <f t="shared" si="73"/>
        <v>0</v>
      </c>
      <c r="V121" s="1148">
        <f t="shared" si="73"/>
        <v>0</v>
      </c>
      <c r="W121" s="760">
        <f t="shared" si="81"/>
        <v>2.0111218485546591</v>
      </c>
    </row>
    <row r="122" spans="2:23" x14ac:dyDescent="0.35">
      <c r="B122" s="1133">
        <v>5</v>
      </c>
      <c r="C122" s="1134" t="s">
        <v>447</v>
      </c>
      <c r="D122" s="1142">
        <f t="shared" si="74"/>
        <v>5.087157350000001E-2</v>
      </c>
      <c r="E122" s="1148">
        <f t="shared" si="70"/>
        <v>-3.6222421856000001E-3</v>
      </c>
      <c r="F122" s="1148">
        <f t="shared" si="70"/>
        <v>0</v>
      </c>
      <c r="G122" s="1148">
        <f t="shared" si="70"/>
        <v>0</v>
      </c>
      <c r="H122" s="760">
        <f t="shared" si="75"/>
        <v>4.7249331314400012E-2</v>
      </c>
      <c r="I122" s="1146">
        <f t="shared" si="76"/>
        <v>4.7249331314400012E-2</v>
      </c>
      <c r="J122" s="1148">
        <f t="shared" si="71"/>
        <v>-2.7753674999999997E-3</v>
      </c>
      <c r="K122" s="1148">
        <f t="shared" si="71"/>
        <v>0</v>
      </c>
      <c r="L122" s="1148">
        <f t="shared" si="71"/>
        <v>0</v>
      </c>
      <c r="M122" s="760">
        <f t="shared" si="77"/>
        <v>4.4473963814400011E-2</v>
      </c>
      <c r="N122" s="1146">
        <f t="shared" si="78"/>
        <v>4.4473963814400011E-2</v>
      </c>
      <c r="O122" s="1148">
        <f t="shared" si="72"/>
        <v>4.0652924254910953E-3</v>
      </c>
      <c r="P122" s="1148">
        <f t="shared" si="72"/>
        <v>0</v>
      </c>
      <c r="Q122" s="1148">
        <f t="shared" si="72"/>
        <v>0</v>
      </c>
      <c r="R122" s="760">
        <f t="shared" si="79"/>
        <v>4.853925623989111E-2</v>
      </c>
      <c r="S122" s="1146">
        <f t="shared" si="80"/>
        <v>4.853925623989111E-2</v>
      </c>
      <c r="T122" s="1148">
        <f t="shared" si="73"/>
        <v>-4.4146543574999997E-3</v>
      </c>
      <c r="U122" s="1148">
        <f t="shared" si="73"/>
        <v>0</v>
      </c>
      <c r="V122" s="1148">
        <f t="shared" si="73"/>
        <v>0</v>
      </c>
      <c r="W122" s="760">
        <f t="shared" si="81"/>
        <v>4.4124601882391111E-2</v>
      </c>
    </row>
    <row r="123" spans="2:23" x14ac:dyDescent="0.35">
      <c r="B123" s="1133">
        <v>6</v>
      </c>
      <c r="C123" s="1134" t="s">
        <v>879</v>
      </c>
      <c r="D123" s="1142">
        <f t="shared" si="74"/>
        <v>4.5779129999999976E-4</v>
      </c>
      <c r="E123" s="1148">
        <f t="shared" si="70"/>
        <v>-5.641289999999999E-5</v>
      </c>
      <c r="F123" s="1148">
        <f t="shared" si="70"/>
        <v>0</v>
      </c>
      <c r="G123" s="1148">
        <f t="shared" si="70"/>
        <v>0</v>
      </c>
      <c r="H123" s="760">
        <f t="shared" si="75"/>
        <v>4.0137839999999979E-4</v>
      </c>
      <c r="I123" s="1146">
        <f t="shared" si="76"/>
        <v>4.0137839999999979E-4</v>
      </c>
      <c r="J123" s="1148">
        <f t="shared" si="71"/>
        <v>-5.641289999999999E-5</v>
      </c>
      <c r="K123" s="1148">
        <f t="shared" si="71"/>
        <v>0</v>
      </c>
      <c r="L123" s="1148">
        <f t="shared" si="71"/>
        <v>0</v>
      </c>
      <c r="M123" s="760">
        <f t="shared" si="77"/>
        <v>3.4496549999999982E-4</v>
      </c>
      <c r="N123" s="1146">
        <f t="shared" si="78"/>
        <v>3.4496549999999982E-4</v>
      </c>
      <c r="O123" s="1148">
        <f t="shared" si="72"/>
        <v>-5.641289999999999E-5</v>
      </c>
      <c r="P123" s="1148">
        <f t="shared" si="72"/>
        <v>0</v>
      </c>
      <c r="Q123" s="1148">
        <f t="shared" si="72"/>
        <v>0</v>
      </c>
      <c r="R123" s="760">
        <f t="shared" si="79"/>
        <v>2.8855259999999985E-4</v>
      </c>
      <c r="S123" s="1146">
        <f t="shared" si="80"/>
        <v>2.8855259999999985E-4</v>
      </c>
      <c r="T123" s="1148">
        <f t="shared" si="73"/>
        <v>-6.2680999999999978E-5</v>
      </c>
      <c r="U123" s="1148">
        <f t="shared" si="73"/>
        <v>0</v>
      </c>
      <c r="V123" s="1148">
        <f t="shared" si="73"/>
        <v>0</v>
      </c>
      <c r="W123" s="760">
        <f t="shared" si="81"/>
        <v>2.2587159999999987E-4</v>
      </c>
    </row>
    <row r="124" spans="2:23" x14ac:dyDescent="0.4">
      <c r="B124" s="1133">
        <v>7</v>
      </c>
      <c r="C124" s="1135" t="s">
        <v>1269</v>
      </c>
      <c r="D124" s="1142">
        <f t="shared" si="74"/>
        <v>1.26490015E-2</v>
      </c>
      <c r="E124" s="1148">
        <f t="shared" si="70"/>
        <v>4.2995250000000054E-4</v>
      </c>
      <c r="F124" s="1148">
        <f t="shared" si="70"/>
        <v>0</v>
      </c>
      <c r="G124" s="1148">
        <f t="shared" si="70"/>
        <v>0</v>
      </c>
      <c r="H124" s="760">
        <f t="shared" si="75"/>
        <v>1.3078954E-2</v>
      </c>
      <c r="I124" s="1146">
        <f t="shared" si="76"/>
        <v>1.3078954E-2</v>
      </c>
      <c r="J124" s="1148">
        <f t="shared" si="71"/>
        <v>2.7226157999999997E-2</v>
      </c>
      <c r="K124" s="1148">
        <f t="shared" si="71"/>
        <v>0</v>
      </c>
      <c r="L124" s="1148">
        <f t="shared" si="71"/>
        <v>0</v>
      </c>
      <c r="M124" s="760">
        <f t="shared" si="77"/>
        <v>4.0305111999999997E-2</v>
      </c>
      <c r="N124" s="1146">
        <f t="shared" si="78"/>
        <v>4.0305111999999997E-2</v>
      </c>
      <c r="O124" s="1148">
        <f t="shared" si="72"/>
        <v>-5.6455511437267106E-3</v>
      </c>
      <c r="P124" s="1148">
        <f t="shared" si="72"/>
        <v>0</v>
      </c>
      <c r="Q124" s="1148">
        <f t="shared" si="72"/>
        <v>0</v>
      </c>
      <c r="R124" s="760">
        <f t="shared" si="79"/>
        <v>3.4659560856273287E-2</v>
      </c>
      <c r="S124" s="1146">
        <f t="shared" si="80"/>
        <v>3.4659560856273287E-2</v>
      </c>
      <c r="T124" s="1148">
        <f t="shared" si="73"/>
        <v>-1.0785461849999999E-2</v>
      </c>
      <c r="U124" s="1148">
        <f t="shared" si="73"/>
        <v>0</v>
      </c>
      <c r="V124" s="1148">
        <f t="shared" si="73"/>
        <v>0</v>
      </c>
      <c r="W124" s="760">
        <f t="shared" si="81"/>
        <v>2.387409900627329E-2</v>
      </c>
    </row>
    <row r="125" spans="2:23" x14ac:dyDescent="0.4">
      <c r="B125" s="1133">
        <v>8</v>
      </c>
      <c r="C125" s="1135" t="s">
        <v>1270</v>
      </c>
      <c r="D125" s="1142">
        <f t="shared" si="74"/>
        <v>1.1009669999999999E-2</v>
      </c>
      <c r="E125" s="1148">
        <f t="shared" si="70"/>
        <v>2.4881134728767119E-2</v>
      </c>
      <c r="F125" s="1148">
        <f t="shared" si="70"/>
        <v>0</v>
      </c>
      <c r="G125" s="1148">
        <f t="shared" si="70"/>
        <v>0</v>
      </c>
      <c r="H125" s="760">
        <f t="shared" si="75"/>
        <v>3.5890804728767114E-2</v>
      </c>
      <c r="I125" s="1146">
        <f t="shared" si="76"/>
        <v>3.5890804728767114E-2</v>
      </c>
      <c r="J125" s="1148">
        <f t="shared" si="71"/>
        <v>-7.1557560000000001E-3</v>
      </c>
      <c r="K125" s="1148">
        <f t="shared" si="71"/>
        <v>0</v>
      </c>
      <c r="L125" s="1148">
        <f t="shared" si="71"/>
        <v>0</v>
      </c>
      <c r="M125" s="760">
        <f t="shared" si="77"/>
        <v>2.8735048728767115E-2</v>
      </c>
      <c r="N125" s="1146">
        <f t="shared" si="78"/>
        <v>2.8735048728767115E-2</v>
      </c>
      <c r="O125" s="1148">
        <f t="shared" si="72"/>
        <v>4.018045479452061E-4</v>
      </c>
      <c r="P125" s="1148">
        <f t="shared" si="72"/>
        <v>0</v>
      </c>
      <c r="Q125" s="1148">
        <f t="shared" si="72"/>
        <v>0</v>
      </c>
      <c r="R125" s="760">
        <f t="shared" si="79"/>
        <v>2.913685327671232E-2</v>
      </c>
      <c r="S125" s="1146">
        <f t="shared" si="80"/>
        <v>2.913685327671232E-2</v>
      </c>
      <c r="T125" s="1148">
        <f t="shared" si="73"/>
        <v>-4.3044732767122951E-3</v>
      </c>
      <c r="U125" s="1148">
        <f t="shared" si="73"/>
        <v>0</v>
      </c>
      <c r="V125" s="1148">
        <f t="shared" si="73"/>
        <v>0</v>
      </c>
      <c r="W125" s="760">
        <f t="shared" si="81"/>
        <v>2.4832380000000025E-2</v>
      </c>
    </row>
    <row r="126" spans="2:23" ht="14.65" x14ac:dyDescent="0.4">
      <c r="B126" s="1136"/>
      <c r="C126" s="1137" t="s">
        <v>164</v>
      </c>
      <c r="D126" s="1140">
        <f t="shared" ref="D126:W126" si="82">SUM(D118:D125)</f>
        <v>1.7970556740555306</v>
      </c>
      <c r="E126" s="1147">
        <f t="shared" si="82"/>
        <v>0.99945654252061356</v>
      </c>
      <c r="F126" s="1147">
        <f t="shared" si="82"/>
        <v>0</v>
      </c>
      <c r="G126" s="1147">
        <f t="shared" si="82"/>
        <v>0</v>
      </c>
      <c r="H126" s="1147">
        <f t="shared" si="82"/>
        <v>2.7965122165761436</v>
      </c>
      <c r="I126" s="1147">
        <f t="shared" si="82"/>
        <v>2.7965122165761436</v>
      </c>
      <c r="J126" s="1147">
        <f t="shared" si="82"/>
        <v>-0.23576759695432775</v>
      </c>
      <c r="K126" s="1147">
        <f t="shared" si="82"/>
        <v>0</v>
      </c>
      <c r="L126" s="1147">
        <f t="shared" si="82"/>
        <v>0</v>
      </c>
      <c r="M126" s="1147">
        <f t="shared" si="82"/>
        <v>2.5607446196218162</v>
      </c>
      <c r="N126" s="1147">
        <f t="shared" si="82"/>
        <v>2.5607446196218162</v>
      </c>
      <c r="O126" s="1147">
        <f t="shared" si="82"/>
        <v>-0.26503799036232306</v>
      </c>
      <c r="P126" s="1147">
        <f t="shared" si="82"/>
        <v>0</v>
      </c>
      <c r="Q126" s="1147">
        <f t="shared" si="82"/>
        <v>0</v>
      </c>
      <c r="R126" s="1147">
        <f t="shared" si="82"/>
        <v>2.295706629259493</v>
      </c>
      <c r="S126" s="1147">
        <f t="shared" si="82"/>
        <v>2.295706629259493</v>
      </c>
      <c r="T126" s="1147">
        <f t="shared" si="82"/>
        <v>-0.19152782821616954</v>
      </c>
      <c r="U126" s="1147">
        <f t="shared" si="82"/>
        <v>0</v>
      </c>
      <c r="V126" s="1147">
        <f t="shared" si="82"/>
        <v>0</v>
      </c>
      <c r="W126" s="1147">
        <f t="shared" si="82"/>
        <v>2.1041788010433233</v>
      </c>
    </row>
    <row r="127" spans="2:23" ht="15.4" x14ac:dyDescent="0.35">
      <c r="B127" s="125"/>
      <c r="C127" s="83"/>
      <c r="D127" s="83"/>
      <c r="E127" s="83"/>
      <c r="F127" s="83"/>
      <c r="G127" s="83"/>
      <c r="H127" s="83"/>
      <c r="I127" s="125"/>
      <c r="J127" s="125"/>
      <c r="K127" s="125"/>
      <c r="L127" s="125"/>
      <c r="M127" s="125"/>
      <c r="N127" s="125"/>
      <c r="O127" s="125"/>
      <c r="P127" s="125"/>
      <c r="Q127" s="125"/>
      <c r="R127" s="125"/>
      <c r="S127" s="125"/>
      <c r="T127" s="125"/>
      <c r="U127" s="125"/>
      <c r="V127" s="125"/>
      <c r="W127" s="160" t="s">
        <v>110</v>
      </c>
    </row>
    <row r="128" spans="2:23" x14ac:dyDescent="0.35">
      <c r="B128" s="1947" t="s">
        <v>1</v>
      </c>
      <c r="C128" s="1947" t="s">
        <v>111</v>
      </c>
      <c r="D128" s="2052" t="s">
        <v>124</v>
      </c>
      <c r="E128" s="2052"/>
      <c r="F128" s="2052"/>
      <c r="G128" s="2052"/>
      <c r="H128" s="2052"/>
      <c r="I128" s="2052" t="s">
        <v>125</v>
      </c>
      <c r="J128" s="2052"/>
      <c r="K128" s="2052"/>
      <c r="L128" s="2052"/>
      <c r="M128" s="2052"/>
      <c r="N128" s="2052" t="s">
        <v>126</v>
      </c>
      <c r="O128" s="2052"/>
      <c r="P128" s="2052"/>
      <c r="Q128" s="2052"/>
      <c r="R128" s="2052"/>
      <c r="S128" s="2052" t="s">
        <v>127</v>
      </c>
      <c r="T128" s="2052"/>
      <c r="U128" s="2052"/>
      <c r="V128" s="2052"/>
      <c r="W128" s="2052"/>
    </row>
    <row r="129" spans="2:38" x14ac:dyDescent="0.35">
      <c r="B129" s="1947"/>
      <c r="C129" s="1947"/>
      <c r="D129" s="2052" t="s">
        <v>135</v>
      </c>
      <c r="E129" s="2055"/>
      <c r="F129" s="2055"/>
      <c r="G129" s="2055"/>
      <c r="H129" s="2055"/>
      <c r="I129" s="2052" t="s">
        <v>135</v>
      </c>
      <c r="J129" s="2055"/>
      <c r="K129" s="2055"/>
      <c r="L129" s="2055"/>
      <c r="M129" s="2055"/>
      <c r="N129" s="2052" t="s">
        <v>135</v>
      </c>
      <c r="O129" s="2055"/>
      <c r="P129" s="2055"/>
      <c r="Q129" s="2055"/>
      <c r="R129" s="2055"/>
      <c r="S129" s="2052" t="s">
        <v>135</v>
      </c>
      <c r="T129" s="2055"/>
      <c r="U129" s="2055"/>
      <c r="V129" s="2055"/>
      <c r="W129" s="2055"/>
    </row>
    <row r="130" spans="2:38" ht="27" x14ac:dyDescent="0.35">
      <c r="B130" s="1947"/>
      <c r="C130" s="1947"/>
      <c r="D130" s="250" t="s">
        <v>523</v>
      </c>
      <c r="E130" s="250" t="s">
        <v>524</v>
      </c>
      <c r="F130" s="251" t="s">
        <v>538</v>
      </c>
      <c r="G130" s="106" t="s">
        <v>543</v>
      </c>
      <c r="H130" s="250" t="s">
        <v>526</v>
      </c>
      <c r="I130" s="250" t="s">
        <v>523</v>
      </c>
      <c r="J130" s="250" t="s">
        <v>524</v>
      </c>
      <c r="K130" s="251" t="s">
        <v>538</v>
      </c>
      <c r="L130" s="106" t="s">
        <v>543</v>
      </c>
      <c r="M130" s="250" t="s">
        <v>526</v>
      </c>
      <c r="N130" s="250" t="s">
        <v>523</v>
      </c>
      <c r="O130" s="250" t="s">
        <v>524</v>
      </c>
      <c r="P130" s="251" t="s">
        <v>538</v>
      </c>
      <c r="Q130" s="106" t="s">
        <v>543</v>
      </c>
      <c r="R130" s="250" t="s">
        <v>526</v>
      </c>
      <c r="S130" s="250" t="s">
        <v>523</v>
      </c>
      <c r="T130" s="250" t="s">
        <v>524</v>
      </c>
      <c r="U130" s="251" t="s">
        <v>538</v>
      </c>
      <c r="V130" s="106" t="s">
        <v>543</v>
      </c>
      <c r="W130" s="250" t="s">
        <v>526</v>
      </c>
    </row>
    <row r="131" spans="2:38" ht="15.4" x14ac:dyDescent="0.35">
      <c r="B131" s="217"/>
      <c r="C131" s="217"/>
      <c r="D131" s="217" t="s">
        <v>128</v>
      </c>
      <c r="E131" s="217" t="s">
        <v>129</v>
      </c>
      <c r="F131" s="217" t="s">
        <v>527</v>
      </c>
      <c r="G131" s="217" t="s">
        <v>130</v>
      </c>
      <c r="H131" s="217" t="s">
        <v>544</v>
      </c>
      <c r="I131" s="217" t="s">
        <v>331</v>
      </c>
      <c r="J131" s="217" t="s">
        <v>132</v>
      </c>
      <c r="K131" s="217" t="s">
        <v>133</v>
      </c>
      <c r="L131" s="217" t="s">
        <v>332</v>
      </c>
      <c r="M131" s="217" t="s">
        <v>545</v>
      </c>
      <c r="N131" s="217" t="s">
        <v>528</v>
      </c>
      <c r="O131" s="217" t="s">
        <v>529</v>
      </c>
      <c r="P131" s="217" t="s">
        <v>334</v>
      </c>
      <c r="Q131" s="217" t="s">
        <v>530</v>
      </c>
      <c r="R131" s="217" t="s">
        <v>546</v>
      </c>
      <c r="S131" s="217" t="s">
        <v>532</v>
      </c>
      <c r="T131" s="217" t="s">
        <v>533</v>
      </c>
      <c r="U131" s="217" t="s">
        <v>534</v>
      </c>
      <c r="V131" s="217" t="s">
        <v>535</v>
      </c>
      <c r="W131" s="217" t="s">
        <v>547</v>
      </c>
      <c r="X131" s="125"/>
      <c r="Y131" s="125"/>
      <c r="Z131" s="125"/>
      <c r="AA131" s="125"/>
      <c r="AB131" s="125"/>
      <c r="AC131" s="125"/>
      <c r="AD131" s="125"/>
      <c r="AE131" s="125"/>
      <c r="AF131" s="125"/>
      <c r="AG131" s="125"/>
      <c r="AH131" s="125"/>
      <c r="AI131" s="125"/>
      <c r="AJ131" s="125"/>
      <c r="AK131" s="125"/>
      <c r="AL131" s="125"/>
    </row>
    <row r="132" spans="2:38" ht="15.4" x14ac:dyDescent="0.35">
      <c r="B132" s="1133">
        <v>1</v>
      </c>
      <c r="C132" s="1134" t="s">
        <v>1410</v>
      </c>
      <c r="D132" s="1142">
        <f>+W118</f>
        <v>0</v>
      </c>
      <c r="E132" s="1148">
        <f t="shared" ref="E132:G139" si="83">+E44-E88</f>
        <v>0</v>
      </c>
      <c r="F132" s="1148">
        <f t="shared" si="83"/>
        <v>0</v>
      </c>
      <c r="G132" s="1148">
        <f t="shared" si="83"/>
        <v>0</v>
      </c>
      <c r="H132" s="760">
        <f>+D132+E132-F132-G132</f>
        <v>0</v>
      </c>
      <c r="I132" s="1146">
        <f>+H132</f>
        <v>0</v>
      </c>
      <c r="J132" s="1148">
        <f t="shared" ref="J132:L139" si="84">+J44-J88</f>
        <v>0</v>
      </c>
      <c r="K132" s="1148">
        <f t="shared" si="84"/>
        <v>0</v>
      </c>
      <c r="L132" s="1148">
        <f t="shared" si="84"/>
        <v>0</v>
      </c>
      <c r="M132" s="760">
        <f>+I132+J132-K132-L132</f>
        <v>0</v>
      </c>
      <c r="N132" s="1146">
        <f>+M132</f>
        <v>0</v>
      </c>
      <c r="O132" s="1148">
        <f t="shared" ref="O132:Q139" si="85">+O44-O88</f>
        <v>0</v>
      </c>
      <c r="P132" s="1148">
        <f t="shared" si="85"/>
        <v>0</v>
      </c>
      <c r="Q132" s="1148">
        <f t="shared" si="85"/>
        <v>0</v>
      </c>
      <c r="R132" s="760">
        <f>+N132+O132-P132-Q132</f>
        <v>0</v>
      </c>
      <c r="S132" s="1146">
        <f>+R132</f>
        <v>0</v>
      </c>
      <c r="T132" s="1148">
        <f t="shared" ref="T132:V139" si="86">+T44-T88</f>
        <v>0</v>
      </c>
      <c r="U132" s="1148">
        <f t="shared" si="86"/>
        <v>0</v>
      </c>
      <c r="V132" s="1148">
        <f t="shared" si="86"/>
        <v>0</v>
      </c>
      <c r="W132" s="760">
        <f>+S132+T132-U132-V132</f>
        <v>0</v>
      </c>
      <c r="X132" s="125"/>
      <c r="Y132" s="125"/>
      <c r="Z132" s="125"/>
      <c r="AA132" s="125"/>
      <c r="AB132" s="125"/>
      <c r="AC132" s="125"/>
      <c r="AD132" s="125"/>
      <c r="AE132" s="125"/>
      <c r="AF132" s="125"/>
      <c r="AG132" s="125"/>
      <c r="AH132" s="125"/>
      <c r="AI132" s="125"/>
      <c r="AJ132" s="125"/>
      <c r="AK132" s="125"/>
      <c r="AL132" s="125"/>
    </row>
    <row r="133" spans="2:38" ht="13.8" customHeight="1" x14ac:dyDescent="0.35">
      <c r="B133" s="1133">
        <v>2</v>
      </c>
      <c r="C133" s="1134" t="s">
        <v>1409</v>
      </c>
      <c r="D133" s="1142">
        <f t="shared" ref="D133:D139" si="87">+W119</f>
        <v>0</v>
      </c>
      <c r="E133" s="1148">
        <f t="shared" si="83"/>
        <v>0</v>
      </c>
      <c r="F133" s="1148">
        <f t="shared" si="83"/>
        <v>0</v>
      </c>
      <c r="G133" s="1148">
        <f t="shared" si="83"/>
        <v>0</v>
      </c>
      <c r="H133" s="760">
        <f t="shared" ref="H133:H139" si="88">+D133+E133-F133-G133</f>
        <v>0</v>
      </c>
      <c r="I133" s="1146">
        <f t="shared" ref="I133:I139" si="89">+H133</f>
        <v>0</v>
      </c>
      <c r="J133" s="1148">
        <f t="shared" si="84"/>
        <v>0</v>
      </c>
      <c r="K133" s="1148">
        <f t="shared" si="84"/>
        <v>0</v>
      </c>
      <c r="L133" s="1148">
        <f t="shared" si="84"/>
        <v>0</v>
      </c>
      <c r="M133" s="760">
        <f t="shared" ref="M133:M139" si="90">+I133+J133-K133-L133</f>
        <v>0</v>
      </c>
      <c r="N133" s="1146">
        <f t="shared" ref="N133:N139" si="91">+M133</f>
        <v>0</v>
      </c>
      <c r="O133" s="1148">
        <f t="shared" si="85"/>
        <v>0</v>
      </c>
      <c r="P133" s="1148">
        <f t="shared" si="85"/>
        <v>0</v>
      </c>
      <c r="Q133" s="1148">
        <f t="shared" si="85"/>
        <v>0</v>
      </c>
      <c r="R133" s="760">
        <f t="shared" ref="R133:R139" si="92">+N133+O133-P133-Q133</f>
        <v>0</v>
      </c>
      <c r="S133" s="1146">
        <f t="shared" ref="S133:S139" si="93">+R133</f>
        <v>0</v>
      </c>
      <c r="T133" s="1148">
        <f t="shared" si="86"/>
        <v>0</v>
      </c>
      <c r="U133" s="1148">
        <f t="shared" si="86"/>
        <v>0</v>
      </c>
      <c r="V133" s="1148">
        <f t="shared" si="86"/>
        <v>0</v>
      </c>
      <c r="W133" s="760">
        <f t="shared" ref="W133:W139" si="94">+S133+T133-U133-V133</f>
        <v>0</v>
      </c>
    </row>
    <row r="134" spans="2:38" x14ac:dyDescent="0.35">
      <c r="B134" s="1133">
        <v>3</v>
      </c>
      <c r="C134" s="1134" t="s">
        <v>440</v>
      </c>
      <c r="D134" s="1142">
        <f t="shared" si="87"/>
        <v>0</v>
      </c>
      <c r="E134" s="1148">
        <f t="shared" si="83"/>
        <v>0</v>
      </c>
      <c r="F134" s="1148">
        <f t="shared" si="83"/>
        <v>0</v>
      </c>
      <c r="G134" s="1148">
        <f t="shared" si="83"/>
        <v>0</v>
      </c>
      <c r="H134" s="760">
        <f t="shared" si="88"/>
        <v>0</v>
      </c>
      <c r="I134" s="1146">
        <f t="shared" si="89"/>
        <v>0</v>
      </c>
      <c r="J134" s="1148">
        <f t="shared" si="84"/>
        <v>0</v>
      </c>
      <c r="K134" s="1148">
        <f t="shared" si="84"/>
        <v>0</v>
      </c>
      <c r="L134" s="1148">
        <f t="shared" si="84"/>
        <v>0</v>
      </c>
      <c r="M134" s="760">
        <f t="shared" si="90"/>
        <v>0</v>
      </c>
      <c r="N134" s="1146">
        <f t="shared" si="91"/>
        <v>0</v>
      </c>
      <c r="O134" s="1148">
        <f t="shared" si="85"/>
        <v>0</v>
      </c>
      <c r="P134" s="1148">
        <f t="shared" si="85"/>
        <v>0</v>
      </c>
      <c r="Q134" s="1148">
        <f t="shared" si="85"/>
        <v>0</v>
      </c>
      <c r="R134" s="760">
        <f t="shared" si="92"/>
        <v>0</v>
      </c>
      <c r="S134" s="1146">
        <f t="shared" si="93"/>
        <v>0</v>
      </c>
      <c r="T134" s="1148">
        <f t="shared" si="86"/>
        <v>0</v>
      </c>
      <c r="U134" s="1148">
        <f t="shared" si="86"/>
        <v>0</v>
      </c>
      <c r="V134" s="1148">
        <f t="shared" si="86"/>
        <v>0</v>
      </c>
      <c r="W134" s="760">
        <f t="shared" si="94"/>
        <v>0</v>
      </c>
    </row>
    <row r="135" spans="2:38" x14ac:dyDescent="0.35">
      <c r="B135" s="1133">
        <v>4</v>
      </c>
      <c r="C135" s="1134" t="s">
        <v>915</v>
      </c>
      <c r="D135" s="1142">
        <f t="shared" si="87"/>
        <v>2.0111218485546591</v>
      </c>
      <c r="E135" s="1148">
        <f t="shared" si="83"/>
        <v>-0.17196055773195723</v>
      </c>
      <c r="F135" s="1148">
        <f t="shared" si="83"/>
        <v>0</v>
      </c>
      <c r="G135" s="1148">
        <f t="shared" si="83"/>
        <v>0</v>
      </c>
      <c r="H135" s="760">
        <f t="shared" si="88"/>
        <v>1.839161290822702</v>
      </c>
      <c r="I135" s="1146">
        <f t="shared" si="89"/>
        <v>1.839161290822702</v>
      </c>
      <c r="J135" s="1148">
        <f t="shared" si="84"/>
        <v>-0.17196055773195723</v>
      </c>
      <c r="K135" s="1148">
        <f t="shared" si="84"/>
        <v>0</v>
      </c>
      <c r="L135" s="1148">
        <f t="shared" si="84"/>
        <v>0</v>
      </c>
      <c r="M135" s="760">
        <f t="shared" si="90"/>
        <v>1.6672007330907448</v>
      </c>
      <c r="N135" s="1146">
        <f t="shared" si="91"/>
        <v>1.6672007330907448</v>
      </c>
      <c r="O135" s="1148">
        <f t="shared" si="85"/>
        <v>-0.17196055773195723</v>
      </c>
      <c r="P135" s="1148">
        <f t="shared" si="85"/>
        <v>0</v>
      </c>
      <c r="Q135" s="1148">
        <f t="shared" si="85"/>
        <v>0</v>
      </c>
      <c r="R135" s="760">
        <f t="shared" si="92"/>
        <v>1.4952401753587876</v>
      </c>
      <c r="S135" s="1146">
        <f t="shared" si="93"/>
        <v>1.4952401753587876</v>
      </c>
      <c r="T135" s="1148">
        <f t="shared" si="86"/>
        <v>-0.17196055773195723</v>
      </c>
      <c r="U135" s="1148">
        <f t="shared" si="86"/>
        <v>0</v>
      </c>
      <c r="V135" s="1148">
        <f t="shared" si="86"/>
        <v>0</v>
      </c>
      <c r="W135" s="760">
        <f t="shared" si="94"/>
        <v>1.3232796176268304</v>
      </c>
    </row>
    <row r="136" spans="2:38" x14ac:dyDescent="0.35">
      <c r="B136" s="1133">
        <v>5</v>
      </c>
      <c r="C136" s="1134" t="s">
        <v>447</v>
      </c>
      <c r="D136" s="1142">
        <f t="shared" si="87"/>
        <v>4.4124601882391111E-2</v>
      </c>
      <c r="E136" s="1148">
        <f t="shared" si="83"/>
        <v>-4.4146543574999997E-3</v>
      </c>
      <c r="F136" s="1148">
        <f t="shared" si="83"/>
        <v>0</v>
      </c>
      <c r="G136" s="1148">
        <f t="shared" si="83"/>
        <v>0</v>
      </c>
      <c r="H136" s="760">
        <f t="shared" si="88"/>
        <v>3.9709947524891112E-2</v>
      </c>
      <c r="I136" s="1146">
        <f t="shared" si="89"/>
        <v>3.9709947524891112E-2</v>
      </c>
      <c r="J136" s="1148">
        <f t="shared" si="84"/>
        <v>-4.4146543574999997E-3</v>
      </c>
      <c r="K136" s="1148">
        <f t="shared" si="84"/>
        <v>0</v>
      </c>
      <c r="L136" s="1148">
        <f t="shared" si="84"/>
        <v>0</v>
      </c>
      <c r="M136" s="760">
        <f t="shared" si="90"/>
        <v>3.5295293167391113E-2</v>
      </c>
      <c r="N136" s="1146">
        <f t="shared" si="91"/>
        <v>3.5295293167391113E-2</v>
      </c>
      <c r="O136" s="1148">
        <f t="shared" si="85"/>
        <v>-4.4146543574999997E-3</v>
      </c>
      <c r="P136" s="1148">
        <f t="shared" si="85"/>
        <v>0</v>
      </c>
      <c r="Q136" s="1148">
        <f t="shared" si="85"/>
        <v>0</v>
      </c>
      <c r="R136" s="760">
        <f t="shared" si="92"/>
        <v>3.0880638809891114E-2</v>
      </c>
      <c r="S136" s="1146">
        <f t="shared" si="93"/>
        <v>3.0880638809891114E-2</v>
      </c>
      <c r="T136" s="1148">
        <f t="shared" si="86"/>
        <v>-4.4146543574999997E-3</v>
      </c>
      <c r="U136" s="1148">
        <f t="shared" si="86"/>
        <v>0</v>
      </c>
      <c r="V136" s="1148">
        <f t="shared" si="86"/>
        <v>0</v>
      </c>
      <c r="W136" s="760">
        <f t="shared" si="94"/>
        <v>2.6465984452391116E-2</v>
      </c>
    </row>
    <row r="137" spans="2:38" x14ac:dyDescent="0.35">
      <c r="B137" s="1133">
        <v>6</v>
      </c>
      <c r="C137" s="1134" t="s">
        <v>879</v>
      </c>
      <c r="D137" s="1142">
        <f t="shared" si="87"/>
        <v>2.2587159999999987E-4</v>
      </c>
      <c r="E137" s="1148">
        <f t="shared" si="83"/>
        <v>-6.2680999999999978E-5</v>
      </c>
      <c r="F137" s="1148">
        <f t="shared" si="83"/>
        <v>0</v>
      </c>
      <c r="G137" s="1148">
        <f t="shared" si="83"/>
        <v>0</v>
      </c>
      <c r="H137" s="760">
        <f t="shared" si="88"/>
        <v>1.6319059999999989E-4</v>
      </c>
      <c r="I137" s="1146">
        <f t="shared" si="89"/>
        <v>1.6319059999999989E-4</v>
      </c>
      <c r="J137" s="1148">
        <f t="shared" si="84"/>
        <v>-4.398666666666665E-5</v>
      </c>
      <c r="K137" s="1148">
        <f t="shared" si="84"/>
        <v>0</v>
      </c>
      <c r="L137" s="1148">
        <f t="shared" si="84"/>
        <v>0</v>
      </c>
      <c r="M137" s="760">
        <f t="shared" si="90"/>
        <v>1.1920393333333324E-4</v>
      </c>
      <c r="N137" s="1146">
        <f t="shared" si="91"/>
        <v>1.1920393333333324E-4</v>
      </c>
      <c r="O137" s="1148">
        <f t="shared" si="85"/>
        <v>-4.398666666666665E-5</v>
      </c>
      <c r="P137" s="1148">
        <f t="shared" si="85"/>
        <v>0</v>
      </c>
      <c r="Q137" s="1148">
        <f t="shared" si="85"/>
        <v>0</v>
      </c>
      <c r="R137" s="760">
        <f t="shared" si="92"/>
        <v>7.5217266666666594E-5</v>
      </c>
      <c r="S137" s="1146">
        <f t="shared" si="93"/>
        <v>7.5217266666666594E-5</v>
      </c>
      <c r="T137" s="1148">
        <f t="shared" si="86"/>
        <v>-9.2372666666667687E-6</v>
      </c>
      <c r="U137" s="1148">
        <f t="shared" si="86"/>
        <v>0</v>
      </c>
      <c r="V137" s="1148">
        <f t="shared" si="86"/>
        <v>0</v>
      </c>
      <c r="W137" s="760">
        <f t="shared" si="94"/>
        <v>6.5979999999999826E-5</v>
      </c>
    </row>
    <row r="138" spans="2:38" x14ac:dyDescent="0.4">
      <c r="B138" s="1133">
        <v>7</v>
      </c>
      <c r="C138" s="1135" t="s">
        <v>1269</v>
      </c>
      <c r="D138" s="1142">
        <f t="shared" si="87"/>
        <v>2.387409900627329E-2</v>
      </c>
      <c r="E138" s="1148">
        <f t="shared" si="83"/>
        <v>-1.0785461849999999E-2</v>
      </c>
      <c r="F138" s="1148">
        <f t="shared" si="83"/>
        <v>0</v>
      </c>
      <c r="G138" s="1148">
        <f t="shared" si="83"/>
        <v>0</v>
      </c>
      <c r="H138" s="760">
        <f t="shared" si="88"/>
        <v>1.3088637156273291E-2</v>
      </c>
      <c r="I138" s="1146">
        <f t="shared" si="89"/>
        <v>1.3088637156273291E-2</v>
      </c>
      <c r="J138" s="1148">
        <f t="shared" si="84"/>
        <v>-5.898329256273295E-3</v>
      </c>
      <c r="K138" s="1148">
        <f t="shared" si="84"/>
        <v>0</v>
      </c>
      <c r="L138" s="1148">
        <f t="shared" si="84"/>
        <v>0</v>
      </c>
      <c r="M138" s="760">
        <f t="shared" si="90"/>
        <v>7.1903078999999964E-3</v>
      </c>
      <c r="N138" s="1146">
        <f t="shared" si="91"/>
        <v>7.1903078999999964E-3</v>
      </c>
      <c r="O138" s="1148">
        <f t="shared" si="85"/>
        <v>0</v>
      </c>
      <c r="P138" s="1148">
        <f t="shared" si="85"/>
        <v>0</v>
      </c>
      <c r="Q138" s="1148">
        <f t="shared" si="85"/>
        <v>0</v>
      </c>
      <c r="R138" s="760">
        <f t="shared" si="92"/>
        <v>7.1903078999999964E-3</v>
      </c>
      <c r="S138" s="1146">
        <f t="shared" si="93"/>
        <v>7.1903078999999964E-3</v>
      </c>
      <c r="T138" s="1148">
        <f t="shared" si="86"/>
        <v>0</v>
      </c>
      <c r="U138" s="1148">
        <f t="shared" si="86"/>
        <v>0</v>
      </c>
      <c r="V138" s="1148">
        <f t="shared" si="86"/>
        <v>0</v>
      </c>
      <c r="W138" s="760">
        <f t="shared" si="94"/>
        <v>7.1903078999999964E-3</v>
      </c>
    </row>
    <row r="139" spans="2:38" x14ac:dyDescent="0.4">
      <c r="B139" s="1133">
        <v>8</v>
      </c>
      <c r="C139" s="1135" t="s">
        <v>1270</v>
      </c>
      <c r="D139" s="1142">
        <f t="shared" si="87"/>
        <v>2.4832380000000025E-2</v>
      </c>
      <c r="E139" s="1148">
        <f t="shared" si="83"/>
        <v>0</v>
      </c>
      <c r="F139" s="1148">
        <f t="shared" si="83"/>
        <v>0</v>
      </c>
      <c r="G139" s="1148">
        <f t="shared" si="83"/>
        <v>0</v>
      </c>
      <c r="H139" s="760">
        <f t="shared" si="88"/>
        <v>2.4832380000000025E-2</v>
      </c>
      <c r="I139" s="1146">
        <f t="shared" si="89"/>
        <v>2.4832380000000025E-2</v>
      </c>
      <c r="J139" s="1148">
        <f t="shared" si="84"/>
        <v>0</v>
      </c>
      <c r="K139" s="1148">
        <f t="shared" si="84"/>
        <v>0</v>
      </c>
      <c r="L139" s="1148">
        <f t="shared" si="84"/>
        <v>0</v>
      </c>
      <c r="M139" s="760">
        <f t="shared" si="90"/>
        <v>2.4832380000000025E-2</v>
      </c>
      <c r="N139" s="1146">
        <f t="shared" si="91"/>
        <v>2.4832380000000025E-2</v>
      </c>
      <c r="O139" s="1148">
        <f t="shared" si="85"/>
        <v>0</v>
      </c>
      <c r="P139" s="1148">
        <f t="shared" si="85"/>
        <v>0</v>
      </c>
      <c r="Q139" s="1148">
        <f t="shared" si="85"/>
        <v>0</v>
      </c>
      <c r="R139" s="760">
        <f t="shared" si="92"/>
        <v>2.4832380000000025E-2</v>
      </c>
      <c r="S139" s="1146">
        <f t="shared" si="93"/>
        <v>2.4832380000000025E-2</v>
      </c>
      <c r="T139" s="1148">
        <f t="shared" si="86"/>
        <v>0</v>
      </c>
      <c r="U139" s="1148">
        <f t="shared" si="86"/>
        <v>0</v>
      </c>
      <c r="V139" s="1148">
        <f t="shared" si="86"/>
        <v>0</v>
      </c>
      <c r="W139" s="760">
        <f t="shared" si="94"/>
        <v>2.4832380000000025E-2</v>
      </c>
    </row>
    <row r="140" spans="2:38" ht="14.65" x14ac:dyDescent="0.4">
      <c r="B140" s="1136"/>
      <c r="C140" s="1137" t="s">
        <v>164</v>
      </c>
      <c r="D140" s="1140">
        <f t="shared" ref="D140:W140" si="95">SUM(D132:D139)</f>
        <v>2.1041788010433233</v>
      </c>
      <c r="E140" s="1147">
        <f t="shared" si="95"/>
        <v>-0.18722335493945724</v>
      </c>
      <c r="F140" s="1147">
        <f t="shared" si="95"/>
        <v>0</v>
      </c>
      <c r="G140" s="1147">
        <f t="shared" si="95"/>
        <v>0</v>
      </c>
      <c r="H140" s="1147">
        <f t="shared" si="95"/>
        <v>1.9169554461038665</v>
      </c>
      <c r="I140" s="1147">
        <f t="shared" si="95"/>
        <v>1.9169554461038665</v>
      </c>
      <c r="J140" s="1147">
        <f t="shared" si="95"/>
        <v>-0.18231752801239717</v>
      </c>
      <c r="K140" s="1147">
        <f t="shared" si="95"/>
        <v>0</v>
      </c>
      <c r="L140" s="1147">
        <f t="shared" si="95"/>
        <v>0</v>
      </c>
      <c r="M140" s="1147">
        <f t="shared" si="95"/>
        <v>1.7346379180914693</v>
      </c>
      <c r="N140" s="1147">
        <f t="shared" si="95"/>
        <v>1.7346379180914693</v>
      </c>
      <c r="O140" s="1147">
        <f t="shared" si="95"/>
        <v>-0.17641919875612389</v>
      </c>
      <c r="P140" s="1147">
        <f t="shared" si="95"/>
        <v>0</v>
      </c>
      <c r="Q140" s="1147">
        <f t="shared" si="95"/>
        <v>0</v>
      </c>
      <c r="R140" s="1147">
        <f t="shared" si="95"/>
        <v>1.5582187193353456</v>
      </c>
      <c r="S140" s="1147">
        <f t="shared" si="95"/>
        <v>1.5582187193353456</v>
      </c>
      <c r="T140" s="1147">
        <f t="shared" si="95"/>
        <v>-0.17638444935612388</v>
      </c>
      <c r="U140" s="1147">
        <f t="shared" si="95"/>
        <v>0</v>
      </c>
      <c r="V140" s="1147">
        <f t="shared" si="95"/>
        <v>0</v>
      </c>
      <c r="W140" s="1147">
        <f t="shared" si="95"/>
        <v>1.3818342699792217</v>
      </c>
    </row>
  </sheetData>
  <mergeCells count="93">
    <mergeCell ref="S12:W12"/>
    <mergeCell ref="D13:H13"/>
    <mergeCell ref="I13:M13"/>
    <mergeCell ref="N13:R13"/>
    <mergeCell ref="S13:W13"/>
    <mergeCell ref="B12:B14"/>
    <mergeCell ref="C12:C14"/>
    <mergeCell ref="D12:H12"/>
    <mergeCell ref="I12:M12"/>
    <mergeCell ref="N12:R12"/>
    <mergeCell ref="I26:M26"/>
    <mergeCell ref="N26:R26"/>
    <mergeCell ref="S26:W26"/>
    <mergeCell ref="D27:H27"/>
    <mergeCell ref="I27:M27"/>
    <mergeCell ref="N27:R27"/>
    <mergeCell ref="S27:W27"/>
    <mergeCell ref="B2:W2"/>
    <mergeCell ref="B3:W3"/>
    <mergeCell ref="B4:W4"/>
    <mergeCell ref="B40:B42"/>
    <mergeCell ref="C40:C42"/>
    <mergeCell ref="D40:H40"/>
    <mergeCell ref="I40:M40"/>
    <mergeCell ref="N40:R40"/>
    <mergeCell ref="S40:W40"/>
    <mergeCell ref="D41:H41"/>
    <mergeCell ref="I41:M41"/>
    <mergeCell ref="N41:R41"/>
    <mergeCell ref="S41:W41"/>
    <mergeCell ref="B26:B28"/>
    <mergeCell ref="C26:C28"/>
    <mergeCell ref="D26:H26"/>
    <mergeCell ref="B56:B58"/>
    <mergeCell ref="C56:C58"/>
    <mergeCell ref="D56:H56"/>
    <mergeCell ref="I56:M56"/>
    <mergeCell ref="N56:R56"/>
    <mergeCell ref="S56:W56"/>
    <mergeCell ref="D57:H57"/>
    <mergeCell ref="I57:M57"/>
    <mergeCell ref="N57:R57"/>
    <mergeCell ref="S57:W57"/>
    <mergeCell ref="B70:B72"/>
    <mergeCell ref="C70:C72"/>
    <mergeCell ref="D70:H70"/>
    <mergeCell ref="I70:M70"/>
    <mergeCell ref="N70:R70"/>
    <mergeCell ref="S70:W70"/>
    <mergeCell ref="D71:H71"/>
    <mergeCell ref="I71:M71"/>
    <mergeCell ref="N71:R71"/>
    <mergeCell ref="S71:W71"/>
    <mergeCell ref="B84:B86"/>
    <mergeCell ref="C84:C86"/>
    <mergeCell ref="D84:H84"/>
    <mergeCell ref="I84:M84"/>
    <mergeCell ref="N84:R84"/>
    <mergeCell ref="S84:W84"/>
    <mergeCell ref="D85:H85"/>
    <mergeCell ref="I85:M85"/>
    <mergeCell ref="N85:R85"/>
    <mergeCell ref="S85:W85"/>
    <mergeCell ref="B100:B102"/>
    <mergeCell ref="C100:C102"/>
    <mergeCell ref="D100:H100"/>
    <mergeCell ref="I100:M100"/>
    <mergeCell ref="N100:R100"/>
    <mergeCell ref="S100:W100"/>
    <mergeCell ref="D101:H101"/>
    <mergeCell ref="I101:M101"/>
    <mergeCell ref="N101:R101"/>
    <mergeCell ref="S101:W101"/>
    <mergeCell ref="B114:B116"/>
    <mergeCell ref="C114:C116"/>
    <mergeCell ref="D114:H114"/>
    <mergeCell ref="I114:M114"/>
    <mergeCell ref="N114:R114"/>
    <mergeCell ref="S114:W114"/>
    <mergeCell ref="D115:H115"/>
    <mergeCell ref="I115:M115"/>
    <mergeCell ref="N115:R115"/>
    <mergeCell ref="S115:W115"/>
    <mergeCell ref="B128:B130"/>
    <mergeCell ref="C128:C130"/>
    <mergeCell ref="D128:H128"/>
    <mergeCell ref="I128:M128"/>
    <mergeCell ref="N128:R128"/>
    <mergeCell ref="S128:W128"/>
    <mergeCell ref="D129:H129"/>
    <mergeCell ref="I129:M129"/>
    <mergeCell ref="N129:R129"/>
    <mergeCell ref="S129:W129"/>
  </mergeCells>
  <pageMargins left="0.27559055118110237" right="0.23622047244094491" top="0.23622047244094491" bottom="0.23622047244094491" header="0.23622047244094491" footer="0.23622047244094491"/>
  <pageSetup paperSize="9" scale="34" fitToHeight="2" orientation="landscape" r:id="rId1"/>
  <headerFooter alignWithMargins="0">
    <oddHeader>&amp;F</oddHeader>
  </headerFooter>
  <rowBreaks count="2" manualBreakCount="2">
    <brk id="53" max="22" man="1"/>
    <brk id="99"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CAE6-A963-4B46-8A45-F88C67FDDA07}">
  <dimension ref="A1:AL140"/>
  <sheetViews>
    <sheetView showGridLines="0" view="pageBreakPreview" zoomScale="60" zoomScaleNormal="68" workbookViewId="0">
      <selection activeCell="T91" sqref="T91"/>
    </sheetView>
  </sheetViews>
  <sheetFormatPr defaultColWidth="9.33203125" defaultRowHeight="13.9" x14ac:dyDescent="0.4"/>
  <cols>
    <col min="1" max="1" width="4.33203125" style="1" customWidth="1"/>
    <col min="2" max="2" width="6.33203125" style="1" customWidth="1"/>
    <col min="3" max="3" width="36.33203125" style="1" customWidth="1"/>
    <col min="4" max="4" width="18.6640625" style="1" customWidth="1"/>
    <col min="5" max="5" width="20.6640625" style="1" customWidth="1"/>
    <col min="6" max="27" width="18.6640625" style="1" customWidth="1"/>
    <col min="28" max="16384" width="9.33203125" style="1"/>
  </cols>
  <sheetData>
    <row r="1" spans="1:23" x14ac:dyDescent="0.4">
      <c r="B1" s="32"/>
    </row>
    <row r="2" spans="1:23" x14ac:dyDescent="0.4">
      <c r="B2" s="1875" t="str">
        <f>+Index!B2</f>
        <v>Nidar Utilities Panvel LLP</v>
      </c>
      <c r="C2" s="1875"/>
      <c r="D2" s="1875"/>
      <c r="E2" s="1875"/>
      <c r="F2" s="1875"/>
      <c r="G2" s="1875"/>
      <c r="H2" s="1875"/>
      <c r="I2" s="1875"/>
      <c r="J2" s="1875"/>
      <c r="K2" s="1875"/>
      <c r="L2" s="1875"/>
      <c r="M2" s="1875"/>
      <c r="N2" s="1875"/>
      <c r="O2" s="1875"/>
      <c r="P2" s="1875"/>
      <c r="Q2" s="1875"/>
      <c r="R2" s="1875"/>
      <c r="S2" s="1875"/>
      <c r="T2" s="1875"/>
      <c r="U2" s="1875"/>
      <c r="V2" s="1875"/>
      <c r="W2" s="1875"/>
    </row>
    <row r="3" spans="1:23" x14ac:dyDescent="0.4">
      <c r="B3" s="1875" t="s">
        <v>340</v>
      </c>
      <c r="C3" s="1875"/>
      <c r="D3" s="1875"/>
      <c r="E3" s="1875"/>
      <c r="F3" s="1875"/>
      <c r="G3" s="1875"/>
      <c r="H3" s="1875"/>
      <c r="I3" s="1875"/>
      <c r="J3" s="1875"/>
      <c r="K3" s="1875"/>
      <c r="L3" s="1875"/>
      <c r="M3" s="1875"/>
      <c r="N3" s="1875"/>
      <c r="O3" s="1875"/>
      <c r="P3" s="1875"/>
      <c r="Q3" s="1875"/>
      <c r="R3" s="1875"/>
      <c r="S3" s="1875"/>
      <c r="T3" s="1875"/>
      <c r="U3" s="1875"/>
      <c r="V3" s="1875"/>
      <c r="W3" s="1875"/>
    </row>
    <row r="4" spans="1:23" x14ac:dyDescent="0.4">
      <c r="B4" s="2056" t="s">
        <v>551</v>
      </c>
      <c r="C4" s="2056"/>
      <c r="D4" s="2056"/>
      <c r="E4" s="2056"/>
      <c r="F4" s="2056"/>
      <c r="G4" s="2056"/>
      <c r="H4" s="2056"/>
      <c r="I4" s="2056"/>
      <c r="J4" s="2056"/>
      <c r="K4" s="2056"/>
      <c r="L4" s="2056"/>
      <c r="M4" s="2056"/>
      <c r="N4" s="2056"/>
      <c r="O4" s="2056"/>
      <c r="P4" s="2056"/>
      <c r="Q4" s="2056"/>
      <c r="R4" s="2056"/>
      <c r="S4" s="2056"/>
      <c r="T4" s="2056"/>
      <c r="U4" s="2056"/>
      <c r="V4" s="2056"/>
      <c r="W4" s="2056"/>
    </row>
    <row r="5" spans="1:23" x14ac:dyDescent="0.4">
      <c r="C5" s="32"/>
      <c r="E5" s="6"/>
      <c r="H5" s="6"/>
      <c r="I5" s="6"/>
    </row>
    <row r="6" spans="1:23" x14ac:dyDescent="0.4">
      <c r="C6" s="32"/>
      <c r="E6" s="6"/>
      <c r="H6" s="6"/>
      <c r="I6" s="6"/>
    </row>
    <row r="7" spans="1:23" x14ac:dyDescent="0.4">
      <c r="C7" s="32" t="s">
        <v>550</v>
      </c>
      <c r="E7" s="6"/>
      <c r="H7" s="6"/>
      <c r="I7" s="6"/>
    </row>
    <row r="8" spans="1:23" x14ac:dyDescent="0.4">
      <c r="C8" s="32"/>
      <c r="E8" s="6"/>
      <c r="H8" s="6"/>
      <c r="I8" s="6"/>
    </row>
    <row r="9" spans="1:23" x14ac:dyDescent="0.4">
      <c r="C9" s="32"/>
      <c r="E9" s="6"/>
      <c r="H9" s="6"/>
      <c r="I9" s="6"/>
    </row>
    <row r="10" spans="1:23" x14ac:dyDescent="0.4">
      <c r="A10" s="1" t="s">
        <v>521</v>
      </c>
      <c r="B10" s="83" t="s">
        <v>522</v>
      </c>
      <c r="C10" s="83"/>
      <c r="D10" s="83"/>
      <c r="E10" s="83"/>
      <c r="F10" s="83"/>
      <c r="G10" s="83"/>
      <c r="H10" s="83"/>
      <c r="I10" s="51"/>
      <c r="J10" s="39"/>
      <c r="K10" s="51"/>
      <c r="L10" s="51"/>
      <c r="M10" s="39"/>
      <c r="N10" s="39"/>
      <c r="O10" s="51"/>
      <c r="P10" s="51"/>
      <c r="Q10" s="51"/>
      <c r="R10" s="368"/>
      <c r="S10" s="51"/>
      <c r="T10" s="51"/>
      <c r="U10" s="51"/>
      <c r="V10" s="51"/>
      <c r="W10" s="51"/>
    </row>
    <row r="11" spans="1:23" x14ac:dyDescent="0.4">
      <c r="B11" s="369"/>
      <c r="C11" s="84"/>
      <c r="D11" s="84"/>
      <c r="E11" s="84"/>
      <c r="F11" s="84"/>
      <c r="G11" s="84"/>
      <c r="H11" s="84"/>
      <c r="I11" s="51"/>
      <c r="J11" s="39"/>
      <c r="K11" s="51"/>
      <c r="L11" s="51"/>
      <c r="M11" s="39"/>
      <c r="N11" s="39"/>
      <c r="O11" s="51"/>
      <c r="P11" s="51"/>
      <c r="Q11" s="51"/>
      <c r="R11" s="368"/>
      <c r="S11" s="51"/>
      <c r="T11" s="51"/>
      <c r="U11" s="51"/>
      <c r="V11" s="51"/>
      <c r="W11" s="160" t="s">
        <v>110</v>
      </c>
    </row>
    <row r="12" spans="1:23" x14ac:dyDescent="0.4">
      <c r="B12" s="1947" t="s">
        <v>1</v>
      </c>
      <c r="C12" s="1947" t="s">
        <v>111</v>
      </c>
      <c r="D12" s="2052" t="s">
        <v>196</v>
      </c>
      <c r="E12" s="2052"/>
      <c r="F12" s="2052"/>
      <c r="G12" s="2052"/>
      <c r="H12" s="2052"/>
      <c r="I12" s="1947" t="s">
        <v>197</v>
      </c>
      <c r="J12" s="1947"/>
      <c r="K12" s="1947"/>
      <c r="L12" s="1947"/>
      <c r="M12" s="1947"/>
      <c r="N12" s="1947" t="s">
        <v>198</v>
      </c>
      <c r="O12" s="1947"/>
      <c r="P12" s="1947"/>
      <c r="Q12" s="1947"/>
      <c r="R12" s="1947"/>
      <c r="S12" s="1947" t="s">
        <v>199</v>
      </c>
      <c r="T12" s="1947"/>
      <c r="U12" s="1947"/>
      <c r="V12" s="1947"/>
      <c r="W12" s="1947"/>
    </row>
    <row r="13" spans="1:23" x14ac:dyDescent="0.4">
      <c r="B13" s="1947"/>
      <c r="C13" s="1947"/>
      <c r="D13" s="1947" t="s">
        <v>186</v>
      </c>
      <c r="E13" s="2051"/>
      <c r="F13" s="2051"/>
      <c r="G13" s="2051"/>
      <c r="H13" s="2051"/>
      <c r="I13" s="1947" t="s">
        <v>186</v>
      </c>
      <c r="J13" s="2051"/>
      <c r="K13" s="2051"/>
      <c r="L13" s="2051"/>
      <c r="M13" s="2051"/>
      <c r="N13" s="1947" t="s">
        <v>186</v>
      </c>
      <c r="O13" s="2051"/>
      <c r="P13" s="2051"/>
      <c r="Q13" s="2051"/>
      <c r="R13" s="2051"/>
      <c r="S13" s="1947" t="s">
        <v>186</v>
      </c>
      <c r="T13" s="2051"/>
      <c r="U13" s="2051"/>
      <c r="V13" s="2051"/>
      <c r="W13" s="2051"/>
    </row>
    <row r="14" spans="1:23" ht="27" x14ac:dyDescent="0.4">
      <c r="B14" s="1947"/>
      <c r="C14" s="1947"/>
      <c r="D14" s="106" t="s">
        <v>523</v>
      </c>
      <c r="E14" s="106" t="s">
        <v>524</v>
      </c>
      <c r="F14" s="106" t="s">
        <v>525</v>
      </c>
      <c r="G14" s="106" t="s">
        <v>543</v>
      </c>
      <c r="H14" s="106" t="s">
        <v>526</v>
      </c>
      <c r="I14" s="106" t="s">
        <v>523</v>
      </c>
      <c r="J14" s="106" t="s">
        <v>524</v>
      </c>
      <c r="K14" s="106" t="s">
        <v>525</v>
      </c>
      <c r="L14" s="106" t="s">
        <v>543</v>
      </c>
      <c r="M14" s="106" t="s">
        <v>526</v>
      </c>
      <c r="N14" s="106" t="s">
        <v>523</v>
      </c>
      <c r="O14" s="106" t="s">
        <v>524</v>
      </c>
      <c r="P14" s="106" t="s">
        <v>525</v>
      </c>
      <c r="Q14" s="106" t="s">
        <v>543</v>
      </c>
      <c r="R14" s="106" t="s">
        <v>526</v>
      </c>
      <c r="S14" s="106" t="s">
        <v>523</v>
      </c>
      <c r="T14" s="106" t="s">
        <v>524</v>
      </c>
      <c r="U14" s="106" t="s">
        <v>525</v>
      </c>
      <c r="V14" s="106" t="s">
        <v>543</v>
      </c>
      <c r="W14" s="106" t="s">
        <v>526</v>
      </c>
    </row>
    <row r="15" spans="1:23" s="27" customFormat="1" x14ac:dyDescent="0.35">
      <c r="B15" s="217"/>
      <c r="C15" s="217"/>
      <c r="D15" s="217" t="s">
        <v>128</v>
      </c>
      <c r="E15" s="217" t="s">
        <v>129</v>
      </c>
      <c r="F15" s="217" t="s">
        <v>527</v>
      </c>
      <c r="G15" s="217" t="s">
        <v>130</v>
      </c>
      <c r="H15" s="217" t="s">
        <v>544</v>
      </c>
      <c r="I15" s="217" t="s">
        <v>331</v>
      </c>
      <c r="J15" s="217" t="s">
        <v>132</v>
      </c>
      <c r="K15" s="217" t="s">
        <v>133</v>
      </c>
      <c r="L15" s="217" t="s">
        <v>332</v>
      </c>
      <c r="M15" s="217" t="s">
        <v>545</v>
      </c>
      <c r="N15" s="217" t="s">
        <v>528</v>
      </c>
      <c r="O15" s="217" t="s">
        <v>529</v>
      </c>
      <c r="P15" s="217" t="s">
        <v>334</v>
      </c>
      <c r="Q15" s="217" t="s">
        <v>530</v>
      </c>
      <c r="R15" s="217" t="s">
        <v>546</v>
      </c>
      <c r="S15" s="217" t="s">
        <v>532</v>
      </c>
      <c r="T15" s="217" t="s">
        <v>533</v>
      </c>
      <c r="U15" s="217" t="s">
        <v>534</v>
      </c>
      <c r="V15" s="217" t="s">
        <v>535</v>
      </c>
      <c r="W15" s="217" t="s">
        <v>547</v>
      </c>
    </row>
    <row r="16" spans="1:23" s="6" customFormat="1" x14ac:dyDescent="0.35">
      <c r="B16" s="1133">
        <v>1</v>
      </c>
      <c r="C16" s="1134" t="s">
        <v>1410</v>
      </c>
      <c r="D16" s="52"/>
      <c r="E16" s="52"/>
      <c r="F16" s="52"/>
      <c r="G16" s="372"/>
      <c r="H16" s="761">
        <f>+D16+E16-F16-G16</f>
        <v>0</v>
      </c>
      <c r="I16" s="1141">
        <f>+H16</f>
        <v>0</v>
      </c>
      <c r="J16" s="86"/>
      <c r="K16" s="86"/>
      <c r="L16" s="372"/>
      <c r="M16" s="761">
        <f>+I16+J16-K16-L16</f>
        <v>0</v>
      </c>
      <c r="N16" s="1141">
        <f>+M16</f>
        <v>0</v>
      </c>
      <c r="O16" s="86"/>
      <c r="P16" s="86"/>
      <c r="Q16" s="372"/>
      <c r="R16" s="761">
        <f>+N16+O16-P16-Q16</f>
        <v>0</v>
      </c>
      <c r="S16" s="1141">
        <f>+R16</f>
        <v>0</v>
      </c>
      <c r="T16" s="86"/>
      <c r="U16" s="86"/>
      <c r="V16" s="372"/>
      <c r="W16" s="761">
        <f>+S16+T16-U16-V16</f>
        <v>0</v>
      </c>
    </row>
    <row r="17" spans="2:23" s="6" customFormat="1" x14ac:dyDescent="0.35">
      <c r="B17" s="1133">
        <v>2</v>
      </c>
      <c r="C17" s="1134" t="s">
        <v>1409</v>
      </c>
      <c r="D17" s="52"/>
      <c r="E17" s="52"/>
      <c r="F17" s="52"/>
      <c r="G17" s="372"/>
      <c r="H17" s="761">
        <f t="shared" ref="H17:H23" si="0">+D17+E17-F17-G17</f>
        <v>0</v>
      </c>
      <c r="I17" s="1141">
        <f t="shared" ref="I17:I23" si="1">+H17</f>
        <v>0</v>
      </c>
      <c r="J17" s="86"/>
      <c r="K17" s="86"/>
      <c r="L17" s="372"/>
      <c r="M17" s="761">
        <f t="shared" ref="M17:M23" si="2">+I17+J17-K17-L17</f>
        <v>0</v>
      </c>
      <c r="N17" s="1141">
        <f t="shared" ref="N17:N23" si="3">+M17</f>
        <v>0</v>
      </c>
      <c r="O17" s="86"/>
      <c r="P17" s="86"/>
      <c r="Q17" s="372"/>
      <c r="R17" s="761">
        <f t="shared" ref="R17:R23" si="4">+N17+O17-P17-Q17</f>
        <v>0</v>
      </c>
      <c r="S17" s="1141">
        <f t="shared" ref="S17:S23" si="5">+R17</f>
        <v>0</v>
      </c>
      <c r="T17" s="86"/>
      <c r="U17" s="86"/>
      <c r="V17" s="372"/>
      <c r="W17" s="761">
        <f t="shared" ref="W17:W23" si="6">+S17+T17-U17-V17</f>
        <v>0</v>
      </c>
    </row>
    <row r="18" spans="2:23" s="6" customFormat="1" x14ac:dyDescent="0.35">
      <c r="B18" s="1133">
        <v>3</v>
      </c>
      <c r="C18" s="1134" t="s">
        <v>440</v>
      </c>
      <c r="D18" s="275"/>
      <c r="E18" s="275"/>
      <c r="F18" s="275"/>
      <c r="G18" s="373"/>
      <c r="H18" s="761">
        <f t="shared" si="0"/>
        <v>0</v>
      </c>
      <c r="I18" s="1141">
        <f t="shared" si="1"/>
        <v>0</v>
      </c>
      <c r="J18" s="86"/>
      <c r="K18" s="86"/>
      <c r="L18" s="373"/>
      <c r="M18" s="761">
        <f t="shared" si="2"/>
        <v>0</v>
      </c>
      <c r="N18" s="1141">
        <f t="shared" si="3"/>
        <v>0</v>
      </c>
      <c r="O18" s="86"/>
      <c r="P18" s="86"/>
      <c r="Q18" s="373"/>
      <c r="R18" s="761">
        <f t="shared" si="4"/>
        <v>0</v>
      </c>
      <c r="S18" s="1141">
        <f t="shared" si="5"/>
        <v>0</v>
      </c>
      <c r="T18" s="86"/>
      <c r="U18" s="86"/>
      <c r="V18" s="373"/>
      <c r="W18" s="761">
        <f t="shared" si="6"/>
        <v>0</v>
      </c>
    </row>
    <row r="19" spans="2:23" x14ac:dyDescent="0.4">
      <c r="B19" s="1133">
        <v>4</v>
      </c>
      <c r="C19" s="1134" t="s">
        <v>915</v>
      </c>
      <c r="D19" s="52"/>
      <c r="E19" s="52"/>
      <c r="F19" s="52"/>
      <c r="G19" s="372"/>
      <c r="H19" s="761">
        <f t="shared" si="0"/>
        <v>0</v>
      </c>
      <c r="I19" s="1141">
        <f t="shared" si="1"/>
        <v>0</v>
      </c>
      <c r="J19" s="86"/>
      <c r="K19" s="86"/>
      <c r="L19" s="372"/>
      <c r="M19" s="761">
        <f t="shared" si="2"/>
        <v>0</v>
      </c>
      <c r="N19" s="1141">
        <f t="shared" si="3"/>
        <v>0</v>
      </c>
      <c r="O19" s="86"/>
      <c r="P19" s="86"/>
      <c r="Q19" s="372"/>
      <c r="R19" s="761">
        <f t="shared" si="4"/>
        <v>0</v>
      </c>
      <c r="S19" s="1141">
        <f t="shared" si="5"/>
        <v>0</v>
      </c>
      <c r="T19" s="86"/>
      <c r="U19" s="86"/>
      <c r="V19" s="372"/>
      <c r="W19" s="761">
        <f t="shared" si="6"/>
        <v>0</v>
      </c>
    </row>
    <row r="20" spans="2:23" x14ac:dyDescent="0.4">
      <c r="B20" s="1133">
        <v>5</v>
      </c>
      <c r="C20" s="1134" t="s">
        <v>447</v>
      </c>
      <c r="D20" s="52"/>
      <c r="E20" s="52"/>
      <c r="F20" s="52"/>
      <c r="G20" s="372"/>
      <c r="H20" s="761">
        <f t="shared" si="0"/>
        <v>0</v>
      </c>
      <c r="I20" s="1141">
        <f t="shared" si="1"/>
        <v>0</v>
      </c>
      <c r="J20" s="86"/>
      <c r="K20" s="86"/>
      <c r="L20" s="372"/>
      <c r="M20" s="761">
        <f t="shared" si="2"/>
        <v>0</v>
      </c>
      <c r="N20" s="1141">
        <f t="shared" si="3"/>
        <v>0</v>
      </c>
      <c r="O20" s="86"/>
      <c r="P20" s="86"/>
      <c r="Q20" s="372"/>
      <c r="R20" s="761">
        <f t="shared" si="4"/>
        <v>0</v>
      </c>
      <c r="S20" s="1141">
        <f t="shared" si="5"/>
        <v>0</v>
      </c>
      <c r="T20" s="86"/>
      <c r="U20" s="86"/>
      <c r="V20" s="372"/>
      <c r="W20" s="761">
        <f t="shared" si="6"/>
        <v>0</v>
      </c>
    </row>
    <row r="21" spans="2:23" x14ac:dyDescent="0.4">
      <c r="B21" s="1133">
        <v>6</v>
      </c>
      <c r="C21" s="1134" t="s">
        <v>879</v>
      </c>
      <c r="D21" s="52"/>
      <c r="E21" s="52"/>
      <c r="F21" s="52"/>
      <c r="G21" s="372"/>
      <c r="H21" s="761">
        <f t="shared" si="0"/>
        <v>0</v>
      </c>
      <c r="I21" s="1141">
        <f t="shared" si="1"/>
        <v>0</v>
      </c>
      <c r="J21" s="86"/>
      <c r="K21" s="86"/>
      <c r="L21" s="372"/>
      <c r="M21" s="761">
        <f t="shared" si="2"/>
        <v>0</v>
      </c>
      <c r="N21" s="1141">
        <f t="shared" si="3"/>
        <v>0</v>
      </c>
      <c r="O21" s="86"/>
      <c r="P21" s="86"/>
      <c r="Q21" s="372"/>
      <c r="R21" s="761">
        <f t="shared" si="4"/>
        <v>0</v>
      </c>
      <c r="S21" s="1141">
        <f t="shared" si="5"/>
        <v>0</v>
      </c>
      <c r="T21" s="86"/>
      <c r="U21" s="86"/>
      <c r="V21" s="372"/>
      <c r="W21" s="761">
        <f t="shared" si="6"/>
        <v>0</v>
      </c>
    </row>
    <row r="22" spans="2:23" x14ac:dyDescent="0.4">
      <c r="B22" s="1133">
        <v>7</v>
      </c>
      <c r="C22" s="1135" t="s">
        <v>1269</v>
      </c>
      <c r="D22" s="86"/>
      <c r="E22" s="86"/>
      <c r="F22" s="86"/>
      <c r="G22" s="374"/>
      <c r="H22" s="761">
        <f t="shared" si="0"/>
        <v>0</v>
      </c>
      <c r="I22" s="1141">
        <f t="shared" si="1"/>
        <v>0</v>
      </c>
      <c r="J22" s="370"/>
      <c r="K22" s="370"/>
      <c r="L22" s="374"/>
      <c r="M22" s="761">
        <f t="shared" si="2"/>
        <v>0</v>
      </c>
      <c r="N22" s="1141">
        <f t="shared" si="3"/>
        <v>0</v>
      </c>
      <c r="O22" s="370"/>
      <c r="P22" s="370"/>
      <c r="Q22" s="374"/>
      <c r="R22" s="761">
        <f t="shared" si="4"/>
        <v>0</v>
      </c>
      <c r="S22" s="1141">
        <f t="shared" si="5"/>
        <v>0</v>
      </c>
      <c r="T22" s="370"/>
      <c r="U22" s="370"/>
      <c r="V22" s="374"/>
      <c r="W22" s="761">
        <f t="shared" si="6"/>
        <v>0</v>
      </c>
    </row>
    <row r="23" spans="2:23" ht="15.4" x14ac:dyDescent="0.4">
      <c r="B23" s="1133">
        <v>8</v>
      </c>
      <c r="C23" s="1135" t="s">
        <v>1270</v>
      </c>
      <c r="D23" s="94"/>
      <c r="E23" s="94"/>
      <c r="F23" s="94"/>
      <c r="G23" s="375"/>
      <c r="H23" s="761">
        <f t="shared" si="0"/>
        <v>0</v>
      </c>
      <c r="I23" s="1141">
        <f t="shared" si="1"/>
        <v>0</v>
      </c>
      <c r="J23" s="371"/>
      <c r="K23" s="371"/>
      <c r="L23" s="375"/>
      <c r="M23" s="761">
        <f t="shared" si="2"/>
        <v>0</v>
      </c>
      <c r="N23" s="1141">
        <f t="shared" si="3"/>
        <v>0</v>
      </c>
      <c r="O23" s="371"/>
      <c r="P23" s="371"/>
      <c r="Q23" s="375"/>
      <c r="R23" s="761">
        <f t="shared" si="4"/>
        <v>0</v>
      </c>
      <c r="S23" s="1141">
        <f t="shared" si="5"/>
        <v>0</v>
      </c>
      <c r="T23" s="371"/>
      <c r="U23" s="371"/>
      <c r="V23" s="375"/>
      <c r="W23" s="761">
        <f t="shared" si="6"/>
        <v>0</v>
      </c>
    </row>
    <row r="24" spans="2:23" ht="14.65" x14ac:dyDescent="0.4">
      <c r="B24" s="1136"/>
      <c r="C24" s="1137" t="s">
        <v>164</v>
      </c>
      <c r="D24" s="1140">
        <f>SUM(D16:D23)</f>
        <v>0</v>
      </c>
      <c r="E24" s="1140">
        <f t="shared" ref="E24:W24" si="7">SUM(E16:E23)</f>
        <v>0</v>
      </c>
      <c r="F24" s="1140">
        <f t="shared" si="7"/>
        <v>0</v>
      </c>
      <c r="G24" s="1140">
        <f t="shared" si="7"/>
        <v>0</v>
      </c>
      <c r="H24" s="1140">
        <f t="shared" si="7"/>
        <v>0</v>
      </c>
      <c r="I24" s="1140">
        <f t="shared" si="7"/>
        <v>0</v>
      </c>
      <c r="J24" s="1140">
        <f t="shared" si="7"/>
        <v>0</v>
      </c>
      <c r="K24" s="1140">
        <f t="shared" si="7"/>
        <v>0</v>
      </c>
      <c r="L24" s="1140">
        <f t="shared" si="7"/>
        <v>0</v>
      </c>
      <c r="M24" s="1140">
        <f t="shared" si="7"/>
        <v>0</v>
      </c>
      <c r="N24" s="1140">
        <f t="shared" si="7"/>
        <v>0</v>
      </c>
      <c r="O24" s="1140">
        <f t="shared" si="7"/>
        <v>0</v>
      </c>
      <c r="P24" s="1140">
        <f t="shared" si="7"/>
        <v>0</v>
      </c>
      <c r="Q24" s="1140">
        <f t="shared" si="7"/>
        <v>0</v>
      </c>
      <c r="R24" s="1140">
        <f t="shared" si="7"/>
        <v>0</v>
      </c>
      <c r="S24" s="1140">
        <f t="shared" si="7"/>
        <v>0</v>
      </c>
      <c r="T24" s="1140">
        <f t="shared" si="7"/>
        <v>0</v>
      </c>
      <c r="U24" s="1140">
        <f t="shared" si="7"/>
        <v>0</v>
      </c>
      <c r="V24" s="1140">
        <f t="shared" si="7"/>
        <v>0</v>
      </c>
      <c r="W24" s="1140">
        <f t="shared" si="7"/>
        <v>0</v>
      </c>
    </row>
    <row r="25" spans="2:23" ht="14.65" x14ac:dyDescent="0.4">
      <c r="B25" s="1138"/>
      <c r="C25" s="1139"/>
      <c r="D25" s="84"/>
      <c r="E25" s="84"/>
      <c r="F25" s="84"/>
      <c r="G25" s="84"/>
      <c r="H25" s="84"/>
      <c r="I25" s="51"/>
      <c r="J25" s="39"/>
      <c r="K25" s="51"/>
      <c r="L25" s="51"/>
      <c r="M25" s="39"/>
      <c r="N25" s="39"/>
      <c r="O25" s="51"/>
      <c r="P25" s="51"/>
      <c r="Q25" s="51"/>
      <c r="R25" s="51"/>
      <c r="S25" s="51"/>
      <c r="T25" s="51"/>
      <c r="U25" s="51"/>
      <c r="V25" s="51"/>
      <c r="W25" s="51"/>
    </row>
    <row r="26" spans="2:23" x14ac:dyDescent="0.4">
      <c r="B26" s="1947" t="s">
        <v>1</v>
      </c>
      <c r="C26" s="1947" t="s">
        <v>111</v>
      </c>
      <c r="D26" s="2052" t="s">
        <v>112</v>
      </c>
      <c r="E26" s="2052"/>
      <c r="F26" s="2052"/>
      <c r="G26" s="2052"/>
      <c r="H26" s="2052"/>
      <c r="I26" s="2052" t="s">
        <v>113</v>
      </c>
      <c r="J26" s="2052"/>
      <c r="K26" s="2052"/>
      <c r="L26" s="2052"/>
      <c r="M26" s="2052"/>
      <c r="N26" s="1947" t="s">
        <v>114</v>
      </c>
      <c r="O26" s="1947"/>
      <c r="P26" s="1947"/>
      <c r="Q26" s="1947"/>
      <c r="R26" s="1947"/>
      <c r="S26" s="1947" t="s">
        <v>123</v>
      </c>
      <c r="T26" s="1947"/>
      <c r="U26" s="1947"/>
      <c r="V26" s="1947"/>
      <c r="W26" s="1947"/>
    </row>
    <row r="27" spans="2:23" x14ac:dyDescent="0.4">
      <c r="B27" s="1947"/>
      <c r="C27" s="1947"/>
      <c r="D27" s="1947" t="s">
        <v>186</v>
      </c>
      <c r="E27" s="2051"/>
      <c r="F27" s="2051"/>
      <c r="G27" s="2051"/>
      <c r="H27" s="2051"/>
      <c r="I27" s="1947" t="s">
        <v>186</v>
      </c>
      <c r="J27" s="2051"/>
      <c r="K27" s="2051"/>
      <c r="L27" s="2051"/>
      <c r="M27" s="2051"/>
      <c r="N27" s="1947" t="s">
        <v>187</v>
      </c>
      <c r="O27" s="2051"/>
      <c r="P27" s="2051"/>
      <c r="Q27" s="2051"/>
      <c r="R27" s="2051"/>
      <c r="S27" s="1947" t="s">
        <v>135</v>
      </c>
      <c r="T27" s="2051"/>
      <c r="U27" s="2051"/>
      <c r="V27" s="2051"/>
      <c r="W27" s="2051"/>
    </row>
    <row r="28" spans="2:23" ht="27" x14ac:dyDescent="0.4">
      <c r="B28" s="1947"/>
      <c r="C28" s="1947"/>
      <c r="D28" s="106" t="s">
        <v>523</v>
      </c>
      <c r="E28" s="106" t="s">
        <v>524</v>
      </c>
      <c r="F28" s="106" t="s">
        <v>525</v>
      </c>
      <c r="G28" s="106" t="s">
        <v>543</v>
      </c>
      <c r="H28" s="106" t="s">
        <v>526</v>
      </c>
      <c r="I28" s="106" t="s">
        <v>523</v>
      </c>
      <c r="J28" s="106" t="s">
        <v>524</v>
      </c>
      <c r="K28" s="106" t="s">
        <v>525</v>
      </c>
      <c r="L28" s="106" t="s">
        <v>543</v>
      </c>
      <c r="M28" s="106" t="s">
        <v>526</v>
      </c>
      <c r="N28" s="106" t="s">
        <v>523</v>
      </c>
      <c r="O28" s="106" t="s">
        <v>524</v>
      </c>
      <c r="P28" s="106" t="s">
        <v>525</v>
      </c>
      <c r="Q28" s="106" t="s">
        <v>543</v>
      </c>
      <c r="R28" s="106" t="s">
        <v>526</v>
      </c>
      <c r="S28" s="106" t="s">
        <v>523</v>
      </c>
      <c r="T28" s="106" t="s">
        <v>524</v>
      </c>
      <c r="U28" s="106" t="s">
        <v>525</v>
      </c>
      <c r="V28" s="106" t="s">
        <v>543</v>
      </c>
      <c r="W28" s="106" t="s">
        <v>526</v>
      </c>
    </row>
    <row r="29" spans="2:23" s="27" customFormat="1" x14ac:dyDescent="0.35">
      <c r="B29" s="217"/>
      <c r="C29" s="217"/>
      <c r="D29" s="217" t="s">
        <v>128</v>
      </c>
      <c r="E29" s="217" t="s">
        <v>129</v>
      </c>
      <c r="F29" s="217" t="s">
        <v>527</v>
      </c>
      <c r="G29" s="217" t="s">
        <v>130</v>
      </c>
      <c r="H29" s="217" t="s">
        <v>544</v>
      </c>
      <c r="I29" s="217" t="s">
        <v>331</v>
      </c>
      <c r="J29" s="217" t="s">
        <v>132</v>
      </c>
      <c r="K29" s="217" t="s">
        <v>133</v>
      </c>
      <c r="L29" s="217" t="s">
        <v>332</v>
      </c>
      <c r="M29" s="217" t="s">
        <v>545</v>
      </c>
      <c r="N29" s="217" t="s">
        <v>528</v>
      </c>
      <c r="O29" s="217" t="s">
        <v>529</v>
      </c>
      <c r="P29" s="217" t="s">
        <v>334</v>
      </c>
      <c r="Q29" s="217" t="s">
        <v>530</v>
      </c>
      <c r="R29" s="217" t="s">
        <v>546</v>
      </c>
      <c r="S29" s="217" t="s">
        <v>532</v>
      </c>
      <c r="T29" s="217" t="s">
        <v>533</v>
      </c>
      <c r="U29" s="217" t="s">
        <v>534</v>
      </c>
      <c r="V29" s="217" t="s">
        <v>535</v>
      </c>
      <c r="W29" s="217" t="s">
        <v>547</v>
      </c>
    </row>
    <row r="30" spans="2:23" s="6" customFormat="1" x14ac:dyDescent="0.35">
      <c r="B30" s="1133">
        <v>1</v>
      </c>
      <c r="C30" s="1134" t="s">
        <v>1410</v>
      </c>
      <c r="D30" s="1142">
        <f>+W16</f>
        <v>0</v>
      </c>
      <c r="E30" s="52"/>
      <c r="F30" s="52"/>
      <c r="G30" s="372"/>
      <c r="H30" s="761">
        <f>+D30+E30-F30-G30</f>
        <v>0</v>
      </c>
      <c r="I30" s="1141">
        <f>+H30</f>
        <v>0</v>
      </c>
      <c r="J30" s="86"/>
      <c r="K30" s="86"/>
      <c r="L30" s="372"/>
      <c r="M30" s="761">
        <f>+I30+J30-K30-L30</f>
        <v>0</v>
      </c>
      <c r="N30" s="1141">
        <f>+M30</f>
        <v>0</v>
      </c>
      <c r="O30" s="86"/>
      <c r="P30" s="86"/>
      <c r="Q30" s="372"/>
      <c r="R30" s="761">
        <f>+N30+O30-P30-Q30</f>
        <v>0</v>
      </c>
      <c r="S30" s="1141">
        <f>+R30</f>
        <v>0</v>
      </c>
      <c r="T30" s="86"/>
      <c r="U30" s="86"/>
      <c r="V30" s="372"/>
      <c r="W30" s="761">
        <f>+S30+T30-U30-V30</f>
        <v>0</v>
      </c>
    </row>
    <row r="31" spans="2:23" s="6" customFormat="1" x14ac:dyDescent="0.35">
      <c r="B31" s="1133">
        <v>2</v>
      </c>
      <c r="C31" s="1134" t="s">
        <v>1409</v>
      </c>
      <c r="D31" s="1142">
        <f t="shared" ref="D31:D37" si="8">+W17</f>
        <v>0</v>
      </c>
      <c r="E31" s="52"/>
      <c r="F31" s="52"/>
      <c r="G31" s="372"/>
      <c r="H31" s="761">
        <f t="shared" ref="H31:H37" si="9">+D31+E31-F31-G31</f>
        <v>0</v>
      </c>
      <c r="I31" s="1141">
        <f t="shared" ref="I31:I37" si="10">+H31</f>
        <v>0</v>
      </c>
      <c r="J31" s="86"/>
      <c r="K31" s="86"/>
      <c r="L31" s="372"/>
      <c r="M31" s="761">
        <f t="shared" ref="M31:M37" si="11">+I31+J31-K31-L31</f>
        <v>0</v>
      </c>
      <c r="N31" s="1141">
        <f t="shared" ref="N31:N37" si="12">+M31</f>
        <v>0</v>
      </c>
      <c r="O31" s="86"/>
      <c r="P31" s="86"/>
      <c r="Q31" s="372"/>
      <c r="R31" s="761">
        <f t="shared" ref="R31:R37" si="13">+N31+O31-P31-Q31</f>
        <v>0</v>
      </c>
      <c r="S31" s="1141">
        <f t="shared" ref="S31:S37" si="14">+R31</f>
        <v>0</v>
      </c>
      <c r="T31" s="86"/>
      <c r="U31" s="86"/>
      <c r="V31" s="372"/>
      <c r="W31" s="761">
        <f t="shared" ref="W31:W37" si="15">+S31+T31-U31-V31</f>
        <v>0</v>
      </c>
    </row>
    <row r="32" spans="2:23" s="6" customFormat="1" x14ac:dyDescent="0.35">
      <c r="B32" s="1133">
        <v>3</v>
      </c>
      <c r="C32" s="1134" t="s">
        <v>440</v>
      </c>
      <c r="D32" s="1142">
        <f t="shared" si="8"/>
        <v>0</v>
      </c>
      <c r="E32" s="275"/>
      <c r="F32" s="275"/>
      <c r="G32" s="373"/>
      <c r="H32" s="761">
        <f t="shared" si="9"/>
        <v>0</v>
      </c>
      <c r="I32" s="1141">
        <f t="shared" si="10"/>
        <v>0</v>
      </c>
      <c r="J32" s="86"/>
      <c r="K32" s="86"/>
      <c r="L32" s="373"/>
      <c r="M32" s="761">
        <f t="shared" si="11"/>
        <v>0</v>
      </c>
      <c r="N32" s="1141">
        <f t="shared" si="12"/>
        <v>0</v>
      </c>
      <c r="O32" s="86"/>
      <c r="P32" s="86"/>
      <c r="Q32" s="373"/>
      <c r="R32" s="761">
        <f t="shared" si="13"/>
        <v>0</v>
      </c>
      <c r="S32" s="1141">
        <f t="shared" si="14"/>
        <v>0</v>
      </c>
      <c r="T32" s="86"/>
      <c r="U32" s="86"/>
      <c r="V32" s="373"/>
      <c r="W32" s="761">
        <f t="shared" si="15"/>
        <v>0</v>
      </c>
    </row>
    <row r="33" spans="2:23" x14ac:dyDescent="0.4">
      <c r="B33" s="1133">
        <v>4</v>
      </c>
      <c r="C33" s="1134" t="s">
        <v>915</v>
      </c>
      <c r="D33" s="1142">
        <f t="shared" si="8"/>
        <v>0</v>
      </c>
      <c r="E33" s="52"/>
      <c r="F33" s="52"/>
      <c r="G33" s="372"/>
      <c r="H33" s="761">
        <f t="shared" si="9"/>
        <v>0</v>
      </c>
      <c r="I33" s="1141">
        <f t="shared" si="10"/>
        <v>0</v>
      </c>
      <c r="J33" s="86"/>
      <c r="K33" s="86"/>
      <c r="L33" s="372"/>
      <c r="M33" s="761">
        <f t="shared" si="11"/>
        <v>0</v>
      </c>
      <c r="N33" s="1141">
        <f t="shared" si="12"/>
        <v>0</v>
      </c>
      <c r="O33" s="86"/>
      <c r="P33" s="86"/>
      <c r="Q33" s="372"/>
      <c r="R33" s="761">
        <f t="shared" si="13"/>
        <v>0</v>
      </c>
      <c r="S33" s="1141">
        <f t="shared" si="14"/>
        <v>0</v>
      </c>
      <c r="T33" s="86">
        <f>+'F4.2'!AY49</f>
        <v>0.10798000000000001</v>
      </c>
      <c r="U33" s="86"/>
      <c r="V33" s="372"/>
      <c r="W33" s="761">
        <f t="shared" si="15"/>
        <v>0.10798000000000001</v>
      </c>
    </row>
    <row r="34" spans="2:23" x14ac:dyDescent="0.4">
      <c r="B34" s="1133">
        <v>5</v>
      </c>
      <c r="C34" s="1134" t="s">
        <v>447</v>
      </c>
      <c r="D34" s="1142">
        <f t="shared" si="8"/>
        <v>0</v>
      </c>
      <c r="E34" s="52"/>
      <c r="F34" s="52"/>
      <c r="G34" s="372"/>
      <c r="H34" s="761">
        <f t="shared" si="9"/>
        <v>0</v>
      </c>
      <c r="I34" s="1141">
        <f t="shared" si="10"/>
        <v>0</v>
      </c>
      <c r="J34" s="86"/>
      <c r="K34" s="86"/>
      <c r="L34" s="372"/>
      <c r="M34" s="761">
        <f t="shared" si="11"/>
        <v>0</v>
      </c>
      <c r="N34" s="1141">
        <f t="shared" si="12"/>
        <v>0</v>
      </c>
      <c r="O34" s="86"/>
      <c r="P34" s="86"/>
      <c r="Q34" s="372"/>
      <c r="R34" s="761">
        <f t="shared" si="13"/>
        <v>0</v>
      </c>
      <c r="S34" s="1141">
        <f t="shared" si="14"/>
        <v>0</v>
      </c>
      <c r="T34" s="86"/>
      <c r="U34" s="86"/>
      <c r="V34" s="372"/>
      <c r="W34" s="761">
        <f t="shared" si="15"/>
        <v>0</v>
      </c>
    </row>
    <row r="35" spans="2:23" x14ac:dyDescent="0.4">
      <c r="B35" s="1133">
        <v>6</v>
      </c>
      <c r="C35" s="1134" t="s">
        <v>879</v>
      </c>
      <c r="D35" s="1142">
        <f t="shared" si="8"/>
        <v>0</v>
      </c>
      <c r="E35" s="52"/>
      <c r="F35" s="52"/>
      <c r="G35" s="372"/>
      <c r="H35" s="761">
        <f t="shared" si="9"/>
        <v>0</v>
      </c>
      <c r="I35" s="1141">
        <f t="shared" si="10"/>
        <v>0</v>
      </c>
      <c r="J35" s="86"/>
      <c r="K35" s="86"/>
      <c r="L35" s="372"/>
      <c r="M35" s="761">
        <f t="shared" si="11"/>
        <v>0</v>
      </c>
      <c r="N35" s="1141">
        <f t="shared" si="12"/>
        <v>0</v>
      </c>
      <c r="O35" s="86"/>
      <c r="P35" s="86"/>
      <c r="Q35" s="372"/>
      <c r="R35" s="761">
        <f t="shared" si="13"/>
        <v>0</v>
      </c>
      <c r="S35" s="1141">
        <f t="shared" si="14"/>
        <v>0</v>
      </c>
      <c r="T35" s="86"/>
      <c r="U35" s="86"/>
      <c r="V35" s="372"/>
      <c r="W35" s="761">
        <f t="shared" si="15"/>
        <v>0</v>
      </c>
    </row>
    <row r="36" spans="2:23" x14ac:dyDescent="0.4">
      <c r="B36" s="1133">
        <v>7</v>
      </c>
      <c r="C36" s="1135" t="s">
        <v>1269</v>
      </c>
      <c r="D36" s="1142">
        <f t="shared" si="8"/>
        <v>0</v>
      </c>
      <c r="E36" s="86"/>
      <c r="F36" s="86"/>
      <c r="G36" s="374"/>
      <c r="H36" s="761">
        <f t="shared" si="9"/>
        <v>0</v>
      </c>
      <c r="I36" s="1141">
        <f t="shared" si="10"/>
        <v>0</v>
      </c>
      <c r="J36" s="370"/>
      <c r="K36" s="370"/>
      <c r="L36" s="374"/>
      <c r="M36" s="761">
        <f t="shared" si="11"/>
        <v>0</v>
      </c>
      <c r="N36" s="1141">
        <f t="shared" si="12"/>
        <v>0</v>
      </c>
      <c r="O36" s="370"/>
      <c r="P36" s="370"/>
      <c r="Q36" s="374"/>
      <c r="R36" s="761">
        <f t="shared" si="13"/>
        <v>0</v>
      </c>
      <c r="S36" s="1141">
        <f t="shared" si="14"/>
        <v>0</v>
      </c>
      <c r="T36" s="370"/>
      <c r="U36" s="370"/>
      <c r="V36" s="374"/>
      <c r="W36" s="761">
        <f t="shared" si="15"/>
        <v>0</v>
      </c>
    </row>
    <row r="37" spans="2:23" ht="15.4" x14ac:dyDescent="0.4">
      <c r="B37" s="1133">
        <v>8</v>
      </c>
      <c r="C37" s="1135" t="s">
        <v>1270</v>
      </c>
      <c r="D37" s="1142">
        <f t="shared" si="8"/>
        <v>0</v>
      </c>
      <c r="E37" s="94"/>
      <c r="F37" s="94"/>
      <c r="G37" s="375"/>
      <c r="H37" s="761">
        <f t="shared" si="9"/>
        <v>0</v>
      </c>
      <c r="I37" s="1141">
        <f t="shared" si="10"/>
        <v>0</v>
      </c>
      <c r="J37" s="371"/>
      <c r="K37" s="371"/>
      <c r="L37" s="375"/>
      <c r="M37" s="761">
        <f t="shared" si="11"/>
        <v>0</v>
      </c>
      <c r="N37" s="1141">
        <f t="shared" si="12"/>
        <v>0</v>
      </c>
      <c r="O37" s="371"/>
      <c r="P37" s="371"/>
      <c r="Q37" s="375"/>
      <c r="R37" s="761">
        <f t="shared" si="13"/>
        <v>0</v>
      </c>
      <c r="S37" s="1141">
        <f t="shared" si="14"/>
        <v>0</v>
      </c>
      <c r="T37" s="371"/>
      <c r="U37" s="371"/>
      <c r="V37" s="375"/>
      <c r="W37" s="761">
        <f t="shared" si="15"/>
        <v>0</v>
      </c>
    </row>
    <row r="38" spans="2:23" ht="14.65" x14ac:dyDescent="0.4">
      <c r="B38" s="1136"/>
      <c r="C38" s="1137" t="s">
        <v>164</v>
      </c>
      <c r="D38" s="1140">
        <f>SUM(D30:D37)</f>
        <v>0</v>
      </c>
      <c r="E38" s="1140">
        <f t="shared" ref="E38:W38" si="16">SUM(E30:E37)</f>
        <v>0</v>
      </c>
      <c r="F38" s="1140">
        <f t="shared" si="16"/>
        <v>0</v>
      </c>
      <c r="G38" s="1140">
        <f t="shared" si="16"/>
        <v>0</v>
      </c>
      <c r="H38" s="1140">
        <f t="shared" si="16"/>
        <v>0</v>
      </c>
      <c r="I38" s="1140">
        <f t="shared" si="16"/>
        <v>0</v>
      </c>
      <c r="J38" s="1140">
        <f t="shared" si="16"/>
        <v>0</v>
      </c>
      <c r="K38" s="1140">
        <f t="shared" si="16"/>
        <v>0</v>
      </c>
      <c r="L38" s="1140">
        <f t="shared" si="16"/>
        <v>0</v>
      </c>
      <c r="M38" s="1140">
        <f t="shared" si="16"/>
        <v>0</v>
      </c>
      <c r="N38" s="1140">
        <f t="shared" si="16"/>
        <v>0</v>
      </c>
      <c r="O38" s="1140">
        <f t="shared" si="16"/>
        <v>0</v>
      </c>
      <c r="P38" s="1140">
        <f t="shared" si="16"/>
        <v>0</v>
      </c>
      <c r="Q38" s="1140">
        <f t="shared" si="16"/>
        <v>0</v>
      </c>
      <c r="R38" s="1140">
        <f t="shared" si="16"/>
        <v>0</v>
      </c>
      <c r="S38" s="1140">
        <f t="shared" si="16"/>
        <v>0</v>
      </c>
      <c r="T38" s="1140">
        <f t="shared" si="16"/>
        <v>0.10798000000000001</v>
      </c>
      <c r="U38" s="1140">
        <f t="shared" si="16"/>
        <v>0</v>
      </c>
      <c r="V38" s="1140">
        <f t="shared" si="16"/>
        <v>0</v>
      </c>
      <c r="W38" s="1140">
        <f t="shared" si="16"/>
        <v>0.10798000000000001</v>
      </c>
    </row>
    <row r="39" spans="2:23" x14ac:dyDescent="0.4">
      <c r="B39" s="83"/>
      <c r="C39" s="84"/>
      <c r="D39" s="84"/>
      <c r="E39" s="84"/>
      <c r="F39" s="84"/>
      <c r="G39" s="84"/>
      <c r="H39" s="84"/>
      <c r="I39" s="51"/>
      <c r="J39" s="39"/>
      <c r="K39" s="51"/>
      <c r="L39" s="51"/>
      <c r="M39" s="39"/>
      <c r="N39" s="39"/>
      <c r="O39" s="51"/>
      <c r="P39" s="51"/>
      <c r="Q39" s="51"/>
      <c r="R39" s="51"/>
      <c r="S39" s="51"/>
      <c r="T39" s="51"/>
      <c r="U39" s="51"/>
      <c r="V39" s="51"/>
      <c r="W39" s="51"/>
    </row>
    <row r="40" spans="2:23" x14ac:dyDescent="0.4">
      <c r="B40" s="1947" t="s">
        <v>1</v>
      </c>
      <c r="C40" s="1947" t="s">
        <v>111</v>
      </c>
      <c r="D40" s="2052" t="s">
        <v>124</v>
      </c>
      <c r="E40" s="2052"/>
      <c r="F40" s="2052"/>
      <c r="G40" s="2052"/>
      <c r="H40" s="2052"/>
      <c r="I40" s="2052" t="s">
        <v>125</v>
      </c>
      <c r="J40" s="2052"/>
      <c r="K40" s="2052"/>
      <c r="L40" s="2052"/>
      <c r="M40" s="2052"/>
      <c r="N40" s="2052" t="s">
        <v>126</v>
      </c>
      <c r="O40" s="2052"/>
      <c r="P40" s="2052"/>
      <c r="Q40" s="2052"/>
      <c r="R40" s="2052"/>
      <c r="S40" s="2052" t="s">
        <v>127</v>
      </c>
      <c r="T40" s="2052"/>
      <c r="U40" s="2052"/>
      <c r="V40" s="2052"/>
      <c r="W40" s="2052"/>
    </row>
    <row r="41" spans="2:23" x14ac:dyDescent="0.4">
      <c r="B41" s="1947"/>
      <c r="C41" s="1947"/>
      <c r="D41" s="2052" t="s">
        <v>135</v>
      </c>
      <c r="E41" s="2055"/>
      <c r="F41" s="2055"/>
      <c r="G41" s="2055"/>
      <c r="H41" s="2055"/>
      <c r="I41" s="2052" t="s">
        <v>135</v>
      </c>
      <c r="J41" s="2055"/>
      <c r="K41" s="2055"/>
      <c r="L41" s="2055"/>
      <c r="M41" s="2055"/>
      <c r="N41" s="2052" t="s">
        <v>135</v>
      </c>
      <c r="O41" s="2055"/>
      <c r="P41" s="2055"/>
      <c r="Q41" s="2055"/>
      <c r="R41" s="2055"/>
      <c r="S41" s="2052" t="s">
        <v>135</v>
      </c>
      <c r="T41" s="2055"/>
      <c r="U41" s="2055"/>
      <c r="V41" s="2055"/>
      <c r="W41" s="2055"/>
    </row>
    <row r="42" spans="2:23" ht="27" x14ac:dyDescent="0.4">
      <c r="B42" s="1947"/>
      <c r="C42" s="1947"/>
      <c r="D42" s="250" t="s">
        <v>523</v>
      </c>
      <c r="E42" s="250" t="s">
        <v>524</v>
      </c>
      <c r="F42" s="250" t="s">
        <v>525</v>
      </c>
      <c r="G42" s="106" t="s">
        <v>543</v>
      </c>
      <c r="H42" s="250" t="s">
        <v>526</v>
      </c>
      <c r="I42" s="250" t="s">
        <v>523</v>
      </c>
      <c r="J42" s="250" t="s">
        <v>524</v>
      </c>
      <c r="K42" s="250" t="s">
        <v>525</v>
      </c>
      <c r="L42" s="106" t="s">
        <v>543</v>
      </c>
      <c r="M42" s="250" t="s">
        <v>526</v>
      </c>
      <c r="N42" s="250" t="s">
        <v>523</v>
      </c>
      <c r="O42" s="250" t="s">
        <v>524</v>
      </c>
      <c r="P42" s="250" t="s">
        <v>525</v>
      </c>
      <c r="Q42" s="106" t="s">
        <v>543</v>
      </c>
      <c r="R42" s="250" t="s">
        <v>526</v>
      </c>
      <c r="S42" s="250" t="s">
        <v>523</v>
      </c>
      <c r="T42" s="250" t="s">
        <v>524</v>
      </c>
      <c r="U42" s="250" t="s">
        <v>525</v>
      </c>
      <c r="V42" s="106" t="s">
        <v>543</v>
      </c>
      <c r="W42" s="250" t="s">
        <v>526</v>
      </c>
    </row>
    <row r="43" spans="2:23" x14ac:dyDescent="0.4">
      <c r="B43" s="217"/>
      <c r="C43" s="217"/>
      <c r="D43" s="217" t="s">
        <v>128</v>
      </c>
      <c r="E43" s="217" t="s">
        <v>129</v>
      </c>
      <c r="F43" s="217" t="s">
        <v>527</v>
      </c>
      <c r="G43" s="217" t="s">
        <v>130</v>
      </c>
      <c r="H43" s="217" t="s">
        <v>544</v>
      </c>
      <c r="I43" s="217" t="s">
        <v>331</v>
      </c>
      <c r="J43" s="217" t="s">
        <v>132</v>
      </c>
      <c r="K43" s="217" t="s">
        <v>133</v>
      </c>
      <c r="L43" s="217" t="s">
        <v>332</v>
      </c>
      <c r="M43" s="217" t="s">
        <v>545</v>
      </c>
      <c r="N43" s="217" t="s">
        <v>528</v>
      </c>
      <c r="O43" s="217" t="s">
        <v>529</v>
      </c>
      <c r="P43" s="217" t="s">
        <v>334</v>
      </c>
      <c r="Q43" s="217" t="s">
        <v>530</v>
      </c>
      <c r="R43" s="217" t="s">
        <v>546</v>
      </c>
      <c r="S43" s="217" t="s">
        <v>532</v>
      </c>
      <c r="T43" s="217" t="s">
        <v>533</v>
      </c>
      <c r="U43" s="217" t="s">
        <v>534</v>
      </c>
      <c r="V43" s="217" t="s">
        <v>535</v>
      </c>
      <c r="W43" s="217" t="s">
        <v>547</v>
      </c>
    </row>
    <row r="44" spans="2:23" x14ac:dyDescent="0.4">
      <c r="B44" s="1133">
        <v>1</v>
      </c>
      <c r="C44" s="1134" t="s">
        <v>1410</v>
      </c>
      <c r="D44" s="1142">
        <f>+W30</f>
        <v>0</v>
      </c>
      <c r="E44" s="52"/>
      <c r="F44" s="52"/>
      <c r="G44" s="372"/>
      <c r="H44" s="761">
        <f>+D44+E44-F44-G44</f>
        <v>0</v>
      </c>
      <c r="I44" s="1141">
        <f>+H44</f>
        <v>0</v>
      </c>
      <c r="J44" s="86"/>
      <c r="K44" s="86"/>
      <c r="L44" s="372"/>
      <c r="M44" s="761">
        <f>+I44+J44-K44-L44</f>
        <v>0</v>
      </c>
      <c r="N44" s="1141">
        <f>+M44</f>
        <v>0</v>
      </c>
      <c r="O44" s="86"/>
      <c r="P44" s="86"/>
      <c r="Q44" s="372"/>
      <c r="R44" s="761">
        <f>+N44+O44-P44-Q44</f>
        <v>0</v>
      </c>
      <c r="S44" s="1141">
        <f>+R44</f>
        <v>0</v>
      </c>
      <c r="T44" s="86"/>
      <c r="U44" s="86"/>
      <c r="V44" s="372"/>
      <c r="W44" s="761">
        <f>+S44+T44-U44-V44</f>
        <v>0</v>
      </c>
    </row>
    <row r="45" spans="2:23" s="27" customFormat="1" x14ac:dyDescent="0.35">
      <c r="B45" s="1133">
        <v>2</v>
      </c>
      <c r="C45" s="1134" t="s">
        <v>1409</v>
      </c>
      <c r="D45" s="1142">
        <f t="shared" ref="D45:D51" si="17">+W31</f>
        <v>0</v>
      </c>
      <c r="E45" s="52"/>
      <c r="F45" s="52"/>
      <c r="G45" s="372"/>
      <c r="H45" s="761">
        <f t="shared" ref="H45:H51" si="18">+D45+E45-F45-G45</f>
        <v>0</v>
      </c>
      <c r="I45" s="1141">
        <f t="shared" ref="I45:I51" si="19">+H45</f>
        <v>0</v>
      </c>
      <c r="J45" s="86"/>
      <c r="K45" s="86"/>
      <c r="L45" s="372"/>
      <c r="M45" s="761">
        <f t="shared" ref="M45:M51" si="20">+I45+J45-K45-L45</f>
        <v>0</v>
      </c>
      <c r="N45" s="1141">
        <f t="shared" ref="N45:N51" si="21">+M45</f>
        <v>0</v>
      </c>
      <c r="O45" s="86"/>
      <c r="P45" s="86"/>
      <c r="Q45" s="372"/>
      <c r="R45" s="761">
        <f t="shared" ref="R45:R51" si="22">+N45+O45-P45-Q45</f>
        <v>0</v>
      </c>
      <c r="S45" s="1141">
        <f t="shared" ref="S45:S51" si="23">+R45</f>
        <v>0</v>
      </c>
      <c r="T45" s="86"/>
      <c r="U45" s="86"/>
      <c r="V45" s="372"/>
      <c r="W45" s="761">
        <f t="shared" ref="W45:W51" si="24">+S45+T45-U45-V45</f>
        <v>0</v>
      </c>
    </row>
    <row r="46" spans="2:23" s="6" customFormat="1" x14ac:dyDescent="0.35">
      <c r="B46" s="1133">
        <v>3</v>
      </c>
      <c r="C46" s="1134" t="s">
        <v>440</v>
      </c>
      <c r="D46" s="1142">
        <f t="shared" si="17"/>
        <v>0</v>
      </c>
      <c r="E46" s="275"/>
      <c r="F46" s="275"/>
      <c r="G46" s="373"/>
      <c r="H46" s="761">
        <f t="shared" si="18"/>
        <v>0</v>
      </c>
      <c r="I46" s="1141">
        <f t="shared" si="19"/>
        <v>0</v>
      </c>
      <c r="J46" s="86"/>
      <c r="K46" s="86"/>
      <c r="L46" s="373"/>
      <c r="M46" s="761">
        <f t="shared" si="20"/>
        <v>0</v>
      </c>
      <c r="N46" s="1141">
        <f t="shared" si="21"/>
        <v>0</v>
      </c>
      <c r="O46" s="86"/>
      <c r="P46" s="86"/>
      <c r="Q46" s="373"/>
      <c r="R46" s="761">
        <f t="shared" si="22"/>
        <v>0</v>
      </c>
      <c r="S46" s="1141">
        <f t="shared" si="23"/>
        <v>0</v>
      </c>
      <c r="T46" s="86"/>
      <c r="U46" s="86"/>
      <c r="V46" s="373"/>
      <c r="W46" s="761">
        <f t="shared" si="24"/>
        <v>0</v>
      </c>
    </row>
    <row r="47" spans="2:23" s="6" customFormat="1" x14ac:dyDescent="0.35">
      <c r="B47" s="1133">
        <v>4</v>
      </c>
      <c r="C47" s="1134" t="s">
        <v>915</v>
      </c>
      <c r="D47" s="1142">
        <f t="shared" si="17"/>
        <v>0.10798000000000001</v>
      </c>
      <c r="E47" s="763">
        <f>+'F4.2'!AZ49</f>
        <v>0.21942249999999999</v>
      </c>
      <c r="F47" s="52"/>
      <c r="G47" s="372"/>
      <c r="H47" s="761">
        <f t="shared" si="18"/>
        <v>0.32740249999999999</v>
      </c>
      <c r="I47" s="1141">
        <f t="shared" si="19"/>
        <v>0.32740249999999999</v>
      </c>
      <c r="J47" s="675">
        <f>+'F4.2'!BA49</f>
        <v>0.2948769</v>
      </c>
      <c r="K47" s="86"/>
      <c r="L47" s="372"/>
      <c r="M47" s="761">
        <f t="shared" si="20"/>
        <v>0.62227940000000004</v>
      </c>
      <c r="N47" s="1141">
        <f t="shared" si="21"/>
        <v>0.62227940000000004</v>
      </c>
      <c r="O47" s="675">
        <f>+'F4.2'!BB49</f>
        <v>0.43267509999999998</v>
      </c>
      <c r="P47" s="86"/>
      <c r="Q47" s="372"/>
      <c r="R47" s="761">
        <f t="shared" si="22"/>
        <v>1.0549545</v>
      </c>
      <c r="S47" s="1141">
        <f t="shared" si="23"/>
        <v>1.0549545</v>
      </c>
      <c r="T47" s="675">
        <f>+'F4.2'!BC49</f>
        <v>0.45153019999999999</v>
      </c>
      <c r="U47" s="86"/>
      <c r="V47" s="372"/>
      <c r="W47" s="761">
        <f t="shared" si="24"/>
        <v>1.5064847000000001</v>
      </c>
    </row>
    <row r="48" spans="2:23" s="6" customFormat="1" x14ac:dyDescent="0.35">
      <c r="B48" s="1133">
        <v>5</v>
      </c>
      <c r="C48" s="1134" t="s">
        <v>447</v>
      </c>
      <c r="D48" s="1142">
        <f t="shared" si="17"/>
        <v>0</v>
      </c>
      <c r="E48" s="52"/>
      <c r="F48" s="52"/>
      <c r="G48" s="372"/>
      <c r="H48" s="761">
        <f t="shared" si="18"/>
        <v>0</v>
      </c>
      <c r="I48" s="1141">
        <f t="shared" si="19"/>
        <v>0</v>
      </c>
      <c r="J48" s="86"/>
      <c r="K48" s="86"/>
      <c r="L48" s="372"/>
      <c r="M48" s="761">
        <f t="shared" si="20"/>
        <v>0</v>
      </c>
      <c r="N48" s="1141">
        <f t="shared" si="21"/>
        <v>0</v>
      </c>
      <c r="O48" s="86"/>
      <c r="P48" s="86"/>
      <c r="Q48" s="372"/>
      <c r="R48" s="761">
        <f t="shared" si="22"/>
        <v>0</v>
      </c>
      <c r="S48" s="1141">
        <f t="shared" si="23"/>
        <v>0</v>
      </c>
      <c r="T48" s="86"/>
      <c r="U48" s="86"/>
      <c r="V48" s="372"/>
      <c r="W48" s="761">
        <f t="shared" si="24"/>
        <v>0</v>
      </c>
    </row>
    <row r="49" spans="2:26" x14ac:dyDescent="0.4">
      <c r="B49" s="1133">
        <v>6</v>
      </c>
      <c r="C49" s="1134" t="s">
        <v>879</v>
      </c>
      <c r="D49" s="1142">
        <f t="shared" si="17"/>
        <v>0</v>
      </c>
      <c r="E49" s="52"/>
      <c r="F49" s="52"/>
      <c r="G49" s="372"/>
      <c r="H49" s="761">
        <f t="shared" si="18"/>
        <v>0</v>
      </c>
      <c r="I49" s="1141">
        <f t="shared" si="19"/>
        <v>0</v>
      </c>
      <c r="J49" s="86"/>
      <c r="K49" s="86"/>
      <c r="L49" s="372"/>
      <c r="M49" s="761">
        <f t="shared" si="20"/>
        <v>0</v>
      </c>
      <c r="N49" s="1141">
        <f t="shared" si="21"/>
        <v>0</v>
      </c>
      <c r="O49" s="86"/>
      <c r="P49" s="86"/>
      <c r="Q49" s="372"/>
      <c r="R49" s="761">
        <f t="shared" si="22"/>
        <v>0</v>
      </c>
      <c r="S49" s="1141">
        <f t="shared" si="23"/>
        <v>0</v>
      </c>
      <c r="T49" s="86"/>
      <c r="U49" s="86"/>
      <c r="V49" s="372"/>
      <c r="W49" s="761">
        <f t="shared" si="24"/>
        <v>0</v>
      </c>
    </row>
    <row r="50" spans="2:26" x14ac:dyDescent="0.4">
      <c r="B50" s="1133">
        <v>7</v>
      </c>
      <c r="C50" s="1135" t="s">
        <v>1269</v>
      </c>
      <c r="D50" s="1142">
        <f t="shared" si="17"/>
        <v>0</v>
      </c>
      <c r="E50" s="86"/>
      <c r="F50" s="86"/>
      <c r="G50" s="374"/>
      <c r="H50" s="761">
        <f t="shared" si="18"/>
        <v>0</v>
      </c>
      <c r="I50" s="1141">
        <f t="shared" si="19"/>
        <v>0</v>
      </c>
      <c r="J50" s="370"/>
      <c r="K50" s="370"/>
      <c r="L50" s="374"/>
      <c r="M50" s="761">
        <f t="shared" si="20"/>
        <v>0</v>
      </c>
      <c r="N50" s="1141">
        <f t="shared" si="21"/>
        <v>0</v>
      </c>
      <c r="O50" s="370"/>
      <c r="P50" s="370"/>
      <c r="Q50" s="374"/>
      <c r="R50" s="761">
        <f t="shared" si="22"/>
        <v>0</v>
      </c>
      <c r="S50" s="1141">
        <f t="shared" si="23"/>
        <v>0</v>
      </c>
      <c r="T50" s="370"/>
      <c r="U50" s="370"/>
      <c r="V50" s="374"/>
      <c r="W50" s="761">
        <f t="shared" si="24"/>
        <v>0</v>
      </c>
    </row>
    <row r="51" spans="2:26" ht="15.4" x14ac:dyDescent="0.4">
      <c r="B51" s="1133">
        <v>8</v>
      </c>
      <c r="C51" s="1135" t="s">
        <v>1270</v>
      </c>
      <c r="D51" s="1142">
        <f t="shared" si="17"/>
        <v>0</v>
      </c>
      <c r="E51" s="94"/>
      <c r="F51" s="94"/>
      <c r="G51" s="375"/>
      <c r="H51" s="761">
        <f t="shared" si="18"/>
        <v>0</v>
      </c>
      <c r="I51" s="1141">
        <f t="shared" si="19"/>
        <v>0</v>
      </c>
      <c r="J51" s="371"/>
      <c r="K51" s="371"/>
      <c r="L51" s="375"/>
      <c r="M51" s="761">
        <f t="shared" si="20"/>
        <v>0</v>
      </c>
      <c r="N51" s="1141">
        <f t="shared" si="21"/>
        <v>0</v>
      </c>
      <c r="O51" s="371"/>
      <c r="P51" s="371"/>
      <c r="Q51" s="375"/>
      <c r="R51" s="761">
        <f t="shared" si="22"/>
        <v>0</v>
      </c>
      <c r="S51" s="1141">
        <f t="shared" si="23"/>
        <v>0</v>
      </c>
      <c r="T51" s="371"/>
      <c r="U51" s="371"/>
      <c r="V51" s="375"/>
      <c r="W51" s="761">
        <f t="shared" si="24"/>
        <v>0</v>
      </c>
    </row>
    <row r="52" spans="2:26" ht="14.65" x14ac:dyDescent="0.4">
      <c r="B52" s="1136"/>
      <c r="C52" s="1137" t="s">
        <v>164</v>
      </c>
      <c r="D52" s="1140">
        <f>SUM(D44:D51)</f>
        <v>0.10798000000000001</v>
      </c>
      <c r="E52" s="1140">
        <f t="shared" ref="E52:W52" si="25">SUM(E44:E51)</f>
        <v>0.21942249999999999</v>
      </c>
      <c r="F52" s="1140">
        <f t="shared" si="25"/>
        <v>0</v>
      </c>
      <c r="G52" s="1140">
        <f t="shared" si="25"/>
        <v>0</v>
      </c>
      <c r="H52" s="1140">
        <f t="shared" si="25"/>
        <v>0.32740249999999999</v>
      </c>
      <c r="I52" s="1140">
        <f t="shared" si="25"/>
        <v>0.32740249999999999</v>
      </c>
      <c r="J52" s="1140">
        <f t="shared" si="25"/>
        <v>0.2948769</v>
      </c>
      <c r="K52" s="1140">
        <f t="shared" si="25"/>
        <v>0</v>
      </c>
      <c r="L52" s="1140">
        <f t="shared" si="25"/>
        <v>0</v>
      </c>
      <c r="M52" s="1140">
        <f t="shared" si="25"/>
        <v>0.62227940000000004</v>
      </c>
      <c r="N52" s="1140">
        <f t="shared" si="25"/>
        <v>0.62227940000000004</v>
      </c>
      <c r="O52" s="1140">
        <f t="shared" si="25"/>
        <v>0.43267509999999998</v>
      </c>
      <c r="P52" s="1140">
        <f t="shared" si="25"/>
        <v>0</v>
      </c>
      <c r="Q52" s="1140">
        <f t="shared" si="25"/>
        <v>0</v>
      </c>
      <c r="R52" s="1140">
        <f t="shared" si="25"/>
        <v>1.0549545</v>
      </c>
      <c r="S52" s="1140">
        <f t="shared" si="25"/>
        <v>1.0549545</v>
      </c>
      <c r="T52" s="1140">
        <f t="shared" si="25"/>
        <v>0.45153019999999999</v>
      </c>
      <c r="U52" s="1140">
        <f t="shared" si="25"/>
        <v>0</v>
      </c>
      <c r="V52" s="1140">
        <f t="shared" si="25"/>
        <v>0</v>
      </c>
      <c r="W52" s="1140">
        <f t="shared" si="25"/>
        <v>1.5064847000000001</v>
      </c>
    </row>
    <row r="53" spans="2:26" x14ac:dyDescent="0.4">
      <c r="B53" s="51"/>
      <c r="C53" s="51"/>
      <c r="D53" s="51"/>
      <c r="E53" s="51"/>
      <c r="F53" s="51"/>
      <c r="G53" s="51"/>
      <c r="H53" s="51"/>
      <c r="I53" s="51"/>
      <c r="J53" s="51"/>
      <c r="K53" s="51"/>
      <c r="L53" s="51"/>
      <c r="M53" s="51"/>
      <c r="N53" s="51"/>
      <c r="O53" s="51"/>
      <c r="P53" s="51"/>
      <c r="Q53" s="51"/>
      <c r="R53" s="51"/>
      <c r="S53" s="51"/>
      <c r="T53" s="51"/>
      <c r="U53" s="51"/>
      <c r="V53" s="51"/>
      <c r="W53" s="51"/>
    </row>
    <row r="54" spans="2:26" ht="15.4" x14ac:dyDescent="0.4">
      <c r="B54" s="83" t="s">
        <v>536</v>
      </c>
      <c r="C54" s="51"/>
      <c r="D54" s="51"/>
      <c r="E54" s="51"/>
      <c r="F54" s="51"/>
      <c r="G54" s="51"/>
      <c r="H54" s="51"/>
      <c r="I54" s="51"/>
      <c r="J54" s="51"/>
      <c r="K54" s="51"/>
      <c r="L54" s="51"/>
      <c r="M54" s="51"/>
      <c r="N54" s="51"/>
      <c r="O54" s="51"/>
      <c r="P54" s="51"/>
      <c r="Q54" s="51"/>
      <c r="R54" s="51"/>
      <c r="S54" s="51"/>
      <c r="T54" s="51"/>
      <c r="U54" s="51"/>
      <c r="V54" s="51"/>
      <c r="W54" s="51"/>
      <c r="X54" s="29"/>
      <c r="Y54" s="29"/>
      <c r="Z54" s="29"/>
    </row>
    <row r="55" spans="2:26" x14ac:dyDescent="0.4">
      <c r="B55" s="51"/>
      <c r="C55" s="51"/>
      <c r="D55" s="51"/>
      <c r="E55" s="51"/>
      <c r="F55" s="51"/>
      <c r="G55" s="51"/>
      <c r="H55" s="51"/>
      <c r="I55" s="51"/>
      <c r="J55" s="39"/>
      <c r="K55" s="51"/>
      <c r="L55" s="51"/>
      <c r="M55" s="39"/>
      <c r="N55" s="39"/>
      <c r="O55" s="51"/>
      <c r="P55" s="51"/>
      <c r="Q55" s="51"/>
      <c r="R55" s="160" t="s">
        <v>110</v>
      </c>
      <c r="S55" s="51"/>
      <c r="T55" s="51"/>
      <c r="U55" s="51"/>
      <c r="V55" s="51"/>
      <c r="W55" s="51"/>
    </row>
    <row r="56" spans="2:26" ht="15.4" x14ac:dyDescent="0.4">
      <c r="B56" s="1947" t="s">
        <v>1</v>
      </c>
      <c r="C56" s="1947" t="s">
        <v>111</v>
      </c>
      <c r="D56" s="2052" t="s">
        <v>196</v>
      </c>
      <c r="E56" s="2052"/>
      <c r="F56" s="2052"/>
      <c r="G56" s="2052"/>
      <c r="H56" s="2052"/>
      <c r="I56" s="1947" t="s">
        <v>197</v>
      </c>
      <c r="J56" s="1947"/>
      <c r="K56" s="1947"/>
      <c r="L56" s="1947"/>
      <c r="M56" s="1947"/>
      <c r="N56" s="1947" t="s">
        <v>198</v>
      </c>
      <c r="O56" s="1947"/>
      <c r="P56" s="1947"/>
      <c r="Q56" s="1947"/>
      <c r="R56" s="1947"/>
      <c r="S56" s="1947" t="s">
        <v>199</v>
      </c>
      <c r="T56" s="1947"/>
      <c r="U56" s="1947"/>
      <c r="V56" s="1947"/>
      <c r="W56" s="1947"/>
      <c r="X56" s="29"/>
      <c r="Y56" s="29"/>
      <c r="Z56" s="29"/>
    </row>
    <row r="57" spans="2:26" x14ac:dyDescent="0.4">
      <c r="B57" s="1947"/>
      <c r="C57" s="1947"/>
      <c r="D57" s="1947" t="s">
        <v>186</v>
      </c>
      <c r="E57" s="2051"/>
      <c r="F57" s="2051"/>
      <c r="G57" s="2051"/>
      <c r="H57" s="2051"/>
      <c r="I57" s="1947" t="s">
        <v>186</v>
      </c>
      <c r="J57" s="2051"/>
      <c r="K57" s="2051"/>
      <c r="L57" s="2051"/>
      <c r="M57" s="2051"/>
      <c r="N57" s="1947" t="s">
        <v>186</v>
      </c>
      <c r="O57" s="2051"/>
      <c r="P57" s="2051"/>
      <c r="Q57" s="2051"/>
      <c r="R57" s="2051"/>
      <c r="S57" s="1947" t="s">
        <v>186</v>
      </c>
      <c r="T57" s="2051"/>
      <c r="U57" s="2051"/>
      <c r="V57" s="2051"/>
      <c r="W57" s="2051"/>
    </row>
    <row r="58" spans="2:26" ht="40.5" x14ac:dyDescent="0.4">
      <c r="B58" s="1947"/>
      <c r="C58" s="1947"/>
      <c r="D58" s="250" t="s">
        <v>537</v>
      </c>
      <c r="E58" s="250" t="s">
        <v>524</v>
      </c>
      <c r="F58" s="251" t="s">
        <v>538</v>
      </c>
      <c r="G58" s="106" t="s">
        <v>543</v>
      </c>
      <c r="H58" s="250" t="s">
        <v>539</v>
      </c>
      <c r="I58" s="250" t="s">
        <v>537</v>
      </c>
      <c r="J58" s="250" t="s">
        <v>524</v>
      </c>
      <c r="K58" s="251" t="s">
        <v>538</v>
      </c>
      <c r="L58" s="106" t="s">
        <v>543</v>
      </c>
      <c r="M58" s="250" t="s">
        <v>539</v>
      </c>
      <c r="N58" s="250" t="s">
        <v>537</v>
      </c>
      <c r="O58" s="250" t="s">
        <v>524</v>
      </c>
      <c r="P58" s="251" t="s">
        <v>538</v>
      </c>
      <c r="Q58" s="106" t="s">
        <v>543</v>
      </c>
      <c r="R58" s="250" t="s">
        <v>539</v>
      </c>
      <c r="S58" s="250" t="s">
        <v>537</v>
      </c>
      <c r="T58" s="250" t="s">
        <v>524</v>
      </c>
      <c r="U58" s="251" t="s">
        <v>538</v>
      </c>
      <c r="V58" s="106" t="s">
        <v>543</v>
      </c>
      <c r="W58" s="250" t="s">
        <v>539</v>
      </c>
    </row>
    <row r="59" spans="2:26" x14ac:dyDescent="0.4">
      <c r="B59" s="217"/>
      <c r="C59" s="217"/>
      <c r="D59" s="217" t="s">
        <v>128</v>
      </c>
      <c r="E59" s="217" t="s">
        <v>129</v>
      </c>
      <c r="F59" s="217" t="s">
        <v>527</v>
      </c>
      <c r="G59" s="217" t="s">
        <v>130</v>
      </c>
      <c r="H59" s="217" t="s">
        <v>544</v>
      </c>
      <c r="I59" s="217" t="s">
        <v>331</v>
      </c>
      <c r="J59" s="217" t="s">
        <v>132</v>
      </c>
      <c r="K59" s="217" t="s">
        <v>133</v>
      </c>
      <c r="L59" s="217" t="s">
        <v>332</v>
      </c>
      <c r="M59" s="217" t="s">
        <v>545</v>
      </c>
      <c r="N59" s="217" t="s">
        <v>528</v>
      </c>
      <c r="O59" s="217" t="s">
        <v>529</v>
      </c>
      <c r="P59" s="217" t="s">
        <v>334</v>
      </c>
      <c r="Q59" s="217" t="s">
        <v>530</v>
      </c>
      <c r="R59" s="217" t="s">
        <v>546</v>
      </c>
      <c r="S59" s="217" t="s">
        <v>532</v>
      </c>
      <c r="T59" s="217" t="s">
        <v>533</v>
      </c>
      <c r="U59" s="217" t="s">
        <v>534</v>
      </c>
      <c r="V59" s="217" t="s">
        <v>535</v>
      </c>
      <c r="W59" s="217" t="s">
        <v>547</v>
      </c>
    </row>
    <row r="60" spans="2:26" x14ac:dyDescent="0.4">
      <c r="B60" s="1133">
        <v>1</v>
      </c>
      <c r="C60" s="1134" t="s">
        <v>1410</v>
      </c>
      <c r="D60" s="1142"/>
      <c r="E60" s="52"/>
      <c r="F60" s="52"/>
      <c r="G60" s="372"/>
      <c r="H60" s="761">
        <f>+D60+E60-F60-G60</f>
        <v>0</v>
      </c>
      <c r="I60" s="1141">
        <f>+H60</f>
        <v>0</v>
      </c>
      <c r="J60" s="86"/>
      <c r="K60" s="86"/>
      <c r="L60" s="372"/>
      <c r="M60" s="761">
        <f>+I60+J60-K60-L60</f>
        <v>0</v>
      </c>
      <c r="N60" s="1141">
        <f>+M60</f>
        <v>0</v>
      </c>
      <c r="O60" s="86"/>
      <c r="P60" s="86"/>
      <c r="Q60" s="372"/>
      <c r="R60" s="761">
        <f>+N60+O60-P60-Q60</f>
        <v>0</v>
      </c>
      <c r="S60" s="1141">
        <f>+R60</f>
        <v>0</v>
      </c>
      <c r="T60" s="86"/>
      <c r="U60" s="86"/>
      <c r="V60" s="372"/>
      <c r="W60" s="761">
        <f>+S60+T60-U60-V60</f>
        <v>0</v>
      </c>
    </row>
    <row r="61" spans="2:26" x14ac:dyDescent="0.4">
      <c r="B61" s="1133">
        <v>2</v>
      </c>
      <c r="C61" s="1134" t="s">
        <v>1409</v>
      </c>
      <c r="D61" s="1142"/>
      <c r="E61" s="52"/>
      <c r="F61" s="52"/>
      <c r="G61" s="372"/>
      <c r="H61" s="761">
        <f t="shared" ref="H61:H67" si="26">+D61+E61-F61-G61</f>
        <v>0</v>
      </c>
      <c r="I61" s="1141">
        <f t="shared" ref="I61:I67" si="27">+H61</f>
        <v>0</v>
      </c>
      <c r="J61" s="86"/>
      <c r="K61" s="86"/>
      <c r="L61" s="372"/>
      <c r="M61" s="761">
        <f t="shared" ref="M61:M67" si="28">+I61+J61-K61-L61</f>
        <v>0</v>
      </c>
      <c r="N61" s="1141">
        <f t="shared" ref="N61:N67" si="29">+M61</f>
        <v>0</v>
      </c>
      <c r="O61" s="86"/>
      <c r="P61" s="86"/>
      <c r="Q61" s="372"/>
      <c r="R61" s="761">
        <f t="shared" ref="R61:R67" si="30">+N61+O61-P61-Q61</f>
        <v>0</v>
      </c>
      <c r="S61" s="1141">
        <f t="shared" ref="S61:S67" si="31">+R61</f>
        <v>0</v>
      </c>
      <c r="T61" s="86"/>
      <c r="U61" s="86"/>
      <c r="V61" s="372"/>
      <c r="W61" s="761">
        <f t="shared" ref="W61:W67" si="32">+S61+T61-U61-V61</f>
        <v>0</v>
      </c>
    </row>
    <row r="62" spans="2:26" x14ac:dyDescent="0.4">
      <c r="B62" s="1133">
        <v>3</v>
      </c>
      <c r="C62" s="1134" t="s">
        <v>440</v>
      </c>
      <c r="D62" s="1142"/>
      <c r="E62" s="275"/>
      <c r="F62" s="275"/>
      <c r="G62" s="373"/>
      <c r="H62" s="761">
        <f t="shared" si="26"/>
        <v>0</v>
      </c>
      <c r="I62" s="1141">
        <f t="shared" si="27"/>
        <v>0</v>
      </c>
      <c r="J62" s="86"/>
      <c r="K62" s="86"/>
      <c r="L62" s="373"/>
      <c r="M62" s="761">
        <f t="shared" si="28"/>
        <v>0</v>
      </c>
      <c r="N62" s="1141">
        <f t="shared" si="29"/>
        <v>0</v>
      </c>
      <c r="O62" s="86"/>
      <c r="P62" s="86"/>
      <c r="Q62" s="373"/>
      <c r="R62" s="761">
        <f t="shared" si="30"/>
        <v>0</v>
      </c>
      <c r="S62" s="1141">
        <f t="shared" si="31"/>
        <v>0</v>
      </c>
      <c r="T62" s="86"/>
      <c r="U62" s="86"/>
      <c r="V62" s="373"/>
      <c r="W62" s="761">
        <f t="shared" si="32"/>
        <v>0</v>
      </c>
    </row>
    <row r="63" spans="2:26" x14ac:dyDescent="0.4">
      <c r="B63" s="1133">
        <v>4</v>
      </c>
      <c r="C63" s="1134" t="s">
        <v>915</v>
      </c>
      <c r="D63" s="1142"/>
      <c r="E63" s="52"/>
      <c r="F63" s="52"/>
      <c r="G63" s="372"/>
      <c r="H63" s="761">
        <f t="shared" si="26"/>
        <v>0</v>
      </c>
      <c r="I63" s="1141">
        <f t="shared" si="27"/>
        <v>0</v>
      </c>
      <c r="J63" s="86"/>
      <c r="K63" s="86"/>
      <c r="L63" s="372"/>
      <c r="M63" s="761">
        <f t="shared" si="28"/>
        <v>0</v>
      </c>
      <c r="N63" s="1141">
        <f t="shared" si="29"/>
        <v>0</v>
      </c>
      <c r="O63" s="86"/>
      <c r="P63" s="86"/>
      <c r="Q63" s="372"/>
      <c r="R63" s="761">
        <f t="shared" si="30"/>
        <v>0</v>
      </c>
      <c r="S63" s="1141">
        <f t="shared" si="31"/>
        <v>0</v>
      </c>
      <c r="T63" s="86"/>
      <c r="U63" s="86"/>
      <c r="V63" s="372"/>
      <c r="W63" s="761">
        <f t="shared" si="32"/>
        <v>0</v>
      </c>
    </row>
    <row r="64" spans="2:26" x14ac:dyDescent="0.4">
      <c r="B64" s="1133">
        <v>5</v>
      </c>
      <c r="C64" s="1134" t="s">
        <v>447</v>
      </c>
      <c r="D64" s="1142"/>
      <c r="E64" s="52"/>
      <c r="F64" s="52"/>
      <c r="G64" s="372"/>
      <c r="H64" s="761">
        <f t="shared" si="26"/>
        <v>0</v>
      </c>
      <c r="I64" s="1141">
        <f t="shared" si="27"/>
        <v>0</v>
      </c>
      <c r="J64" s="86"/>
      <c r="K64" s="86"/>
      <c r="L64" s="372"/>
      <c r="M64" s="761">
        <f t="shared" si="28"/>
        <v>0</v>
      </c>
      <c r="N64" s="1141">
        <f t="shared" si="29"/>
        <v>0</v>
      </c>
      <c r="O64" s="86"/>
      <c r="P64" s="86"/>
      <c r="Q64" s="372"/>
      <c r="R64" s="761">
        <f t="shared" si="30"/>
        <v>0</v>
      </c>
      <c r="S64" s="1141">
        <f t="shared" si="31"/>
        <v>0</v>
      </c>
      <c r="T64" s="86"/>
      <c r="U64" s="86"/>
      <c r="V64" s="372"/>
      <c r="W64" s="761">
        <f t="shared" si="32"/>
        <v>0</v>
      </c>
    </row>
    <row r="65" spans="2:23" x14ac:dyDescent="0.4">
      <c r="B65" s="1133">
        <v>6</v>
      </c>
      <c r="C65" s="1134" t="s">
        <v>879</v>
      </c>
      <c r="D65" s="1142"/>
      <c r="E65" s="52"/>
      <c r="F65" s="52"/>
      <c r="G65" s="372"/>
      <c r="H65" s="761">
        <f t="shared" si="26"/>
        <v>0</v>
      </c>
      <c r="I65" s="1141">
        <f t="shared" si="27"/>
        <v>0</v>
      </c>
      <c r="J65" s="86"/>
      <c r="K65" s="86"/>
      <c r="L65" s="372"/>
      <c r="M65" s="761">
        <f t="shared" si="28"/>
        <v>0</v>
      </c>
      <c r="N65" s="1141">
        <f t="shared" si="29"/>
        <v>0</v>
      </c>
      <c r="O65" s="86"/>
      <c r="P65" s="86"/>
      <c r="Q65" s="372"/>
      <c r="R65" s="761">
        <f t="shared" si="30"/>
        <v>0</v>
      </c>
      <c r="S65" s="1141">
        <f t="shared" si="31"/>
        <v>0</v>
      </c>
      <c r="T65" s="86"/>
      <c r="U65" s="86"/>
      <c r="V65" s="372"/>
      <c r="W65" s="761">
        <f t="shared" si="32"/>
        <v>0</v>
      </c>
    </row>
    <row r="66" spans="2:23" x14ac:dyDescent="0.4">
      <c r="B66" s="1133">
        <v>7</v>
      </c>
      <c r="C66" s="1135" t="s">
        <v>1269</v>
      </c>
      <c r="D66" s="1142"/>
      <c r="E66" s="86"/>
      <c r="F66" s="86"/>
      <c r="G66" s="374"/>
      <c r="H66" s="761">
        <f t="shared" si="26"/>
        <v>0</v>
      </c>
      <c r="I66" s="1141">
        <f t="shared" si="27"/>
        <v>0</v>
      </c>
      <c r="J66" s="370"/>
      <c r="K66" s="370"/>
      <c r="L66" s="374"/>
      <c r="M66" s="761">
        <f t="shared" si="28"/>
        <v>0</v>
      </c>
      <c r="N66" s="1141">
        <f t="shared" si="29"/>
        <v>0</v>
      </c>
      <c r="O66" s="370"/>
      <c r="P66" s="370"/>
      <c r="Q66" s="374"/>
      <c r="R66" s="761">
        <f t="shared" si="30"/>
        <v>0</v>
      </c>
      <c r="S66" s="1141">
        <f t="shared" si="31"/>
        <v>0</v>
      </c>
      <c r="T66" s="370"/>
      <c r="U66" s="370"/>
      <c r="V66" s="374"/>
      <c r="W66" s="761">
        <f t="shared" si="32"/>
        <v>0</v>
      </c>
    </row>
    <row r="67" spans="2:23" ht="15.4" x14ac:dyDescent="0.4">
      <c r="B67" s="1133">
        <v>8</v>
      </c>
      <c r="C67" s="1135" t="s">
        <v>1270</v>
      </c>
      <c r="D67" s="1142"/>
      <c r="E67" s="94"/>
      <c r="F67" s="94"/>
      <c r="G67" s="375"/>
      <c r="H67" s="761">
        <f t="shared" si="26"/>
        <v>0</v>
      </c>
      <c r="I67" s="1141">
        <f t="shared" si="27"/>
        <v>0</v>
      </c>
      <c r="J67" s="371"/>
      <c r="K67" s="371"/>
      <c r="L67" s="375"/>
      <c r="M67" s="761">
        <f t="shared" si="28"/>
        <v>0</v>
      </c>
      <c r="N67" s="1141">
        <f t="shared" si="29"/>
        <v>0</v>
      </c>
      <c r="O67" s="371"/>
      <c r="P67" s="371"/>
      <c r="Q67" s="375"/>
      <c r="R67" s="761">
        <f t="shared" si="30"/>
        <v>0</v>
      </c>
      <c r="S67" s="1141">
        <f t="shared" si="31"/>
        <v>0</v>
      </c>
      <c r="T67" s="371"/>
      <c r="U67" s="371"/>
      <c r="V67" s="375"/>
      <c r="W67" s="761">
        <f t="shared" si="32"/>
        <v>0</v>
      </c>
    </row>
    <row r="68" spans="2:23" ht="14.65" x14ac:dyDescent="0.4">
      <c r="B68" s="1136"/>
      <c r="C68" s="1137" t="s">
        <v>164</v>
      </c>
      <c r="D68" s="1140">
        <f>SUM(D60:D67)</f>
        <v>0</v>
      </c>
      <c r="E68" s="1140">
        <f t="shared" ref="E68:W68" si="33">SUM(E60:E67)</f>
        <v>0</v>
      </c>
      <c r="F68" s="1140">
        <f t="shared" si="33"/>
        <v>0</v>
      </c>
      <c r="G68" s="1140">
        <f t="shared" si="33"/>
        <v>0</v>
      </c>
      <c r="H68" s="1140">
        <f t="shared" si="33"/>
        <v>0</v>
      </c>
      <c r="I68" s="1140">
        <f t="shared" si="33"/>
        <v>0</v>
      </c>
      <c r="J68" s="1140">
        <f t="shared" si="33"/>
        <v>0</v>
      </c>
      <c r="K68" s="1140">
        <f t="shared" si="33"/>
        <v>0</v>
      </c>
      <c r="L68" s="1140">
        <f t="shared" si="33"/>
        <v>0</v>
      </c>
      <c r="M68" s="1140">
        <f t="shared" si="33"/>
        <v>0</v>
      </c>
      <c r="N68" s="1140">
        <f t="shared" si="33"/>
        <v>0</v>
      </c>
      <c r="O68" s="1140">
        <f t="shared" si="33"/>
        <v>0</v>
      </c>
      <c r="P68" s="1140">
        <f t="shared" si="33"/>
        <v>0</v>
      </c>
      <c r="Q68" s="1140">
        <f t="shared" si="33"/>
        <v>0</v>
      </c>
      <c r="R68" s="1140">
        <f t="shared" si="33"/>
        <v>0</v>
      </c>
      <c r="S68" s="1140">
        <f t="shared" si="33"/>
        <v>0</v>
      </c>
      <c r="T68" s="1140">
        <f t="shared" si="33"/>
        <v>0</v>
      </c>
      <c r="U68" s="1140">
        <f t="shared" si="33"/>
        <v>0</v>
      </c>
      <c r="V68" s="1140">
        <f t="shared" si="33"/>
        <v>0</v>
      </c>
      <c r="W68" s="1140">
        <f t="shared" si="33"/>
        <v>0</v>
      </c>
    </row>
    <row r="69" spans="2:23" x14ac:dyDescent="0.4">
      <c r="B69" s="51"/>
      <c r="C69" s="51"/>
      <c r="D69" s="51"/>
      <c r="E69" s="51"/>
      <c r="F69" s="51"/>
      <c r="G69" s="51"/>
      <c r="H69" s="51"/>
      <c r="I69" s="51"/>
      <c r="J69" s="39"/>
      <c r="K69" s="51"/>
      <c r="L69" s="51"/>
      <c r="M69" s="39"/>
      <c r="N69" s="39"/>
      <c r="O69" s="51"/>
      <c r="P69" s="51"/>
      <c r="Q69" s="51"/>
      <c r="R69" s="160" t="s">
        <v>110</v>
      </c>
      <c r="S69" s="51"/>
      <c r="T69" s="51"/>
      <c r="U69" s="51"/>
      <c r="V69" s="51"/>
      <c r="W69" s="51"/>
    </row>
    <row r="70" spans="2:23" x14ac:dyDescent="0.4">
      <c r="B70" s="1947" t="s">
        <v>1</v>
      </c>
      <c r="C70" s="1947" t="s">
        <v>111</v>
      </c>
      <c r="D70" s="2052" t="s">
        <v>112</v>
      </c>
      <c r="E70" s="2052"/>
      <c r="F70" s="2052"/>
      <c r="G70" s="2052"/>
      <c r="H70" s="2052"/>
      <c r="I70" s="2052" t="s">
        <v>113</v>
      </c>
      <c r="J70" s="2052"/>
      <c r="K70" s="2052"/>
      <c r="L70" s="2052"/>
      <c r="M70" s="2052"/>
      <c r="N70" s="1947" t="s">
        <v>114</v>
      </c>
      <c r="O70" s="1947"/>
      <c r="P70" s="1947"/>
      <c r="Q70" s="1947"/>
      <c r="R70" s="1947"/>
      <c r="S70" s="1947" t="s">
        <v>123</v>
      </c>
      <c r="T70" s="1947"/>
      <c r="U70" s="1947"/>
      <c r="V70" s="1947"/>
      <c r="W70" s="1947"/>
    </row>
    <row r="71" spans="2:23" x14ac:dyDescent="0.4">
      <c r="B71" s="1947"/>
      <c r="C71" s="1947"/>
      <c r="D71" s="1947" t="s">
        <v>186</v>
      </c>
      <c r="E71" s="2051"/>
      <c r="F71" s="2051"/>
      <c r="G71" s="2051"/>
      <c r="H71" s="2051"/>
      <c r="I71" s="1947" t="s">
        <v>186</v>
      </c>
      <c r="J71" s="2051"/>
      <c r="K71" s="2051"/>
      <c r="L71" s="2051"/>
      <c r="M71" s="2051"/>
      <c r="N71" s="1947" t="s">
        <v>187</v>
      </c>
      <c r="O71" s="2051"/>
      <c r="P71" s="2051"/>
      <c r="Q71" s="2051"/>
      <c r="R71" s="2051"/>
      <c r="S71" s="1947" t="s">
        <v>135</v>
      </c>
      <c r="T71" s="2051"/>
      <c r="U71" s="2051"/>
      <c r="V71" s="2051"/>
      <c r="W71" s="2051"/>
    </row>
    <row r="72" spans="2:23" ht="40.5" x14ac:dyDescent="0.4">
      <c r="B72" s="1947"/>
      <c r="C72" s="1947"/>
      <c r="D72" s="250" t="s">
        <v>537</v>
      </c>
      <c r="E72" s="250" t="s">
        <v>524</v>
      </c>
      <c r="F72" s="251" t="s">
        <v>538</v>
      </c>
      <c r="G72" s="106" t="s">
        <v>543</v>
      </c>
      <c r="H72" s="250" t="s">
        <v>539</v>
      </c>
      <c r="I72" s="250" t="s">
        <v>537</v>
      </c>
      <c r="J72" s="250" t="s">
        <v>524</v>
      </c>
      <c r="K72" s="251" t="s">
        <v>538</v>
      </c>
      <c r="L72" s="106" t="s">
        <v>543</v>
      </c>
      <c r="M72" s="250" t="s">
        <v>539</v>
      </c>
      <c r="N72" s="250" t="s">
        <v>537</v>
      </c>
      <c r="O72" s="250" t="s">
        <v>524</v>
      </c>
      <c r="P72" s="251" t="s">
        <v>538</v>
      </c>
      <c r="Q72" s="106" t="s">
        <v>543</v>
      </c>
      <c r="R72" s="250" t="s">
        <v>539</v>
      </c>
      <c r="S72" s="250" t="s">
        <v>537</v>
      </c>
      <c r="T72" s="250" t="s">
        <v>524</v>
      </c>
      <c r="U72" s="251" t="s">
        <v>538</v>
      </c>
      <c r="V72" s="106" t="s">
        <v>543</v>
      </c>
      <c r="W72" s="250" t="s">
        <v>539</v>
      </c>
    </row>
    <row r="73" spans="2:23" x14ac:dyDescent="0.4">
      <c r="B73" s="217"/>
      <c r="C73" s="217"/>
      <c r="D73" s="217" t="s">
        <v>128</v>
      </c>
      <c r="E73" s="217" t="s">
        <v>129</v>
      </c>
      <c r="F73" s="217" t="s">
        <v>527</v>
      </c>
      <c r="G73" s="217" t="s">
        <v>130</v>
      </c>
      <c r="H73" s="217" t="s">
        <v>544</v>
      </c>
      <c r="I73" s="217" t="s">
        <v>331</v>
      </c>
      <c r="J73" s="217" t="s">
        <v>132</v>
      </c>
      <c r="K73" s="217" t="s">
        <v>133</v>
      </c>
      <c r="L73" s="217" t="s">
        <v>332</v>
      </c>
      <c r="M73" s="217" t="s">
        <v>545</v>
      </c>
      <c r="N73" s="217" t="s">
        <v>528</v>
      </c>
      <c r="O73" s="217" t="s">
        <v>529</v>
      </c>
      <c r="P73" s="217" t="s">
        <v>334</v>
      </c>
      <c r="Q73" s="217" t="s">
        <v>530</v>
      </c>
      <c r="R73" s="217" t="s">
        <v>546</v>
      </c>
      <c r="S73" s="217" t="s">
        <v>532</v>
      </c>
      <c r="T73" s="217" t="s">
        <v>533</v>
      </c>
      <c r="U73" s="217" t="s">
        <v>534</v>
      </c>
      <c r="V73" s="217" t="s">
        <v>535</v>
      </c>
      <c r="W73" s="217" t="s">
        <v>547</v>
      </c>
    </row>
    <row r="74" spans="2:23" x14ac:dyDescent="0.4">
      <c r="B74" s="1133">
        <v>1</v>
      </c>
      <c r="C74" s="1134" t="s">
        <v>1410</v>
      </c>
      <c r="D74" s="1142">
        <f>+W60</f>
        <v>0</v>
      </c>
      <c r="E74" s="52"/>
      <c r="F74" s="52"/>
      <c r="G74" s="372"/>
      <c r="H74" s="761">
        <f>+D74+E74-F74-G74</f>
        <v>0</v>
      </c>
      <c r="I74" s="1141">
        <f>+H74</f>
        <v>0</v>
      </c>
      <c r="J74" s="86"/>
      <c r="K74" s="86"/>
      <c r="L74" s="372"/>
      <c r="M74" s="761">
        <f>+I74+J74-K74-L74</f>
        <v>0</v>
      </c>
      <c r="N74" s="1141">
        <f>+M74</f>
        <v>0</v>
      </c>
      <c r="O74" s="86"/>
      <c r="P74" s="86"/>
      <c r="Q74" s="372"/>
      <c r="R74" s="761">
        <f>+N74+O74-P74-Q74</f>
        <v>0</v>
      </c>
      <c r="S74" s="1141">
        <f>+R74</f>
        <v>0</v>
      </c>
      <c r="T74" s="86"/>
      <c r="U74" s="86"/>
      <c r="V74" s="372"/>
      <c r="W74" s="761">
        <f>+S74+T74-U74-V74</f>
        <v>0</v>
      </c>
    </row>
    <row r="75" spans="2:23" x14ac:dyDescent="0.4">
      <c r="B75" s="1133">
        <v>2</v>
      </c>
      <c r="C75" s="1134" t="s">
        <v>1409</v>
      </c>
      <c r="D75" s="1142">
        <f t="shared" ref="D75:D81" si="34">+W61</f>
        <v>0</v>
      </c>
      <c r="E75" s="52"/>
      <c r="F75" s="52"/>
      <c r="G75" s="372"/>
      <c r="H75" s="761">
        <f t="shared" ref="H75:H81" si="35">+D75+E75-F75-G75</f>
        <v>0</v>
      </c>
      <c r="I75" s="1141">
        <f t="shared" ref="I75:I81" si="36">+H75</f>
        <v>0</v>
      </c>
      <c r="J75" s="86"/>
      <c r="K75" s="86"/>
      <c r="L75" s="372"/>
      <c r="M75" s="761">
        <f t="shared" ref="M75:M81" si="37">+I75+J75-K75-L75</f>
        <v>0</v>
      </c>
      <c r="N75" s="1141">
        <f t="shared" ref="N75:N81" si="38">+M75</f>
        <v>0</v>
      </c>
      <c r="O75" s="86"/>
      <c r="P75" s="86"/>
      <c r="Q75" s="372"/>
      <c r="R75" s="761">
        <f t="shared" ref="R75:R81" si="39">+N75+O75-P75-Q75</f>
        <v>0</v>
      </c>
      <c r="S75" s="1141">
        <f t="shared" ref="S75:S81" si="40">+R75</f>
        <v>0</v>
      </c>
      <c r="T75" s="86"/>
      <c r="U75" s="86"/>
      <c r="V75" s="372"/>
      <c r="W75" s="761">
        <f t="shared" ref="W75:W81" si="41">+S75+T75-U75-V75</f>
        <v>0</v>
      </c>
    </row>
    <row r="76" spans="2:23" x14ac:dyDescent="0.4">
      <c r="B76" s="1133">
        <v>3</v>
      </c>
      <c r="C76" s="1134" t="s">
        <v>440</v>
      </c>
      <c r="D76" s="1142">
        <f t="shared" si="34"/>
        <v>0</v>
      </c>
      <c r="E76" s="275"/>
      <c r="F76" s="275"/>
      <c r="G76" s="373"/>
      <c r="H76" s="761">
        <f t="shared" si="35"/>
        <v>0</v>
      </c>
      <c r="I76" s="1141">
        <f t="shared" si="36"/>
        <v>0</v>
      </c>
      <c r="J76" s="86"/>
      <c r="K76" s="86"/>
      <c r="L76" s="373"/>
      <c r="M76" s="761">
        <f t="shared" si="37"/>
        <v>0</v>
      </c>
      <c r="N76" s="1141">
        <f t="shared" si="38"/>
        <v>0</v>
      </c>
      <c r="O76" s="86"/>
      <c r="P76" s="86"/>
      <c r="Q76" s="373"/>
      <c r="R76" s="761">
        <f t="shared" si="39"/>
        <v>0</v>
      </c>
      <c r="S76" s="1141">
        <f t="shared" si="40"/>
        <v>0</v>
      </c>
      <c r="T76" s="86"/>
      <c r="U76" s="86"/>
      <c r="V76" s="373"/>
      <c r="W76" s="761">
        <f t="shared" si="41"/>
        <v>0</v>
      </c>
    </row>
    <row r="77" spans="2:23" x14ac:dyDescent="0.4">
      <c r="B77" s="1133">
        <v>4</v>
      </c>
      <c r="C77" s="1134" t="s">
        <v>915</v>
      </c>
      <c r="D77" s="1142">
        <f t="shared" si="34"/>
        <v>0</v>
      </c>
      <c r="E77" s="52"/>
      <c r="F77" s="52"/>
      <c r="G77" s="372"/>
      <c r="H77" s="761">
        <f t="shared" si="35"/>
        <v>0</v>
      </c>
      <c r="I77" s="1141">
        <f t="shared" si="36"/>
        <v>0</v>
      </c>
      <c r="J77" s="86"/>
      <c r="K77" s="86"/>
      <c r="L77" s="372"/>
      <c r="M77" s="761">
        <f t="shared" si="37"/>
        <v>0</v>
      </c>
      <c r="N77" s="1141">
        <f t="shared" si="38"/>
        <v>0</v>
      </c>
      <c r="O77" s="86"/>
      <c r="P77" s="86"/>
      <c r="Q77" s="372"/>
      <c r="R77" s="761">
        <f t="shared" si="39"/>
        <v>0</v>
      </c>
      <c r="S77" s="1141">
        <f t="shared" si="40"/>
        <v>0</v>
      </c>
      <c r="T77" s="676">
        <f>AVERAGE(S33,W33)*Assum!H112</f>
        <v>2.2783780000000002E-3</v>
      </c>
      <c r="U77" s="86"/>
      <c r="V77" s="372"/>
      <c r="W77" s="761">
        <f t="shared" si="41"/>
        <v>2.2783780000000002E-3</v>
      </c>
    </row>
    <row r="78" spans="2:23" x14ac:dyDescent="0.4">
      <c r="B78" s="1133">
        <v>5</v>
      </c>
      <c r="C78" s="1134" t="s">
        <v>447</v>
      </c>
      <c r="D78" s="1142">
        <f t="shared" si="34"/>
        <v>0</v>
      </c>
      <c r="E78" s="52"/>
      <c r="F78" s="52"/>
      <c r="G78" s="372"/>
      <c r="H78" s="761">
        <f t="shared" si="35"/>
        <v>0</v>
      </c>
      <c r="I78" s="1141">
        <f t="shared" si="36"/>
        <v>0</v>
      </c>
      <c r="J78" s="86"/>
      <c r="K78" s="86"/>
      <c r="L78" s="372"/>
      <c r="M78" s="761">
        <f t="shared" si="37"/>
        <v>0</v>
      </c>
      <c r="N78" s="1141">
        <f t="shared" si="38"/>
        <v>0</v>
      </c>
      <c r="O78" s="86"/>
      <c r="P78" s="86"/>
      <c r="Q78" s="372"/>
      <c r="R78" s="761">
        <f t="shared" si="39"/>
        <v>0</v>
      </c>
      <c r="S78" s="1141">
        <f t="shared" si="40"/>
        <v>0</v>
      </c>
      <c r="T78" s="86"/>
      <c r="U78" s="86"/>
      <c r="V78" s="372"/>
      <c r="W78" s="761">
        <f t="shared" si="41"/>
        <v>0</v>
      </c>
    </row>
    <row r="79" spans="2:23" x14ac:dyDescent="0.4">
      <c r="B79" s="1133">
        <v>6</v>
      </c>
      <c r="C79" s="1134" t="s">
        <v>879</v>
      </c>
      <c r="D79" s="1142">
        <f t="shared" si="34"/>
        <v>0</v>
      </c>
      <c r="E79" s="52"/>
      <c r="F79" s="52"/>
      <c r="G79" s="372"/>
      <c r="H79" s="761">
        <f t="shared" si="35"/>
        <v>0</v>
      </c>
      <c r="I79" s="1141">
        <f t="shared" si="36"/>
        <v>0</v>
      </c>
      <c r="J79" s="86"/>
      <c r="K79" s="86"/>
      <c r="L79" s="372"/>
      <c r="M79" s="761">
        <f t="shared" si="37"/>
        <v>0</v>
      </c>
      <c r="N79" s="1141">
        <f t="shared" si="38"/>
        <v>0</v>
      </c>
      <c r="O79" s="86"/>
      <c r="P79" s="86"/>
      <c r="Q79" s="372"/>
      <c r="R79" s="761">
        <f t="shared" si="39"/>
        <v>0</v>
      </c>
      <c r="S79" s="1141">
        <f t="shared" si="40"/>
        <v>0</v>
      </c>
      <c r="T79" s="86"/>
      <c r="U79" s="86"/>
      <c r="V79" s="372"/>
      <c r="W79" s="761">
        <f t="shared" si="41"/>
        <v>0</v>
      </c>
    </row>
    <row r="80" spans="2:23" x14ac:dyDescent="0.4">
      <c r="B80" s="1133">
        <v>7</v>
      </c>
      <c r="C80" s="1135" t="s">
        <v>1269</v>
      </c>
      <c r="D80" s="1142">
        <f t="shared" si="34"/>
        <v>0</v>
      </c>
      <c r="E80" s="86"/>
      <c r="F80" s="86"/>
      <c r="G80" s="374"/>
      <c r="H80" s="761">
        <f t="shared" si="35"/>
        <v>0</v>
      </c>
      <c r="I80" s="1141">
        <f t="shared" si="36"/>
        <v>0</v>
      </c>
      <c r="J80" s="370"/>
      <c r="K80" s="370"/>
      <c r="L80" s="374"/>
      <c r="M80" s="761">
        <f t="shared" si="37"/>
        <v>0</v>
      </c>
      <c r="N80" s="1141">
        <f t="shared" si="38"/>
        <v>0</v>
      </c>
      <c r="O80" s="370"/>
      <c r="P80" s="370"/>
      <c r="Q80" s="374"/>
      <c r="R80" s="761">
        <f t="shared" si="39"/>
        <v>0</v>
      </c>
      <c r="S80" s="1141">
        <f t="shared" si="40"/>
        <v>0</v>
      </c>
      <c r="T80" s="370"/>
      <c r="U80" s="370"/>
      <c r="V80" s="374"/>
      <c r="W80" s="761">
        <f t="shared" si="41"/>
        <v>0</v>
      </c>
    </row>
    <row r="81" spans="2:38" ht="15.4" x14ac:dyDescent="0.4">
      <c r="B81" s="1133">
        <v>8</v>
      </c>
      <c r="C81" s="1135" t="s">
        <v>1270</v>
      </c>
      <c r="D81" s="1142">
        <f t="shared" si="34"/>
        <v>0</v>
      </c>
      <c r="E81" s="94"/>
      <c r="F81" s="94"/>
      <c r="G81" s="375"/>
      <c r="H81" s="761">
        <f t="shared" si="35"/>
        <v>0</v>
      </c>
      <c r="I81" s="1141">
        <f t="shared" si="36"/>
        <v>0</v>
      </c>
      <c r="J81" s="371"/>
      <c r="K81" s="371"/>
      <c r="L81" s="375"/>
      <c r="M81" s="761">
        <f t="shared" si="37"/>
        <v>0</v>
      </c>
      <c r="N81" s="1141">
        <f t="shared" si="38"/>
        <v>0</v>
      </c>
      <c r="O81" s="371"/>
      <c r="P81" s="371"/>
      <c r="Q81" s="375"/>
      <c r="R81" s="761">
        <f t="shared" si="39"/>
        <v>0</v>
      </c>
      <c r="S81" s="1141">
        <f t="shared" si="40"/>
        <v>0</v>
      </c>
      <c r="T81" s="371"/>
      <c r="U81" s="371"/>
      <c r="V81" s="375"/>
      <c r="W81" s="761">
        <f t="shared" si="41"/>
        <v>0</v>
      </c>
    </row>
    <row r="82" spans="2:38" ht="14.65" x14ac:dyDescent="0.4">
      <c r="B82" s="1136"/>
      <c r="C82" s="1137" t="s">
        <v>164</v>
      </c>
      <c r="D82" s="1140">
        <f>SUM(D74:D81)</f>
        <v>0</v>
      </c>
      <c r="E82" s="1140">
        <f t="shared" ref="E82:W82" si="42">SUM(E74:E81)</f>
        <v>0</v>
      </c>
      <c r="F82" s="1140">
        <f t="shared" si="42"/>
        <v>0</v>
      </c>
      <c r="G82" s="1140">
        <f t="shared" si="42"/>
        <v>0</v>
      </c>
      <c r="H82" s="1140">
        <f t="shared" si="42"/>
        <v>0</v>
      </c>
      <c r="I82" s="1140">
        <f t="shared" si="42"/>
        <v>0</v>
      </c>
      <c r="J82" s="1140">
        <f t="shared" si="42"/>
        <v>0</v>
      </c>
      <c r="K82" s="1140">
        <f t="shared" si="42"/>
        <v>0</v>
      </c>
      <c r="L82" s="1140">
        <f t="shared" si="42"/>
        <v>0</v>
      </c>
      <c r="M82" s="1140">
        <f t="shared" si="42"/>
        <v>0</v>
      </c>
      <c r="N82" s="1140">
        <f t="shared" si="42"/>
        <v>0</v>
      </c>
      <c r="O82" s="1140">
        <f t="shared" si="42"/>
        <v>0</v>
      </c>
      <c r="P82" s="1140">
        <f t="shared" si="42"/>
        <v>0</v>
      </c>
      <c r="Q82" s="1140">
        <f t="shared" si="42"/>
        <v>0</v>
      </c>
      <c r="R82" s="1140">
        <f t="shared" si="42"/>
        <v>0</v>
      </c>
      <c r="S82" s="1140">
        <f t="shared" si="42"/>
        <v>0</v>
      </c>
      <c r="T82" s="1140">
        <f t="shared" si="42"/>
        <v>2.2783780000000002E-3</v>
      </c>
      <c r="U82" s="1140">
        <f t="shared" si="42"/>
        <v>0</v>
      </c>
      <c r="V82" s="1140">
        <f t="shared" si="42"/>
        <v>0</v>
      </c>
      <c r="W82" s="1140">
        <f t="shared" si="42"/>
        <v>2.2783780000000002E-3</v>
      </c>
    </row>
    <row r="83" spans="2:38" ht="14.65" x14ac:dyDescent="0.4">
      <c r="B83" s="1138"/>
      <c r="C83" s="1139"/>
      <c r="D83" s="84"/>
      <c r="E83" s="84"/>
      <c r="F83" s="84"/>
      <c r="G83" s="84"/>
      <c r="H83" s="84"/>
      <c r="I83" s="51"/>
      <c r="J83" s="39"/>
      <c r="K83" s="51"/>
      <c r="L83" s="51"/>
      <c r="M83" s="39"/>
      <c r="N83" s="39"/>
      <c r="O83" s="51"/>
      <c r="P83" s="51"/>
      <c r="Q83" s="51"/>
      <c r="R83" s="51"/>
      <c r="S83" s="51"/>
      <c r="T83" s="51"/>
      <c r="U83" s="51"/>
      <c r="V83" s="51"/>
      <c r="W83" s="51"/>
    </row>
    <row r="84" spans="2:38" ht="15.4" x14ac:dyDescent="0.4">
      <c r="B84" s="1947" t="s">
        <v>1</v>
      </c>
      <c r="C84" s="1947" t="s">
        <v>111</v>
      </c>
      <c r="D84" s="2052" t="s">
        <v>124</v>
      </c>
      <c r="E84" s="2052"/>
      <c r="F84" s="2052"/>
      <c r="G84" s="2052"/>
      <c r="H84" s="2052"/>
      <c r="I84" s="2052" t="s">
        <v>125</v>
      </c>
      <c r="J84" s="2052"/>
      <c r="K84" s="2052"/>
      <c r="L84" s="2052"/>
      <c r="M84" s="2052"/>
      <c r="N84" s="2052" t="s">
        <v>126</v>
      </c>
      <c r="O84" s="2052"/>
      <c r="P84" s="2052"/>
      <c r="Q84" s="2052"/>
      <c r="R84" s="2052"/>
      <c r="S84" s="2052" t="s">
        <v>127</v>
      </c>
      <c r="T84" s="2052"/>
      <c r="U84" s="2052"/>
      <c r="V84" s="2052"/>
      <c r="W84" s="2052"/>
      <c r="X84" s="29"/>
      <c r="Y84" s="29"/>
      <c r="Z84" s="29"/>
      <c r="AA84" s="29"/>
      <c r="AB84" s="29"/>
      <c r="AC84" s="29"/>
      <c r="AD84" s="29"/>
      <c r="AE84" s="29"/>
      <c r="AF84" s="29"/>
      <c r="AG84" s="29"/>
      <c r="AH84" s="29"/>
      <c r="AI84" s="29"/>
      <c r="AJ84" s="29"/>
      <c r="AK84" s="29"/>
      <c r="AL84" s="29"/>
    </row>
    <row r="85" spans="2:38" ht="15.4" x14ac:dyDescent="0.4">
      <c r="B85" s="1947"/>
      <c r="C85" s="1947"/>
      <c r="D85" s="2052" t="s">
        <v>135</v>
      </c>
      <c r="E85" s="2055"/>
      <c r="F85" s="2055"/>
      <c r="G85" s="2055"/>
      <c r="H85" s="2055"/>
      <c r="I85" s="2052" t="s">
        <v>135</v>
      </c>
      <c r="J85" s="2055"/>
      <c r="K85" s="2055"/>
      <c r="L85" s="2055"/>
      <c r="M85" s="2055"/>
      <c r="N85" s="2052" t="s">
        <v>135</v>
      </c>
      <c r="O85" s="2055"/>
      <c r="P85" s="2055"/>
      <c r="Q85" s="2055"/>
      <c r="R85" s="2055"/>
      <c r="S85" s="2052" t="s">
        <v>135</v>
      </c>
      <c r="T85" s="2055"/>
      <c r="U85" s="2055"/>
      <c r="V85" s="2055"/>
      <c r="W85" s="2055"/>
      <c r="X85" s="29"/>
      <c r="Y85" s="29"/>
      <c r="Z85" s="29"/>
      <c r="AA85" s="29"/>
      <c r="AB85" s="29"/>
      <c r="AC85" s="29"/>
      <c r="AD85" s="29"/>
      <c r="AE85" s="29"/>
      <c r="AF85" s="29"/>
      <c r="AG85" s="29"/>
      <c r="AH85" s="29"/>
      <c r="AI85" s="29"/>
      <c r="AJ85" s="29"/>
      <c r="AK85" s="29"/>
      <c r="AL85" s="29"/>
    </row>
    <row r="86" spans="2:38" ht="40.5" x14ac:dyDescent="0.4">
      <c r="B86" s="1947"/>
      <c r="C86" s="1947"/>
      <c r="D86" s="250" t="s">
        <v>537</v>
      </c>
      <c r="E86" s="250" t="s">
        <v>524</v>
      </c>
      <c r="F86" s="251" t="s">
        <v>538</v>
      </c>
      <c r="G86" s="106" t="s">
        <v>543</v>
      </c>
      <c r="H86" s="250" t="s">
        <v>539</v>
      </c>
      <c r="I86" s="250" t="s">
        <v>537</v>
      </c>
      <c r="J86" s="250" t="s">
        <v>524</v>
      </c>
      <c r="K86" s="251" t="s">
        <v>538</v>
      </c>
      <c r="L86" s="106" t="s">
        <v>543</v>
      </c>
      <c r="M86" s="250" t="s">
        <v>539</v>
      </c>
      <c r="N86" s="250" t="s">
        <v>537</v>
      </c>
      <c r="O86" s="250" t="s">
        <v>524</v>
      </c>
      <c r="P86" s="251" t="s">
        <v>538</v>
      </c>
      <c r="Q86" s="106" t="s">
        <v>543</v>
      </c>
      <c r="R86" s="250" t="s">
        <v>539</v>
      </c>
      <c r="S86" s="250" t="s">
        <v>537</v>
      </c>
      <c r="T86" s="250" t="s">
        <v>524</v>
      </c>
      <c r="U86" s="251" t="s">
        <v>538</v>
      </c>
      <c r="V86" s="106" t="s">
        <v>543</v>
      </c>
      <c r="W86" s="250" t="s">
        <v>539</v>
      </c>
      <c r="X86" s="29"/>
      <c r="Y86" s="29"/>
      <c r="Z86" s="29"/>
      <c r="AA86" s="29"/>
      <c r="AB86" s="29"/>
      <c r="AC86" s="29"/>
      <c r="AD86" s="29"/>
      <c r="AE86" s="29"/>
      <c r="AF86" s="29"/>
      <c r="AG86" s="29"/>
      <c r="AH86" s="29"/>
      <c r="AI86" s="29"/>
      <c r="AJ86" s="29"/>
      <c r="AK86" s="29"/>
      <c r="AL86" s="29"/>
    </row>
    <row r="87" spans="2:38" x14ac:dyDescent="0.4">
      <c r="B87" s="217"/>
      <c r="C87" s="217"/>
      <c r="D87" s="217" t="s">
        <v>128</v>
      </c>
      <c r="E87" s="217" t="s">
        <v>129</v>
      </c>
      <c r="F87" s="217" t="s">
        <v>527</v>
      </c>
      <c r="G87" s="217" t="s">
        <v>130</v>
      </c>
      <c r="H87" s="217" t="s">
        <v>544</v>
      </c>
      <c r="I87" s="217" t="s">
        <v>331</v>
      </c>
      <c r="J87" s="217" t="s">
        <v>132</v>
      </c>
      <c r="K87" s="217" t="s">
        <v>133</v>
      </c>
      <c r="L87" s="217" t="s">
        <v>332</v>
      </c>
      <c r="M87" s="217" t="s">
        <v>545</v>
      </c>
      <c r="N87" s="217" t="s">
        <v>528</v>
      </c>
      <c r="O87" s="217" t="s">
        <v>529</v>
      </c>
      <c r="P87" s="217" t="s">
        <v>334</v>
      </c>
      <c r="Q87" s="217" t="s">
        <v>530</v>
      </c>
      <c r="R87" s="217" t="s">
        <v>546</v>
      </c>
      <c r="S87" s="217" t="s">
        <v>532</v>
      </c>
      <c r="T87" s="217" t="s">
        <v>533</v>
      </c>
      <c r="U87" s="217" t="s">
        <v>534</v>
      </c>
      <c r="V87" s="217" t="s">
        <v>535</v>
      </c>
      <c r="W87" s="217" t="s">
        <v>547</v>
      </c>
    </row>
    <row r="88" spans="2:38" x14ac:dyDescent="0.4">
      <c r="B88" s="1133">
        <v>1</v>
      </c>
      <c r="C88" s="1134" t="s">
        <v>1410</v>
      </c>
      <c r="D88" s="1142">
        <f>+W74</f>
        <v>0</v>
      </c>
      <c r="E88" s="52"/>
      <c r="F88" s="52"/>
      <c r="G88" s="372"/>
      <c r="H88" s="761">
        <f>+D88+E88-F88-G88</f>
        <v>0</v>
      </c>
      <c r="I88" s="1141">
        <f>+H88</f>
        <v>0</v>
      </c>
      <c r="J88" s="86"/>
      <c r="K88" s="86"/>
      <c r="L88" s="372"/>
      <c r="M88" s="761">
        <f>+I88+J88-K88-L88</f>
        <v>0</v>
      </c>
      <c r="N88" s="1141">
        <f>+M88</f>
        <v>0</v>
      </c>
      <c r="O88" s="86"/>
      <c r="P88" s="86"/>
      <c r="Q88" s="372"/>
      <c r="R88" s="761">
        <f>+N88+O88-P88-Q88</f>
        <v>0</v>
      </c>
      <c r="S88" s="1141">
        <f>+R88</f>
        <v>0</v>
      </c>
      <c r="T88" s="86"/>
      <c r="U88" s="86"/>
      <c r="V88" s="372"/>
      <c r="W88" s="761">
        <f>+S88+T88-U88-V88</f>
        <v>0</v>
      </c>
    </row>
    <row r="89" spans="2:38" x14ac:dyDescent="0.4">
      <c r="B89" s="1133">
        <v>2</v>
      </c>
      <c r="C89" s="1134" t="s">
        <v>1409</v>
      </c>
      <c r="D89" s="1142">
        <f t="shared" ref="D89:D95" si="43">+W75</f>
        <v>0</v>
      </c>
      <c r="E89" s="52"/>
      <c r="F89" s="52"/>
      <c r="G89" s="372"/>
      <c r="H89" s="761">
        <f t="shared" ref="H89:H95" si="44">+D89+E89-F89-G89</f>
        <v>0</v>
      </c>
      <c r="I89" s="1141">
        <f t="shared" ref="I89:I95" si="45">+H89</f>
        <v>0</v>
      </c>
      <c r="J89" s="86"/>
      <c r="K89" s="86"/>
      <c r="L89" s="372"/>
      <c r="M89" s="761">
        <f t="shared" ref="M89:M95" si="46">+I89+J89-K89-L89</f>
        <v>0</v>
      </c>
      <c r="N89" s="1141">
        <f t="shared" ref="N89:N95" si="47">+M89</f>
        <v>0</v>
      </c>
      <c r="O89" s="86"/>
      <c r="P89" s="86"/>
      <c r="Q89" s="372"/>
      <c r="R89" s="761">
        <f t="shared" ref="R89:R95" si="48">+N89+O89-P89-Q89</f>
        <v>0</v>
      </c>
      <c r="S89" s="1141">
        <f t="shared" ref="S89:S95" si="49">+R89</f>
        <v>0</v>
      </c>
      <c r="T89" s="86"/>
      <c r="U89" s="86"/>
      <c r="V89" s="372"/>
      <c r="W89" s="761">
        <f t="shared" ref="W89:W95" si="50">+S89+T89-U89-V89</f>
        <v>0</v>
      </c>
    </row>
    <row r="90" spans="2:38" x14ac:dyDescent="0.4">
      <c r="B90" s="1133">
        <v>3</v>
      </c>
      <c r="C90" s="1134" t="s">
        <v>440</v>
      </c>
      <c r="D90" s="1142">
        <f t="shared" si="43"/>
        <v>0</v>
      </c>
      <c r="E90" s="275"/>
      <c r="F90" s="275"/>
      <c r="G90" s="373"/>
      <c r="H90" s="761">
        <f t="shared" si="44"/>
        <v>0</v>
      </c>
      <c r="I90" s="1141">
        <f t="shared" si="45"/>
        <v>0</v>
      </c>
      <c r="J90" s="86"/>
      <c r="K90" s="86"/>
      <c r="L90" s="373"/>
      <c r="M90" s="761">
        <f t="shared" si="46"/>
        <v>0</v>
      </c>
      <c r="N90" s="1141">
        <f t="shared" si="47"/>
        <v>0</v>
      </c>
      <c r="O90" s="86"/>
      <c r="P90" s="86"/>
      <c r="Q90" s="373"/>
      <c r="R90" s="761">
        <f t="shared" si="48"/>
        <v>0</v>
      </c>
      <c r="S90" s="1141">
        <f t="shared" si="49"/>
        <v>0</v>
      </c>
      <c r="T90" s="86"/>
      <c r="U90" s="86"/>
      <c r="V90" s="373"/>
      <c r="W90" s="761">
        <f t="shared" si="50"/>
        <v>0</v>
      </c>
    </row>
    <row r="91" spans="2:38" x14ac:dyDescent="0.4">
      <c r="B91" s="1133">
        <v>4</v>
      </c>
      <c r="C91" s="1134" t="s">
        <v>915</v>
      </c>
      <c r="D91" s="1142">
        <f t="shared" si="43"/>
        <v>2.2783780000000002E-3</v>
      </c>
      <c r="E91" s="676">
        <f>AVERAGE(D47,H47)*Assum!$H112</f>
        <v>9.1865707500000011E-3</v>
      </c>
      <c r="F91" s="52"/>
      <c r="G91" s="372"/>
      <c r="H91" s="761">
        <f t="shared" si="44"/>
        <v>1.1464948750000002E-2</v>
      </c>
      <c r="I91" s="1141">
        <f t="shared" si="45"/>
        <v>1.1464948750000002E-2</v>
      </c>
      <c r="J91" s="676">
        <f>AVERAGE(I47,M47)*Assum!$H112</f>
        <v>2.0038288090000002E-2</v>
      </c>
      <c r="K91" s="86"/>
      <c r="L91" s="372"/>
      <c r="M91" s="761">
        <f t="shared" si="46"/>
        <v>3.1503236840000004E-2</v>
      </c>
      <c r="N91" s="1141">
        <f t="shared" si="47"/>
        <v>3.1503236840000004E-2</v>
      </c>
      <c r="O91" s="676">
        <f>AVERAGE(N47,R47)*Assum!$H112</f>
        <v>3.5389635290000006E-2</v>
      </c>
      <c r="P91" s="86"/>
      <c r="Q91" s="372"/>
      <c r="R91" s="761">
        <f t="shared" si="48"/>
        <v>6.6892872130000003E-2</v>
      </c>
      <c r="S91" s="1141">
        <f t="shared" si="49"/>
        <v>6.6892872130000003E-2</v>
      </c>
      <c r="T91" s="676">
        <f>AVERAGE(S47,W47)*Assum!$H112</f>
        <v>5.4046367120000008E-2</v>
      </c>
      <c r="U91" s="86"/>
      <c r="V91" s="372"/>
      <c r="W91" s="761">
        <f t="shared" si="50"/>
        <v>0.12093923925000001</v>
      </c>
    </row>
    <row r="92" spans="2:38" x14ac:dyDescent="0.4">
      <c r="B92" s="1133">
        <v>5</v>
      </c>
      <c r="C92" s="1134" t="s">
        <v>447</v>
      </c>
      <c r="D92" s="1142">
        <f t="shared" si="43"/>
        <v>0</v>
      </c>
      <c r="E92" s="52"/>
      <c r="F92" s="52"/>
      <c r="G92" s="372"/>
      <c r="H92" s="761">
        <f t="shared" si="44"/>
        <v>0</v>
      </c>
      <c r="I92" s="1141">
        <f t="shared" si="45"/>
        <v>0</v>
      </c>
      <c r="J92" s="86"/>
      <c r="K92" s="86"/>
      <c r="L92" s="372"/>
      <c r="M92" s="761">
        <f t="shared" si="46"/>
        <v>0</v>
      </c>
      <c r="N92" s="1141">
        <f t="shared" si="47"/>
        <v>0</v>
      </c>
      <c r="O92" s="86"/>
      <c r="P92" s="86"/>
      <c r="Q92" s="372"/>
      <c r="R92" s="761">
        <f t="shared" si="48"/>
        <v>0</v>
      </c>
      <c r="S92" s="1141">
        <f t="shared" si="49"/>
        <v>0</v>
      </c>
      <c r="T92" s="86"/>
      <c r="U92" s="86"/>
      <c r="V92" s="372"/>
      <c r="W92" s="761">
        <f t="shared" si="50"/>
        <v>0</v>
      </c>
    </row>
    <row r="93" spans="2:38" x14ac:dyDescent="0.4">
      <c r="B93" s="1133">
        <v>6</v>
      </c>
      <c r="C93" s="1134" t="s">
        <v>879</v>
      </c>
      <c r="D93" s="1142">
        <f t="shared" si="43"/>
        <v>0</v>
      </c>
      <c r="E93" s="52"/>
      <c r="F93" s="52"/>
      <c r="G93" s="372"/>
      <c r="H93" s="761">
        <f t="shared" si="44"/>
        <v>0</v>
      </c>
      <c r="I93" s="1141">
        <f t="shared" si="45"/>
        <v>0</v>
      </c>
      <c r="J93" s="86"/>
      <c r="K93" s="86"/>
      <c r="L93" s="372"/>
      <c r="M93" s="761">
        <f t="shared" si="46"/>
        <v>0</v>
      </c>
      <c r="N93" s="1141">
        <f t="shared" si="47"/>
        <v>0</v>
      </c>
      <c r="O93" s="86"/>
      <c r="P93" s="86"/>
      <c r="Q93" s="372"/>
      <c r="R93" s="761">
        <f t="shared" si="48"/>
        <v>0</v>
      </c>
      <c r="S93" s="1141">
        <f t="shared" si="49"/>
        <v>0</v>
      </c>
      <c r="T93" s="86"/>
      <c r="U93" s="86"/>
      <c r="V93" s="372"/>
      <c r="W93" s="761">
        <f t="shared" si="50"/>
        <v>0</v>
      </c>
    </row>
    <row r="94" spans="2:38" x14ac:dyDescent="0.4">
      <c r="B94" s="1133">
        <v>7</v>
      </c>
      <c r="C94" s="1135" t="s">
        <v>1269</v>
      </c>
      <c r="D94" s="1142">
        <f t="shared" si="43"/>
        <v>0</v>
      </c>
      <c r="E94" s="86"/>
      <c r="F94" s="86"/>
      <c r="G94" s="374"/>
      <c r="H94" s="761">
        <f t="shared" si="44"/>
        <v>0</v>
      </c>
      <c r="I94" s="1141">
        <f t="shared" si="45"/>
        <v>0</v>
      </c>
      <c r="J94" s="370"/>
      <c r="K94" s="370"/>
      <c r="L94" s="374"/>
      <c r="M94" s="761">
        <f t="shared" si="46"/>
        <v>0</v>
      </c>
      <c r="N94" s="1141">
        <f t="shared" si="47"/>
        <v>0</v>
      </c>
      <c r="O94" s="370"/>
      <c r="P94" s="370"/>
      <c r="Q94" s="374"/>
      <c r="R94" s="761">
        <f t="shared" si="48"/>
        <v>0</v>
      </c>
      <c r="S94" s="1141">
        <f t="shared" si="49"/>
        <v>0</v>
      </c>
      <c r="T94" s="370"/>
      <c r="U94" s="370"/>
      <c r="V94" s="374"/>
      <c r="W94" s="761">
        <f t="shared" si="50"/>
        <v>0</v>
      </c>
    </row>
    <row r="95" spans="2:38" ht="15.4" x14ac:dyDescent="0.4">
      <c r="B95" s="1133">
        <v>8</v>
      </c>
      <c r="C95" s="1135" t="s">
        <v>1270</v>
      </c>
      <c r="D95" s="1142">
        <f t="shared" si="43"/>
        <v>0</v>
      </c>
      <c r="E95" s="94"/>
      <c r="F95" s="94"/>
      <c r="G95" s="375"/>
      <c r="H95" s="761">
        <f t="shared" si="44"/>
        <v>0</v>
      </c>
      <c r="I95" s="1141">
        <f t="shared" si="45"/>
        <v>0</v>
      </c>
      <c r="J95" s="371"/>
      <c r="K95" s="371"/>
      <c r="L95" s="375"/>
      <c r="M95" s="761">
        <f t="shared" si="46"/>
        <v>0</v>
      </c>
      <c r="N95" s="1141">
        <f t="shared" si="47"/>
        <v>0</v>
      </c>
      <c r="O95" s="371"/>
      <c r="P95" s="371"/>
      <c r="Q95" s="375"/>
      <c r="R95" s="761">
        <f t="shared" si="48"/>
        <v>0</v>
      </c>
      <c r="S95" s="1141">
        <f t="shared" si="49"/>
        <v>0</v>
      </c>
      <c r="T95" s="371"/>
      <c r="U95" s="371"/>
      <c r="V95" s="375"/>
      <c r="W95" s="761">
        <f t="shared" si="50"/>
        <v>0</v>
      </c>
    </row>
    <row r="96" spans="2:38" ht="14.65" x14ac:dyDescent="0.4">
      <c r="B96" s="1136"/>
      <c r="C96" s="1137" t="s">
        <v>164</v>
      </c>
      <c r="D96" s="1140">
        <f>SUM(D88:D95)</f>
        <v>2.2783780000000002E-3</v>
      </c>
      <c r="E96" s="1140">
        <f t="shared" ref="E96:W96" si="51">SUM(E88:E95)</f>
        <v>9.1865707500000011E-3</v>
      </c>
      <c r="F96" s="1140">
        <f t="shared" si="51"/>
        <v>0</v>
      </c>
      <c r="G96" s="1140">
        <f t="shared" si="51"/>
        <v>0</v>
      </c>
      <c r="H96" s="1140">
        <f t="shared" si="51"/>
        <v>1.1464948750000002E-2</v>
      </c>
      <c r="I96" s="1140">
        <f t="shared" si="51"/>
        <v>1.1464948750000002E-2</v>
      </c>
      <c r="J96" s="1140">
        <f t="shared" si="51"/>
        <v>2.0038288090000002E-2</v>
      </c>
      <c r="K96" s="1140">
        <f t="shared" si="51"/>
        <v>0</v>
      </c>
      <c r="L96" s="1140">
        <f t="shared" si="51"/>
        <v>0</v>
      </c>
      <c r="M96" s="1140">
        <f t="shared" si="51"/>
        <v>3.1503236840000004E-2</v>
      </c>
      <c r="N96" s="1140">
        <f t="shared" si="51"/>
        <v>3.1503236840000004E-2</v>
      </c>
      <c r="O96" s="1140">
        <f t="shared" si="51"/>
        <v>3.5389635290000006E-2</v>
      </c>
      <c r="P96" s="1140">
        <f t="shared" si="51"/>
        <v>0</v>
      </c>
      <c r="Q96" s="1140">
        <f t="shared" si="51"/>
        <v>0</v>
      </c>
      <c r="R96" s="1140">
        <f t="shared" si="51"/>
        <v>6.6892872130000003E-2</v>
      </c>
      <c r="S96" s="1140">
        <f t="shared" si="51"/>
        <v>6.6892872130000003E-2</v>
      </c>
      <c r="T96" s="1140">
        <f t="shared" si="51"/>
        <v>5.4046367120000008E-2</v>
      </c>
      <c r="U96" s="1140">
        <f t="shared" si="51"/>
        <v>0</v>
      </c>
      <c r="V96" s="1140">
        <f t="shared" si="51"/>
        <v>0</v>
      </c>
      <c r="W96" s="1140">
        <f t="shared" si="51"/>
        <v>0.12093923925000001</v>
      </c>
    </row>
    <row r="97" spans="2:23" ht="14.65" x14ac:dyDescent="0.4">
      <c r="B97" s="1138"/>
      <c r="C97" s="1139"/>
      <c r="D97" s="84"/>
      <c r="E97" s="84"/>
      <c r="F97" s="84"/>
      <c r="G97" s="84"/>
      <c r="H97" s="84"/>
      <c r="I97" s="51"/>
      <c r="J97" s="39"/>
      <c r="K97" s="51"/>
      <c r="L97" s="51"/>
      <c r="M97" s="39"/>
      <c r="N97" s="39"/>
      <c r="O97" s="51"/>
      <c r="P97" s="51"/>
      <c r="Q97" s="51"/>
      <c r="R97" s="51"/>
      <c r="S97" s="51"/>
      <c r="T97" s="51"/>
      <c r="U97" s="51"/>
      <c r="V97" s="51"/>
      <c r="W97" s="51"/>
    </row>
    <row r="98" spans="2:23" x14ac:dyDescent="0.4">
      <c r="B98" s="83" t="s">
        <v>540</v>
      </c>
      <c r="C98" s="51"/>
      <c r="D98" s="51"/>
      <c r="E98" s="51"/>
      <c r="F98" s="51"/>
      <c r="G98" s="51"/>
      <c r="H98" s="51"/>
      <c r="I98" s="51"/>
      <c r="J98" s="51"/>
      <c r="K98" s="51"/>
      <c r="L98" s="51"/>
      <c r="M98" s="51"/>
      <c r="N98" s="51"/>
      <c r="O98" s="51"/>
      <c r="P98" s="51"/>
      <c r="Q98" s="51"/>
      <c r="R98" s="51"/>
      <c r="S98" s="51"/>
      <c r="T98" s="51"/>
      <c r="U98" s="51"/>
      <c r="V98" s="51"/>
      <c r="W98" s="51"/>
    </row>
    <row r="99" spans="2:23" x14ac:dyDescent="0.4">
      <c r="B99" s="51"/>
      <c r="C99" s="51"/>
      <c r="D99" s="51"/>
      <c r="E99" s="51"/>
      <c r="F99" s="51"/>
      <c r="G99" s="51"/>
      <c r="H99" s="51"/>
      <c r="I99" s="51"/>
      <c r="J99" s="39"/>
      <c r="K99" s="51"/>
      <c r="L99" s="51"/>
      <c r="M99" s="39"/>
      <c r="N99" s="39"/>
      <c r="O99" s="51"/>
      <c r="P99" s="51"/>
      <c r="Q99" s="51"/>
      <c r="R99" s="368"/>
      <c r="S99" s="51"/>
      <c r="T99" s="51"/>
      <c r="U99" s="51"/>
      <c r="V99" s="51"/>
      <c r="W99" s="160" t="s">
        <v>110</v>
      </c>
    </row>
    <row r="100" spans="2:23" x14ac:dyDescent="0.4">
      <c r="B100" s="1947" t="s">
        <v>1</v>
      </c>
      <c r="C100" s="1947" t="s">
        <v>111</v>
      </c>
      <c r="D100" s="2052" t="s">
        <v>196</v>
      </c>
      <c r="E100" s="2052"/>
      <c r="F100" s="2052"/>
      <c r="G100" s="2052"/>
      <c r="H100" s="2052"/>
      <c r="I100" s="1947" t="s">
        <v>197</v>
      </c>
      <c r="J100" s="1947"/>
      <c r="K100" s="1947"/>
      <c r="L100" s="1947"/>
      <c r="M100" s="1947"/>
      <c r="N100" s="1947" t="s">
        <v>198</v>
      </c>
      <c r="O100" s="1947"/>
      <c r="P100" s="1947"/>
      <c r="Q100" s="1947"/>
      <c r="R100" s="1947"/>
      <c r="S100" s="1947" t="s">
        <v>199</v>
      </c>
      <c r="T100" s="1947"/>
      <c r="U100" s="1947"/>
      <c r="V100" s="1947"/>
      <c r="W100" s="1947"/>
    </row>
    <row r="101" spans="2:23" x14ac:dyDescent="0.4">
      <c r="B101" s="1947"/>
      <c r="C101" s="1947"/>
      <c r="D101" s="1947" t="s">
        <v>186</v>
      </c>
      <c r="E101" s="2051"/>
      <c r="F101" s="2051"/>
      <c r="G101" s="2051"/>
      <c r="H101" s="2051"/>
      <c r="I101" s="1947" t="s">
        <v>186</v>
      </c>
      <c r="J101" s="2051"/>
      <c r="K101" s="2051"/>
      <c r="L101" s="2051"/>
      <c r="M101" s="2051"/>
      <c r="N101" s="1947" t="s">
        <v>186</v>
      </c>
      <c r="O101" s="2051"/>
      <c r="P101" s="2051"/>
      <c r="Q101" s="2051"/>
      <c r="R101" s="2051"/>
      <c r="S101" s="1947" t="s">
        <v>186</v>
      </c>
      <c r="T101" s="2051"/>
      <c r="U101" s="2051"/>
      <c r="V101" s="2051"/>
      <c r="W101" s="2051"/>
    </row>
    <row r="102" spans="2:23" ht="27" x14ac:dyDescent="0.4">
      <c r="B102" s="1947"/>
      <c r="C102" s="1947"/>
      <c r="D102" s="250" t="s">
        <v>523</v>
      </c>
      <c r="E102" s="250" t="s">
        <v>524</v>
      </c>
      <c r="F102" s="251" t="s">
        <v>538</v>
      </c>
      <c r="G102" s="106" t="s">
        <v>543</v>
      </c>
      <c r="H102" s="250" t="s">
        <v>526</v>
      </c>
      <c r="I102" s="250" t="s">
        <v>523</v>
      </c>
      <c r="J102" s="250" t="s">
        <v>524</v>
      </c>
      <c r="K102" s="251" t="s">
        <v>538</v>
      </c>
      <c r="L102" s="106" t="s">
        <v>543</v>
      </c>
      <c r="M102" s="250" t="s">
        <v>526</v>
      </c>
      <c r="N102" s="250" t="s">
        <v>523</v>
      </c>
      <c r="O102" s="250" t="s">
        <v>524</v>
      </c>
      <c r="P102" s="251" t="s">
        <v>538</v>
      </c>
      <c r="Q102" s="106" t="s">
        <v>543</v>
      </c>
      <c r="R102" s="250" t="s">
        <v>526</v>
      </c>
      <c r="S102" s="250" t="s">
        <v>523</v>
      </c>
      <c r="T102" s="250" t="s">
        <v>524</v>
      </c>
      <c r="U102" s="251" t="s">
        <v>538</v>
      </c>
      <c r="V102" s="106" t="s">
        <v>543</v>
      </c>
      <c r="W102" s="250" t="s">
        <v>526</v>
      </c>
    </row>
    <row r="103" spans="2:23" x14ac:dyDescent="0.4">
      <c r="B103" s="217"/>
      <c r="C103" s="217"/>
      <c r="D103" s="217" t="s">
        <v>128</v>
      </c>
      <c r="E103" s="217" t="s">
        <v>129</v>
      </c>
      <c r="F103" s="217" t="s">
        <v>527</v>
      </c>
      <c r="G103" s="217" t="s">
        <v>130</v>
      </c>
      <c r="H103" s="217" t="s">
        <v>544</v>
      </c>
      <c r="I103" s="217" t="s">
        <v>331</v>
      </c>
      <c r="J103" s="217" t="s">
        <v>132</v>
      </c>
      <c r="K103" s="217" t="s">
        <v>133</v>
      </c>
      <c r="L103" s="217" t="s">
        <v>332</v>
      </c>
      <c r="M103" s="217" t="s">
        <v>545</v>
      </c>
      <c r="N103" s="217" t="s">
        <v>528</v>
      </c>
      <c r="O103" s="217" t="s">
        <v>529</v>
      </c>
      <c r="P103" s="217" t="s">
        <v>334</v>
      </c>
      <c r="Q103" s="217" t="s">
        <v>530</v>
      </c>
      <c r="R103" s="217" t="s">
        <v>546</v>
      </c>
      <c r="S103" s="217" t="s">
        <v>532</v>
      </c>
      <c r="T103" s="217" t="s">
        <v>533</v>
      </c>
      <c r="U103" s="217" t="s">
        <v>534</v>
      </c>
      <c r="V103" s="217" t="s">
        <v>535</v>
      </c>
      <c r="W103" s="217" t="s">
        <v>547</v>
      </c>
    </row>
    <row r="104" spans="2:23" x14ac:dyDescent="0.4">
      <c r="B104" s="1133">
        <v>1</v>
      </c>
      <c r="C104" s="1134" t="s">
        <v>1410</v>
      </c>
      <c r="D104" s="1148">
        <f>+D16-D60</f>
        <v>0</v>
      </c>
      <c r="E104" s="1148">
        <f>+E16-E60</f>
        <v>0</v>
      </c>
      <c r="F104" s="1148">
        <f>+F16-F60</f>
        <v>0</v>
      </c>
      <c r="G104" s="1148">
        <f>+G16-G60</f>
        <v>0</v>
      </c>
      <c r="H104" s="760">
        <f>+D104+E104-F104-G104</f>
        <v>0</v>
      </c>
      <c r="I104" s="1146">
        <f>+H104</f>
        <v>0</v>
      </c>
      <c r="J104" s="1148">
        <f t="shared" ref="J104:L111" si="52">+J16-J60</f>
        <v>0</v>
      </c>
      <c r="K104" s="1148">
        <f t="shared" si="52"/>
        <v>0</v>
      </c>
      <c r="L104" s="1148">
        <f t="shared" si="52"/>
        <v>0</v>
      </c>
      <c r="M104" s="760">
        <f>+I104+J104-K104-L104</f>
        <v>0</v>
      </c>
      <c r="N104" s="1146">
        <f>+M104</f>
        <v>0</v>
      </c>
      <c r="O104" s="1148">
        <f t="shared" ref="O104:Q111" si="53">+O16-O60</f>
        <v>0</v>
      </c>
      <c r="P104" s="1148">
        <f t="shared" si="53"/>
        <v>0</v>
      </c>
      <c r="Q104" s="1148">
        <f t="shared" si="53"/>
        <v>0</v>
      </c>
      <c r="R104" s="760">
        <f>+N104+O104-P104-Q104</f>
        <v>0</v>
      </c>
      <c r="S104" s="1146">
        <f>+R104</f>
        <v>0</v>
      </c>
      <c r="T104" s="1148">
        <f t="shared" ref="T104:V111" si="54">+T16-T60</f>
        <v>0</v>
      </c>
      <c r="U104" s="1148">
        <f t="shared" si="54"/>
        <v>0</v>
      </c>
      <c r="V104" s="1148">
        <f t="shared" si="54"/>
        <v>0</v>
      </c>
      <c r="W104" s="760">
        <f>+S104+T104-U104-V104</f>
        <v>0</v>
      </c>
    </row>
    <row r="105" spans="2:23" x14ac:dyDescent="0.4">
      <c r="B105" s="1133">
        <v>2</v>
      </c>
      <c r="C105" s="1134" t="s">
        <v>1409</v>
      </c>
      <c r="D105" s="1148">
        <f t="shared" ref="D105:G111" si="55">+D17-D61</f>
        <v>0</v>
      </c>
      <c r="E105" s="1148">
        <f t="shared" si="55"/>
        <v>0</v>
      </c>
      <c r="F105" s="1148">
        <f t="shared" si="55"/>
        <v>0</v>
      </c>
      <c r="G105" s="1148">
        <f t="shared" si="55"/>
        <v>0</v>
      </c>
      <c r="H105" s="760">
        <f t="shared" ref="H105:H111" si="56">+D105+E105-F105-G105</f>
        <v>0</v>
      </c>
      <c r="I105" s="1146">
        <f t="shared" ref="I105:I111" si="57">+H105</f>
        <v>0</v>
      </c>
      <c r="J105" s="1148">
        <f t="shared" si="52"/>
        <v>0</v>
      </c>
      <c r="K105" s="1148">
        <f t="shared" si="52"/>
        <v>0</v>
      </c>
      <c r="L105" s="1148">
        <f t="shared" si="52"/>
        <v>0</v>
      </c>
      <c r="M105" s="760">
        <f t="shared" ref="M105:M111" si="58">+I105+J105-K105-L105</f>
        <v>0</v>
      </c>
      <c r="N105" s="1146">
        <f t="shared" ref="N105:N111" si="59">+M105</f>
        <v>0</v>
      </c>
      <c r="O105" s="1148">
        <f t="shared" si="53"/>
        <v>0</v>
      </c>
      <c r="P105" s="1148">
        <f t="shared" si="53"/>
        <v>0</v>
      </c>
      <c r="Q105" s="1148">
        <f t="shared" si="53"/>
        <v>0</v>
      </c>
      <c r="R105" s="760">
        <f t="shared" ref="R105:R111" si="60">+N105+O105-P105-Q105</f>
        <v>0</v>
      </c>
      <c r="S105" s="1146">
        <f t="shared" ref="S105:S111" si="61">+R105</f>
        <v>0</v>
      </c>
      <c r="T105" s="1148">
        <f t="shared" si="54"/>
        <v>0</v>
      </c>
      <c r="U105" s="1148">
        <f t="shared" si="54"/>
        <v>0</v>
      </c>
      <c r="V105" s="1148">
        <f t="shared" si="54"/>
        <v>0</v>
      </c>
      <c r="W105" s="760">
        <f t="shared" ref="W105:W111" si="62">+S105+T105-U105-V105</f>
        <v>0</v>
      </c>
    </row>
    <row r="106" spans="2:23" x14ac:dyDescent="0.4">
      <c r="B106" s="1133">
        <v>3</v>
      </c>
      <c r="C106" s="1134" t="s">
        <v>440</v>
      </c>
      <c r="D106" s="1148">
        <f t="shared" si="55"/>
        <v>0</v>
      </c>
      <c r="E106" s="1148">
        <f t="shared" si="55"/>
        <v>0</v>
      </c>
      <c r="F106" s="1148">
        <f t="shared" si="55"/>
        <v>0</v>
      </c>
      <c r="G106" s="1148">
        <f t="shared" si="55"/>
        <v>0</v>
      </c>
      <c r="H106" s="760">
        <f t="shared" si="56"/>
        <v>0</v>
      </c>
      <c r="I106" s="1146">
        <f t="shared" si="57"/>
        <v>0</v>
      </c>
      <c r="J106" s="1148">
        <f t="shared" si="52"/>
        <v>0</v>
      </c>
      <c r="K106" s="1148">
        <f t="shared" si="52"/>
        <v>0</v>
      </c>
      <c r="L106" s="1148">
        <f t="shared" si="52"/>
        <v>0</v>
      </c>
      <c r="M106" s="760">
        <f t="shared" si="58"/>
        <v>0</v>
      </c>
      <c r="N106" s="1146">
        <f t="shared" si="59"/>
        <v>0</v>
      </c>
      <c r="O106" s="1148">
        <f t="shared" si="53"/>
        <v>0</v>
      </c>
      <c r="P106" s="1148">
        <f t="shared" si="53"/>
        <v>0</v>
      </c>
      <c r="Q106" s="1148">
        <f t="shared" si="53"/>
        <v>0</v>
      </c>
      <c r="R106" s="760">
        <f t="shared" si="60"/>
        <v>0</v>
      </c>
      <c r="S106" s="1146">
        <f t="shared" si="61"/>
        <v>0</v>
      </c>
      <c r="T106" s="1148">
        <f t="shared" si="54"/>
        <v>0</v>
      </c>
      <c r="U106" s="1148">
        <f t="shared" si="54"/>
        <v>0</v>
      </c>
      <c r="V106" s="1148">
        <f t="shared" si="54"/>
        <v>0</v>
      </c>
      <c r="W106" s="760">
        <f t="shared" si="62"/>
        <v>0</v>
      </c>
    </row>
    <row r="107" spans="2:23" x14ac:dyDescent="0.4">
      <c r="B107" s="1133">
        <v>4</v>
      </c>
      <c r="C107" s="1134" t="s">
        <v>915</v>
      </c>
      <c r="D107" s="1148">
        <f t="shared" si="55"/>
        <v>0</v>
      </c>
      <c r="E107" s="1148">
        <f t="shared" si="55"/>
        <v>0</v>
      </c>
      <c r="F107" s="1148">
        <f t="shared" si="55"/>
        <v>0</v>
      </c>
      <c r="G107" s="1148">
        <f t="shared" si="55"/>
        <v>0</v>
      </c>
      <c r="H107" s="760">
        <f t="shared" si="56"/>
        <v>0</v>
      </c>
      <c r="I107" s="1146">
        <f t="shared" si="57"/>
        <v>0</v>
      </c>
      <c r="J107" s="1148">
        <f t="shared" si="52"/>
        <v>0</v>
      </c>
      <c r="K107" s="1148">
        <f t="shared" si="52"/>
        <v>0</v>
      </c>
      <c r="L107" s="1148">
        <f t="shared" si="52"/>
        <v>0</v>
      </c>
      <c r="M107" s="760">
        <f t="shared" si="58"/>
        <v>0</v>
      </c>
      <c r="N107" s="1146">
        <f t="shared" si="59"/>
        <v>0</v>
      </c>
      <c r="O107" s="1148">
        <f t="shared" si="53"/>
        <v>0</v>
      </c>
      <c r="P107" s="1148">
        <f t="shared" si="53"/>
        <v>0</v>
      </c>
      <c r="Q107" s="1148">
        <f t="shared" si="53"/>
        <v>0</v>
      </c>
      <c r="R107" s="760">
        <f t="shared" si="60"/>
        <v>0</v>
      </c>
      <c r="S107" s="1146">
        <f t="shared" si="61"/>
        <v>0</v>
      </c>
      <c r="T107" s="1148">
        <f t="shared" si="54"/>
        <v>0</v>
      </c>
      <c r="U107" s="1148">
        <f t="shared" si="54"/>
        <v>0</v>
      </c>
      <c r="V107" s="1148">
        <f t="shared" si="54"/>
        <v>0</v>
      </c>
      <c r="W107" s="760">
        <f t="shared" si="62"/>
        <v>0</v>
      </c>
    </row>
    <row r="108" spans="2:23" x14ac:dyDescent="0.4">
      <c r="B108" s="1133">
        <v>5</v>
      </c>
      <c r="C108" s="1134" t="s">
        <v>447</v>
      </c>
      <c r="D108" s="1148">
        <f t="shared" si="55"/>
        <v>0</v>
      </c>
      <c r="E108" s="1148">
        <f t="shared" si="55"/>
        <v>0</v>
      </c>
      <c r="F108" s="1148">
        <f t="shared" si="55"/>
        <v>0</v>
      </c>
      <c r="G108" s="1148">
        <f t="shared" si="55"/>
        <v>0</v>
      </c>
      <c r="H108" s="760">
        <f t="shared" si="56"/>
        <v>0</v>
      </c>
      <c r="I108" s="1146">
        <f t="shared" si="57"/>
        <v>0</v>
      </c>
      <c r="J108" s="1148">
        <f t="shared" si="52"/>
        <v>0</v>
      </c>
      <c r="K108" s="1148">
        <f t="shared" si="52"/>
        <v>0</v>
      </c>
      <c r="L108" s="1148">
        <f t="shared" si="52"/>
        <v>0</v>
      </c>
      <c r="M108" s="760">
        <f t="shared" si="58"/>
        <v>0</v>
      </c>
      <c r="N108" s="1146">
        <f t="shared" si="59"/>
        <v>0</v>
      </c>
      <c r="O108" s="1148">
        <f t="shared" si="53"/>
        <v>0</v>
      </c>
      <c r="P108" s="1148">
        <f t="shared" si="53"/>
        <v>0</v>
      </c>
      <c r="Q108" s="1148">
        <f t="shared" si="53"/>
        <v>0</v>
      </c>
      <c r="R108" s="760">
        <f t="shared" si="60"/>
        <v>0</v>
      </c>
      <c r="S108" s="1146">
        <f t="shared" si="61"/>
        <v>0</v>
      </c>
      <c r="T108" s="1148">
        <f t="shared" si="54"/>
        <v>0</v>
      </c>
      <c r="U108" s="1148">
        <f t="shared" si="54"/>
        <v>0</v>
      </c>
      <c r="V108" s="1148">
        <f t="shared" si="54"/>
        <v>0</v>
      </c>
      <c r="W108" s="760">
        <f t="shared" si="62"/>
        <v>0</v>
      </c>
    </row>
    <row r="109" spans="2:23" x14ac:dyDescent="0.4">
      <c r="B109" s="1133">
        <v>6</v>
      </c>
      <c r="C109" s="1134" t="s">
        <v>879</v>
      </c>
      <c r="D109" s="1148">
        <f t="shared" si="55"/>
        <v>0</v>
      </c>
      <c r="E109" s="1148">
        <f t="shared" si="55"/>
        <v>0</v>
      </c>
      <c r="F109" s="1148">
        <f t="shared" si="55"/>
        <v>0</v>
      </c>
      <c r="G109" s="1148">
        <f t="shared" si="55"/>
        <v>0</v>
      </c>
      <c r="H109" s="760">
        <f t="shared" si="56"/>
        <v>0</v>
      </c>
      <c r="I109" s="1146">
        <f t="shared" si="57"/>
        <v>0</v>
      </c>
      <c r="J109" s="1148">
        <f t="shared" si="52"/>
        <v>0</v>
      </c>
      <c r="K109" s="1148">
        <f t="shared" si="52"/>
        <v>0</v>
      </c>
      <c r="L109" s="1148">
        <f t="shared" si="52"/>
        <v>0</v>
      </c>
      <c r="M109" s="760">
        <f t="shared" si="58"/>
        <v>0</v>
      </c>
      <c r="N109" s="1146">
        <f t="shared" si="59"/>
        <v>0</v>
      </c>
      <c r="O109" s="1148">
        <f t="shared" si="53"/>
        <v>0</v>
      </c>
      <c r="P109" s="1148">
        <f t="shared" si="53"/>
        <v>0</v>
      </c>
      <c r="Q109" s="1148">
        <f t="shared" si="53"/>
        <v>0</v>
      </c>
      <c r="R109" s="760">
        <f t="shared" si="60"/>
        <v>0</v>
      </c>
      <c r="S109" s="1146">
        <f t="shared" si="61"/>
        <v>0</v>
      </c>
      <c r="T109" s="1148">
        <f t="shared" si="54"/>
        <v>0</v>
      </c>
      <c r="U109" s="1148">
        <f t="shared" si="54"/>
        <v>0</v>
      </c>
      <c r="V109" s="1148">
        <f t="shared" si="54"/>
        <v>0</v>
      </c>
      <c r="W109" s="760">
        <f t="shared" si="62"/>
        <v>0</v>
      </c>
    </row>
    <row r="110" spans="2:23" x14ac:dyDescent="0.4">
      <c r="B110" s="1133">
        <v>7</v>
      </c>
      <c r="C110" s="1135" t="s">
        <v>1269</v>
      </c>
      <c r="D110" s="1148">
        <f t="shared" si="55"/>
        <v>0</v>
      </c>
      <c r="E110" s="1148">
        <f t="shared" si="55"/>
        <v>0</v>
      </c>
      <c r="F110" s="1148">
        <f t="shared" si="55"/>
        <v>0</v>
      </c>
      <c r="G110" s="1148">
        <f t="shared" si="55"/>
        <v>0</v>
      </c>
      <c r="H110" s="760">
        <f t="shared" si="56"/>
        <v>0</v>
      </c>
      <c r="I110" s="1146">
        <f t="shared" si="57"/>
        <v>0</v>
      </c>
      <c r="J110" s="1148">
        <f t="shared" si="52"/>
        <v>0</v>
      </c>
      <c r="K110" s="1148">
        <f t="shared" si="52"/>
        <v>0</v>
      </c>
      <c r="L110" s="1148">
        <f t="shared" si="52"/>
        <v>0</v>
      </c>
      <c r="M110" s="760">
        <f t="shared" si="58"/>
        <v>0</v>
      </c>
      <c r="N110" s="1146">
        <f t="shared" si="59"/>
        <v>0</v>
      </c>
      <c r="O110" s="1148">
        <f t="shared" si="53"/>
        <v>0</v>
      </c>
      <c r="P110" s="1148">
        <f t="shared" si="53"/>
        <v>0</v>
      </c>
      <c r="Q110" s="1148">
        <f t="shared" si="53"/>
        <v>0</v>
      </c>
      <c r="R110" s="760">
        <f t="shared" si="60"/>
        <v>0</v>
      </c>
      <c r="S110" s="1146">
        <f t="shared" si="61"/>
        <v>0</v>
      </c>
      <c r="T110" s="1148">
        <f t="shared" si="54"/>
        <v>0</v>
      </c>
      <c r="U110" s="1148">
        <f t="shared" si="54"/>
        <v>0</v>
      </c>
      <c r="V110" s="1148">
        <f t="shared" si="54"/>
        <v>0</v>
      </c>
      <c r="W110" s="760">
        <f t="shared" si="62"/>
        <v>0</v>
      </c>
    </row>
    <row r="111" spans="2:23" x14ac:dyDescent="0.4">
      <c r="B111" s="1133">
        <v>8</v>
      </c>
      <c r="C111" s="1135" t="s">
        <v>1270</v>
      </c>
      <c r="D111" s="1148">
        <f t="shared" si="55"/>
        <v>0</v>
      </c>
      <c r="E111" s="1148">
        <f t="shared" si="55"/>
        <v>0</v>
      </c>
      <c r="F111" s="1148">
        <f t="shared" si="55"/>
        <v>0</v>
      </c>
      <c r="G111" s="1148">
        <f t="shared" si="55"/>
        <v>0</v>
      </c>
      <c r="H111" s="760">
        <f t="shared" si="56"/>
        <v>0</v>
      </c>
      <c r="I111" s="1146">
        <f t="shared" si="57"/>
        <v>0</v>
      </c>
      <c r="J111" s="1148">
        <f t="shared" si="52"/>
        <v>0</v>
      </c>
      <c r="K111" s="1148">
        <f t="shared" si="52"/>
        <v>0</v>
      </c>
      <c r="L111" s="1148">
        <f t="shared" si="52"/>
        <v>0</v>
      </c>
      <c r="M111" s="760">
        <f t="shared" si="58"/>
        <v>0</v>
      </c>
      <c r="N111" s="1146">
        <f t="shared" si="59"/>
        <v>0</v>
      </c>
      <c r="O111" s="1148">
        <f t="shared" si="53"/>
        <v>0</v>
      </c>
      <c r="P111" s="1148">
        <f t="shared" si="53"/>
        <v>0</v>
      </c>
      <c r="Q111" s="1148">
        <f t="shared" si="53"/>
        <v>0</v>
      </c>
      <c r="R111" s="760">
        <f t="shared" si="60"/>
        <v>0</v>
      </c>
      <c r="S111" s="1146">
        <f t="shared" si="61"/>
        <v>0</v>
      </c>
      <c r="T111" s="1148">
        <f t="shared" si="54"/>
        <v>0</v>
      </c>
      <c r="U111" s="1148">
        <f t="shared" si="54"/>
        <v>0</v>
      </c>
      <c r="V111" s="1148">
        <f t="shared" si="54"/>
        <v>0</v>
      </c>
      <c r="W111" s="760">
        <f t="shared" si="62"/>
        <v>0</v>
      </c>
    </row>
    <row r="112" spans="2:23" ht="14.65" x14ac:dyDescent="0.4">
      <c r="B112" s="1136"/>
      <c r="C112" s="1137" t="s">
        <v>164</v>
      </c>
      <c r="D112" s="1147">
        <f>SUM(D104:D111)</f>
        <v>0</v>
      </c>
      <c r="E112" s="1147">
        <f t="shared" ref="E112:W112" si="63">SUM(E104:E111)</f>
        <v>0</v>
      </c>
      <c r="F112" s="1147">
        <f t="shared" si="63"/>
        <v>0</v>
      </c>
      <c r="G112" s="1147">
        <f t="shared" si="63"/>
        <v>0</v>
      </c>
      <c r="H112" s="1147">
        <f t="shared" si="63"/>
        <v>0</v>
      </c>
      <c r="I112" s="1147">
        <f t="shared" si="63"/>
        <v>0</v>
      </c>
      <c r="J112" s="1147">
        <f t="shared" si="63"/>
        <v>0</v>
      </c>
      <c r="K112" s="1147">
        <f t="shared" si="63"/>
        <v>0</v>
      </c>
      <c r="L112" s="1147">
        <f t="shared" si="63"/>
        <v>0</v>
      </c>
      <c r="M112" s="1147">
        <f t="shared" si="63"/>
        <v>0</v>
      </c>
      <c r="N112" s="1147">
        <f t="shared" si="63"/>
        <v>0</v>
      </c>
      <c r="O112" s="1147">
        <f t="shared" si="63"/>
        <v>0</v>
      </c>
      <c r="P112" s="1147">
        <f t="shared" si="63"/>
        <v>0</v>
      </c>
      <c r="Q112" s="1147">
        <f t="shared" si="63"/>
        <v>0</v>
      </c>
      <c r="R112" s="1147">
        <f t="shared" si="63"/>
        <v>0</v>
      </c>
      <c r="S112" s="1147">
        <f t="shared" si="63"/>
        <v>0</v>
      </c>
      <c r="T112" s="1147">
        <f t="shared" si="63"/>
        <v>0</v>
      </c>
      <c r="U112" s="1147">
        <f t="shared" si="63"/>
        <v>0</v>
      </c>
      <c r="V112" s="1147">
        <f t="shared" si="63"/>
        <v>0</v>
      </c>
      <c r="W112" s="1147">
        <f t="shared" si="63"/>
        <v>0</v>
      </c>
    </row>
    <row r="113" spans="2:23" ht="14.65" x14ac:dyDescent="0.4">
      <c r="B113" s="1138"/>
      <c r="C113" s="1139"/>
      <c r="D113" s="84"/>
      <c r="E113" s="84"/>
      <c r="F113" s="84"/>
      <c r="G113" s="84"/>
      <c r="H113" s="84"/>
      <c r="I113" s="51"/>
      <c r="J113" s="39"/>
      <c r="K113" s="51"/>
      <c r="L113" s="51"/>
      <c r="M113" s="39"/>
      <c r="N113" s="39"/>
      <c r="O113" s="51"/>
      <c r="P113" s="51"/>
      <c r="Q113" s="51"/>
      <c r="R113" s="51"/>
      <c r="S113" s="51"/>
      <c r="T113" s="51"/>
      <c r="U113" s="51"/>
      <c r="V113" s="51"/>
      <c r="W113" s="51"/>
    </row>
    <row r="114" spans="2:23" x14ac:dyDescent="0.4">
      <c r="B114" s="1947" t="s">
        <v>1</v>
      </c>
      <c r="C114" s="1947" t="s">
        <v>111</v>
      </c>
      <c r="D114" s="2053" t="s">
        <v>112</v>
      </c>
      <c r="E114" s="2053"/>
      <c r="F114" s="2053"/>
      <c r="G114" s="2053"/>
      <c r="H114" s="2053"/>
      <c r="I114" s="2053" t="s">
        <v>113</v>
      </c>
      <c r="J114" s="2053"/>
      <c r="K114" s="2053"/>
      <c r="L114" s="2053"/>
      <c r="M114" s="2053"/>
      <c r="N114" s="2054" t="s">
        <v>114</v>
      </c>
      <c r="O114" s="2054"/>
      <c r="P114" s="2054"/>
      <c r="Q114" s="2054"/>
      <c r="R114" s="2054"/>
      <c r="S114" s="2054" t="s">
        <v>123</v>
      </c>
      <c r="T114" s="2054"/>
      <c r="U114" s="2054"/>
      <c r="V114" s="2054"/>
      <c r="W114" s="2054"/>
    </row>
    <row r="115" spans="2:23" x14ac:dyDescent="0.4">
      <c r="B115" s="1947"/>
      <c r="C115" s="1947"/>
      <c r="D115" s="1947" t="s">
        <v>186</v>
      </c>
      <c r="E115" s="2051"/>
      <c r="F115" s="2051"/>
      <c r="G115" s="2051"/>
      <c r="H115" s="2051"/>
      <c r="I115" s="1947" t="s">
        <v>186</v>
      </c>
      <c r="J115" s="2051"/>
      <c r="K115" s="2051"/>
      <c r="L115" s="2051"/>
      <c r="M115" s="2051"/>
      <c r="N115" s="1947" t="s">
        <v>187</v>
      </c>
      <c r="O115" s="2051"/>
      <c r="P115" s="2051"/>
      <c r="Q115" s="2051"/>
      <c r="R115" s="2051"/>
      <c r="S115" s="1947" t="s">
        <v>135</v>
      </c>
      <c r="T115" s="2051"/>
      <c r="U115" s="2051"/>
      <c r="V115" s="2051"/>
      <c r="W115" s="2051"/>
    </row>
    <row r="116" spans="2:23" ht="27" x14ac:dyDescent="0.4">
      <c r="B116" s="1947"/>
      <c r="C116" s="1947"/>
      <c r="D116" s="250" t="s">
        <v>523</v>
      </c>
      <c r="E116" s="250" t="s">
        <v>524</v>
      </c>
      <c r="F116" s="251" t="s">
        <v>538</v>
      </c>
      <c r="G116" s="106" t="s">
        <v>543</v>
      </c>
      <c r="H116" s="250" t="s">
        <v>526</v>
      </c>
      <c r="I116" s="250" t="s">
        <v>523</v>
      </c>
      <c r="J116" s="250" t="s">
        <v>524</v>
      </c>
      <c r="K116" s="251" t="s">
        <v>538</v>
      </c>
      <c r="L116" s="106" t="s">
        <v>543</v>
      </c>
      <c r="M116" s="250" t="s">
        <v>526</v>
      </c>
      <c r="N116" s="250" t="s">
        <v>523</v>
      </c>
      <c r="O116" s="250" t="s">
        <v>524</v>
      </c>
      <c r="P116" s="251" t="s">
        <v>538</v>
      </c>
      <c r="Q116" s="106" t="s">
        <v>543</v>
      </c>
      <c r="R116" s="250" t="s">
        <v>526</v>
      </c>
      <c r="S116" s="250" t="s">
        <v>523</v>
      </c>
      <c r="T116" s="250" t="s">
        <v>524</v>
      </c>
      <c r="U116" s="251" t="s">
        <v>538</v>
      </c>
      <c r="V116" s="106" t="s">
        <v>543</v>
      </c>
      <c r="W116" s="250" t="s">
        <v>526</v>
      </c>
    </row>
    <row r="117" spans="2:23" x14ac:dyDescent="0.4">
      <c r="B117" s="217"/>
      <c r="C117" s="217"/>
      <c r="D117" s="217" t="s">
        <v>128</v>
      </c>
      <c r="E117" s="217" t="s">
        <v>129</v>
      </c>
      <c r="F117" s="217" t="s">
        <v>527</v>
      </c>
      <c r="G117" s="217" t="s">
        <v>130</v>
      </c>
      <c r="H117" s="217" t="s">
        <v>544</v>
      </c>
      <c r="I117" s="217" t="s">
        <v>331</v>
      </c>
      <c r="J117" s="217" t="s">
        <v>132</v>
      </c>
      <c r="K117" s="217" t="s">
        <v>133</v>
      </c>
      <c r="L117" s="217" t="s">
        <v>332</v>
      </c>
      <c r="M117" s="217" t="s">
        <v>545</v>
      </c>
      <c r="N117" s="217" t="s">
        <v>528</v>
      </c>
      <c r="O117" s="217" t="s">
        <v>529</v>
      </c>
      <c r="P117" s="217" t="s">
        <v>334</v>
      </c>
      <c r="Q117" s="217" t="s">
        <v>530</v>
      </c>
      <c r="R117" s="217" t="s">
        <v>546</v>
      </c>
      <c r="S117" s="217" t="s">
        <v>532</v>
      </c>
      <c r="T117" s="217" t="s">
        <v>533</v>
      </c>
      <c r="U117" s="217" t="s">
        <v>534</v>
      </c>
      <c r="V117" s="217" t="s">
        <v>535</v>
      </c>
      <c r="W117" s="217" t="s">
        <v>547</v>
      </c>
    </row>
    <row r="118" spans="2:23" x14ac:dyDescent="0.4">
      <c r="B118" s="1133">
        <v>1</v>
      </c>
      <c r="C118" s="1134" t="s">
        <v>1410</v>
      </c>
      <c r="D118" s="1142">
        <f>+W104</f>
        <v>0</v>
      </c>
      <c r="E118" s="1148">
        <f t="shared" ref="E118:G125" si="64">+E30-E74</f>
        <v>0</v>
      </c>
      <c r="F118" s="1148">
        <f t="shared" si="64"/>
        <v>0</v>
      </c>
      <c r="G118" s="1148">
        <f t="shared" si="64"/>
        <v>0</v>
      </c>
      <c r="H118" s="760">
        <f>+D118+E118-F118-G118</f>
        <v>0</v>
      </c>
      <c r="I118" s="1146">
        <f>+H118</f>
        <v>0</v>
      </c>
      <c r="J118" s="1148">
        <f t="shared" ref="J118:L125" si="65">+J30-J74</f>
        <v>0</v>
      </c>
      <c r="K118" s="1148">
        <f t="shared" si="65"/>
        <v>0</v>
      </c>
      <c r="L118" s="1148">
        <f t="shared" si="65"/>
        <v>0</v>
      </c>
      <c r="M118" s="760">
        <f>+I118+J118-K118-L118</f>
        <v>0</v>
      </c>
      <c r="N118" s="1146">
        <f>+M118</f>
        <v>0</v>
      </c>
      <c r="O118" s="1148">
        <f t="shared" ref="O118:Q125" si="66">+O30-O74</f>
        <v>0</v>
      </c>
      <c r="P118" s="1148">
        <f t="shared" si="66"/>
        <v>0</v>
      </c>
      <c r="Q118" s="1148">
        <f t="shared" si="66"/>
        <v>0</v>
      </c>
      <c r="R118" s="760">
        <f>+N118+O118-P118-Q118</f>
        <v>0</v>
      </c>
      <c r="S118" s="1146">
        <f>+R118</f>
        <v>0</v>
      </c>
      <c r="T118" s="1148">
        <f t="shared" ref="T118:V125" si="67">+T30-T74</f>
        <v>0</v>
      </c>
      <c r="U118" s="1148">
        <f t="shared" si="67"/>
        <v>0</v>
      </c>
      <c r="V118" s="1148">
        <f t="shared" si="67"/>
        <v>0</v>
      </c>
      <c r="W118" s="760">
        <f>+S118+T118-U118-V118</f>
        <v>0</v>
      </c>
    </row>
    <row r="119" spans="2:23" x14ac:dyDescent="0.4">
      <c r="B119" s="1133">
        <v>2</v>
      </c>
      <c r="C119" s="1134" t="s">
        <v>1409</v>
      </c>
      <c r="D119" s="1142">
        <f t="shared" ref="D119:D125" si="68">+W105</f>
        <v>0</v>
      </c>
      <c r="E119" s="1148">
        <f t="shared" si="64"/>
        <v>0</v>
      </c>
      <c r="F119" s="1148">
        <f t="shared" si="64"/>
        <v>0</v>
      </c>
      <c r="G119" s="1148">
        <f t="shared" si="64"/>
        <v>0</v>
      </c>
      <c r="H119" s="760">
        <f t="shared" ref="H119:H125" si="69">+D119+E119-F119-G119</f>
        <v>0</v>
      </c>
      <c r="I119" s="1146">
        <f t="shared" ref="I119:I125" si="70">+H119</f>
        <v>0</v>
      </c>
      <c r="J119" s="1148">
        <f t="shared" si="65"/>
        <v>0</v>
      </c>
      <c r="K119" s="1148">
        <f t="shared" si="65"/>
        <v>0</v>
      </c>
      <c r="L119" s="1148">
        <f t="shared" si="65"/>
        <v>0</v>
      </c>
      <c r="M119" s="760">
        <f t="shared" ref="M119:M125" si="71">+I119+J119-K119-L119</f>
        <v>0</v>
      </c>
      <c r="N119" s="1146">
        <f t="shared" ref="N119:N125" si="72">+M119</f>
        <v>0</v>
      </c>
      <c r="O119" s="1148">
        <f t="shared" si="66"/>
        <v>0</v>
      </c>
      <c r="P119" s="1148">
        <f t="shared" si="66"/>
        <v>0</v>
      </c>
      <c r="Q119" s="1148">
        <f t="shared" si="66"/>
        <v>0</v>
      </c>
      <c r="R119" s="760">
        <f t="shared" ref="R119:R125" si="73">+N119+O119-P119-Q119</f>
        <v>0</v>
      </c>
      <c r="S119" s="1146">
        <f t="shared" ref="S119:S125" si="74">+R119</f>
        <v>0</v>
      </c>
      <c r="T119" s="1148">
        <f t="shared" si="67"/>
        <v>0</v>
      </c>
      <c r="U119" s="1148">
        <f t="shared" si="67"/>
        <v>0</v>
      </c>
      <c r="V119" s="1148">
        <f t="shared" si="67"/>
        <v>0</v>
      </c>
      <c r="W119" s="760">
        <f t="shared" ref="W119:W125" si="75">+S119+T119-U119-V119</f>
        <v>0</v>
      </c>
    </row>
    <row r="120" spans="2:23" x14ac:dyDescent="0.4">
      <c r="B120" s="1133">
        <v>3</v>
      </c>
      <c r="C120" s="1134" t="s">
        <v>440</v>
      </c>
      <c r="D120" s="1142">
        <f t="shared" si="68"/>
        <v>0</v>
      </c>
      <c r="E120" s="1148">
        <f t="shared" si="64"/>
        <v>0</v>
      </c>
      <c r="F120" s="1148">
        <f t="shared" si="64"/>
        <v>0</v>
      </c>
      <c r="G120" s="1148">
        <f t="shared" si="64"/>
        <v>0</v>
      </c>
      <c r="H120" s="760">
        <f t="shared" si="69"/>
        <v>0</v>
      </c>
      <c r="I120" s="1146">
        <f t="shared" si="70"/>
        <v>0</v>
      </c>
      <c r="J120" s="1148">
        <f t="shared" si="65"/>
        <v>0</v>
      </c>
      <c r="K120" s="1148">
        <f t="shared" si="65"/>
        <v>0</v>
      </c>
      <c r="L120" s="1148">
        <f t="shared" si="65"/>
        <v>0</v>
      </c>
      <c r="M120" s="760">
        <f t="shared" si="71"/>
        <v>0</v>
      </c>
      <c r="N120" s="1146">
        <f t="shared" si="72"/>
        <v>0</v>
      </c>
      <c r="O120" s="1148">
        <f t="shared" si="66"/>
        <v>0</v>
      </c>
      <c r="P120" s="1148">
        <f t="shared" si="66"/>
        <v>0</v>
      </c>
      <c r="Q120" s="1148">
        <f t="shared" si="66"/>
        <v>0</v>
      </c>
      <c r="R120" s="760">
        <f t="shared" si="73"/>
        <v>0</v>
      </c>
      <c r="S120" s="1146">
        <f t="shared" si="74"/>
        <v>0</v>
      </c>
      <c r="T120" s="1148">
        <f t="shared" si="67"/>
        <v>0</v>
      </c>
      <c r="U120" s="1148">
        <f t="shared" si="67"/>
        <v>0</v>
      </c>
      <c r="V120" s="1148">
        <f t="shared" si="67"/>
        <v>0</v>
      </c>
      <c r="W120" s="760">
        <f t="shared" si="75"/>
        <v>0</v>
      </c>
    </row>
    <row r="121" spans="2:23" x14ac:dyDescent="0.4">
      <c r="B121" s="1133">
        <v>4</v>
      </c>
      <c r="C121" s="1134" t="s">
        <v>915</v>
      </c>
      <c r="D121" s="1142">
        <f t="shared" si="68"/>
        <v>0</v>
      </c>
      <c r="E121" s="1148">
        <f t="shared" si="64"/>
        <v>0</v>
      </c>
      <c r="F121" s="1148">
        <f t="shared" si="64"/>
        <v>0</v>
      </c>
      <c r="G121" s="1148">
        <f t="shared" si="64"/>
        <v>0</v>
      </c>
      <c r="H121" s="760">
        <f t="shared" si="69"/>
        <v>0</v>
      </c>
      <c r="I121" s="1146">
        <f t="shared" si="70"/>
        <v>0</v>
      </c>
      <c r="J121" s="1148">
        <f t="shared" si="65"/>
        <v>0</v>
      </c>
      <c r="K121" s="1148">
        <f t="shared" si="65"/>
        <v>0</v>
      </c>
      <c r="L121" s="1148">
        <f t="shared" si="65"/>
        <v>0</v>
      </c>
      <c r="M121" s="760">
        <f t="shared" si="71"/>
        <v>0</v>
      </c>
      <c r="N121" s="1146">
        <f t="shared" si="72"/>
        <v>0</v>
      </c>
      <c r="O121" s="1148">
        <f t="shared" si="66"/>
        <v>0</v>
      </c>
      <c r="P121" s="1148">
        <f t="shared" si="66"/>
        <v>0</v>
      </c>
      <c r="Q121" s="1148">
        <f t="shared" si="66"/>
        <v>0</v>
      </c>
      <c r="R121" s="760">
        <f t="shared" si="73"/>
        <v>0</v>
      </c>
      <c r="S121" s="1146">
        <f t="shared" si="74"/>
        <v>0</v>
      </c>
      <c r="T121" s="1148">
        <f t="shared" si="67"/>
        <v>0.10570162200000001</v>
      </c>
      <c r="U121" s="1148">
        <f t="shared" si="67"/>
        <v>0</v>
      </c>
      <c r="V121" s="1148">
        <f t="shared" si="67"/>
        <v>0</v>
      </c>
      <c r="W121" s="760">
        <f t="shared" si="75"/>
        <v>0.10570162200000001</v>
      </c>
    </row>
    <row r="122" spans="2:23" x14ac:dyDescent="0.4">
      <c r="B122" s="1133">
        <v>5</v>
      </c>
      <c r="C122" s="1134" t="s">
        <v>447</v>
      </c>
      <c r="D122" s="1142">
        <f t="shared" si="68"/>
        <v>0</v>
      </c>
      <c r="E122" s="1148">
        <f t="shared" si="64"/>
        <v>0</v>
      </c>
      <c r="F122" s="1148">
        <f t="shared" si="64"/>
        <v>0</v>
      </c>
      <c r="G122" s="1148">
        <f t="shared" si="64"/>
        <v>0</v>
      </c>
      <c r="H122" s="760">
        <f t="shared" si="69"/>
        <v>0</v>
      </c>
      <c r="I122" s="1146">
        <f t="shared" si="70"/>
        <v>0</v>
      </c>
      <c r="J122" s="1148">
        <f t="shared" si="65"/>
        <v>0</v>
      </c>
      <c r="K122" s="1148">
        <f t="shared" si="65"/>
        <v>0</v>
      </c>
      <c r="L122" s="1148">
        <f t="shared" si="65"/>
        <v>0</v>
      </c>
      <c r="M122" s="760">
        <f t="shared" si="71"/>
        <v>0</v>
      </c>
      <c r="N122" s="1146">
        <f t="shared" si="72"/>
        <v>0</v>
      </c>
      <c r="O122" s="1148">
        <f t="shared" si="66"/>
        <v>0</v>
      </c>
      <c r="P122" s="1148">
        <f t="shared" si="66"/>
        <v>0</v>
      </c>
      <c r="Q122" s="1148">
        <f t="shared" si="66"/>
        <v>0</v>
      </c>
      <c r="R122" s="760">
        <f t="shared" si="73"/>
        <v>0</v>
      </c>
      <c r="S122" s="1146">
        <f t="shared" si="74"/>
        <v>0</v>
      </c>
      <c r="T122" s="1148">
        <f t="shared" si="67"/>
        <v>0</v>
      </c>
      <c r="U122" s="1148">
        <f t="shared" si="67"/>
        <v>0</v>
      </c>
      <c r="V122" s="1148">
        <f t="shared" si="67"/>
        <v>0</v>
      </c>
      <c r="W122" s="760">
        <f t="shared" si="75"/>
        <v>0</v>
      </c>
    </row>
    <row r="123" spans="2:23" x14ac:dyDescent="0.4">
      <c r="B123" s="1133">
        <v>6</v>
      </c>
      <c r="C123" s="1134" t="s">
        <v>879</v>
      </c>
      <c r="D123" s="1142">
        <f t="shared" si="68"/>
        <v>0</v>
      </c>
      <c r="E123" s="1148">
        <f t="shared" si="64"/>
        <v>0</v>
      </c>
      <c r="F123" s="1148">
        <f t="shared" si="64"/>
        <v>0</v>
      </c>
      <c r="G123" s="1148">
        <f t="shared" si="64"/>
        <v>0</v>
      </c>
      <c r="H123" s="760">
        <f t="shared" si="69"/>
        <v>0</v>
      </c>
      <c r="I123" s="1146">
        <f t="shared" si="70"/>
        <v>0</v>
      </c>
      <c r="J123" s="1148">
        <f t="shared" si="65"/>
        <v>0</v>
      </c>
      <c r="K123" s="1148">
        <f t="shared" si="65"/>
        <v>0</v>
      </c>
      <c r="L123" s="1148">
        <f t="shared" si="65"/>
        <v>0</v>
      </c>
      <c r="M123" s="760">
        <f t="shared" si="71"/>
        <v>0</v>
      </c>
      <c r="N123" s="1146">
        <f t="shared" si="72"/>
        <v>0</v>
      </c>
      <c r="O123" s="1148">
        <f t="shared" si="66"/>
        <v>0</v>
      </c>
      <c r="P123" s="1148">
        <f t="shared" si="66"/>
        <v>0</v>
      </c>
      <c r="Q123" s="1148">
        <f t="shared" si="66"/>
        <v>0</v>
      </c>
      <c r="R123" s="760">
        <f t="shared" si="73"/>
        <v>0</v>
      </c>
      <c r="S123" s="1146">
        <f t="shared" si="74"/>
        <v>0</v>
      </c>
      <c r="T123" s="1148">
        <f t="shared" si="67"/>
        <v>0</v>
      </c>
      <c r="U123" s="1148">
        <f t="shared" si="67"/>
        <v>0</v>
      </c>
      <c r="V123" s="1148">
        <f t="shared" si="67"/>
        <v>0</v>
      </c>
      <c r="W123" s="760">
        <f t="shared" si="75"/>
        <v>0</v>
      </c>
    </row>
    <row r="124" spans="2:23" x14ac:dyDescent="0.4">
      <c r="B124" s="1133">
        <v>7</v>
      </c>
      <c r="C124" s="1135" t="s">
        <v>1269</v>
      </c>
      <c r="D124" s="1142">
        <f t="shared" si="68"/>
        <v>0</v>
      </c>
      <c r="E124" s="1148">
        <f t="shared" si="64"/>
        <v>0</v>
      </c>
      <c r="F124" s="1148">
        <f t="shared" si="64"/>
        <v>0</v>
      </c>
      <c r="G124" s="1148">
        <f t="shared" si="64"/>
        <v>0</v>
      </c>
      <c r="H124" s="760">
        <f t="shared" si="69"/>
        <v>0</v>
      </c>
      <c r="I124" s="1146">
        <f t="shared" si="70"/>
        <v>0</v>
      </c>
      <c r="J124" s="1148">
        <f t="shared" si="65"/>
        <v>0</v>
      </c>
      <c r="K124" s="1148">
        <f t="shared" si="65"/>
        <v>0</v>
      </c>
      <c r="L124" s="1148">
        <f t="shared" si="65"/>
        <v>0</v>
      </c>
      <c r="M124" s="760">
        <f t="shared" si="71"/>
        <v>0</v>
      </c>
      <c r="N124" s="1146">
        <f t="shared" si="72"/>
        <v>0</v>
      </c>
      <c r="O124" s="1148">
        <f t="shared" si="66"/>
        <v>0</v>
      </c>
      <c r="P124" s="1148">
        <f t="shared" si="66"/>
        <v>0</v>
      </c>
      <c r="Q124" s="1148">
        <f t="shared" si="66"/>
        <v>0</v>
      </c>
      <c r="R124" s="760">
        <f t="shared" si="73"/>
        <v>0</v>
      </c>
      <c r="S124" s="1146">
        <f t="shared" si="74"/>
        <v>0</v>
      </c>
      <c r="T124" s="1148">
        <f t="shared" si="67"/>
        <v>0</v>
      </c>
      <c r="U124" s="1148">
        <f t="shared" si="67"/>
        <v>0</v>
      </c>
      <c r="V124" s="1148">
        <f t="shared" si="67"/>
        <v>0</v>
      </c>
      <c r="W124" s="760">
        <f t="shared" si="75"/>
        <v>0</v>
      </c>
    </row>
    <row r="125" spans="2:23" x14ac:dyDescent="0.4">
      <c r="B125" s="1133">
        <v>8</v>
      </c>
      <c r="C125" s="1135" t="s">
        <v>1270</v>
      </c>
      <c r="D125" s="1142">
        <f t="shared" si="68"/>
        <v>0</v>
      </c>
      <c r="E125" s="1148">
        <f t="shared" si="64"/>
        <v>0</v>
      </c>
      <c r="F125" s="1148">
        <f t="shared" si="64"/>
        <v>0</v>
      </c>
      <c r="G125" s="1148">
        <f t="shared" si="64"/>
        <v>0</v>
      </c>
      <c r="H125" s="760">
        <f t="shared" si="69"/>
        <v>0</v>
      </c>
      <c r="I125" s="1146">
        <f t="shared" si="70"/>
        <v>0</v>
      </c>
      <c r="J125" s="1148">
        <f t="shared" si="65"/>
        <v>0</v>
      </c>
      <c r="K125" s="1148">
        <f t="shared" si="65"/>
        <v>0</v>
      </c>
      <c r="L125" s="1148">
        <f t="shared" si="65"/>
        <v>0</v>
      </c>
      <c r="M125" s="760">
        <f t="shared" si="71"/>
        <v>0</v>
      </c>
      <c r="N125" s="1146">
        <f t="shared" si="72"/>
        <v>0</v>
      </c>
      <c r="O125" s="1148">
        <f t="shared" si="66"/>
        <v>0</v>
      </c>
      <c r="P125" s="1148">
        <f t="shared" si="66"/>
        <v>0</v>
      </c>
      <c r="Q125" s="1148">
        <f t="shared" si="66"/>
        <v>0</v>
      </c>
      <c r="R125" s="760">
        <f t="shared" si="73"/>
        <v>0</v>
      </c>
      <c r="S125" s="1146">
        <f t="shared" si="74"/>
        <v>0</v>
      </c>
      <c r="T125" s="1148">
        <f t="shared" si="67"/>
        <v>0</v>
      </c>
      <c r="U125" s="1148">
        <f t="shared" si="67"/>
        <v>0</v>
      </c>
      <c r="V125" s="1148">
        <f t="shared" si="67"/>
        <v>0</v>
      </c>
      <c r="W125" s="760">
        <f t="shared" si="75"/>
        <v>0</v>
      </c>
    </row>
    <row r="126" spans="2:23" ht="14.65" x14ac:dyDescent="0.4">
      <c r="B126" s="1136"/>
      <c r="C126" s="1137" t="s">
        <v>164</v>
      </c>
      <c r="D126" s="1140">
        <f t="shared" ref="D126:W126" si="76">SUM(D118:D125)</f>
        <v>0</v>
      </c>
      <c r="E126" s="1147">
        <f t="shared" si="76"/>
        <v>0</v>
      </c>
      <c r="F126" s="1147">
        <f t="shared" si="76"/>
        <v>0</v>
      </c>
      <c r="G126" s="1147">
        <f t="shared" si="76"/>
        <v>0</v>
      </c>
      <c r="H126" s="1147">
        <f t="shared" si="76"/>
        <v>0</v>
      </c>
      <c r="I126" s="1147">
        <f t="shared" si="76"/>
        <v>0</v>
      </c>
      <c r="J126" s="1147">
        <f t="shared" si="76"/>
        <v>0</v>
      </c>
      <c r="K126" s="1147">
        <f t="shared" si="76"/>
        <v>0</v>
      </c>
      <c r="L126" s="1147">
        <f t="shared" si="76"/>
        <v>0</v>
      </c>
      <c r="M126" s="1147">
        <f t="shared" si="76"/>
        <v>0</v>
      </c>
      <c r="N126" s="1147">
        <f t="shared" si="76"/>
        <v>0</v>
      </c>
      <c r="O126" s="1147">
        <f t="shared" si="76"/>
        <v>0</v>
      </c>
      <c r="P126" s="1147">
        <f t="shared" si="76"/>
        <v>0</v>
      </c>
      <c r="Q126" s="1147">
        <f t="shared" si="76"/>
        <v>0</v>
      </c>
      <c r="R126" s="1147">
        <f t="shared" si="76"/>
        <v>0</v>
      </c>
      <c r="S126" s="1147">
        <f t="shared" si="76"/>
        <v>0</v>
      </c>
      <c r="T126" s="1147">
        <f t="shared" si="76"/>
        <v>0.10570162200000001</v>
      </c>
      <c r="U126" s="1147">
        <f t="shared" si="76"/>
        <v>0</v>
      </c>
      <c r="V126" s="1147">
        <f t="shared" si="76"/>
        <v>0</v>
      </c>
      <c r="W126" s="1147">
        <f t="shared" si="76"/>
        <v>0.10570162200000001</v>
      </c>
    </row>
    <row r="127" spans="2:23" ht="15.4" x14ac:dyDescent="0.4">
      <c r="B127" s="125"/>
      <c r="C127" s="83"/>
      <c r="D127" s="83"/>
      <c r="E127" s="83"/>
      <c r="F127" s="83"/>
      <c r="G127" s="83"/>
      <c r="H127" s="83"/>
      <c r="I127" s="125"/>
      <c r="J127" s="125"/>
      <c r="K127" s="125"/>
      <c r="L127" s="125"/>
      <c r="M127" s="125"/>
      <c r="N127" s="125"/>
      <c r="O127" s="125"/>
      <c r="P127" s="125"/>
      <c r="Q127" s="125"/>
      <c r="R127" s="125"/>
      <c r="S127" s="125"/>
      <c r="T127" s="125"/>
      <c r="U127" s="125"/>
      <c r="V127" s="125"/>
      <c r="W127" s="160" t="s">
        <v>110</v>
      </c>
    </row>
    <row r="128" spans="2:23" x14ac:dyDescent="0.4">
      <c r="B128" s="1947" t="s">
        <v>1</v>
      </c>
      <c r="C128" s="1947" t="s">
        <v>111</v>
      </c>
      <c r="D128" s="2052" t="s">
        <v>124</v>
      </c>
      <c r="E128" s="2052"/>
      <c r="F128" s="2052"/>
      <c r="G128" s="2052"/>
      <c r="H128" s="2052"/>
      <c r="I128" s="2052" t="s">
        <v>125</v>
      </c>
      <c r="J128" s="2052"/>
      <c r="K128" s="2052"/>
      <c r="L128" s="2052"/>
      <c r="M128" s="2052"/>
      <c r="N128" s="2052" t="s">
        <v>126</v>
      </c>
      <c r="O128" s="2052"/>
      <c r="P128" s="2052"/>
      <c r="Q128" s="2052"/>
      <c r="R128" s="2052"/>
      <c r="S128" s="2052" t="s">
        <v>127</v>
      </c>
      <c r="T128" s="2052"/>
      <c r="U128" s="2052"/>
      <c r="V128" s="2052"/>
      <c r="W128" s="2052"/>
    </row>
    <row r="129" spans="2:38" x14ac:dyDescent="0.4">
      <c r="B129" s="1947"/>
      <c r="C129" s="1947"/>
      <c r="D129" s="2052" t="s">
        <v>135</v>
      </c>
      <c r="E129" s="2055"/>
      <c r="F129" s="2055"/>
      <c r="G129" s="2055"/>
      <c r="H129" s="2055"/>
      <c r="I129" s="2052" t="s">
        <v>135</v>
      </c>
      <c r="J129" s="2055"/>
      <c r="K129" s="2055"/>
      <c r="L129" s="2055"/>
      <c r="M129" s="2055"/>
      <c r="N129" s="2052" t="s">
        <v>135</v>
      </c>
      <c r="O129" s="2055"/>
      <c r="P129" s="2055"/>
      <c r="Q129" s="2055"/>
      <c r="R129" s="2055"/>
      <c r="S129" s="2052" t="s">
        <v>135</v>
      </c>
      <c r="T129" s="2055"/>
      <c r="U129" s="2055"/>
      <c r="V129" s="2055"/>
      <c r="W129" s="2055"/>
    </row>
    <row r="130" spans="2:38" ht="27" x14ac:dyDescent="0.4">
      <c r="B130" s="1947"/>
      <c r="C130" s="1947"/>
      <c r="D130" s="250" t="s">
        <v>523</v>
      </c>
      <c r="E130" s="250" t="s">
        <v>524</v>
      </c>
      <c r="F130" s="251" t="s">
        <v>538</v>
      </c>
      <c r="G130" s="106" t="s">
        <v>543</v>
      </c>
      <c r="H130" s="250" t="s">
        <v>526</v>
      </c>
      <c r="I130" s="250" t="s">
        <v>523</v>
      </c>
      <c r="J130" s="250" t="s">
        <v>524</v>
      </c>
      <c r="K130" s="251" t="s">
        <v>538</v>
      </c>
      <c r="L130" s="106" t="s">
        <v>543</v>
      </c>
      <c r="M130" s="250" t="s">
        <v>526</v>
      </c>
      <c r="N130" s="250" t="s">
        <v>523</v>
      </c>
      <c r="O130" s="250" t="s">
        <v>524</v>
      </c>
      <c r="P130" s="251" t="s">
        <v>538</v>
      </c>
      <c r="Q130" s="106" t="s">
        <v>543</v>
      </c>
      <c r="R130" s="250" t="s">
        <v>526</v>
      </c>
      <c r="S130" s="250" t="s">
        <v>523</v>
      </c>
      <c r="T130" s="250" t="s">
        <v>524</v>
      </c>
      <c r="U130" s="251" t="s">
        <v>538</v>
      </c>
      <c r="V130" s="106" t="s">
        <v>543</v>
      </c>
      <c r="W130" s="250" t="s">
        <v>526</v>
      </c>
      <c r="X130" s="29"/>
      <c r="Y130" s="29"/>
      <c r="Z130" s="29"/>
      <c r="AA130" s="29"/>
      <c r="AB130" s="29"/>
      <c r="AC130" s="29"/>
      <c r="AD130" s="29"/>
      <c r="AE130" s="29"/>
      <c r="AF130" s="29"/>
      <c r="AG130" s="29"/>
      <c r="AH130" s="29"/>
      <c r="AI130" s="29"/>
      <c r="AJ130" s="29"/>
      <c r="AK130" s="29"/>
      <c r="AL130" s="29"/>
    </row>
    <row r="131" spans="2:38" ht="15.4" x14ac:dyDescent="0.4">
      <c r="B131" s="217"/>
      <c r="C131" s="217"/>
      <c r="D131" s="217" t="s">
        <v>128</v>
      </c>
      <c r="E131" s="217" t="s">
        <v>129</v>
      </c>
      <c r="F131" s="217" t="s">
        <v>527</v>
      </c>
      <c r="G131" s="217" t="s">
        <v>130</v>
      </c>
      <c r="H131" s="217" t="s">
        <v>544</v>
      </c>
      <c r="I131" s="217" t="s">
        <v>331</v>
      </c>
      <c r="J131" s="217" t="s">
        <v>132</v>
      </c>
      <c r="K131" s="217" t="s">
        <v>133</v>
      </c>
      <c r="L131" s="217" t="s">
        <v>332</v>
      </c>
      <c r="M131" s="217" t="s">
        <v>545</v>
      </c>
      <c r="N131" s="217" t="s">
        <v>528</v>
      </c>
      <c r="O131" s="217" t="s">
        <v>529</v>
      </c>
      <c r="P131" s="217" t="s">
        <v>334</v>
      </c>
      <c r="Q131" s="217" t="s">
        <v>530</v>
      </c>
      <c r="R131" s="217" t="s">
        <v>546</v>
      </c>
      <c r="S131" s="217" t="s">
        <v>532</v>
      </c>
      <c r="T131" s="217" t="s">
        <v>533</v>
      </c>
      <c r="U131" s="217" t="s">
        <v>534</v>
      </c>
      <c r="V131" s="217" t="s">
        <v>535</v>
      </c>
      <c r="W131" s="217" t="s">
        <v>547</v>
      </c>
      <c r="X131" s="29"/>
      <c r="Y131" s="29"/>
      <c r="Z131" s="29"/>
      <c r="AA131" s="29"/>
      <c r="AB131" s="29"/>
      <c r="AC131" s="29"/>
      <c r="AD131" s="29"/>
      <c r="AE131" s="29"/>
      <c r="AF131" s="29"/>
      <c r="AG131" s="29"/>
      <c r="AH131" s="29"/>
      <c r="AI131" s="29"/>
      <c r="AJ131" s="29"/>
      <c r="AK131" s="29"/>
      <c r="AL131" s="29"/>
    </row>
    <row r="132" spans="2:38" x14ac:dyDescent="0.4">
      <c r="B132" s="1133">
        <v>1</v>
      </c>
      <c r="C132" s="1134" t="s">
        <v>1410</v>
      </c>
      <c r="D132" s="1142">
        <f>+W118</f>
        <v>0</v>
      </c>
      <c r="E132" s="1148">
        <f t="shared" ref="E132:G139" si="77">+E44-E88</f>
        <v>0</v>
      </c>
      <c r="F132" s="1148">
        <f t="shared" si="77"/>
        <v>0</v>
      </c>
      <c r="G132" s="1148">
        <f t="shared" si="77"/>
        <v>0</v>
      </c>
      <c r="H132" s="760">
        <f>+D132+E132-F132-G132</f>
        <v>0</v>
      </c>
      <c r="I132" s="1146">
        <f>+H132</f>
        <v>0</v>
      </c>
      <c r="J132" s="1148">
        <f t="shared" ref="J132:L139" si="78">+J44-J88</f>
        <v>0</v>
      </c>
      <c r="K132" s="1148">
        <f t="shared" si="78"/>
        <v>0</v>
      </c>
      <c r="L132" s="1148">
        <f t="shared" si="78"/>
        <v>0</v>
      </c>
      <c r="M132" s="760">
        <f>+I132+J132-K132-L132</f>
        <v>0</v>
      </c>
      <c r="N132" s="1146">
        <f>+M132</f>
        <v>0</v>
      </c>
      <c r="O132" s="1148">
        <f t="shared" ref="O132:Q139" si="79">+O44-O88</f>
        <v>0</v>
      </c>
      <c r="P132" s="1148">
        <f t="shared" si="79"/>
        <v>0</v>
      </c>
      <c r="Q132" s="1148">
        <f t="shared" si="79"/>
        <v>0</v>
      </c>
      <c r="R132" s="760">
        <f>+N132+O132-P132-Q132</f>
        <v>0</v>
      </c>
      <c r="S132" s="1146">
        <f>+R132</f>
        <v>0</v>
      </c>
      <c r="T132" s="1148">
        <f t="shared" ref="T132:V139" si="80">+T44-T88</f>
        <v>0</v>
      </c>
      <c r="U132" s="1148">
        <f t="shared" si="80"/>
        <v>0</v>
      </c>
      <c r="V132" s="1148">
        <f t="shared" si="80"/>
        <v>0</v>
      </c>
      <c r="W132" s="760">
        <f>+S132+T132-U132-V132</f>
        <v>0</v>
      </c>
    </row>
    <row r="133" spans="2:38" x14ac:dyDescent="0.4">
      <c r="B133" s="1133">
        <v>2</v>
      </c>
      <c r="C133" s="1134" t="s">
        <v>1409</v>
      </c>
      <c r="D133" s="1142">
        <f t="shared" ref="D133:D139" si="81">+W119</f>
        <v>0</v>
      </c>
      <c r="E133" s="1148">
        <f t="shared" si="77"/>
        <v>0</v>
      </c>
      <c r="F133" s="1148">
        <f t="shared" si="77"/>
        <v>0</v>
      </c>
      <c r="G133" s="1148">
        <f t="shared" si="77"/>
        <v>0</v>
      </c>
      <c r="H133" s="760">
        <f t="shared" ref="H133:H139" si="82">+D133+E133-F133-G133</f>
        <v>0</v>
      </c>
      <c r="I133" s="1146">
        <f t="shared" ref="I133:I139" si="83">+H133</f>
        <v>0</v>
      </c>
      <c r="J133" s="1148">
        <f t="shared" si="78"/>
        <v>0</v>
      </c>
      <c r="K133" s="1148">
        <f t="shared" si="78"/>
        <v>0</v>
      </c>
      <c r="L133" s="1148">
        <f t="shared" si="78"/>
        <v>0</v>
      </c>
      <c r="M133" s="760">
        <f t="shared" ref="M133:M139" si="84">+I133+J133-K133-L133</f>
        <v>0</v>
      </c>
      <c r="N133" s="1146">
        <f t="shared" ref="N133:N139" si="85">+M133</f>
        <v>0</v>
      </c>
      <c r="O133" s="1148">
        <f t="shared" si="79"/>
        <v>0</v>
      </c>
      <c r="P133" s="1148">
        <f t="shared" si="79"/>
        <v>0</v>
      </c>
      <c r="Q133" s="1148">
        <f t="shared" si="79"/>
        <v>0</v>
      </c>
      <c r="R133" s="760">
        <f t="shared" ref="R133:R139" si="86">+N133+O133-P133-Q133</f>
        <v>0</v>
      </c>
      <c r="S133" s="1146">
        <f t="shared" ref="S133:S139" si="87">+R133</f>
        <v>0</v>
      </c>
      <c r="T133" s="1148">
        <f t="shared" si="80"/>
        <v>0</v>
      </c>
      <c r="U133" s="1148">
        <f t="shared" si="80"/>
        <v>0</v>
      </c>
      <c r="V133" s="1148">
        <f t="shared" si="80"/>
        <v>0</v>
      </c>
      <c r="W133" s="760">
        <f t="shared" ref="W133:W139" si="88">+S133+T133-U133-V133</f>
        <v>0</v>
      </c>
    </row>
    <row r="134" spans="2:38" x14ac:dyDescent="0.4">
      <c r="B134" s="1133">
        <v>3</v>
      </c>
      <c r="C134" s="1134" t="s">
        <v>440</v>
      </c>
      <c r="D134" s="1142">
        <f t="shared" si="81"/>
        <v>0</v>
      </c>
      <c r="E134" s="1148">
        <f t="shared" si="77"/>
        <v>0</v>
      </c>
      <c r="F134" s="1148">
        <f t="shared" si="77"/>
        <v>0</v>
      </c>
      <c r="G134" s="1148">
        <f t="shared" si="77"/>
        <v>0</v>
      </c>
      <c r="H134" s="760">
        <f t="shared" si="82"/>
        <v>0</v>
      </c>
      <c r="I134" s="1146">
        <f t="shared" si="83"/>
        <v>0</v>
      </c>
      <c r="J134" s="1148">
        <f t="shared" si="78"/>
        <v>0</v>
      </c>
      <c r="K134" s="1148">
        <f t="shared" si="78"/>
        <v>0</v>
      </c>
      <c r="L134" s="1148">
        <f t="shared" si="78"/>
        <v>0</v>
      </c>
      <c r="M134" s="760">
        <f t="shared" si="84"/>
        <v>0</v>
      </c>
      <c r="N134" s="1146">
        <f t="shared" si="85"/>
        <v>0</v>
      </c>
      <c r="O134" s="1148">
        <f t="shared" si="79"/>
        <v>0</v>
      </c>
      <c r="P134" s="1148">
        <f t="shared" si="79"/>
        <v>0</v>
      </c>
      <c r="Q134" s="1148">
        <f t="shared" si="79"/>
        <v>0</v>
      </c>
      <c r="R134" s="760">
        <f t="shared" si="86"/>
        <v>0</v>
      </c>
      <c r="S134" s="1146">
        <f t="shared" si="87"/>
        <v>0</v>
      </c>
      <c r="T134" s="1148">
        <f t="shared" si="80"/>
        <v>0</v>
      </c>
      <c r="U134" s="1148">
        <f t="shared" si="80"/>
        <v>0</v>
      </c>
      <c r="V134" s="1148">
        <f t="shared" si="80"/>
        <v>0</v>
      </c>
      <c r="W134" s="760">
        <f t="shared" si="88"/>
        <v>0</v>
      </c>
    </row>
    <row r="135" spans="2:38" x14ac:dyDescent="0.4">
      <c r="B135" s="1133">
        <v>4</v>
      </c>
      <c r="C135" s="1134" t="s">
        <v>915</v>
      </c>
      <c r="D135" s="1142">
        <f t="shared" si="81"/>
        <v>0.10570162200000001</v>
      </c>
      <c r="E135" s="1148">
        <f t="shared" si="77"/>
        <v>0.21023592924999998</v>
      </c>
      <c r="F135" s="1148">
        <f t="shared" si="77"/>
        <v>0</v>
      </c>
      <c r="G135" s="1148">
        <f t="shared" si="77"/>
        <v>0</v>
      </c>
      <c r="H135" s="760">
        <f t="shared" si="82"/>
        <v>0.31593755125</v>
      </c>
      <c r="I135" s="1146">
        <f t="shared" si="83"/>
        <v>0.31593755125</v>
      </c>
      <c r="J135" s="1148">
        <f t="shared" si="78"/>
        <v>0.27483861190999997</v>
      </c>
      <c r="K135" s="1148">
        <f t="shared" si="78"/>
        <v>0</v>
      </c>
      <c r="L135" s="1148">
        <f t="shared" si="78"/>
        <v>0</v>
      </c>
      <c r="M135" s="760">
        <f t="shared" si="84"/>
        <v>0.59077616315999992</v>
      </c>
      <c r="N135" s="1146">
        <f t="shared" si="85"/>
        <v>0.59077616315999992</v>
      </c>
      <c r="O135" s="1148">
        <f t="shared" si="79"/>
        <v>0.39728546470999998</v>
      </c>
      <c r="P135" s="1148">
        <f t="shared" si="79"/>
        <v>0</v>
      </c>
      <c r="Q135" s="1148">
        <f t="shared" si="79"/>
        <v>0</v>
      </c>
      <c r="R135" s="760">
        <f t="shared" si="86"/>
        <v>0.98806162786999985</v>
      </c>
      <c r="S135" s="1146">
        <f t="shared" si="87"/>
        <v>0.98806162786999985</v>
      </c>
      <c r="T135" s="1148">
        <f t="shared" si="80"/>
        <v>0.39748383288</v>
      </c>
      <c r="U135" s="1148">
        <f t="shared" si="80"/>
        <v>0</v>
      </c>
      <c r="V135" s="1148">
        <f t="shared" si="80"/>
        <v>0</v>
      </c>
      <c r="W135" s="760">
        <f t="shared" si="88"/>
        <v>1.38554546075</v>
      </c>
    </row>
    <row r="136" spans="2:38" x14ac:dyDescent="0.4">
      <c r="B136" s="1133">
        <v>5</v>
      </c>
      <c r="C136" s="1134" t="s">
        <v>447</v>
      </c>
      <c r="D136" s="1142">
        <f t="shared" si="81"/>
        <v>0</v>
      </c>
      <c r="E136" s="1148">
        <f t="shared" si="77"/>
        <v>0</v>
      </c>
      <c r="F136" s="1148">
        <f t="shared" si="77"/>
        <v>0</v>
      </c>
      <c r="G136" s="1148">
        <f t="shared" si="77"/>
        <v>0</v>
      </c>
      <c r="H136" s="760">
        <f t="shared" si="82"/>
        <v>0</v>
      </c>
      <c r="I136" s="1146">
        <f t="shared" si="83"/>
        <v>0</v>
      </c>
      <c r="J136" s="1148">
        <f t="shared" si="78"/>
        <v>0</v>
      </c>
      <c r="K136" s="1148">
        <f t="shared" si="78"/>
        <v>0</v>
      </c>
      <c r="L136" s="1148">
        <f t="shared" si="78"/>
        <v>0</v>
      </c>
      <c r="M136" s="760">
        <f t="shared" si="84"/>
        <v>0</v>
      </c>
      <c r="N136" s="1146">
        <f t="shared" si="85"/>
        <v>0</v>
      </c>
      <c r="O136" s="1148">
        <f t="shared" si="79"/>
        <v>0</v>
      </c>
      <c r="P136" s="1148">
        <f t="shared" si="79"/>
        <v>0</v>
      </c>
      <c r="Q136" s="1148">
        <f t="shared" si="79"/>
        <v>0</v>
      </c>
      <c r="R136" s="760">
        <f t="shared" si="86"/>
        <v>0</v>
      </c>
      <c r="S136" s="1146">
        <f t="shared" si="87"/>
        <v>0</v>
      </c>
      <c r="T136" s="1148">
        <f t="shared" si="80"/>
        <v>0</v>
      </c>
      <c r="U136" s="1148">
        <f t="shared" si="80"/>
        <v>0</v>
      </c>
      <c r="V136" s="1148">
        <f t="shared" si="80"/>
        <v>0</v>
      </c>
      <c r="W136" s="760">
        <f t="shared" si="88"/>
        <v>0</v>
      </c>
    </row>
    <row r="137" spans="2:38" x14ac:dyDescent="0.4">
      <c r="B137" s="1133">
        <v>6</v>
      </c>
      <c r="C137" s="1134" t="s">
        <v>879</v>
      </c>
      <c r="D137" s="1142">
        <f t="shared" si="81"/>
        <v>0</v>
      </c>
      <c r="E137" s="1148">
        <f t="shared" si="77"/>
        <v>0</v>
      </c>
      <c r="F137" s="1148">
        <f t="shared" si="77"/>
        <v>0</v>
      </c>
      <c r="G137" s="1148">
        <f t="shared" si="77"/>
        <v>0</v>
      </c>
      <c r="H137" s="760">
        <f t="shared" si="82"/>
        <v>0</v>
      </c>
      <c r="I137" s="1146">
        <f t="shared" si="83"/>
        <v>0</v>
      </c>
      <c r="J137" s="1148">
        <f t="shared" si="78"/>
        <v>0</v>
      </c>
      <c r="K137" s="1148">
        <f t="shared" si="78"/>
        <v>0</v>
      </c>
      <c r="L137" s="1148">
        <f t="shared" si="78"/>
        <v>0</v>
      </c>
      <c r="M137" s="760">
        <f t="shared" si="84"/>
        <v>0</v>
      </c>
      <c r="N137" s="1146">
        <f t="shared" si="85"/>
        <v>0</v>
      </c>
      <c r="O137" s="1148">
        <f t="shared" si="79"/>
        <v>0</v>
      </c>
      <c r="P137" s="1148">
        <f t="shared" si="79"/>
        <v>0</v>
      </c>
      <c r="Q137" s="1148">
        <f t="shared" si="79"/>
        <v>0</v>
      </c>
      <c r="R137" s="760">
        <f t="shared" si="86"/>
        <v>0</v>
      </c>
      <c r="S137" s="1146">
        <f t="shared" si="87"/>
        <v>0</v>
      </c>
      <c r="T137" s="1148">
        <f t="shared" si="80"/>
        <v>0</v>
      </c>
      <c r="U137" s="1148">
        <f t="shared" si="80"/>
        <v>0</v>
      </c>
      <c r="V137" s="1148">
        <f t="shared" si="80"/>
        <v>0</v>
      </c>
      <c r="W137" s="760">
        <f t="shared" si="88"/>
        <v>0</v>
      </c>
    </row>
    <row r="138" spans="2:38" x14ac:dyDescent="0.4">
      <c r="B138" s="1133">
        <v>7</v>
      </c>
      <c r="C138" s="1135" t="s">
        <v>1269</v>
      </c>
      <c r="D138" s="1142">
        <f t="shared" si="81"/>
        <v>0</v>
      </c>
      <c r="E138" s="1148">
        <f t="shared" si="77"/>
        <v>0</v>
      </c>
      <c r="F138" s="1148">
        <f t="shared" si="77"/>
        <v>0</v>
      </c>
      <c r="G138" s="1148">
        <f t="shared" si="77"/>
        <v>0</v>
      </c>
      <c r="H138" s="760">
        <f t="shared" si="82"/>
        <v>0</v>
      </c>
      <c r="I138" s="1146">
        <f t="shared" si="83"/>
        <v>0</v>
      </c>
      <c r="J138" s="1148">
        <f t="shared" si="78"/>
        <v>0</v>
      </c>
      <c r="K138" s="1148">
        <f t="shared" si="78"/>
        <v>0</v>
      </c>
      <c r="L138" s="1148">
        <f t="shared" si="78"/>
        <v>0</v>
      </c>
      <c r="M138" s="760">
        <f t="shared" si="84"/>
        <v>0</v>
      </c>
      <c r="N138" s="1146">
        <f t="shared" si="85"/>
        <v>0</v>
      </c>
      <c r="O138" s="1148">
        <f t="shared" si="79"/>
        <v>0</v>
      </c>
      <c r="P138" s="1148">
        <f t="shared" si="79"/>
        <v>0</v>
      </c>
      <c r="Q138" s="1148">
        <f t="shared" si="79"/>
        <v>0</v>
      </c>
      <c r="R138" s="760">
        <f t="shared" si="86"/>
        <v>0</v>
      </c>
      <c r="S138" s="1146">
        <f t="shared" si="87"/>
        <v>0</v>
      </c>
      <c r="T138" s="1148">
        <f t="shared" si="80"/>
        <v>0</v>
      </c>
      <c r="U138" s="1148">
        <f t="shared" si="80"/>
        <v>0</v>
      </c>
      <c r="V138" s="1148">
        <f t="shared" si="80"/>
        <v>0</v>
      </c>
      <c r="W138" s="760">
        <f t="shared" si="88"/>
        <v>0</v>
      </c>
    </row>
    <row r="139" spans="2:38" x14ac:dyDescent="0.4">
      <c r="B139" s="1133">
        <v>8</v>
      </c>
      <c r="C139" s="1135" t="s">
        <v>1270</v>
      </c>
      <c r="D139" s="1142">
        <f t="shared" si="81"/>
        <v>0</v>
      </c>
      <c r="E139" s="1148">
        <f t="shared" si="77"/>
        <v>0</v>
      </c>
      <c r="F139" s="1148">
        <f t="shared" si="77"/>
        <v>0</v>
      </c>
      <c r="G139" s="1148">
        <f t="shared" si="77"/>
        <v>0</v>
      </c>
      <c r="H139" s="760">
        <f t="shared" si="82"/>
        <v>0</v>
      </c>
      <c r="I139" s="1146">
        <f t="shared" si="83"/>
        <v>0</v>
      </c>
      <c r="J139" s="1148">
        <f t="shared" si="78"/>
        <v>0</v>
      </c>
      <c r="K139" s="1148">
        <f t="shared" si="78"/>
        <v>0</v>
      </c>
      <c r="L139" s="1148">
        <f t="shared" si="78"/>
        <v>0</v>
      </c>
      <c r="M139" s="760">
        <f t="shared" si="84"/>
        <v>0</v>
      </c>
      <c r="N139" s="1146">
        <f t="shared" si="85"/>
        <v>0</v>
      </c>
      <c r="O139" s="1148">
        <f t="shared" si="79"/>
        <v>0</v>
      </c>
      <c r="P139" s="1148">
        <f t="shared" si="79"/>
        <v>0</v>
      </c>
      <c r="Q139" s="1148">
        <f t="shared" si="79"/>
        <v>0</v>
      </c>
      <c r="R139" s="760">
        <f t="shared" si="86"/>
        <v>0</v>
      </c>
      <c r="S139" s="1146">
        <f t="shared" si="87"/>
        <v>0</v>
      </c>
      <c r="T139" s="1148">
        <f t="shared" si="80"/>
        <v>0</v>
      </c>
      <c r="U139" s="1148">
        <f t="shared" si="80"/>
        <v>0</v>
      </c>
      <c r="V139" s="1148">
        <f t="shared" si="80"/>
        <v>0</v>
      </c>
      <c r="W139" s="760">
        <f t="shared" si="88"/>
        <v>0</v>
      </c>
    </row>
    <row r="140" spans="2:38" ht="14.65" x14ac:dyDescent="0.4">
      <c r="B140" s="1136"/>
      <c r="C140" s="1137" t="s">
        <v>164</v>
      </c>
      <c r="D140" s="1140">
        <f t="shared" ref="D140:W140" si="89">SUM(D132:D139)</f>
        <v>0.10570162200000001</v>
      </c>
      <c r="E140" s="1147">
        <f t="shared" si="89"/>
        <v>0.21023592924999998</v>
      </c>
      <c r="F140" s="1147">
        <f t="shared" si="89"/>
        <v>0</v>
      </c>
      <c r="G140" s="1147">
        <f t="shared" si="89"/>
        <v>0</v>
      </c>
      <c r="H140" s="1147">
        <f t="shared" si="89"/>
        <v>0.31593755125</v>
      </c>
      <c r="I140" s="1147">
        <f t="shared" si="89"/>
        <v>0.31593755125</v>
      </c>
      <c r="J140" s="1147">
        <f t="shared" si="89"/>
        <v>0.27483861190999997</v>
      </c>
      <c r="K140" s="1147">
        <f t="shared" si="89"/>
        <v>0</v>
      </c>
      <c r="L140" s="1147">
        <f t="shared" si="89"/>
        <v>0</v>
      </c>
      <c r="M140" s="1147">
        <f t="shared" si="89"/>
        <v>0.59077616315999992</v>
      </c>
      <c r="N140" s="1147">
        <f t="shared" si="89"/>
        <v>0.59077616315999992</v>
      </c>
      <c r="O140" s="1147">
        <f t="shared" si="89"/>
        <v>0.39728546470999998</v>
      </c>
      <c r="P140" s="1147">
        <f t="shared" si="89"/>
        <v>0</v>
      </c>
      <c r="Q140" s="1147">
        <f t="shared" si="89"/>
        <v>0</v>
      </c>
      <c r="R140" s="1147">
        <f t="shared" si="89"/>
        <v>0.98806162786999985</v>
      </c>
      <c r="S140" s="1147">
        <f t="shared" si="89"/>
        <v>0.98806162786999985</v>
      </c>
      <c r="T140" s="1147">
        <f t="shared" si="89"/>
        <v>0.39748383288</v>
      </c>
      <c r="U140" s="1147">
        <f t="shared" si="89"/>
        <v>0</v>
      </c>
      <c r="V140" s="1147">
        <f t="shared" si="89"/>
        <v>0</v>
      </c>
      <c r="W140" s="1147">
        <f t="shared" si="89"/>
        <v>1.38554546075</v>
      </c>
    </row>
  </sheetData>
  <mergeCells count="93">
    <mergeCell ref="S12:W12"/>
    <mergeCell ref="D13:H13"/>
    <mergeCell ref="I13:M13"/>
    <mergeCell ref="N13:R13"/>
    <mergeCell ref="S13:W13"/>
    <mergeCell ref="B12:B14"/>
    <mergeCell ref="C12:C14"/>
    <mergeCell ref="D12:H12"/>
    <mergeCell ref="I12:M12"/>
    <mergeCell ref="N12:R12"/>
    <mergeCell ref="B70:B72"/>
    <mergeCell ref="C70:C72"/>
    <mergeCell ref="D70:H70"/>
    <mergeCell ref="I70:M70"/>
    <mergeCell ref="N70:R70"/>
    <mergeCell ref="N27:R27"/>
    <mergeCell ref="S27:W27"/>
    <mergeCell ref="B26:B28"/>
    <mergeCell ref="C26:C28"/>
    <mergeCell ref="D26:H26"/>
    <mergeCell ref="I26:M26"/>
    <mergeCell ref="N26:R26"/>
    <mergeCell ref="B2:W2"/>
    <mergeCell ref="B3:W3"/>
    <mergeCell ref="B4:W4"/>
    <mergeCell ref="B40:B42"/>
    <mergeCell ref="C40:C42"/>
    <mergeCell ref="D40:H40"/>
    <mergeCell ref="I40:M40"/>
    <mergeCell ref="N40:R40"/>
    <mergeCell ref="S40:W40"/>
    <mergeCell ref="D41:H41"/>
    <mergeCell ref="I41:M41"/>
    <mergeCell ref="N41:R41"/>
    <mergeCell ref="S41:W41"/>
    <mergeCell ref="S26:W26"/>
    <mergeCell ref="D27:H27"/>
    <mergeCell ref="I27:M27"/>
    <mergeCell ref="B56:B58"/>
    <mergeCell ref="C56:C58"/>
    <mergeCell ref="D56:H56"/>
    <mergeCell ref="I56:M56"/>
    <mergeCell ref="N56:R56"/>
    <mergeCell ref="S56:W56"/>
    <mergeCell ref="D57:H57"/>
    <mergeCell ref="I57:M57"/>
    <mergeCell ref="N57:R57"/>
    <mergeCell ref="S57:W57"/>
    <mergeCell ref="S70:W70"/>
    <mergeCell ref="D71:H71"/>
    <mergeCell ref="I71:M71"/>
    <mergeCell ref="N71:R71"/>
    <mergeCell ref="S71:W71"/>
    <mergeCell ref="B84:B86"/>
    <mergeCell ref="C84:C86"/>
    <mergeCell ref="D84:H84"/>
    <mergeCell ref="I84:M84"/>
    <mergeCell ref="N84:R84"/>
    <mergeCell ref="S84:W84"/>
    <mergeCell ref="D85:H85"/>
    <mergeCell ref="I85:M85"/>
    <mergeCell ref="N85:R85"/>
    <mergeCell ref="S85:W85"/>
    <mergeCell ref="B100:B102"/>
    <mergeCell ref="C100:C102"/>
    <mergeCell ref="D100:H100"/>
    <mergeCell ref="I100:M100"/>
    <mergeCell ref="N100:R100"/>
    <mergeCell ref="S100:W100"/>
    <mergeCell ref="D101:H101"/>
    <mergeCell ref="I101:M101"/>
    <mergeCell ref="N101:R101"/>
    <mergeCell ref="S101:W101"/>
    <mergeCell ref="B114:B116"/>
    <mergeCell ref="C114:C116"/>
    <mergeCell ref="D114:H114"/>
    <mergeCell ref="I114:M114"/>
    <mergeCell ref="N114:R114"/>
    <mergeCell ref="S114:W114"/>
    <mergeCell ref="D115:H115"/>
    <mergeCell ref="I115:M115"/>
    <mergeCell ref="N115:R115"/>
    <mergeCell ref="S115:W115"/>
    <mergeCell ref="B128:B130"/>
    <mergeCell ref="C128:C130"/>
    <mergeCell ref="D128:H128"/>
    <mergeCell ref="I128:M128"/>
    <mergeCell ref="N128:R128"/>
    <mergeCell ref="S128:W128"/>
    <mergeCell ref="D129:H129"/>
    <mergeCell ref="I129:M129"/>
    <mergeCell ref="N129:R129"/>
    <mergeCell ref="S129:W129"/>
  </mergeCells>
  <pageMargins left="0.27559055118110237" right="0.23622047244094491" top="0.23622047244094491" bottom="0.23622047244094491" header="0.23622047244094491" footer="0.23622047244094491"/>
  <pageSetup paperSize="9" scale="33" fitToHeight="2" orientation="landscape" r:id="rId1"/>
  <headerFooter alignWithMargins="0">
    <oddHeader>&amp;F</oddHeader>
  </headerFooter>
  <rowBreaks count="2" manualBreakCount="2">
    <brk id="53" max="22" man="1"/>
    <brk id="98"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S247"/>
  <sheetViews>
    <sheetView showGridLines="0" view="pageBreakPreview" topLeftCell="A15" zoomScale="70" zoomScaleNormal="75" zoomScaleSheetLayoutView="65" workbookViewId="0">
      <selection activeCell="E137" activeCellId="1" sqref="E24 E137"/>
    </sheetView>
  </sheetViews>
  <sheetFormatPr defaultColWidth="9.33203125" defaultRowHeight="13.9" x14ac:dyDescent="0.35"/>
  <cols>
    <col min="1" max="1" width="6.6640625" style="10" customWidth="1"/>
    <col min="2" max="2" width="7" style="57" customWidth="1"/>
    <col min="3" max="3" width="67.46484375" style="10" bestFit="1" customWidth="1"/>
    <col min="4" max="4" width="12.46484375" style="10" bestFit="1" customWidth="1"/>
    <col min="5" max="7" width="12.796875" style="10" bestFit="1" customWidth="1"/>
    <col min="8" max="8" width="13.1328125" style="10" bestFit="1" customWidth="1"/>
    <col min="9" max="9" width="11" style="10" bestFit="1" customWidth="1"/>
    <col min="10" max="10" width="13.19921875" style="10" bestFit="1" customWidth="1"/>
    <col min="11" max="15" width="11" style="10" bestFit="1" customWidth="1"/>
    <col min="16" max="16" width="18.33203125" style="10" customWidth="1"/>
    <col min="17" max="16384" width="9.33203125" style="10"/>
  </cols>
  <sheetData>
    <row r="2" spans="2:19" x14ac:dyDescent="0.35">
      <c r="B2" s="1875" t="str">
        <f>+Index!B2</f>
        <v>Nidar Utilities Panvel LLP</v>
      </c>
      <c r="C2" s="1875"/>
      <c r="D2" s="1875"/>
      <c r="E2" s="1875"/>
      <c r="F2" s="1875"/>
      <c r="G2" s="1875"/>
      <c r="H2" s="1875"/>
      <c r="I2" s="1875"/>
      <c r="J2" s="1875"/>
      <c r="K2" s="1875"/>
      <c r="L2" s="1875"/>
      <c r="M2" s="1875"/>
      <c r="N2" s="1875"/>
      <c r="O2" s="1875"/>
      <c r="P2" s="1875"/>
    </row>
    <row r="3" spans="2:19" s="1" customFormat="1" x14ac:dyDescent="0.4">
      <c r="B3" s="1875" t="s">
        <v>340</v>
      </c>
      <c r="C3" s="1875"/>
      <c r="D3" s="1875"/>
      <c r="E3" s="1875"/>
      <c r="F3" s="1875"/>
      <c r="G3" s="1875"/>
      <c r="H3" s="1875"/>
      <c r="I3" s="1875"/>
      <c r="J3" s="1875"/>
      <c r="K3" s="1875"/>
      <c r="L3" s="1875"/>
      <c r="M3" s="1875"/>
      <c r="N3" s="1875"/>
      <c r="O3" s="1875"/>
      <c r="P3" s="1875"/>
    </row>
    <row r="4" spans="2:19" s="1" customFormat="1" x14ac:dyDescent="0.4">
      <c r="B4" s="2056" t="s">
        <v>552</v>
      </c>
      <c r="C4" s="2056"/>
      <c r="D4" s="2056"/>
      <c r="E4" s="2056"/>
      <c r="F4" s="2056"/>
      <c r="G4" s="2056"/>
      <c r="H4" s="2056"/>
      <c r="I4" s="2056"/>
      <c r="J4" s="2056"/>
      <c r="K4" s="2056"/>
      <c r="L4" s="2056"/>
      <c r="M4" s="2056"/>
      <c r="N4" s="2056"/>
      <c r="O4" s="2056"/>
      <c r="P4" s="2056"/>
    </row>
    <row r="5" spans="2:19" s="1" customFormat="1" x14ac:dyDescent="0.4">
      <c r="B5" s="31"/>
      <c r="C5" s="8"/>
      <c r="D5" s="8"/>
      <c r="E5" s="8"/>
      <c r="F5" s="8"/>
      <c r="G5" s="5"/>
      <c r="H5" s="14"/>
      <c r="I5" s="13"/>
      <c r="J5" s="5"/>
      <c r="K5" s="5"/>
      <c r="L5" s="5"/>
      <c r="M5" s="5"/>
      <c r="N5" s="5"/>
      <c r="O5" s="5"/>
    </row>
    <row r="6" spans="2:19" s="1" customFormat="1" ht="17.25" x14ac:dyDescent="0.4">
      <c r="B6" s="31"/>
      <c r="C6" s="60" t="s">
        <v>553</v>
      </c>
      <c r="D6" s="60"/>
      <c r="E6" s="60"/>
      <c r="F6" s="60"/>
      <c r="G6" s="5"/>
      <c r="H6" s="14"/>
      <c r="I6" s="13"/>
      <c r="J6" s="5"/>
      <c r="K6" s="5"/>
      <c r="L6" s="5"/>
      <c r="M6" s="5"/>
      <c r="N6" s="5"/>
      <c r="O6" s="5"/>
    </row>
    <row r="7" spans="2:19" s="1" customFormat="1" ht="17.25" x14ac:dyDescent="0.4">
      <c r="B7" s="31"/>
      <c r="C7" s="60"/>
      <c r="D7" s="60"/>
      <c r="E7" s="60"/>
      <c r="F7" s="60"/>
      <c r="G7" s="5"/>
      <c r="H7" s="14"/>
      <c r="I7" s="13"/>
      <c r="J7" s="5"/>
      <c r="K7" s="5"/>
      <c r="L7" s="5"/>
      <c r="M7" s="5"/>
      <c r="N7" s="5"/>
      <c r="O7" s="5"/>
    </row>
    <row r="8" spans="2:19" s="1" customFormat="1" ht="17.25" x14ac:dyDescent="0.4">
      <c r="B8" s="31"/>
      <c r="C8" s="60" t="s">
        <v>554</v>
      </c>
      <c r="D8" s="60"/>
      <c r="E8" s="60"/>
      <c r="F8" s="60"/>
      <c r="G8" s="60"/>
      <c r="H8" s="5"/>
      <c r="I8" s="5"/>
      <c r="J8" s="5"/>
      <c r="K8" s="14"/>
      <c r="L8" s="14"/>
      <c r="M8" s="13"/>
      <c r="N8" s="5"/>
      <c r="O8" s="5"/>
      <c r="P8" s="5"/>
      <c r="Q8" s="5"/>
      <c r="R8" s="5"/>
    </row>
    <row r="9" spans="2:19" s="1" customFormat="1" x14ac:dyDescent="0.4">
      <c r="B9" s="31"/>
      <c r="C9" s="8"/>
      <c r="D9" s="8"/>
      <c r="E9" s="8"/>
      <c r="F9" s="8"/>
      <c r="G9" s="8"/>
      <c r="H9" s="5"/>
      <c r="I9" s="5"/>
      <c r="J9" s="5"/>
      <c r="K9" s="14"/>
      <c r="L9" s="14"/>
      <c r="M9" s="13"/>
      <c r="N9" s="5"/>
      <c r="O9" s="5"/>
      <c r="P9" s="15" t="s">
        <v>110</v>
      </c>
      <c r="Q9" s="5"/>
      <c r="R9" s="5"/>
    </row>
    <row r="10" spans="2:19" s="57" customFormat="1" x14ac:dyDescent="0.35">
      <c r="B10" s="1940" t="s">
        <v>555</v>
      </c>
      <c r="C10" s="1940" t="s">
        <v>556</v>
      </c>
      <c r="D10" s="98" t="s">
        <v>196</v>
      </c>
      <c r="E10" s="98" t="s">
        <v>197</v>
      </c>
      <c r="F10" s="98" t="s">
        <v>198</v>
      </c>
      <c r="G10" s="98" t="s">
        <v>199</v>
      </c>
      <c r="H10" s="358" t="s">
        <v>112</v>
      </c>
      <c r="I10" s="358" t="s">
        <v>113</v>
      </c>
      <c r="J10" s="358" t="s">
        <v>114</v>
      </c>
      <c r="K10" s="1934" t="s">
        <v>1019</v>
      </c>
      <c r="L10" s="1935"/>
      <c r="M10" s="1935"/>
      <c r="N10" s="1935"/>
      <c r="O10" s="1936"/>
      <c r="P10" s="357" t="s">
        <v>116</v>
      </c>
      <c r="Q10" s="17"/>
      <c r="R10" s="17"/>
      <c r="S10" s="17"/>
    </row>
    <row r="11" spans="2:19" s="57" customFormat="1" ht="27" x14ac:dyDescent="0.35">
      <c r="B11" s="1940"/>
      <c r="C11" s="1940"/>
      <c r="D11" s="1934" t="s">
        <v>117</v>
      </c>
      <c r="E11" s="1935"/>
      <c r="F11" s="1935"/>
      <c r="G11" s="1935"/>
      <c r="H11" s="1935"/>
      <c r="I11" s="1936"/>
      <c r="J11" s="217" t="s">
        <v>121</v>
      </c>
      <c r="K11" s="217" t="s">
        <v>123</v>
      </c>
      <c r="L11" s="217" t="s">
        <v>124</v>
      </c>
      <c r="M11" s="217" t="s">
        <v>125</v>
      </c>
      <c r="N11" s="217" t="s">
        <v>126</v>
      </c>
      <c r="O11" s="217" t="s">
        <v>127</v>
      </c>
      <c r="P11" s="215"/>
      <c r="Q11" s="201"/>
      <c r="R11" s="201"/>
      <c r="S11" s="201"/>
    </row>
    <row r="12" spans="2:19" x14ac:dyDescent="0.4">
      <c r="B12" s="58">
        <v>1</v>
      </c>
      <c r="C12" s="21" t="s">
        <v>558</v>
      </c>
      <c r="D12" s="1213"/>
      <c r="E12" s="1213"/>
      <c r="F12" s="1213"/>
      <c r="G12" s="1213"/>
      <c r="H12" s="676"/>
      <c r="I12" s="676"/>
      <c r="J12" s="676"/>
      <c r="K12" s="676"/>
      <c r="L12" s="676"/>
      <c r="M12" s="676"/>
      <c r="N12" s="676"/>
      <c r="O12" s="676"/>
      <c r="P12" s="19"/>
      <c r="Q12" s="18"/>
      <c r="R12" s="18"/>
      <c r="S12" s="18"/>
    </row>
    <row r="13" spans="2:19" x14ac:dyDescent="0.4">
      <c r="B13" s="58">
        <f>B12+1</f>
        <v>2</v>
      </c>
      <c r="C13" s="21" t="s">
        <v>559</v>
      </c>
      <c r="D13" s="1213"/>
      <c r="E13" s="1213"/>
      <c r="F13" s="1213"/>
      <c r="G13" s="1213"/>
      <c r="H13" s="676"/>
      <c r="I13" s="676"/>
      <c r="J13" s="676"/>
      <c r="K13" s="676"/>
      <c r="L13" s="676"/>
      <c r="M13" s="676"/>
      <c r="N13" s="676"/>
      <c r="O13" s="676"/>
      <c r="P13" s="19"/>
      <c r="Q13" s="18"/>
      <c r="R13" s="18"/>
      <c r="S13" s="18"/>
    </row>
    <row r="14" spans="2:19" x14ac:dyDescent="0.4">
      <c r="B14" s="58">
        <f t="shared" ref="B14:B19" si="0">B13+1</f>
        <v>3</v>
      </c>
      <c r="C14" s="21" t="s">
        <v>560</v>
      </c>
      <c r="D14" s="1213">
        <v>0</v>
      </c>
      <c r="E14" s="1213">
        <f>+D18</f>
        <v>37.657107033250007</v>
      </c>
      <c r="F14" s="1213">
        <f t="shared" ref="F14:O14" si="1">+E18</f>
        <v>42.981079043604794</v>
      </c>
      <c r="G14" s="1213">
        <f t="shared" si="1"/>
        <v>41.426861172283118</v>
      </c>
      <c r="H14" s="1213">
        <f t="shared" si="1"/>
        <v>38.764989202106335</v>
      </c>
      <c r="I14" s="1213">
        <f t="shared" si="1"/>
        <v>35.620339962077509</v>
      </c>
      <c r="J14" s="1213">
        <f t="shared" si="1"/>
        <v>32.554392029248348</v>
      </c>
      <c r="K14" s="1213">
        <f t="shared" si="1"/>
        <v>29.404557377923851</v>
      </c>
      <c r="L14" s="1213">
        <f t="shared" si="1"/>
        <v>26.165778842121327</v>
      </c>
      <c r="M14" s="1213">
        <f t="shared" si="1"/>
        <v>22.750550026928806</v>
      </c>
      <c r="N14" s="1213">
        <f t="shared" si="1"/>
        <v>19.296309344330009</v>
      </c>
      <c r="O14" s="1213">
        <f t="shared" si="1"/>
        <v>15.848220353587486</v>
      </c>
      <c r="P14" s="19"/>
      <c r="Q14" s="18"/>
      <c r="R14" s="18"/>
      <c r="S14" s="18"/>
    </row>
    <row r="15" spans="2:19" x14ac:dyDescent="0.4">
      <c r="B15" s="58">
        <f t="shared" si="0"/>
        <v>4</v>
      </c>
      <c r="C15" s="21" t="s">
        <v>561</v>
      </c>
      <c r="D15" s="1213"/>
      <c r="E15" s="1213"/>
      <c r="F15" s="1213">
        <f>+Capitalisation!K77*70%-Capitalisation!L77</f>
        <v>2.2659135482136707</v>
      </c>
      <c r="G15" s="1213"/>
      <c r="H15" s="676"/>
      <c r="I15" s="676"/>
      <c r="J15" s="676"/>
      <c r="K15" s="676"/>
      <c r="L15" s="676"/>
      <c r="M15" s="676"/>
      <c r="N15" s="676"/>
      <c r="O15" s="676"/>
      <c r="P15" s="19"/>
      <c r="Q15" s="18"/>
      <c r="R15" s="18"/>
      <c r="S15" s="18"/>
    </row>
    <row r="16" spans="2:19" x14ac:dyDescent="0.4">
      <c r="B16" s="58">
        <f t="shared" si="0"/>
        <v>5</v>
      </c>
      <c r="C16" s="21" t="s">
        <v>562</v>
      </c>
      <c r="D16" s="1213">
        <f>+'F4'!D15*70%</f>
        <v>38.882817013250005</v>
      </c>
      <c r="E16" s="1213">
        <f>+'F4'!E15*70%</f>
        <v>8.0930702660211473</v>
      </c>
      <c r="F16" s="1213">
        <f>+'F4'!F15*70%</f>
        <v>3.4767042106999995</v>
      </c>
      <c r="G16" s="1213">
        <f>+'F4'!G15*70%</f>
        <v>0.45842485219999995</v>
      </c>
      <c r="H16" s="1213">
        <f>+'F4'!H15*70%</f>
        <v>3.4824937000000004E-3</v>
      </c>
      <c r="I16" s="1213">
        <f>+'F4'!I15*70%</f>
        <v>8.9853795149999999E-2</v>
      </c>
      <c r="J16" s="1213">
        <f>+'F4'!J15*70%</f>
        <v>9.1460494999999996E-3</v>
      </c>
      <c r="K16" s="1213">
        <f>+'F4'!K15*70%</f>
        <v>0.20718361999999999</v>
      </c>
      <c r="L16" s="1213">
        <f>+'F4'!L15*70%</f>
        <v>4.1999999999999996E-2</v>
      </c>
      <c r="M16" s="1213">
        <f>+'F4'!M15*70%</f>
        <v>0</v>
      </c>
      <c r="N16" s="1213">
        <f>+'F4'!N15*70%</f>
        <v>0</v>
      </c>
      <c r="O16" s="1213">
        <f>+'F4'!O15*70%</f>
        <v>0</v>
      </c>
      <c r="P16" s="19"/>
      <c r="Q16" s="18"/>
      <c r="R16" s="18"/>
      <c r="S16" s="18"/>
    </row>
    <row r="17" spans="2:19" x14ac:dyDescent="0.4">
      <c r="B17" s="58">
        <f t="shared" si="0"/>
        <v>6</v>
      </c>
      <c r="C17" s="21" t="s">
        <v>563</v>
      </c>
      <c r="D17" s="1213">
        <f>+'ARR-Summary'!E13</f>
        <v>1.22570998</v>
      </c>
      <c r="E17" s="1213">
        <f>+'ARR-Summary'!F13</f>
        <v>2.7690982556663637</v>
      </c>
      <c r="F17" s="1213">
        <f>+'ARR-Summary'!G13</f>
        <v>2.7650085338080106</v>
      </c>
      <c r="G17" s="1213">
        <f>+'ARR-Summary'!H13</f>
        <v>3.1202968223767797</v>
      </c>
      <c r="H17" s="1213">
        <f>+'ARR-Summary'!I13</f>
        <v>3.148131733728825</v>
      </c>
      <c r="I17" s="1213">
        <f>+'ARR-Summary'!J13</f>
        <v>3.1558017279791564</v>
      </c>
      <c r="J17" s="1213">
        <f>+'ARR-Summary'!K13</f>
        <v>3.1589807008245008</v>
      </c>
      <c r="K17" s="1213">
        <f>+'ARR-Summary'!L13</f>
        <v>3.4459621558025231</v>
      </c>
      <c r="L17" s="1213">
        <f>+'ARR-Summary'!M13</f>
        <v>3.457228815192523</v>
      </c>
      <c r="M17" s="1213">
        <f>+'ARR-Summary'!N13</f>
        <v>3.4542406825987961</v>
      </c>
      <c r="N17" s="1213">
        <f>+'ARR-Summary'!O13</f>
        <v>3.4480889907425234</v>
      </c>
      <c r="O17" s="1213">
        <f>+'ARR-Summary'!P13</f>
        <v>3.4477782243425232</v>
      </c>
      <c r="P17" s="19"/>
      <c r="Q17" s="18"/>
      <c r="R17" s="18"/>
      <c r="S17" s="18"/>
    </row>
    <row r="18" spans="2:19" x14ac:dyDescent="0.4">
      <c r="B18" s="58">
        <f t="shared" si="0"/>
        <v>7</v>
      </c>
      <c r="C18" s="21" t="s">
        <v>564</v>
      </c>
      <c r="D18" s="1213">
        <f>+D14-D15+D16-D17</f>
        <v>37.657107033250007</v>
      </c>
      <c r="E18" s="1213">
        <f t="shared" ref="E18:O18" si="2">+E14-E15+E16-E17</f>
        <v>42.981079043604794</v>
      </c>
      <c r="F18" s="1213">
        <f t="shared" si="2"/>
        <v>41.426861172283118</v>
      </c>
      <c r="G18" s="1213">
        <f t="shared" si="2"/>
        <v>38.764989202106335</v>
      </c>
      <c r="H18" s="1213">
        <f t="shared" si="2"/>
        <v>35.620339962077509</v>
      </c>
      <c r="I18" s="1213">
        <f t="shared" si="2"/>
        <v>32.554392029248348</v>
      </c>
      <c r="J18" s="1213">
        <f t="shared" si="2"/>
        <v>29.404557377923851</v>
      </c>
      <c r="K18" s="1213">
        <f t="shared" si="2"/>
        <v>26.165778842121327</v>
      </c>
      <c r="L18" s="1213">
        <f t="shared" si="2"/>
        <v>22.750550026928806</v>
      </c>
      <c r="M18" s="1213">
        <f t="shared" si="2"/>
        <v>19.296309344330009</v>
      </c>
      <c r="N18" s="1213">
        <f t="shared" si="2"/>
        <v>15.848220353587486</v>
      </c>
      <c r="O18" s="1213">
        <f t="shared" si="2"/>
        <v>12.400442129244963</v>
      </c>
      <c r="P18" s="19"/>
      <c r="Q18" s="18"/>
      <c r="R18" s="18"/>
      <c r="S18" s="18"/>
    </row>
    <row r="19" spans="2:19" x14ac:dyDescent="0.4">
      <c r="B19" s="58">
        <f t="shared" si="0"/>
        <v>8</v>
      </c>
      <c r="C19" s="21" t="s">
        <v>565</v>
      </c>
      <c r="D19" s="1213"/>
      <c r="E19" s="1213"/>
      <c r="F19" s="1213"/>
      <c r="G19" s="1213"/>
      <c r="H19" s="676"/>
      <c r="I19" s="676"/>
      <c r="J19" s="676"/>
      <c r="K19" s="676"/>
      <c r="L19" s="676"/>
      <c r="M19" s="676"/>
      <c r="N19" s="676"/>
      <c r="O19" s="676"/>
      <c r="P19" s="19"/>
      <c r="Q19" s="18"/>
      <c r="R19" s="18"/>
      <c r="S19" s="18"/>
    </row>
    <row r="20" spans="2:19" x14ac:dyDescent="0.4">
      <c r="B20" s="58">
        <v>9</v>
      </c>
      <c r="C20" s="21" t="s">
        <v>566</v>
      </c>
      <c r="D20" s="1213">
        <f>AVERAGE(D14,D18)</f>
        <v>18.828553516625004</v>
      </c>
      <c r="E20" s="1213">
        <f t="shared" ref="E20:O20" si="3">AVERAGE(E14,E18)</f>
        <v>40.319093038427397</v>
      </c>
      <c r="F20" s="1213">
        <f t="shared" si="3"/>
        <v>42.20397010794396</v>
      </c>
      <c r="G20" s="1213">
        <f t="shared" si="3"/>
        <v>40.095925187194723</v>
      </c>
      <c r="H20" s="1213">
        <f t="shared" si="3"/>
        <v>37.192664582091922</v>
      </c>
      <c r="I20" s="1213">
        <f t="shared" si="3"/>
        <v>34.087365995662928</v>
      </c>
      <c r="J20" s="1213">
        <f t="shared" si="3"/>
        <v>30.979474703586099</v>
      </c>
      <c r="K20" s="1213">
        <f t="shared" si="3"/>
        <v>27.785168110022589</v>
      </c>
      <c r="L20" s="1213">
        <f t="shared" si="3"/>
        <v>24.458164434525067</v>
      </c>
      <c r="M20" s="1213">
        <f t="shared" si="3"/>
        <v>21.023429685629409</v>
      </c>
      <c r="N20" s="1213">
        <f t="shared" si="3"/>
        <v>17.572264848958746</v>
      </c>
      <c r="O20" s="1213">
        <f t="shared" si="3"/>
        <v>14.124331241416225</v>
      </c>
      <c r="P20" s="19"/>
      <c r="Q20" s="18"/>
      <c r="R20" s="18"/>
      <c r="S20" s="18"/>
    </row>
    <row r="21" spans="2:19" ht="15.75" x14ac:dyDescent="0.5">
      <c r="B21" s="58">
        <v>10</v>
      </c>
      <c r="C21" s="97" t="s">
        <v>567</v>
      </c>
      <c r="D21" s="1217">
        <f>+Assum!E53</f>
        <v>0.11164835164835164</v>
      </c>
      <c r="E21" s="1217">
        <f>+Assum!F53</f>
        <v>0.11071857923497269</v>
      </c>
      <c r="F21" s="1217">
        <f>+Assum!G53</f>
        <v>0.10450547945205479</v>
      </c>
      <c r="G21" s="1217">
        <f>+Assum!H53</f>
        <v>9.9056164383561657E-2</v>
      </c>
      <c r="H21" s="1217">
        <f>+Assum!I53</f>
        <v>9.9056164383561657E-2</v>
      </c>
      <c r="I21" s="1217">
        <f>+Assum!J53</f>
        <v>9.9056164383561657E-2</v>
      </c>
      <c r="J21" s="1217">
        <f>+Assum!K53</f>
        <v>9.9056164383561657E-2</v>
      </c>
      <c r="K21" s="1217">
        <f>+Assum!L53</f>
        <v>9.9056164383561657E-2</v>
      </c>
      <c r="L21" s="1217">
        <f>+Assum!M53</f>
        <v>9.9056164383561657E-2</v>
      </c>
      <c r="M21" s="1217">
        <f>+Assum!N53</f>
        <v>9.9056164383561657E-2</v>
      </c>
      <c r="N21" s="1217">
        <f>+Assum!O53</f>
        <v>9.9056164383561657E-2</v>
      </c>
      <c r="O21" s="1217">
        <f>+Assum!P53</f>
        <v>9.9056164383561657E-2</v>
      </c>
      <c r="P21" s="19"/>
      <c r="Q21" s="18"/>
      <c r="R21" s="18"/>
      <c r="S21" s="18"/>
    </row>
    <row r="22" spans="2:19" ht="15.75" x14ac:dyDescent="0.5">
      <c r="B22" s="58">
        <v>11</v>
      </c>
      <c r="C22" s="97" t="s">
        <v>568</v>
      </c>
      <c r="D22" s="1214">
        <f>+D20*D21</f>
        <v>2.1021769640539563</v>
      </c>
      <c r="E22" s="1214">
        <f t="shared" ref="E22:O22" si="4">+E20*E21</f>
        <v>4.4640726972573592</v>
      </c>
      <c r="F22" s="1214">
        <f t="shared" si="4"/>
        <v>4.4105461309108724</v>
      </c>
      <c r="G22" s="1214">
        <f t="shared" si="4"/>
        <v>3.9717485564537505</v>
      </c>
      <c r="H22" s="1214">
        <f t="shared" si="4"/>
        <v>3.6841626967063688</v>
      </c>
      <c r="I22" s="1214">
        <f t="shared" si="4"/>
        <v>3.3765637294690167</v>
      </c>
      <c r="J22" s="1214">
        <f t="shared" si="4"/>
        <v>3.0687079387548146</v>
      </c>
      <c r="K22" s="1214">
        <f t="shared" si="4"/>
        <v>2.7522921797312927</v>
      </c>
      <c r="L22" s="1214">
        <f t="shared" si="4"/>
        <v>2.4227319567464964</v>
      </c>
      <c r="M22" s="1214">
        <f t="shared" si="4"/>
        <v>2.0825003068459567</v>
      </c>
      <c r="N22" s="1214">
        <f t="shared" si="4"/>
        <v>1.7406411554699397</v>
      </c>
      <c r="O22" s="1214">
        <f t="shared" si="4"/>
        <v>1.3991020772576011</v>
      </c>
      <c r="P22" s="19"/>
      <c r="Q22" s="18"/>
      <c r="R22" s="18"/>
      <c r="S22" s="18"/>
    </row>
    <row r="23" spans="2:19" x14ac:dyDescent="0.4">
      <c r="B23" s="58">
        <v>12</v>
      </c>
      <c r="C23" s="21" t="s">
        <v>569</v>
      </c>
      <c r="D23" s="1213"/>
      <c r="E23" s="1213"/>
      <c r="F23" s="1213"/>
      <c r="G23" s="1213"/>
      <c r="H23" s="676"/>
      <c r="I23" s="676"/>
      <c r="J23" s="676"/>
      <c r="K23" s="676"/>
      <c r="L23" s="676"/>
      <c r="M23" s="676"/>
      <c r="N23" s="676"/>
      <c r="O23" s="676"/>
      <c r="P23" s="19"/>
      <c r="Q23" s="18"/>
      <c r="R23" s="18"/>
      <c r="S23" s="18"/>
    </row>
    <row r="24" spans="2:19" x14ac:dyDescent="0.35">
      <c r="B24" s="59">
        <v>13</v>
      </c>
      <c r="C24" s="20" t="s">
        <v>570</v>
      </c>
      <c r="D24" s="1215">
        <f>+D22+D23</f>
        <v>2.1021769640539563</v>
      </c>
      <c r="E24" s="1215">
        <f t="shared" ref="E24:O24" si="5">+E22+E23</f>
        <v>4.4640726972573592</v>
      </c>
      <c r="F24" s="1215">
        <f t="shared" si="5"/>
        <v>4.4105461309108724</v>
      </c>
      <c r="G24" s="1215">
        <f t="shared" si="5"/>
        <v>3.9717485564537505</v>
      </c>
      <c r="H24" s="1215">
        <f t="shared" si="5"/>
        <v>3.6841626967063688</v>
      </c>
      <c r="I24" s="1215">
        <f t="shared" si="5"/>
        <v>3.3765637294690167</v>
      </c>
      <c r="J24" s="1215">
        <f t="shared" si="5"/>
        <v>3.0687079387548146</v>
      </c>
      <c r="K24" s="1215">
        <f t="shared" si="5"/>
        <v>2.7522921797312927</v>
      </c>
      <c r="L24" s="1215">
        <f t="shared" si="5"/>
        <v>2.4227319567464964</v>
      </c>
      <c r="M24" s="1215">
        <f t="shared" si="5"/>
        <v>2.0825003068459567</v>
      </c>
      <c r="N24" s="1215">
        <f t="shared" si="5"/>
        <v>1.7406411554699397</v>
      </c>
      <c r="O24" s="1215">
        <f t="shared" si="5"/>
        <v>1.3991020772576011</v>
      </c>
      <c r="P24" s="22"/>
      <c r="Q24" s="18"/>
      <c r="R24" s="18"/>
      <c r="S24" s="18"/>
    </row>
    <row r="25" spans="2:19" s="1" customFormat="1" x14ac:dyDescent="0.4">
      <c r="B25" s="31"/>
      <c r="C25" s="8"/>
      <c r="D25" s="8"/>
      <c r="E25" s="8"/>
      <c r="F25" s="8"/>
      <c r="G25" s="8"/>
      <c r="H25" s="5"/>
      <c r="I25" s="5"/>
      <c r="J25" s="5"/>
      <c r="K25" s="14"/>
      <c r="L25" s="14"/>
      <c r="M25" s="13"/>
      <c r="N25" s="5"/>
      <c r="O25" s="5"/>
      <c r="P25" s="5"/>
      <c r="Q25" s="5"/>
      <c r="R25" s="5"/>
    </row>
    <row r="26" spans="2:19" ht="17.25" hidden="1" x14ac:dyDescent="0.35">
      <c r="C26" s="60" t="s">
        <v>571</v>
      </c>
      <c r="D26" s="60"/>
      <c r="E26" s="60"/>
      <c r="F26" s="60"/>
      <c r="G26" s="60"/>
    </row>
    <row r="27" spans="2:19" hidden="1" x14ac:dyDescent="0.35">
      <c r="P27" s="15" t="s">
        <v>110</v>
      </c>
      <c r="R27" s="15"/>
    </row>
    <row r="28" spans="2:19" ht="15" hidden="1" customHeight="1" x14ac:dyDescent="0.35">
      <c r="B28" s="1940" t="s">
        <v>555</v>
      </c>
      <c r="C28" s="1940" t="s">
        <v>556</v>
      </c>
      <c r="D28" s="98" t="s">
        <v>196</v>
      </c>
      <c r="E28" s="98" t="s">
        <v>197</v>
      </c>
      <c r="F28" s="98" t="s">
        <v>198</v>
      </c>
      <c r="G28" s="98" t="s">
        <v>199</v>
      </c>
      <c r="H28" s="358" t="s">
        <v>112</v>
      </c>
      <c r="I28" s="358" t="s">
        <v>113</v>
      </c>
      <c r="J28" s="358" t="s">
        <v>114</v>
      </c>
      <c r="K28" s="1934" t="s">
        <v>1019</v>
      </c>
      <c r="L28" s="1935"/>
      <c r="M28" s="1935"/>
      <c r="N28" s="1935"/>
      <c r="O28" s="1936"/>
      <c r="P28" s="1938" t="s">
        <v>116</v>
      </c>
      <c r="Q28" s="17"/>
      <c r="R28" s="17"/>
      <c r="S28" s="17"/>
    </row>
    <row r="29" spans="2:19" ht="27" hidden="1" x14ac:dyDescent="0.35">
      <c r="B29" s="1940"/>
      <c r="C29" s="1940"/>
      <c r="D29" s="1934" t="s">
        <v>117</v>
      </c>
      <c r="E29" s="1935"/>
      <c r="F29" s="1935"/>
      <c r="G29" s="1935"/>
      <c r="H29" s="1935"/>
      <c r="I29" s="1936"/>
      <c r="J29" s="217" t="s">
        <v>121</v>
      </c>
      <c r="K29" s="217" t="s">
        <v>123</v>
      </c>
      <c r="L29" s="217" t="s">
        <v>124</v>
      </c>
      <c r="M29" s="217" t="s">
        <v>125</v>
      </c>
      <c r="N29" s="217" t="s">
        <v>126</v>
      </c>
      <c r="O29" s="217" t="s">
        <v>127</v>
      </c>
      <c r="P29" s="1983"/>
      <c r="Q29" s="18"/>
      <c r="R29" s="18"/>
      <c r="S29" s="18"/>
    </row>
    <row r="30" spans="2:19" hidden="1" x14ac:dyDescent="0.35">
      <c r="B30" s="59">
        <v>1</v>
      </c>
      <c r="C30" s="20" t="s">
        <v>572</v>
      </c>
      <c r="D30" s="20"/>
      <c r="E30" s="20"/>
      <c r="F30" s="20"/>
      <c r="G30" s="20"/>
      <c r="H30" s="19"/>
      <c r="I30" s="19"/>
      <c r="J30" s="19"/>
      <c r="K30" s="19"/>
      <c r="L30" s="19"/>
      <c r="M30" s="19"/>
      <c r="N30" s="19"/>
      <c r="O30" s="19"/>
      <c r="P30" s="19"/>
      <c r="Q30" s="18"/>
      <c r="R30" s="18"/>
      <c r="S30" s="18"/>
    </row>
    <row r="31" spans="2:19" hidden="1" x14ac:dyDescent="0.4">
      <c r="B31" s="58">
        <v>1.1000000000000001</v>
      </c>
      <c r="C31" s="21" t="s">
        <v>573</v>
      </c>
      <c r="D31" s="21"/>
      <c r="E31" s="21"/>
      <c r="F31" s="21"/>
      <c r="G31" s="21"/>
      <c r="H31" s="19"/>
      <c r="I31" s="19"/>
      <c r="J31" s="19"/>
      <c r="K31" s="19"/>
      <c r="L31" s="19"/>
      <c r="M31" s="19"/>
      <c r="N31" s="19"/>
      <c r="O31" s="19"/>
      <c r="P31" s="19"/>
      <c r="Q31" s="18"/>
      <c r="R31" s="18"/>
      <c r="S31" s="18"/>
    </row>
    <row r="32" spans="2:19" hidden="1" x14ac:dyDescent="0.4">
      <c r="B32" s="58">
        <f t="shared" ref="B32:B38" si="6">B31+0.1</f>
        <v>1.2000000000000002</v>
      </c>
      <c r="C32" s="21" t="s">
        <v>561</v>
      </c>
      <c r="D32" s="21"/>
      <c r="E32" s="21"/>
      <c r="F32" s="21"/>
      <c r="G32" s="21"/>
      <c r="H32" s="19"/>
      <c r="I32" s="19"/>
      <c r="J32" s="19"/>
      <c r="K32" s="19"/>
      <c r="L32" s="19"/>
      <c r="M32" s="19"/>
      <c r="N32" s="19"/>
      <c r="O32" s="19"/>
      <c r="P32" s="19"/>
      <c r="Q32" s="18"/>
      <c r="R32" s="18"/>
      <c r="S32" s="18"/>
    </row>
    <row r="33" spans="2:19" hidden="1" x14ac:dyDescent="0.4">
      <c r="B33" s="58">
        <f t="shared" si="6"/>
        <v>1.3000000000000003</v>
      </c>
      <c r="C33" s="21" t="s">
        <v>574</v>
      </c>
      <c r="D33" s="21"/>
      <c r="E33" s="21"/>
      <c r="F33" s="21"/>
      <c r="G33" s="21"/>
      <c r="H33" s="19"/>
      <c r="I33" s="19"/>
      <c r="J33" s="19"/>
      <c r="K33" s="19"/>
      <c r="L33" s="19"/>
      <c r="M33" s="19"/>
      <c r="N33" s="19"/>
      <c r="O33" s="19"/>
      <c r="P33" s="19"/>
      <c r="Q33" s="18"/>
      <c r="R33" s="18"/>
      <c r="S33" s="18"/>
    </row>
    <row r="34" spans="2:19" hidden="1" x14ac:dyDescent="0.4">
      <c r="B34" s="58">
        <f t="shared" si="6"/>
        <v>1.4000000000000004</v>
      </c>
      <c r="C34" s="21" t="s">
        <v>575</v>
      </c>
      <c r="D34" s="21"/>
      <c r="E34" s="21"/>
      <c r="F34" s="21"/>
      <c r="G34" s="21"/>
      <c r="H34" s="19"/>
      <c r="I34" s="19"/>
      <c r="J34" s="19"/>
      <c r="K34" s="19"/>
      <c r="L34" s="19"/>
      <c r="M34" s="19"/>
      <c r="N34" s="19"/>
      <c r="O34" s="19"/>
      <c r="P34" s="19"/>
      <c r="Q34" s="18"/>
      <c r="R34" s="18"/>
      <c r="S34" s="18"/>
    </row>
    <row r="35" spans="2:19" hidden="1" x14ac:dyDescent="0.4">
      <c r="B35" s="58">
        <f t="shared" si="6"/>
        <v>1.5000000000000004</v>
      </c>
      <c r="C35" s="21" t="s">
        <v>576</v>
      </c>
      <c r="D35" s="21"/>
      <c r="E35" s="21"/>
      <c r="F35" s="21"/>
      <c r="G35" s="21"/>
      <c r="H35" s="19"/>
      <c r="I35" s="19"/>
      <c r="J35" s="19"/>
      <c r="K35" s="19"/>
      <c r="L35" s="19"/>
      <c r="M35" s="19"/>
      <c r="N35" s="19"/>
      <c r="O35" s="19"/>
      <c r="P35" s="19"/>
      <c r="Q35" s="18"/>
      <c r="R35" s="18"/>
      <c r="S35" s="18"/>
    </row>
    <row r="36" spans="2:19" hidden="1" x14ac:dyDescent="0.4">
      <c r="B36" s="58">
        <f t="shared" si="6"/>
        <v>1.6000000000000005</v>
      </c>
      <c r="C36" s="21" t="s">
        <v>577</v>
      </c>
      <c r="D36" s="21"/>
      <c r="E36" s="21"/>
      <c r="F36" s="21"/>
      <c r="G36" s="21"/>
      <c r="H36" s="19"/>
      <c r="I36" s="19"/>
      <c r="J36" s="19"/>
      <c r="K36" s="19"/>
      <c r="L36" s="19"/>
      <c r="M36" s="19"/>
      <c r="N36" s="19"/>
      <c r="O36" s="19"/>
      <c r="P36" s="19"/>
      <c r="Q36" s="18"/>
      <c r="R36" s="18"/>
      <c r="S36" s="18"/>
    </row>
    <row r="37" spans="2:19" hidden="1" x14ac:dyDescent="0.4">
      <c r="B37" s="58">
        <f t="shared" si="6"/>
        <v>1.7000000000000006</v>
      </c>
      <c r="C37" s="21" t="s">
        <v>578</v>
      </c>
      <c r="D37" s="21"/>
      <c r="E37" s="21"/>
      <c r="F37" s="21"/>
      <c r="G37" s="21"/>
      <c r="H37" s="19"/>
      <c r="I37" s="19"/>
      <c r="J37" s="19"/>
      <c r="K37" s="19"/>
      <c r="L37" s="19"/>
      <c r="M37" s="19"/>
      <c r="N37" s="19"/>
      <c r="O37" s="19"/>
      <c r="P37" s="19"/>
      <c r="Q37" s="18"/>
      <c r="R37" s="18"/>
      <c r="S37" s="18"/>
    </row>
    <row r="38" spans="2:19" hidden="1" x14ac:dyDescent="0.4">
      <c r="B38" s="58">
        <f t="shared" si="6"/>
        <v>1.8000000000000007</v>
      </c>
      <c r="C38" s="21" t="s">
        <v>568</v>
      </c>
      <c r="D38" s="21"/>
      <c r="E38" s="21"/>
      <c r="F38" s="21"/>
      <c r="G38" s="21"/>
      <c r="H38" s="19"/>
      <c r="I38" s="19"/>
      <c r="J38" s="19"/>
      <c r="K38" s="19"/>
      <c r="L38" s="19"/>
      <c r="M38" s="19"/>
      <c r="N38" s="19"/>
      <c r="O38" s="19"/>
      <c r="P38" s="19"/>
      <c r="Q38" s="18"/>
      <c r="R38" s="18"/>
      <c r="S38" s="18"/>
    </row>
    <row r="39" spans="2:19" hidden="1" x14ac:dyDescent="0.4">
      <c r="B39" s="58"/>
      <c r="C39" s="21"/>
      <c r="D39" s="21"/>
      <c r="E39" s="21"/>
      <c r="F39" s="21"/>
      <c r="G39" s="21"/>
      <c r="H39" s="19"/>
      <c r="I39" s="19"/>
      <c r="J39" s="19"/>
      <c r="K39" s="19"/>
      <c r="L39" s="19"/>
      <c r="M39" s="19"/>
      <c r="N39" s="19"/>
      <c r="O39" s="19"/>
      <c r="P39" s="19"/>
      <c r="Q39" s="18"/>
      <c r="R39" s="18"/>
      <c r="S39" s="18"/>
    </row>
    <row r="40" spans="2:19" hidden="1" x14ac:dyDescent="0.35">
      <c r="B40" s="59">
        <v>2</v>
      </c>
      <c r="C40" s="20" t="s">
        <v>579</v>
      </c>
      <c r="D40" s="20"/>
      <c r="E40" s="20"/>
      <c r="F40" s="20"/>
      <c r="G40" s="20"/>
      <c r="H40" s="19"/>
      <c r="I40" s="19"/>
      <c r="J40" s="19"/>
      <c r="K40" s="19"/>
      <c r="L40" s="19"/>
      <c r="M40" s="19"/>
      <c r="N40" s="19"/>
      <c r="O40" s="19"/>
      <c r="P40" s="19"/>
      <c r="Q40" s="18"/>
      <c r="R40" s="18"/>
      <c r="S40" s="18"/>
    </row>
    <row r="41" spans="2:19" hidden="1" x14ac:dyDescent="0.4">
      <c r="B41" s="58">
        <f t="shared" ref="B41:B47" si="7">B40+0.1</f>
        <v>2.1</v>
      </c>
      <c r="C41" s="21" t="s">
        <v>573</v>
      </c>
      <c r="D41" s="21"/>
      <c r="E41" s="21"/>
      <c r="F41" s="21"/>
      <c r="G41" s="21"/>
      <c r="H41" s="19"/>
      <c r="I41" s="19"/>
      <c r="J41" s="19"/>
      <c r="K41" s="19"/>
      <c r="L41" s="19"/>
      <c r="M41" s="19"/>
      <c r="N41" s="19"/>
      <c r="O41" s="19"/>
      <c r="P41" s="19"/>
      <c r="Q41" s="18"/>
      <c r="R41" s="18"/>
      <c r="S41" s="18"/>
    </row>
    <row r="42" spans="2:19" hidden="1" x14ac:dyDescent="0.4">
      <c r="B42" s="58">
        <f t="shared" si="7"/>
        <v>2.2000000000000002</v>
      </c>
      <c r="C42" s="21" t="s">
        <v>561</v>
      </c>
      <c r="D42" s="21"/>
      <c r="E42" s="21"/>
      <c r="F42" s="21"/>
      <c r="G42" s="21"/>
      <c r="H42" s="19"/>
      <c r="I42" s="19"/>
      <c r="J42" s="19"/>
      <c r="K42" s="19"/>
      <c r="L42" s="19"/>
      <c r="M42" s="19"/>
      <c r="N42" s="19"/>
      <c r="O42" s="19"/>
      <c r="P42" s="19"/>
      <c r="Q42" s="18"/>
      <c r="R42" s="18"/>
      <c r="S42" s="18"/>
    </row>
    <row r="43" spans="2:19" hidden="1" x14ac:dyDescent="0.4">
      <c r="B43" s="58">
        <f t="shared" si="7"/>
        <v>2.3000000000000003</v>
      </c>
      <c r="C43" s="21" t="s">
        <v>575</v>
      </c>
      <c r="D43" s="21"/>
      <c r="E43" s="21"/>
      <c r="F43" s="21"/>
      <c r="G43" s="21"/>
      <c r="H43" s="19"/>
      <c r="I43" s="19"/>
      <c r="J43" s="19"/>
      <c r="K43" s="19"/>
      <c r="L43" s="19"/>
      <c r="M43" s="19"/>
      <c r="N43" s="19"/>
      <c r="O43" s="19"/>
      <c r="P43" s="19"/>
      <c r="Q43" s="18"/>
      <c r="R43" s="18"/>
      <c r="S43" s="18"/>
    </row>
    <row r="44" spans="2:19" hidden="1" x14ac:dyDescent="0.4">
      <c r="B44" s="58">
        <f t="shared" si="7"/>
        <v>2.4000000000000004</v>
      </c>
      <c r="C44" s="21" t="s">
        <v>576</v>
      </c>
      <c r="D44" s="21"/>
      <c r="E44" s="21"/>
      <c r="F44" s="21"/>
      <c r="G44" s="21"/>
      <c r="H44" s="19"/>
      <c r="I44" s="19"/>
      <c r="J44" s="19"/>
      <c r="K44" s="19"/>
      <c r="L44" s="19"/>
      <c r="M44" s="19"/>
      <c r="N44" s="19"/>
      <c r="O44" s="19"/>
      <c r="P44" s="19"/>
      <c r="Q44" s="18"/>
      <c r="R44" s="18"/>
      <c r="S44" s="18"/>
    </row>
    <row r="45" spans="2:19" hidden="1" x14ac:dyDescent="0.4">
      <c r="B45" s="58">
        <f t="shared" si="7"/>
        <v>2.5000000000000004</v>
      </c>
      <c r="C45" s="21" t="s">
        <v>577</v>
      </c>
      <c r="D45" s="21"/>
      <c r="E45" s="21"/>
      <c r="F45" s="21"/>
      <c r="G45" s="21"/>
      <c r="H45" s="19"/>
      <c r="I45" s="19"/>
      <c r="J45" s="19"/>
      <c r="K45" s="19"/>
      <c r="L45" s="19"/>
      <c r="M45" s="19"/>
      <c r="N45" s="19"/>
      <c r="O45" s="19"/>
      <c r="P45" s="19"/>
      <c r="Q45" s="18"/>
      <c r="R45" s="18"/>
      <c r="S45" s="18"/>
    </row>
    <row r="46" spans="2:19" hidden="1" x14ac:dyDescent="0.4">
      <c r="B46" s="58">
        <f t="shared" si="7"/>
        <v>2.6000000000000005</v>
      </c>
      <c r="C46" s="21" t="s">
        <v>578</v>
      </c>
      <c r="D46" s="21"/>
      <c r="E46" s="21"/>
      <c r="F46" s="21"/>
      <c r="G46" s="21"/>
      <c r="H46" s="19"/>
      <c r="I46" s="19"/>
      <c r="J46" s="19"/>
      <c r="K46" s="19"/>
      <c r="L46" s="19"/>
      <c r="M46" s="19"/>
      <c r="N46" s="19"/>
      <c r="O46" s="19"/>
      <c r="P46" s="19"/>
      <c r="Q46" s="18"/>
      <c r="R46" s="18"/>
      <c r="S46" s="18"/>
    </row>
    <row r="47" spans="2:19" hidden="1" x14ac:dyDescent="0.4">
      <c r="B47" s="58">
        <f t="shared" si="7"/>
        <v>2.7000000000000006</v>
      </c>
      <c r="C47" s="21" t="s">
        <v>568</v>
      </c>
      <c r="D47" s="21"/>
      <c r="E47" s="21"/>
      <c r="F47" s="21"/>
      <c r="G47" s="21"/>
      <c r="H47" s="19"/>
      <c r="I47" s="19"/>
      <c r="J47" s="19"/>
      <c r="K47" s="19"/>
      <c r="L47" s="19"/>
      <c r="M47" s="19"/>
      <c r="N47" s="19"/>
      <c r="O47" s="19"/>
      <c r="P47" s="19"/>
      <c r="Q47" s="18"/>
      <c r="R47" s="18"/>
      <c r="S47" s="18"/>
    </row>
    <row r="48" spans="2:19" hidden="1" x14ac:dyDescent="0.4">
      <c r="B48" s="58"/>
      <c r="C48" s="21"/>
      <c r="D48" s="21"/>
      <c r="E48" s="21"/>
      <c r="F48" s="21"/>
      <c r="G48" s="21"/>
      <c r="H48" s="19"/>
      <c r="I48" s="19"/>
      <c r="J48" s="19"/>
      <c r="K48" s="19"/>
      <c r="L48" s="19"/>
      <c r="M48" s="19"/>
      <c r="N48" s="19"/>
      <c r="O48" s="19"/>
      <c r="P48" s="19"/>
      <c r="Q48" s="18"/>
      <c r="R48" s="18"/>
      <c r="S48" s="18"/>
    </row>
    <row r="49" spans="2:19" hidden="1" x14ac:dyDescent="0.35">
      <c r="B49" s="59">
        <v>3</v>
      </c>
      <c r="C49" s="20" t="s">
        <v>580</v>
      </c>
      <c r="D49" s="20"/>
      <c r="E49" s="20"/>
      <c r="F49" s="20"/>
      <c r="G49" s="20"/>
      <c r="H49" s="19"/>
      <c r="I49" s="19"/>
      <c r="J49" s="19"/>
      <c r="K49" s="19"/>
      <c r="L49" s="19"/>
      <c r="M49" s="19"/>
      <c r="N49" s="19"/>
      <c r="O49" s="19"/>
      <c r="P49" s="19"/>
      <c r="Q49" s="18"/>
      <c r="R49" s="18"/>
      <c r="S49" s="18"/>
    </row>
    <row r="50" spans="2:19" hidden="1" x14ac:dyDescent="0.4">
      <c r="B50" s="58"/>
      <c r="C50" s="21" t="s">
        <v>239</v>
      </c>
      <c r="D50" s="21"/>
      <c r="E50" s="21"/>
      <c r="F50" s="21"/>
      <c r="G50" s="21"/>
      <c r="H50" s="19"/>
      <c r="I50" s="19"/>
      <c r="J50" s="19"/>
      <c r="K50" s="19"/>
      <c r="L50" s="19"/>
      <c r="M50" s="19"/>
      <c r="N50" s="19"/>
      <c r="O50" s="19"/>
      <c r="P50" s="19"/>
      <c r="Q50" s="18"/>
      <c r="R50" s="18"/>
      <c r="S50" s="18"/>
    </row>
    <row r="51" spans="2:19" hidden="1" x14ac:dyDescent="0.4">
      <c r="B51" s="58"/>
      <c r="C51" s="21" t="s">
        <v>239</v>
      </c>
      <c r="D51" s="21"/>
      <c r="E51" s="21"/>
      <c r="F51" s="21"/>
      <c r="G51" s="21"/>
      <c r="H51" s="19"/>
      <c r="I51" s="19"/>
      <c r="J51" s="19"/>
      <c r="K51" s="19"/>
      <c r="L51" s="19"/>
      <c r="M51" s="19"/>
      <c r="N51" s="19"/>
      <c r="O51" s="19"/>
      <c r="P51" s="19"/>
      <c r="Q51" s="18"/>
      <c r="R51" s="18"/>
      <c r="S51" s="18"/>
    </row>
    <row r="52" spans="2:19" hidden="1" x14ac:dyDescent="0.4">
      <c r="B52" s="58"/>
      <c r="C52" s="21" t="s">
        <v>239</v>
      </c>
      <c r="D52" s="21"/>
      <c r="E52" s="21"/>
      <c r="F52" s="21"/>
      <c r="G52" s="21"/>
      <c r="H52" s="19"/>
      <c r="I52" s="19"/>
      <c r="J52" s="19"/>
      <c r="K52" s="19"/>
      <c r="L52" s="19"/>
      <c r="M52" s="19"/>
      <c r="N52" s="19"/>
      <c r="O52" s="19"/>
      <c r="P52" s="19"/>
      <c r="Q52" s="18"/>
      <c r="R52" s="18"/>
      <c r="S52" s="18"/>
    </row>
    <row r="53" spans="2:19" hidden="1" x14ac:dyDescent="0.4">
      <c r="B53" s="58"/>
      <c r="C53" s="21"/>
      <c r="D53" s="21"/>
      <c r="E53" s="21"/>
      <c r="F53" s="21"/>
      <c r="G53" s="21"/>
      <c r="H53" s="19"/>
      <c r="I53" s="19"/>
      <c r="J53" s="19"/>
      <c r="K53" s="19"/>
      <c r="L53" s="19"/>
      <c r="M53" s="19"/>
      <c r="N53" s="19"/>
      <c r="O53" s="19"/>
      <c r="P53" s="19"/>
      <c r="Q53" s="18"/>
      <c r="R53" s="18"/>
      <c r="S53" s="18"/>
    </row>
    <row r="54" spans="2:19" hidden="1" x14ac:dyDescent="0.4">
      <c r="B54" s="59">
        <v>10</v>
      </c>
      <c r="C54" s="20" t="s">
        <v>164</v>
      </c>
      <c r="D54" s="20"/>
      <c r="E54" s="20"/>
      <c r="F54" s="20"/>
      <c r="G54" s="21"/>
      <c r="H54" s="19"/>
      <c r="I54" s="19"/>
      <c r="J54" s="19"/>
      <c r="K54" s="19"/>
      <c r="L54" s="19"/>
      <c r="M54" s="19"/>
      <c r="N54" s="19"/>
      <c r="O54" s="19"/>
      <c r="P54" s="19"/>
      <c r="Q54" s="18"/>
      <c r="R54" s="18"/>
      <c r="S54" s="18"/>
    </row>
    <row r="55" spans="2:19" hidden="1" x14ac:dyDescent="0.4">
      <c r="B55" s="58">
        <f t="shared" ref="B55:B61" si="8">B54+0.1</f>
        <v>10.1</v>
      </c>
      <c r="C55" s="21" t="s">
        <v>573</v>
      </c>
      <c r="D55" s="21"/>
      <c r="E55" s="21"/>
      <c r="F55" s="21"/>
      <c r="G55" s="21"/>
      <c r="H55" s="19"/>
      <c r="I55" s="19"/>
      <c r="J55" s="19"/>
      <c r="K55" s="19"/>
      <c r="L55" s="19"/>
      <c r="M55" s="19"/>
      <c r="N55" s="19"/>
      <c r="O55" s="19"/>
      <c r="P55" s="19"/>
      <c r="Q55" s="18"/>
      <c r="R55" s="18"/>
      <c r="S55" s="18"/>
    </row>
    <row r="56" spans="2:19" hidden="1" x14ac:dyDescent="0.4">
      <c r="B56" s="58">
        <f t="shared" si="8"/>
        <v>10.199999999999999</v>
      </c>
      <c r="C56" s="21" t="s">
        <v>561</v>
      </c>
      <c r="D56" s="21"/>
      <c r="E56" s="21"/>
      <c r="F56" s="21"/>
      <c r="G56" s="21"/>
      <c r="H56" s="19"/>
      <c r="I56" s="19"/>
      <c r="J56" s="19"/>
      <c r="K56" s="19"/>
      <c r="L56" s="19"/>
      <c r="M56" s="19"/>
      <c r="N56" s="19"/>
      <c r="O56" s="19"/>
      <c r="P56" s="19"/>
      <c r="Q56" s="18"/>
      <c r="R56" s="18"/>
      <c r="S56" s="18"/>
    </row>
    <row r="57" spans="2:19" hidden="1" x14ac:dyDescent="0.4">
      <c r="B57" s="58">
        <f t="shared" si="8"/>
        <v>10.299999999999999</v>
      </c>
      <c r="C57" s="21" t="s">
        <v>575</v>
      </c>
      <c r="D57" s="21"/>
      <c r="E57" s="21"/>
      <c r="F57" s="21"/>
      <c r="G57" s="21"/>
      <c r="H57" s="19"/>
      <c r="I57" s="19"/>
      <c r="J57" s="19"/>
      <c r="K57" s="19"/>
      <c r="L57" s="19"/>
      <c r="M57" s="19"/>
      <c r="N57" s="19"/>
      <c r="O57" s="19"/>
      <c r="P57" s="19"/>
      <c r="Q57" s="18"/>
      <c r="R57" s="18"/>
      <c r="S57" s="18"/>
    </row>
    <row r="58" spans="2:19" hidden="1" x14ac:dyDescent="0.4">
      <c r="B58" s="58">
        <f t="shared" si="8"/>
        <v>10.399999999999999</v>
      </c>
      <c r="C58" s="21" t="s">
        <v>576</v>
      </c>
      <c r="D58" s="21"/>
      <c r="E58" s="21"/>
      <c r="F58" s="21"/>
      <c r="G58" s="21"/>
      <c r="H58" s="19"/>
      <c r="I58" s="19"/>
      <c r="J58" s="19"/>
      <c r="K58" s="19"/>
      <c r="L58" s="19"/>
      <c r="M58" s="19"/>
      <c r="N58" s="19"/>
      <c r="O58" s="19"/>
      <c r="P58" s="19"/>
      <c r="Q58" s="18"/>
      <c r="R58" s="18"/>
      <c r="S58" s="18"/>
    </row>
    <row r="59" spans="2:19" hidden="1" x14ac:dyDescent="0.4">
      <c r="B59" s="58">
        <f t="shared" si="8"/>
        <v>10.499999999999998</v>
      </c>
      <c r="C59" s="21" t="s">
        <v>577</v>
      </c>
      <c r="D59" s="21"/>
      <c r="E59" s="21"/>
      <c r="F59" s="21"/>
      <c r="G59" s="21"/>
      <c r="H59" s="19"/>
      <c r="I59" s="19"/>
      <c r="J59" s="19"/>
      <c r="K59" s="19"/>
      <c r="L59" s="19"/>
      <c r="M59" s="19"/>
      <c r="N59" s="19"/>
      <c r="O59" s="19"/>
      <c r="P59" s="19"/>
      <c r="Q59" s="18"/>
      <c r="R59" s="18"/>
      <c r="S59" s="18"/>
    </row>
    <row r="60" spans="2:19" hidden="1" x14ac:dyDescent="0.4">
      <c r="B60" s="58">
        <f t="shared" si="8"/>
        <v>10.599999999999998</v>
      </c>
      <c r="C60" s="21" t="s">
        <v>578</v>
      </c>
      <c r="D60" s="21"/>
      <c r="E60" s="21"/>
      <c r="F60" s="21"/>
      <c r="G60" s="21"/>
      <c r="H60" s="19"/>
      <c r="I60" s="19"/>
      <c r="J60" s="19"/>
      <c r="K60" s="19"/>
      <c r="L60" s="19"/>
      <c r="M60" s="19"/>
      <c r="N60" s="19"/>
      <c r="O60" s="19"/>
      <c r="P60" s="19"/>
      <c r="Q60" s="18"/>
      <c r="R60" s="18"/>
      <c r="S60" s="18"/>
    </row>
    <row r="61" spans="2:19" hidden="1" x14ac:dyDescent="0.4">
      <c r="B61" s="58">
        <f t="shared" si="8"/>
        <v>10.699999999999998</v>
      </c>
      <c r="C61" s="21" t="s">
        <v>568</v>
      </c>
      <c r="D61" s="21"/>
      <c r="E61" s="21"/>
      <c r="F61" s="21"/>
      <c r="G61" s="21"/>
      <c r="H61" s="19"/>
      <c r="I61" s="19"/>
      <c r="J61" s="19"/>
      <c r="K61" s="19"/>
      <c r="L61" s="19"/>
      <c r="M61" s="19"/>
      <c r="N61" s="19"/>
      <c r="O61" s="19"/>
      <c r="P61" s="19"/>
      <c r="Q61" s="18"/>
      <c r="R61" s="18"/>
      <c r="S61" s="18"/>
    </row>
    <row r="62" spans="2:19" hidden="1" x14ac:dyDescent="0.4">
      <c r="B62" s="58"/>
      <c r="C62" s="21"/>
      <c r="D62" s="21"/>
      <c r="E62" s="21"/>
      <c r="F62" s="21"/>
      <c r="G62" s="21"/>
      <c r="H62" s="19"/>
      <c r="I62" s="19"/>
      <c r="J62" s="19"/>
      <c r="K62" s="19"/>
      <c r="L62" s="19"/>
      <c r="M62" s="19"/>
      <c r="N62" s="19"/>
      <c r="O62" s="19"/>
      <c r="P62" s="19"/>
      <c r="Q62" s="18"/>
      <c r="R62" s="18"/>
      <c r="S62" s="18"/>
    </row>
    <row r="63" spans="2:19" hidden="1" x14ac:dyDescent="0.4">
      <c r="B63" s="58"/>
      <c r="C63" s="21"/>
      <c r="D63" s="21"/>
      <c r="E63" s="21"/>
      <c r="F63" s="21"/>
      <c r="G63" s="21"/>
      <c r="H63" s="19"/>
      <c r="I63" s="19"/>
      <c r="J63" s="19"/>
      <c r="K63" s="19"/>
      <c r="L63" s="19"/>
      <c r="M63" s="19"/>
      <c r="N63" s="19"/>
      <c r="O63" s="19"/>
      <c r="P63" s="19"/>
      <c r="Q63" s="18"/>
      <c r="R63" s="18"/>
      <c r="S63" s="18"/>
    </row>
    <row r="64" spans="2:19" hidden="1" x14ac:dyDescent="0.35">
      <c r="B64" s="58">
        <v>9</v>
      </c>
      <c r="C64" s="20" t="s">
        <v>581</v>
      </c>
      <c r="D64" s="20"/>
      <c r="E64" s="20"/>
      <c r="F64" s="20"/>
      <c r="G64" s="20"/>
      <c r="H64" s="19"/>
      <c r="I64" s="19"/>
      <c r="J64" s="19"/>
      <c r="K64" s="22"/>
      <c r="L64" s="22"/>
      <c r="M64" s="22"/>
      <c r="N64" s="22"/>
      <c r="O64" s="22"/>
      <c r="P64" s="19"/>
      <c r="Q64" s="18"/>
      <c r="R64" s="18"/>
      <c r="S64" s="18"/>
    </row>
    <row r="65" spans="2:19" hidden="1" x14ac:dyDescent="0.4">
      <c r="B65" s="58">
        <v>10</v>
      </c>
      <c r="C65" s="2" t="s">
        <v>396</v>
      </c>
      <c r="D65" s="2"/>
      <c r="E65" s="2"/>
      <c r="F65" s="2"/>
      <c r="G65" s="2"/>
      <c r="H65" s="19"/>
      <c r="I65" s="19"/>
      <c r="J65" s="19"/>
      <c r="K65" s="19"/>
      <c r="L65" s="19"/>
      <c r="M65" s="19"/>
      <c r="N65" s="19"/>
      <c r="O65" s="19"/>
      <c r="P65" s="19"/>
      <c r="Q65" s="18"/>
      <c r="R65" s="18"/>
      <c r="S65" s="18"/>
    </row>
    <row r="66" spans="2:19" hidden="1" x14ac:dyDescent="0.35">
      <c r="B66" s="59">
        <v>11</v>
      </c>
      <c r="C66" s="22" t="s">
        <v>582</v>
      </c>
      <c r="D66" s="22"/>
      <c r="E66" s="22"/>
      <c r="F66" s="22"/>
      <c r="G66" s="22"/>
      <c r="H66" s="19"/>
      <c r="I66" s="19"/>
      <c r="J66" s="19"/>
      <c r="K66" s="19"/>
      <c r="L66" s="19"/>
      <c r="M66" s="19"/>
      <c r="N66" s="19"/>
      <c r="O66" s="19"/>
      <c r="P66" s="19"/>
      <c r="Q66" s="18"/>
      <c r="R66" s="18"/>
      <c r="S66" s="18"/>
    </row>
    <row r="67" spans="2:19" hidden="1" x14ac:dyDescent="0.35">
      <c r="B67" s="58"/>
      <c r="C67" s="23"/>
      <c r="D67" s="23"/>
      <c r="E67" s="23"/>
      <c r="F67" s="23"/>
      <c r="G67" s="23"/>
      <c r="H67" s="19"/>
      <c r="I67" s="19"/>
      <c r="J67" s="19"/>
      <c r="K67" s="19"/>
      <c r="L67" s="19"/>
      <c r="M67" s="19"/>
      <c r="N67" s="19"/>
      <c r="O67" s="19"/>
      <c r="P67" s="19"/>
      <c r="Q67" s="18"/>
      <c r="R67" s="18"/>
      <c r="S67" s="18"/>
    </row>
    <row r="68" spans="2:19" hidden="1" x14ac:dyDescent="0.35">
      <c r="C68" s="180"/>
      <c r="D68" s="180"/>
      <c r="E68" s="180"/>
      <c r="F68" s="180"/>
      <c r="G68" s="180"/>
      <c r="Q68" s="18"/>
      <c r="R68" s="18"/>
      <c r="S68" s="18"/>
    </row>
    <row r="69" spans="2:19" hidden="1" x14ac:dyDescent="0.35">
      <c r="C69" s="2057" t="s">
        <v>583</v>
      </c>
      <c r="D69" s="2057"/>
      <c r="E69" s="2057"/>
      <c r="F69" s="2057"/>
      <c r="G69" s="2057"/>
      <c r="Q69" s="18"/>
      <c r="R69" s="18"/>
      <c r="S69" s="18"/>
    </row>
    <row r="70" spans="2:19" hidden="1" x14ac:dyDescent="0.35">
      <c r="C70" s="10" t="s">
        <v>584</v>
      </c>
    </row>
    <row r="71" spans="2:19" hidden="1" x14ac:dyDescent="0.35"/>
    <row r="72" spans="2:19" ht="17.25" hidden="1" x14ac:dyDescent="0.35">
      <c r="C72" s="60" t="s">
        <v>585</v>
      </c>
      <c r="D72" s="60"/>
      <c r="E72" s="60"/>
      <c r="F72" s="60"/>
      <c r="G72" s="60"/>
    </row>
    <row r="73" spans="2:19" hidden="1" x14ac:dyDescent="0.35">
      <c r="B73" s="10"/>
      <c r="P73" s="15" t="s">
        <v>110</v>
      </c>
    </row>
    <row r="74" spans="2:19" ht="15" hidden="1" customHeight="1" x14ac:dyDescent="0.35">
      <c r="B74" s="1940" t="s">
        <v>1</v>
      </c>
      <c r="C74" s="1940" t="s">
        <v>556</v>
      </c>
      <c r="D74" s="98" t="s">
        <v>196</v>
      </c>
      <c r="E74" s="98" t="s">
        <v>197</v>
      </c>
      <c r="F74" s="98" t="s">
        <v>198</v>
      </c>
      <c r="G74" s="98" t="s">
        <v>199</v>
      </c>
      <c r="H74" s="358" t="s">
        <v>112</v>
      </c>
      <c r="I74" s="358" t="s">
        <v>113</v>
      </c>
      <c r="J74" s="358" t="s">
        <v>114</v>
      </c>
      <c r="K74" s="1934" t="s">
        <v>1019</v>
      </c>
      <c r="L74" s="1935"/>
      <c r="M74" s="1935"/>
      <c r="N74" s="1935"/>
      <c r="O74" s="1936"/>
      <c r="P74" s="1938" t="s">
        <v>116</v>
      </c>
    </row>
    <row r="75" spans="2:19" ht="27" hidden="1" x14ac:dyDescent="0.35">
      <c r="B75" s="1940"/>
      <c r="C75" s="1940"/>
      <c r="D75" s="1934" t="s">
        <v>117</v>
      </c>
      <c r="E75" s="1935"/>
      <c r="F75" s="1935"/>
      <c r="G75" s="1935"/>
      <c r="H75" s="1935"/>
      <c r="I75" s="1936"/>
      <c r="J75" s="217" t="s">
        <v>121</v>
      </c>
      <c r="K75" s="217" t="s">
        <v>123</v>
      </c>
      <c r="L75" s="217" t="s">
        <v>124</v>
      </c>
      <c r="M75" s="217" t="s">
        <v>125</v>
      </c>
      <c r="N75" s="217" t="s">
        <v>126</v>
      </c>
      <c r="O75" s="217" t="s">
        <v>127</v>
      </c>
      <c r="P75" s="1983"/>
    </row>
    <row r="76" spans="2:19" hidden="1" x14ac:dyDescent="0.35">
      <c r="B76" s="59">
        <v>1</v>
      </c>
      <c r="C76" s="20" t="s">
        <v>572</v>
      </c>
      <c r="D76" s="20"/>
      <c r="E76" s="20"/>
      <c r="F76" s="20"/>
      <c r="G76" s="20"/>
      <c r="H76" s="19"/>
      <c r="I76" s="19"/>
      <c r="J76" s="19"/>
      <c r="K76" s="19"/>
      <c r="L76" s="19"/>
      <c r="M76" s="19"/>
      <c r="N76" s="19"/>
      <c r="O76" s="19"/>
      <c r="P76" s="19"/>
      <c r="Q76" s="18"/>
      <c r="R76" s="18"/>
      <c r="S76" s="18"/>
    </row>
    <row r="77" spans="2:19" hidden="1" x14ac:dyDescent="0.4">
      <c r="B77" s="58">
        <v>1.1000000000000001</v>
      </c>
      <c r="C77" s="21" t="s">
        <v>573</v>
      </c>
      <c r="D77" s="21"/>
      <c r="E77" s="21"/>
      <c r="F77" s="21"/>
      <c r="G77" s="21"/>
      <c r="H77" s="19"/>
      <c r="I77" s="19"/>
      <c r="J77" s="19"/>
      <c r="K77" s="19"/>
      <c r="L77" s="19"/>
      <c r="M77" s="19"/>
      <c r="N77" s="19"/>
      <c r="O77" s="19"/>
      <c r="P77" s="19"/>
      <c r="Q77" s="18"/>
      <c r="R77" s="18"/>
      <c r="S77" s="18"/>
    </row>
    <row r="78" spans="2:19" hidden="1" x14ac:dyDescent="0.4">
      <c r="B78" s="58">
        <f t="shared" ref="B78:B84" si="9">B77+0.1</f>
        <v>1.2000000000000002</v>
      </c>
      <c r="C78" s="21" t="s">
        <v>561</v>
      </c>
      <c r="D78" s="21"/>
      <c r="E78" s="21"/>
      <c r="F78" s="21"/>
      <c r="G78" s="21"/>
      <c r="H78" s="19"/>
      <c r="I78" s="19"/>
      <c r="J78" s="19"/>
      <c r="K78" s="19"/>
      <c r="L78" s="19"/>
      <c r="M78" s="19"/>
      <c r="N78" s="19"/>
      <c r="O78" s="19"/>
      <c r="P78" s="19"/>
      <c r="Q78" s="18"/>
      <c r="R78" s="18"/>
      <c r="S78" s="18"/>
    </row>
    <row r="79" spans="2:19" hidden="1" x14ac:dyDescent="0.4">
      <c r="B79" s="58">
        <f t="shared" si="9"/>
        <v>1.3000000000000003</v>
      </c>
      <c r="C79" s="21" t="s">
        <v>574</v>
      </c>
      <c r="D79" s="21"/>
      <c r="E79" s="21"/>
      <c r="F79" s="21"/>
      <c r="G79" s="21"/>
      <c r="H79" s="19"/>
      <c r="I79" s="19"/>
      <c r="J79" s="19"/>
      <c r="K79" s="19"/>
      <c r="L79" s="19"/>
      <c r="M79" s="19"/>
      <c r="N79" s="19"/>
      <c r="O79" s="19"/>
      <c r="P79" s="19"/>
      <c r="Q79" s="18"/>
      <c r="R79" s="18"/>
      <c r="S79" s="18"/>
    </row>
    <row r="80" spans="2:19" hidden="1" x14ac:dyDescent="0.4">
      <c r="B80" s="58">
        <f t="shared" si="9"/>
        <v>1.4000000000000004</v>
      </c>
      <c r="C80" s="21" t="s">
        <v>575</v>
      </c>
      <c r="D80" s="21"/>
      <c r="E80" s="21"/>
      <c r="F80" s="21"/>
      <c r="G80" s="21"/>
      <c r="H80" s="19"/>
      <c r="I80" s="19"/>
      <c r="J80" s="19"/>
      <c r="K80" s="19"/>
      <c r="L80" s="19"/>
      <c r="M80" s="19"/>
      <c r="N80" s="19"/>
      <c r="O80" s="19"/>
      <c r="P80" s="19"/>
      <c r="Q80" s="18"/>
      <c r="R80" s="18"/>
      <c r="S80" s="18"/>
    </row>
    <row r="81" spans="2:19" hidden="1" x14ac:dyDescent="0.4">
      <c r="B81" s="58">
        <f t="shared" si="9"/>
        <v>1.5000000000000004</v>
      </c>
      <c r="C81" s="21" t="s">
        <v>576</v>
      </c>
      <c r="D81" s="21"/>
      <c r="E81" s="21"/>
      <c r="F81" s="21"/>
      <c r="G81" s="21"/>
      <c r="H81" s="19"/>
      <c r="I81" s="19"/>
      <c r="J81" s="19"/>
      <c r="K81" s="19"/>
      <c r="L81" s="19"/>
      <c r="M81" s="19"/>
      <c r="N81" s="19"/>
      <c r="O81" s="19"/>
      <c r="P81" s="19"/>
      <c r="Q81" s="18"/>
      <c r="R81" s="18"/>
      <c r="S81" s="18"/>
    </row>
    <row r="82" spans="2:19" hidden="1" x14ac:dyDescent="0.4">
      <c r="B82" s="58">
        <f t="shared" si="9"/>
        <v>1.6000000000000005</v>
      </c>
      <c r="C82" s="21" t="s">
        <v>577</v>
      </c>
      <c r="D82" s="21"/>
      <c r="E82" s="21"/>
      <c r="F82" s="21"/>
      <c r="G82" s="21"/>
      <c r="H82" s="19"/>
      <c r="I82" s="19"/>
      <c r="J82" s="19"/>
      <c r="K82" s="19"/>
      <c r="L82" s="19"/>
      <c r="M82" s="19"/>
      <c r="N82" s="19"/>
      <c r="O82" s="19"/>
      <c r="P82" s="19"/>
      <c r="Q82" s="18"/>
      <c r="R82" s="18"/>
      <c r="S82" s="18"/>
    </row>
    <row r="83" spans="2:19" hidden="1" x14ac:dyDescent="0.4">
      <c r="B83" s="58">
        <f t="shared" si="9"/>
        <v>1.7000000000000006</v>
      </c>
      <c r="C83" s="21" t="s">
        <v>578</v>
      </c>
      <c r="D83" s="21"/>
      <c r="E83" s="21"/>
      <c r="F83" s="21"/>
      <c r="G83" s="21"/>
      <c r="H83" s="19"/>
      <c r="I83" s="19"/>
      <c r="J83" s="19"/>
      <c r="K83" s="19"/>
      <c r="L83" s="19"/>
      <c r="M83" s="19"/>
      <c r="N83" s="19"/>
      <c r="O83" s="19"/>
      <c r="P83" s="19"/>
      <c r="Q83" s="18"/>
      <c r="R83" s="18"/>
      <c r="S83" s="18"/>
    </row>
    <row r="84" spans="2:19" hidden="1" x14ac:dyDescent="0.4">
      <c r="B84" s="58">
        <f t="shared" si="9"/>
        <v>1.8000000000000007</v>
      </c>
      <c r="C84" s="21" t="s">
        <v>568</v>
      </c>
      <c r="D84" s="21"/>
      <c r="E84" s="21"/>
      <c r="F84" s="21"/>
      <c r="G84" s="21"/>
      <c r="H84" s="19"/>
      <c r="I84" s="19"/>
      <c r="J84" s="19"/>
      <c r="K84" s="19"/>
      <c r="L84" s="19"/>
      <c r="M84" s="19"/>
      <c r="N84" s="19"/>
      <c r="O84" s="19"/>
      <c r="P84" s="19"/>
      <c r="Q84" s="18"/>
      <c r="R84" s="18"/>
      <c r="S84" s="18"/>
    </row>
    <row r="85" spans="2:19" hidden="1" x14ac:dyDescent="0.4">
      <c r="B85" s="58"/>
      <c r="C85" s="21"/>
      <c r="D85" s="21"/>
      <c r="E85" s="21"/>
      <c r="F85" s="21"/>
      <c r="G85" s="21"/>
      <c r="H85" s="19"/>
      <c r="I85" s="19"/>
      <c r="J85" s="19"/>
      <c r="K85" s="19"/>
      <c r="L85" s="19"/>
      <c r="M85" s="19"/>
      <c r="N85" s="19"/>
      <c r="O85" s="19"/>
      <c r="P85" s="19"/>
      <c r="Q85" s="18"/>
      <c r="R85" s="18"/>
      <c r="S85" s="18"/>
    </row>
    <row r="86" spans="2:19" hidden="1" x14ac:dyDescent="0.35">
      <c r="B86" s="59">
        <v>2</v>
      </c>
      <c r="C86" s="20" t="s">
        <v>579</v>
      </c>
      <c r="D86" s="20"/>
      <c r="E86" s="20"/>
      <c r="F86" s="20"/>
      <c r="G86" s="20"/>
      <c r="H86" s="19"/>
      <c r="I86" s="19"/>
      <c r="J86" s="19"/>
      <c r="K86" s="19"/>
      <c r="L86" s="19"/>
      <c r="M86" s="19"/>
      <c r="N86" s="19"/>
      <c r="O86" s="19"/>
      <c r="P86" s="19"/>
      <c r="Q86" s="18"/>
      <c r="R86" s="18"/>
      <c r="S86" s="18"/>
    </row>
    <row r="87" spans="2:19" hidden="1" x14ac:dyDescent="0.4">
      <c r="B87" s="58">
        <f t="shared" ref="B87:B93" si="10">B86+0.1</f>
        <v>2.1</v>
      </c>
      <c r="C87" s="21" t="s">
        <v>573</v>
      </c>
      <c r="D87" s="21"/>
      <c r="E87" s="21"/>
      <c r="F87" s="21"/>
      <c r="G87" s="21"/>
      <c r="H87" s="19"/>
      <c r="I87" s="19"/>
      <c r="J87" s="19"/>
      <c r="K87" s="19"/>
      <c r="L87" s="19"/>
      <c r="M87" s="19"/>
      <c r="N87" s="19"/>
      <c r="O87" s="19"/>
      <c r="P87" s="19"/>
      <c r="Q87" s="18"/>
      <c r="R87" s="18"/>
      <c r="S87" s="18"/>
    </row>
    <row r="88" spans="2:19" hidden="1" x14ac:dyDescent="0.4">
      <c r="B88" s="58">
        <f t="shared" si="10"/>
        <v>2.2000000000000002</v>
      </c>
      <c r="C88" s="21" t="s">
        <v>561</v>
      </c>
      <c r="D88" s="21"/>
      <c r="E88" s="21"/>
      <c r="F88" s="21"/>
      <c r="G88" s="21"/>
      <c r="H88" s="19"/>
      <c r="I88" s="19"/>
      <c r="J88" s="19"/>
      <c r="K88" s="19"/>
      <c r="L88" s="19"/>
      <c r="M88" s="19"/>
      <c r="N88" s="19"/>
      <c r="O88" s="19"/>
      <c r="P88" s="19"/>
      <c r="Q88" s="18"/>
      <c r="R88" s="18"/>
      <c r="S88" s="18"/>
    </row>
    <row r="89" spans="2:19" hidden="1" x14ac:dyDescent="0.4">
      <c r="B89" s="58">
        <f t="shared" si="10"/>
        <v>2.3000000000000003</v>
      </c>
      <c r="C89" s="21" t="s">
        <v>575</v>
      </c>
      <c r="D89" s="21"/>
      <c r="E89" s="21"/>
      <c r="F89" s="21"/>
      <c r="G89" s="21"/>
      <c r="H89" s="19"/>
      <c r="I89" s="19"/>
      <c r="J89" s="19"/>
      <c r="K89" s="19"/>
      <c r="L89" s="19"/>
      <c r="M89" s="19"/>
      <c r="N89" s="19"/>
      <c r="O89" s="19"/>
      <c r="P89" s="19"/>
      <c r="Q89" s="18"/>
      <c r="R89" s="18"/>
      <c r="S89" s="18"/>
    </row>
    <row r="90" spans="2:19" hidden="1" x14ac:dyDescent="0.4">
      <c r="B90" s="58">
        <f t="shared" si="10"/>
        <v>2.4000000000000004</v>
      </c>
      <c r="C90" s="21" t="s">
        <v>576</v>
      </c>
      <c r="D90" s="21"/>
      <c r="E90" s="21"/>
      <c r="F90" s="21"/>
      <c r="G90" s="21"/>
      <c r="H90" s="19"/>
      <c r="I90" s="19"/>
      <c r="J90" s="19"/>
      <c r="K90" s="19"/>
      <c r="L90" s="19"/>
      <c r="M90" s="19"/>
      <c r="N90" s="19"/>
      <c r="O90" s="19"/>
      <c r="P90" s="19"/>
      <c r="Q90" s="18"/>
      <c r="R90" s="18"/>
      <c r="S90" s="18"/>
    </row>
    <row r="91" spans="2:19" hidden="1" x14ac:dyDescent="0.4">
      <c r="B91" s="58">
        <f t="shared" si="10"/>
        <v>2.5000000000000004</v>
      </c>
      <c r="C91" s="21" t="s">
        <v>577</v>
      </c>
      <c r="D91" s="21"/>
      <c r="E91" s="21"/>
      <c r="F91" s="21"/>
      <c r="G91" s="21"/>
      <c r="H91" s="19"/>
      <c r="I91" s="19"/>
      <c r="J91" s="19"/>
      <c r="K91" s="19"/>
      <c r="L91" s="19"/>
      <c r="M91" s="19"/>
      <c r="N91" s="19"/>
      <c r="O91" s="19"/>
      <c r="P91" s="19"/>
      <c r="Q91" s="18"/>
      <c r="R91" s="18"/>
      <c r="S91" s="18"/>
    </row>
    <row r="92" spans="2:19" hidden="1" x14ac:dyDescent="0.4">
      <c r="B92" s="58">
        <f t="shared" si="10"/>
        <v>2.6000000000000005</v>
      </c>
      <c r="C92" s="21" t="s">
        <v>578</v>
      </c>
      <c r="D92" s="21"/>
      <c r="E92" s="21"/>
      <c r="F92" s="21"/>
      <c r="G92" s="21"/>
      <c r="H92" s="19"/>
      <c r="I92" s="19"/>
      <c r="J92" s="19"/>
      <c r="K92" s="19"/>
      <c r="L92" s="19"/>
      <c r="M92" s="19"/>
      <c r="N92" s="19"/>
      <c r="O92" s="19"/>
      <c r="P92" s="19"/>
      <c r="Q92" s="18"/>
      <c r="R92" s="18"/>
      <c r="S92" s="18"/>
    </row>
    <row r="93" spans="2:19" hidden="1" x14ac:dyDescent="0.4">
      <c r="B93" s="58">
        <f t="shared" si="10"/>
        <v>2.7000000000000006</v>
      </c>
      <c r="C93" s="21" t="s">
        <v>568</v>
      </c>
      <c r="D93" s="21"/>
      <c r="E93" s="21"/>
      <c r="F93" s="21"/>
      <c r="G93" s="21"/>
      <c r="H93" s="19"/>
      <c r="I93" s="19"/>
      <c r="J93" s="19"/>
      <c r="K93" s="19"/>
      <c r="L93" s="19"/>
      <c r="M93" s="19"/>
      <c r="N93" s="19"/>
      <c r="O93" s="19"/>
      <c r="P93" s="19"/>
      <c r="Q93" s="18"/>
      <c r="R93" s="18"/>
      <c r="S93" s="18"/>
    </row>
    <row r="94" spans="2:19" hidden="1" x14ac:dyDescent="0.4">
      <c r="B94" s="58"/>
      <c r="C94" s="21"/>
      <c r="D94" s="21"/>
      <c r="E94" s="21"/>
      <c r="F94" s="21"/>
      <c r="G94" s="21"/>
      <c r="H94" s="19"/>
      <c r="I94" s="19"/>
      <c r="J94" s="19"/>
      <c r="K94" s="19"/>
      <c r="L94" s="19"/>
      <c r="M94" s="19"/>
      <c r="N94" s="19"/>
      <c r="O94" s="19"/>
      <c r="P94" s="19"/>
      <c r="Q94" s="18"/>
      <c r="R94" s="18"/>
      <c r="S94" s="18"/>
    </row>
    <row r="95" spans="2:19" hidden="1" x14ac:dyDescent="0.35">
      <c r="B95" s="59">
        <v>3</v>
      </c>
      <c r="C95" s="20" t="s">
        <v>580</v>
      </c>
      <c r="D95" s="20"/>
      <c r="E95" s="20"/>
      <c r="F95" s="20"/>
      <c r="G95" s="20"/>
      <c r="H95" s="19"/>
      <c r="I95" s="19"/>
      <c r="J95" s="19"/>
      <c r="K95" s="19"/>
      <c r="L95" s="19"/>
      <c r="M95" s="19"/>
      <c r="N95" s="19"/>
      <c r="O95" s="19"/>
      <c r="P95" s="19"/>
    </row>
    <row r="96" spans="2:19" hidden="1" x14ac:dyDescent="0.4">
      <c r="B96" s="58"/>
      <c r="C96" s="21" t="s">
        <v>239</v>
      </c>
      <c r="D96" s="21"/>
      <c r="E96" s="21"/>
      <c r="F96" s="21"/>
      <c r="G96" s="21"/>
      <c r="H96" s="19"/>
      <c r="I96" s="19"/>
      <c r="J96" s="19"/>
      <c r="K96" s="19"/>
      <c r="L96" s="19"/>
      <c r="M96" s="19"/>
      <c r="N96" s="19"/>
      <c r="O96" s="19"/>
      <c r="P96" s="19"/>
    </row>
    <row r="97" spans="2:16" hidden="1" x14ac:dyDescent="0.4">
      <c r="B97" s="58"/>
      <c r="C97" s="21" t="s">
        <v>239</v>
      </c>
      <c r="D97" s="21"/>
      <c r="E97" s="21"/>
      <c r="F97" s="21"/>
      <c r="G97" s="21"/>
      <c r="H97" s="19"/>
      <c r="I97" s="19"/>
      <c r="J97" s="19"/>
      <c r="K97" s="19"/>
      <c r="L97" s="19"/>
      <c r="M97" s="19"/>
      <c r="N97" s="19"/>
      <c r="O97" s="19"/>
      <c r="P97" s="19"/>
    </row>
    <row r="98" spans="2:16" hidden="1" x14ac:dyDescent="0.4">
      <c r="B98" s="58"/>
      <c r="C98" s="21" t="s">
        <v>239</v>
      </c>
      <c r="D98" s="21"/>
      <c r="E98" s="21"/>
      <c r="F98" s="21"/>
      <c r="G98" s="21"/>
      <c r="H98" s="19"/>
      <c r="I98" s="19"/>
      <c r="J98" s="19"/>
      <c r="K98" s="19"/>
      <c r="L98" s="19"/>
      <c r="M98" s="19"/>
      <c r="N98" s="19"/>
      <c r="O98" s="19"/>
      <c r="P98" s="19"/>
    </row>
    <row r="99" spans="2:16" hidden="1" x14ac:dyDescent="0.4">
      <c r="B99" s="58"/>
      <c r="C99" s="21"/>
      <c r="D99" s="21"/>
      <c r="E99" s="21"/>
      <c r="F99" s="21"/>
      <c r="G99" s="21"/>
      <c r="H99" s="19"/>
      <c r="I99" s="19"/>
      <c r="J99" s="19"/>
      <c r="K99" s="19"/>
      <c r="L99" s="19"/>
      <c r="M99" s="19"/>
      <c r="N99" s="19"/>
      <c r="O99" s="19"/>
      <c r="P99" s="19"/>
    </row>
    <row r="100" spans="2:16" hidden="1" x14ac:dyDescent="0.4">
      <c r="B100" s="59">
        <v>10</v>
      </c>
      <c r="C100" s="20" t="s">
        <v>164</v>
      </c>
      <c r="D100" s="20"/>
      <c r="E100" s="20"/>
      <c r="F100" s="20"/>
      <c r="G100" s="21"/>
      <c r="H100" s="19"/>
      <c r="I100" s="19"/>
      <c r="J100" s="19"/>
      <c r="K100" s="19"/>
      <c r="L100" s="19"/>
      <c r="M100" s="19"/>
      <c r="N100" s="19"/>
      <c r="O100" s="19"/>
      <c r="P100" s="19"/>
    </row>
    <row r="101" spans="2:16" hidden="1" x14ac:dyDescent="0.4">
      <c r="B101" s="58">
        <f t="shared" ref="B101:B107" si="11">B100+0.1</f>
        <v>10.1</v>
      </c>
      <c r="C101" s="21" t="s">
        <v>573</v>
      </c>
      <c r="D101" s="21"/>
      <c r="E101" s="21"/>
      <c r="F101" s="21"/>
      <c r="G101" s="21"/>
      <c r="H101" s="19"/>
      <c r="I101" s="19"/>
      <c r="J101" s="19"/>
      <c r="K101" s="19"/>
      <c r="L101" s="19"/>
      <c r="M101" s="19"/>
      <c r="N101" s="19"/>
      <c r="O101" s="19"/>
      <c r="P101" s="19"/>
    </row>
    <row r="102" spans="2:16" hidden="1" x14ac:dyDescent="0.4">
      <c r="B102" s="58">
        <f t="shared" si="11"/>
        <v>10.199999999999999</v>
      </c>
      <c r="C102" s="21" t="s">
        <v>561</v>
      </c>
      <c r="D102" s="21"/>
      <c r="E102" s="21"/>
      <c r="F102" s="21"/>
      <c r="G102" s="21"/>
      <c r="H102" s="19"/>
      <c r="I102" s="19"/>
      <c r="J102" s="19"/>
      <c r="K102" s="19"/>
      <c r="L102" s="19"/>
      <c r="M102" s="19"/>
      <c r="N102" s="19"/>
      <c r="O102" s="19"/>
      <c r="P102" s="19"/>
    </row>
    <row r="103" spans="2:16" hidden="1" x14ac:dyDescent="0.4">
      <c r="B103" s="58">
        <f t="shared" si="11"/>
        <v>10.299999999999999</v>
      </c>
      <c r="C103" s="21" t="s">
        <v>575</v>
      </c>
      <c r="D103" s="21"/>
      <c r="E103" s="21"/>
      <c r="F103" s="21"/>
      <c r="G103" s="21"/>
      <c r="H103" s="19"/>
      <c r="I103" s="19"/>
      <c r="J103" s="19"/>
      <c r="K103" s="19"/>
      <c r="L103" s="19"/>
      <c r="M103" s="19"/>
      <c r="N103" s="19"/>
      <c r="O103" s="19"/>
      <c r="P103" s="19"/>
    </row>
    <row r="104" spans="2:16" hidden="1" x14ac:dyDescent="0.4">
      <c r="B104" s="58">
        <f t="shared" si="11"/>
        <v>10.399999999999999</v>
      </c>
      <c r="C104" s="21" t="s">
        <v>576</v>
      </c>
      <c r="D104" s="21"/>
      <c r="E104" s="21"/>
      <c r="F104" s="21"/>
      <c r="G104" s="21"/>
      <c r="H104" s="19"/>
      <c r="I104" s="19"/>
      <c r="J104" s="19"/>
      <c r="K104" s="19"/>
      <c r="L104" s="19"/>
      <c r="M104" s="19"/>
      <c r="N104" s="19"/>
      <c r="O104" s="19"/>
      <c r="P104" s="19"/>
    </row>
    <row r="105" spans="2:16" hidden="1" x14ac:dyDescent="0.4">
      <c r="B105" s="58">
        <f t="shared" si="11"/>
        <v>10.499999999999998</v>
      </c>
      <c r="C105" s="21" t="s">
        <v>577</v>
      </c>
      <c r="D105" s="21"/>
      <c r="E105" s="21"/>
      <c r="F105" s="21"/>
      <c r="G105" s="21"/>
      <c r="H105" s="19"/>
      <c r="I105" s="19"/>
      <c r="J105" s="19"/>
      <c r="K105" s="19"/>
      <c r="L105" s="19"/>
      <c r="M105" s="19"/>
      <c r="N105" s="19"/>
      <c r="O105" s="19"/>
      <c r="P105" s="19"/>
    </row>
    <row r="106" spans="2:16" hidden="1" x14ac:dyDescent="0.4">
      <c r="B106" s="58">
        <f t="shared" si="11"/>
        <v>10.599999999999998</v>
      </c>
      <c r="C106" s="21" t="s">
        <v>578</v>
      </c>
      <c r="D106" s="21"/>
      <c r="E106" s="21"/>
      <c r="F106" s="21"/>
      <c r="G106" s="21"/>
      <c r="H106" s="19"/>
      <c r="I106" s="19"/>
      <c r="J106" s="19"/>
      <c r="K106" s="19"/>
      <c r="L106" s="19"/>
      <c r="M106" s="19"/>
      <c r="N106" s="19"/>
      <c r="O106" s="19"/>
      <c r="P106" s="19"/>
    </row>
    <row r="107" spans="2:16" hidden="1" x14ac:dyDescent="0.4">
      <c r="B107" s="58">
        <f t="shared" si="11"/>
        <v>10.699999999999998</v>
      </c>
      <c r="C107" s="21" t="s">
        <v>568</v>
      </c>
      <c r="D107" s="21"/>
      <c r="E107" s="21"/>
      <c r="F107" s="21"/>
      <c r="G107" s="21"/>
      <c r="H107" s="19"/>
      <c r="I107" s="19"/>
      <c r="J107" s="19"/>
      <c r="K107" s="19"/>
      <c r="L107" s="19"/>
      <c r="M107" s="19"/>
      <c r="N107" s="19"/>
      <c r="O107" s="19"/>
      <c r="P107" s="19"/>
    </row>
    <row r="108" spans="2:16" hidden="1" x14ac:dyDescent="0.4">
      <c r="B108" s="58"/>
      <c r="C108" s="21"/>
      <c r="D108" s="21"/>
      <c r="E108" s="21"/>
      <c r="F108" s="21"/>
      <c r="G108" s="21"/>
      <c r="H108" s="19"/>
      <c r="I108" s="19"/>
      <c r="J108" s="19"/>
      <c r="K108" s="19"/>
      <c r="L108" s="19"/>
      <c r="M108" s="19"/>
      <c r="N108" s="19"/>
      <c r="O108" s="19"/>
      <c r="P108" s="19"/>
    </row>
    <row r="109" spans="2:16" hidden="1" x14ac:dyDescent="0.35">
      <c r="B109" s="58"/>
      <c r="C109" s="20"/>
      <c r="D109" s="20"/>
      <c r="E109" s="20"/>
      <c r="F109" s="20"/>
      <c r="G109" s="20"/>
      <c r="H109" s="19"/>
      <c r="I109" s="19"/>
      <c r="J109" s="19"/>
      <c r="K109" s="19"/>
      <c r="L109" s="19"/>
      <c r="M109" s="19"/>
      <c r="N109" s="19"/>
      <c r="O109" s="19"/>
      <c r="P109" s="19"/>
    </row>
    <row r="110" spans="2:16" hidden="1" x14ac:dyDescent="0.4">
      <c r="B110" s="58"/>
      <c r="C110" s="21"/>
      <c r="D110" s="21"/>
      <c r="E110" s="21"/>
      <c r="F110" s="21"/>
      <c r="G110" s="21"/>
      <c r="H110" s="19"/>
      <c r="I110" s="19"/>
      <c r="J110" s="19"/>
      <c r="K110" s="19"/>
      <c r="L110" s="19"/>
      <c r="M110" s="19"/>
      <c r="N110" s="19"/>
      <c r="O110" s="19"/>
      <c r="P110" s="19"/>
    </row>
    <row r="111" spans="2:16" hidden="1" x14ac:dyDescent="0.35">
      <c r="B111" s="58">
        <v>9</v>
      </c>
      <c r="C111" s="20" t="s">
        <v>581</v>
      </c>
      <c r="D111" s="20"/>
      <c r="E111" s="20"/>
      <c r="F111" s="20"/>
      <c r="G111" s="20"/>
      <c r="H111" s="22"/>
      <c r="I111" s="22"/>
      <c r="J111" s="22"/>
      <c r="K111" s="22"/>
      <c r="L111" s="22"/>
      <c r="M111" s="22"/>
      <c r="N111" s="22"/>
      <c r="O111" s="22"/>
      <c r="P111" s="19"/>
    </row>
    <row r="112" spans="2:16" hidden="1" x14ac:dyDescent="0.4">
      <c r="B112" s="58">
        <v>10</v>
      </c>
      <c r="C112" s="2" t="s">
        <v>396</v>
      </c>
      <c r="D112" s="2"/>
      <c r="E112" s="2"/>
      <c r="F112" s="2"/>
      <c r="G112" s="2"/>
      <c r="H112" s="19"/>
      <c r="I112" s="19"/>
      <c r="J112" s="19"/>
      <c r="K112" s="19"/>
      <c r="L112" s="19"/>
      <c r="M112" s="19"/>
      <c r="N112" s="19"/>
      <c r="O112" s="19"/>
      <c r="P112" s="19"/>
    </row>
    <row r="113" spans="2:19" hidden="1" x14ac:dyDescent="0.35">
      <c r="B113" s="59">
        <v>11</v>
      </c>
      <c r="C113" s="22" t="s">
        <v>582</v>
      </c>
      <c r="D113" s="22"/>
      <c r="E113" s="22"/>
      <c r="F113" s="22"/>
      <c r="G113" s="22"/>
      <c r="H113" s="19"/>
      <c r="I113" s="19"/>
      <c r="J113" s="19"/>
      <c r="K113" s="19"/>
      <c r="L113" s="19"/>
      <c r="M113" s="19"/>
      <c r="N113" s="19"/>
      <c r="O113" s="19"/>
      <c r="P113" s="19"/>
    </row>
    <row r="114" spans="2:19" hidden="1" x14ac:dyDescent="0.35">
      <c r="B114" s="58"/>
      <c r="C114" s="23"/>
      <c r="D114" s="23"/>
      <c r="E114" s="23"/>
      <c r="F114" s="23"/>
      <c r="G114" s="23"/>
      <c r="H114" s="19"/>
      <c r="I114" s="19"/>
      <c r="J114" s="19"/>
      <c r="K114" s="19"/>
      <c r="L114" s="19"/>
      <c r="M114" s="19"/>
      <c r="N114" s="19"/>
      <c r="O114" s="19"/>
      <c r="P114" s="19"/>
    </row>
    <row r="115" spans="2:19" hidden="1" x14ac:dyDescent="0.35">
      <c r="P115" s="19"/>
    </row>
    <row r="116" spans="2:19" hidden="1" x14ac:dyDescent="0.35">
      <c r="C116" s="2057" t="s">
        <v>583</v>
      </c>
      <c r="D116" s="2057"/>
      <c r="E116" s="2057"/>
      <c r="F116" s="2057"/>
      <c r="G116" s="2057"/>
      <c r="P116" s="19"/>
    </row>
    <row r="117" spans="2:19" hidden="1" x14ac:dyDescent="0.35">
      <c r="C117" s="10" t="s">
        <v>584</v>
      </c>
    </row>
    <row r="119" spans="2:19" s="1" customFormat="1" ht="17.25" x14ac:dyDescent="0.4">
      <c r="B119" s="31"/>
      <c r="C119" s="60" t="s">
        <v>278</v>
      </c>
      <c r="D119" s="60"/>
      <c r="E119" s="60"/>
      <c r="F119" s="60"/>
      <c r="G119" s="5"/>
      <c r="H119" s="14"/>
      <c r="I119" s="13"/>
      <c r="J119" s="5"/>
      <c r="K119" s="5"/>
      <c r="L119" s="5"/>
      <c r="M119" s="5"/>
      <c r="N119" s="5"/>
      <c r="O119" s="5"/>
    </row>
    <row r="120" spans="2:19" s="1" customFormat="1" ht="17.25" x14ac:dyDescent="0.4">
      <c r="B120" s="31"/>
      <c r="C120" s="60"/>
      <c r="D120" s="60"/>
      <c r="E120" s="60"/>
      <c r="F120" s="60"/>
      <c r="G120" s="5"/>
      <c r="H120" s="14"/>
      <c r="I120" s="13"/>
      <c r="J120" s="5"/>
      <c r="K120" s="5"/>
      <c r="L120" s="5"/>
      <c r="M120" s="5"/>
      <c r="N120" s="5"/>
      <c r="O120" s="5"/>
    </row>
    <row r="121" spans="2:19" s="1" customFormat="1" ht="17.25" x14ac:dyDescent="0.4">
      <c r="B121" s="31"/>
      <c r="C121" s="60" t="s">
        <v>554</v>
      </c>
      <c r="D121" s="60"/>
      <c r="E121" s="60"/>
      <c r="F121" s="60"/>
      <c r="G121" s="60"/>
      <c r="H121" s="5"/>
      <c r="I121" s="5"/>
      <c r="J121" s="5"/>
      <c r="K121" s="14"/>
      <c r="L121" s="14"/>
      <c r="M121" s="13"/>
      <c r="N121" s="5"/>
      <c r="O121" s="5"/>
      <c r="P121" s="5"/>
      <c r="Q121" s="5"/>
      <c r="R121" s="5"/>
    </row>
    <row r="122" spans="2:19" s="1" customFormat="1" x14ac:dyDescent="0.4">
      <c r="B122" s="31"/>
      <c r="C122" s="8"/>
      <c r="D122" s="8"/>
      <c r="E122" s="8"/>
      <c r="F122" s="8"/>
      <c r="G122" s="8"/>
      <c r="H122" s="5"/>
      <c r="I122" s="5"/>
      <c r="J122" s="5"/>
      <c r="K122" s="14"/>
      <c r="L122" s="14"/>
      <c r="M122" s="13"/>
      <c r="N122" s="5"/>
      <c r="O122" s="5"/>
      <c r="P122" s="15" t="s">
        <v>110</v>
      </c>
      <c r="Q122" s="5"/>
      <c r="R122" s="5"/>
    </row>
    <row r="123" spans="2:19" ht="15" customHeight="1" x14ac:dyDescent="0.35">
      <c r="B123" s="1940" t="s">
        <v>555</v>
      </c>
      <c r="C123" s="1940" t="s">
        <v>556</v>
      </c>
      <c r="D123" s="98" t="s">
        <v>196</v>
      </c>
      <c r="E123" s="98" t="s">
        <v>197</v>
      </c>
      <c r="F123" s="98" t="s">
        <v>198</v>
      </c>
      <c r="G123" s="98" t="s">
        <v>199</v>
      </c>
      <c r="H123" s="358" t="s">
        <v>112</v>
      </c>
      <c r="I123" s="358" t="s">
        <v>113</v>
      </c>
      <c r="J123" s="358" t="s">
        <v>114</v>
      </c>
      <c r="K123" s="1934" t="s">
        <v>1019</v>
      </c>
      <c r="L123" s="1935"/>
      <c r="M123" s="1935"/>
      <c r="N123" s="1935"/>
      <c r="O123" s="1936"/>
      <c r="P123" s="1938" t="s">
        <v>116</v>
      </c>
      <c r="Q123" s="17"/>
      <c r="R123" s="17"/>
      <c r="S123" s="17"/>
    </row>
    <row r="124" spans="2:19" ht="27" x14ac:dyDescent="0.35">
      <c r="B124" s="1940"/>
      <c r="C124" s="1940"/>
      <c r="D124" s="1934" t="s">
        <v>117</v>
      </c>
      <c r="E124" s="1935"/>
      <c r="F124" s="1935"/>
      <c r="G124" s="1935"/>
      <c r="H124" s="1935"/>
      <c r="I124" s="1936"/>
      <c r="J124" s="217" t="s">
        <v>121</v>
      </c>
      <c r="K124" s="217" t="s">
        <v>123</v>
      </c>
      <c r="L124" s="217" t="s">
        <v>124</v>
      </c>
      <c r="M124" s="217" t="s">
        <v>125</v>
      </c>
      <c r="N124" s="217" t="s">
        <v>126</v>
      </c>
      <c r="O124" s="217" t="s">
        <v>127</v>
      </c>
      <c r="P124" s="1983"/>
      <c r="Q124" s="18"/>
      <c r="R124" s="18"/>
      <c r="S124" s="18"/>
    </row>
    <row r="125" spans="2:19" x14ac:dyDescent="0.4">
      <c r="B125" s="58">
        <v>1</v>
      </c>
      <c r="C125" s="21" t="s">
        <v>558</v>
      </c>
      <c r="D125" s="791"/>
      <c r="E125" s="791"/>
      <c r="F125" s="791"/>
      <c r="G125" s="791"/>
      <c r="H125" s="675"/>
      <c r="I125" s="675"/>
      <c r="J125" s="675"/>
      <c r="K125" s="675"/>
      <c r="L125" s="675"/>
      <c r="M125" s="675"/>
      <c r="N125" s="675"/>
      <c r="O125" s="675"/>
      <c r="P125" s="675"/>
      <c r="Q125" s="18"/>
      <c r="R125" s="18"/>
      <c r="S125" s="18"/>
    </row>
    <row r="126" spans="2:19" x14ac:dyDescent="0.4">
      <c r="B126" s="58">
        <f>B125+1</f>
        <v>2</v>
      </c>
      <c r="C126" s="21" t="s">
        <v>559</v>
      </c>
      <c r="D126" s="791"/>
      <c r="E126" s="791"/>
      <c r="F126" s="791"/>
      <c r="G126" s="791"/>
      <c r="H126" s="675"/>
      <c r="I126" s="675"/>
      <c r="J126" s="675"/>
      <c r="K126" s="675"/>
      <c r="L126" s="675"/>
      <c r="M126" s="675"/>
      <c r="N126" s="675"/>
      <c r="O126" s="675"/>
      <c r="P126" s="675"/>
      <c r="Q126" s="18"/>
      <c r="R126" s="18"/>
      <c r="S126" s="18"/>
    </row>
    <row r="127" spans="2:19" x14ac:dyDescent="0.4">
      <c r="B127" s="58">
        <f t="shared" ref="B127:B132" si="12">B126+1</f>
        <v>3</v>
      </c>
      <c r="C127" s="21" t="s">
        <v>560</v>
      </c>
      <c r="D127" s="1213">
        <v>0</v>
      </c>
      <c r="E127" s="1213">
        <f>+D131</f>
        <v>0.49872161325000003</v>
      </c>
      <c r="F127" s="1213">
        <f t="shared" ref="F127:O127" si="13">+E131</f>
        <v>1.2924431588929539</v>
      </c>
      <c r="G127" s="1213">
        <f t="shared" si="13"/>
        <v>1.0951753066398797</v>
      </c>
      <c r="H127" s="1213">
        <f t="shared" si="13"/>
        <v>1.0917172178285006</v>
      </c>
      <c r="I127" s="1213">
        <f t="shared" si="13"/>
        <v>1.7226464406491144</v>
      </c>
      <c r="J127" s="1213">
        <f t="shared" si="13"/>
        <v>1.4727635954447866</v>
      </c>
      <c r="K127" s="1213">
        <f t="shared" si="13"/>
        <v>1.2014694695824635</v>
      </c>
      <c r="L127" s="1213">
        <f t="shared" si="13"/>
        <v>1.0832492633662938</v>
      </c>
      <c r="M127" s="1213">
        <f t="shared" si="13"/>
        <v>1.0404350876768365</v>
      </c>
      <c r="N127" s="1213">
        <f t="shared" si="13"/>
        <v>1.0444931015744392</v>
      </c>
      <c r="O127" s="1213">
        <f t="shared" si="13"/>
        <v>1.1355568375283152</v>
      </c>
      <c r="P127" s="675"/>
      <c r="Q127" s="18"/>
      <c r="R127" s="18"/>
      <c r="S127" s="18"/>
    </row>
    <row r="128" spans="2:19" x14ac:dyDescent="0.4">
      <c r="B128" s="58">
        <f t="shared" si="12"/>
        <v>4</v>
      </c>
      <c r="C128" s="21" t="s">
        <v>561</v>
      </c>
      <c r="D128" s="1213"/>
      <c r="E128" s="1213"/>
      <c r="F128" s="1213"/>
      <c r="G128" s="1213"/>
      <c r="H128" s="676"/>
      <c r="I128" s="676"/>
      <c r="J128" s="676"/>
      <c r="K128" s="676"/>
      <c r="L128" s="676"/>
      <c r="M128" s="676"/>
      <c r="N128" s="676"/>
      <c r="O128" s="676"/>
      <c r="P128" s="675"/>
      <c r="Q128" s="18"/>
      <c r="R128" s="18"/>
      <c r="S128" s="18"/>
    </row>
    <row r="129" spans="2:19" x14ac:dyDescent="0.4">
      <c r="B129" s="58">
        <f t="shared" si="12"/>
        <v>5</v>
      </c>
      <c r="C129" s="21" t="s">
        <v>562</v>
      </c>
      <c r="D129" s="1213">
        <f>+'F4'!D28*70%</f>
        <v>0.53613948325000005</v>
      </c>
      <c r="E129" s="1213">
        <f>+'F4'!E28*70%</f>
        <v>0.88804050924640276</v>
      </c>
      <c r="F129" s="1213">
        <f>+'F4'!F28*70%</f>
        <v>7.2246383999999995E-3</v>
      </c>
      <c r="G129" s="1213">
        <f>+'F4'!G28*70%</f>
        <v>0.21438510029999999</v>
      </c>
      <c r="H129" s="1213">
        <f>+'F4'!H28*70%</f>
        <v>0.85989707930000003</v>
      </c>
      <c r="I129" s="1213">
        <f>+'F4'!I28*70%</f>
        <v>3.2935579249999992E-2</v>
      </c>
      <c r="J129" s="1213">
        <f>+'F4'!J28*70%</f>
        <v>1.4597649499999999E-2</v>
      </c>
      <c r="K129" s="1213">
        <f>+'F4'!K28*70%</f>
        <v>7.5586E-2</v>
      </c>
      <c r="L129" s="1213">
        <f>+'F4'!L28*70%</f>
        <v>0.15359574999999998</v>
      </c>
      <c r="M129" s="1213">
        <f>+'F4'!M28*70%</f>
        <v>0.20641382999999999</v>
      </c>
      <c r="N129" s="1213">
        <f>+'F4'!N28*70%</f>
        <v>0.30287256999999995</v>
      </c>
      <c r="O129" s="1213">
        <f>+'F4'!O28*70%</f>
        <v>0.31607113999999997</v>
      </c>
      <c r="P129" s="675"/>
      <c r="Q129" s="18"/>
      <c r="R129" s="18"/>
      <c r="S129" s="18"/>
    </row>
    <row r="130" spans="2:19" x14ac:dyDescent="0.4">
      <c r="B130" s="58">
        <f t="shared" si="12"/>
        <v>6</v>
      </c>
      <c r="C130" s="21" t="s">
        <v>563</v>
      </c>
      <c r="D130" s="1213">
        <f>+'ARR-Summary'!E51</f>
        <v>3.7417869999999999E-2</v>
      </c>
      <c r="E130" s="1213">
        <f>+'ARR-Summary'!F51</f>
        <v>9.431896360344888E-2</v>
      </c>
      <c r="F130" s="1213">
        <f>+'ARR-Summary'!G51</f>
        <v>0.20449249065307429</v>
      </c>
      <c r="G130" s="1213">
        <f>+'ARR-Summary'!H51</f>
        <v>0.21784318911137904</v>
      </c>
      <c r="H130" s="1213">
        <f>+'ARR-Summary'!I51</f>
        <v>0.22896785647938628</v>
      </c>
      <c r="I130" s="1213">
        <f>+'ARR-Summary'!J51</f>
        <v>0.28281842445432775</v>
      </c>
      <c r="J130" s="1213">
        <f>+'ARR-Summary'!K51</f>
        <v>0.28589177536232302</v>
      </c>
      <c r="K130" s="1213">
        <f>+'ARR-Summary'!L51</f>
        <v>0.19380620621616954</v>
      </c>
      <c r="L130" s="1213">
        <f>+'ARR-Summary'!M51</f>
        <v>0.19640992568945725</v>
      </c>
      <c r="M130" s="1213">
        <f>+'ARR-Summary'!N51</f>
        <v>0.20235581610239717</v>
      </c>
      <c r="N130" s="1213">
        <f>+'ARR-Summary'!O51</f>
        <v>0.21180883404612388</v>
      </c>
      <c r="O130" s="1213">
        <f>+'ARR-Summary'!P51</f>
        <v>0.2304308164761239</v>
      </c>
      <c r="P130" s="675"/>
      <c r="Q130" s="18"/>
      <c r="R130" s="18"/>
      <c r="S130" s="18"/>
    </row>
    <row r="131" spans="2:19" x14ac:dyDescent="0.4">
      <c r="B131" s="58">
        <f t="shared" si="12"/>
        <v>7</v>
      </c>
      <c r="C131" s="21" t="s">
        <v>564</v>
      </c>
      <c r="D131" s="1213">
        <f t="shared" ref="D131:O131" si="14">+D127-D128+D129-D130</f>
        <v>0.49872161325000003</v>
      </c>
      <c r="E131" s="1213">
        <f t="shared" si="14"/>
        <v>1.2924431588929539</v>
      </c>
      <c r="F131" s="1213">
        <f t="shared" si="14"/>
        <v>1.0951753066398797</v>
      </c>
      <c r="G131" s="1213">
        <f t="shared" si="14"/>
        <v>1.0917172178285006</v>
      </c>
      <c r="H131" s="1213">
        <f t="shared" si="14"/>
        <v>1.7226464406491144</v>
      </c>
      <c r="I131" s="1213">
        <f t="shared" si="14"/>
        <v>1.4727635954447866</v>
      </c>
      <c r="J131" s="1213">
        <f t="shared" si="14"/>
        <v>1.2014694695824635</v>
      </c>
      <c r="K131" s="1213">
        <f t="shared" si="14"/>
        <v>1.0832492633662938</v>
      </c>
      <c r="L131" s="1213">
        <f t="shared" si="14"/>
        <v>1.0404350876768365</v>
      </c>
      <c r="M131" s="1213">
        <f t="shared" si="14"/>
        <v>1.0444931015744392</v>
      </c>
      <c r="N131" s="1213">
        <f t="shared" si="14"/>
        <v>1.1355568375283152</v>
      </c>
      <c r="O131" s="1213">
        <f t="shared" si="14"/>
        <v>1.2211971610521912</v>
      </c>
      <c r="P131" s="675"/>
      <c r="Q131" s="18"/>
      <c r="R131" s="18"/>
      <c r="S131" s="18"/>
    </row>
    <row r="132" spans="2:19" x14ac:dyDescent="0.4">
      <c r="B132" s="58">
        <f t="shared" si="12"/>
        <v>8</v>
      </c>
      <c r="C132" s="21" t="s">
        <v>565</v>
      </c>
      <c r="D132" s="1213"/>
      <c r="E132" s="1213"/>
      <c r="F132" s="1213"/>
      <c r="G132" s="1213"/>
      <c r="H132" s="676"/>
      <c r="I132" s="676"/>
      <c r="J132" s="676"/>
      <c r="K132" s="676"/>
      <c r="L132" s="676"/>
      <c r="M132" s="676"/>
      <c r="N132" s="676"/>
      <c r="O132" s="676"/>
      <c r="P132" s="675"/>
      <c r="Q132" s="18"/>
      <c r="R132" s="18"/>
      <c r="S132" s="18"/>
    </row>
    <row r="133" spans="2:19" x14ac:dyDescent="0.4">
      <c r="B133" s="58">
        <v>9</v>
      </c>
      <c r="C133" s="21" t="s">
        <v>566</v>
      </c>
      <c r="D133" s="1213">
        <f>AVERAGE(D127,D131)</f>
        <v>0.24936080662500001</v>
      </c>
      <c r="E133" s="1213">
        <f t="shared" ref="E133:O133" si="15">AVERAGE(E127,E131)</f>
        <v>0.895582386071477</v>
      </c>
      <c r="F133" s="1213">
        <f t="shared" si="15"/>
        <v>1.1938092327664167</v>
      </c>
      <c r="G133" s="1213">
        <f t="shared" si="15"/>
        <v>1.0934462622341901</v>
      </c>
      <c r="H133" s="1213">
        <f t="shared" si="15"/>
        <v>1.4071818292388074</v>
      </c>
      <c r="I133" s="1213">
        <f t="shared" si="15"/>
        <v>1.5977050180469505</v>
      </c>
      <c r="J133" s="1213">
        <f t="shared" si="15"/>
        <v>1.3371165325136252</v>
      </c>
      <c r="K133" s="1213">
        <f t="shared" si="15"/>
        <v>1.1423593664743787</v>
      </c>
      <c r="L133" s="1213">
        <f t="shared" si="15"/>
        <v>1.0618421755215652</v>
      </c>
      <c r="M133" s="1213">
        <f t="shared" si="15"/>
        <v>1.0424640946256378</v>
      </c>
      <c r="N133" s="1213">
        <f t="shared" si="15"/>
        <v>1.0900249695513771</v>
      </c>
      <c r="O133" s="1213">
        <f t="shared" si="15"/>
        <v>1.1783769992902533</v>
      </c>
      <c r="P133" s="675"/>
      <c r="Q133" s="18"/>
      <c r="R133" s="18"/>
      <c r="S133" s="18"/>
    </row>
    <row r="134" spans="2:19" ht="15.75" x14ac:dyDescent="0.5">
      <c r="B134" s="58">
        <v>10</v>
      </c>
      <c r="C134" s="97" t="s">
        <v>567</v>
      </c>
      <c r="D134" s="1217">
        <f>+Assum!E53</f>
        <v>0.11164835164835164</v>
      </c>
      <c r="E134" s="1217">
        <f>+Assum!F53</f>
        <v>0.11071857923497269</v>
      </c>
      <c r="F134" s="1217">
        <f>+Assum!G53</f>
        <v>0.10450547945205479</v>
      </c>
      <c r="G134" s="1217">
        <f>+Assum!H53</f>
        <v>9.9056164383561657E-2</v>
      </c>
      <c r="H134" s="1217">
        <f>+Assum!I53</f>
        <v>9.9056164383561657E-2</v>
      </c>
      <c r="I134" s="1217">
        <f>+Assum!J53</f>
        <v>9.9056164383561657E-2</v>
      </c>
      <c r="J134" s="1217">
        <f>+Assum!K53</f>
        <v>9.9056164383561657E-2</v>
      </c>
      <c r="K134" s="1217">
        <f>+Assum!L53</f>
        <v>9.9056164383561657E-2</v>
      </c>
      <c r="L134" s="1217">
        <f>+Assum!M53</f>
        <v>9.9056164383561657E-2</v>
      </c>
      <c r="M134" s="1217">
        <f>+Assum!N53</f>
        <v>9.9056164383561657E-2</v>
      </c>
      <c r="N134" s="1217">
        <f>+Assum!O53</f>
        <v>9.9056164383561657E-2</v>
      </c>
      <c r="O134" s="1217">
        <f>+Assum!P53</f>
        <v>9.9056164383561657E-2</v>
      </c>
      <c r="P134" s="675"/>
      <c r="Q134" s="18"/>
      <c r="R134" s="18"/>
      <c r="S134" s="18"/>
    </row>
    <row r="135" spans="2:19" ht="15.75" x14ac:dyDescent="0.5">
      <c r="B135" s="58">
        <v>11</v>
      </c>
      <c r="C135" s="97" t="s">
        <v>568</v>
      </c>
      <c r="D135" s="1214">
        <f t="shared" ref="D135:O135" si="16">+D133*D134</f>
        <v>2.7840723025384616E-2</v>
      </c>
      <c r="E135" s="1214">
        <f t="shared" si="16"/>
        <v>9.9157609373700731E-2</v>
      </c>
      <c r="F135" s="1214">
        <f t="shared" si="16"/>
        <v>0.12475960624454406</v>
      </c>
      <c r="G135" s="1214">
        <f t="shared" si="16"/>
        <v>0.108312592696461</v>
      </c>
      <c r="H135" s="1214">
        <f t="shared" si="16"/>
        <v>0.13939003459464031</v>
      </c>
      <c r="I135" s="1214">
        <f t="shared" si="16"/>
        <v>0.15826253090410008</v>
      </c>
      <c r="J135" s="1214">
        <f t="shared" si="16"/>
        <v>0.13244963504464763</v>
      </c>
      <c r="K135" s="1214">
        <f t="shared" si="16"/>
        <v>0.11315773719058742</v>
      </c>
      <c r="L135" s="1214">
        <f t="shared" si="16"/>
        <v>0.1051820130878629</v>
      </c>
      <c r="M135" s="1214">
        <f t="shared" si="16"/>
        <v>0.10326249472119796</v>
      </c>
      <c r="N135" s="1214">
        <f t="shared" si="16"/>
        <v>0.10797369256606799</v>
      </c>
      <c r="O135" s="1214">
        <f t="shared" si="16"/>
        <v>0.11672550574750346</v>
      </c>
      <c r="P135" s="675"/>
      <c r="Q135" s="18"/>
      <c r="R135" s="18"/>
      <c r="S135" s="18"/>
    </row>
    <row r="136" spans="2:19" x14ac:dyDescent="0.4">
      <c r="B136" s="58">
        <v>12</v>
      </c>
      <c r="C136" s="21" t="s">
        <v>569</v>
      </c>
      <c r="D136" s="1213"/>
      <c r="E136" s="1213"/>
      <c r="F136" s="1213"/>
      <c r="G136" s="1213"/>
      <c r="H136" s="676"/>
      <c r="I136" s="676"/>
      <c r="J136" s="676"/>
      <c r="K136" s="676"/>
      <c r="L136" s="676"/>
      <c r="M136" s="676"/>
      <c r="N136" s="676"/>
      <c r="O136" s="676"/>
      <c r="P136" s="675"/>
      <c r="Q136" s="18"/>
      <c r="R136" s="18"/>
      <c r="S136" s="18"/>
    </row>
    <row r="137" spans="2:19" x14ac:dyDescent="0.35">
      <c r="B137" s="59">
        <v>13</v>
      </c>
      <c r="C137" s="20" t="s">
        <v>570</v>
      </c>
      <c r="D137" s="1215">
        <f t="shared" ref="D137:O137" si="17">+D135+D136</f>
        <v>2.7840723025384616E-2</v>
      </c>
      <c r="E137" s="1215">
        <f t="shared" si="17"/>
        <v>9.9157609373700731E-2</v>
      </c>
      <c r="F137" s="1215">
        <f t="shared" si="17"/>
        <v>0.12475960624454406</v>
      </c>
      <c r="G137" s="1215">
        <f t="shared" si="17"/>
        <v>0.108312592696461</v>
      </c>
      <c r="H137" s="1215">
        <f t="shared" si="17"/>
        <v>0.13939003459464031</v>
      </c>
      <c r="I137" s="1215">
        <f t="shared" si="17"/>
        <v>0.15826253090410008</v>
      </c>
      <c r="J137" s="1215">
        <f t="shared" si="17"/>
        <v>0.13244963504464763</v>
      </c>
      <c r="K137" s="1215">
        <f t="shared" si="17"/>
        <v>0.11315773719058742</v>
      </c>
      <c r="L137" s="1215">
        <f t="shared" si="17"/>
        <v>0.1051820130878629</v>
      </c>
      <c r="M137" s="1215">
        <f t="shared" si="17"/>
        <v>0.10326249472119796</v>
      </c>
      <c r="N137" s="1215">
        <f t="shared" si="17"/>
        <v>0.10797369256606799</v>
      </c>
      <c r="O137" s="1215">
        <f t="shared" si="17"/>
        <v>0.11672550574750346</v>
      </c>
      <c r="P137" s="1212"/>
      <c r="Q137" s="18"/>
      <c r="R137" s="18"/>
      <c r="S137" s="18"/>
    </row>
    <row r="138" spans="2:19" s="1" customFormat="1" x14ac:dyDescent="0.4">
      <c r="B138" s="31"/>
      <c r="C138" s="8"/>
      <c r="D138" s="8"/>
      <c r="E138" s="8"/>
      <c r="F138" s="8"/>
      <c r="G138" s="8"/>
      <c r="H138" s="5"/>
      <c r="I138" s="5"/>
      <c r="J138" s="5"/>
      <c r="K138" s="14"/>
      <c r="L138" s="14"/>
      <c r="M138" s="13"/>
      <c r="N138" s="5"/>
      <c r="O138" s="5"/>
      <c r="P138" s="5"/>
      <c r="Q138" s="5"/>
      <c r="R138" s="5"/>
    </row>
    <row r="139" spans="2:19" ht="17.25" hidden="1" x14ac:dyDescent="0.35">
      <c r="C139" s="60" t="s">
        <v>571</v>
      </c>
      <c r="D139" s="60"/>
      <c r="E139" s="60"/>
      <c r="F139" s="60"/>
      <c r="G139" s="60"/>
    </row>
    <row r="140" spans="2:19" hidden="1" x14ac:dyDescent="0.35">
      <c r="P140" s="15" t="s">
        <v>110</v>
      </c>
      <c r="R140" s="15"/>
    </row>
    <row r="141" spans="2:19" ht="15" hidden="1" customHeight="1" x14ac:dyDescent="0.35">
      <c r="B141" s="1940" t="s">
        <v>555</v>
      </c>
      <c r="C141" s="1940" t="s">
        <v>556</v>
      </c>
      <c r="D141" s="98" t="s">
        <v>196</v>
      </c>
      <c r="E141" s="98" t="s">
        <v>197</v>
      </c>
      <c r="F141" s="98" t="s">
        <v>198</v>
      </c>
      <c r="G141" s="98" t="s">
        <v>199</v>
      </c>
      <c r="H141" s="358" t="s">
        <v>112</v>
      </c>
      <c r="I141" s="358" t="s">
        <v>113</v>
      </c>
      <c r="J141" s="358" t="s">
        <v>114</v>
      </c>
      <c r="K141" s="1934" t="s">
        <v>1019</v>
      </c>
      <c r="L141" s="1935"/>
      <c r="M141" s="1935"/>
      <c r="N141" s="1935"/>
      <c r="O141" s="1936"/>
      <c r="P141" s="1938" t="s">
        <v>116</v>
      </c>
      <c r="Q141" s="17"/>
      <c r="R141" s="17"/>
      <c r="S141" s="17"/>
    </row>
    <row r="142" spans="2:19" ht="27" hidden="1" x14ac:dyDescent="0.35">
      <c r="B142" s="1940"/>
      <c r="C142" s="1940"/>
      <c r="D142" s="1934" t="s">
        <v>117</v>
      </c>
      <c r="E142" s="1935"/>
      <c r="F142" s="1935"/>
      <c r="G142" s="1935"/>
      <c r="H142" s="1935"/>
      <c r="I142" s="1936"/>
      <c r="J142" s="217" t="s">
        <v>121</v>
      </c>
      <c r="K142" s="217" t="s">
        <v>123</v>
      </c>
      <c r="L142" s="217" t="s">
        <v>124</v>
      </c>
      <c r="M142" s="217" t="s">
        <v>125</v>
      </c>
      <c r="N142" s="217" t="s">
        <v>126</v>
      </c>
      <c r="O142" s="217" t="s">
        <v>127</v>
      </c>
      <c r="P142" s="1983"/>
      <c r="Q142" s="18"/>
      <c r="R142" s="18"/>
      <c r="S142" s="18"/>
    </row>
    <row r="143" spans="2:19" hidden="1" x14ac:dyDescent="0.35">
      <c r="B143" s="59">
        <v>1</v>
      </c>
      <c r="C143" s="20" t="s">
        <v>572</v>
      </c>
      <c r="D143" s="20"/>
      <c r="E143" s="20"/>
      <c r="F143" s="20"/>
      <c r="G143" s="20"/>
      <c r="H143" s="19"/>
      <c r="I143" s="19"/>
      <c r="J143" s="19"/>
      <c r="K143" s="19"/>
      <c r="L143" s="19"/>
      <c r="M143" s="19"/>
      <c r="N143" s="19"/>
      <c r="O143" s="19"/>
      <c r="P143" s="19"/>
      <c r="Q143" s="18"/>
      <c r="R143" s="18"/>
      <c r="S143" s="18"/>
    </row>
    <row r="144" spans="2:19" hidden="1" x14ac:dyDescent="0.4">
      <c r="B144" s="58">
        <v>1.1000000000000001</v>
      </c>
      <c r="C144" s="35" t="s">
        <v>573</v>
      </c>
      <c r="D144" s="21"/>
      <c r="E144" s="21"/>
      <c r="F144" s="21"/>
      <c r="G144" s="21"/>
      <c r="H144" s="19"/>
      <c r="I144" s="19"/>
      <c r="J144" s="19"/>
      <c r="K144" s="19"/>
      <c r="L144" s="19"/>
      <c r="M144" s="19"/>
      <c r="N144" s="19"/>
      <c r="O144" s="19"/>
      <c r="P144" s="19"/>
      <c r="Q144" s="18"/>
      <c r="R144" s="18"/>
      <c r="S144" s="18"/>
    </row>
    <row r="145" spans="2:19" hidden="1" x14ac:dyDescent="0.4">
      <c r="B145" s="58">
        <f t="shared" ref="B145:B151" si="18">B144+0.1</f>
        <v>1.2000000000000002</v>
      </c>
      <c r="C145" s="35" t="s">
        <v>561</v>
      </c>
      <c r="D145" s="21"/>
      <c r="E145" s="21"/>
      <c r="F145" s="21"/>
      <c r="G145" s="21"/>
      <c r="H145" s="19"/>
      <c r="I145" s="19"/>
      <c r="J145" s="19"/>
      <c r="K145" s="19"/>
      <c r="L145" s="19"/>
      <c r="M145" s="19"/>
      <c r="N145" s="19"/>
      <c r="O145" s="19"/>
      <c r="P145" s="19"/>
      <c r="Q145" s="18"/>
      <c r="R145" s="18"/>
      <c r="S145" s="18"/>
    </row>
    <row r="146" spans="2:19" hidden="1" x14ac:dyDescent="0.4">
      <c r="B146" s="58">
        <f t="shared" si="18"/>
        <v>1.3000000000000003</v>
      </c>
      <c r="C146" s="35" t="s">
        <v>574</v>
      </c>
      <c r="D146" s="21"/>
      <c r="E146" s="21"/>
      <c r="F146" s="21"/>
      <c r="G146" s="21"/>
      <c r="H146" s="19"/>
      <c r="I146" s="19"/>
      <c r="J146" s="19"/>
      <c r="K146" s="19"/>
      <c r="L146" s="19"/>
      <c r="M146" s="19"/>
      <c r="N146" s="19"/>
      <c r="O146" s="19"/>
      <c r="P146" s="19"/>
      <c r="Q146" s="18"/>
      <c r="R146" s="18"/>
      <c r="S146" s="18"/>
    </row>
    <row r="147" spans="2:19" hidden="1" x14ac:dyDescent="0.4">
      <c r="B147" s="58">
        <f t="shared" si="18"/>
        <v>1.4000000000000004</v>
      </c>
      <c r="C147" s="35" t="s">
        <v>575</v>
      </c>
      <c r="D147" s="21"/>
      <c r="E147" s="21"/>
      <c r="F147" s="21"/>
      <c r="G147" s="21"/>
      <c r="H147" s="19"/>
      <c r="I147" s="19"/>
      <c r="J147" s="19"/>
      <c r="K147" s="19"/>
      <c r="L147" s="19"/>
      <c r="M147" s="19"/>
      <c r="N147" s="19"/>
      <c r="O147" s="19"/>
      <c r="P147" s="19"/>
      <c r="Q147" s="18"/>
      <c r="R147" s="18"/>
      <c r="S147" s="18"/>
    </row>
    <row r="148" spans="2:19" hidden="1" x14ac:dyDescent="0.4">
      <c r="B148" s="58">
        <f t="shared" si="18"/>
        <v>1.5000000000000004</v>
      </c>
      <c r="C148" s="35" t="s">
        <v>576</v>
      </c>
      <c r="D148" s="21"/>
      <c r="E148" s="21"/>
      <c r="F148" s="21"/>
      <c r="G148" s="21"/>
      <c r="H148" s="19"/>
      <c r="I148" s="19"/>
      <c r="J148" s="19"/>
      <c r="K148" s="19"/>
      <c r="L148" s="19"/>
      <c r="M148" s="19"/>
      <c r="N148" s="19"/>
      <c r="O148" s="19"/>
      <c r="P148" s="19"/>
      <c r="Q148" s="18"/>
      <c r="R148" s="18"/>
      <c r="S148" s="18"/>
    </row>
    <row r="149" spans="2:19" hidden="1" x14ac:dyDescent="0.4">
      <c r="B149" s="58">
        <f t="shared" si="18"/>
        <v>1.6000000000000005</v>
      </c>
      <c r="C149" s="35" t="s">
        <v>577</v>
      </c>
      <c r="D149" s="21"/>
      <c r="E149" s="21"/>
      <c r="F149" s="21"/>
      <c r="G149" s="21"/>
      <c r="H149" s="19"/>
      <c r="I149" s="19"/>
      <c r="J149" s="19"/>
      <c r="K149" s="19"/>
      <c r="L149" s="19"/>
      <c r="M149" s="19"/>
      <c r="N149" s="19"/>
      <c r="O149" s="19"/>
      <c r="P149" s="19"/>
      <c r="Q149" s="18"/>
      <c r="R149" s="18"/>
      <c r="S149" s="18"/>
    </row>
    <row r="150" spans="2:19" hidden="1" x14ac:dyDescent="0.4">
      <c r="B150" s="58">
        <f t="shared" si="18"/>
        <v>1.7000000000000006</v>
      </c>
      <c r="C150" s="35" t="s">
        <v>578</v>
      </c>
      <c r="D150" s="21"/>
      <c r="E150" s="21"/>
      <c r="F150" s="21"/>
      <c r="G150" s="21"/>
      <c r="H150" s="19"/>
      <c r="I150" s="19"/>
      <c r="J150" s="19"/>
      <c r="K150" s="19"/>
      <c r="L150" s="19"/>
      <c r="M150" s="19"/>
      <c r="N150" s="19"/>
      <c r="O150" s="19"/>
      <c r="P150" s="19"/>
      <c r="Q150" s="18"/>
      <c r="R150" s="18"/>
      <c r="S150" s="18"/>
    </row>
    <row r="151" spans="2:19" hidden="1" x14ac:dyDescent="0.4">
      <c r="B151" s="58">
        <f t="shared" si="18"/>
        <v>1.8000000000000007</v>
      </c>
      <c r="C151" s="35" t="s">
        <v>568</v>
      </c>
      <c r="D151" s="21"/>
      <c r="E151" s="21"/>
      <c r="F151" s="21"/>
      <c r="G151" s="21"/>
      <c r="H151" s="19"/>
      <c r="I151" s="19"/>
      <c r="J151" s="19"/>
      <c r="K151" s="19"/>
      <c r="L151" s="19"/>
      <c r="M151" s="19"/>
      <c r="N151" s="19"/>
      <c r="O151" s="19"/>
      <c r="P151" s="19"/>
      <c r="Q151" s="18"/>
      <c r="R151" s="18"/>
      <c r="S151" s="18"/>
    </row>
    <row r="152" spans="2:19" hidden="1" x14ac:dyDescent="0.4">
      <c r="B152" s="58"/>
      <c r="C152" s="35"/>
      <c r="D152" s="21"/>
      <c r="E152" s="21"/>
      <c r="F152" s="21"/>
      <c r="G152" s="21"/>
      <c r="H152" s="19"/>
      <c r="I152" s="19"/>
      <c r="J152" s="19"/>
      <c r="K152" s="19"/>
      <c r="L152" s="19"/>
      <c r="M152" s="19"/>
      <c r="N152" s="19"/>
      <c r="O152" s="19"/>
      <c r="P152" s="19"/>
      <c r="Q152" s="18"/>
      <c r="R152" s="18"/>
      <c r="S152" s="18"/>
    </row>
    <row r="153" spans="2:19" hidden="1" x14ac:dyDescent="0.35">
      <c r="B153" s="59">
        <v>2</v>
      </c>
      <c r="C153" s="20" t="s">
        <v>579</v>
      </c>
      <c r="D153" s="20"/>
      <c r="E153" s="20"/>
      <c r="F153" s="20"/>
      <c r="G153" s="20"/>
      <c r="H153" s="19"/>
      <c r="I153" s="19"/>
      <c r="J153" s="19"/>
      <c r="K153" s="19"/>
      <c r="L153" s="19"/>
      <c r="M153" s="19"/>
      <c r="N153" s="19"/>
      <c r="O153" s="19"/>
      <c r="P153" s="19"/>
      <c r="Q153" s="18"/>
      <c r="R153" s="18"/>
      <c r="S153" s="18"/>
    </row>
    <row r="154" spans="2:19" hidden="1" x14ac:dyDescent="0.4">
      <c r="B154" s="58">
        <f t="shared" ref="B154:B160" si="19">B153+0.1</f>
        <v>2.1</v>
      </c>
      <c r="C154" s="21" t="s">
        <v>573</v>
      </c>
      <c r="D154" s="21"/>
      <c r="E154" s="21"/>
      <c r="F154" s="21"/>
      <c r="G154" s="21"/>
      <c r="H154" s="19"/>
      <c r="I154" s="19"/>
      <c r="J154" s="19"/>
      <c r="K154" s="19"/>
      <c r="L154" s="19"/>
      <c r="M154" s="19"/>
      <c r="N154" s="19"/>
      <c r="O154" s="19"/>
      <c r="P154" s="19"/>
      <c r="Q154" s="18"/>
      <c r="R154" s="18"/>
      <c r="S154" s="18"/>
    </row>
    <row r="155" spans="2:19" hidden="1" x14ac:dyDescent="0.4">
      <c r="B155" s="58">
        <f t="shared" si="19"/>
        <v>2.2000000000000002</v>
      </c>
      <c r="C155" s="21" t="s">
        <v>561</v>
      </c>
      <c r="D155" s="21"/>
      <c r="E155" s="21"/>
      <c r="F155" s="21"/>
      <c r="G155" s="21"/>
      <c r="H155" s="19"/>
      <c r="I155" s="19"/>
      <c r="J155" s="19"/>
      <c r="K155" s="19"/>
      <c r="L155" s="19"/>
      <c r="M155" s="19"/>
      <c r="N155" s="19"/>
      <c r="O155" s="19"/>
      <c r="P155" s="19"/>
      <c r="Q155" s="18"/>
      <c r="R155" s="18"/>
      <c r="S155" s="18"/>
    </row>
    <row r="156" spans="2:19" hidden="1" x14ac:dyDescent="0.4">
      <c r="B156" s="58">
        <f t="shared" si="19"/>
        <v>2.3000000000000003</v>
      </c>
      <c r="C156" s="21" t="s">
        <v>575</v>
      </c>
      <c r="D156" s="21"/>
      <c r="E156" s="21"/>
      <c r="F156" s="21"/>
      <c r="G156" s="21"/>
      <c r="H156" s="19"/>
      <c r="I156" s="19"/>
      <c r="J156" s="19"/>
      <c r="K156" s="19"/>
      <c r="L156" s="19"/>
      <c r="M156" s="19"/>
      <c r="N156" s="19"/>
      <c r="O156" s="19"/>
      <c r="P156" s="19"/>
      <c r="Q156" s="18"/>
      <c r="R156" s="18"/>
      <c r="S156" s="18"/>
    </row>
    <row r="157" spans="2:19" hidden="1" x14ac:dyDescent="0.4">
      <c r="B157" s="58">
        <f t="shared" si="19"/>
        <v>2.4000000000000004</v>
      </c>
      <c r="C157" s="21" t="s">
        <v>576</v>
      </c>
      <c r="D157" s="21"/>
      <c r="E157" s="21"/>
      <c r="F157" s="21"/>
      <c r="G157" s="21"/>
      <c r="H157" s="19"/>
      <c r="I157" s="19"/>
      <c r="J157" s="19"/>
      <c r="K157" s="19"/>
      <c r="L157" s="19"/>
      <c r="M157" s="19"/>
      <c r="N157" s="19"/>
      <c r="O157" s="19"/>
      <c r="P157" s="19"/>
      <c r="Q157" s="18"/>
      <c r="R157" s="18"/>
      <c r="S157" s="18"/>
    </row>
    <row r="158" spans="2:19" hidden="1" x14ac:dyDescent="0.4">
      <c r="B158" s="58">
        <f t="shared" si="19"/>
        <v>2.5000000000000004</v>
      </c>
      <c r="C158" s="21" t="s">
        <v>577</v>
      </c>
      <c r="D158" s="21"/>
      <c r="E158" s="21"/>
      <c r="F158" s="21"/>
      <c r="G158" s="21"/>
      <c r="H158" s="19"/>
      <c r="I158" s="19"/>
      <c r="J158" s="19"/>
      <c r="K158" s="19"/>
      <c r="L158" s="19"/>
      <c r="M158" s="19"/>
      <c r="N158" s="19"/>
      <c r="O158" s="19"/>
      <c r="P158" s="19"/>
      <c r="Q158" s="18"/>
      <c r="R158" s="18"/>
      <c r="S158" s="18"/>
    </row>
    <row r="159" spans="2:19" hidden="1" x14ac:dyDescent="0.4">
      <c r="B159" s="58">
        <f t="shared" si="19"/>
        <v>2.6000000000000005</v>
      </c>
      <c r="C159" s="21" t="s">
        <v>578</v>
      </c>
      <c r="D159" s="21"/>
      <c r="E159" s="21"/>
      <c r="F159" s="21"/>
      <c r="G159" s="21"/>
      <c r="H159" s="19"/>
      <c r="I159" s="19"/>
      <c r="J159" s="19"/>
      <c r="K159" s="19"/>
      <c r="L159" s="19"/>
      <c r="M159" s="19"/>
      <c r="N159" s="19"/>
      <c r="O159" s="19"/>
      <c r="P159" s="19"/>
      <c r="Q159" s="18"/>
      <c r="R159" s="18"/>
      <c r="S159" s="18"/>
    </row>
    <row r="160" spans="2:19" hidden="1" x14ac:dyDescent="0.4">
      <c r="B160" s="58">
        <f t="shared" si="19"/>
        <v>2.7000000000000006</v>
      </c>
      <c r="C160" s="21" t="s">
        <v>568</v>
      </c>
      <c r="D160" s="21"/>
      <c r="E160" s="21"/>
      <c r="F160" s="21"/>
      <c r="G160" s="21"/>
      <c r="H160" s="19"/>
      <c r="I160" s="19"/>
      <c r="J160" s="19"/>
      <c r="K160" s="19"/>
      <c r="L160" s="19"/>
      <c r="M160" s="19"/>
      <c r="N160" s="19"/>
      <c r="O160" s="19"/>
      <c r="P160" s="19"/>
      <c r="Q160" s="18"/>
      <c r="R160" s="18"/>
      <c r="S160" s="18"/>
    </row>
    <row r="161" spans="2:19" hidden="1" x14ac:dyDescent="0.4">
      <c r="B161" s="58"/>
      <c r="C161" s="21"/>
      <c r="D161" s="21"/>
      <c r="E161" s="21"/>
      <c r="F161" s="21"/>
      <c r="G161" s="21"/>
      <c r="H161" s="19"/>
      <c r="I161" s="19"/>
      <c r="J161" s="19"/>
      <c r="K161" s="19"/>
      <c r="L161" s="19"/>
      <c r="M161" s="19"/>
      <c r="N161" s="19"/>
      <c r="O161" s="19"/>
      <c r="P161" s="19"/>
      <c r="Q161" s="18"/>
      <c r="R161" s="18"/>
      <c r="S161" s="18"/>
    </row>
    <row r="162" spans="2:19" hidden="1" x14ac:dyDescent="0.35">
      <c r="B162" s="59">
        <v>3</v>
      </c>
      <c r="C162" s="20" t="s">
        <v>580</v>
      </c>
      <c r="D162" s="20"/>
      <c r="E162" s="20"/>
      <c r="F162" s="20"/>
      <c r="G162" s="20"/>
      <c r="H162" s="19"/>
      <c r="I162" s="19"/>
      <c r="J162" s="19"/>
      <c r="K162" s="19"/>
      <c r="L162" s="19"/>
      <c r="M162" s="19"/>
      <c r="N162" s="19"/>
      <c r="O162" s="19"/>
      <c r="P162" s="19"/>
      <c r="Q162" s="18"/>
      <c r="R162" s="18"/>
      <c r="S162" s="18"/>
    </row>
    <row r="163" spans="2:19" hidden="1" x14ac:dyDescent="0.4">
      <c r="B163" s="58"/>
      <c r="C163" s="21" t="s">
        <v>239</v>
      </c>
      <c r="D163" s="21"/>
      <c r="E163" s="21"/>
      <c r="F163" s="21"/>
      <c r="G163" s="21"/>
      <c r="H163" s="19"/>
      <c r="I163" s="19"/>
      <c r="J163" s="19"/>
      <c r="K163" s="19"/>
      <c r="L163" s="19"/>
      <c r="M163" s="19"/>
      <c r="N163" s="19"/>
      <c r="O163" s="19"/>
      <c r="P163" s="19"/>
      <c r="Q163" s="18"/>
      <c r="R163" s="18"/>
      <c r="S163" s="18"/>
    </row>
    <row r="164" spans="2:19" hidden="1" x14ac:dyDescent="0.4">
      <c r="B164" s="58"/>
      <c r="C164" s="21" t="s">
        <v>239</v>
      </c>
      <c r="D164" s="21"/>
      <c r="E164" s="21"/>
      <c r="F164" s="21"/>
      <c r="G164" s="21"/>
      <c r="H164" s="19"/>
      <c r="I164" s="19"/>
      <c r="J164" s="19"/>
      <c r="K164" s="19"/>
      <c r="L164" s="19"/>
      <c r="M164" s="19"/>
      <c r="N164" s="19"/>
      <c r="O164" s="19"/>
      <c r="P164" s="19"/>
      <c r="Q164" s="18"/>
      <c r="R164" s="18"/>
      <c r="S164" s="18"/>
    </row>
    <row r="165" spans="2:19" hidden="1" x14ac:dyDescent="0.4">
      <c r="B165" s="58"/>
      <c r="C165" s="21" t="s">
        <v>239</v>
      </c>
      <c r="D165" s="21"/>
      <c r="E165" s="21"/>
      <c r="F165" s="21"/>
      <c r="G165" s="21"/>
      <c r="H165" s="19"/>
      <c r="I165" s="19"/>
      <c r="J165" s="19"/>
      <c r="K165" s="19"/>
      <c r="L165" s="19"/>
      <c r="M165" s="19"/>
      <c r="N165" s="19"/>
      <c r="O165" s="19"/>
      <c r="P165" s="19"/>
      <c r="Q165" s="18"/>
      <c r="R165" s="18"/>
      <c r="S165" s="18"/>
    </row>
    <row r="166" spans="2:19" hidden="1" x14ac:dyDescent="0.4">
      <c r="B166" s="58"/>
      <c r="C166" s="21"/>
      <c r="D166" s="21"/>
      <c r="E166" s="21"/>
      <c r="F166" s="21"/>
      <c r="G166" s="21"/>
      <c r="H166" s="19"/>
      <c r="I166" s="19"/>
      <c r="J166" s="19"/>
      <c r="K166" s="19"/>
      <c r="L166" s="19"/>
      <c r="M166" s="19"/>
      <c r="N166" s="19"/>
      <c r="O166" s="19"/>
      <c r="P166" s="19"/>
      <c r="Q166" s="18"/>
      <c r="R166" s="18"/>
      <c r="S166" s="18"/>
    </row>
    <row r="167" spans="2:19" hidden="1" x14ac:dyDescent="0.4">
      <c r="B167" s="59">
        <v>10</v>
      </c>
      <c r="C167" s="20" t="s">
        <v>164</v>
      </c>
      <c r="D167" s="20"/>
      <c r="E167" s="20"/>
      <c r="F167" s="20"/>
      <c r="G167" s="21"/>
      <c r="H167" s="19"/>
      <c r="I167" s="19"/>
      <c r="J167" s="19"/>
      <c r="K167" s="19"/>
      <c r="L167" s="19"/>
      <c r="M167" s="19"/>
      <c r="N167" s="19"/>
      <c r="O167" s="19"/>
      <c r="P167" s="19"/>
      <c r="Q167" s="18"/>
      <c r="R167" s="18"/>
      <c r="S167" s="18"/>
    </row>
    <row r="168" spans="2:19" hidden="1" x14ac:dyDescent="0.4">
      <c r="B168" s="58">
        <f t="shared" ref="B168:B174" si="20">B167+0.1</f>
        <v>10.1</v>
      </c>
      <c r="C168" s="21" t="s">
        <v>573</v>
      </c>
      <c r="D168" s="21"/>
      <c r="E168" s="21"/>
      <c r="F168" s="21"/>
      <c r="G168" s="21"/>
      <c r="H168" s="19"/>
      <c r="I168" s="19"/>
      <c r="J168" s="19"/>
      <c r="K168" s="19"/>
      <c r="L168" s="19"/>
      <c r="M168" s="19"/>
      <c r="N168" s="19"/>
      <c r="O168" s="19"/>
      <c r="P168" s="19"/>
      <c r="Q168" s="18"/>
      <c r="R168" s="18"/>
      <c r="S168" s="18"/>
    </row>
    <row r="169" spans="2:19" hidden="1" x14ac:dyDescent="0.4">
      <c r="B169" s="58">
        <f t="shared" si="20"/>
        <v>10.199999999999999</v>
      </c>
      <c r="C169" s="21" t="s">
        <v>561</v>
      </c>
      <c r="D169" s="21"/>
      <c r="E169" s="21"/>
      <c r="F169" s="21"/>
      <c r="G169" s="21"/>
      <c r="H169" s="19"/>
      <c r="I169" s="19"/>
      <c r="J169" s="19"/>
      <c r="K169" s="19"/>
      <c r="L169" s="19"/>
      <c r="M169" s="19"/>
      <c r="N169" s="19"/>
      <c r="O169" s="19"/>
      <c r="P169" s="19"/>
      <c r="Q169" s="18"/>
      <c r="R169" s="18"/>
      <c r="S169" s="18"/>
    </row>
    <row r="170" spans="2:19" hidden="1" x14ac:dyDescent="0.4">
      <c r="B170" s="58">
        <f t="shared" si="20"/>
        <v>10.299999999999999</v>
      </c>
      <c r="C170" s="21" t="s">
        <v>575</v>
      </c>
      <c r="D170" s="21"/>
      <c r="E170" s="21"/>
      <c r="F170" s="21"/>
      <c r="G170" s="21"/>
      <c r="H170" s="19"/>
      <c r="I170" s="19"/>
      <c r="J170" s="19"/>
      <c r="K170" s="19"/>
      <c r="L170" s="19"/>
      <c r="M170" s="19"/>
      <c r="N170" s="19"/>
      <c r="O170" s="19"/>
      <c r="P170" s="19"/>
      <c r="Q170" s="18"/>
      <c r="R170" s="18"/>
      <c r="S170" s="18"/>
    </row>
    <row r="171" spans="2:19" hidden="1" x14ac:dyDescent="0.4">
      <c r="B171" s="58">
        <f t="shared" si="20"/>
        <v>10.399999999999999</v>
      </c>
      <c r="C171" s="21" t="s">
        <v>576</v>
      </c>
      <c r="D171" s="21"/>
      <c r="E171" s="21"/>
      <c r="F171" s="21"/>
      <c r="G171" s="21"/>
      <c r="H171" s="19"/>
      <c r="I171" s="19"/>
      <c r="J171" s="19"/>
      <c r="K171" s="19"/>
      <c r="L171" s="19"/>
      <c r="M171" s="19"/>
      <c r="N171" s="19"/>
      <c r="O171" s="19"/>
      <c r="P171" s="19"/>
      <c r="Q171" s="18"/>
      <c r="R171" s="18"/>
      <c r="S171" s="18"/>
    </row>
    <row r="172" spans="2:19" hidden="1" x14ac:dyDescent="0.4">
      <c r="B172" s="58">
        <f t="shared" si="20"/>
        <v>10.499999999999998</v>
      </c>
      <c r="C172" s="21" t="s">
        <v>577</v>
      </c>
      <c r="D172" s="21"/>
      <c r="E172" s="21"/>
      <c r="F172" s="21"/>
      <c r="G172" s="21"/>
      <c r="H172" s="19"/>
      <c r="I172" s="19"/>
      <c r="J172" s="19"/>
      <c r="K172" s="19"/>
      <c r="L172" s="19"/>
      <c r="M172" s="19"/>
      <c r="N172" s="19"/>
      <c r="O172" s="19"/>
      <c r="P172" s="19"/>
      <c r="Q172" s="18"/>
      <c r="R172" s="18"/>
      <c r="S172" s="18"/>
    </row>
    <row r="173" spans="2:19" hidden="1" x14ac:dyDescent="0.4">
      <c r="B173" s="58">
        <f t="shared" si="20"/>
        <v>10.599999999999998</v>
      </c>
      <c r="C173" s="21" t="s">
        <v>578</v>
      </c>
      <c r="D173" s="21"/>
      <c r="E173" s="21"/>
      <c r="F173" s="21"/>
      <c r="G173" s="21"/>
      <c r="H173" s="19"/>
      <c r="I173" s="19"/>
      <c r="J173" s="19"/>
      <c r="K173" s="19"/>
      <c r="L173" s="19"/>
      <c r="M173" s="19"/>
      <c r="N173" s="19"/>
      <c r="O173" s="19"/>
      <c r="P173" s="19"/>
      <c r="Q173" s="18"/>
      <c r="R173" s="18"/>
      <c r="S173" s="18"/>
    </row>
    <row r="174" spans="2:19" hidden="1" x14ac:dyDescent="0.4">
      <c r="B174" s="58">
        <f t="shared" si="20"/>
        <v>10.699999999999998</v>
      </c>
      <c r="C174" s="21" t="s">
        <v>568</v>
      </c>
      <c r="D174" s="21"/>
      <c r="E174" s="21"/>
      <c r="F174" s="21"/>
      <c r="G174" s="21"/>
      <c r="H174" s="19"/>
      <c r="I174" s="19"/>
      <c r="J174" s="19"/>
      <c r="K174" s="19"/>
      <c r="L174" s="19"/>
      <c r="M174" s="19"/>
      <c r="N174" s="19"/>
      <c r="O174" s="19"/>
      <c r="P174" s="19"/>
      <c r="Q174" s="18"/>
      <c r="R174" s="18"/>
      <c r="S174" s="18"/>
    </row>
    <row r="175" spans="2:19" hidden="1" x14ac:dyDescent="0.4">
      <c r="B175" s="58"/>
      <c r="C175" s="21"/>
      <c r="D175" s="21"/>
      <c r="E175" s="21"/>
      <c r="F175" s="21"/>
      <c r="G175" s="21"/>
      <c r="H175" s="19"/>
      <c r="I175" s="19"/>
      <c r="J175" s="19"/>
      <c r="K175" s="19"/>
      <c r="L175" s="19"/>
      <c r="M175" s="19"/>
      <c r="N175" s="19"/>
      <c r="O175" s="19"/>
      <c r="P175" s="19"/>
      <c r="Q175" s="18"/>
      <c r="R175" s="18"/>
      <c r="S175" s="18"/>
    </row>
    <row r="176" spans="2:19" hidden="1" x14ac:dyDescent="0.4">
      <c r="B176" s="58"/>
      <c r="C176" s="21"/>
      <c r="D176" s="21"/>
      <c r="E176" s="21"/>
      <c r="F176" s="21"/>
      <c r="G176" s="21"/>
      <c r="H176" s="19"/>
      <c r="I176" s="19"/>
      <c r="J176" s="19"/>
      <c r="K176" s="19"/>
      <c r="L176" s="19"/>
      <c r="M176" s="19"/>
      <c r="N176" s="19"/>
      <c r="O176" s="19"/>
      <c r="P176" s="19"/>
      <c r="Q176" s="18"/>
      <c r="R176" s="18"/>
      <c r="S176" s="18"/>
    </row>
    <row r="177" spans="2:19" hidden="1" x14ac:dyDescent="0.35">
      <c r="B177" s="58">
        <v>9</v>
      </c>
      <c r="C177" s="20" t="s">
        <v>581</v>
      </c>
      <c r="D177" s="20"/>
      <c r="E177" s="20"/>
      <c r="F177" s="20"/>
      <c r="G177" s="20"/>
      <c r="H177" s="19"/>
      <c r="I177" s="19"/>
      <c r="J177" s="19"/>
      <c r="K177" s="22"/>
      <c r="L177" s="22"/>
      <c r="M177" s="22"/>
      <c r="N177" s="22"/>
      <c r="O177" s="22"/>
      <c r="P177" s="19"/>
      <c r="Q177" s="18"/>
      <c r="R177" s="18"/>
      <c r="S177" s="18"/>
    </row>
    <row r="178" spans="2:19" hidden="1" x14ac:dyDescent="0.4">
      <c r="B178" s="58">
        <v>10</v>
      </c>
      <c r="C178" s="2" t="s">
        <v>396</v>
      </c>
      <c r="D178" s="2"/>
      <c r="E178" s="2"/>
      <c r="F178" s="2"/>
      <c r="G178" s="2"/>
      <c r="H178" s="19"/>
      <c r="I178" s="19"/>
      <c r="J178" s="19"/>
      <c r="K178" s="19"/>
      <c r="L178" s="19"/>
      <c r="M178" s="19"/>
      <c r="N178" s="19"/>
      <c r="O178" s="19"/>
      <c r="P178" s="19"/>
      <c r="Q178" s="18"/>
      <c r="R178" s="18"/>
      <c r="S178" s="18"/>
    </row>
    <row r="179" spans="2:19" hidden="1" x14ac:dyDescent="0.35">
      <c r="B179" s="59">
        <v>11</v>
      </c>
      <c r="C179" s="22" t="s">
        <v>582</v>
      </c>
      <c r="D179" s="22"/>
      <c r="E179" s="22"/>
      <c r="F179" s="22"/>
      <c r="G179" s="22"/>
      <c r="H179" s="19"/>
      <c r="I179" s="19"/>
      <c r="J179" s="19"/>
      <c r="K179" s="19"/>
      <c r="L179" s="19"/>
      <c r="M179" s="19"/>
      <c r="N179" s="19"/>
      <c r="O179" s="19"/>
      <c r="P179" s="19"/>
      <c r="Q179" s="18"/>
      <c r="R179" s="18"/>
      <c r="S179" s="18"/>
    </row>
    <row r="180" spans="2:19" hidden="1" x14ac:dyDescent="0.35">
      <c r="B180" s="58"/>
      <c r="C180" s="23"/>
      <c r="D180" s="23"/>
      <c r="E180" s="23"/>
      <c r="F180" s="23"/>
      <c r="G180" s="23"/>
      <c r="H180" s="19"/>
      <c r="I180" s="19"/>
      <c r="J180" s="19"/>
      <c r="K180" s="19"/>
      <c r="L180" s="19"/>
      <c r="M180" s="19"/>
      <c r="N180" s="19"/>
      <c r="O180" s="19"/>
      <c r="P180" s="19"/>
      <c r="Q180" s="18"/>
      <c r="R180" s="18"/>
      <c r="S180" s="18"/>
    </row>
    <row r="181" spans="2:19" hidden="1" x14ac:dyDescent="0.35">
      <c r="C181" s="180"/>
      <c r="D181" s="180"/>
      <c r="E181" s="180"/>
      <c r="F181" s="180"/>
      <c r="G181" s="180"/>
      <c r="Q181" s="18"/>
      <c r="R181" s="18"/>
      <c r="S181" s="18"/>
    </row>
    <row r="182" spans="2:19" hidden="1" x14ac:dyDescent="0.35">
      <c r="C182" s="2057" t="s">
        <v>583</v>
      </c>
      <c r="D182" s="2057"/>
      <c r="E182" s="2057"/>
      <c r="F182" s="2057"/>
      <c r="G182" s="2057"/>
      <c r="Q182" s="18"/>
      <c r="R182" s="18"/>
      <c r="S182" s="18"/>
    </row>
    <row r="183" spans="2:19" hidden="1" x14ac:dyDescent="0.35">
      <c r="C183" s="10" t="s">
        <v>584</v>
      </c>
    </row>
    <row r="185" spans="2:19" ht="17.25" hidden="1" x14ac:dyDescent="0.35">
      <c r="C185" s="60" t="s">
        <v>585</v>
      </c>
      <c r="D185" s="60"/>
      <c r="E185" s="60"/>
      <c r="F185" s="60"/>
      <c r="G185" s="60"/>
    </row>
    <row r="186" spans="2:19" hidden="1" x14ac:dyDescent="0.35">
      <c r="B186" s="10"/>
      <c r="P186" s="15" t="s">
        <v>110</v>
      </c>
    </row>
    <row r="187" spans="2:19" ht="15" hidden="1" customHeight="1" x14ac:dyDescent="0.35">
      <c r="B187" s="1940" t="s">
        <v>1</v>
      </c>
      <c r="C187" s="1940" t="s">
        <v>556</v>
      </c>
      <c r="D187" s="98" t="s">
        <v>196</v>
      </c>
      <c r="E187" s="98" t="s">
        <v>197</v>
      </c>
      <c r="F187" s="98" t="s">
        <v>198</v>
      </c>
      <c r="G187" s="98" t="s">
        <v>199</v>
      </c>
      <c r="H187" s="358" t="s">
        <v>112</v>
      </c>
      <c r="I187" s="358" t="s">
        <v>113</v>
      </c>
      <c r="J187" s="358" t="s">
        <v>114</v>
      </c>
      <c r="K187" s="1934" t="s">
        <v>1019</v>
      </c>
      <c r="L187" s="1935"/>
      <c r="M187" s="1935"/>
      <c r="N187" s="1935"/>
      <c r="O187" s="1936"/>
      <c r="P187" s="1938" t="s">
        <v>116</v>
      </c>
    </row>
    <row r="188" spans="2:19" ht="27" hidden="1" x14ac:dyDescent="0.35">
      <c r="B188" s="1940"/>
      <c r="C188" s="1940"/>
      <c r="D188" s="1934" t="s">
        <v>117</v>
      </c>
      <c r="E188" s="1935"/>
      <c r="F188" s="1935"/>
      <c r="G188" s="1935"/>
      <c r="H188" s="1935"/>
      <c r="I188" s="1936"/>
      <c r="J188" s="217" t="s">
        <v>121</v>
      </c>
      <c r="K188" s="217" t="s">
        <v>123</v>
      </c>
      <c r="L188" s="217" t="s">
        <v>124</v>
      </c>
      <c r="M188" s="217" t="s">
        <v>125</v>
      </c>
      <c r="N188" s="217" t="s">
        <v>126</v>
      </c>
      <c r="O188" s="217" t="s">
        <v>127</v>
      </c>
      <c r="P188" s="1983"/>
    </row>
    <row r="189" spans="2:19" hidden="1" x14ac:dyDescent="0.35">
      <c r="B189" s="59">
        <v>1</v>
      </c>
      <c r="C189" s="20" t="s">
        <v>572</v>
      </c>
      <c r="D189" s="20"/>
      <c r="E189" s="20"/>
      <c r="F189" s="20"/>
      <c r="G189" s="20"/>
      <c r="H189" s="19"/>
      <c r="I189" s="19"/>
      <c r="J189" s="19"/>
      <c r="K189" s="19"/>
      <c r="L189" s="19"/>
      <c r="M189" s="19"/>
      <c r="N189" s="19"/>
      <c r="O189" s="19"/>
      <c r="P189" s="19"/>
      <c r="Q189" s="18"/>
      <c r="R189" s="18"/>
      <c r="S189" s="18"/>
    </row>
    <row r="190" spans="2:19" hidden="1" x14ac:dyDescent="0.4">
      <c r="B190" s="58">
        <v>1.1000000000000001</v>
      </c>
      <c r="C190" s="21" t="s">
        <v>573</v>
      </c>
      <c r="D190" s="21"/>
      <c r="E190" s="21"/>
      <c r="F190" s="21"/>
      <c r="G190" s="21"/>
      <c r="H190" s="19"/>
      <c r="I190" s="19"/>
      <c r="J190" s="19"/>
      <c r="K190" s="19"/>
      <c r="L190" s="19"/>
      <c r="M190" s="19"/>
      <c r="N190" s="19"/>
      <c r="O190" s="19"/>
      <c r="P190" s="19"/>
      <c r="Q190" s="18"/>
      <c r="R190" s="18"/>
      <c r="S190" s="18"/>
    </row>
    <row r="191" spans="2:19" hidden="1" x14ac:dyDescent="0.4">
      <c r="B191" s="58">
        <f t="shared" ref="B191:B197" si="21">B190+0.1</f>
        <v>1.2000000000000002</v>
      </c>
      <c r="C191" s="21" t="s">
        <v>561</v>
      </c>
      <c r="D191" s="21"/>
      <c r="E191" s="21"/>
      <c r="F191" s="21"/>
      <c r="G191" s="21"/>
      <c r="H191" s="19"/>
      <c r="I191" s="19"/>
      <c r="J191" s="19"/>
      <c r="K191" s="19"/>
      <c r="L191" s="19"/>
      <c r="M191" s="19"/>
      <c r="N191" s="19"/>
      <c r="O191" s="19"/>
      <c r="P191" s="19"/>
      <c r="Q191" s="18"/>
      <c r="R191" s="18"/>
      <c r="S191" s="18"/>
    </row>
    <row r="192" spans="2:19" hidden="1" x14ac:dyDescent="0.4">
      <c r="B192" s="58">
        <f t="shared" si="21"/>
        <v>1.3000000000000003</v>
      </c>
      <c r="C192" s="21" t="s">
        <v>574</v>
      </c>
      <c r="D192" s="21"/>
      <c r="E192" s="21"/>
      <c r="F192" s="21"/>
      <c r="G192" s="21"/>
      <c r="H192" s="19"/>
      <c r="I192" s="19"/>
      <c r="J192" s="19"/>
      <c r="K192" s="19"/>
      <c r="L192" s="19"/>
      <c r="M192" s="19"/>
      <c r="N192" s="19"/>
      <c r="O192" s="19"/>
      <c r="P192" s="19"/>
      <c r="Q192" s="18"/>
      <c r="R192" s="18"/>
      <c r="S192" s="18"/>
    </row>
    <row r="193" spans="2:19" hidden="1" x14ac:dyDescent="0.4">
      <c r="B193" s="58">
        <f t="shared" si="21"/>
        <v>1.4000000000000004</v>
      </c>
      <c r="C193" s="21" t="s">
        <v>575</v>
      </c>
      <c r="D193" s="21"/>
      <c r="E193" s="21"/>
      <c r="F193" s="21"/>
      <c r="G193" s="21"/>
      <c r="H193" s="19"/>
      <c r="I193" s="19"/>
      <c r="J193" s="19"/>
      <c r="K193" s="19"/>
      <c r="L193" s="19"/>
      <c r="M193" s="19"/>
      <c r="N193" s="19"/>
      <c r="O193" s="19"/>
      <c r="P193" s="19"/>
      <c r="Q193" s="18"/>
      <c r="R193" s="18"/>
      <c r="S193" s="18"/>
    </row>
    <row r="194" spans="2:19" hidden="1" x14ac:dyDescent="0.4">
      <c r="B194" s="58">
        <f t="shared" si="21"/>
        <v>1.5000000000000004</v>
      </c>
      <c r="C194" s="21" t="s">
        <v>576</v>
      </c>
      <c r="D194" s="21"/>
      <c r="E194" s="21"/>
      <c r="F194" s="21"/>
      <c r="G194" s="21"/>
      <c r="H194" s="19"/>
      <c r="I194" s="19"/>
      <c r="J194" s="19"/>
      <c r="K194" s="19"/>
      <c r="L194" s="19"/>
      <c r="M194" s="19"/>
      <c r="N194" s="19"/>
      <c r="O194" s="19"/>
      <c r="P194" s="19"/>
      <c r="Q194" s="18"/>
      <c r="R194" s="18"/>
      <c r="S194" s="18"/>
    </row>
    <row r="195" spans="2:19" hidden="1" x14ac:dyDescent="0.4">
      <c r="B195" s="58">
        <f t="shared" si="21"/>
        <v>1.6000000000000005</v>
      </c>
      <c r="C195" s="21" t="s">
        <v>577</v>
      </c>
      <c r="D195" s="21"/>
      <c r="E195" s="21"/>
      <c r="F195" s="21"/>
      <c r="G195" s="21"/>
      <c r="H195" s="19"/>
      <c r="I195" s="19"/>
      <c r="J195" s="19"/>
      <c r="K195" s="19"/>
      <c r="L195" s="19"/>
      <c r="M195" s="19"/>
      <c r="N195" s="19"/>
      <c r="O195" s="19"/>
      <c r="P195" s="19"/>
      <c r="Q195" s="18"/>
      <c r="R195" s="18"/>
      <c r="S195" s="18"/>
    </row>
    <row r="196" spans="2:19" hidden="1" x14ac:dyDescent="0.4">
      <c r="B196" s="58">
        <f t="shared" si="21"/>
        <v>1.7000000000000006</v>
      </c>
      <c r="C196" s="21" t="s">
        <v>578</v>
      </c>
      <c r="D196" s="21"/>
      <c r="E196" s="21"/>
      <c r="F196" s="21"/>
      <c r="G196" s="21"/>
      <c r="H196" s="19"/>
      <c r="I196" s="19"/>
      <c r="J196" s="19"/>
      <c r="K196" s="19"/>
      <c r="L196" s="19"/>
      <c r="M196" s="19"/>
      <c r="N196" s="19"/>
      <c r="O196" s="19"/>
      <c r="P196" s="19"/>
      <c r="Q196" s="18"/>
      <c r="R196" s="18"/>
      <c r="S196" s="18"/>
    </row>
    <row r="197" spans="2:19" hidden="1" x14ac:dyDescent="0.4">
      <c r="B197" s="58">
        <f t="shared" si="21"/>
        <v>1.8000000000000007</v>
      </c>
      <c r="C197" s="21" t="s">
        <v>568</v>
      </c>
      <c r="D197" s="21"/>
      <c r="E197" s="21"/>
      <c r="F197" s="21"/>
      <c r="G197" s="21"/>
      <c r="H197" s="19"/>
      <c r="I197" s="19"/>
      <c r="J197" s="19"/>
      <c r="K197" s="19"/>
      <c r="L197" s="19"/>
      <c r="M197" s="19"/>
      <c r="N197" s="19"/>
      <c r="O197" s="19"/>
      <c r="P197" s="19"/>
      <c r="Q197" s="18"/>
      <c r="R197" s="18"/>
      <c r="S197" s="18"/>
    </row>
    <row r="198" spans="2:19" hidden="1" x14ac:dyDescent="0.4">
      <c r="B198" s="58"/>
      <c r="C198" s="21"/>
      <c r="D198" s="21"/>
      <c r="E198" s="21"/>
      <c r="F198" s="21"/>
      <c r="G198" s="21"/>
      <c r="H198" s="19"/>
      <c r="I198" s="19"/>
      <c r="J198" s="19"/>
      <c r="K198" s="19"/>
      <c r="L198" s="19"/>
      <c r="M198" s="19"/>
      <c r="N198" s="19"/>
      <c r="O198" s="19"/>
      <c r="P198" s="19"/>
      <c r="Q198" s="18"/>
      <c r="R198" s="18"/>
      <c r="S198" s="18"/>
    </row>
    <row r="199" spans="2:19" hidden="1" x14ac:dyDescent="0.35">
      <c r="B199" s="59">
        <v>2</v>
      </c>
      <c r="C199" s="20" t="s">
        <v>579</v>
      </c>
      <c r="D199" s="20"/>
      <c r="E199" s="20"/>
      <c r="F199" s="20"/>
      <c r="G199" s="20"/>
      <c r="H199" s="19"/>
      <c r="I199" s="19"/>
      <c r="J199" s="19"/>
      <c r="K199" s="19"/>
      <c r="L199" s="19"/>
      <c r="M199" s="19"/>
      <c r="N199" s="19"/>
      <c r="O199" s="19"/>
      <c r="P199" s="19"/>
      <c r="Q199" s="18"/>
      <c r="R199" s="18"/>
      <c r="S199" s="18"/>
    </row>
    <row r="200" spans="2:19" hidden="1" x14ac:dyDescent="0.4">
      <c r="B200" s="58">
        <f t="shared" ref="B200:B206" si="22">B199+0.1</f>
        <v>2.1</v>
      </c>
      <c r="C200" s="21" t="s">
        <v>573</v>
      </c>
      <c r="D200" s="21"/>
      <c r="E200" s="21"/>
      <c r="F200" s="21"/>
      <c r="G200" s="21"/>
      <c r="H200" s="19"/>
      <c r="I200" s="19"/>
      <c r="J200" s="19"/>
      <c r="K200" s="19"/>
      <c r="L200" s="19"/>
      <c r="M200" s="19"/>
      <c r="N200" s="19"/>
      <c r="O200" s="19"/>
      <c r="P200" s="19"/>
      <c r="Q200" s="18"/>
      <c r="R200" s="18"/>
      <c r="S200" s="18"/>
    </row>
    <row r="201" spans="2:19" hidden="1" x14ac:dyDescent="0.4">
      <c r="B201" s="58">
        <f t="shared" si="22"/>
        <v>2.2000000000000002</v>
      </c>
      <c r="C201" s="21" t="s">
        <v>561</v>
      </c>
      <c r="D201" s="21"/>
      <c r="E201" s="21"/>
      <c r="F201" s="21"/>
      <c r="G201" s="21"/>
      <c r="H201" s="19"/>
      <c r="I201" s="19"/>
      <c r="J201" s="19"/>
      <c r="K201" s="19"/>
      <c r="L201" s="19"/>
      <c r="M201" s="19"/>
      <c r="N201" s="19"/>
      <c r="O201" s="19"/>
      <c r="P201" s="19"/>
      <c r="Q201" s="18"/>
      <c r="R201" s="18"/>
      <c r="S201" s="18"/>
    </row>
    <row r="202" spans="2:19" hidden="1" x14ac:dyDescent="0.4">
      <c r="B202" s="58">
        <f t="shared" si="22"/>
        <v>2.3000000000000003</v>
      </c>
      <c r="C202" s="21" t="s">
        <v>575</v>
      </c>
      <c r="D202" s="21"/>
      <c r="E202" s="21"/>
      <c r="F202" s="21"/>
      <c r="G202" s="21"/>
      <c r="H202" s="19"/>
      <c r="I202" s="19"/>
      <c r="J202" s="19"/>
      <c r="K202" s="19"/>
      <c r="L202" s="19"/>
      <c r="M202" s="19"/>
      <c r="N202" s="19"/>
      <c r="O202" s="19"/>
      <c r="P202" s="19"/>
      <c r="Q202" s="18"/>
      <c r="R202" s="18"/>
      <c r="S202" s="18"/>
    </row>
    <row r="203" spans="2:19" hidden="1" x14ac:dyDescent="0.4">
      <c r="B203" s="58">
        <f t="shared" si="22"/>
        <v>2.4000000000000004</v>
      </c>
      <c r="C203" s="21" t="s">
        <v>576</v>
      </c>
      <c r="D203" s="21"/>
      <c r="E203" s="21"/>
      <c r="F203" s="21"/>
      <c r="G203" s="21"/>
      <c r="H203" s="19"/>
      <c r="I203" s="19"/>
      <c r="J203" s="19"/>
      <c r="K203" s="19"/>
      <c r="L203" s="19"/>
      <c r="M203" s="19"/>
      <c r="N203" s="19"/>
      <c r="O203" s="19"/>
      <c r="P203" s="19"/>
      <c r="Q203" s="18"/>
      <c r="R203" s="18"/>
      <c r="S203" s="18"/>
    </row>
    <row r="204" spans="2:19" hidden="1" x14ac:dyDescent="0.4">
      <c r="B204" s="58">
        <f t="shared" si="22"/>
        <v>2.5000000000000004</v>
      </c>
      <c r="C204" s="21" t="s">
        <v>577</v>
      </c>
      <c r="D204" s="21"/>
      <c r="E204" s="21"/>
      <c r="F204" s="21"/>
      <c r="G204" s="21"/>
      <c r="H204" s="19"/>
      <c r="I204" s="19"/>
      <c r="J204" s="19"/>
      <c r="K204" s="19"/>
      <c r="L204" s="19"/>
      <c r="M204" s="19"/>
      <c r="N204" s="19"/>
      <c r="O204" s="19"/>
      <c r="P204" s="19"/>
      <c r="Q204" s="18"/>
      <c r="R204" s="18"/>
      <c r="S204" s="18"/>
    </row>
    <row r="205" spans="2:19" hidden="1" x14ac:dyDescent="0.4">
      <c r="B205" s="58">
        <f t="shared" si="22"/>
        <v>2.6000000000000005</v>
      </c>
      <c r="C205" s="21" t="s">
        <v>578</v>
      </c>
      <c r="D205" s="21"/>
      <c r="E205" s="21"/>
      <c r="F205" s="21"/>
      <c r="G205" s="21"/>
      <c r="H205" s="19"/>
      <c r="I205" s="19"/>
      <c r="J205" s="19"/>
      <c r="K205" s="19"/>
      <c r="L205" s="19"/>
      <c r="M205" s="19"/>
      <c r="N205" s="19"/>
      <c r="O205" s="19"/>
      <c r="P205" s="19"/>
      <c r="Q205" s="18"/>
      <c r="R205" s="18"/>
      <c r="S205" s="18"/>
    </row>
    <row r="206" spans="2:19" hidden="1" x14ac:dyDescent="0.4">
      <c r="B206" s="58">
        <f t="shared" si="22"/>
        <v>2.7000000000000006</v>
      </c>
      <c r="C206" s="21" t="s">
        <v>568</v>
      </c>
      <c r="D206" s="21"/>
      <c r="E206" s="21"/>
      <c r="F206" s="21"/>
      <c r="G206" s="21"/>
      <c r="H206" s="19"/>
      <c r="I206" s="19"/>
      <c r="J206" s="19"/>
      <c r="K206" s="19"/>
      <c r="L206" s="19"/>
      <c r="M206" s="19"/>
      <c r="N206" s="19"/>
      <c r="O206" s="19"/>
      <c r="P206" s="19"/>
      <c r="Q206" s="18"/>
      <c r="R206" s="18"/>
      <c r="S206" s="18"/>
    </row>
    <row r="207" spans="2:19" hidden="1" x14ac:dyDescent="0.4">
      <c r="B207" s="58"/>
      <c r="C207" s="21"/>
      <c r="D207" s="21"/>
      <c r="E207" s="21"/>
      <c r="F207" s="21"/>
      <c r="G207" s="21"/>
      <c r="H207" s="19"/>
      <c r="I207" s="19"/>
      <c r="J207" s="19"/>
      <c r="K207" s="19"/>
      <c r="L207" s="19"/>
      <c r="M207" s="19"/>
      <c r="N207" s="19"/>
      <c r="O207" s="19"/>
      <c r="P207" s="19"/>
      <c r="Q207" s="18"/>
      <c r="R207" s="18"/>
      <c r="S207" s="18"/>
    </row>
    <row r="208" spans="2:19" hidden="1" x14ac:dyDescent="0.35">
      <c r="B208" s="59">
        <v>3</v>
      </c>
      <c r="C208" s="20" t="s">
        <v>580</v>
      </c>
      <c r="D208" s="20"/>
      <c r="E208" s="20"/>
      <c r="F208" s="20"/>
      <c r="G208" s="20"/>
      <c r="H208" s="19"/>
      <c r="I208" s="19"/>
      <c r="J208" s="19"/>
      <c r="K208" s="19"/>
      <c r="L208" s="19"/>
      <c r="M208" s="19"/>
      <c r="N208" s="19"/>
      <c r="O208" s="19"/>
      <c r="P208" s="19"/>
    </row>
    <row r="209" spans="2:16" hidden="1" x14ac:dyDescent="0.4">
      <c r="B209" s="58"/>
      <c r="C209" s="21" t="s">
        <v>239</v>
      </c>
      <c r="D209" s="21"/>
      <c r="E209" s="21"/>
      <c r="F209" s="21"/>
      <c r="G209" s="21"/>
      <c r="H209" s="19"/>
      <c r="I209" s="19"/>
      <c r="J209" s="19"/>
      <c r="K209" s="19"/>
      <c r="L209" s="19"/>
      <c r="M209" s="19"/>
      <c r="N209" s="19"/>
      <c r="O209" s="19"/>
      <c r="P209" s="19"/>
    </row>
    <row r="210" spans="2:16" hidden="1" x14ac:dyDescent="0.4">
      <c r="B210" s="58"/>
      <c r="C210" s="21" t="s">
        <v>239</v>
      </c>
      <c r="D210" s="21"/>
      <c r="E210" s="21"/>
      <c r="F210" s="21"/>
      <c r="G210" s="21"/>
      <c r="H210" s="19"/>
      <c r="I210" s="19"/>
      <c r="J210" s="19"/>
      <c r="K210" s="19"/>
      <c r="L210" s="19"/>
      <c r="M210" s="19"/>
      <c r="N210" s="19"/>
      <c r="O210" s="19"/>
      <c r="P210" s="19"/>
    </row>
    <row r="211" spans="2:16" hidden="1" x14ac:dyDescent="0.4">
      <c r="B211" s="58"/>
      <c r="C211" s="21" t="s">
        <v>239</v>
      </c>
      <c r="D211" s="21"/>
      <c r="E211" s="21"/>
      <c r="F211" s="21"/>
      <c r="G211" s="21"/>
      <c r="H211" s="19"/>
      <c r="I211" s="19"/>
      <c r="J211" s="19"/>
      <c r="K211" s="19"/>
      <c r="L211" s="19"/>
      <c r="M211" s="19"/>
      <c r="N211" s="19"/>
      <c r="O211" s="19"/>
      <c r="P211" s="19"/>
    </row>
    <row r="212" spans="2:16" hidden="1" x14ac:dyDescent="0.4">
      <c r="B212" s="58"/>
      <c r="C212" s="21"/>
      <c r="D212" s="21"/>
      <c r="E212" s="21"/>
      <c r="F212" s="21"/>
      <c r="G212" s="21"/>
      <c r="H212" s="19"/>
      <c r="I212" s="19"/>
      <c r="J212" s="19"/>
      <c r="K212" s="19"/>
      <c r="L212" s="19"/>
      <c r="M212" s="19"/>
      <c r="N212" s="19"/>
      <c r="O212" s="19"/>
      <c r="P212" s="19"/>
    </row>
    <row r="213" spans="2:16" hidden="1" x14ac:dyDescent="0.4">
      <c r="B213" s="59">
        <v>10</v>
      </c>
      <c r="C213" s="20" t="s">
        <v>164</v>
      </c>
      <c r="D213" s="20"/>
      <c r="E213" s="20"/>
      <c r="F213" s="20"/>
      <c r="G213" s="21"/>
      <c r="H213" s="19"/>
      <c r="I213" s="19"/>
      <c r="J213" s="19"/>
      <c r="K213" s="19"/>
      <c r="L213" s="19"/>
      <c r="M213" s="19"/>
      <c r="N213" s="19"/>
      <c r="O213" s="19"/>
      <c r="P213" s="19"/>
    </row>
    <row r="214" spans="2:16" hidden="1" x14ac:dyDescent="0.4">
      <c r="B214" s="58">
        <f t="shared" ref="B214:B220" si="23">B213+0.1</f>
        <v>10.1</v>
      </c>
      <c r="C214" s="21" t="s">
        <v>573</v>
      </c>
      <c r="D214" s="21"/>
      <c r="E214" s="21"/>
      <c r="F214" s="21"/>
      <c r="G214" s="21"/>
      <c r="H214" s="19"/>
      <c r="I214" s="19"/>
      <c r="J214" s="19"/>
      <c r="K214" s="19"/>
      <c r="L214" s="19"/>
      <c r="M214" s="19"/>
      <c r="N214" s="19"/>
      <c r="O214" s="19"/>
      <c r="P214" s="19"/>
    </row>
    <row r="215" spans="2:16" hidden="1" x14ac:dyDescent="0.4">
      <c r="B215" s="58">
        <f t="shared" si="23"/>
        <v>10.199999999999999</v>
      </c>
      <c r="C215" s="21" t="s">
        <v>561</v>
      </c>
      <c r="D215" s="21"/>
      <c r="E215" s="21"/>
      <c r="F215" s="21"/>
      <c r="G215" s="21"/>
      <c r="H215" s="19"/>
      <c r="I215" s="19"/>
      <c r="J215" s="19"/>
      <c r="K215" s="19"/>
      <c r="L215" s="19"/>
      <c r="M215" s="19"/>
      <c r="N215" s="19"/>
      <c r="O215" s="19"/>
      <c r="P215" s="19"/>
    </row>
    <row r="216" spans="2:16" hidden="1" x14ac:dyDescent="0.4">
      <c r="B216" s="58">
        <f t="shared" si="23"/>
        <v>10.299999999999999</v>
      </c>
      <c r="C216" s="21" t="s">
        <v>575</v>
      </c>
      <c r="D216" s="21"/>
      <c r="E216" s="21"/>
      <c r="F216" s="21"/>
      <c r="G216" s="21"/>
      <c r="H216" s="19"/>
      <c r="I216" s="19"/>
      <c r="J216" s="19"/>
      <c r="K216" s="19"/>
      <c r="L216" s="19"/>
      <c r="M216" s="19"/>
      <c r="N216" s="19"/>
      <c r="O216" s="19"/>
      <c r="P216" s="19"/>
    </row>
    <row r="217" spans="2:16" hidden="1" x14ac:dyDescent="0.4">
      <c r="B217" s="58">
        <f t="shared" si="23"/>
        <v>10.399999999999999</v>
      </c>
      <c r="C217" s="21" t="s">
        <v>576</v>
      </c>
      <c r="D217" s="21"/>
      <c r="E217" s="21"/>
      <c r="F217" s="21"/>
      <c r="G217" s="21"/>
      <c r="H217" s="19"/>
      <c r="I217" s="19"/>
      <c r="J217" s="19"/>
      <c r="K217" s="19"/>
      <c r="L217" s="19"/>
      <c r="M217" s="19"/>
      <c r="N217" s="19"/>
      <c r="O217" s="19"/>
      <c r="P217" s="19"/>
    </row>
    <row r="218" spans="2:16" hidden="1" x14ac:dyDescent="0.4">
      <c r="B218" s="58">
        <f t="shared" si="23"/>
        <v>10.499999999999998</v>
      </c>
      <c r="C218" s="21" t="s">
        <v>577</v>
      </c>
      <c r="D218" s="21"/>
      <c r="E218" s="21"/>
      <c r="F218" s="21"/>
      <c r="G218" s="21"/>
      <c r="H218" s="19"/>
      <c r="I218" s="19"/>
      <c r="J218" s="19"/>
      <c r="K218" s="19"/>
      <c r="L218" s="19"/>
      <c r="M218" s="19"/>
      <c r="N218" s="19"/>
      <c r="O218" s="19"/>
      <c r="P218" s="19"/>
    </row>
    <row r="219" spans="2:16" hidden="1" x14ac:dyDescent="0.4">
      <c r="B219" s="58">
        <f t="shared" si="23"/>
        <v>10.599999999999998</v>
      </c>
      <c r="C219" s="21" t="s">
        <v>578</v>
      </c>
      <c r="D219" s="21"/>
      <c r="E219" s="21"/>
      <c r="F219" s="21"/>
      <c r="G219" s="21"/>
      <c r="H219" s="19"/>
      <c r="I219" s="19"/>
      <c r="J219" s="19"/>
      <c r="K219" s="19"/>
      <c r="L219" s="19"/>
      <c r="M219" s="19"/>
      <c r="N219" s="19"/>
      <c r="O219" s="19"/>
      <c r="P219" s="19"/>
    </row>
    <row r="220" spans="2:16" hidden="1" x14ac:dyDescent="0.4">
      <c r="B220" s="58">
        <f t="shared" si="23"/>
        <v>10.699999999999998</v>
      </c>
      <c r="C220" s="21" t="s">
        <v>568</v>
      </c>
      <c r="D220" s="21"/>
      <c r="E220" s="21"/>
      <c r="F220" s="21"/>
      <c r="G220" s="21"/>
      <c r="H220" s="19"/>
      <c r="I220" s="19"/>
      <c r="J220" s="19"/>
      <c r="K220" s="19"/>
      <c r="L220" s="19"/>
      <c r="M220" s="19"/>
      <c r="N220" s="19"/>
      <c r="O220" s="19"/>
      <c r="P220" s="19"/>
    </row>
    <row r="221" spans="2:16" hidden="1" x14ac:dyDescent="0.4">
      <c r="B221" s="58"/>
      <c r="C221" s="21"/>
      <c r="D221" s="21"/>
      <c r="E221" s="21"/>
      <c r="F221" s="21"/>
      <c r="G221" s="21"/>
      <c r="H221" s="19"/>
      <c r="I221" s="19"/>
      <c r="J221" s="19"/>
      <c r="K221" s="19"/>
      <c r="L221" s="19"/>
      <c r="M221" s="19"/>
      <c r="N221" s="19"/>
      <c r="O221" s="19"/>
      <c r="P221" s="19"/>
    </row>
    <row r="222" spans="2:16" hidden="1" x14ac:dyDescent="0.35">
      <c r="B222" s="58"/>
      <c r="C222" s="20"/>
      <c r="D222" s="20"/>
      <c r="E222" s="20"/>
      <c r="F222" s="20"/>
      <c r="G222" s="20"/>
      <c r="H222" s="19"/>
      <c r="I222" s="19"/>
      <c r="J222" s="19"/>
      <c r="K222" s="19"/>
      <c r="L222" s="19"/>
      <c r="M222" s="19"/>
      <c r="N222" s="19"/>
      <c r="O222" s="19"/>
      <c r="P222" s="19"/>
    </row>
    <row r="223" spans="2:16" hidden="1" x14ac:dyDescent="0.4">
      <c r="B223" s="58"/>
      <c r="C223" s="21"/>
      <c r="D223" s="21"/>
      <c r="E223" s="21"/>
      <c r="F223" s="21"/>
      <c r="G223" s="21"/>
      <c r="H223" s="19"/>
      <c r="I223" s="19"/>
      <c r="J223" s="19"/>
      <c r="K223" s="19"/>
      <c r="L223" s="19"/>
      <c r="M223" s="19"/>
      <c r="N223" s="19"/>
      <c r="O223" s="19"/>
      <c r="P223" s="19"/>
    </row>
    <row r="224" spans="2:16" hidden="1" x14ac:dyDescent="0.35">
      <c r="B224" s="58">
        <v>9</v>
      </c>
      <c r="C224" s="20" t="s">
        <v>581</v>
      </c>
      <c r="D224" s="20"/>
      <c r="E224" s="20"/>
      <c r="F224" s="20"/>
      <c r="G224" s="20"/>
      <c r="H224" s="22"/>
      <c r="I224" s="22"/>
      <c r="J224" s="22"/>
      <c r="K224" s="22"/>
      <c r="L224" s="22"/>
      <c r="M224" s="22"/>
      <c r="N224" s="22"/>
      <c r="O224" s="22"/>
      <c r="P224" s="19"/>
    </row>
    <row r="225" spans="2:16" hidden="1" x14ac:dyDescent="0.4">
      <c r="B225" s="58">
        <v>10</v>
      </c>
      <c r="C225" s="2" t="s">
        <v>396</v>
      </c>
      <c r="D225" s="2"/>
      <c r="E225" s="2"/>
      <c r="F225" s="2"/>
      <c r="G225" s="2"/>
      <c r="H225" s="19"/>
      <c r="I225" s="19"/>
      <c r="J225" s="19"/>
      <c r="K225" s="19"/>
      <c r="L225" s="19"/>
      <c r="M225" s="19"/>
      <c r="N225" s="19"/>
      <c r="O225" s="19"/>
      <c r="P225" s="19"/>
    </row>
    <row r="226" spans="2:16" hidden="1" x14ac:dyDescent="0.35">
      <c r="B226" s="59">
        <v>11</v>
      </c>
      <c r="C226" s="22" t="s">
        <v>582</v>
      </c>
      <c r="D226" s="22"/>
      <c r="E226" s="22"/>
      <c r="F226" s="22"/>
      <c r="G226" s="22"/>
      <c r="H226" s="19"/>
      <c r="I226" s="19"/>
      <c r="J226" s="19"/>
      <c r="K226" s="19"/>
      <c r="L226" s="19"/>
      <c r="M226" s="19"/>
      <c r="N226" s="19"/>
      <c r="O226" s="19"/>
      <c r="P226" s="19"/>
    </row>
    <row r="227" spans="2:16" hidden="1" x14ac:dyDescent="0.35">
      <c r="B227" s="58"/>
      <c r="C227" s="23"/>
      <c r="D227" s="23"/>
      <c r="E227" s="23"/>
      <c r="F227" s="23"/>
      <c r="G227" s="23"/>
      <c r="H227" s="19"/>
      <c r="I227" s="19"/>
      <c r="J227" s="19"/>
      <c r="K227" s="19"/>
      <c r="L227" s="19"/>
      <c r="M227" s="19"/>
      <c r="N227" s="19"/>
      <c r="O227" s="19"/>
      <c r="P227" s="19"/>
    </row>
    <row r="228" spans="2:16" hidden="1" x14ac:dyDescent="0.4">
      <c r="P228" s="1"/>
    </row>
    <row r="229" spans="2:16" hidden="1" x14ac:dyDescent="0.4">
      <c r="C229" s="2057" t="s">
        <v>583</v>
      </c>
      <c r="D229" s="2057"/>
      <c r="E229" s="2057"/>
      <c r="F229" s="2057"/>
      <c r="G229" s="2057"/>
      <c r="P229" s="1"/>
    </row>
    <row r="230" spans="2:16" s="1" customFormat="1" hidden="1" x14ac:dyDescent="0.4">
      <c r="B230" s="31"/>
      <c r="C230" s="10" t="s">
        <v>584</v>
      </c>
      <c r="D230" s="10"/>
      <c r="E230" s="10"/>
      <c r="F230" s="10"/>
      <c r="G230" s="5"/>
      <c r="H230" s="14"/>
      <c r="I230" s="13"/>
      <c r="J230" s="5"/>
      <c r="K230" s="5"/>
      <c r="L230" s="5"/>
      <c r="M230" s="5"/>
      <c r="N230" s="5"/>
      <c r="O230" s="5"/>
    </row>
    <row r="233" spans="2:16" x14ac:dyDescent="0.35">
      <c r="D233" s="2058" t="s">
        <v>1753</v>
      </c>
      <c r="E233" s="2058"/>
      <c r="F233" s="1534" t="s">
        <v>1754</v>
      </c>
      <c r="G233" s="1534" t="s">
        <v>1437</v>
      </c>
    </row>
    <row r="234" spans="2:16" x14ac:dyDescent="0.35">
      <c r="D234" s="1558">
        <v>43374</v>
      </c>
      <c r="E234" s="1558">
        <v>43404</v>
      </c>
      <c r="F234" s="1559">
        <f>+E234-D234+1</f>
        <v>31</v>
      </c>
      <c r="G234" s="1538">
        <v>0.1075</v>
      </c>
    </row>
    <row r="235" spans="2:16" x14ac:dyDescent="0.35">
      <c r="D235" s="1558">
        <v>43405</v>
      </c>
      <c r="E235" s="1558">
        <v>43555</v>
      </c>
      <c r="F235" s="1559">
        <f>+E235-D235+1</f>
        <v>151</v>
      </c>
      <c r="G235" s="1538">
        <v>0.1125</v>
      </c>
    </row>
    <row r="236" spans="2:16" ht="27.6" customHeight="1" x14ac:dyDescent="0.35">
      <c r="D236" s="2059" t="s">
        <v>1756</v>
      </c>
      <c r="E236" s="2059"/>
      <c r="F236" s="1556">
        <f>SUM(F234:F235)</f>
        <v>182</v>
      </c>
      <c r="G236" s="1557">
        <f>+SUMPRODUCT(F234:F235,G234:G235)/F236</f>
        <v>0.11164835164835164</v>
      </c>
    </row>
    <row r="237" spans="2:16" x14ac:dyDescent="0.35">
      <c r="D237" s="1558">
        <v>43556</v>
      </c>
      <c r="E237" s="1558">
        <v>43758</v>
      </c>
      <c r="F237" s="1559">
        <f>+E237-D237+1</f>
        <v>203</v>
      </c>
      <c r="G237" s="1538">
        <v>0.1125</v>
      </c>
    </row>
    <row r="238" spans="2:16" x14ac:dyDescent="0.35">
      <c r="D238" s="1558">
        <v>43759</v>
      </c>
      <c r="E238" s="1558">
        <v>43921</v>
      </c>
      <c r="F238" s="1559">
        <f>+E238-D238+1</f>
        <v>163</v>
      </c>
      <c r="G238" s="1538">
        <v>0.1085</v>
      </c>
    </row>
    <row r="239" spans="2:16" ht="27.6" customHeight="1" x14ac:dyDescent="0.35">
      <c r="D239" s="2059" t="s">
        <v>1757</v>
      </c>
      <c r="E239" s="2059"/>
      <c r="F239" s="1560">
        <f>SUM(F237:F238)</f>
        <v>366</v>
      </c>
      <c r="G239" s="1557">
        <f>+SUMPRODUCT(F237:F238,G237:G238)/F239</f>
        <v>0.11071857923497269</v>
      </c>
    </row>
    <row r="240" spans="2:16" x14ac:dyDescent="0.35">
      <c r="D240" s="2058" t="s">
        <v>1753</v>
      </c>
      <c r="E240" s="2058"/>
      <c r="F240" s="1534" t="s">
        <v>1754</v>
      </c>
      <c r="G240" s="1534" t="s">
        <v>1437</v>
      </c>
    </row>
    <row r="241" spans="4:7" x14ac:dyDescent="0.35">
      <c r="D241" s="1555">
        <v>43922</v>
      </c>
      <c r="E241" s="1555">
        <v>44124</v>
      </c>
      <c r="F241" s="1559">
        <f>+E241-D241+1</f>
        <v>203</v>
      </c>
      <c r="G241" s="1538">
        <v>0.1085</v>
      </c>
    </row>
    <row r="242" spans="4:7" x14ac:dyDescent="0.35">
      <c r="D242" s="1555">
        <v>44125</v>
      </c>
      <c r="E242" s="1555">
        <v>44286</v>
      </c>
      <c r="F242" s="1559">
        <f>+E242-D242+1</f>
        <v>162</v>
      </c>
      <c r="G242" s="1538">
        <v>9.9500000000000005E-2</v>
      </c>
    </row>
    <row r="243" spans="4:7" x14ac:dyDescent="0.35">
      <c r="D243" s="2059" t="s">
        <v>1755</v>
      </c>
      <c r="E243" s="2059"/>
      <c r="F243" s="1560">
        <f>SUM(F241:F242)</f>
        <v>365</v>
      </c>
      <c r="G243" s="1557">
        <f>+SUMPRODUCT(F241:F242,G241:G242)/F243</f>
        <v>0.10450547945205479</v>
      </c>
    </row>
    <row r="244" spans="4:7" x14ac:dyDescent="0.35">
      <c r="D244" s="2058" t="s">
        <v>1753</v>
      </c>
      <c r="E244" s="2058"/>
      <c r="F244" s="1534" t="s">
        <v>1754</v>
      </c>
      <c r="G244" s="1534" t="s">
        <v>1437</v>
      </c>
    </row>
    <row r="245" spans="4:7" x14ac:dyDescent="0.35">
      <c r="D245" s="1555">
        <f>+E242+1</f>
        <v>44287</v>
      </c>
      <c r="E245" s="1555">
        <v>44489</v>
      </c>
      <c r="F245" s="1559">
        <f>+E245-D245+1</f>
        <v>203</v>
      </c>
      <c r="G245" s="1538">
        <v>9.9500000000000005E-2</v>
      </c>
    </row>
    <row r="246" spans="4:7" x14ac:dyDescent="0.35">
      <c r="D246" s="1555">
        <f>+E245+1</f>
        <v>44490</v>
      </c>
      <c r="E246" s="1555">
        <v>44651</v>
      </c>
      <c r="F246" s="1559">
        <f>+E246-D246+1</f>
        <v>162</v>
      </c>
      <c r="G246" s="1538">
        <v>9.8500000000000004E-2</v>
      </c>
    </row>
    <row r="247" spans="4:7" x14ac:dyDescent="0.35">
      <c r="D247" s="2059" t="s">
        <v>1755</v>
      </c>
      <c r="E247" s="2059"/>
      <c r="F247" s="1560">
        <f>SUM(F245:F246)</f>
        <v>365</v>
      </c>
      <c r="G247" s="1557">
        <f>+SUMPRODUCT(F245:F246,G245:G246)/F247</f>
        <v>9.9056164383561657E-2</v>
      </c>
    </row>
  </sheetData>
  <mergeCells count="43">
    <mergeCell ref="D236:E236"/>
    <mergeCell ref="D239:E239"/>
    <mergeCell ref="D244:E244"/>
    <mergeCell ref="D247:E247"/>
    <mergeCell ref="D240:E240"/>
    <mergeCell ref="D243:E243"/>
    <mergeCell ref="D233:E233"/>
    <mergeCell ref="P28:P29"/>
    <mergeCell ref="K10:O10"/>
    <mergeCell ref="K28:O28"/>
    <mergeCell ref="B2:P2"/>
    <mergeCell ref="B3:P3"/>
    <mergeCell ref="B4:P4"/>
    <mergeCell ref="B10:B11"/>
    <mergeCell ref="C10:C11"/>
    <mergeCell ref="D11:I11"/>
    <mergeCell ref="D29:I29"/>
    <mergeCell ref="B28:B29"/>
    <mergeCell ref="C28:C29"/>
    <mergeCell ref="C69:G69"/>
    <mergeCell ref="B123:B124"/>
    <mergeCell ref="C123:C124"/>
    <mergeCell ref="P123:P124"/>
    <mergeCell ref="K74:O74"/>
    <mergeCell ref="K123:O123"/>
    <mergeCell ref="D124:I124"/>
    <mergeCell ref="B74:B75"/>
    <mergeCell ref="P74:P75"/>
    <mergeCell ref="C116:G116"/>
    <mergeCell ref="C74:C75"/>
    <mergeCell ref="D75:I75"/>
    <mergeCell ref="C229:G229"/>
    <mergeCell ref="P141:P142"/>
    <mergeCell ref="C182:G182"/>
    <mergeCell ref="B187:B188"/>
    <mergeCell ref="C187:C188"/>
    <mergeCell ref="P187:P188"/>
    <mergeCell ref="B141:B142"/>
    <mergeCell ref="C141:C142"/>
    <mergeCell ref="K141:O141"/>
    <mergeCell ref="D142:I142"/>
    <mergeCell ref="K187:O187"/>
    <mergeCell ref="D188:I188"/>
  </mergeCells>
  <pageMargins left="1.02" right="0.25" top="1" bottom="1" header="0.25" footer="0.25"/>
  <pageSetup paperSize="9" scale="36" orientation="landscape" r:id="rId1"/>
  <headerFooter alignWithMargins="0">
    <oddHeader>&amp;F</oddHeader>
  </headerFooter>
  <rowBreaks count="3" manualBreakCount="3">
    <brk id="71" min="1" max="17" man="1"/>
    <brk id="117" min="1" max="17" man="1"/>
    <brk id="184" min="1" max="17"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3:R114"/>
  <sheetViews>
    <sheetView showGridLines="0" view="pageBreakPreview" topLeftCell="B31" zoomScale="80" zoomScaleNormal="80" zoomScaleSheetLayoutView="90" workbookViewId="0">
      <selection activeCell="G28" sqref="G28"/>
    </sheetView>
  </sheetViews>
  <sheetFormatPr defaultColWidth="9.33203125" defaultRowHeight="13.9" x14ac:dyDescent="0.4"/>
  <cols>
    <col min="1" max="1" width="3.33203125" style="1" customWidth="1"/>
    <col min="2" max="2" width="8.46484375" style="51" customWidth="1"/>
    <col min="3" max="3" width="78.6640625" style="1" customWidth="1"/>
    <col min="4" max="4" width="13.53125" style="1" customWidth="1"/>
    <col min="5" max="10" width="13.796875" style="1" bestFit="1" customWidth="1"/>
    <col min="11" max="11" width="16.19921875" style="1" bestFit="1" customWidth="1"/>
    <col min="12" max="12" width="18.6640625" style="1" customWidth="1"/>
    <col min="13" max="13" width="35.6640625" style="1" customWidth="1"/>
    <col min="14" max="14" width="18.6640625" style="1" customWidth="1"/>
    <col min="15" max="15" width="34.53125" style="1" customWidth="1"/>
    <col min="16" max="16" width="18.6640625" style="1" customWidth="1"/>
    <col min="17" max="17" width="17.53125" style="1" customWidth="1"/>
    <col min="18" max="18" width="14.6640625" style="1" customWidth="1"/>
    <col min="19" max="19" width="15.53125" style="1" customWidth="1"/>
    <col min="20" max="20" width="15.33203125" style="1" customWidth="1"/>
    <col min="21" max="16384" width="9.33203125" style="1"/>
  </cols>
  <sheetData>
    <row r="3" spans="2:18" x14ac:dyDescent="0.4">
      <c r="B3" s="1937" t="str">
        <f>+Index!B2</f>
        <v>Nidar Utilities Panvel LLP</v>
      </c>
      <c r="C3" s="1937"/>
      <c r="D3" s="1937"/>
      <c r="E3" s="1937"/>
      <c r="F3" s="1937"/>
      <c r="G3" s="1937"/>
      <c r="H3" s="1937"/>
      <c r="I3" s="1937"/>
      <c r="J3" s="1937"/>
      <c r="K3" s="1937"/>
      <c r="L3" s="144"/>
      <c r="M3" s="144"/>
      <c r="N3" s="144"/>
      <c r="O3" s="144"/>
      <c r="P3" s="144"/>
    </row>
    <row r="4" spans="2:18" x14ac:dyDescent="0.4">
      <c r="B4" s="1875" t="s">
        <v>340</v>
      </c>
      <c r="C4" s="1875"/>
      <c r="D4" s="1875"/>
      <c r="E4" s="1875"/>
      <c r="F4" s="1875"/>
      <c r="G4" s="1875"/>
      <c r="H4" s="1875"/>
      <c r="I4" s="1875"/>
      <c r="J4" s="1875"/>
      <c r="K4" s="1875"/>
      <c r="L4" s="144"/>
      <c r="M4" s="144"/>
      <c r="N4" s="144"/>
      <c r="O4" s="144"/>
      <c r="P4" s="144"/>
    </row>
    <row r="5" spans="2:18" x14ac:dyDescent="0.4">
      <c r="B5" s="1875" t="s">
        <v>586</v>
      </c>
      <c r="C5" s="1875"/>
      <c r="D5" s="1875"/>
      <c r="E5" s="1875"/>
      <c r="F5" s="1875"/>
      <c r="G5" s="1875"/>
      <c r="H5" s="1875"/>
      <c r="I5" s="1875"/>
      <c r="J5" s="1875"/>
      <c r="K5" s="1875"/>
      <c r="L5" s="144"/>
      <c r="M5" s="144"/>
      <c r="N5" s="144"/>
      <c r="O5" s="144"/>
      <c r="P5" s="144"/>
    </row>
    <row r="6" spans="2:18" x14ac:dyDescent="0.4">
      <c r="B6" s="84"/>
      <c r="C6" s="7"/>
      <c r="D6" s="5"/>
      <c r="E6" s="5"/>
      <c r="F6" s="5"/>
      <c r="G6" s="5"/>
      <c r="H6" s="5"/>
      <c r="I6" s="5"/>
      <c r="J6" s="5"/>
      <c r="K6" s="5"/>
    </row>
    <row r="7" spans="2:18" x14ac:dyDescent="0.4">
      <c r="B7" s="84"/>
      <c r="C7" s="7"/>
      <c r="D7" s="5"/>
      <c r="E7" s="5"/>
      <c r="F7" s="5"/>
      <c r="G7" s="5"/>
      <c r="H7" s="5"/>
      <c r="I7" s="5"/>
      <c r="J7" s="5"/>
      <c r="K7" s="5"/>
    </row>
    <row r="8" spans="2:18" x14ac:dyDescent="0.4">
      <c r="B8" s="83" t="s">
        <v>587</v>
      </c>
      <c r="C8" s="7"/>
      <c r="D8" s="5"/>
      <c r="E8" s="5"/>
      <c r="F8" s="5"/>
      <c r="G8" s="5"/>
      <c r="H8" s="5"/>
      <c r="I8" s="5"/>
      <c r="J8" s="5"/>
      <c r="K8" s="5"/>
      <c r="L8" s="83"/>
      <c r="M8" s="7"/>
      <c r="N8" s="5"/>
      <c r="O8" s="5"/>
      <c r="P8" s="5"/>
    </row>
    <row r="9" spans="2:18" x14ac:dyDescent="0.4">
      <c r="B9" s="84"/>
      <c r="C9" s="99"/>
      <c r="D9" s="5"/>
      <c r="E9" s="5"/>
      <c r="F9" s="5"/>
      <c r="G9" s="5"/>
      <c r="H9" s="5"/>
      <c r="I9" s="5"/>
      <c r="J9" s="5"/>
      <c r="K9" s="5"/>
      <c r="L9" s="84"/>
      <c r="M9" s="99"/>
      <c r="N9" s="5"/>
      <c r="O9" s="5"/>
      <c r="P9" s="5"/>
    </row>
    <row r="10" spans="2:18" x14ac:dyDescent="0.4">
      <c r="B10" s="84"/>
      <c r="C10" s="99"/>
      <c r="D10" s="5"/>
      <c r="E10" s="5"/>
      <c r="F10" s="5"/>
      <c r="G10" s="5"/>
      <c r="H10" s="5"/>
      <c r="I10" s="5"/>
      <c r="J10" s="5"/>
      <c r="K10" s="5"/>
      <c r="L10" s="84"/>
      <c r="M10" s="99"/>
      <c r="N10" s="5"/>
      <c r="O10" s="5"/>
      <c r="P10" s="5"/>
    </row>
    <row r="11" spans="2:18" x14ac:dyDescent="0.4">
      <c r="B11" s="84"/>
      <c r="C11" s="99" t="s">
        <v>553</v>
      </c>
      <c r="D11" s="5"/>
      <c r="E11" s="5"/>
      <c r="F11" s="5"/>
      <c r="G11" s="5"/>
      <c r="H11" s="5"/>
      <c r="I11" s="5"/>
      <c r="J11" s="5"/>
      <c r="K11" s="5"/>
      <c r="L11" s="84"/>
      <c r="M11" s="99"/>
      <c r="N11" s="5"/>
      <c r="O11" s="5"/>
      <c r="P11" s="5"/>
    </row>
    <row r="12" spans="2:18" x14ac:dyDescent="0.4">
      <c r="B12" s="83"/>
      <c r="C12" s="40"/>
      <c r="D12" s="5"/>
      <c r="E12" s="5"/>
      <c r="F12" s="5"/>
      <c r="G12" s="5"/>
      <c r="H12" s="5"/>
      <c r="I12" s="5"/>
      <c r="J12" s="15" t="s">
        <v>110</v>
      </c>
      <c r="K12" s="5"/>
    </row>
    <row r="13" spans="2:18" x14ac:dyDescent="0.4">
      <c r="B13" s="2060" t="s">
        <v>1</v>
      </c>
      <c r="C13" s="2061" t="s">
        <v>111</v>
      </c>
      <c r="D13" s="2061" t="s">
        <v>588</v>
      </c>
      <c r="E13" s="98" t="s">
        <v>196</v>
      </c>
      <c r="F13" s="98" t="s">
        <v>197</v>
      </c>
      <c r="G13" s="98" t="s">
        <v>198</v>
      </c>
      <c r="H13" s="98" t="s">
        <v>199</v>
      </c>
      <c r="I13" s="217" t="s">
        <v>112</v>
      </c>
      <c r="J13" s="217" t="s">
        <v>113</v>
      </c>
      <c r="K13" s="217" t="s">
        <v>114</v>
      </c>
      <c r="Q13" s="34"/>
      <c r="R13" s="34"/>
    </row>
    <row r="14" spans="2:18" ht="27" x14ac:dyDescent="0.4">
      <c r="B14" s="2054"/>
      <c r="C14" s="2062"/>
      <c r="D14" s="2062"/>
      <c r="E14" s="1934" t="s">
        <v>117</v>
      </c>
      <c r="F14" s="1935"/>
      <c r="G14" s="1935"/>
      <c r="H14" s="1935"/>
      <c r="I14" s="1935"/>
      <c r="J14" s="1936"/>
      <c r="K14" s="217" t="s">
        <v>121</v>
      </c>
      <c r="Q14" s="34"/>
      <c r="R14" s="34"/>
    </row>
    <row r="15" spans="2:18" s="39" customFormat="1" x14ac:dyDescent="0.4">
      <c r="B15" s="85">
        <v>1</v>
      </c>
      <c r="C15" s="82" t="s">
        <v>589</v>
      </c>
      <c r="D15" s="85"/>
      <c r="E15" s="1220">
        <f>+'ARR-Summary'!E12/6</f>
        <v>0.27275508129999998</v>
      </c>
      <c r="F15" s="1220">
        <f>+'ARR-Summary'!F12/12</f>
        <v>0.2385584861481759</v>
      </c>
      <c r="G15" s="1220">
        <f>+'ARR-Summary'!G12/12</f>
        <v>0.23915269002083331</v>
      </c>
      <c r="H15" s="1220">
        <f>+'ARR-Summary'!H12/12</f>
        <v>0.28364676025833341</v>
      </c>
      <c r="I15" s="1220">
        <f>+'ARR-Summary'!I12/12</f>
        <v>0.33179104929636105</v>
      </c>
      <c r="J15" s="1220">
        <f>+'ARR-Summary'!J12/12</f>
        <v>0.26372763614166667</v>
      </c>
      <c r="K15" s="1220">
        <f>+'ARR-Summary'!K12/12</f>
        <v>0.40880506132916666</v>
      </c>
      <c r="Q15" s="34"/>
    </row>
    <row r="16" spans="2:18" s="39" customFormat="1" x14ac:dyDescent="0.4">
      <c r="B16" s="85">
        <f>B15+1</f>
        <v>2</v>
      </c>
      <c r="C16" s="82" t="s">
        <v>590</v>
      </c>
      <c r="D16" s="85"/>
      <c r="E16" s="1220">
        <f>+'F5.1 (E) Exisiting'!D24*1%</f>
        <v>0</v>
      </c>
      <c r="F16" s="1220">
        <f>+'F5.1 (E) Exisiting'!I24*1%</f>
        <v>0.55546881447500007</v>
      </c>
      <c r="G16" s="628">
        <f>+'F5.1 (E) Exisiting'!N24*1%</f>
        <v>0.67108410398958795</v>
      </c>
      <c r="H16" s="628">
        <f>+'F5.1 (E) Exisiting'!S24*1%</f>
        <v>0.68383052203958783</v>
      </c>
      <c r="I16" s="628">
        <f>+'F5.1 (E) Exisiting'!D38*1%</f>
        <v>0.69037944849958777</v>
      </c>
      <c r="J16" s="628">
        <f>+'F5.1 (E) Exisiting'!I38*1%</f>
        <v>0.69042919840958772</v>
      </c>
      <c r="K16" s="628">
        <f>+'F5.1 (E) Exisiting'!N38*1%</f>
        <v>0.691712824054588</v>
      </c>
      <c r="Q16" s="34"/>
    </row>
    <row r="17" spans="2:17" s="39" customFormat="1" x14ac:dyDescent="0.4">
      <c r="B17" s="85">
        <f t="shared" ref="B17:B23" si="0">B16+1</f>
        <v>3</v>
      </c>
      <c r="C17" s="55" t="s">
        <v>591</v>
      </c>
      <c r="D17" s="85"/>
      <c r="E17" s="1220">
        <f>+'F13'!G33/6*1.5</f>
        <v>2.531863375E-2</v>
      </c>
      <c r="F17" s="1220">
        <f>+'F13'!G69/12*1.5</f>
        <v>3.3493795394999998E-2</v>
      </c>
      <c r="G17" s="628">
        <f>+'F13'!G105/12*1.5</f>
        <v>7.1961370288749993E-2</v>
      </c>
      <c r="H17" s="628">
        <f>+'F13'!G135/12*1.5</f>
        <v>0.14284698543249999</v>
      </c>
      <c r="I17" s="628">
        <f>+'F13'!G165/12*1.5</f>
        <v>0.2172439410194375</v>
      </c>
      <c r="J17" s="700">
        <f>+'F13'!G195/12*1.5</f>
        <v>0.33734408784599995</v>
      </c>
      <c r="K17" s="700">
        <f>+'F13'!G226/12*1.5</f>
        <v>0.65308024987137503</v>
      </c>
      <c r="Q17" s="34"/>
    </row>
    <row r="18" spans="2:17" s="39" customFormat="1" x14ac:dyDescent="0.4">
      <c r="B18" s="85">
        <f t="shared" si="0"/>
        <v>4</v>
      </c>
      <c r="C18" s="35" t="s">
        <v>592</v>
      </c>
      <c r="D18" s="143"/>
      <c r="E18" s="628">
        <f>+E110*Assum!$E$95</f>
        <v>5.6132000000000008E-2</v>
      </c>
      <c r="F18" s="628">
        <f>+F110*Assum!$E$95</f>
        <v>0.38114320000000002</v>
      </c>
      <c r="G18" s="628">
        <f>+G110*Assum!$F$95</f>
        <v>0.34141319999999997</v>
      </c>
      <c r="H18" s="628">
        <f>+H110*Assum!$F$95</f>
        <v>0.59299999999999997</v>
      </c>
      <c r="I18" s="628">
        <f>+I110*Assum!$F$95</f>
        <v>0.63600000000000012</v>
      </c>
      <c r="J18" s="628">
        <f>+J110*Assum!$F$95</f>
        <v>0.67500000000000004</v>
      </c>
      <c r="K18" s="628">
        <f>+K110*Assum!$F$95</f>
        <v>1.6654382600000002</v>
      </c>
      <c r="L18" s="34"/>
      <c r="M18" s="34"/>
      <c r="N18" s="34"/>
      <c r="Q18" s="34"/>
    </row>
    <row r="19" spans="2:17" s="39" customFormat="1" x14ac:dyDescent="0.35">
      <c r="B19" s="85">
        <f t="shared" si="0"/>
        <v>5</v>
      </c>
      <c r="C19" s="76" t="s">
        <v>593</v>
      </c>
      <c r="D19" s="143"/>
      <c r="E19" s="630">
        <f>+E15+E16+E17-E18</f>
        <v>0.24194171504999995</v>
      </c>
      <c r="F19" s="630">
        <f t="shared" ref="F19:K19" si="1">+F15+F16+F17-F18</f>
        <v>0.4463778960181759</v>
      </c>
      <c r="G19" s="630">
        <f t="shared" si="1"/>
        <v>0.64078496429917131</v>
      </c>
      <c r="H19" s="630">
        <f t="shared" si="1"/>
        <v>0.51732426773042128</v>
      </c>
      <c r="I19" s="630">
        <f t="shared" si="1"/>
        <v>0.60341443881538637</v>
      </c>
      <c r="J19" s="630">
        <f t="shared" si="1"/>
        <v>0.61650092239725418</v>
      </c>
      <c r="K19" s="630">
        <f t="shared" si="1"/>
        <v>8.8159875255129583E-2</v>
      </c>
      <c r="L19" s="34"/>
      <c r="M19" s="34"/>
      <c r="N19" s="34"/>
      <c r="Q19" s="34"/>
    </row>
    <row r="20" spans="2:17" s="39" customFormat="1" x14ac:dyDescent="0.35">
      <c r="B20" s="85"/>
      <c r="C20" s="94"/>
      <c r="D20" s="143"/>
      <c r="E20" s="630"/>
      <c r="F20" s="630"/>
      <c r="G20" s="628"/>
      <c r="H20" s="628"/>
      <c r="I20" s="628"/>
      <c r="J20" s="700"/>
      <c r="K20" s="105"/>
      <c r="L20" s="34"/>
      <c r="M20" s="34"/>
      <c r="N20" s="34"/>
      <c r="Q20" s="34"/>
    </row>
    <row r="21" spans="2:17" s="39" customFormat="1" x14ac:dyDescent="0.35">
      <c r="B21" s="85">
        <v>6</v>
      </c>
      <c r="C21" s="87" t="s">
        <v>594</v>
      </c>
      <c r="D21" s="143"/>
      <c r="E21" s="630"/>
      <c r="F21" s="630"/>
      <c r="G21" s="628"/>
      <c r="H21" s="628"/>
      <c r="I21" s="628"/>
      <c r="J21" s="700"/>
      <c r="K21" s="105"/>
      <c r="L21" s="34"/>
      <c r="M21" s="34"/>
      <c r="N21" s="34"/>
      <c r="Q21" s="34"/>
    </row>
    <row r="22" spans="2:17" s="10" customFormat="1" x14ac:dyDescent="0.4">
      <c r="B22" s="85">
        <v>7</v>
      </c>
      <c r="C22" s="36" t="s">
        <v>595</v>
      </c>
      <c r="D22" s="21"/>
      <c r="E22" s="1229">
        <f>+Assum!E54</f>
        <v>9.8897260273972623E-2</v>
      </c>
      <c r="F22" s="1229">
        <f>+Assum!F54</f>
        <v>9.657240437158468E-2</v>
      </c>
      <c r="G22" s="1229">
        <f>+Assum!G54</f>
        <v>8.5726027397260277E-2</v>
      </c>
      <c r="H22" s="1229">
        <f>+Assum!H54</f>
        <v>8.5000000000000006E-2</v>
      </c>
      <c r="I22" s="1229">
        <f>+Assum!I54</f>
        <v>9.2987671232876712E-2</v>
      </c>
      <c r="J22" s="1229">
        <f>+Assum!J54</f>
        <v>0.10035655737704921</v>
      </c>
      <c r="K22" s="1229">
        <f>+Assum!K54</f>
        <v>0.1028219178082192</v>
      </c>
      <c r="L22" s="34"/>
      <c r="M22" s="34"/>
      <c r="N22" s="34"/>
    </row>
    <row r="23" spans="2:17" s="10" customFormat="1" x14ac:dyDescent="0.35">
      <c r="B23" s="85">
        <f t="shared" si="0"/>
        <v>8</v>
      </c>
      <c r="C23" s="37" t="s">
        <v>139</v>
      </c>
      <c r="D23" s="19"/>
      <c r="E23" s="1216">
        <f>+E19*E22/12*6</f>
        <v>1.1963686382215582E-2</v>
      </c>
      <c r="F23" s="1216">
        <f t="shared" ref="F23:K23" si="2">+F19*F22</f>
        <v>4.3107786676804462E-2</v>
      </c>
      <c r="G23" s="1216">
        <f t="shared" si="2"/>
        <v>5.4931949405263206E-2</v>
      </c>
      <c r="H23" s="1216">
        <f t="shared" si="2"/>
        <v>4.397256275708581E-2</v>
      </c>
      <c r="I23" s="1216">
        <f t="shared" si="2"/>
        <v>5.6110103453735946E-2</v>
      </c>
      <c r="J23" s="1216">
        <f t="shared" si="2"/>
        <v>6.18699101915638E-2</v>
      </c>
      <c r="K23" s="1216">
        <f t="shared" si="2"/>
        <v>9.0647674474657915E-3</v>
      </c>
      <c r="L23" s="34"/>
      <c r="M23" s="34"/>
      <c r="N23" s="34"/>
    </row>
    <row r="24" spans="2:17" s="10" customFormat="1" x14ac:dyDescent="0.4">
      <c r="B24" s="218">
        <v>9</v>
      </c>
      <c r="C24" s="36" t="s">
        <v>596</v>
      </c>
      <c r="D24" s="113"/>
      <c r="E24" s="715"/>
      <c r="F24" s="715"/>
      <c r="G24" s="700"/>
      <c r="H24" s="700"/>
      <c r="I24" s="700"/>
      <c r="J24" s="700"/>
      <c r="K24" s="105"/>
      <c r="L24" s="34"/>
      <c r="M24" s="34"/>
      <c r="N24" s="34"/>
    </row>
    <row r="25" spans="2:17" s="10" customFormat="1" ht="15.4" x14ac:dyDescent="0.35">
      <c r="B25" s="146"/>
      <c r="C25" s="145"/>
      <c r="D25" s="19"/>
      <c r="E25" s="676"/>
      <c r="F25" s="676"/>
      <c r="G25" s="676"/>
      <c r="H25" s="676"/>
      <c r="I25" s="676"/>
      <c r="J25" s="676"/>
      <c r="K25" s="105"/>
      <c r="L25" s="34"/>
      <c r="M25" s="34"/>
      <c r="N25" s="34"/>
    </row>
    <row r="26" spans="2:17" s="10" customFormat="1" ht="15.4" x14ac:dyDescent="0.35">
      <c r="B26" s="146">
        <v>10</v>
      </c>
      <c r="C26" s="147" t="s">
        <v>597</v>
      </c>
      <c r="D26" s="19"/>
      <c r="E26" s="676"/>
      <c r="F26" s="676"/>
      <c r="G26" s="676"/>
      <c r="H26" s="676"/>
      <c r="I26" s="676"/>
      <c r="J26" s="676"/>
      <c r="K26" s="105"/>
      <c r="L26" s="34"/>
      <c r="M26" s="34"/>
      <c r="N26" s="34"/>
    </row>
    <row r="27" spans="2:17" s="10" customFormat="1" x14ac:dyDescent="0.35">
      <c r="B27" s="85">
        <f>B26+1</f>
        <v>11</v>
      </c>
      <c r="C27" s="36" t="s">
        <v>598</v>
      </c>
      <c r="D27" s="19"/>
      <c r="E27" s="676"/>
      <c r="F27" s="676"/>
      <c r="G27" s="676"/>
      <c r="H27" s="676"/>
      <c r="I27" s="676"/>
      <c r="J27" s="676"/>
      <c r="K27" s="105"/>
      <c r="L27" s="34"/>
      <c r="M27" s="34"/>
      <c r="N27" s="34"/>
    </row>
    <row r="28" spans="2:17" s="10" customFormat="1" ht="15" x14ac:dyDescent="0.35">
      <c r="B28" s="85">
        <f>B27+1</f>
        <v>12</v>
      </c>
      <c r="C28" s="145" t="s">
        <v>597</v>
      </c>
      <c r="D28" s="19"/>
      <c r="E28" s="1216">
        <f>+Recon!E104*Assum!$E$95</f>
        <v>1.1004869E-3</v>
      </c>
      <c r="F28" s="1216">
        <f>+Recon!H104*Assum!$E$95</f>
        <v>6.1948608000000002E-3</v>
      </c>
      <c r="G28" s="1216">
        <f>+Recon!K104*Assum!$F$95</f>
        <v>1.1833463700000001E-2</v>
      </c>
      <c r="H28" s="1216">
        <f>+Recon!N104*Assum!$F$95</f>
        <v>2.234883E-2</v>
      </c>
      <c r="I28" s="1216">
        <f>+Recon!Q104*Assum!$F$95</f>
        <v>2.5726390000000002E-2</v>
      </c>
      <c r="J28" s="1216">
        <f>+Recon!T104*Assum!$F$95</f>
        <v>4.4022800000000001E-2</v>
      </c>
      <c r="K28" s="1216">
        <f>+Recon!W104*Assum!$F$95</f>
        <v>8.6225510000000005E-2</v>
      </c>
      <c r="L28" s="34"/>
      <c r="M28" s="34"/>
      <c r="N28" s="34"/>
    </row>
    <row r="29" spans="2:17" x14ac:dyDescent="0.4">
      <c r="B29" s="88" t="s">
        <v>599</v>
      </c>
      <c r="C29" s="7"/>
      <c r="D29" s="7"/>
      <c r="E29" s="7"/>
      <c r="F29" s="7"/>
      <c r="G29" s="7"/>
      <c r="H29" s="7"/>
      <c r="I29" s="7"/>
      <c r="J29" s="7"/>
    </row>
    <row r="30" spans="2:17" x14ac:dyDescent="0.4">
      <c r="B30" s="51">
        <v>1</v>
      </c>
      <c r="C30" s="7" t="s">
        <v>600</v>
      </c>
      <c r="D30" s="30"/>
      <c r="E30" s="30"/>
      <c r="F30" s="30"/>
      <c r="G30" s="30"/>
      <c r="J30" s="7"/>
    </row>
    <row r="31" spans="2:17" x14ac:dyDescent="0.4">
      <c r="B31" s="51">
        <v>2</v>
      </c>
      <c r="C31" s="7" t="s">
        <v>601</v>
      </c>
      <c r="D31" s="30"/>
      <c r="E31" s="30"/>
      <c r="F31" s="30"/>
      <c r="G31" s="30"/>
      <c r="J31" s="7"/>
    </row>
    <row r="32" spans="2:17" ht="18" customHeight="1" x14ac:dyDescent="0.4">
      <c r="B32" s="51">
        <v>3</v>
      </c>
      <c r="C32" s="276" t="s">
        <v>602</v>
      </c>
      <c r="J32" s="7"/>
    </row>
    <row r="33" spans="2:18" s="6" customFormat="1" x14ac:dyDescent="0.4">
      <c r="B33" s="10"/>
      <c r="C33" s="102"/>
      <c r="D33" s="33"/>
      <c r="E33" s="33"/>
      <c r="F33" s="33"/>
      <c r="G33" s="103"/>
      <c r="H33" s="103"/>
      <c r="I33" s="103"/>
      <c r="J33" s="18"/>
      <c r="K33" s="34"/>
      <c r="Q33" s="34"/>
    </row>
    <row r="34" spans="2:18" s="6" customFormat="1" x14ac:dyDescent="0.35">
      <c r="B34" s="101"/>
      <c r="C34" s="104"/>
      <c r="D34" s="33"/>
      <c r="E34" s="33"/>
      <c r="F34" s="33"/>
      <c r="G34" s="103"/>
      <c r="H34" s="103"/>
      <c r="I34" s="103"/>
      <c r="J34" s="18"/>
      <c r="K34" s="34"/>
      <c r="L34" s="34"/>
      <c r="M34" s="34"/>
      <c r="N34" s="34"/>
      <c r="O34" s="34"/>
      <c r="P34" s="34"/>
      <c r="Q34" s="34"/>
    </row>
    <row r="35" spans="2:18" s="6" customFormat="1" x14ac:dyDescent="0.35">
      <c r="B35" s="101"/>
      <c r="C35" s="99" t="s">
        <v>278</v>
      </c>
      <c r="D35" s="33"/>
      <c r="E35" s="33"/>
      <c r="F35" s="33"/>
      <c r="G35" s="103"/>
      <c r="H35" s="103"/>
      <c r="I35" s="103"/>
      <c r="J35" s="18"/>
      <c r="K35" s="34"/>
      <c r="L35" s="34"/>
      <c r="M35" s="34"/>
      <c r="N35" s="34"/>
      <c r="O35" s="34"/>
      <c r="P35" s="34"/>
      <c r="Q35" s="34"/>
    </row>
    <row r="36" spans="2:18" s="6" customFormat="1" x14ac:dyDescent="0.4">
      <c r="B36" s="83"/>
      <c r="C36" s="40"/>
      <c r="D36" s="5"/>
      <c r="E36" s="5"/>
      <c r="F36" s="5"/>
      <c r="G36" s="5"/>
      <c r="H36" s="5"/>
      <c r="I36" s="5"/>
      <c r="J36" s="15" t="s">
        <v>110</v>
      </c>
      <c r="K36" s="34"/>
      <c r="L36" s="34"/>
      <c r="M36" s="34"/>
      <c r="N36" s="34"/>
      <c r="O36" s="34"/>
      <c r="P36" s="34"/>
      <c r="Q36" s="34"/>
    </row>
    <row r="37" spans="2:18" x14ac:dyDescent="0.4">
      <c r="B37" s="2060" t="s">
        <v>1</v>
      </c>
      <c r="C37" s="2061" t="s">
        <v>111</v>
      </c>
      <c r="D37" s="2061" t="s">
        <v>588</v>
      </c>
      <c r="E37" s="98" t="s">
        <v>196</v>
      </c>
      <c r="F37" s="98" t="s">
        <v>197</v>
      </c>
      <c r="G37" s="98" t="s">
        <v>198</v>
      </c>
      <c r="H37" s="98" t="s">
        <v>199</v>
      </c>
      <c r="I37" s="217" t="s">
        <v>112</v>
      </c>
      <c r="J37" s="217" t="s">
        <v>113</v>
      </c>
      <c r="K37" s="217" t="s">
        <v>114</v>
      </c>
      <c r="Q37" s="34"/>
      <c r="R37" s="34"/>
    </row>
    <row r="38" spans="2:18" ht="27" x14ac:dyDescent="0.4">
      <c r="B38" s="2054"/>
      <c r="C38" s="2062"/>
      <c r="D38" s="2062"/>
      <c r="E38" s="1941" t="s">
        <v>117</v>
      </c>
      <c r="F38" s="1941"/>
      <c r="G38" s="1941"/>
      <c r="H38" s="1941"/>
      <c r="I38" s="1941"/>
      <c r="J38" s="1941"/>
      <c r="K38" s="217" t="s">
        <v>121</v>
      </c>
      <c r="Q38" s="34"/>
      <c r="R38" s="34"/>
    </row>
    <row r="39" spans="2:18" s="6" customFormat="1" x14ac:dyDescent="0.4">
      <c r="B39" s="85">
        <v>1</v>
      </c>
      <c r="C39" s="82" t="s">
        <v>589</v>
      </c>
      <c r="D39" s="77"/>
      <c r="E39" s="1220">
        <f>+'ARR-Summary'!E50/6</f>
        <v>0.14686812069999999</v>
      </c>
      <c r="F39" s="1220">
        <f>+'ARR-Summary'!F50/12</f>
        <v>0.1284545694644024</v>
      </c>
      <c r="G39" s="1220">
        <f>+'ARR-Summary'!G50/12</f>
        <v>0.12877452539583331</v>
      </c>
      <c r="H39" s="1220">
        <f>+'ARR-Summary'!H50/12</f>
        <v>0.15273287090833335</v>
      </c>
      <c r="I39" s="1220">
        <f>+'ARR-Summary'!I50/12</f>
        <v>0.17865671885188669</v>
      </c>
      <c r="J39" s="1220">
        <f>+'ARR-Summary'!J50/12</f>
        <v>0.14200718869166665</v>
      </c>
      <c r="K39" s="1220">
        <f>+'ARR-Summary'!K50/12</f>
        <v>0.22012580225416659</v>
      </c>
      <c r="L39" s="34"/>
      <c r="M39" s="34"/>
      <c r="N39" s="34"/>
      <c r="O39" s="34"/>
      <c r="P39" s="34"/>
      <c r="Q39" s="34"/>
    </row>
    <row r="40" spans="2:18" s="6" customFormat="1" x14ac:dyDescent="0.4">
      <c r="B40" s="85">
        <f>B39+1</f>
        <v>2</v>
      </c>
      <c r="C40" s="82" t="s">
        <v>590</v>
      </c>
      <c r="D40" s="77"/>
      <c r="E40" s="1220">
        <f>+'F5.2 (E) Existing'!D24*1%</f>
        <v>0</v>
      </c>
      <c r="F40" s="1220">
        <f>+'F5.2 (E) Existing'!I24*1%</f>
        <v>7.6591354750000012E-3</v>
      </c>
      <c r="G40" s="628">
        <f>+'F5.2 (E) Existing'!N24*1%</f>
        <v>2.0345428464234327E-2</v>
      </c>
      <c r="H40" s="628">
        <f>+'F5.2 (E) Existing'!S24*1%</f>
        <v>2.044863758423433E-2</v>
      </c>
      <c r="I40" s="628">
        <f>+'F5.2 (E) Existing'!D38*1%</f>
        <v>2.3511281874234329E-2</v>
      </c>
      <c r="J40" s="700">
        <f>+'F5.2 (E) Existing'!I38*1%</f>
        <v>3.5795525864234325E-2</v>
      </c>
      <c r="K40" s="1231">
        <f>+'F5.2 (E) Existing'!N38*1%</f>
        <v>3.6266034139234328E-2</v>
      </c>
      <c r="L40" s="34"/>
      <c r="M40" s="34"/>
      <c r="N40" s="34"/>
      <c r="O40" s="34"/>
      <c r="P40" s="34"/>
      <c r="Q40" s="34"/>
    </row>
    <row r="41" spans="2:18" s="6" customFormat="1" ht="27.75" x14ac:dyDescent="0.4">
      <c r="B41" s="85">
        <f>B40+1</f>
        <v>3</v>
      </c>
      <c r="C41" s="55" t="s">
        <v>603</v>
      </c>
      <c r="D41" s="77"/>
      <c r="E41" s="1220">
        <f>+('F13'!O33-'F13'!G33)/6*1.5</f>
        <v>0.35619731250000003</v>
      </c>
      <c r="F41" s="1220">
        <f>('F13'!O69-'F13'!G69)/12*1.5</f>
        <v>0.50282433096250012</v>
      </c>
      <c r="G41" s="628">
        <f>+('F13'!O105-'F13'!G105)/12*1.5</f>
        <v>1.3529152730183749</v>
      </c>
      <c r="H41" s="628">
        <f>('F13'!O135-'F13'!G135)/12*1.5</f>
        <v>1.6812223300825</v>
      </c>
      <c r="I41" s="628">
        <f>('F13'!O165-'F13'!G165)/12*1.5</f>
        <v>2.5058277145655872</v>
      </c>
      <c r="J41" s="700">
        <f>('F13'!O195-'F13'!G195)/12*1.5</f>
        <v>4.7714654788227495</v>
      </c>
      <c r="K41" s="1231">
        <f>('F13'!O226-'F13'!G226)/12*1.5</f>
        <v>8.5934306050108731</v>
      </c>
      <c r="L41" s="34"/>
      <c r="M41" s="34"/>
      <c r="N41" s="34"/>
      <c r="O41" s="34"/>
      <c r="P41" s="34"/>
      <c r="Q41" s="34"/>
    </row>
    <row r="42" spans="2:18" s="6" customFormat="1" x14ac:dyDescent="0.4">
      <c r="B42" s="85">
        <f>B41+1</f>
        <v>4</v>
      </c>
      <c r="C42" s="35" t="s">
        <v>604</v>
      </c>
      <c r="D42" s="79"/>
      <c r="E42" s="628">
        <f>+E110*(1-Assum!$E$95)</f>
        <v>0.50518800000000008</v>
      </c>
      <c r="F42" s="628">
        <f>+F110*(1-Assum!$E$95)</f>
        <v>3.4302888</v>
      </c>
      <c r="G42" s="628">
        <f>+G110*(1-Assum!$F$95)</f>
        <v>3.0727187999999996</v>
      </c>
      <c r="H42" s="628">
        <f>+H110*(1-Assum!$F$95)</f>
        <v>5.3369999999999997</v>
      </c>
      <c r="I42" s="628">
        <f>+I110*(1-Assum!$F$95)</f>
        <v>5.7240000000000002</v>
      </c>
      <c r="J42" s="628">
        <f>+J110*(1-Assum!$F$95)</f>
        <v>6.0750000000000002</v>
      </c>
      <c r="K42" s="628">
        <f>+K110*(1-Assum!$F$95)</f>
        <v>14.988944340000002</v>
      </c>
      <c r="L42" s="34"/>
      <c r="M42" s="34"/>
      <c r="N42" s="34"/>
      <c r="O42" s="34"/>
      <c r="P42" s="34"/>
      <c r="Q42" s="34"/>
    </row>
    <row r="43" spans="2:18" s="6" customFormat="1" x14ac:dyDescent="0.35">
      <c r="B43" s="85">
        <f>B42+1</f>
        <v>5</v>
      </c>
      <c r="C43" s="96" t="s">
        <v>605</v>
      </c>
      <c r="D43" s="79"/>
      <c r="E43" s="628">
        <f>('ARR-Summary'!E49+'ARR-Summary'!E57+'ARR-Summary'!E58+'ARR-Summary'!E59)/6</f>
        <v>0.28655426666666667</v>
      </c>
      <c r="F43" s="628">
        <f>('ARR-Summary'!F49+'ARR-Summary'!F57+'ARR-Summary'!F58+'ARR-Summary'!F59)/12</f>
        <v>0.35866567500000007</v>
      </c>
      <c r="G43" s="628">
        <f>('ARR-Summary'!G49+'ARR-Summary'!G57+'ARR-Summary'!G58+'ARR-Summary'!G59)/12</f>
        <v>0.38278494958333326</v>
      </c>
      <c r="H43" s="628">
        <f>('ARR-Summary'!H49+'ARR-Summary'!H57+'ARR-Summary'!H58+'ARR-Summary'!H59)/12</f>
        <v>0.76820189516666693</v>
      </c>
      <c r="I43" s="628">
        <f>('ARR-Summary'!I49+'ARR-Summary'!I57+'ARR-Summary'!I58+'ARR-Summary'!I59)/12</f>
        <v>1.1029359458333332</v>
      </c>
      <c r="J43" s="628">
        <f>('ARR-Summary'!J49+'ARR-Summary'!J57+'ARR-Summary'!J58+'ARR-Summary'!J59)/12</f>
        <v>1.9237422644166664</v>
      </c>
      <c r="K43" s="628">
        <f>('ARR-Summary'!K49+'ARR-Summary'!K57+'ARR-Summary'!K58+'ARR-Summary'!K59)/12</f>
        <v>4.334483126876667</v>
      </c>
      <c r="L43" s="34"/>
      <c r="M43" s="34"/>
      <c r="N43" s="34"/>
      <c r="O43" s="34"/>
      <c r="P43" s="34"/>
      <c r="Q43" s="34"/>
    </row>
    <row r="44" spans="2:18" s="6" customFormat="1" x14ac:dyDescent="0.35">
      <c r="B44" s="85">
        <f>B43+1</f>
        <v>6</v>
      </c>
      <c r="C44" s="76" t="s">
        <v>593</v>
      </c>
      <c r="D44" s="105"/>
      <c r="E44" s="630">
        <f>+E39+E40+E41-E42-E43</f>
        <v>-0.28867683346666678</v>
      </c>
      <c r="F44" s="630">
        <f t="shared" ref="F44:K44" si="3">+F39+F40+F41-F42-F43</f>
        <v>-3.1500164390980974</v>
      </c>
      <c r="G44" s="630">
        <f t="shared" si="3"/>
        <v>-1.9534685227048905</v>
      </c>
      <c r="H44" s="630">
        <f t="shared" si="3"/>
        <v>-4.2507980565915986</v>
      </c>
      <c r="I44" s="630">
        <f t="shared" si="3"/>
        <v>-4.1189402305416252</v>
      </c>
      <c r="J44" s="630">
        <f t="shared" si="3"/>
        <v>-3.0494740710380155</v>
      </c>
      <c r="K44" s="630">
        <f t="shared" si="3"/>
        <v>-10.473605025472395</v>
      </c>
      <c r="L44" s="34"/>
      <c r="M44" s="34"/>
      <c r="N44" s="34"/>
      <c r="O44" s="34"/>
      <c r="P44" s="34"/>
      <c r="Q44" s="34"/>
    </row>
    <row r="45" spans="2:18" s="6" customFormat="1" x14ac:dyDescent="0.35">
      <c r="B45" s="85"/>
      <c r="C45" s="56"/>
      <c r="D45" s="105"/>
      <c r="E45" s="630"/>
      <c r="F45" s="630"/>
      <c r="G45" s="628"/>
      <c r="H45" s="628"/>
      <c r="I45" s="628"/>
      <c r="J45" s="700"/>
      <c r="K45" s="105"/>
      <c r="L45" s="34"/>
      <c r="M45" s="34"/>
      <c r="N45" s="34"/>
      <c r="O45" s="34"/>
      <c r="P45" s="34"/>
      <c r="Q45" s="34"/>
    </row>
    <row r="46" spans="2:18" s="10" customFormat="1" x14ac:dyDescent="0.35">
      <c r="B46" s="85">
        <v>7</v>
      </c>
      <c r="C46" s="87" t="s">
        <v>594</v>
      </c>
      <c r="D46" s="23"/>
      <c r="E46" s="630"/>
      <c r="F46" s="630"/>
      <c r="G46" s="628"/>
      <c r="H46" s="628"/>
      <c r="I46" s="628"/>
      <c r="J46" s="700"/>
      <c r="K46" s="105"/>
      <c r="L46" s="34"/>
      <c r="M46" s="34"/>
      <c r="N46" s="34"/>
    </row>
    <row r="47" spans="2:18" s="10" customFormat="1" x14ac:dyDescent="0.4">
      <c r="B47" s="85">
        <f>B46+1</f>
        <v>8</v>
      </c>
      <c r="C47" s="36" t="s">
        <v>595</v>
      </c>
      <c r="D47" s="21"/>
      <c r="E47" s="1229">
        <f>+E22</f>
        <v>9.8897260273972623E-2</v>
      </c>
      <c r="F47" s="1229">
        <f t="shared" ref="F47:K47" si="4">+F22</f>
        <v>9.657240437158468E-2</v>
      </c>
      <c r="G47" s="1229">
        <f t="shared" si="4"/>
        <v>8.5726027397260277E-2</v>
      </c>
      <c r="H47" s="1229">
        <f t="shared" si="4"/>
        <v>8.5000000000000006E-2</v>
      </c>
      <c r="I47" s="1229">
        <f t="shared" si="4"/>
        <v>9.2987671232876712E-2</v>
      </c>
      <c r="J47" s="1229">
        <f t="shared" si="4"/>
        <v>0.10035655737704921</v>
      </c>
      <c r="K47" s="1229">
        <f t="shared" si="4"/>
        <v>0.1028219178082192</v>
      </c>
      <c r="L47" s="34"/>
      <c r="M47" s="34"/>
      <c r="N47" s="34"/>
    </row>
    <row r="48" spans="2:18" s="10" customFormat="1" x14ac:dyDescent="0.35">
      <c r="B48" s="85">
        <f>B47+1</f>
        <v>9</v>
      </c>
      <c r="C48" s="37" t="s">
        <v>139</v>
      </c>
      <c r="D48" s="19"/>
      <c r="E48" s="1216">
        <f>IF(E44&lt;0,0,+E44*E47/12*6)</f>
        <v>0</v>
      </c>
      <c r="F48" s="1216">
        <f t="shared" ref="F48:K48" si="5">IF(F44&lt;0,0,+F44*F47)</f>
        <v>0</v>
      </c>
      <c r="G48" s="1216">
        <f t="shared" si="5"/>
        <v>0</v>
      </c>
      <c r="H48" s="1216">
        <f t="shared" si="5"/>
        <v>0</v>
      </c>
      <c r="I48" s="1216">
        <f t="shared" si="5"/>
        <v>0</v>
      </c>
      <c r="J48" s="1216">
        <f t="shared" si="5"/>
        <v>0</v>
      </c>
      <c r="K48" s="1216">
        <f t="shared" si="5"/>
        <v>0</v>
      </c>
      <c r="L48" s="34"/>
      <c r="M48" s="34"/>
      <c r="N48" s="34"/>
    </row>
    <row r="49" spans="2:17" s="10" customFormat="1" x14ac:dyDescent="0.4">
      <c r="B49" s="218">
        <v>10</v>
      </c>
      <c r="C49" s="36" t="s">
        <v>606</v>
      </c>
      <c r="D49" s="113"/>
      <c r="E49" s="700"/>
      <c r="F49" s="700"/>
      <c r="G49" s="700"/>
      <c r="H49" s="700"/>
      <c r="I49" s="700"/>
      <c r="J49" s="700"/>
      <c r="K49" s="105"/>
      <c r="L49" s="34"/>
      <c r="M49" s="34"/>
      <c r="N49" s="34"/>
    </row>
    <row r="50" spans="2:17" s="10" customFormat="1" ht="15.4" x14ac:dyDescent="0.35">
      <c r="B50" s="146"/>
      <c r="C50" s="145"/>
      <c r="D50" s="19"/>
      <c r="E50" s="676"/>
      <c r="F50" s="676"/>
      <c r="G50" s="676"/>
      <c r="H50" s="676"/>
      <c r="I50" s="676"/>
      <c r="J50" s="676"/>
      <c r="K50" s="105"/>
      <c r="L50" s="34"/>
      <c r="M50" s="34"/>
      <c r="N50" s="34"/>
    </row>
    <row r="51" spans="2:17" s="10" customFormat="1" ht="15.4" x14ac:dyDescent="0.35">
      <c r="B51" s="146">
        <v>11</v>
      </c>
      <c r="C51" s="147" t="s">
        <v>597</v>
      </c>
      <c r="D51" s="19"/>
      <c r="E51" s="676"/>
      <c r="F51" s="676"/>
      <c r="G51" s="676"/>
      <c r="H51" s="676"/>
      <c r="I51" s="676"/>
      <c r="J51" s="676"/>
      <c r="K51" s="105"/>
      <c r="L51" s="34"/>
      <c r="M51" s="34"/>
      <c r="N51" s="34"/>
    </row>
    <row r="52" spans="2:17" s="10" customFormat="1" x14ac:dyDescent="0.35">
      <c r="B52" s="85">
        <f>B51+1</f>
        <v>12</v>
      </c>
      <c r="C52" s="36" t="s">
        <v>598</v>
      </c>
      <c r="D52" s="19"/>
      <c r="E52" s="676"/>
      <c r="F52" s="676"/>
      <c r="G52" s="676"/>
      <c r="H52" s="676"/>
      <c r="I52" s="676"/>
      <c r="J52" s="676"/>
      <c r="K52" s="105"/>
      <c r="L52" s="34"/>
      <c r="M52" s="34"/>
      <c r="N52" s="34"/>
    </row>
    <row r="53" spans="2:17" s="10" customFormat="1" ht="15" x14ac:dyDescent="0.35">
      <c r="B53" s="85">
        <f>B52+1</f>
        <v>13</v>
      </c>
      <c r="C53" s="145" t="s">
        <v>597</v>
      </c>
      <c r="D53" s="19"/>
      <c r="E53" s="1216">
        <f>+Recon!E104*(1-Assum!$E$95)</f>
        <v>9.9043821000000011E-3</v>
      </c>
      <c r="F53" s="1216">
        <f>+Recon!H104*(1-Assum!$E$95)</f>
        <v>5.5753747199999995E-2</v>
      </c>
      <c r="G53" s="1216">
        <f>+Recon!K104*(1-Assum!$F$95)</f>
        <v>0.1065011733</v>
      </c>
      <c r="H53" s="1216">
        <f>+Recon!N104*(1-Assum!$F$95)</f>
        <v>0.20113947000000001</v>
      </c>
      <c r="I53" s="1216">
        <f>+Recon!Q104*(1-Assum!$F$95)</f>
        <v>0.23153751</v>
      </c>
      <c r="J53" s="1216">
        <f>+Recon!T104*(1-Assum!$F$95)</f>
        <v>0.39620520000000004</v>
      </c>
      <c r="K53" s="1216">
        <f>+Recon!W104*(1-Assum!$F$95)</f>
        <v>0.77602959000000005</v>
      </c>
      <c r="L53" s="34"/>
      <c r="M53" s="34"/>
      <c r="N53" s="34"/>
    </row>
    <row r="54" spans="2:17" x14ac:dyDescent="0.4">
      <c r="B54" s="88" t="s">
        <v>599</v>
      </c>
      <c r="C54" s="7"/>
      <c r="D54" s="7"/>
      <c r="E54" s="7"/>
      <c r="F54" s="7"/>
      <c r="G54" s="7"/>
      <c r="H54" s="7"/>
      <c r="I54" s="7"/>
      <c r="J54" s="7"/>
    </row>
    <row r="55" spans="2:17" x14ac:dyDescent="0.4">
      <c r="B55" s="51">
        <v>1</v>
      </c>
      <c r="C55" s="7" t="s">
        <v>600</v>
      </c>
      <c r="D55" s="30"/>
      <c r="E55" s="30"/>
      <c r="F55" s="30"/>
      <c r="G55" s="30"/>
      <c r="J55" s="7"/>
    </row>
    <row r="56" spans="2:17" x14ac:dyDescent="0.4">
      <c r="B56" s="51">
        <v>2</v>
      </c>
      <c r="C56" s="7" t="s">
        <v>601</v>
      </c>
      <c r="D56" s="30"/>
      <c r="E56" s="30"/>
      <c r="F56" s="30"/>
      <c r="G56" s="30"/>
      <c r="J56" s="7"/>
    </row>
    <row r="57" spans="2:17" ht="18" customHeight="1" x14ac:dyDescent="0.4">
      <c r="B57" s="51">
        <v>3</v>
      </c>
      <c r="C57" s="276" t="s">
        <v>602</v>
      </c>
      <c r="J57" s="7"/>
    </row>
    <row r="58" spans="2:17" s="6" customFormat="1" x14ac:dyDescent="0.35">
      <c r="B58" s="101"/>
      <c r="C58" s="104"/>
      <c r="D58" s="33"/>
      <c r="E58" s="33"/>
      <c r="F58" s="33"/>
      <c r="G58" s="103"/>
      <c r="H58" s="103"/>
      <c r="I58" s="103"/>
      <c r="J58" s="18"/>
      <c r="K58" s="34"/>
      <c r="L58" s="34"/>
      <c r="M58" s="34"/>
      <c r="N58" s="34"/>
      <c r="O58" s="34"/>
      <c r="P58" s="34"/>
      <c r="Q58" s="34"/>
    </row>
    <row r="59" spans="2:17" s="6" customFormat="1" x14ac:dyDescent="0.35">
      <c r="B59" s="101"/>
      <c r="C59" s="104"/>
      <c r="D59" s="33"/>
      <c r="E59" s="33"/>
      <c r="F59" s="33"/>
      <c r="G59" s="103"/>
      <c r="H59" s="103"/>
      <c r="I59" s="103"/>
      <c r="J59" s="18"/>
      <c r="K59" s="34"/>
      <c r="L59" s="34"/>
      <c r="M59" s="34"/>
      <c r="N59" s="34"/>
      <c r="O59" s="34"/>
      <c r="P59" s="34"/>
      <c r="Q59" s="34"/>
    </row>
    <row r="60" spans="2:17" s="6" customFormat="1" x14ac:dyDescent="0.35">
      <c r="B60" s="83" t="s">
        <v>607</v>
      </c>
      <c r="C60" s="104"/>
      <c r="D60" s="33"/>
      <c r="E60" s="33"/>
      <c r="F60" s="33"/>
      <c r="G60" s="103"/>
      <c r="H60" s="103"/>
      <c r="I60" s="103"/>
      <c r="J60" s="18"/>
      <c r="K60" s="34"/>
      <c r="L60" s="34"/>
      <c r="M60" s="34"/>
      <c r="N60" s="34"/>
      <c r="O60" s="34"/>
      <c r="P60" s="34"/>
      <c r="Q60" s="34"/>
    </row>
    <row r="61" spans="2:17" s="6" customFormat="1" x14ac:dyDescent="0.35">
      <c r="B61" s="101"/>
      <c r="C61" s="104"/>
      <c r="D61" s="33"/>
      <c r="E61" s="33"/>
      <c r="F61" s="33"/>
      <c r="G61" s="103"/>
      <c r="H61" s="103"/>
      <c r="I61" s="103"/>
      <c r="J61" s="18"/>
      <c r="K61" s="34"/>
      <c r="L61" s="34"/>
      <c r="M61" s="34"/>
      <c r="N61" s="34"/>
      <c r="O61" s="34"/>
      <c r="P61" s="34"/>
      <c r="Q61" s="34"/>
    </row>
    <row r="62" spans="2:17" x14ac:dyDescent="0.4">
      <c r="B62" s="88"/>
      <c r="C62" s="99" t="s">
        <v>553</v>
      </c>
      <c r="D62" s="7"/>
      <c r="E62" s="7"/>
      <c r="F62" s="7"/>
      <c r="G62" s="7"/>
      <c r="H62" s="7"/>
      <c r="I62" s="7"/>
      <c r="J62" s="7"/>
      <c r="K62" s="7"/>
      <c r="L62" s="7"/>
    </row>
    <row r="64" spans="2:17" x14ac:dyDescent="0.4">
      <c r="B64" s="2060" t="s">
        <v>1</v>
      </c>
      <c r="C64" s="2061" t="s">
        <v>111</v>
      </c>
      <c r="D64" s="2061" t="s">
        <v>588</v>
      </c>
      <c r="E64" s="98" t="s">
        <v>123</v>
      </c>
      <c r="F64" s="98" t="s">
        <v>124</v>
      </c>
      <c r="G64" s="98" t="s">
        <v>125</v>
      </c>
      <c r="H64" s="98" t="s">
        <v>126</v>
      </c>
      <c r="I64" s="98" t="s">
        <v>127</v>
      </c>
      <c r="K64" s="7"/>
    </row>
    <row r="65" spans="2:13" x14ac:dyDescent="0.4">
      <c r="B65" s="2054"/>
      <c r="C65" s="2062"/>
      <c r="D65" s="2062"/>
      <c r="E65" s="98" t="s">
        <v>135</v>
      </c>
      <c r="F65" s="98" t="s">
        <v>135</v>
      </c>
      <c r="G65" s="98" t="s">
        <v>135</v>
      </c>
      <c r="H65" s="98" t="s">
        <v>135</v>
      </c>
      <c r="I65" s="98" t="s">
        <v>135</v>
      </c>
      <c r="J65" s="7"/>
      <c r="K65" s="7"/>
    </row>
    <row r="66" spans="2:13" s="6" customFormat="1" x14ac:dyDescent="0.4">
      <c r="B66" s="85">
        <v>1</v>
      </c>
      <c r="C66" s="82" t="s">
        <v>589</v>
      </c>
      <c r="D66" s="77"/>
      <c r="E66" s="1230">
        <f>+'ARR-Summary'!L12/12</f>
        <v>0.44118883804593784</v>
      </c>
      <c r="F66" s="1230">
        <f>+'ARR-Summary'!M12/12</f>
        <v>0.47638441426725137</v>
      </c>
      <c r="G66" s="1230">
        <f>+'ARR-Summary'!N12/12</f>
        <v>0.51465155359336812</v>
      </c>
      <c r="H66" s="1230">
        <f>+'ARR-Summary'!O12/12</f>
        <v>0.55627492077704888</v>
      </c>
      <c r="I66" s="1230">
        <f>+'ARR-Summary'!P12/12</f>
        <v>0.60156651785802828</v>
      </c>
      <c r="J66" s="1"/>
      <c r="K66" s="1"/>
    </row>
    <row r="67" spans="2:13" s="6" customFormat="1" x14ac:dyDescent="0.4">
      <c r="B67" s="85">
        <f>B66+1</f>
        <v>2</v>
      </c>
      <c r="C67" s="82" t="s">
        <v>590</v>
      </c>
      <c r="D67" s="77"/>
      <c r="E67" s="1230">
        <f>('F5.1 (E) Exisiting'!S38+'F5.1 (N) New'!S38)*1%</f>
        <v>0.69184348190458778</v>
      </c>
      <c r="F67" s="1230">
        <f>('F5.1 (E) Exisiting'!D52+'F5.1 (N) New'!D52)*1%</f>
        <v>0.69480324790458781</v>
      </c>
      <c r="G67" s="1230">
        <f>('F5.1 (E) Exisiting'!I52+'F5.1 (N) New'!I52)*1%</f>
        <v>0.69540324790458785</v>
      </c>
      <c r="H67" s="1230">
        <f>('F5.1 (E) Exisiting'!N52+'F5.1 (N) New'!N52)*1%</f>
        <v>0.69540324790458785</v>
      </c>
      <c r="I67" s="1230">
        <f>('F5.1 (E) Exisiting'!S52+'F5.1 (N) New'!S52)*1%</f>
        <v>0.69540324790458785</v>
      </c>
      <c r="J67" s="1"/>
      <c r="K67" s="1"/>
    </row>
    <row r="68" spans="2:13" s="6" customFormat="1" x14ac:dyDescent="0.4">
      <c r="B68" s="85">
        <f t="shared" ref="B68:B78" si="6">B67+1</f>
        <v>3</v>
      </c>
      <c r="C68" s="55" t="s">
        <v>591</v>
      </c>
      <c r="D68" s="77"/>
      <c r="E68" s="1768">
        <f>+'F13.1'!Q100/12*1.5</f>
        <v>1.3360543770107174</v>
      </c>
      <c r="F68" s="1768">
        <f ca="1">IFERROR(+'F14.2'!$R$154/12*1.5,0)</f>
        <v>4.370003129096788</v>
      </c>
      <c r="G68" s="1768">
        <f ca="1">IFERROR(+'F14.3'!$R$154/12*1.5,0)</f>
        <v>5.282408695463249</v>
      </c>
      <c r="H68" s="1768">
        <f ca="1">IFERROR(+'F14.4'!$R$154/12*1.5,0)</f>
        <v>6.4036346515244329</v>
      </c>
      <c r="I68" s="1768">
        <f ca="1">IFERROR(+'F14.5'!$R$154/12*1.5,0)</f>
        <v>7.0123282906271385</v>
      </c>
      <c r="J68" s="1"/>
      <c r="K68" s="1"/>
    </row>
    <row r="69" spans="2:13" s="6" customFormat="1" x14ac:dyDescent="0.4">
      <c r="B69" s="85">
        <f t="shared" si="6"/>
        <v>4</v>
      </c>
      <c r="C69" s="35" t="s">
        <v>592</v>
      </c>
      <c r="D69" s="79"/>
      <c r="E69" s="1754">
        <f>+E114*Assum!$G$95</f>
        <v>1.9152539990000002</v>
      </c>
      <c r="F69" s="1754">
        <f>+F114*Assum!$G$95</f>
        <v>2.20254209885</v>
      </c>
      <c r="G69" s="1754">
        <f>+G114*Assum!$G$95</f>
        <v>2.5329234136774996</v>
      </c>
      <c r="H69" s="1754">
        <f>+H114*Assum!$G$95</f>
        <v>2.9128619257291248</v>
      </c>
      <c r="I69" s="1754">
        <f>+I114*Assum!$G$95</f>
        <v>3.3497912145884934</v>
      </c>
      <c r="J69" s="1"/>
      <c r="K69" s="1"/>
    </row>
    <row r="70" spans="2:13" x14ac:dyDescent="0.4">
      <c r="B70" s="85">
        <f t="shared" si="6"/>
        <v>5</v>
      </c>
      <c r="C70" s="76" t="s">
        <v>593</v>
      </c>
      <c r="D70" s="9"/>
      <c r="E70" s="1769">
        <f>+E66+E67+E68-E69</f>
        <v>0.55383269796124313</v>
      </c>
      <c r="F70" s="1769">
        <f ca="1">+F66+F67+F68-F69</f>
        <v>3.3386486924186269</v>
      </c>
      <c r="G70" s="1769">
        <f ca="1">+G66+G67+G68-G69</f>
        <v>3.9595400832837058</v>
      </c>
      <c r="H70" s="1769">
        <f ca="1">+H66+H67+H68-H69</f>
        <v>4.7424508944769448</v>
      </c>
      <c r="I70" s="1769">
        <f ca="1">+I66+I67+I68-I69</f>
        <v>4.9595068418012618</v>
      </c>
    </row>
    <row r="71" spans="2:13" x14ac:dyDescent="0.4">
      <c r="B71" s="85"/>
      <c r="C71" s="2"/>
      <c r="D71" s="9"/>
      <c r="E71" s="1769"/>
      <c r="F71" s="1769"/>
      <c r="G71" s="1760"/>
      <c r="H71" s="1760"/>
      <c r="I71" s="1760"/>
    </row>
    <row r="72" spans="2:13" x14ac:dyDescent="0.4">
      <c r="B72" s="85">
        <v>6</v>
      </c>
      <c r="C72" s="87" t="s">
        <v>594</v>
      </c>
      <c r="D72" s="9"/>
      <c r="E72" s="1769"/>
      <c r="F72" s="1769"/>
      <c r="G72" s="1760"/>
      <c r="H72" s="1760"/>
      <c r="I72" s="1760"/>
    </row>
    <row r="73" spans="2:13" x14ac:dyDescent="0.4">
      <c r="B73" s="85">
        <f t="shared" si="6"/>
        <v>7</v>
      </c>
      <c r="C73" s="36" t="s">
        <v>595</v>
      </c>
      <c r="D73" s="9"/>
      <c r="E73" s="1419">
        <f>+Assum!L54</f>
        <v>0.10300000000000001</v>
      </c>
      <c r="F73" s="1419">
        <f>+Assum!M54</f>
        <v>0.10300000000000001</v>
      </c>
      <c r="G73" s="1419">
        <f>+Assum!N54</f>
        <v>0.10300000000000001</v>
      </c>
      <c r="H73" s="1419">
        <f>+Assum!O54</f>
        <v>0.10300000000000001</v>
      </c>
      <c r="I73" s="1419">
        <f>+Assum!P54</f>
        <v>0.10300000000000001</v>
      </c>
    </row>
    <row r="74" spans="2:13" x14ac:dyDescent="0.4">
      <c r="B74" s="85">
        <f t="shared" si="6"/>
        <v>8</v>
      </c>
      <c r="C74" s="37" t="s">
        <v>139</v>
      </c>
      <c r="D74" s="9"/>
      <c r="E74" s="1769">
        <f>+E70*E73</f>
        <v>5.704476789000805E-2</v>
      </c>
      <c r="F74" s="1769">
        <f ca="1">+F70*F73</f>
        <v>0.34388081531911863</v>
      </c>
      <c r="G74" s="1769">
        <f ca="1">+G70*G73</f>
        <v>0.40783262857822172</v>
      </c>
      <c r="H74" s="1769">
        <f ca="1">+H70*H73</f>
        <v>0.48847244213112534</v>
      </c>
      <c r="I74" s="1769">
        <f ca="1">+I70*I73</f>
        <v>0.51082920470552995</v>
      </c>
    </row>
    <row r="75" spans="2:13" x14ac:dyDescent="0.4">
      <c r="B75" s="85"/>
      <c r="C75" s="37"/>
      <c r="D75" s="9"/>
      <c r="E75" s="1754"/>
      <c r="F75" s="1754"/>
      <c r="G75" s="1754"/>
      <c r="H75" s="1754"/>
      <c r="I75" s="1754"/>
    </row>
    <row r="76" spans="2:13" s="10" customFormat="1" ht="15" x14ac:dyDescent="0.4">
      <c r="B76" s="85">
        <v>9</v>
      </c>
      <c r="C76" s="147" t="s">
        <v>597</v>
      </c>
      <c r="D76" s="19"/>
      <c r="E76" s="1760"/>
      <c r="F76" s="1760"/>
      <c r="G76" s="1760"/>
      <c r="H76" s="1760"/>
      <c r="I76" s="1760"/>
      <c r="J76" s="1"/>
      <c r="K76" s="1"/>
      <c r="L76" s="34"/>
      <c r="M76" s="34"/>
    </row>
    <row r="77" spans="2:13" s="10" customFormat="1" x14ac:dyDescent="0.35">
      <c r="B77" s="85">
        <f t="shared" si="6"/>
        <v>10</v>
      </c>
      <c r="C77" s="36" t="s">
        <v>598</v>
      </c>
      <c r="D77" s="19"/>
      <c r="E77" s="1420">
        <f>+Assum!L56</f>
        <v>5.7500000000000002E-2</v>
      </c>
      <c r="F77" s="1420">
        <f>+Assum!M56</f>
        <v>5.7500000000000002E-2</v>
      </c>
      <c r="G77" s="1420">
        <f>+Assum!N56</f>
        <v>5.7500000000000002E-2</v>
      </c>
      <c r="H77" s="1420">
        <f>+Assum!O56</f>
        <v>5.7500000000000002E-2</v>
      </c>
      <c r="I77" s="1420">
        <f>+Assum!P56</f>
        <v>5.7500000000000002E-2</v>
      </c>
      <c r="J77" s="34"/>
      <c r="K77" s="34"/>
      <c r="L77" s="34"/>
      <c r="M77" s="34"/>
    </row>
    <row r="78" spans="2:13" s="10" customFormat="1" ht="15" x14ac:dyDescent="0.35">
      <c r="B78" s="85">
        <f t="shared" si="6"/>
        <v>11</v>
      </c>
      <c r="C78" s="145" t="s">
        <v>597</v>
      </c>
      <c r="D78" s="19"/>
      <c r="E78" s="1769">
        <f>+E114*E77*Assum!$G$95</f>
        <v>0.11012710494250003</v>
      </c>
      <c r="F78" s="1769">
        <f>+F114*F77*Assum!$G$95</f>
        <v>0.12664617068387501</v>
      </c>
      <c r="G78" s="1769">
        <f>+G114*G77*Assum!$G$95</f>
        <v>0.14564309628645625</v>
      </c>
      <c r="H78" s="1769">
        <f>+H114*H77*Assum!$G$95</f>
        <v>0.16748956072942467</v>
      </c>
      <c r="I78" s="1769">
        <f>+I114*I77*Assum!$G$95</f>
        <v>0.19261299483883837</v>
      </c>
      <c r="J78" s="34"/>
      <c r="K78" s="34"/>
      <c r="L78" s="34"/>
      <c r="M78" s="34"/>
    </row>
    <row r="79" spans="2:13" x14ac:dyDescent="0.4">
      <c r="C79" s="27"/>
      <c r="D79" s="27"/>
      <c r="E79" s="27"/>
      <c r="F79" s="27"/>
    </row>
    <row r="80" spans="2:13" x14ac:dyDescent="0.4">
      <c r="C80" s="27"/>
      <c r="D80" s="27"/>
      <c r="E80" s="27"/>
      <c r="F80" s="27"/>
    </row>
    <row r="81" spans="2:13" x14ac:dyDescent="0.4">
      <c r="B81" s="88"/>
      <c r="C81" s="99" t="s">
        <v>278</v>
      </c>
      <c r="D81" s="7"/>
      <c r="E81" s="7"/>
      <c r="F81" s="7"/>
      <c r="G81" s="7"/>
      <c r="H81" s="7"/>
      <c r="I81" s="7"/>
      <c r="J81" s="7"/>
      <c r="K81" s="7"/>
    </row>
    <row r="82" spans="2:13" x14ac:dyDescent="0.4">
      <c r="C82" s="6"/>
      <c r="K82" s="7"/>
    </row>
    <row r="83" spans="2:13" x14ac:dyDescent="0.4">
      <c r="B83" s="2060" t="s">
        <v>1</v>
      </c>
      <c r="C83" s="2061" t="s">
        <v>111</v>
      </c>
      <c r="D83" s="2061" t="s">
        <v>588</v>
      </c>
      <c r="E83" s="98" t="s">
        <v>123</v>
      </c>
      <c r="F83" s="98" t="s">
        <v>124</v>
      </c>
      <c r="G83" s="98" t="s">
        <v>125</v>
      </c>
      <c r="H83" s="98" t="s">
        <v>126</v>
      </c>
      <c r="I83" s="98" t="s">
        <v>127</v>
      </c>
      <c r="K83" s="7"/>
    </row>
    <row r="84" spans="2:13" x14ac:dyDescent="0.4">
      <c r="B84" s="2054"/>
      <c r="C84" s="2062"/>
      <c r="D84" s="2062"/>
      <c r="E84" s="98" t="s">
        <v>135</v>
      </c>
      <c r="F84" s="98" t="s">
        <v>135</v>
      </c>
      <c r="G84" s="98" t="s">
        <v>135</v>
      </c>
      <c r="H84" s="98" t="s">
        <v>135</v>
      </c>
      <c r="I84" s="98" t="s">
        <v>135</v>
      </c>
      <c r="J84" s="7"/>
      <c r="K84" s="7"/>
    </row>
    <row r="85" spans="2:13" x14ac:dyDescent="0.4">
      <c r="B85" s="85">
        <v>1</v>
      </c>
      <c r="C85" s="82" t="s">
        <v>589</v>
      </c>
      <c r="D85" s="77"/>
      <c r="E85" s="1230">
        <f>+'ARR-Summary'!L50/12</f>
        <v>0.23756322048627418</v>
      </c>
      <c r="F85" s="1230">
        <f>+'ARR-Summary'!M50/12</f>
        <v>0.25651468460544297</v>
      </c>
      <c r="G85" s="1230">
        <f>+'ARR-Summary'!N50/12</f>
        <v>0.27712006731950584</v>
      </c>
      <c r="H85" s="1230">
        <f>+'ARR-Summary'!O50/12</f>
        <v>0.29953264964918008</v>
      </c>
      <c r="I85" s="1230">
        <f>+'ARR-Summary'!P50/12</f>
        <v>0.32392043269278437</v>
      </c>
    </row>
    <row r="86" spans="2:13" x14ac:dyDescent="0.4">
      <c r="B86" s="85">
        <f>B85+1</f>
        <v>2</v>
      </c>
      <c r="C86" s="82" t="s">
        <v>590</v>
      </c>
      <c r="D86" s="77"/>
      <c r="E86" s="1230">
        <f>('F5.2 (E) Existing'!S38+'F5.2 (N) New'!S38)*1%</f>
        <v>3.6474571989234331E-2</v>
      </c>
      <c r="F86" s="1230">
        <f>('F5.2 (E) Existing'!D52+'F5.2 (N) New'!D52)*1%</f>
        <v>3.7554371989234329E-2</v>
      </c>
      <c r="G86" s="1230">
        <f>('F5.2 (E) Existing'!I52+'F5.2 (N) New'!I52)*1%</f>
        <v>3.974859698923433E-2</v>
      </c>
      <c r="H86" s="1230">
        <f>('F5.2 (E) Existing'!N52+'F5.2 (N) New'!N52)*1%</f>
        <v>4.2697365989234334E-2</v>
      </c>
      <c r="I86" s="1230">
        <f>('F5.2 (E) Existing'!S52+'F5.2 (N) New'!S52)*1%</f>
        <v>4.7024116989234324E-2</v>
      </c>
    </row>
    <row r="87" spans="2:13" ht="27.75" x14ac:dyDescent="0.4">
      <c r="B87" s="85">
        <f t="shared" ref="B87:B98" si="7">B86+1</f>
        <v>3</v>
      </c>
      <c r="C87" s="55" t="s">
        <v>603</v>
      </c>
      <c r="D87" s="77"/>
      <c r="E87" s="1768">
        <f>('F13.1'!T100-'F13.1'!Q100)/12*1.5</f>
        <v>14.910662128853645</v>
      </c>
      <c r="F87" s="1768">
        <f ca="1">('F14.2'!$U$154-'F14.2'!$R$154)/12*1.5</f>
        <v>15.102877571403411</v>
      </c>
      <c r="G87" s="1768">
        <f ca="1">('F14.3'!$U$154-'F14.3'!$R$154)/12*1.5</f>
        <v>17.756614547191781</v>
      </c>
      <c r="H87" s="1768">
        <f ca="1">('F14.4'!$U$154-'F14.4'!$R$154)/12*1.5</f>
        <v>20.593841583398543</v>
      </c>
      <c r="I87" s="1768">
        <f ca="1">('F14.5'!$U$154-'F14.5'!$R$154)/12*1.5</f>
        <v>21.546499259230519</v>
      </c>
    </row>
    <row r="88" spans="2:13" x14ac:dyDescent="0.4">
      <c r="B88" s="85">
        <f t="shared" si="7"/>
        <v>4</v>
      </c>
      <c r="C88" s="35" t="s">
        <v>604</v>
      </c>
      <c r="D88" s="79"/>
      <c r="E88" s="1770">
        <f>+E114*(1-Assum!$G$95)</f>
        <v>17.237285991</v>
      </c>
      <c r="F88" s="1770">
        <f>+F114*(1-Assum!$G$95)</f>
        <v>19.822878889649999</v>
      </c>
      <c r="G88" s="1770">
        <f>+G114*(1-Assum!$G$95)</f>
        <v>22.796310723097498</v>
      </c>
      <c r="H88" s="1770">
        <f>+H114*(1-Assum!$G$95)</f>
        <v>26.21575733156212</v>
      </c>
      <c r="I88" s="1770">
        <f>+I114*(1-Assum!$G$95)</f>
        <v>30.14812093129644</v>
      </c>
    </row>
    <row r="89" spans="2:13" x14ac:dyDescent="0.4">
      <c r="B89" s="85">
        <f t="shared" si="7"/>
        <v>5</v>
      </c>
      <c r="C89" s="96" t="s">
        <v>605</v>
      </c>
      <c r="D89" s="9"/>
      <c r="E89" s="1754">
        <f ca="1">('ARR-Summary'!L49+'ARR-Summary'!L57+'ARR-Summary'!L58+'ARR-Summary'!L59)/12</f>
        <v>7.8462408145385227</v>
      </c>
      <c r="F89" s="1754">
        <f ca="1">('ARR-Summary'!M49+'ARR-Summary'!M57+'ARR-Summary'!M58+'ARR-Summary'!M59)/12</f>
        <v>9.9680197172920604</v>
      </c>
      <c r="G89" s="1754">
        <f ca="1">('ARR-Summary'!N49+'ARR-Summary'!N57+'ARR-Summary'!N58+'ARR-Summary'!N59)/12</f>
        <v>12.507431989041779</v>
      </c>
      <c r="H89" s="1754">
        <f ca="1">('ARR-Summary'!O49+'ARR-Summary'!O57+'ARR-Summary'!O58+'ARR-Summary'!O59)/12</f>
        <v>15.218098847524599</v>
      </c>
      <c r="I89" s="1754">
        <f ca="1">('ARR-Summary'!P49+'ARR-Summary'!P57+'ARR-Summary'!P58+'ARR-Summary'!P59)/12</f>
        <v>16.618419315230508</v>
      </c>
    </row>
    <row r="90" spans="2:13" x14ac:dyDescent="0.4">
      <c r="B90" s="85">
        <f t="shared" si="7"/>
        <v>6</v>
      </c>
      <c r="C90" s="76" t="s">
        <v>593</v>
      </c>
      <c r="D90" s="9"/>
      <c r="E90" s="1770">
        <f ca="1">+E85+E86+E87-E88-E89</f>
        <v>-9.8988268842093703</v>
      </c>
      <c r="F90" s="1770">
        <f ca="1">+F85+F86+F87-F88-F89</f>
        <v>-14.393951978943971</v>
      </c>
      <c r="G90" s="1770">
        <f ca="1">+G85+G86+G87-G88-G89</f>
        <v>-17.230259500638759</v>
      </c>
      <c r="H90" s="1770">
        <f ca="1">+H85+H86+H87-H88-H89</f>
        <v>-20.49778458004976</v>
      </c>
      <c r="I90" s="1770">
        <f ca="1">+I85+I86+I87-I88-I89</f>
        <v>-24.84909643761441</v>
      </c>
    </row>
    <row r="91" spans="2:13" x14ac:dyDescent="0.4">
      <c r="B91" s="85"/>
      <c r="C91" s="76"/>
      <c r="D91" s="9"/>
      <c r="E91" s="1754"/>
      <c r="F91" s="1754"/>
      <c r="G91" s="1754"/>
      <c r="H91" s="1754"/>
      <c r="I91" s="1754"/>
    </row>
    <row r="92" spans="2:13" x14ac:dyDescent="0.4">
      <c r="B92" s="85">
        <v>7</v>
      </c>
      <c r="C92" s="87" t="s">
        <v>594</v>
      </c>
      <c r="D92" s="9"/>
      <c r="E92" s="1754"/>
      <c r="F92" s="1754"/>
      <c r="G92" s="1754"/>
      <c r="H92" s="1754"/>
      <c r="I92" s="1754"/>
    </row>
    <row r="93" spans="2:13" x14ac:dyDescent="0.4">
      <c r="B93" s="85">
        <f t="shared" si="7"/>
        <v>8</v>
      </c>
      <c r="C93" s="36" t="s">
        <v>595</v>
      </c>
      <c r="D93" s="9"/>
      <c r="E93" s="1771">
        <f>+Assum!L54</f>
        <v>0.10300000000000001</v>
      </c>
      <c r="F93" s="1771">
        <f>+Assum!M54</f>
        <v>0.10300000000000001</v>
      </c>
      <c r="G93" s="1771">
        <f>+Assum!N54</f>
        <v>0.10300000000000001</v>
      </c>
      <c r="H93" s="1771">
        <f>+Assum!O54</f>
        <v>0.10300000000000001</v>
      </c>
      <c r="I93" s="1771">
        <f>+Assum!P54</f>
        <v>0.10300000000000001</v>
      </c>
    </row>
    <row r="94" spans="2:13" x14ac:dyDescent="0.4">
      <c r="B94" s="85">
        <f t="shared" si="7"/>
        <v>9</v>
      </c>
      <c r="C94" s="37" t="s">
        <v>139</v>
      </c>
      <c r="D94" s="9"/>
      <c r="E94" s="1760">
        <f ca="1">IF(E90&lt;0,0,+E90*E93)</f>
        <v>0</v>
      </c>
      <c r="F94" s="1760">
        <f ca="1">IF(F90&lt;0,0,+F90*F93)</f>
        <v>0</v>
      </c>
      <c r="G94" s="1760">
        <f ca="1">IF(G90&lt;0,0,+G90*G93)</f>
        <v>0</v>
      </c>
      <c r="H94" s="1760">
        <f ca="1">IF(H90&lt;0,0,+H90*H93)</f>
        <v>0</v>
      </c>
      <c r="I94" s="1760">
        <f ca="1">IF(I90&lt;0,0,+I90*I93)</f>
        <v>0</v>
      </c>
    </row>
    <row r="95" spans="2:13" x14ac:dyDescent="0.4">
      <c r="B95" s="85"/>
      <c r="C95" s="37"/>
      <c r="D95" s="9"/>
      <c r="E95" s="1754"/>
      <c r="F95" s="1754"/>
      <c r="G95" s="1754"/>
      <c r="H95" s="1754"/>
      <c r="I95" s="1754"/>
    </row>
    <row r="96" spans="2:13" s="10" customFormat="1" ht="15" x14ac:dyDescent="0.35">
      <c r="B96" s="85">
        <v>10</v>
      </c>
      <c r="C96" s="147" t="s">
        <v>597</v>
      </c>
      <c r="D96" s="19"/>
      <c r="E96" s="1760"/>
      <c r="F96" s="1760"/>
      <c r="G96" s="1760"/>
      <c r="H96" s="1760"/>
      <c r="I96" s="1760"/>
      <c r="J96" s="34"/>
      <c r="K96" s="34"/>
      <c r="L96" s="34"/>
      <c r="M96" s="34"/>
    </row>
    <row r="97" spans="2:17" s="10" customFormat="1" x14ac:dyDescent="0.35">
      <c r="B97" s="85">
        <f t="shared" si="7"/>
        <v>11</v>
      </c>
      <c r="C97" s="36" t="s">
        <v>598</v>
      </c>
      <c r="D97" s="19"/>
      <c r="E97" s="1420">
        <f>+Assum!L56</f>
        <v>5.7500000000000002E-2</v>
      </c>
      <c r="F97" s="1420">
        <f>+Assum!M56</f>
        <v>5.7500000000000002E-2</v>
      </c>
      <c r="G97" s="1420">
        <f>+Assum!N56</f>
        <v>5.7500000000000002E-2</v>
      </c>
      <c r="H97" s="1420">
        <f>+Assum!O56</f>
        <v>5.7500000000000002E-2</v>
      </c>
      <c r="I97" s="1420">
        <f>+Assum!P56</f>
        <v>5.7500000000000002E-2</v>
      </c>
      <c r="J97" s="34"/>
      <c r="K97" s="34"/>
      <c r="L97" s="34"/>
      <c r="M97" s="34"/>
    </row>
    <row r="98" spans="2:17" s="10" customFormat="1" ht="15" x14ac:dyDescent="0.35">
      <c r="B98" s="85">
        <f t="shared" si="7"/>
        <v>12</v>
      </c>
      <c r="C98" s="145" t="s">
        <v>597</v>
      </c>
      <c r="D98" s="19"/>
      <c r="E98" s="1769">
        <f>+E114*E97*(1-Assum!$G$95)</f>
        <v>0.99114394448250021</v>
      </c>
      <c r="F98" s="1769">
        <f>+F114*F97*(1-Assum!$G$95)</f>
        <v>1.139815536154875</v>
      </c>
      <c r="G98" s="1769">
        <f>+G114*G97*(1-Assum!$G$95)</f>
        <v>1.3107878665781063</v>
      </c>
      <c r="H98" s="1769">
        <f>+H114*H97*(1-Assum!$G$95)</f>
        <v>1.507406046564822</v>
      </c>
      <c r="I98" s="1769">
        <f>+I114*I97*(1-Assum!$G$95)</f>
        <v>1.7335169535495452</v>
      </c>
      <c r="J98" s="34"/>
      <c r="K98" s="34"/>
      <c r="L98" s="34"/>
      <c r="M98" s="34"/>
    </row>
    <row r="99" spans="2:17" x14ac:dyDescent="0.4">
      <c r="E99" s="561"/>
      <c r="F99" s="561"/>
      <c r="G99" s="561"/>
      <c r="H99" s="561"/>
      <c r="I99" s="561"/>
    </row>
    <row r="108" spans="2:17" x14ac:dyDescent="0.4">
      <c r="F108" s="1">
        <v>4</v>
      </c>
      <c r="G108" s="1">
        <v>3</v>
      </c>
      <c r="H108" s="1">
        <v>3</v>
      </c>
      <c r="I108" s="1">
        <v>2</v>
      </c>
      <c r="J108" s="1">
        <v>1</v>
      </c>
    </row>
    <row r="109" spans="2:17" x14ac:dyDescent="0.4">
      <c r="E109" s="98" t="s">
        <v>196</v>
      </c>
      <c r="F109" s="98" t="s">
        <v>197</v>
      </c>
      <c r="G109" s="98" t="s">
        <v>198</v>
      </c>
      <c r="H109" s="98" t="s">
        <v>199</v>
      </c>
      <c r="I109" s="217" t="s">
        <v>112</v>
      </c>
      <c r="J109" s="217" t="s">
        <v>113</v>
      </c>
      <c r="K109" s="217" t="s">
        <v>114</v>
      </c>
    </row>
    <row r="110" spans="2:17" x14ac:dyDescent="0.4">
      <c r="C110" s="1" t="s">
        <v>1470</v>
      </c>
      <c r="E110" s="560">
        <f>+Recon!$E$152</f>
        <v>0.56132000000000004</v>
      </c>
      <c r="F110" s="560">
        <f>+Recon!H152</f>
        <v>3.8114319999999999</v>
      </c>
      <c r="G110" s="560">
        <f>+Recon!K152</f>
        <v>3.4141319999999995</v>
      </c>
      <c r="H110" s="560">
        <f>+Recon!N152</f>
        <v>5.93</v>
      </c>
      <c r="I110" s="560">
        <f>+Recon!Q152</f>
        <v>6.36</v>
      </c>
      <c r="J110" s="560">
        <f>+Recon!T152</f>
        <v>6.75</v>
      </c>
      <c r="K110" s="560">
        <f>+Recon!W152</f>
        <v>16.654382600000002</v>
      </c>
      <c r="L110" s="1851"/>
      <c r="M110" s="925"/>
      <c r="N110" s="925"/>
      <c r="O110" s="925"/>
      <c r="P110" s="925"/>
      <c r="Q110" s="925"/>
    </row>
    <row r="113" spans="3:9" x14ac:dyDescent="0.4">
      <c r="D113" s="1401">
        <v>0.15</v>
      </c>
      <c r="E113" s="98" t="s">
        <v>123</v>
      </c>
      <c r="F113" s="98" t="s">
        <v>124</v>
      </c>
      <c r="G113" s="98" t="s">
        <v>125</v>
      </c>
      <c r="H113" s="98" t="s">
        <v>126</v>
      </c>
      <c r="I113" s="98" t="s">
        <v>127</v>
      </c>
    </row>
    <row r="114" spans="3:9" x14ac:dyDescent="0.4">
      <c r="C114" s="1" t="s">
        <v>1470</v>
      </c>
      <c r="E114" s="560">
        <f>+K110*(1+D113)</f>
        <v>19.152539990000001</v>
      </c>
      <c r="F114" s="560">
        <f>+E114*(1+$D$113)</f>
        <v>22.025420988499999</v>
      </c>
      <c r="G114" s="560">
        <f>+F114*(1+$D$113)</f>
        <v>25.329234136774996</v>
      </c>
      <c r="H114" s="560">
        <f>+G114*(1+$D$113)</f>
        <v>29.128619257291245</v>
      </c>
      <c r="I114" s="560">
        <f>+H114*(1+$D$113)</f>
        <v>33.497912145884932</v>
      </c>
    </row>
  </sheetData>
  <mergeCells count="17">
    <mergeCell ref="B3:K3"/>
    <mergeCell ref="B4:K4"/>
    <mergeCell ref="B5:K5"/>
    <mergeCell ref="D13:D14"/>
    <mergeCell ref="C13:C14"/>
    <mergeCell ref="B13:B14"/>
    <mergeCell ref="E14:J14"/>
    <mergeCell ref="B37:B38"/>
    <mergeCell ref="C37:C38"/>
    <mergeCell ref="D37:D38"/>
    <mergeCell ref="E38:J38"/>
    <mergeCell ref="B83:B84"/>
    <mergeCell ref="C83:C84"/>
    <mergeCell ref="D83:D84"/>
    <mergeCell ref="B64:B65"/>
    <mergeCell ref="C64:C65"/>
    <mergeCell ref="D64:D65"/>
  </mergeCells>
  <pageMargins left="0.74803149606299213" right="0.74803149606299213" top="0.98425196850393704" bottom="0.98425196850393704" header="0.51181102362204722" footer="0.51181102362204722"/>
  <pageSetup paperSize="9" scale="51" fitToHeight="2" orientation="landscape" r:id="rId1"/>
  <headerFooter alignWithMargins="0"/>
  <rowBreaks count="1" manualBreakCount="1">
    <brk id="57"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M149"/>
  <sheetViews>
    <sheetView showGridLines="0" view="pageBreakPreview" topLeftCell="A12" zoomScale="80" zoomScaleNormal="75" workbookViewId="0">
      <selection activeCell="F40" activeCellId="1" sqref="G24 F40"/>
    </sheetView>
  </sheetViews>
  <sheetFormatPr defaultColWidth="9.33203125" defaultRowHeight="13.9" x14ac:dyDescent="0.35"/>
  <cols>
    <col min="1" max="1" width="6.33203125" style="10" customWidth="1"/>
    <col min="2" max="2" width="8.33203125" style="10" customWidth="1"/>
    <col min="3" max="3" width="76.19921875" style="10" bestFit="1" customWidth="1"/>
    <col min="4" max="4" width="14.19921875" style="10" bestFit="1" customWidth="1"/>
    <col min="5" max="9" width="15.33203125" style="10" bestFit="1" customWidth="1"/>
    <col min="10" max="10" width="21.46484375" style="10" customWidth="1"/>
    <col min="11" max="11" width="36.53125" style="10" bestFit="1" customWidth="1"/>
    <col min="12" max="16384" width="9.33203125" style="10"/>
  </cols>
  <sheetData>
    <row r="1" spans="2:10" x14ac:dyDescent="0.35">
      <c r="G1" s="120"/>
      <c r="H1" s="120"/>
      <c r="I1" s="120"/>
    </row>
    <row r="2" spans="2:10" x14ac:dyDescent="0.35">
      <c r="G2" s="120"/>
      <c r="H2" s="120"/>
      <c r="I2" s="120"/>
    </row>
    <row r="3" spans="2:10" x14ac:dyDescent="0.35">
      <c r="G3" s="120"/>
      <c r="H3" s="120"/>
      <c r="I3" s="120"/>
    </row>
    <row r="4" spans="2:10" x14ac:dyDescent="0.35">
      <c r="B4" s="1937" t="str">
        <f>+Index!B2</f>
        <v>Nidar Utilities Panvel LLP</v>
      </c>
      <c r="C4" s="1937"/>
      <c r="D4" s="1937"/>
      <c r="E4" s="1937"/>
      <c r="F4" s="1937"/>
      <c r="G4" s="1937"/>
      <c r="H4" s="1937"/>
      <c r="I4" s="1937"/>
      <c r="J4" s="1937"/>
    </row>
    <row r="5" spans="2:10" x14ac:dyDescent="0.35">
      <c r="B5" s="1875" t="s">
        <v>211</v>
      </c>
      <c r="C5" s="1875"/>
      <c r="D5" s="1875"/>
      <c r="E5" s="1875"/>
      <c r="F5" s="1875"/>
      <c r="G5" s="1875"/>
      <c r="H5" s="1875"/>
      <c r="I5" s="1875"/>
      <c r="J5" s="1875"/>
    </row>
    <row r="6" spans="2:10" x14ac:dyDescent="0.35">
      <c r="B6" s="1875" t="s">
        <v>608</v>
      </c>
      <c r="C6" s="1875"/>
      <c r="D6" s="1875"/>
      <c r="E6" s="1875"/>
      <c r="F6" s="1875"/>
      <c r="G6" s="1875"/>
      <c r="H6" s="1875"/>
      <c r="I6" s="1875"/>
      <c r="J6" s="1875"/>
    </row>
    <row r="7" spans="2:10" x14ac:dyDescent="0.35">
      <c r="G7" s="120"/>
      <c r="H7" s="120"/>
      <c r="I7" s="120"/>
    </row>
    <row r="8" spans="2:10" x14ac:dyDescent="0.35">
      <c r="G8" s="120"/>
      <c r="H8" s="120"/>
      <c r="I8" s="120"/>
    </row>
    <row r="9" spans="2:10" x14ac:dyDescent="0.35">
      <c r="B9" s="99" t="s">
        <v>553</v>
      </c>
      <c r="C9" s="34"/>
      <c r="D9" s="34"/>
      <c r="E9" s="34"/>
      <c r="F9" s="34"/>
      <c r="J9" s="34"/>
    </row>
    <row r="10" spans="2:10" x14ac:dyDescent="0.35">
      <c r="J10" s="16" t="s">
        <v>110</v>
      </c>
    </row>
    <row r="11" spans="2:10" ht="27" customHeight="1" x14ac:dyDescent="0.35">
      <c r="B11" s="1940" t="s">
        <v>555</v>
      </c>
      <c r="C11" s="1940" t="s">
        <v>111</v>
      </c>
      <c r="D11" s="98" t="s">
        <v>196</v>
      </c>
      <c r="E11" s="98" t="s">
        <v>197</v>
      </c>
      <c r="F11" s="98" t="s">
        <v>198</v>
      </c>
      <c r="G11" s="98" t="s">
        <v>199</v>
      </c>
      <c r="H11" s="217" t="s">
        <v>112</v>
      </c>
      <c r="I11" s="217" t="s">
        <v>113</v>
      </c>
      <c r="J11" s="217" t="s">
        <v>114</v>
      </c>
    </row>
    <row r="12" spans="2:10" ht="27" customHeight="1" x14ac:dyDescent="0.35">
      <c r="B12" s="1940"/>
      <c r="C12" s="1940"/>
      <c r="D12" s="1934" t="s">
        <v>117</v>
      </c>
      <c r="E12" s="1935"/>
      <c r="F12" s="1935"/>
      <c r="G12" s="1935"/>
      <c r="H12" s="1935"/>
      <c r="I12" s="1936"/>
      <c r="J12" s="217" t="s">
        <v>121</v>
      </c>
    </row>
    <row r="13" spans="2:10" x14ac:dyDescent="0.35">
      <c r="B13" s="58">
        <v>1</v>
      </c>
      <c r="C13" s="61" t="s">
        <v>609</v>
      </c>
      <c r="D13" s="1231">
        <v>0</v>
      </c>
      <c r="E13" s="1231">
        <f t="shared" ref="E13:J13" si="0">+D17</f>
        <v>16.664064434250001</v>
      </c>
      <c r="F13" s="1231">
        <f t="shared" si="0"/>
        <v>20.132523119687637</v>
      </c>
      <c r="G13" s="1231">
        <f t="shared" si="0"/>
        <v>20.514915661187636</v>
      </c>
      <c r="H13" s="1231">
        <f t="shared" si="0"/>
        <v>20.711383454987637</v>
      </c>
      <c r="I13" s="1231">
        <f t="shared" si="0"/>
        <v>20.712875952287636</v>
      </c>
      <c r="J13" s="1231">
        <f t="shared" si="0"/>
        <v>20.751384721637635</v>
      </c>
    </row>
    <row r="14" spans="2:10" x14ac:dyDescent="0.35">
      <c r="B14" s="62">
        <f>B13+1</f>
        <v>2</v>
      </c>
      <c r="C14" s="61" t="s">
        <v>610</v>
      </c>
      <c r="D14" s="1231">
        <f>+'F4'!D15</f>
        <v>55.546881447500006</v>
      </c>
      <c r="E14" s="1231">
        <f>+'F4'!E15</f>
        <v>11.561528951458783</v>
      </c>
      <c r="F14" s="1231">
        <f>+'F4'!F15</f>
        <v>4.9667203009999996</v>
      </c>
      <c r="G14" s="1231">
        <f>+'F4'!G15</f>
        <v>0.65489264599999997</v>
      </c>
      <c r="H14" s="1231">
        <f>+'F4'!H15</f>
        <v>4.9749910000000007E-3</v>
      </c>
      <c r="I14" s="1231">
        <f>+'F4'!I15</f>
        <v>0.1283625645</v>
      </c>
      <c r="J14" s="1231">
        <f>+'F4'!J15</f>
        <v>1.3065785E-2</v>
      </c>
    </row>
    <row r="15" spans="2:10" x14ac:dyDescent="0.35">
      <c r="B15" s="62">
        <f t="shared" ref="B15:B21" si="1">B14+1</f>
        <v>3</v>
      </c>
      <c r="C15" s="61" t="s">
        <v>611</v>
      </c>
      <c r="D15" s="1231">
        <f>+D14*30%</f>
        <v>16.664064434250001</v>
      </c>
      <c r="E15" s="1231">
        <f t="shared" ref="E15:J15" si="2">+E14*30%</f>
        <v>3.4684586854376347</v>
      </c>
      <c r="F15" s="1231">
        <f t="shared" si="2"/>
        <v>1.4900160902999999</v>
      </c>
      <c r="G15" s="1231">
        <f t="shared" si="2"/>
        <v>0.19646779379999998</v>
      </c>
      <c r="H15" s="1231">
        <f t="shared" si="2"/>
        <v>1.4924973000000001E-3</v>
      </c>
      <c r="I15" s="1231">
        <f t="shared" si="2"/>
        <v>3.8508769349999999E-2</v>
      </c>
      <c r="J15" s="1231">
        <f t="shared" si="2"/>
        <v>3.9197354999999994E-3</v>
      </c>
    </row>
    <row r="16" spans="2:10" x14ac:dyDescent="0.4">
      <c r="B16" s="62">
        <f t="shared" si="1"/>
        <v>4</v>
      </c>
      <c r="C16" s="220" t="s">
        <v>612</v>
      </c>
      <c r="D16" s="1231"/>
      <c r="E16" s="1231"/>
      <c r="F16" s="1231">
        <f>+'F5.1 (E) Exisiting'!P24*30%</f>
        <v>1.1076235487999999</v>
      </c>
      <c r="G16" s="676"/>
      <c r="H16" s="676"/>
      <c r="I16" s="676"/>
      <c r="J16" s="676"/>
    </row>
    <row r="17" spans="2:11" x14ac:dyDescent="0.35">
      <c r="B17" s="62">
        <f t="shared" si="1"/>
        <v>5</v>
      </c>
      <c r="C17" s="61" t="s">
        <v>613</v>
      </c>
      <c r="D17" s="1246">
        <f>+D13+D15-D16</f>
        <v>16.664064434250001</v>
      </c>
      <c r="E17" s="1246">
        <f t="shared" ref="E17:J17" si="3">+E13+E15-E16</f>
        <v>20.132523119687637</v>
      </c>
      <c r="F17" s="1246">
        <f t="shared" si="3"/>
        <v>20.514915661187636</v>
      </c>
      <c r="G17" s="1246">
        <f t="shared" si="3"/>
        <v>20.711383454987637</v>
      </c>
      <c r="H17" s="1246">
        <f t="shared" si="3"/>
        <v>20.712875952287636</v>
      </c>
      <c r="I17" s="1246">
        <f t="shared" si="3"/>
        <v>20.751384721637635</v>
      </c>
      <c r="J17" s="1246">
        <f t="shared" si="3"/>
        <v>20.755304457137633</v>
      </c>
    </row>
    <row r="18" spans="2:11" x14ac:dyDescent="0.35">
      <c r="B18" s="62"/>
      <c r="C18" s="152"/>
      <c r="D18" s="152"/>
      <c r="E18" s="152"/>
      <c r="F18" s="152"/>
      <c r="G18" s="19"/>
      <c r="H18" s="19"/>
      <c r="I18" s="19"/>
      <c r="J18" s="19"/>
    </row>
    <row r="19" spans="2:11" x14ac:dyDescent="0.35">
      <c r="B19" s="62"/>
      <c r="C19" s="63" t="s">
        <v>614</v>
      </c>
      <c r="D19" s="63"/>
      <c r="E19" s="63"/>
      <c r="F19" s="63"/>
      <c r="G19" s="19"/>
      <c r="H19" s="19"/>
      <c r="I19" s="19"/>
      <c r="J19" s="19"/>
    </row>
    <row r="20" spans="2:11" x14ac:dyDescent="0.35">
      <c r="B20" s="62">
        <v>6</v>
      </c>
      <c r="C20" s="61" t="s">
        <v>615</v>
      </c>
      <c r="D20" s="1247">
        <f>+Assum!E58</f>
        <v>0.155</v>
      </c>
      <c r="E20" s="1247">
        <f>+Assum!F58</f>
        <v>0.155</v>
      </c>
      <c r="F20" s="1247">
        <f>+Assum!G58</f>
        <v>0.14000000000000001</v>
      </c>
      <c r="G20" s="1247">
        <f>+Assum!H58</f>
        <v>0.14000000000000001</v>
      </c>
      <c r="H20" s="1247">
        <f>+Assum!I58</f>
        <v>0.14000000000000001</v>
      </c>
      <c r="I20" s="1247">
        <f>+Assum!J58</f>
        <v>0.14000000000000001</v>
      </c>
      <c r="J20" s="1247">
        <f>+Assum!K58</f>
        <v>0.14000000000000001</v>
      </c>
    </row>
    <row r="21" spans="2:11" x14ac:dyDescent="0.35">
      <c r="B21" s="62">
        <f t="shared" si="1"/>
        <v>7</v>
      </c>
      <c r="C21" s="61" t="s">
        <v>616</v>
      </c>
      <c r="D21" s="1248">
        <f>D20/(1-Assum!E63)</f>
        <v>0.155</v>
      </c>
      <c r="E21" s="1248">
        <f>E20/(1-Assum!F63)</f>
        <v>0.155</v>
      </c>
      <c r="F21" s="1248">
        <f>F20/(1-Assum!G63)</f>
        <v>0.14000000000000001</v>
      </c>
      <c r="G21" s="1248">
        <f>G20/(1-Assum!H63)</f>
        <v>0.14000000000000001</v>
      </c>
      <c r="H21" s="1248">
        <f>H20/(1-Assum!I63)</f>
        <v>0.14000000000000001</v>
      </c>
      <c r="I21" s="1248">
        <f>I20/(1-Assum!J63)</f>
        <v>0.14000000000000001</v>
      </c>
      <c r="J21" s="1248">
        <f>J20/(1-Assum!K63)</f>
        <v>0.14000000000000001</v>
      </c>
    </row>
    <row r="22" spans="2:11" x14ac:dyDescent="0.35">
      <c r="B22" s="62">
        <v>8</v>
      </c>
      <c r="C22" s="61" t="s">
        <v>617</v>
      </c>
      <c r="D22" s="527">
        <f>+D13*D21</f>
        <v>0</v>
      </c>
      <c r="E22" s="527">
        <f t="shared" ref="E22:J22" si="4">+E13*E21</f>
        <v>2.5829299873087503</v>
      </c>
      <c r="F22" s="527">
        <f t="shared" si="4"/>
        <v>2.8185532367562693</v>
      </c>
      <c r="G22" s="527">
        <f t="shared" si="4"/>
        <v>2.8720881925662693</v>
      </c>
      <c r="H22" s="527">
        <f t="shared" si="4"/>
        <v>2.8995936836982694</v>
      </c>
      <c r="I22" s="527">
        <f t="shared" si="4"/>
        <v>2.8998026333202693</v>
      </c>
      <c r="J22" s="527">
        <f t="shared" si="4"/>
        <v>2.9051938610292694</v>
      </c>
    </row>
    <row r="23" spans="2:11" x14ac:dyDescent="0.35">
      <c r="B23" s="62">
        <v>9</v>
      </c>
      <c r="C23" s="61" t="s">
        <v>618</v>
      </c>
      <c r="D23" s="527">
        <f>+(D15-D16)*D21/2</f>
        <v>1.2914649936543752</v>
      </c>
      <c r="E23" s="527">
        <f t="shared" ref="E23:J23" si="5">+(E15-E16)*E21/2</f>
        <v>0.26880554812141666</v>
      </c>
      <c r="F23" s="527">
        <f t="shared" si="5"/>
        <v>2.6767477905000003E-2</v>
      </c>
      <c r="G23" s="527">
        <f t="shared" si="5"/>
        <v>1.3752745566000001E-2</v>
      </c>
      <c r="H23" s="527">
        <f t="shared" si="5"/>
        <v>1.0447481100000001E-4</v>
      </c>
      <c r="I23" s="527">
        <f t="shared" si="5"/>
        <v>2.6956138545000002E-3</v>
      </c>
      <c r="J23" s="527">
        <f t="shared" si="5"/>
        <v>2.7438148499999999E-4</v>
      </c>
    </row>
    <row r="24" spans="2:11" x14ac:dyDescent="0.35">
      <c r="B24" s="62">
        <v>10</v>
      </c>
      <c r="C24" s="63" t="s">
        <v>619</v>
      </c>
      <c r="D24" s="533">
        <f>+D22+D23</f>
        <v>1.2914649936543752</v>
      </c>
      <c r="E24" s="533">
        <f t="shared" ref="E24:J24" si="6">+E22+E23</f>
        <v>2.851735535430167</v>
      </c>
      <c r="F24" s="533">
        <f t="shared" si="6"/>
        <v>2.8453207146612693</v>
      </c>
      <c r="G24" s="533">
        <f t="shared" si="6"/>
        <v>2.8858409381322692</v>
      </c>
      <c r="H24" s="533">
        <f t="shared" si="6"/>
        <v>2.8996981585092696</v>
      </c>
      <c r="I24" s="533">
        <f t="shared" si="6"/>
        <v>2.9024982471747691</v>
      </c>
      <c r="J24" s="533">
        <f t="shared" si="6"/>
        <v>2.9054682425142695</v>
      </c>
    </row>
    <row r="25" spans="2:11" ht="47" customHeight="1" x14ac:dyDescent="0.35">
      <c r="B25" s="2064" t="s">
        <v>620</v>
      </c>
      <c r="C25" s="2064"/>
      <c r="D25" s="2064"/>
      <c r="E25" s="2064"/>
      <c r="F25" s="2064"/>
      <c r="G25" s="2064"/>
      <c r="H25" s="2064"/>
      <c r="I25" s="2064"/>
      <c r="J25" s="2064"/>
    </row>
    <row r="26" spans="2:11" x14ac:dyDescent="0.35">
      <c r="B26" s="10" t="s">
        <v>621</v>
      </c>
    </row>
    <row r="27" spans="2:11" x14ac:dyDescent="0.35">
      <c r="B27" s="10" t="s">
        <v>622</v>
      </c>
    </row>
    <row r="30" spans="2:11" s="1" customFormat="1" x14ac:dyDescent="0.4">
      <c r="B30" s="10"/>
      <c r="C30" s="203" t="s">
        <v>623</v>
      </c>
      <c r="D30" s="10"/>
      <c r="E30" s="10"/>
      <c r="F30" s="10"/>
      <c r="G30" s="10"/>
      <c r="H30" s="10"/>
      <c r="I30" s="10"/>
      <c r="J30" s="10"/>
      <c r="K30" s="10"/>
    </row>
    <row r="31" spans="2:11" s="1" customFormat="1" x14ac:dyDescent="0.4">
      <c r="B31" s="10"/>
      <c r="C31" s="10"/>
      <c r="D31" s="10"/>
      <c r="E31" s="10"/>
      <c r="F31" s="10"/>
      <c r="G31" s="10"/>
      <c r="H31" s="10"/>
      <c r="I31" s="10"/>
      <c r="J31" s="10"/>
      <c r="K31" s="10"/>
    </row>
    <row r="32" spans="2:11" s="1" customFormat="1" x14ac:dyDescent="0.4">
      <c r="B32" s="1938" t="s">
        <v>1</v>
      </c>
      <c r="C32" s="2003" t="s">
        <v>111</v>
      </c>
      <c r="D32" s="259" t="s">
        <v>624</v>
      </c>
      <c r="E32" s="98" t="s">
        <v>198</v>
      </c>
      <c r="F32" s="98" t="s">
        <v>199</v>
      </c>
      <c r="G32" s="98" t="s">
        <v>112</v>
      </c>
      <c r="H32" s="98" t="s">
        <v>113</v>
      </c>
      <c r="I32" s="98" t="s">
        <v>114</v>
      </c>
      <c r="K32" s="10"/>
    </row>
    <row r="33" spans="2:11" s="1" customFormat="1" ht="27" x14ac:dyDescent="0.4">
      <c r="B33" s="1983"/>
      <c r="C33" s="2065"/>
      <c r="D33" s="261"/>
      <c r="E33" s="98" t="s">
        <v>117</v>
      </c>
      <c r="F33" s="98" t="s">
        <v>117</v>
      </c>
      <c r="G33" s="98" t="s">
        <v>117</v>
      </c>
      <c r="H33" s="98" t="s">
        <v>117</v>
      </c>
      <c r="I33" s="98" t="s">
        <v>117</v>
      </c>
      <c r="K33" s="10"/>
    </row>
    <row r="34" spans="2:11" s="1" customFormat="1" x14ac:dyDescent="0.4">
      <c r="B34" s="58">
        <v>1</v>
      </c>
      <c r="C34" s="61" t="s">
        <v>625</v>
      </c>
      <c r="D34" s="62" t="s">
        <v>243</v>
      </c>
      <c r="E34" s="1250">
        <f>+Assum!G60</f>
        <v>0.99337899543378994</v>
      </c>
      <c r="F34" s="1250">
        <f>+Assum!H60</f>
        <v>0.99773972602739724</v>
      </c>
      <c r="G34" s="1250">
        <f>+Assum!I60</f>
        <v>0.99748858447488586</v>
      </c>
      <c r="H34" s="1250">
        <f>+Assum!J60</f>
        <v>0.98754109589041095</v>
      </c>
      <c r="I34" s="1250">
        <f>+Assum!K60</f>
        <v>0.9948251141552511</v>
      </c>
      <c r="J34" s="10"/>
      <c r="K34" s="10"/>
    </row>
    <row r="35" spans="2:11" s="1" customFormat="1" x14ac:dyDescent="0.4">
      <c r="B35" s="62">
        <f>B34+1</f>
        <v>2</v>
      </c>
      <c r="C35" s="61" t="s">
        <v>626</v>
      </c>
      <c r="D35" s="62" t="s">
        <v>243</v>
      </c>
      <c r="E35" s="1250">
        <f>+D141</f>
        <v>0.01</v>
      </c>
      <c r="F35" s="1250">
        <f>+E141</f>
        <v>1.4999999999999999E-2</v>
      </c>
      <c r="G35" s="1250">
        <f>+F141</f>
        <v>1.4999999999999999E-2</v>
      </c>
      <c r="H35" s="1250">
        <f>+G141</f>
        <v>5.0000000000000001E-3</v>
      </c>
      <c r="I35" s="1250">
        <f>+H141</f>
        <v>0.01</v>
      </c>
      <c r="J35" s="10"/>
      <c r="K35" s="10"/>
    </row>
    <row r="36" spans="2:11" s="1" customFormat="1" x14ac:dyDescent="0.4">
      <c r="B36" s="62"/>
      <c r="C36" s="61"/>
      <c r="D36" s="61"/>
      <c r="E36" s="19"/>
      <c r="F36" s="19"/>
      <c r="G36" s="19"/>
      <c r="H36" s="19"/>
      <c r="I36" s="19"/>
      <c r="J36" s="10"/>
      <c r="K36" s="10"/>
    </row>
    <row r="37" spans="2:11" s="1" customFormat="1" x14ac:dyDescent="0.4">
      <c r="B37" s="62"/>
      <c r="C37" s="63" t="s">
        <v>627</v>
      </c>
      <c r="D37" s="61"/>
      <c r="E37" s="19"/>
      <c r="F37" s="19"/>
      <c r="G37" s="19"/>
      <c r="H37" s="19"/>
      <c r="I37" s="19"/>
      <c r="J37" s="10"/>
      <c r="K37" s="10"/>
    </row>
    <row r="38" spans="2:11" s="1" customFormat="1" x14ac:dyDescent="0.4">
      <c r="B38" s="62">
        <v>3</v>
      </c>
      <c r="C38" s="61" t="s">
        <v>628</v>
      </c>
      <c r="D38" s="62" t="s">
        <v>629</v>
      </c>
      <c r="E38" s="675">
        <f>+F13*E35/(1-Assum!G63)</f>
        <v>0.20132523119687637</v>
      </c>
      <c r="F38" s="675">
        <f>+G13*F35/(1-Assum!H63)</f>
        <v>0.30772373491781452</v>
      </c>
      <c r="G38" s="675">
        <f>+H13*G35/(1-Assum!I63)</f>
        <v>0.31067075182481452</v>
      </c>
      <c r="H38" s="675">
        <f>+I13*H35/(1-Assum!J63)</f>
        <v>0.10356437976143817</v>
      </c>
      <c r="I38" s="675">
        <f>+J13*I35/(1-Assum!K63)</f>
        <v>0.20751384721637636</v>
      </c>
      <c r="J38" s="10"/>
      <c r="K38" s="10"/>
    </row>
    <row r="39" spans="2:11" s="1" customFormat="1" x14ac:dyDescent="0.4">
      <c r="B39" s="62">
        <v>4</v>
      </c>
      <c r="C39" s="61" t="s">
        <v>630</v>
      </c>
      <c r="D39" s="62" t="s">
        <v>629</v>
      </c>
      <c r="E39" s="675">
        <f>+(F15-F16)*E35/2/(1-Assum!G63)</f>
        <v>1.9119627075000001E-3</v>
      </c>
      <c r="F39" s="675">
        <f>+(G15-G16)*F35/2/(1-Assum!H63)</f>
        <v>1.4735084534999998E-3</v>
      </c>
      <c r="G39" s="675">
        <f>+(H15-H16)*G35/2/(1-Assum!I63)</f>
        <v>1.1193729750000001E-5</v>
      </c>
      <c r="H39" s="675">
        <f>+(I15-I16)*H35/2/(1-Assum!J63)</f>
        <v>9.6271923374999997E-5</v>
      </c>
      <c r="I39" s="675">
        <f>+(J15-J16)*I35/2/(1-Assum!K63)</f>
        <v>1.9598677499999998E-5</v>
      </c>
      <c r="J39" s="10"/>
      <c r="K39" s="10"/>
    </row>
    <row r="40" spans="2:11" s="1" customFormat="1" x14ac:dyDescent="0.4">
      <c r="B40" s="68">
        <v>5</v>
      </c>
      <c r="C40" s="63" t="s">
        <v>631</v>
      </c>
      <c r="D40" s="62" t="s">
        <v>629</v>
      </c>
      <c r="E40" s="1254">
        <f>+E38+E39</f>
        <v>0.20323719390437636</v>
      </c>
      <c r="F40" s="1254">
        <f>+F38+F39</f>
        <v>0.30919724337131449</v>
      </c>
      <c r="G40" s="1254">
        <f>+G38+G39</f>
        <v>0.31068194555456452</v>
      </c>
      <c r="H40" s="1254">
        <f>+H38+H39</f>
        <v>0.10366065168481317</v>
      </c>
      <c r="I40" s="1254">
        <f>+I38+I39</f>
        <v>0.20753344589387637</v>
      </c>
      <c r="J40" s="10"/>
      <c r="K40" s="10"/>
    </row>
    <row r="41" spans="2:11" s="1" customFormat="1" ht="15" customHeight="1" x14ac:dyDescent="0.4">
      <c r="B41" s="10"/>
      <c r="C41" s="10"/>
      <c r="D41" s="10"/>
      <c r="E41" s="10"/>
      <c r="F41" s="10"/>
      <c r="G41" s="10"/>
      <c r="H41" s="10"/>
      <c r="I41" s="10"/>
      <c r="J41" s="10"/>
      <c r="K41" s="10"/>
    </row>
    <row r="42" spans="2:11" s="1" customFormat="1" ht="15" customHeight="1" x14ac:dyDescent="0.4">
      <c r="B42" s="16" t="s">
        <v>632</v>
      </c>
      <c r="C42" s="10"/>
      <c r="D42" s="10"/>
      <c r="E42" s="10"/>
      <c r="F42" s="10"/>
      <c r="G42" s="10"/>
      <c r="H42" s="10"/>
      <c r="I42" s="10"/>
      <c r="J42" s="10"/>
      <c r="K42" s="10"/>
    </row>
    <row r="45" spans="2:11" x14ac:dyDescent="0.35">
      <c r="B45" s="99" t="s">
        <v>278</v>
      </c>
    </row>
    <row r="46" spans="2:11" x14ac:dyDescent="0.35">
      <c r="B46" s="99"/>
    </row>
    <row r="47" spans="2:11" ht="27" customHeight="1" x14ac:dyDescent="0.35">
      <c r="B47" s="1940" t="s">
        <v>555</v>
      </c>
      <c r="C47" s="1940" t="s">
        <v>111</v>
      </c>
      <c r="D47" s="98" t="s">
        <v>196</v>
      </c>
      <c r="E47" s="98" t="s">
        <v>197</v>
      </c>
      <c r="F47" s="98" t="s">
        <v>198</v>
      </c>
      <c r="G47" s="98" t="s">
        <v>199</v>
      </c>
      <c r="H47" s="217" t="s">
        <v>112</v>
      </c>
      <c r="I47" s="217" t="s">
        <v>113</v>
      </c>
      <c r="J47" s="217" t="s">
        <v>114</v>
      </c>
    </row>
    <row r="48" spans="2:11" ht="27" customHeight="1" x14ac:dyDescent="0.35">
      <c r="B48" s="1940"/>
      <c r="C48" s="1940"/>
      <c r="D48" s="1934" t="s">
        <v>117</v>
      </c>
      <c r="E48" s="1935"/>
      <c r="F48" s="1935"/>
      <c r="G48" s="1935"/>
      <c r="H48" s="1935"/>
      <c r="I48" s="1936"/>
      <c r="J48" s="217" t="s">
        <v>121</v>
      </c>
    </row>
    <row r="49" spans="2:10" x14ac:dyDescent="0.35">
      <c r="B49" s="58">
        <v>1</v>
      </c>
      <c r="C49" s="61" t="s">
        <v>609</v>
      </c>
      <c r="D49" s="1231">
        <v>0</v>
      </c>
      <c r="E49" s="1231">
        <f t="shared" ref="E49:J49" si="7">+D53</f>
        <v>0.22977406425000002</v>
      </c>
      <c r="F49" s="1231">
        <f t="shared" si="7"/>
        <v>0.61036285392702982</v>
      </c>
      <c r="G49" s="1231">
        <f t="shared" si="7"/>
        <v>0.6134591275270298</v>
      </c>
      <c r="H49" s="1231">
        <f t="shared" si="7"/>
        <v>0.70533845622702984</v>
      </c>
      <c r="I49" s="1231">
        <f t="shared" si="7"/>
        <v>1.0738657759270298</v>
      </c>
      <c r="J49" s="1231">
        <f t="shared" si="7"/>
        <v>1.0879810241770298</v>
      </c>
    </row>
    <row r="50" spans="2:10" x14ac:dyDescent="0.35">
      <c r="B50" s="62">
        <f>B49+1</f>
        <v>2</v>
      </c>
      <c r="C50" s="61" t="s">
        <v>610</v>
      </c>
      <c r="D50" s="1231">
        <f>+'F4'!D28</f>
        <v>0.76591354750000007</v>
      </c>
      <c r="E50" s="1231">
        <f>+'F4'!E28</f>
        <v>1.2686292989234327</v>
      </c>
      <c r="F50" s="1231">
        <f>+'F4'!F28</f>
        <v>1.0320912E-2</v>
      </c>
      <c r="G50" s="1231">
        <f>+'F4'!G28</f>
        <v>0.306264429</v>
      </c>
      <c r="H50" s="1231">
        <f>+'F4'!H28</f>
        <v>1.2284243990000001</v>
      </c>
      <c r="I50" s="1231">
        <f>+'F4'!I28</f>
        <v>4.7050827499999996E-2</v>
      </c>
      <c r="J50" s="1231">
        <f>+'F4'!J28</f>
        <v>2.0853785E-2</v>
      </c>
    </row>
    <row r="51" spans="2:10" x14ac:dyDescent="0.35">
      <c r="B51" s="62">
        <f t="shared" ref="B51:B57" si="8">B50+1</f>
        <v>3</v>
      </c>
      <c r="C51" s="61" t="s">
        <v>611</v>
      </c>
      <c r="D51" s="1231">
        <f>+D50*30%</f>
        <v>0.22977406425000002</v>
      </c>
      <c r="E51" s="1231">
        <f t="shared" ref="E51:J51" si="9">+E50*30%</f>
        <v>0.3805887896770298</v>
      </c>
      <c r="F51" s="1231">
        <f t="shared" si="9"/>
        <v>3.0962735999999999E-3</v>
      </c>
      <c r="G51" s="1231">
        <f t="shared" si="9"/>
        <v>9.1879328699999999E-2</v>
      </c>
      <c r="H51" s="1231">
        <f t="shared" si="9"/>
        <v>0.36852731970000002</v>
      </c>
      <c r="I51" s="1231">
        <f t="shared" si="9"/>
        <v>1.4115248249999999E-2</v>
      </c>
      <c r="J51" s="1231">
        <f t="shared" si="9"/>
        <v>6.2561355000000001E-3</v>
      </c>
    </row>
    <row r="52" spans="2:10" x14ac:dyDescent="0.4">
      <c r="B52" s="62">
        <f t="shared" si="8"/>
        <v>4</v>
      </c>
      <c r="C52" s="220" t="s">
        <v>612</v>
      </c>
      <c r="D52" s="1231"/>
      <c r="E52" s="1231"/>
      <c r="F52" s="1231"/>
      <c r="G52" s="676"/>
      <c r="H52" s="676"/>
      <c r="I52" s="676"/>
      <c r="J52" s="676"/>
    </row>
    <row r="53" spans="2:10" x14ac:dyDescent="0.35">
      <c r="B53" s="62">
        <f t="shared" si="8"/>
        <v>5</v>
      </c>
      <c r="C53" s="61" t="s">
        <v>613</v>
      </c>
      <c r="D53" s="1246">
        <f>+D49+D51-D52</f>
        <v>0.22977406425000002</v>
      </c>
      <c r="E53" s="1246">
        <f t="shared" ref="E53:J53" si="10">+E49+E51-E52</f>
        <v>0.61036285392702982</v>
      </c>
      <c r="F53" s="1246">
        <f t="shared" si="10"/>
        <v>0.6134591275270298</v>
      </c>
      <c r="G53" s="1246">
        <f t="shared" si="10"/>
        <v>0.70533845622702984</v>
      </c>
      <c r="H53" s="1246">
        <f t="shared" si="10"/>
        <v>1.0738657759270298</v>
      </c>
      <c r="I53" s="1246">
        <f t="shared" si="10"/>
        <v>1.0879810241770298</v>
      </c>
      <c r="J53" s="1246">
        <f t="shared" si="10"/>
        <v>1.0942371596770297</v>
      </c>
    </row>
    <row r="54" spans="2:10" x14ac:dyDescent="0.35">
      <c r="B54" s="62"/>
      <c r="C54" s="152"/>
      <c r="D54" s="152"/>
      <c r="E54" s="152"/>
      <c r="F54" s="152"/>
      <c r="G54" s="19"/>
      <c r="H54" s="19"/>
      <c r="I54" s="19"/>
      <c r="J54" s="19"/>
    </row>
    <row r="55" spans="2:10" x14ac:dyDescent="0.35">
      <c r="B55" s="62"/>
      <c r="C55" s="63" t="s">
        <v>614</v>
      </c>
      <c r="D55" s="63"/>
      <c r="E55" s="63"/>
      <c r="F55" s="63"/>
      <c r="G55" s="19"/>
      <c r="H55" s="19"/>
      <c r="I55" s="19"/>
      <c r="J55" s="19"/>
    </row>
    <row r="56" spans="2:10" x14ac:dyDescent="0.35">
      <c r="B56" s="62">
        <v>6</v>
      </c>
      <c r="C56" s="61" t="s">
        <v>615</v>
      </c>
      <c r="D56" s="1247">
        <f>+Assum!E59</f>
        <v>0.17499999999999999</v>
      </c>
      <c r="E56" s="1247">
        <f>+Assum!F59</f>
        <v>0.17499999999999999</v>
      </c>
      <c r="F56" s="1247">
        <f>+Assum!G59</f>
        <v>0.155</v>
      </c>
      <c r="G56" s="1247">
        <f>+Assum!H59</f>
        <v>0.155</v>
      </c>
      <c r="H56" s="1247">
        <f>+Assum!I59</f>
        <v>0.155</v>
      </c>
      <c r="I56" s="1247">
        <f>+Assum!J59</f>
        <v>0.155</v>
      </c>
      <c r="J56" s="1247">
        <f>+Assum!K59</f>
        <v>0.155</v>
      </c>
    </row>
    <row r="57" spans="2:10" x14ac:dyDescent="0.35">
      <c r="B57" s="62">
        <f t="shared" si="8"/>
        <v>7</v>
      </c>
      <c r="C57" s="61" t="s">
        <v>616</v>
      </c>
      <c r="D57" s="1249">
        <f>+D56/(1-Assum!E63)</f>
        <v>0.17499999999999999</v>
      </c>
      <c r="E57" s="1249">
        <f>+E56/(1-Assum!F63)</f>
        <v>0.17499999999999999</v>
      </c>
      <c r="F57" s="1249">
        <f>+F56/(1-Assum!G63)</f>
        <v>0.155</v>
      </c>
      <c r="G57" s="1249">
        <f>+G56/(1-Assum!H63)</f>
        <v>0.155</v>
      </c>
      <c r="H57" s="1249">
        <f>+H56/(1-Assum!I63)</f>
        <v>0.155</v>
      </c>
      <c r="I57" s="1249">
        <f>+I56/(1-Assum!J63)</f>
        <v>0.155</v>
      </c>
      <c r="J57" s="1249">
        <f>+J56/(1-Assum!K63)</f>
        <v>0.155</v>
      </c>
    </row>
    <row r="58" spans="2:10" x14ac:dyDescent="0.35">
      <c r="B58" s="62">
        <v>8</v>
      </c>
      <c r="C58" s="61" t="s">
        <v>617</v>
      </c>
      <c r="D58" s="527">
        <f t="shared" ref="D58:J58" si="11">+D49*D57</f>
        <v>0</v>
      </c>
      <c r="E58" s="527">
        <f t="shared" si="11"/>
        <v>4.0210461243750002E-2</v>
      </c>
      <c r="F58" s="527">
        <f t="shared" si="11"/>
        <v>9.4606242358689627E-2</v>
      </c>
      <c r="G58" s="527">
        <f t="shared" si="11"/>
        <v>9.5086164766689615E-2</v>
      </c>
      <c r="H58" s="527">
        <f t="shared" si="11"/>
        <v>0.10932746071518963</v>
      </c>
      <c r="I58" s="527">
        <f t="shared" si="11"/>
        <v>0.16644919526868962</v>
      </c>
      <c r="J58" s="527">
        <f t="shared" si="11"/>
        <v>0.16863705874743962</v>
      </c>
    </row>
    <row r="59" spans="2:10" x14ac:dyDescent="0.35">
      <c r="B59" s="62">
        <v>9</v>
      </c>
      <c r="C59" s="61" t="s">
        <v>618</v>
      </c>
      <c r="D59" s="527">
        <f>+(D51-D52)*D57/2</f>
        <v>2.0105230621875001E-2</v>
      </c>
      <c r="E59" s="527">
        <f t="shared" ref="E59:J59" si="12">+(E51-E52)*E57/2</f>
        <v>3.3301519096740104E-2</v>
      </c>
      <c r="F59" s="527">
        <f t="shared" si="12"/>
        <v>2.3996120399999999E-4</v>
      </c>
      <c r="G59" s="527">
        <f t="shared" si="12"/>
        <v>7.12064797425E-3</v>
      </c>
      <c r="H59" s="527">
        <f t="shared" si="12"/>
        <v>2.8560867276750002E-2</v>
      </c>
      <c r="I59" s="527">
        <f t="shared" si="12"/>
        <v>1.0939317393749998E-3</v>
      </c>
      <c r="J59" s="527">
        <f t="shared" si="12"/>
        <v>4.8485050125E-4</v>
      </c>
    </row>
    <row r="60" spans="2:10" x14ac:dyDescent="0.35">
      <c r="B60" s="62">
        <v>10</v>
      </c>
      <c r="C60" s="63" t="s">
        <v>619</v>
      </c>
      <c r="D60" s="533">
        <f t="shared" ref="D60:J60" si="13">+D58+D59</f>
        <v>2.0105230621875001E-2</v>
      </c>
      <c r="E60" s="533">
        <f t="shared" si="13"/>
        <v>7.3511980340490113E-2</v>
      </c>
      <c r="F60" s="533">
        <f t="shared" si="13"/>
        <v>9.4846203562689621E-2</v>
      </c>
      <c r="G60" s="533">
        <f t="shared" si="13"/>
        <v>0.10220681274093961</v>
      </c>
      <c r="H60" s="533">
        <f t="shared" si="13"/>
        <v>0.13788832799193962</v>
      </c>
      <c r="I60" s="533">
        <f t="shared" si="13"/>
        <v>0.16754312700806462</v>
      </c>
      <c r="J60" s="533">
        <f t="shared" si="13"/>
        <v>0.16912190924868961</v>
      </c>
    </row>
    <row r="61" spans="2:10" ht="30.6" customHeight="1" x14ac:dyDescent="0.35">
      <c r="B61" s="2064" t="s">
        <v>620</v>
      </c>
      <c r="C61" s="2064"/>
      <c r="D61" s="2064"/>
      <c r="E61" s="2064"/>
      <c r="F61" s="2064"/>
      <c r="G61" s="2064"/>
      <c r="H61" s="2064"/>
      <c r="I61" s="2064"/>
      <c r="J61" s="2064"/>
    </row>
    <row r="62" spans="2:10" x14ac:dyDescent="0.35">
      <c r="B62" s="10" t="s">
        <v>621</v>
      </c>
    </row>
    <row r="63" spans="2:10" x14ac:dyDescent="0.35">
      <c r="B63" s="10" t="s">
        <v>622</v>
      </c>
    </row>
    <row r="65" spans="2:9" s="1" customFormat="1" x14ac:dyDescent="0.4">
      <c r="B65" s="10"/>
      <c r="C65" s="203" t="s">
        <v>623</v>
      </c>
      <c r="D65" s="10"/>
      <c r="E65" s="10"/>
      <c r="F65" s="10"/>
    </row>
    <row r="66" spans="2:9" s="1" customFormat="1" x14ac:dyDescent="0.4">
      <c r="B66" s="10"/>
      <c r="C66" s="10"/>
      <c r="D66" s="10"/>
      <c r="E66" s="10"/>
      <c r="F66" s="10"/>
    </row>
    <row r="67" spans="2:9" s="1" customFormat="1" x14ac:dyDescent="0.4">
      <c r="B67" s="1938" t="s">
        <v>1</v>
      </c>
      <c r="C67" s="2003" t="s">
        <v>111</v>
      </c>
      <c r="D67" s="259" t="s">
        <v>624</v>
      </c>
      <c r="E67" s="98" t="s">
        <v>198</v>
      </c>
      <c r="F67" s="98" t="s">
        <v>199</v>
      </c>
      <c r="G67" s="98" t="s">
        <v>112</v>
      </c>
      <c r="H67" s="98" t="s">
        <v>113</v>
      </c>
      <c r="I67" s="98" t="s">
        <v>114</v>
      </c>
    </row>
    <row r="68" spans="2:9" s="1" customFormat="1" ht="27" x14ac:dyDescent="0.4">
      <c r="B68" s="1983"/>
      <c r="C68" s="2065"/>
      <c r="D68" s="261"/>
      <c r="E68" s="98" t="s">
        <v>117</v>
      </c>
      <c r="F68" s="98" t="s">
        <v>117</v>
      </c>
      <c r="G68" s="98" t="s">
        <v>117</v>
      </c>
      <c r="H68" s="98" t="s">
        <v>117</v>
      </c>
      <c r="I68" s="98" t="s">
        <v>117</v>
      </c>
    </row>
    <row r="69" spans="2:9" s="1" customFormat="1" x14ac:dyDescent="0.4">
      <c r="B69" s="58">
        <v>1</v>
      </c>
      <c r="C69" s="61" t="s">
        <v>633</v>
      </c>
      <c r="D69" s="62" t="s">
        <v>243</v>
      </c>
      <c r="E69" s="744">
        <f>+Assum!G61</f>
        <v>0</v>
      </c>
      <c r="F69" s="744">
        <f>+Assum!H61</f>
        <v>0</v>
      </c>
      <c r="G69" s="744">
        <f>+Assum!I61</f>
        <v>0</v>
      </c>
      <c r="H69" s="744">
        <f>+Assum!J61</f>
        <v>0</v>
      </c>
      <c r="I69" s="744">
        <f>+Assum!K61</f>
        <v>0</v>
      </c>
    </row>
    <row r="70" spans="2:9" s="1" customFormat="1" x14ac:dyDescent="0.4">
      <c r="B70" s="62">
        <f>B69+1</f>
        <v>2</v>
      </c>
      <c r="C70" s="61" t="s">
        <v>634</v>
      </c>
      <c r="D70" s="62" t="s">
        <v>243</v>
      </c>
      <c r="E70" s="1250">
        <f>+D149</f>
        <v>0.01</v>
      </c>
      <c r="F70" s="1250">
        <f>+E149</f>
        <v>0.01</v>
      </c>
      <c r="G70" s="1250">
        <f>+F149</f>
        <v>0.01</v>
      </c>
      <c r="H70" s="1250">
        <f>+G149</f>
        <v>0.01</v>
      </c>
      <c r="I70" s="1250">
        <f>+H149</f>
        <v>0.01</v>
      </c>
    </row>
    <row r="71" spans="2:9" s="1" customFormat="1" x14ac:dyDescent="0.4">
      <c r="B71" s="62"/>
      <c r="C71" s="61"/>
      <c r="D71" s="61"/>
      <c r="E71" s="19"/>
      <c r="F71" s="19"/>
      <c r="G71" s="19"/>
      <c r="H71" s="19"/>
      <c r="I71" s="19"/>
    </row>
    <row r="72" spans="2:9" s="1" customFormat="1" x14ac:dyDescent="0.4">
      <c r="B72" s="62">
        <v>3</v>
      </c>
      <c r="C72" s="61" t="s">
        <v>635</v>
      </c>
      <c r="D72" s="62" t="s">
        <v>243</v>
      </c>
      <c r="E72" s="744">
        <f>+Assum!G62</f>
        <v>1.0277000000000001</v>
      </c>
      <c r="F72" s="744">
        <f>+Assum!H62</f>
        <v>0.9879</v>
      </c>
      <c r="G72" s="744">
        <f>+Assum!I62</f>
        <v>0.98340000000000005</v>
      </c>
      <c r="H72" s="744">
        <f>+Assum!J62</f>
        <v>0.77739999999999998</v>
      </c>
      <c r="I72" s="744">
        <f>+Assum!K62</f>
        <v>1.0989</v>
      </c>
    </row>
    <row r="73" spans="2:9" s="1" customFormat="1" x14ac:dyDescent="0.4">
      <c r="B73" s="62">
        <v>4</v>
      </c>
      <c r="C73" s="61" t="s">
        <v>636</v>
      </c>
      <c r="D73" s="62" t="s">
        <v>243</v>
      </c>
      <c r="E73" s="1250">
        <v>0.01</v>
      </c>
      <c r="F73" s="1250">
        <v>0.01</v>
      </c>
      <c r="G73" s="1250">
        <v>0.01</v>
      </c>
      <c r="H73" s="744">
        <v>0</v>
      </c>
      <c r="I73" s="1262">
        <v>0.01</v>
      </c>
    </row>
    <row r="74" spans="2:9" s="1" customFormat="1" x14ac:dyDescent="0.4">
      <c r="B74" s="62"/>
      <c r="C74" s="61"/>
      <c r="D74" s="61"/>
      <c r="E74" s="2"/>
      <c r="F74" s="2"/>
      <c r="G74" s="2"/>
      <c r="H74" s="2"/>
      <c r="I74" s="2"/>
    </row>
    <row r="75" spans="2:9" s="1" customFormat="1" x14ac:dyDescent="0.4">
      <c r="B75" s="62">
        <v>5</v>
      </c>
      <c r="C75" s="63" t="s">
        <v>637</v>
      </c>
      <c r="D75" s="62" t="s">
        <v>243</v>
      </c>
      <c r="E75" s="1255">
        <f>+E70+E73</f>
        <v>0.02</v>
      </c>
      <c r="F75" s="1255">
        <f>+F70+F73</f>
        <v>0.02</v>
      </c>
      <c r="G75" s="1255">
        <f>+G70+G73</f>
        <v>0.02</v>
      </c>
      <c r="H75" s="1255">
        <f>+H70+H73</f>
        <v>0.01</v>
      </c>
      <c r="I75" s="1255">
        <f>+I70+I73</f>
        <v>0.02</v>
      </c>
    </row>
    <row r="76" spans="2:9" s="1" customFormat="1" x14ac:dyDescent="0.4">
      <c r="B76" s="62"/>
      <c r="C76" s="61"/>
      <c r="D76" s="61"/>
      <c r="E76" s="19"/>
      <c r="F76" s="19"/>
      <c r="G76" s="2"/>
      <c r="H76" s="2"/>
      <c r="I76" s="2"/>
    </row>
    <row r="77" spans="2:9" s="1" customFormat="1" x14ac:dyDescent="0.4">
      <c r="B77" s="62"/>
      <c r="C77" s="63" t="s">
        <v>627</v>
      </c>
      <c r="D77" s="61"/>
      <c r="E77" s="19"/>
      <c r="F77" s="19"/>
      <c r="G77" s="2"/>
      <c r="H77" s="2"/>
      <c r="I77" s="2"/>
    </row>
    <row r="78" spans="2:9" s="1" customFormat="1" x14ac:dyDescent="0.4">
      <c r="B78" s="62">
        <v>6</v>
      </c>
      <c r="C78" s="61" t="s">
        <v>628</v>
      </c>
      <c r="D78" s="62" t="s">
        <v>629</v>
      </c>
      <c r="E78" s="676">
        <f>+F49*E75/(1-Assum!G63)</f>
        <v>1.2207257078540597E-2</v>
      </c>
      <c r="F78" s="676">
        <f>+G49*F75/(1-Assum!H63)</f>
        <v>1.2269182550540596E-2</v>
      </c>
      <c r="G78" s="676">
        <f>+H49*G75/(1-Assum!I63)</f>
        <v>1.4106769124540596E-2</v>
      </c>
      <c r="H78" s="676">
        <f>+I49*H75/(1-Assum!J63)</f>
        <v>1.0738657759270298E-2</v>
      </c>
      <c r="I78" s="676">
        <f>+J49*I75/(1-Assum!K63)</f>
        <v>2.1759620483540597E-2</v>
      </c>
    </row>
    <row r="79" spans="2:9" s="1" customFormat="1" x14ac:dyDescent="0.4">
      <c r="B79" s="62">
        <v>7</v>
      </c>
      <c r="C79" s="61" t="s">
        <v>630</v>
      </c>
      <c r="D79" s="62" t="s">
        <v>629</v>
      </c>
      <c r="E79" s="676">
        <f>+(F51-F52)/2*(E75/(1-Assum!G64))</f>
        <v>3.0962735999999999E-5</v>
      </c>
      <c r="F79" s="676">
        <f>+(G51-G52)/2*(F75/(1-Assum!H64))</f>
        <v>9.1879328700000004E-4</v>
      </c>
      <c r="G79" s="676">
        <f>+(H51-H52)/2*(G75/(1-Assum!I64))</f>
        <v>3.6852731970000003E-3</v>
      </c>
      <c r="H79" s="676">
        <f>+(I51-I52)/2*(H75/(1-Assum!J64))</f>
        <v>7.0576241249999995E-5</v>
      </c>
      <c r="I79" s="676">
        <f>+(J51-J52)/2*(I75/(1-Assum!K64))</f>
        <v>6.2561355000000004E-5</v>
      </c>
    </row>
    <row r="80" spans="2:9" s="1" customFormat="1" x14ac:dyDescent="0.4">
      <c r="B80" s="68">
        <v>8</v>
      </c>
      <c r="C80" s="63" t="s">
        <v>631</v>
      </c>
      <c r="D80" s="62" t="s">
        <v>629</v>
      </c>
      <c r="E80" s="676">
        <f>+E78+E79</f>
        <v>1.2238219814540596E-2</v>
      </c>
      <c r="F80" s="676">
        <f>+F78+F79</f>
        <v>1.3187975837540595E-2</v>
      </c>
      <c r="G80" s="676">
        <f>+G78+G79</f>
        <v>1.7792042321540597E-2</v>
      </c>
      <c r="H80" s="676">
        <f>+H78+H79</f>
        <v>1.0809234000520298E-2</v>
      </c>
      <c r="I80" s="676">
        <f>+I78+I79</f>
        <v>2.1822181838540598E-2</v>
      </c>
    </row>
    <row r="82" spans="2:11" x14ac:dyDescent="0.35">
      <c r="B82" s="277" t="s">
        <v>638</v>
      </c>
    </row>
    <row r="86" spans="2:11" x14ac:dyDescent="0.35">
      <c r="B86" s="1937" t="str">
        <f>+Index!B2</f>
        <v>Nidar Utilities Panvel LLP</v>
      </c>
      <c r="C86" s="1937"/>
      <c r="D86" s="1937"/>
      <c r="E86" s="1937"/>
      <c r="F86" s="1937"/>
      <c r="G86" s="1937"/>
      <c r="H86" s="1937"/>
      <c r="I86" s="1937"/>
      <c r="J86" s="1937"/>
    </row>
    <row r="87" spans="2:11" x14ac:dyDescent="0.35">
      <c r="B87" s="1875" t="s">
        <v>211</v>
      </c>
      <c r="C87" s="1875"/>
      <c r="D87" s="1875"/>
      <c r="E87" s="1875"/>
      <c r="F87" s="1875"/>
      <c r="G87" s="1875"/>
      <c r="H87" s="1875"/>
      <c r="I87" s="1875"/>
      <c r="J87" s="1875"/>
      <c r="K87" s="34"/>
    </row>
    <row r="88" spans="2:11" x14ac:dyDescent="0.35">
      <c r="B88" s="1875" t="s">
        <v>608</v>
      </c>
      <c r="C88" s="1875"/>
      <c r="D88" s="1875"/>
      <c r="E88" s="1875"/>
      <c r="F88" s="1875"/>
      <c r="G88" s="1875"/>
      <c r="H88" s="1875"/>
      <c r="I88" s="1875"/>
      <c r="J88" s="1875"/>
    </row>
    <row r="90" spans="2:11" x14ac:dyDescent="0.35">
      <c r="B90" s="99" t="s">
        <v>553</v>
      </c>
    </row>
    <row r="91" spans="2:11" x14ac:dyDescent="0.35">
      <c r="I91" s="16" t="s">
        <v>110</v>
      </c>
    </row>
    <row r="92" spans="2:11" x14ac:dyDescent="0.35">
      <c r="B92" s="1938" t="s">
        <v>555</v>
      </c>
      <c r="C92" s="1938" t="s">
        <v>111</v>
      </c>
      <c r="D92" s="2067" t="s">
        <v>557</v>
      </c>
      <c r="E92" s="2068"/>
      <c r="F92" s="2068"/>
      <c r="G92" s="2068"/>
      <c r="H92" s="2069"/>
      <c r="I92" s="1938" t="s">
        <v>116</v>
      </c>
    </row>
    <row r="93" spans="2:11" x14ac:dyDescent="0.35">
      <c r="B93" s="1939"/>
      <c r="C93" s="1939"/>
      <c r="D93" s="98" t="s">
        <v>123</v>
      </c>
      <c r="E93" s="98" t="s">
        <v>124</v>
      </c>
      <c r="F93" s="98" t="s">
        <v>125</v>
      </c>
      <c r="G93" s="98" t="s">
        <v>126</v>
      </c>
      <c r="H93" s="98" t="s">
        <v>127</v>
      </c>
      <c r="I93" s="1939"/>
    </row>
    <row r="94" spans="2:11" x14ac:dyDescent="0.35">
      <c r="B94" s="1983"/>
      <c r="C94" s="1983"/>
      <c r="D94" s="98" t="s">
        <v>135</v>
      </c>
      <c r="E94" s="98" t="s">
        <v>135</v>
      </c>
      <c r="F94" s="98" t="s">
        <v>135</v>
      </c>
      <c r="G94" s="98" t="s">
        <v>135</v>
      </c>
      <c r="H94" s="98" t="s">
        <v>135</v>
      </c>
      <c r="I94" s="1983"/>
    </row>
    <row r="95" spans="2:11" x14ac:dyDescent="0.35">
      <c r="B95" s="62">
        <v>1</v>
      </c>
      <c r="C95" s="61" t="s">
        <v>609</v>
      </c>
      <c r="D95" s="676">
        <f>+J17</f>
        <v>20.755304457137633</v>
      </c>
      <c r="E95" s="676">
        <f>+D99</f>
        <v>20.844097437137634</v>
      </c>
      <c r="F95" s="676">
        <f>+E99</f>
        <v>20.862097437137635</v>
      </c>
      <c r="G95" s="676">
        <f>+F99</f>
        <v>20.862097437137635</v>
      </c>
      <c r="H95" s="676">
        <f>+G99</f>
        <v>20.862097437137635</v>
      </c>
      <c r="I95" s="19"/>
    </row>
    <row r="96" spans="2:11" x14ac:dyDescent="0.35">
      <c r="B96" s="62">
        <f>B95+1</f>
        <v>2</v>
      </c>
      <c r="C96" s="61" t="s">
        <v>610</v>
      </c>
      <c r="D96" s="676">
        <f>+'F4'!K15</f>
        <v>0.29597659999999998</v>
      </c>
      <c r="E96" s="676">
        <f>+'F4'!L15</f>
        <v>0.06</v>
      </c>
      <c r="F96" s="676">
        <f>+'F4'!M15</f>
        <v>0</v>
      </c>
      <c r="G96" s="676">
        <f>+'F4'!N15</f>
        <v>0</v>
      </c>
      <c r="H96" s="676">
        <f>+'F4'!O15</f>
        <v>0</v>
      </c>
      <c r="I96" s="19"/>
    </row>
    <row r="97" spans="2:9" x14ac:dyDescent="0.35">
      <c r="B97" s="62">
        <f t="shared" ref="B97:B106" si="14">B96+1</f>
        <v>3</v>
      </c>
      <c r="C97" s="61" t="s">
        <v>611</v>
      </c>
      <c r="D97" s="676">
        <f>+D96*30%</f>
        <v>8.8792979999999994E-2</v>
      </c>
      <c r="E97" s="676">
        <f>+E96*30%</f>
        <v>1.7999999999999999E-2</v>
      </c>
      <c r="F97" s="676">
        <f>+F96*30%</f>
        <v>0</v>
      </c>
      <c r="G97" s="676">
        <f>+G96*30%</f>
        <v>0</v>
      </c>
      <c r="H97" s="676">
        <f>+H96*30%</f>
        <v>0</v>
      </c>
      <c r="I97" s="19"/>
    </row>
    <row r="98" spans="2:9" x14ac:dyDescent="0.4">
      <c r="B98" s="219">
        <f t="shared" si="14"/>
        <v>4</v>
      </c>
      <c r="C98" s="220" t="s">
        <v>612</v>
      </c>
      <c r="D98" s="676"/>
      <c r="E98" s="676"/>
      <c r="F98" s="676"/>
      <c r="G98" s="676"/>
      <c r="H98" s="676"/>
      <c r="I98" s="19"/>
    </row>
    <row r="99" spans="2:9" x14ac:dyDescent="0.35">
      <c r="B99" s="62">
        <f t="shared" si="14"/>
        <v>5</v>
      </c>
      <c r="C99" s="61" t="s">
        <v>613</v>
      </c>
      <c r="D99" s="676">
        <f>+D95+D97-D98</f>
        <v>20.844097437137634</v>
      </c>
      <c r="E99" s="676">
        <f>+E95+E97-E98</f>
        <v>20.862097437137635</v>
      </c>
      <c r="F99" s="676">
        <f>+F95+F97-F98</f>
        <v>20.862097437137635</v>
      </c>
      <c r="G99" s="676">
        <f>+G95+G97-G98</f>
        <v>20.862097437137635</v>
      </c>
      <c r="H99" s="676">
        <f>+H95+H97-H98</f>
        <v>20.862097437137635</v>
      </c>
      <c r="I99" s="19"/>
    </row>
    <row r="100" spans="2:9" x14ac:dyDescent="0.35">
      <c r="B100" s="62"/>
      <c r="C100" s="61"/>
      <c r="D100" s="19"/>
      <c r="E100" s="19"/>
      <c r="F100" s="19"/>
      <c r="G100" s="19"/>
      <c r="H100" s="19"/>
      <c r="I100" s="19"/>
    </row>
    <row r="101" spans="2:9" x14ac:dyDescent="0.35">
      <c r="B101" s="62"/>
      <c r="C101" s="63" t="s">
        <v>614</v>
      </c>
      <c r="D101" s="19"/>
      <c r="E101" s="19"/>
      <c r="F101" s="19"/>
      <c r="G101" s="19"/>
      <c r="H101" s="19"/>
      <c r="I101" s="19"/>
    </row>
    <row r="102" spans="2:9" x14ac:dyDescent="0.35">
      <c r="B102" s="62">
        <v>6</v>
      </c>
      <c r="C102" s="61" t="s">
        <v>639</v>
      </c>
      <c r="D102" s="1250">
        <f>+Assum!L58</f>
        <v>0.155</v>
      </c>
      <c r="E102" s="1250">
        <f>+Assum!M58</f>
        <v>0.155</v>
      </c>
      <c r="F102" s="1250">
        <f>+Assum!N58</f>
        <v>0.155</v>
      </c>
      <c r="G102" s="1250">
        <f>+Assum!O58</f>
        <v>0.155</v>
      </c>
      <c r="H102" s="1250">
        <f>+Assum!P58</f>
        <v>0.155</v>
      </c>
      <c r="I102" s="19"/>
    </row>
    <row r="103" spans="2:9" ht="29" customHeight="1" x14ac:dyDescent="0.35">
      <c r="B103" s="62">
        <v>7</v>
      </c>
      <c r="C103" s="61" t="s">
        <v>640</v>
      </c>
      <c r="D103" s="744">
        <f>+D102/(1-Assum!L63)</f>
        <v>0.155</v>
      </c>
      <c r="E103" s="744">
        <f>+E102/(1-Assum!M63)</f>
        <v>0.155</v>
      </c>
      <c r="F103" s="744">
        <f>+F102/(1-Assum!N63)</f>
        <v>0.155</v>
      </c>
      <c r="G103" s="744">
        <f>+G102/(1-Assum!O63)</f>
        <v>0.155</v>
      </c>
      <c r="H103" s="744">
        <f>+H102/(1-Assum!P63)</f>
        <v>0.155</v>
      </c>
      <c r="I103" s="19"/>
    </row>
    <row r="104" spans="2:9" x14ac:dyDescent="0.35">
      <c r="B104" s="62">
        <v>8</v>
      </c>
      <c r="C104" s="61" t="s">
        <v>617</v>
      </c>
      <c r="D104" s="676">
        <f>+D95*D103</f>
        <v>3.2170721908563333</v>
      </c>
      <c r="E104" s="676">
        <f>+E95*E103</f>
        <v>3.2308351027563331</v>
      </c>
      <c r="F104" s="676">
        <f>+F95*F103</f>
        <v>3.2336251027563332</v>
      </c>
      <c r="G104" s="676">
        <f>+G95*G103</f>
        <v>3.2336251027563332</v>
      </c>
      <c r="H104" s="676">
        <f>+H95*H103</f>
        <v>3.2336251027563332</v>
      </c>
      <c r="I104" s="19"/>
    </row>
    <row r="105" spans="2:9" x14ac:dyDescent="0.35">
      <c r="B105" s="62">
        <f t="shared" si="14"/>
        <v>9</v>
      </c>
      <c r="C105" s="61" t="s">
        <v>618</v>
      </c>
      <c r="D105" s="675">
        <f>+(D97-D98)/2*D103</f>
        <v>6.8814559499999995E-3</v>
      </c>
      <c r="E105" s="675">
        <f>+(E97-E98)/2*E103</f>
        <v>1.395E-3</v>
      </c>
      <c r="F105" s="675">
        <f>+(F97-F98)/2*F103</f>
        <v>0</v>
      </c>
      <c r="G105" s="675">
        <f>+(G97-G98)/2*G103</f>
        <v>0</v>
      </c>
      <c r="H105" s="675">
        <f>+(H97-H98)/2*H103</f>
        <v>0</v>
      </c>
      <c r="I105" s="19"/>
    </row>
    <row r="106" spans="2:9" x14ac:dyDescent="0.35">
      <c r="B106" s="62">
        <f t="shared" si="14"/>
        <v>10</v>
      </c>
      <c r="C106" s="63" t="s">
        <v>619</v>
      </c>
      <c r="D106" s="658">
        <f>+D104+D105</f>
        <v>3.2239536468063332</v>
      </c>
      <c r="E106" s="658">
        <f>+E104+E105</f>
        <v>3.2322301027563332</v>
      </c>
      <c r="F106" s="658">
        <f>+F104+F105</f>
        <v>3.2336251027563332</v>
      </c>
      <c r="G106" s="658">
        <f>+G104+G105</f>
        <v>3.2336251027563332</v>
      </c>
      <c r="H106" s="658">
        <f>+H104+H105</f>
        <v>3.2336251027563332</v>
      </c>
      <c r="I106" s="19"/>
    </row>
    <row r="109" spans="2:9" x14ac:dyDescent="0.35">
      <c r="B109" s="99" t="s">
        <v>278</v>
      </c>
    </row>
    <row r="110" spans="2:9" ht="15" customHeight="1" x14ac:dyDescent="0.35">
      <c r="I110" s="16" t="s">
        <v>110</v>
      </c>
    </row>
    <row r="111" spans="2:9" x14ac:dyDescent="0.35">
      <c r="B111" s="1938" t="s">
        <v>555</v>
      </c>
      <c r="C111" s="1938" t="s">
        <v>111</v>
      </c>
      <c r="D111" s="2067" t="s">
        <v>557</v>
      </c>
      <c r="E111" s="2068"/>
      <c r="F111" s="2068"/>
      <c r="G111" s="2068"/>
      <c r="H111" s="2069"/>
      <c r="I111" s="1938" t="s">
        <v>116</v>
      </c>
    </row>
    <row r="112" spans="2:9" x14ac:dyDescent="0.35">
      <c r="B112" s="1939"/>
      <c r="C112" s="1939"/>
      <c r="D112" s="98" t="s">
        <v>123</v>
      </c>
      <c r="E112" s="98" t="s">
        <v>124</v>
      </c>
      <c r="F112" s="98" t="s">
        <v>125</v>
      </c>
      <c r="G112" s="98" t="s">
        <v>126</v>
      </c>
      <c r="H112" s="98" t="s">
        <v>127</v>
      </c>
      <c r="I112" s="1939"/>
    </row>
    <row r="113" spans="2:13" x14ac:dyDescent="0.35">
      <c r="B113" s="1983"/>
      <c r="C113" s="1983"/>
      <c r="D113" s="98" t="s">
        <v>135</v>
      </c>
      <c r="E113" s="98" t="s">
        <v>135</v>
      </c>
      <c r="F113" s="98" t="s">
        <v>135</v>
      </c>
      <c r="G113" s="98" t="s">
        <v>135</v>
      </c>
      <c r="H113" s="98" t="s">
        <v>135</v>
      </c>
      <c r="I113" s="1983"/>
    </row>
    <row r="114" spans="2:13" x14ac:dyDescent="0.35">
      <c r="B114" s="62">
        <v>1</v>
      </c>
      <c r="C114" s="61" t="s">
        <v>609</v>
      </c>
      <c r="D114" s="1263">
        <f>+J53</f>
        <v>1.0942371596770297</v>
      </c>
      <c r="E114" s="1263">
        <f>+D118</f>
        <v>1.1266311596770298</v>
      </c>
      <c r="F114" s="1263">
        <f>+E118</f>
        <v>1.1924579096770298</v>
      </c>
      <c r="G114" s="1263">
        <f>+F118</f>
        <v>1.2809209796770298</v>
      </c>
      <c r="H114" s="1263">
        <f>+G118</f>
        <v>1.4107235096770299</v>
      </c>
      <c r="I114" s="19"/>
    </row>
    <row r="115" spans="2:13" x14ac:dyDescent="0.35">
      <c r="B115" s="62">
        <f>B114+1</f>
        <v>2</v>
      </c>
      <c r="C115" s="61" t="s">
        <v>610</v>
      </c>
      <c r="D115" s="676">
        <f>+'F4'!K28</f>
        <v>0.10798000000000001</v>
      </c>
      <c r="E115" s="676">
        <f>+'F4'!L28</f>
        <v>0.21942249999999999</v>
      </c>
      <c r="F115" s="676">
        <f>+'F4'!M28</f>
        <v>0.2948769</v>
      </c>
      <c r="G115" s="676">
        <f>+'F4'!N28</f>
        <v>0.43267509999999998</v>
      </c>
      <c r="H115" s="676">
        <f>+'F4'!O28</f>
        <v>0.45153019999999999</v>
      </c>
      <c r="I115" s="19"/>
    </row>
    <row r="116" spans="2:13" x14ac:dyDescent="0.35">
      <c r="B116" s="62">
        <f t="shared" ref="B116:B125" si="15">B115+1</f>
        <v>3</v>
      </c>
      <c r="C116" s="61" t="s">
        <v>611</v>
      </c>
      <c r="D116" s="675">
        <f>+D115*30%</f>
        <v>3.2393999999999999E-2</v>
      </c>
      <c r="E116" s="675">
        <f>+E115*30%</f>
        <v>6.5826749999999989E-2</v>
      </c>
      <c r="F116" s="675">
        <f>+F115*30%</f>
        <v>8.8463069999999991E-2</v>
      </c>
      <c r="G116" s="675">
        <f>+G115*30%</f>
        <v>0.12980253</v>
      </c>
      <c r="H116" s="675">
        <f>+H115*30%</f>
        <v>0.13545905999999999</v>
      </c>
      <c r="I116" s="19"/>
    </row>
    <row r="117" spans="2:13" x14ac:dyDescent="0.4">
      <c r="B117" s="219">
        <f t="shared" si="15"/>
        <v>4</v>
      </c>
      <c r="C117" s="220" t="s">
        <v>612</v>
      </c>
      <c r="D117" s="19"/>
      <c r="E117" s="19"/>
      <c r="F117" s="19"/>
      <c r="G117" s="19"/>
      <c r="H117" s="19"/>
      <c r="I117" s="19"/>
    </row>
    <row r="118" spans="2:13" x14ac:dyDescent="0.35">
      <c r="B118" s="62">
        <f t="shared" si="15"/>
        <v>5</v>
      </c>
      <c r="C118" s="61" t="s">
        <v>613</v>
      </c>
      <c r="D118" s="676">
        <f>+D114+D116-D117</f>
        <v>1.1266311596770298</v>
      </c>
      <c r="E118" s="676">
        <f>+E114+E116-E117</f>
        <v>1.1924579096770298</v>
      </c>
      <c r="F118" s="676">
        <f>+F114+F116-F117</f>
        <v>1.2809209796770298</v>
      </c>
      <c r="G118" s="676">
        <f>+G114+G116-G117</f>
        <v>1.4107235096770299</v>
      </c>
      <c r="H118" s="676">
        <f>+H114+H116-H117</f>
        <v>1.5461825696770299</v>
      </c>
      <c r="I118" s="19"/>
    </row>
    <row r="119" spans="2:13" x14ac:dyDescent="0.35">
      <c r="B119" s="62"/>
      <c r="C119" s="61"/>
      <c r="D119" s="19"/>
      <c r="E119" s="19"/>
      <c r="F119" s="19"/>
      <c r="G119" s="19"/>
      <c r="H119" s="19"/>
      <c r="I119" s="19"/>
    </row>
    <row r="120" spans="2:13" x14ac:dyDescent="0.35">
      <c r="B120" s="62"/>
      <c r="C120" s="63" t="s">
        <v>614</v>
      </c>
      <c r="D120" s="19"/>
      <c r="E120" s="19"/>
      <c r="F120" s="19"/>
      <c r="G120" s="19"/>
      <c r="H120" s="19"/>
      <c r="I120" s="19"/>
    </row>
    <row r="121" spans="2:13" x14ac:dyDescent="0.35">
      <c r="B121" s="62">
        <v>6</v>
      </c>
      <c r="C121" s="61" t="s">
        <v>639</v>
      </c>
      <c r="D121" s="1250">
        <f>+Assum!L59</f>
        <v>0.17499999999999999</v>
      </c>
      <c r="E121" s="1250">
        <f>+Assum!M59</f>
        <v>0.17499999999999999</v>
      </c>
      <c r="F121" s="1250">
        <f>+Assum!N59</f>
        <v>0.17499999999999999</v>
      </c>
      <c r="G121" s="1250">
        <f>+Assum!O59</f>
        <v>0.17499999999999999</v>
      </c>
      <c r="H121" s="1250">
        <f>+Assum!P59</f>
        <v>0.17499999999999999</v>
      </c>
      <c r="I121" s="19"/>
    </row>
    <row r="122" spans="2:13" x14ac:dyDescent="0.35">
      <c r="B122" s="62">
        <v>7</v>
      </c>
      <c r="C122" s="61" t="s">
        <v>640</v>
      </c>
      <c r="D122" s="1250">
        <f>+D121/(1-Assum!L63)</f>
        <v>0.17499999999999999</v>
      </c>
      <c r="E122" s="1250">
        <f>+E121/(1-Assum!M63)</f>
        <v>0.17499999999999999</v>
      </c>
      <c r="F122" s="1250">
        <f>+F121/(1-Assum!N63)</f>
        <v>0.17499999999999999</v>
      </c>
      <c r="G122" s="1250">
        <f>+G121/(1-Assum!O63)</f>
        <v>0.17499999999999999</v>
      </c>
      <c r="H122" s="1250">
        <f>+H121/(1-Assum!P63)</f>
        <v>0.17499999999999999</v>
      </c>
      <c r="I122" s="19"/>
    </row>
    <row r="123" spans="2:13" x14ac:dyDescent="0.35">
      <c r="B123" s="62">
        <v>8</v>
      </c>
      <c r="C123" s="61" t="s">
        <v>617</v>
      </c>
      <c r="D123" s="676">
        <f>+D114*D122</f>
        <v>0.19149150294348019</v>
      </c>
      <c r="E123" s="676">
        <f>+E114*E122</f>
        <v>0.1971604529434802</v>
      </c>
      <c r="F123" s="676">
        <f>+F114*F122</f>
        <v>0.20868013419348019</v>
      </c>
      <c r="G123" s="676">
        <f>+G114*G122</f>
        <v>0.22416117144348019</v>
      </c>
      <c r="H123" s="676">
        <f>+H114*H122</f>
        <v>0.2468766141934802</v>
      </c>
      <c r="I123" s="19"/>
    </row>
    <row r="124" spans="2:13" x14ac:dyDescent="0.35">
      <c r="B124" s="62">
        <f t="shared" si="15"/>
        <v>9</v>
      </c>
      <c r="C124" s="61" t="s">
        <v>618</v>
      </c>
      <c r="D124" s="675">
        <f>+(D116-D117)/2*D122</f>
        <v>2.8344749999999999E-3</v>
      </c>
      <c r="E124" s="675">
        <f>+(E116-E117)/2*E122</f>
        <v>5.7598406249999984E-3</v>
      </c>
      <c r="F124" s="675">
        <f>+(F116-F117)/2*F122</f>
        <v>7.7405186249999989E-3</v>
      </c>
      <c r="G124" s="675">
        <f>+(G116-G117)/2*G122</f>
        <v>1.1357721374999999E-2</v>
      </c>
      <c r="H124" s="675">
        <f>+(H116-H117)/2*H122</f>
        <v>1.1852667749999999E-2</v>
      </c>
      <c r="I124" s="19"/>
    </row>
    <row r="125" spans="2:13" x14ac:dyDescent="0.35">
      <c r="B125" s="62">
        <f t="shared" si="15"/>
        <v>10</v>
      </c>
      <c r="C125" s="63" t="s">
        <v>619</v>
      </c>
      <c r="D125" s="658">
        <f>+D123+D124</f>
        <v>0.19432597794348019</v>
      </c>
      <c r="E125" s="658">
        <f>+E123+E124</f>
        <v>0.20292029356848018</v>
      </c>
      <c r="F125" s="658">
        <f>+F123+F124</f>
        <v>0.21642065281848019</v>
      </c>
      <c r="G125" s="658">
        <f>+G123+G124</f>
        <v>0.23551889281848018</v>
      </c>
      <c r="H125" s="658">
        <f>+H123+H124</f>
        <v>0.25872928194348022</v>
      </c>
      <c r="I125" s="19"/>
    </row>
    <row r="127" spans="2:13" ht="32.450000000000003" customHeight="1" x14ac:dyDescent="0.35">
      <c r="C127" s="2066" t="s">
        <v>641</v>
      </c>
      <c r="D127" s="2066"/>
      <c r="E127" s="2066"/>
      <c r="F127" s="2066"/>
      <c r="G127" s="2066"/>
      <c r="H127" s="2066"/>
      <c r="I127" s="2066"/>
      <c r="J127" s="2066"/>
      <c r="K127" s="50"/>
    </row>
    <row r="128" spans="2:13" x14ac:dyDescent="0.35">
      <c r="C128" s="2063" t="s">
        <v>642</v>
      </c>
      <c r="D128" s="2063"/>
      <c r="E128" s="2063"/>
      <c r="F128" s="2063"/>
      <c r="G128" s="2063"/>
      <c r="H128" s="2063"/>
      <c r="I128" s="2063"/>
      <c r="J128" s="2063"/>
      <c r="K128" s="2063"/>
      <c r="L128" s="2063"/>
      <c r="M128" s="2063"/>
    </row>
    <row r="129" spans="3:13" x14ac:dyDescent="0.35">
      <c r="C129" s="2063" t="s">
        <v>643</v>
      </c>
      <c r="D129" s="2063"/>
      <c r="E129" s="2063"/>
      <c r="F129" s="2063"/>
      <c r="G129" s="2063"/>
      <c r="H129" s="2063"/>
      <c r="I129" s="2063"/>
      <c r="J129" s="2063"/>
      <c r="K129" s="2063"/>
      <c r="L129" s="2063"/>
      <c r="M129" s="2063"/>
    </row>
    <row r="137" spans="3:13" x14ac:dyDescent="0.35">
      <c r="C137" s="98" t="s">
        <v>1479</v>
      </c>
      <c r="D137" s="98" t="s">
        <v>123</v>
      </c>
      <c r="E137" s="98" t="s">
        <v>124</v>
      </c>
      <c r="F137" s="98" t="s">
        <v>125</v>
      </c>
      <c r="G137" s="98" t="s">
        <v>126</v>
      </c>
      <c r="H137" s="98" t="s">
        <v>127</v>
      </c>
    </row>
    <row r="138" spans="3:13" x14ac:dyDescent="0.4">
      <c r="C138" s="1251" t="s">
        <v>1475</v>
      </c>
      <c r="D138" s="1252">
        <v>0.98</v>
      </c>
      <c r="E138" s="1252">
        <v>0.98</v>
      </c>
      <c r="F138" s="1252">
        <v>0.98</v>
      </c>
      <c r="G138" s="1252">
        <v>0.98</v>
      </c>
      <c r="H138" s="1252">
        <v>0.98</v>
      </c>
    </row>
    <row r="139" spans="3:13" x14ac:dyDescent="0.4">
      <c r="C139" s="1251" t="s">
        <v>1476</v>
      </c>
      <c r="D139" s="1253">
        <f>+Assum!G60</f>
        <v>0.99337899543378994</v>
      </c>
      <c r="E139" s="1253">
        <f>+Assum!H60</f>
        <v>0.99773972602739724</v>
      </c>
      <c r="F139" s="1253">
        <f>+Assum!I60</f>
        <v>0.99748858447488586</v>
      </c>
      <c r="G139" s="1253">
        <f>+Assum!J60</f>
        <v>0.98754109589041095</v>
      </c>
      <c r="H139" s="1253">
        <f>+Assum!K60</f>
        <v>0.9948251141552511</v>
      </c>
    </row>
    <row r="140" spans="3:13" x14ac:dyDescent="0.4">
      <c r="C140" s="1251" t="s">
        <v>1477</v>
      </c>
      <c r="D140" s="1252">
        <f>+D138+1.5%</f>
        <v>0.995</v>
      </c>
      <c r="E140" s="1252">
        <f>+E138+1.5%</f>
        <v>0.995</v>
      </c>
      <c r="F140" s="1252">
        <f>+F138+1.5%</f>
        <v>0.995</v>
      </c>
      <c r="G140" s="1252">
        <f>+G138+1.5%</f>
        <v>0.995</v>
      </c>
      <c r="H140" s="1252">
        <f>+H138+1.5%</f>
        <v>0.995</v>
      </c>
    </row>
    <row r="141" spans="3:13" x14ac:dyDescent="0.4">
      <c r="C141" s="1251" t="s">
        <v>1478</v>
      </c>
      <c r="D141" s="1252">
        <f>IF(D139&gt;D140,1.5%,IF(D139&gt;=D138+1.5%,1.5%,IF(D139&gt;=D138+1%,1%,IF(D139&gt;=D138+0.5%,0.5%,0))))</f>
        <v>0.01</v>
      </c>
      <c r="E141" s="1252">
        <f>IF(E139&gt;E140,1.5%,IF(E139&gt;=E138+1.5%,1.5%,IF(E139&gt;=E138+1%,1%,IF(E139&gt;=E138+0.5%,0.5%,0))))</f>
        <v>1.4999999999999999E-2</v>
      </c>
      <c r="F141" s="1252">
        <f>IF(F139&gt;F140,1.5%,IF(F139&gt;=F138+1.5%,1.5%,IF(F139&gt;=F138+1%,1%,IF(F139&gt;=F138+0.5%,0.5%,0))))</f>
        <v>1.4999999999999999E-2</v>
      </c>
      <c r="G141" s="1252">
        <f>IF(G139&gt;G140,1.5%,IF(G139&gt;=G138+1.5%,1.5%,IF(G139&gt;=G138+1%,1%,IF(G139&gt;=G138+0.5%,0.5%,0))))</f>
        <v>5.0000000000000001E-3</v>
      </c>
      <c r="H141" s="1252">
        <f>IF(H139&gt;H140,1.5%,IF(H139&gt;=H138+1.5%,1.5%,IF(H139&gt;=H138+1%,1%,IF(H139&gt;=H138+0.5%,0.5%,0))))</f>
        <v>0.01</v>
      </c>
    </row>
    <row r="144" spans="3:13" x14ac:dyDescent="0.35">
      <c r="C144" s="98" t="s">
        <v>1480</v>
      </c>
      <c r="D144" s="98" t="s">
        <v>123</v>
      </c>
      <c r="E144" s="98" t="s">
        <v>124</v>
      </c>
      <c r="F144" s="98" t="s">
        <v>125</v>
      </c>
      <c r="G144" s="98" t="s">
        <v>126</v>
      </c>
      <c r="H144" s="98" t="s">
        <v>127</v>
      </c>
    </row>
    <row r="145" spans="3:8" x14ac:dyDescent="0.4">
      <c r="C145" s="1256" t="s">
        <v>1481</v>
      </c>
      <c r="D145" s="1259">
        <v>100</v>
      </c>
      <c r="E145" s="1259">
        <v>100</v>
      </c>
      <c r="F145" s="1259">
        <v>100</v>
      </c>
      <c r="G145" s="1259">
        <v>100</v>
      </c>
      <c r="H145" s="1259">
        <v>100</v>
      </c>
    </row>
    <row r="146" spans="3:8" x14ac:dyDescent="0.4">
      <c r="C146" s="1257" t="s">
        <v>1482</v>
      </c>
      <c r="D146" s="1259">
        <v>0</v>
      </c>
      <c r="E146" s="1259">
        <v>0</v>
      </c>
      <c r="F146" s="1259">
        <v>0</v>
      </c>
      <c r="G146" s="1259">
        <v>0</v>
      </c>
      <c r="H146" s="1259">
        <v>0</v>
      </c>
    </row>
    <row r="147" spans="3:8" x14ac:dyDescent="0.4">
      <c r="C147" s="1257" t="s">
        <v>1483</v>
      </c>
      <c r="D147" s="1260">
        <f>D146/D145</f>
        <v>0</v>
      </c>
      <c r="E147" s="1260">
        <f>E146/E145</f>
        <v>0</v>
      </c>
      <c r="F147" s="1260">
        <f>F146/F145</f>
        <v>0</v>
      </c>
      <c r="G147" s="1260">
        <f>G146/G145</f>
        <v>0</v>
      </c>
      <c r="H147" s="1260">
        <f>H146/H145</f>
        <v>0</v>
      </c>
    </row>
    <row r="148" spans="3:8" x14ac:dyDescent="0.4">
      <c r="C148" s="1257" t="s">
        <v>1485</v>
      </c>
      <c r="D148" s="1260"/>
      <c r="E148" s="1260">
        <f>+D147-E147</f>
        <v>0</v>
      </c>
      <c r="F148" s="1260">
        <f>+E147-F147</f>
        <v>0</v>
      </c>
      <c r="G148" s="1260">
        <f>+F147-G147</f>
        <v>0</v>
      </c>
      <c r="H148" s="1260">
        <f>+G147-H147</f>
        <v>0</v>
      </c>
    </row>
    <row r="149" spans="3:8" x14ac:dyDescent="0.4">
      <c r="C149" s="1258" t="s">
        <v>1484</v>
      </c>
      <c r="D149" s="1261">
        <f>IF(D147&lt;1.5%,1%,0)</f>
        <v>0.01</v>
      </c>
      <c r="E149" s="1261">
        <f>IF(E147&lt;1.5%,1%,IF(E148&gt;=1%,0.5%,IF(E148&gt;=50%,0.25%)))</f>
        <v>0.01</v>
      </c>
      <c r="F149" s="1261">
        <f>IF(F147&lt;1.5%,1%,IF(F148&gt;=1%,0.5%,IF(F148&gt;=50%,0.25%)))</f>
        <v>0.01</v>
      </c>
      <c r="G149" s="1261">
        <f>IF(G147&lt;1.5%,1%,IF(G148&gt;=1%,0.5%,IF(G148&gt;=50%,0.25%)))</f>
        <v>0.01</v>
      </c>
      <c r="H149" s="1261">
        <f>IF(H147&lt;1.5%,1%,IF(H148&gt;=1%,0.5%,IF(H148&gt;=50%,0.25%)))</f>
        <v>0.01</v>
      </c>
    </row>
  </sheetData>
  <mergeCells count="29">
    <mergeCell ref="B4:J4"/>
    <mergeCell ref="B5:J5"/>
    <mergeCell ref="B6:J6"/>
    <mergeCell ref="B86:J86"/>
    <mergeCell ref="B88:J88"/>
    <mergeCell ref="B11:B12"/>
    <mergeCell ref="C11:C12"/>
    <mergeCell ref="B47:B48"/>
    <mergeCell ref="C47:C48"/>
    <mergeCell ref="B25:J25"/>
    <mergeCell ref="B32:B33"/>
    <mergeCell ref="C32:C33"/>
    <mergeCell ref="D12:I12"/>
    <mergeCell ref="D48:I48"/>
    <mergeCell ref="C128:M128"/>
    <mergeCell ref="C129:M129"/>
    <mergeCell ref="B61:J61"/>
    <mergeCell ref="B67:B68"/>
    <mergeCell ref="C67:C68"/>
    <mergeCell ref="C127:J127"/>
    <mergeCell ref="B111:B113"/>
    <mergeCell ref="C111:C113"/>
    <mergeCell ref="D111:H111"/>
    <mergeCell ref="I111:I113"/>
    <mergeCell ref="B92:B94"/>
    <mergeCell ref="C92:C94"/>
    <mergeCell ref="D92:H92"/>
    <mergeCell ref="I92:I94"/>
    <mergeCell ref="B87:J87"/>
  </mergeCells>
  <pageMargins left="1.02" right="0.25" top="1" bottom="1" header="0.25" footer="0.25"/>
  <pageSetup paperSize="9" scale="50" orientation="landscape" r:id="rId1"/>
  <headerFooter alignWithMargins="0">
    <oddHeader>&amp;F</oddHeader>
  </headerFooter>
  <rowBreaks count="1" manualBreakCount="1">
    <brk id="43"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N58"/>
  <sheetViews>
    <sheetView showGridLines="0" tabSelected="1" view="pageBreakPreview" zoomScale="80" zoomScaleNormal="80" zoomScaleSheetLayoutView="80" workbookViewId="0"/>
  </sheetViews>
  <sheetFormatPr defaultColWidth="9.33203125" defaultRowHeight="13.9" x14ac:dyDescent="0.35"/>
  <cols>
    <col min="1" max="1" width="6.33203125" style="10" customWidth="1"/>
    <col min="2" max="2" width="9.33203125" style="10" customWidth="1"/>
    <col min="3" max="3" width="89.1328125" style="10" customWidth="1"/>
    <col min="4" max="4" width="17.6640625" style="10" customWidth="1"/>
    <col min="5" max="5" width="20.6640625" style="10" customWidth="1"/>
    <col min="6" max="14" width="18.6640625" style="10" customWidth="1"/>
    <col min="15" max="16384" width="9.33203125" style="10"/>
  </cols>
  <sheetData>
    <row r="2" spans="2:14" ht="15" x14ac:dyDescent="0.35">
      <c r="B2" s="1898" t="s">
        <v>1137</v>
      </c>
      <c r="C2" s="1899"/>
      <c r="D2" s="1899"/>
      <c r="E2" s="24"/>
      <c r="F2" s="24"/>
      <c r="G2" s="24"/>
      <c r="H2" s="24"/>
      <c r="I2" s="24"/>
      <c r="J2" s="24"/>
      <c r="K2" s="24"/>
      <c r="L2" s="24"/>
      <c r="M2" s="24"/>
      <c r="N2" s="24"/>
    </row>
    <row r="3" spans="2:14" s="1" customFormat="1" ht="15" x14ac:dyDescent="0.4">
      <c r="B3" s="1900" t="s">
        <v>0</v>
      </c>
      <c r="C3" s="1901"/>
      <c r="D3" s="1901"/>
      <c r="E3" s="24"/>
      <c r="F3" s="24"/>
      <c r="G3" s="24"/>
      <c r="H3" s="24"/>
      <c r="I3" s="24"/>
      <c r="J3" s="24"/>
      <c r="K3" s="24"/>
      <c r="L3" s="24"/>
      <c r="M3" s="24"/>
      <c r="N3" s="24"/>
    </row>
    <row r="4" spans="2:14" ht="15.4" x14ac:dyDescent="0.35">
      <c r="B4" s="25"/>
      <c r="C4" s="25"/>
      <c r="D4" s="25"/>
      <c r="E4" s="25"/>
      <c r="F4" s="25"/>
      <c r="G4" s="25"/>
      <c r="H4" s="25"/>
      <c r="I4" s="25"/>
      <c r="J4" s="25"/>
      <c r="K4" s="25"/>
      <c r="L4" s="25"/>
      <c r="M4" s="25"/>
      <c r="N4" s="25"/>
    </row>
    <row r="5" spans="2:14" ht="12.75" customHeight="1" x14ac:dyDescent="0.35">
      <c r="B5" s="1902" t="s">
        <v>1</v>
      </c>
      <c r="C5" s="1905" t="s">
        <v>2</v>
      </c>
      <c r="D5" s="1905" t="s">
        <v>3</v>
      </c>
    </row>
    <row r="6" spans="2:14" x14ac:dyDescent="0.35">
      <c r="B6" s="1903"/>
      <c r="C6" s="1905"/>
      <c r="D6" s="1905"/>
    </row>
    <row r="7" spans="2:14" x14ac:dyDescent="0.35">
      <c r="B7" s="1904"/>
      <c r="C7" s="1906"/>
      <c r="D7" s="1906"/>
    </row>
    <row r="8" spans="2:14" ht="18" customHeight="1" x14ac:dyDescent="0.35">
      <c r="B8" s="71">
        <v>1</v>
      </c>
      <c r="C8" s="70" t="s">
        <v>4</v>
      </c>
      <c r="D8" s="72" t="s">
        <v>5</v>
      </c>
    </row>
    <row r="9" spans="2:14" ht="18" customHeight="1" x14ac:dyDescent="0.35">
      <c r="B9" s="71">
        <f>B8+1</f>
        <v>2</v>
      </c>
      <c r="C9" s="70" t="s">
        <v>6</v>
      </c>
      <c r="D9" s="72" t="s">
        <v>7</v>
      </c>
    </row>
    <row r="10" spans="2:14" ht="18" customHeight="1" x14ac:dyDescent="0.35">
      <c r="B10" s="71">
        <f t="shared" ref="B10:B57" si="0">B9+1</f>
        <v>3</v>
      </c>
      <c r="C10" s="70" t="s">
        <v>8</v>
      </c>
      <c r="D10" s="72" t="s">
        <v>9</v>
      </c>
    </row>
    <row r="11" spans="2:14" ht="18" customHeight="1" x14ac:dyDescent="0.35">
      <c r="B11" s="71">
        <f>B10+1</f>
        <v>4</v>
      </c>
      <c r="C11" s="70" t="s">
        <v>10</v>
      </c>
      <c r="D11" s="72" t="s">
        <v>11</v>
      </c>
    </row>
    <row r="12" spans="2:14" ht="18" customHeight="1" x14ac:dyDescent="0.35">
      <c r="B12" s="71">
        <f t="shared" si="0"/>
        <v>5</v>
      </c>
      <c r="C12" s="70" t="s">
        <v>12</v>
      </c>
      <c r="D12" s="72" t="s">
        <v>13</v>
      </c>
    </row>
    <row r="13" spans="2:14" ht="18" customHeight="1" x14ac:dyDescent="0.35">
      <c r="B13" s="71">
        <f t="shared" si="0"/>
        <v>6</v>
      </c>
      <c r="C13" s="70" t="s">
        <v>14</v>
      </c>
      <c r="D13" s="72" t="s">
        <v>15</v>
      </c>
    </row>
    <row r="14" spans="2:14" ht="18" customHeight="1" x14ac:dyDescent="0.35">
      <c r="B14" s="71">
        <f t="shared" si="0"/>
        <v>7</v>
      </c>
      <c r="C14" s="70" t="s">
        <v>16</v>
      </c>
      <c r="D14" s="72" t="s">
        <v>17</v>
      </c>
    </row>
    <row r="15" spans="2:14" ht="18" customHeight="1" x14ac:dyDescent="0.35">
      <c r="B15" s="71">
        <f t="shared" si="0"/>
        <v>8</v>
      </c>
      <c r="C15" s="70" t="s">
        <v>18</v>
      </c>
      <c r="D15" s="72" t="s">
        <v>19</v>
      </c>
    </row>
    <row r="16" spans="2:14" ht="18" customHeight="1" x14ac:dyDescent="0.35">
      <c r="B16" s="71">
        <f t="shared" si="0"/>
        <v>9</v>
      </c>
      <c r="C16" s="70" t="s">
        <v>20</v>
      </c>
      <c r="D16" s="72" t="s">
        <v>21</v>
      </c>
    </row>
    <row r="17" spans="2:4" ht="18" customHeight="1" x14ac:dyDescent="0.35">
      <c r="B17" s="71">
        <f t="shared" si="0"/>
        <v>10</v>
      </c>
      <c r="C17" s="70" t="s">
        <v>22</v>
      </c>
      <c r="D17" s="72" t="s">
        <v>23</v>
      </c>
    </row>
    <row r="18" spans="2:4" ht="18" customHeight="1" x14ac:dyDescent="0.35">
      <c r="B18" s="71">
        <f t="shared" si="0"/>
        <v>11</v>
      </c>
      <c r="C18" s="73" t="s">
        <v>24</v>
      </c>
      <c r="D18" s="72" t="s">
        <v>25</v>
      </c>
    </row>
    <row r="19" spans="2:4" ht="18" customHeight="1" x14ac:dyDescent="0.35">
      <c r="B19" s="71">
        <f t="shared" si="0"/>
        <v>12</v>
      </c>
      <c r="C19" s="73" t="s">
        <v>26</v>
      </c>
      <c r="D19" s="72" t="s">
        <v>27</v>
      </c>
    </row>
    <row r="20" spans="2:4" ht="18" customHeight="1" x14ac:dyDescent="0.35">
      <c r="B20" s="71">
        <f t="shared" si="0"/>
        <v>13</v>
      </c>
      <c r="C20" s="73" t="s">
        <v>28</v>
      </c>
      <c r="D20" s="72" t="s">
        <v>29</v>
      </c>
    </row>
    <row r="21" spans="2:4" ht="18" customHeight="1" x14ac:dyDescent="0.35">
      <c r="B21" s="71">
        <f t="shared" si="0"/>
        <v>14</v>
      </c>
      <c r="C21" s="73" t="s">
        <v>30</v>
      </c>
      <c r="D21" s="72" t="s">
        <v>31</v>
      </c>
    </row>
    <row r="22" spans="2:4" ht="18" customHeight="1" x14ac:dyDescent="0.35">
      <c r="B22" s="71">
        <f t="shared" si="0"/>
        <v>15</v>
      </c>
      <c r="C22" s="70" t="s">
        <v>32</v>
      </c>
      <c r="D22" s="72" t="s">
        <v>33</v>
      </c>
    </row>
    <row r="23" spans="2:4" ht="18" customHeight="1" x14ac:dyDescent="0.35">
      <c r="B23" s="71">
        <f t="shared" si="0"/>
        <v>16</v>
      </c>
      <c r="C23" s="70" t="s">
        <v>34</v>
      </c>
      <c r="D23" s="72" t="s">
        <v>35</v>
      </c>
    </row>
    <row r="24" spans="2:4" ht="18" customHeight="1" x14ac:dyDescent="0.35">
      <c r="B24" s="71">
        <f t="shared" si="0"/>
        <v>17</v>
      </c>
      <c r="C24" s="70" t="s">
        <v>36</v>
      </c>
      <c r="D24" s="72" t="s">
        <v>37</v>
      </c>
    </row>
    <row r="25" spans="2:4" ht="18" customHeight="1" x14ac:dyDescent="0.35">
      <c r="B25" s="71">
        <f t="shared" si="0"/>
        <v>18</v>
      </c>
      <c r="C25" s="70" t="s">
        <v>38</v>
      </c>
      <c r="D25" s="72" t="s">
        <v>39</v>
      </c>
    </row>
    <row r="26" spans="2:4" ht="18" customHeight="1" x14ac:dyDescent="0.35">
      <c r="B26" s="71">
        <f t="shared" si="0"/>
        <v>19</v>
      </c>
      <c r="C26" s="70" t="s">
        <v>40</v>
      </c>
      <c r="D26" s="72" t="s">
        <v>41</v>
      </c>
    </row>
    <row r="27" spans="2:4" ht="18" customHeight="1" x14ac:dyDescent="0.35">
      <c r="B27" s="71">
        <f t="shared" si="0"/>
        <v>20</v>
      </c>
      <c r="C27" s="70" t="s">
        <v>42</v>
      </c>
      <c r="D27" s="72" t="s">
        <v>43</v>
      </c>
    </row>
    <row r="28" spans="2:4" ht="47" customHeight="1" x14ac:dyDescent="0.35">
      <c r="B28" s="71">
        <f t="shared" si="0"/>
        <v>21</v>
      </c>
      <c r="C28" s="267" t="s">
        <v>44</v>
      </c>
      <c r="D28" s="72" t="s">
        <v>45</v>
      </c>
    </row>
    <row r="29" spans="2:4" ht="30.75" x14ac:dyDescent="0.35">
      <c r="B29" s="71">
        <f t="shared" si="0"/>
        <v>22</v>
      </c>
      <c r="C29" s="267" t="s">
        <v>46</v>
      </c>
      <c r="D29" s="72" t="s">
        <v>47</v>
      </c>
    </row>
    <row r="30" spans="2:4" ht="30.75" x14ac:dyDescent="0.35">
      <c r="B30" s="71">
        <f t="shared" si="0"/>
        <v>23</v>
      </c>
      <c r="C30" s="267" t="s">
        <v>48</v>
      </c>
      <c r="D30" s="72" t="s">
        <v>49</v>
      </c>
    </row>
    <row r="31" spans="2:4" ht="38.450000000000003" customHeight="1" x14ac:dyDescent="0.35">
      <c r="B31" s="71">
        <f t="shared" si="0"/>
        <v>24</v>
      </c>
      <c r="C31" s="267" t="s">
        <v>50</v>
      </c>
      <c r="D31" s="72" t="s">
        <v>51</v>
      </c>
    </row>
    <row r="32" spans="2:4" ht="18" customHeight="1" x14ac:dyDescent="0.35">
      <c r="B32" s="71">
        <f t="shared" si="0"/>
        <v>25</v>
      </c>
      <c r="C32" s="73" t="s">
        <v>52</v>
      </c>
      <c r="D32" s="72" t="s">
        <v>53</v>
      </c>
    </row>
    <row r="33" spans="2:4" ht="18" customHeight="1" x14ac:dyDescent="0.35">
      <c r="B33" s="71">
        <f t="shared" si="0"/>
        <v>26</v>
      </c>
      <c r="C33" s="70" t="s">
        <v>54</v>
      </c>
      <c r="D33" s="72" t="s">
        <v>55</v>
      </c>
    </row>
    <row r="34" spans="2:4" ht="18" customHeight="1" x14ac:dyDescent="0.35">
      <c r="B34" s="71">
        <f t="shared" si="0"/>
        <v>27</v>
      </c>
      <c r="C34" s="70" t="s">
        <v>56</v>
      </c>
      <c r="D34" s="72" t="s">
        <v>57</v>
      </c>
    </row>
    <row r="35" spans="2:4" ht="18" customHeight="1" x14ac:dyDescent="0.35">
      <c r="B35" s="71">
        <f t="shared" si="0"/>
        <v>28</v>
      </c>
      <c r="C35" s="70" t="s">
        <v>58</v>
      </c>
      <c r="D35" s="72" t="s">
        <v>59</v>
      </c>
    </row>
    <row r="36" spans="2:4" ht="18" customHeight="1" x14ac:dyDescent="0.35">
      <c r="B36" s="71">
        <f t="shared" si="0"/>
        <v>29</v>
      </c>
      <c r="C36" s="73" t="s">
        <v>60</v>
      </c>
      <c r="D36" s="72" t="s">
        <v>61</v>
      </c>
    </row>
    <row r="37" spans="2:4" ht="18" customHeight="1" x14ac:dyDescent="0.35">
      <c r="B37" s="71">
        <f t="shared" si="0"/>
        <v>30</v>
      </c>
      <c r="C37" s="188" t="s">
        <v>62</v>
      </c>
      <c r="D37" s="72" t="s">
        <v>63</v>
      </c>
    </row>
    <row r="38" spans="2:4" ht="18" customHeight="1" x14ac:dyDescent="0.35">
      <c r="B38" s="71">
        <f t="shared" si="0"/>
        <v>31</v>
      </c>
      <c r="C38" s="70" t="s">
        <v>64</v>
      </c>
      <c r="D38" s="72" t="s">
        <v>65</v>
      </c>
    </row>
    <row r="39" spans="2:4" ht="18" customHeight="1" x14ac:dyDescent="0.35">
      <c r="B39" s="71">
        <f t="shared" si="0"/>
        <v>32</v>
      </c>
      <c r="C39" s="70" t="s">
        <v>66</v>
      </c>
      <c r="D39" s="72" t="s">
        <v>67</v>
      </c>
    </row>
    <row r="40" spans="2:4" ht="18" customHeight="1" x14ac:dyDescent="0.35">
      <c r="B40" s="71">
        <f t="shared" si="0"/>
        <v>33</v>
      </c>
      <c r="C40" s="70" t="s">
        <v>68</v>
      </c>
      <c r="D40" s="72" t="s">
        <v>69</v>
      </c>
    </row>
    <row r="41" spans="2:4" ht="18" customHeight="1" x14ac:dyDescent="0.35">
      <c r="B41" s="71">
        <f t="shared" si="0"/>
        <v>34</v>
      </c>
      <c r="C41" s="70" t="s">
        <v>70</v>
      </c>
      <c r="D41" s="72" t="s">
        <v>71</v>
      </c>
    </row>
    <row r="42" spans="2:4" ht="18" customHeight="1" x14ac:dyDescent="0.35">
      <c r="B42" s="71">
        <f t="shared" si="0"/>
        <v>35</v>
      </c>
      <c r="C42" s="70" t="s">
        <v>72</v>
      </c>
      <c r="D42" s="72" t="s">
        <v>73</v>
      </c>
    </row>
    <row r="43" spans="2:4" ht="18" customHeight="1" x14ac:dyDescent="0.35">
      <c r="B43" s="71">
        <f t="shared" si="0"/>
        <v>36</v>
      </c>
      <c r="C43" s="70" t="s">
        <v>74</v>
      </c>
      <c r="D43" s="72" t="s">
        <v>75</v>
      </c>
    </row>
    <row r="44" spans="2:4" ht="18" customHeight="1" x14ac:dyDescent="0.35">
      <c r="B44" s="71">
        <f t="shared" si="0"/>
        <v>37</v>
      </c>
      <c r="C44" s="70" t="s">
        <v>76</v>
      </c>
      <c r="D44" s="72" t="s">
        <v>77</v>
      </c>
    </row>
    <row r="45" spans="2:4" ht="18" customHeight="1" x14ac:dyDescent="0.35">
      <c r="B45" s="71">
        <f t="shared" si="0"/>
        <v>38</v>
      </c>
      <c r="C45" s="70" t="s">
        <v>78</v>
      </c>
      <c r="D45" s="72" t="s">
        <v>79</v>
      </c>
    </row>
    <row r="46" spans="2:4" ht="18" customHeight="1" x14ac:dyDescent="0.35">
      <c r="B46" s="71">
        <f t="shared" si="0"/>
        <v>39</v>
      </c>
      <c r="C46" s="70" t="s">
        <v>80</v>
      </c>
      <c r="D46" s="72" t="s">
        <v>81</v>
      </c>
    </row>
    <row r="47" spans="2:4" ht="18" customHeight="1" x14ac:dyDescent="0.35">
      <c r="B47" s="71">
        <f t="shared" si="0"/>
        <v>40</v>
      </c>
      <c r="C47" s="70" t="s">
        <v>82</v>
      </c>
      <c r="D47" s="72" t="s">
        <v>83</v>
      </c>
    </row>
    <row r="48" spans="2:4" ht="18" customHeight="1" x14ac:dyDescent="0.35">
      <c r="B48" s="71">
        <f t="shared" si="0"/>
        <v>41</v>
      </c>
      <c r="C48" s="70" t="s">
        <v>84</v>
      </c>
      <c r="D48" s="72" t="s">
        <v>85</v>
      </c>
    </row>
    <row r="49" spans="2:4" ht="18" customHeight="1" x14ac:dyDescent="0.35">
      <c r="B49" s="71">
        <f t="shared" si="0"/>
        <v>42</v>
      </c>
      <c r="C49" s="70" t="s">
        <v>86</v>
      </c>
      <c r="D49" s="72" t="s">
        <v>87</v>
      </c>
    </row>
    <row r="50" spans="2:4" ht="18" customHeight="1" x14ac:dyDescent="0.35">
      <c r="B50" s="71">
        <f t="shared" si="0"/>
        <v>43</v>
      </c>
      <c r="C50" s="70" t="s">
        <v>88</v>
      </c>
      <c r="D50" s="72" t="s">
        <v>89</v>
      </c>
    </row>
    <row r="51" spans="2:4" ht="18" customHeight="1" x14ac:dyDescent="0.35">
      <c r="B51" s="71">
        <f t="shared" si="0"/>
        <v>44</v>
      </c>
      <c r="C51" s="70" t="s">
        <v>90</v>
      </c>
      <c r="D51" s="72" t="s">
        <v>91</v>
      </c>
    </row>
    <row r="52" spans="2:4" ht="18" customHeight="1" x14ac:dyDescent="0.35">
      <c r="B52" s="71">
        <f t="shared" si="0"/>
        <v>45</v>
      </c>
      <c r="C52" s="70" t="s">
        <v>92</v>
      </c>
      <c r="D52" s="72" t="s">
        <v>93</v>
      </c>
    </row>
    <row r="53" spans="2:4" ht="18" customHeight="1" x14ac:dyDescent="0.35">
      <c r="B53" s="71">
        <f t="shared" si="0"/>
        <v>46</v>
      </c>
      <c r="C53" s="70" t="s">
        <v>94</v>
      </c>
      <c r="D53" s="72" t="s">
        <v>95</v>
      </c>
    </row>
    <row r="54" spans="2:4" ht="18" customHeight="1" x14ac:dyDescent="0.35">
      <c r="B54" s="71">
        <f t="shared" si="0"/>
        <v>47</v>
      </c>
      <c r="C54" s="70" t="s">
        <v>96</v>
      </c>
      <c r="D54" s="72" t="s">
        <v>97</v>
      </c>
    </row>
    <row r="55" spans="2:4" ht="18" customHeight="1" x14ac:dyDescent="0.35">
      <c r="B55" s="71">
        <f t="shared" si="0"/>
        <v>48</v>
      </c>
      <c r="C55" s="70" t="s">
        <v>98</v>
      </c>
      <c r="D55" s="72" t="s">
        <v>99</v>
      </c>
    </row>
    <row r="56" spans="2:4" ht="15.4" x14ac:dyDescent="0.35">
      <c r="B56" s="71">
        <f>B55+1</f>
        <v>49</v>
      </c>
      <c r="C56" s="241" t="s">
        <v>100</v>
      </c>
      <c r="D56" s="242" t="s">
        <v>101</v>
      </c>
    </row>
    <row r="57" spans="2:4" ht="15.4" x14ac:dyDescent="0.35">
      <c r="B57" s="71">
        <f t="shared" si="0"/>
        <v>50</v>
      </c>
      <c r="C57" s="241" t="s">
        <v>102</v>
      </c>
      <c r="D57" s="242" t="s">
        <v>103</v>
      </c>
    </row>
    <row r="58" spans="2:4" ht="15.4" x14ac:dyDescent="0.35">
      <c r="B58" s="71">
        <f>B57+1</f>
        <v>51</v>
      </c>
      <c r="C58" s="241" t="s">
        <v>104</v>
      </c>
      <c r="D58" s="242" t="s">
        <v>105</v>
      </c>
    </row>
  </sheetData>
  <mergeCells count="5">
    <mergeCell ref="B2:D2"/>
    <mergeCell ref="B3:D3"/>
    <mergeCell ref="B5:B7"/>
    <mergeCell ref="C5:C7"/>
    <mergeCell ref="D5:D7"/>
  </mergeCells>
  <pageMargins left="0.55000000000000004" right="0.23622047244094499" top="1.1023622047244099" bottom="0.98425196850393704" header="0.23622047244094499" footer="0.23622047244094499"/>
  <pageSetup paperSize="9" scale="6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P73"/>
  <sheetViews>
    <sheetView showGridLines="0" view="pageBreakPreview" topLeftCell="C43" zoomScale="70" zoomScaleNormal="75" zoomScaleSheetLayoutView="70" workbookViewId="0">
      <selection activeCell="J71" sqref="J71"/>
    </sheetView>
  </sheetViews>
  <sheetFormatPr defaultColWidth="9.33203125" defaultRowHeight="13.9" x14ac:dyDescent="0.4"/>
  <cols>
    <col min="1" max="1" width="4.33203125" style="1" customWidth="1"/>
    <col min="2" max="2" width="6.33203125" style="1" customWidth="1"/>
    <col min="3" max="3" width="61.6640625" style="1" customWidth="1"/>
    <col min="4" max="15" width="17.6640625" style="108" customWidth="1"/>
    <col min="16" max="16" width="16.53125" style="1" customWidth="1"/>
    <col min="17" max="16384" width="9.33203125" style="1"/>
  </cols>
  <sheetData>
    <row r="1" spans="2:16" x14ac:dyDescent="0.4">
      <c r="B1" s="32"/>
    </row>
    <row r="2" spans="2:16" x14ac:dyDescent="0.4">
      <c r="B2" s="1875" t="str">
        <f>Index!B2</f>
        <v>Nidar Utilities Panvel LLP</v>
      </c>
      <c r="C2" s="1875"/>
      <c r="D2" s="1875"/>
      <c r="E2" s="1875"/>
      <c r="F2" s="1875"/>
      <c r="G2" s="1875"/>
      <c r="H2" s="1875"/>
      <c r="I2" s="1875"/>
      <c r="J2" s="1875"/>
      <c r="K2" s="1875"/>
      <c r="L2" s="1875"/>
      <c r="M2" s="1875"/>
      <c r="N2" s="1875"/>
      <c r="O2" s="1875"/>
      <c r="P2" s="1875"/>
    </row>
    <row r="3" spans="2:16" x14ac:dyDescent="0.4">
      <c r="B3" s="1875" t="s">
        <v>211</v>
      </c>
      <c r="C3" s="1875"/>
      <c r="D3" s="1875"/>
      <c r="E3" s="1875"/>
      <c r="F3" s="1875"/>
      <c r="G3" s="1875"/>
      <c r="H3" s="1875"/>
      <c r="I3" s="1875"/>
      <c r="J3" s="1875"/>
      <c r="K3" s="1875"/>
      <c r="L3" s="1875"/>
      <c r="M3" s="1875"/>
      <c r="N3" s="1875"/>
      <c r="O3" s="1875"/>
      <c r="P3" s="1875"/>
    </row>
    <row r="4" spans="2:16" s="45" customFormat="1" x14ac:dyDescent="0.4">
      <c r="B4" s="1875" t="s">
        <v>644</v>
      </c>
      <c r="C4" s="1875"/>
      <c r="D4" s="1875"/>
      <c r="E4" s="1875"/>
      <c r="F4" s="1875"/>
      <c r="G4" s="1875"/>
      <c r="H4" s="1875"/>
      <c r="I4" s="1875"/>
      <c r="J4" s="1875"/>
      <c r="K4" s="1875"/>
      <c r="L4" s="1875"/>
      <c r="M4" s="1875"/>
      <c r="N4" s="1875"/>
      <c r="O4" s="1875"/>
      <c r="P4" s="1875"/>
    </row>
    <row r="5" spans="2:16" s="45" customFormat="1" x14ac:dyDescent="0.4">
      <c r="C5" s="148"/>
      <c r="D5" s="280"/>
      <c r="E5" s="280"/>
      <c r="F5" s="280"/>
      <c r="G5" s="280"/>
      <c r="H5" s="280"/>
      <c r="I5" s="53"/>
      <c r="J5" s="280"/>
      <c r="K5" s="280"/>
      <c r="L5" s="280"/>
      <c r="M5" s="280"/>
      <c r="N5" s="280"/>
      <c r="O5" s="280"/>
    </row>
    <row r="6" spans="2:16" x14ac:dyDescent="0.4">
      <c r="C6" s="99" t="s">
        <v>553</v>
      </c>
      <c r="D6" s="179"/>
      <c r="E6" s="179"/>
      <c r="F6" s="179"/>
    </row>
    <row r="7" spans="2:16" x14ac:dyDescent="0.4">
      <c r="C7" s="40"/>
      <c r="D7" s="53"/>
      <c r="E7" s="53"/>
      <c r="F7" s="53"/>
      <c r="I7" s="53"/>
      <c r="K7" s="53"/>
      <c r="O7" s="53" t="s">
        <v>110</v>
      </c>
    </row>
    <row r="8" spans="2:16" s="10" customFormat="1" ht="12.75" customHeight="1" x14ac:dyDescent="0.35">
      <c r="B8" s="1938" t="s">
        <v>1</v>
      </c>
      <c r="C8" s="1984" t="s">
        <v>111</v>
      </c>
      <c r="D8" s="98" t="s">
        <v>196</v>
      </c>
      <c r="E8" s="98" t="s">
        <v>197</v>
      </c>
      <c r="F8" s="98" t="s">
        <v>198</v>
      </c>
      <c r="G8" s="98" t="s">
        <v>199</v>
      </c>
      <c r="H8" s="358" t="s">
        <v>112</v>
      </c>
      <c r="I8" s="358" t="s">
        <v>113</v>
      </c>
      <c r="J8" s="358" t="s">
        <v>114</v>
      </c>
      <c r="K8" s="1934" t="s">
        <v>1019</v>
      </c>
      <c r="L8" s="1935"/>
      <c r="M8" s="1935"/>
      <c r="N8" s="1935"/>
      <c r="O8" s="1936"/>
      <c r="P8" s="1941" t="s">
        <v>116</v>
      </c>
    </row>
    <row r="9" spans="2:16" s="10" customFormat="1" ht="41.75" customHeight="1" x14ac:dyDescent="0.35">
      <c r="B9" s="1939"/>
      <c r="C9" s="1984"/>
      <c r="D9" s="1934" t="s">
        <v>117</v>
      </c>
      <c r="E9" s="1935"/>
      <c r="F9" s="1935"/>
      <c r="G9" s="1935"/>
      <c r="H9" s="1935"/>
      <c r="I9" s="1936"/>
      <c r="J9" s="217" t="s">
        <v>121</v>
      </c>
      <c r="K9" s="217" t="s">
        <v>123</v>
      </c>
      <c r="L9" s="217" t="s">
        <v>124</v>
      </c>
      <c r="M9" s="217" t="s">
        <v>125</v>
      </c>
      <c r="N9" s="217" t="s">
        <v>126</v>
      </c>
      <c r="O9" s="217" t="s">
        <v>127</v>
      </c>
      <c r="P9" s="1941"/>
    </row>
    <row r="10" spans="2:16" s="6" customFormat="1" ht="15.75" customHeight="1" x14ac:dyDescent="0.35">
      <c r="B10" s="1133">
        <v>1</v>
      </c>
      <c r="C10" s="1265" t="s">
        <v>645</v>
      </c>
      <c r="D10" s="673"/>
      <c r="E10" s="673"/>
      <c r="F10" s="673"/>
      <c r="G10" s="1190"/>
      <c r="H10" s="1190"/>
      <c r="I10" s="1190"/>
      <c r="J10" s="1190"/>
      <c r="K10" s="1190"/>
      <c r="L10" s="1190"/>
      <c r="M10" s="1190"/>
      <c r="N10" s="1190"/>
      <c r="O10" s="1190"/>
      <c r="P10" s="676"/>
    </row>
    <row r="11" spans="2:16" s="6" customFormat="1" ht="15.75" customHeight="1" x14ac:dyDescent="0.35">
      <c r="B11" s="1133">
        <f>B10+1</f>
        <v>2</v>
      </c>
      <c r="C11" s="1265" t="s">
        <v>646</v>
      </c>
      <c r="D11" s="673"/>
      <c r="E11" s="673"/>
      <c r="F11" s="673"/>
      <c r="G11" s="1190"/>
      <c r="H11" s="1190"/>
      <c r="I11" s="1190"/>
      <c r="J11" s="1190"/>
      <c r="K11" s="1190"/>
      <c r="L11" s="1190"/>
      <c r="M11" s="1190"/>
      <c r="N11" s="1190"/>
      <c r="O11" s="1190"/>
      <c r="P11" s="676"/>
    </row>
    <row r="12" spans="2:16" s="6" customFormat="1" ht="15.75" customHeight="1" x14ac:dyDescent="0.35">
      <c r="B12" s="1133">
        <f t="shared" ref="B12:B20" si="0">B11+1</f>
        <v>3</v>
      </c>
      <c r="C12" s="1266" t="s">
        <v>647</v>
      </c>
      <c r="D12" s="673">
        <f>+D58*Assum!$E$100</f>
        <v>1.3011901000000001E-3</v>
      </c>
      <c r="E12" s="673">
        <f>+E58*Assum!$E$100</f>
        <v>2.3716399999999999E-3</v>
      </c>
      <c r="F12" s="673">
        <f>+F58*Assum!$F$100</f>
        <v>2.3923600000000001E-3</v>
      </c>
      <c r="G12" s="673">
        <f>+G58*Assum!$F$100</f>
        <v>3.8892800000000002E-3</v>
      </c>
      <c r="H12" s="673">
        <f>+H58*Assum!$F$100</f>
        <v>6.8591700000000012E-3</v>
      </c>
      <c r="I12" s="673">
        <f>+I58*Assum!$F$100</f>
        <v>1.9271190000000001E-2</v>
      </c>
      <c r="J12" s="673">
        <f>+J58*Assum!$F$100</f>
        <v>8.9716799999999999E-2</v>
      </c>
      <c r="K12" s="673">
        <f>+K58*Assum!$G$100</f>
        <v>8.9716799999999999E-2</v>
      </c>
      <c r="L12" s="673">
        <f>+L58*Assum!$G$100</f>
        <v>8.9716799999999999E-2</v>
      </c>
      <c r="M12" s="673">
        <f>+M58*Assum!$G$100</f>
        <v>8.9716799999999999E-2</v>
      </c>
      <c r="N12" s="673">
        <f>+N58*Assum!$G$100</f>
        <v>8.9716799999999999E-2</v>
      </c>
      <c r="O12" s="673">
        <f>+O58*Assum!$G$100</f>
        <v>8.9716799999999999E-2</v>
      </c>
      <c r="P12" s="676"/>
    </row>
    <row r="13" spans="2:16" s="6" customFormat="1" ht="15.75" customHeight="1" x14ac:dyDescent="0.35">
      <c r="B13" s="1133">
        <f t="shared" si="0"/>
        <v>4</v>
      </c>
      <c r="C13" s="1266" t="s">
        <v>648</v>
      </c>
      <c r="D13" s="673">
        <f>+D59*Assum!$E$100</f>
        <v>2.5095E-4</v>
      </c>
      <c r="E13" s="673">
        <f>+E59*Assum!$E$100</f>
        <v>4.2449999999999996E-4</v>
      </c>
      <c r="F13" s="673">
        <f>+F59*Assum!$F$100</f>
        <v>2.8568000000000002E-4</v>
      </c>
      <c r="G13" s="673">
        <f>+G59*Assum!$F$100</f>
        <v>2.9451999999999999E-4</v>
      </c>
      <c r="H13" s="673">
        <f>+H59*Assum!$F$100</f>
        <v>3.6905000000000005E-4</v>
      </c>
      <c r="I13" s="673">
        <f>+I59*Assum!$F$100</f>
        <v>5.1802E-4</v>
      </c>
      <c r="J13" s="673">
        <f>+J59*Assum!$F$100</f>
        <v>5.2991000000000008E-4</v>
      </c>
      <c r="K13" s="673">
        <f>+K59*Assum!$G$100</f>
        <v>5.2991000000000008E-4</v>
      </c>
      <c r="L13" s="673">
        <f>+L59*Assum!$G$100</f>
        <v>5.2991000000000008E-4</v>
      </c>
      <c r="M13" s="673">
        <f>+M59*Assum!$G$100</f>
        <v>5.2991000000000008E-4</v>
      </c>
      <c r="N13" s="673">
        <f>+N59*Assum!$G$100</f>
        <v>5.2991000000000008E-4</v>
      </c>
      <c r="O13" s="673">
        <f>+O59*Assum!$G$100</f>
        <v>5.2991000000000008E-4</v>
      </c>
      <c r="P13" s="676"/>
    </row>
    <row r="14" spans="2:16" s="6" customFormat="1" ht="15.75" customHeight="1" x14ac:dyDescent="0.35">
      <c r="B14" s="1133">
        <f t="shared" si="0"/>
        <v>5</v>
      </c>
      <c r="C14" s="1266" t="s">
        <v>649</v>
      </c>
      <c r="D14" s="673"/>
      <c r="E14" s="673"/>
      <c r="F14" s="673"/>
      <c r="G14" s="1190"/>
      <c r="H14" s="1190"/>
      <c r="I14" s="1190"/>
      <c r="J14" s="1190"/>
      <c r="K14" s="1190"/>
      <c r="L14" s="1190"/>
      <c r="M14" s="1190"/>
      <c r="N14" s="1190"/>
      <c r="O14" s="1190"/>
      <c r="P14" s="676"/>
    </row>
    <row r="15" spans="2:16" s="6" customFormat="1" x14ac:dyDescent="0.35">
      <c r="B15" s="1133">
        <f t="shared" si="0"/>
        <v>6</v>
      </c>
      <c r="C15" s="1267" t="s">
        <v>650</v>
      </c>
      <c r="D15" s="1190"/>
      <c r="E15" s="1190"/>
      <c r="F15" s="1190"/>
      <c r="G15" s="1190"/>
      <c r="H15" s="1190"/>
      <c r="I15" s="1190"/>
      <c r="J15" s="1190"/>
      <c r="K15" s="1190"/>
      <c r="L15" s="1190"/>
      <c r="M15" s="1190"/>
      <c r="N15" s="1190"/>
      <c r="O15" s="1190"/>
      <c r="P15" s="676"/>
    </row>
    <row r="16" spans="2:16" s="6" customFormat="1" ht="15.75" customHeight="1" x14ac:dyDescent="0.35">
      <c r="B16" s="1133">
        <f>B15+1</f>
        <v>7</v>
      </c>
      <c r="C16" s="1267" t="s">
        <v>651</v>
      </c>
      <c r="D16" s="673">
        <f>+D62*Assum!$E$100</f>
        <v>0</v>
      </c>
      <c r="E16" s="673">
        <f>+E62*Assum!$E$100</f>
        <v>0</v>
      </c>
      <c r="F16" s="673">
        <f>+F62*Assum!$F$100</f>
        <v>5.8770000000000008E-5</v>
      </c>
      <c r="G16" s="673">
        <f>+G62*Assum!$F$100</f>
        <v>2.5276999999999998E-4</v>
      </c>
      <c r="H16" s="673">
        <f>+H62*Assum!$F$100</f>
        <v>9.3344000000000001E-4</v>
      </c>
      <c r="I16" s="673">
        <f>+I62*Assum!$F$100</f>
        <v>6.5912999999999996E-4</v>
      </c>
      <c r="J16" s="673">
        <f>+J62*Assum!$F$100</f>
        <v>1.3265000000000002E-3</v>
      </c>
      <c r="K16" s="673">
        <f>+K62*Assum!$G$100</f>
        <v>1.3265000000000002E-3</v>
      </c>
      <c r="L16" s="673">
        <f>+L62*Assum!$G$100</f>
        <v>1.3265000000000002E-3</v>
      </c>
      <c r="M16" s="673">
        <f>+M62*Assum!$G$100</f>
        <v>1.3265000000000002E-3</v>
      </c>
      <c r="N16" s="673">
        <f>+N62*Assum!$G$100</f>
        <v>1.3265000000000002E-3</v>
      </c>
      <c r="O16" s="673">
        <f>+O62*Assum!$G$100</f>
        <v>1.3265000000000002E-3</v>
      </c>
      <c r="P16" s="676"/>
    </row>
    <row r="17" spans="2:16" ht="15.75" customHeight="1" x14ac:dyDescent="0.4">
      <c r="B17" s="1133">
        <f t="shared" si="0"/>
        <v>8</v>
      </c>
      <c r="C17" s="1267" t="s">
        <v>652</v>
      </c>
      <c r="D17" s="1190"/>
      <c r="E17" s="1190"/>
      <c r="F17" s="1190"/>
      <c r="G17" s="1190"/>
      <c r="H17" s="1190"/>
      <c r="I17" s="1190"/>
      <c r="J17" s="1190"/>
      <c r="K17" s="1190"/>
      <c r="L17" s="1190"/>
      <c r="M17" s="1190"/>
      <c r="N17" s="1190"/>
      <c r="O17" s="1190"/>
      <c r="P17" s="676"/>
    </row>
    <row r="18" spans="2:16" ht="26.25" x14ac:dyDescent="0.4">
      <c r="B18" s="1133">
        <f t="shared" si="0"/>
        <v>9</v>
      </c>
      <c r="C18" s="1265" t="s">
        <v>653</v>
      </c>
      <c r="D18" s="673">
        <f>+D64*Assum!$E$100</f>
        <v>3.7574999999999997E-2</v>
      </c>
      <c r="E18" s="673">
        <f>+E64*Assum!$E$100</f>
        <v>0.122393</v>
      </c>
      <c r="F18" s="673">
        <f>+F64*Assum!$F$100</f>
        <v>9.2631500000000006E-2</v>
      </c>
      <c r="G18" s="673">
        <f>+G64*Assum!$F$100</f>
        <v>4.8944000000000001E-3</v>
      </c>
      <c r="H18" s="673">
        <f>+H64*Assum!$F$100</f>
        <v>0.12797160000000002</v>
      </c>
      <c r="I18" s="673">
        <f>+I64*Assum!$F$100</f>
        <v>1.0229300000000002E-2</v>
      </c>
      <c r="J18" s="673">
        <f>+J64*Assum!$F$100</f>
        <v>1.5489912000000002E-2</v>
      </c>
      <c r="K18" s="673">
        <f>+K64*Assum!$G$100</f>
        <v>1.5489912000000002E-2</v>
      </c>
      <c r="L18" s="673">
        <f>+L64*Assum!$G$100</f>
        <v>1.5489912000000002E-2</v>
      </c>
      <c r="M18" s="673">
        <f>+M64*Assum!$G$100</f>
        <v>1.5489912000000002E-2</v>
      </c>
      <c r="N18" s="673">
        <f>+N64*Assum!$G$100</f>
        <v>1.5489912000000002E-2</v>
      </c>
      <c r="O18" s="673">
        <f>+O64*Assum!$G$100</f>
        <v>1.5489912000000002E-2</v>
      </c>
      <c r="P18" s="676"/>
    </row>
    <row r="19" spans="2:16" ht="15.75" customHeight="1" x14ac:dyDescent="0.4">
      <c r="B19" s="1133">
        <f t="shared" si="0"/>
        <v>10</v>
      </c>
      <c r="C19" s="1267" t="s">
        <v>654</v>
      </c>
      <c r="D19" s="1190"/>
      <c r="E19" s="1190"/>
      <c r="F19" s="1190"/>
      <c r="G19" s="1190"/>
      <c r="H19" s="1190"/>
      <c r="I19" s="1190"/>
      <c r="J19" s="1190"/>
      <c r="K19" s="1190"/>
      <c r="L19" s="1190"/>
      <c r="M19" s="1190"/>
      <c r="N19" s="1190"/>
      <c r="O19" s="1190"/>
      <c r="P19" s="676"/>
    </row>
    <row r="20" spans="2:16" ht="15.75" customHeight="1" x14ac:dyDescent="0.4">
      <c r="B20" s="1133">
        <f t="shared" si="0"/>
        <v>11</v>
      </c>
      <c r="C20" s="1266" t="s">
        <v>655</v>
      </c>
      <c r="D20" s="673"/>
      <c r="E20" s="673"/>
      <c r="F20" s="673"/>
      <c r="G20" s="1190"/>
      <c r="H20" s="1190"/>
      <c r="I20" s="1190"/>
      <c r="J20" s="1190"/>
      <c r="K20" s="1190"/>
      <c r="L20" s="1190"/>
      <c r="M20" s="1190"/>
      <c r="N20" s="1190"/>
      <c r="O20" s="1190"/>
      <c r="P20" s="676"/>
    </row>
    <row r="21" spans="2:16" ht="15.75" customHeight="1" x14ac:dyDescent="0.4">
      <c r="B21" s="1133">
        <v>12</v>
      </c>
      <c r="C21" s="1266" t="s">
        <v>1487</v>
      </c>
      <c r="D21" s="1772"/>
      <c r="E21" s="1772"/>
      <c r="F21" s="1772"/>
      <c r="G21" s="1772"/>
      <c r="H21" s="1772"/>
      <c r="I21" s="1772"/>
      <c r="J21" s="1772"/>
      <c r="K21" s="1772"/>
      <c r="L21" s="1772"/>
      <c r="M21" s="1772"/>
      <c r="N21" s="1772"/>
      <c r="O21" s="1772"/>
      <c r="P21" s="1760"/>
    </row>
    <row r="22" spans="2:16" ht="15.75" customHeight="1" x14ac:dyDescent="0.4">
      <c r="B22" s="1133">
        <v>13</v>
      </c>
      <c r="C22" s="1266" t="s">
        <v>1488</v>
      </c>
      <c r="D22" s="673">
        <f>+D68*Assum!$E$100</f>
        <v>0</v>
      </c>
      <c r="E22" s="673">
        <f>+E68*Assum!$E$100</f>
        <v>0</v>
      </c>
      <c r="F22" s="673">
        <f>+F68*Assum!$F$100</f>
        <v>1.8226000000000001E-4</v>
      </c>
      <c r="G22" s="673">
        <f>+G68*Assum!$F$100</f>
        <v>6.7978799999999994E-5</v>
      </c>
      <c r="H22" s="673">
        <f>+H68*Assum!$F$100</f>
        <v>0</v>
      </c>
      <c r="I22" s="673">
        <f>+I68*Assum!$F$100</f>
        <v>3.7334400000000006E-5</v>
      </c>
      <c r="J22" s="673">
        <f>+J68*Assum!$F$100</f>
        <v>6.0000000000000001E-3</v>
      </c>
      <c r="K22" s="673">
        <f>+K68*Assum!$G$100</f>
        <v>6.0000000000000001E-3</v>
      </c>
      <c r="L22" s="673">
        <f>+L68*Assum!$G$100</f>
        <v>6.0000000000000001E-3</v>
      </c>
      <c r="M22" s="673">
        <f>+M68*Assum!$G$100</f>
        <v>6.0000000000000001E-3</v>
      </c>
      <c r="N22" s="673">
        <f>+N68*Assum!$G$100</f>
        <v>6.0000000000000001E-3</v>
      </c>
      <c r="O22" s="673">
        <f>+O68*Assum!$G$100</f>
        <v>6.0000000000000001E-3</v>
      </c>
      <c r="P22" s="676"/>
    </row>
    <row r="23" spans="2:16" ht="15.75" customHeight="1" x14ac:dyDescent="0.4">
      <c r="B23" s="1133">
        <v>14</v>
      </c>
      <c r="C23" s="1266" t="s">
        <v>1489</v>
      </c>
      <c r="D23" s="673">
        <f>+D69*Assum!$E$100</f>
        <v>0</v>
      </c>
      <c r="E23" s="673">
        <f>+E69*Assum!$E$100</f>
        <v>0</v>
      </c>
      <c r="F23" s="673">
        <f>+F69*Assum!$F$100</f>
        <v>5.4406100000000006E-2</v>
      </c>
      <c r="G23" s="673">
        <f>+G69*Assum!$F$100</f>
        <v>7.7680000000000002E-5</v>
      </c>
      <c r="H23" s="673">
        <f>+H69*Assum!$F$100</f>
        <v>2.3692000000000003E-4</v>
      </c>
      <c r="I23" s="673">
        <f>+I69*Assum!$F$100</f>
        <v>1.7394609299999999E-2</v>
      </c>
      <c r="J23" s="673">
        <f>+J69*Assum!$F$100</f>
        <v>0</v>
      </c>
      <c r="K23" s="673">
        <f>+K69*Assum!$G$100</f>
        <v>0</v>
      </c>
      <c r="L23" s="673">
        <f>+L69*Assum!$G$100</f>
        <v>0</v>
      </c>
      <c r="M23" s="673">
        <f>+M69*Assum!$G$100</f>
        <v>0</v>
      </c>
      <c r="N23" s="673">
        <f>+N69*Assum!$G$100</f>
        <v>0</v>
      </c>
      <c r="O23" s="673">
        <f>+O69*Assum!$G$100</f>
        <v>0</v>
      </c>
      <c r="P23" s="676"/>
    </row>
    <row r="24" spans="2:16" ht="15.75" customHeight="1" x14ac:dyDescent="0.4">
      <c r="B24" s="1133">
        <v>15</v>
      </c>
      <c r="C24" s="1267" t="s">
        <v>1490</v>
      </c>
      <c r="D24" s="673">
        <f>+D70</f>
        <v>0</v>
      </c>
      <c r="E24" s="673">
        <f t="shared" ref="E24:O24" si="1">+E70</f>
        <v>0</v>
      </c>
      <c r="F24" s="673">
        <f t="shared" si="1"/>
        <v>0.44089143799999997</v>
      </c>
      <c r="G24" s="673">
        <f t="shared" si="1"/>
        <v>0</v>
      </c>
      <c r="H24" s="673">
        <f t="shared" si="1"/>
        <v>0</v>
      </c>
      <c r="I24" s="673">
        <f t="shared" si="1"/>
        <v>0</v>
      </c>
      <c r="J24" s="673">
        <f t="shared" si="1"/>
        <v>0</v>
      </c>
      <c r="K24" s="673">
        <f t="shared" si="1"/>
        <v>0</v>
      </c>
      <c r="L24" s="673">
        <f t="shared" si="1"/>
        <v>0</v>
      </c>
      <c r="M24" s="673">
        <f t="shared" si="1"/>
        <v>0</v>
      </c>
      <c r="N24" s="673">
        <f t="shared" si="1"/>
        <v>0</v>
      </c>
      <c r="O24" s="673">
        <f t="shared" si="1"/>
        <v>0</v>
      </c>
      <c r="P24" s="676"/>
    </row>
    <row r="25" spans="2:16" x14ac:dyDescent="0.4">
      <c r="B25" s="54"/>
      <c r="C25" s="43" t="s">
        <v>164</v>
      </c>
      <c r="D25" s="1191">
        <f t="shared" ref="D25:O25" si="2">SUM(D10:D24)</f>
        <v>3.9127140099999999E-2</v>
      </c>
      <c r="E25" s="1191">
        <f t="shared" si="2"/>
        <v>0.12518914</v>
      </c>
      <c r="F25" s="1191">
        <f t="shared" si="2"/>
        <v>0.59084810799999998</v>
      </c>
      <c r="G25" s="1191">
        <f t="shared" si="2"/>
        <v>9.4766288000000011E-3</v>
      </c>
      <c r="H25" s="1191">
        <f t="shared" si="2"/>
        <v>0.13637018000000004</v>
      </c>
      <c r="I25" s="1191">
        <f t="shared" si="2"/>
        <v>4.81095837E-2</v>
      </c>
      <c r="J25" s="1191">
        <f t="shared" si="2"/>
        <v>0.11306312199999999</v>
      </c>
      <c r="K25" s="1191">
        <f t="shared" si="2"/>
        <v>0.11306312199999999</v>
      </c>
      <c r="L25" s="1191">
        <f t="shared" si="2"/>
        <v>0.11306312199999999</v>
      </c>
      <c r="M25" s="1191">
        <f t="shared" si="2"/>
        <v>0.11306312199999999</v>
      </c>
      <c r="N25" s="1191">
        <f t="shared" si="2"/>
        <v>0.11306312199999999</v>
      </c>
      <c r="O25" s="1191">
        <f t="shared" si="2"/>
        <v>0.11306312199999999</v>
      </c>
      <c r="P25" s="19"/>
    </row>
    <row r="26" spans="2:16" x14ac:dyDescent="0.4">
      <c r="B26" s="10" t="s">
        <v>148</v>
      </c>
      <c r="C26" s="27"/>
    </row>
    <row r="27" spans="2:16" x14ac:dyDescent="0.4">
      <c r="C27" s="27"/>
    </row>
    <row r="28" spans="2:16" x14ac:dyDescent="0.4">
      <c r="C28" s="27"/>
    </row>
    <row r="29" spans="2:16" x14ac:dyDescent="0.4">
      <c r="C29" s="99" t="s">
        <v>278</v>
      </c>
      <c r="D29" s="179"/>
      <c r="E29" s="179"/>
      <c r="F29" s="179"/>
    </row>
    <row r="30" spans="2:16" x14ac:dyDescent="0.4">
      <c r="C30" s="32"/>
      <c r="D30" s="53"/>
      <c r="E30" s="53"/>
      <c r="F30" s="53"/>
      <c r="I30" s="53"/>
      <c r="K30" s="53"/>
    </row>
    <row r="31" spans="2:16" s="10" customFormat="1" ht="12.75" customHeight="1" x14ac:dyDescent="0.35">
      <c r="B31" s="1938" t="s">
        <v>1</v>
      </c>
      <c r="C31" s="1984" t="s">
        <v>111</v>
      </c>
      <c r="D31" s="98" t="s">
        <v>196</v>
      </c>
      <c r="E31" s="98" t="s">
        <v>197</v>
      </c>
      <c r="F31" s="98" t="s">
        <v>198</v>
      </c>
      <c r="G31" s="98" t="s">
        <v>199</v>
      </c>
      <c r="H31" s="358" t="s">
        <v>112</v>
      </c>
      <c r="I31" s="358" t="s">
        <v>113</v>
      </c>
      <c r="J31" s="358" t="s">
        <v>114</v>
      </c>
      <c r="K31" s="1934" t="s">
        <v>1019</v>
      </c>
      <c r="L31" s="1935"/>
      <c r="M31" s="1935"/>
      <c r="N31" s="1935"/>
      <c r="O31" s="1936"/>
      <c r="P31" s="1941" t="s">
        <v>116</v>
      </c>
    </row>
    <row r="32" spans="2:16" s="10" customFormat="1" ht="41.75" customHeight="1" x14ac:dyDescent="0.35">
      <c r="B32" s="1939"/>
      <c r="C32" s="1984"/>
      <c r="D32" s="1934" t="s">
        <v>117</v>
      </c>
      <c r="E32" s="1935"/>
      <c r="F32" s="1935"/>
      <c r="G32" s="1935"/>
      <c r="H32" s="1935"/>
      <c r="I32" s="1936"/>
      <c r="J32" s="217" t="s">
        <v>121</v>
      </c>
      <c r="K32" s="217" t="s">
        <v>123</v>
      </c>
      <c r="L32" s="217" t="s">
        <v>124</v>
      </c>
      <c r="M32" s="217" t="s">
        <v>125</v>
      </c>
      <c r="N32" s="217" t="s">
        <v>126</v>
      </c>
      <c r="O32" s="217" t="s">
        <v>127</v>
      </c>
      <c r="P32" s="1941"/>
    </row>
    <row r="33" spans="2:16" x14ac:dyDescent="0.4">
      <c r="B33" s="1133">
        <v>1</v>
      </c>
      <c r="C33" s="1265" t="s">
        <v>645</v>
      </c>
      <c r="D33" s="508"/>
      <c r="E33" s="508"/>
      <c r="F33" s="508"/>
      <c r="G33" s="58"/>
      <c r="H33" s="58"/>
      <c r="I33" s="58"/>
      <c r="J33" s="58"/>
      <c r="K33" s="58"/>
      <c r="L33" s="58"/>
      <c r="M33" s="58"/>
      <c r="N33" s="58"/>
      <c r="O33" s="58"/>
      <c r="P33" s="19"/>
    </row>
    <row r="34" spans="2:16" x14ac:dyDescent="0.4">
      <c r="B34" s="1133">
        <f>B33+1</f>
        <v>2</v>
      </c>
      <c r="C34" s="1265" t="s">
        <v>646</v>
      </c>
      <c r="D34" s="508"/>
      <c r="E34" s="508"/>
      <c r="F34" s="508"/>
      <c r="G34" s="58"/>
      <c r="H34" s="58"/>
      <c r="I34" s="58"/>
      <c r="J34" s="58"/>
      <c r="K34" s="58"/>
      <c r="L34" s="58"/>
      <c r="M34" s="58"/>
      <c r="N34" s="58"/>
      <c r="O34" s="58"/>
      <c r="P34" s="19"/>
    </row>
    <row r="35" spans="2:16" x14ac:dyDescent="0.4">
      <c r="B35" s="1133">
        <f t="shared" ref="B35:B48" si="3">B34+1</f>
        <v>3</v>
      </c>
      <c r="C35" s="1266" t="s">
        <v>647</v>
      </c>
      <c r="D35" s="1270">
        <f>+D58-D12</f>
        <v>1.1710710899999999E-2</v>
      </c>
      <c r="E35" s="1270">
        <f t="shared" ref="E35:O35" si="4">+E58-E12</f>
        <v>2.1344759999999997E-2</v>
      </c>
      <c r="F35" s="1270">
        <f t="shared" si="4"/>
        <v>2.153124E-2</v>
      </c>
      <c r="G35" s="1270">
        <f t="shared" si="4"/>
        <v>3.5003519999999996E-2</v>
      </c>
      <c r="H35" s="1270">
        <f t="shared" si="4"/>
        <v>6.1732530000000008E-2</v>
      </c>
      <c r="I35" s="1270">
        <f t="shared" si="4"/>
        <v>0.17344071</v>
      </c>
      <c r="J35" s="1270">
        <f t="shared" si="4"/>
        <v>0.80745119999999992</v>
      </c>
      <c r="K35" s="1270">
        <f t="shared" si="4"/>
        <v>0.80745119999999992</v>
      </c>
      <c r="L35" s="1270">
        <f t="shared" si="4"/>
        <v>0.80745119999999992</v>
      </c>
      <c r="M35" s="1270">
        <f t="shared" si="4"/>
        <v>0.80745119999999992</v>
      </c>
      <c r="N35" s="1270">
        <f t="shared" si="4"/>
        <v>0.80745119999999992</v>
      </c>
      <c r="O35" s="1270">
        <f t="shared" si="4"/>
        <v>0.80745119999999992</v>
      </c>
      <c r="P35" s="19"/>
    </row>
    <row r="36" spans="2:16" x14ac:dyDescent="0.4">
      <c r="B36" s="1133">
        <f t="shared" si="3"/>
        <v>4</v>
      </c>
      <c r="C36" s="1266" t="s">
        <v>648</v>
      </c>
      <c r="D36" s="1270">
        <f t="shared" ref="D36:O36" si="5">+D59-D13</f>
        <v>2.2585499999999998E-3</v>
      </c>
      <c r="E36" s="1270">
        <f t="shared" si="5"/>
        <v>3.8204999999999997E-3</v>
      </c>
      <c r="F36" s="1270">
        <f t="shared" si="5"/>
        <v>2.5711200000000001E-3</v>
      </c>
      <c r="G36" s="1270">
        <f t="shared" si="5"/>
        <v>2.6506799999999999E-3</v>
      </c>
      <c r="H36" s="1270">
        <f t="shared" si="5"/>
        <v>3.3214500000000001E-3</v>
      </c>
      <c r="I36" s="1270">
        <f t="shared" si="5"/>
        <v>4.6621800000000001E-3</v>
      </c>
      <c r="J36" s="1270">
        <f t="shared" si="5"/>
        <v>4.7691900000000004E-3</v>
      </c>
      <c r="K36" s="1270">
        <f t="shared" si="5"/>
        <v>4.7691900000000004E-3</v>
      </c>
      <c r="L36" s="1270">
        <f t="shared" si="5"/>
        <v>4.7691900000000004E-3</v>
      </c>
      <c r="M36" s="1270">
        <f t="shared" si="5"/>
        <v>4.7691900000000004E-3</v>
      </c>
      <c r="N36" s="1270">
        <f t="shared" si="5"/>
        <v>4.7691900000000004E-3</v>
      </c>
      <c r="O36" s="1270">
        <f t="shared" si="5"/>
        <v>4.7691900000000004E-3</v>
      </c>
      <c r="P36" s="19"/>
    </row>
    <row r="37" spans="2:16" x14ac:dyDescent="0.4">
      <c r="B37" s="1133">
        <f t="shared" si="3"/>
        <v>5</v>
      </c>
      <c r="C37" s="1266" t="s">
        <v>649</v>
      </c>
      <c r="D37" s="508"/>
      <c r="E37" s="508"/>
      <c r="F37" s="508"/>
      <c r="G37" s="58"/>
      <c r="H37" s="58"/>
      <c r="I37" s="58"/>
      <c r="J37" s="58"/>
      <c r="K37" s="58"/>
      <c r="L37" s="58"/>
      <c r="M37" s="58"/>
      <c r="N37" s="58"/>
      <c r="O37" s="58"/>
      <c r="P37" s="19"/>
    </row>
    <row r="38" spans="2:16" x14ac:dyDescent="0.4">
      <c r="B38" s="1133">
        <f t="shared" si="3"/>
        <v>6</v>
      </c>
      <c r="C38" s="1267" t="s">
        <v>650</v>
      </c>
      <c r="D38" s="89"/>
      <c r="E38" s="89"/>
      <c r="F38" s="89"/>
      <c r="G38" s="58"/>
      <c r="H38" s="58"/>
      <c r="I38" s="58"/>
      <c r="J38" s="58"/>
      <c r="K38" s="58"/>
      <c r="L38" s="58"/>
      <c r="M38" s="58"/>
      <c r="N38" s="58"/>
      <c r="O38" s="58"/>
      <c r="P38" s="19"/>
    </row>
    <row r="39" spans="2:16" x14ac:dyDescent="0.4">
      <c r="B39" s="1133">
        <f>B38+1</f>
        <v>7</v>
      </c>
      <c r="C39" s="1267" t="s">
        <v>651</v>
      </c>
      <c r="D39" s="1270">
        <f t="shared" ref="D39:O39" si="6">+D62-D16</f>
        <v>0</v>
      </c>
      <c r="E39" s="1270">
        <f t="shared" si="6"/>
        <v>0</v>
      </c>
      <c r="F39" s="1270">
        <f t="shared" si="6"/>
        <v>5.2893000000000005E-4</v>
      </c>
      <c r="G39" s="1270">
        <f t="shared" si="6"/>
        <v>2.2749300000000001E-3</v>
      </c>
      <c r="H39" s="1270">
        <f t="shared" si="6"/>
        <v>8.400959999999999E-3</v>
      </c>
      <c r="I39" s="1270">
        <f t="shared" si="6"/>
        <v>5.9321699999999996E-3</v>
      </c>
      <c r="J39" s="1270">
        <f t="shared" si="6"/>
        <v>1.1938500000000001E-2</v>
      </c>
      <c r="K39" s="1270">
        <f t="shared" si="6"/>
        <v>1.1938500000000001E-2</v>
      </c>
      <c r="L39" s="1270">
        <f t="shared" si="6"/>
        <v>1.1938500000000001E-2</v>
      </c>
      <c r="M39" s="1270">
        <f t="shared" si="6"/>
        <v>1.1938500000000001E-2</v>
      </c>
      <c r="N39" s="1270">
        <f t="shared" si="6"/>
        <v>1.1938500000000001E-2</v>
      </c>
      <c r="O39" s="1270">
        <f t="shared" si="6"/>
        <v>1.1938500000000001E-2</v>
      </c>
      <c r="P39" s="19"/>
    </row>
    <row r="40" spans="2:16" x14ac:dyDescent="0.4">
      <c r="B40" s="1133">
        <f t="shared" si="3"/>
        <v>8</v>
      </c>
      <c r="C40" s="1267" t="s">
        <v>652</v>
      </c>
      <c r="D40" s="89"/>
      <c r="E40" s="89"/>
      <c r="F40" s="89"/>
      <c r="G40" s="58"/>
      <c r="H40" s="58"/>
      <c r="I40" s="58"/>
      <c r="J40" s="58"/>
      <c r="K40" s="58"/>
      <c r="L40" s="58"/>
      <c r="M40" s="58"/>
      <c r="N40" s="58"/>
      <c r="O40" s="58"/>
      <c r="P40" s="19"/>
    </row>
    <row r="41" spans="2:16" ht="26.25" x14ac:dyDescent="0.4">
      <c r="B41" s="1133">
        <f t="shared" si="3"/>
        <v>9</v>
      </c>
      <c r="C41" s="1265" t="s">
        <v>653</v>
      </c>
      <c r="D41" s="1270">
        <f t="shared" ref="D41:O41" si="7">+D64-D18</f>
        <v>0.338175</v>
      </c>
      <c r="E41" s="1270">
        <f t="shared" si="7"/>
        <v>1.101537</v>
      </c>
      <c r="F41" s="1270">
        <f t="shared" si="7"/>
        <v>0.83368350000000002</v>
      </c>
      <c r="G41" s="1270">
        <f t="shared" si="7"/>
        <v>4.4049600000000001E-2</v>
      </c>
      <c r="H41" s="1270">
        <f t="shared" si="7"/>
        <v>1.1517444000000001</v>
      </c>
      <c r="I41" s="1270">
        <f t="shared" si="7"/>
        <v>9.2063700000000012E-2</v>
      </c>
      <c r="J41" s="1270">
        <f t="shared" si="7"/>
        <v>0.13940920800000001</v>
      </c>
      <c r="K41" s="1270">
        <f t="shared" si="7"/>
        <v>0.13940920800000001</v>
      </c>
      <c r="L41" s="1270">
        <f t="shared" si="7"/>
        <v>0.13940920800000001</v>
      </c>
      <c r="M41" s="1270">
        <f t="shared" si="7"/>
        <v>0.13940920800000001</v>
      </c>
      <c r="N41" s="1270">
        <f t="shared" si="7"/>
        <v>0.13940920800000001</v>
      </c>
      <c r="O41" s="1270">
        <f t="shared" si="7"/>
        <v>0.13940920800000001</v>
      </c>
      <c r="P41" s="19"/>
    </row>
    <row r="42" spans="2:16" x14ac:dyDescent="0.4">
      <c r="B42" s="1133">
        <f t="shared" si="3"/>
        <v>10</v>
      </c>
      <c r="C42" s="1267" t="s">
        <v>654</v>
      </c>
      <c r="D42" s="508"/>
      <c r="E42" s="508"/>
      <c r="F42" s="508"/>
      <c r="G42" s="58"/>
      <c r="H42" s="58"/>
      <c r="I42" s="58"/>
      <c r="J42" s="58"/>
      <c r="K42" s="58"/>
      <c r="L42" s="58"/>
      <c r="M42" s="58"/>
      <c r="N42" s="58"/>
      <c r="O42" s="58"/>
      <c r="P42" s="19"/>
    </row>
    <row r="43" spans="2:16" x14ac:dyDescent="0.4">
      <c r="B43" s="1133">
        <f t="shared" si="3"/>
        <v>11</v>
      </c>
      <c r="C43" s="1266" t="s">
        <v>655</v>
      </c>
      <c r="D43" s="89"/>
      <c r="E43" s="89"/>
      <c r="F43" s="89"/>
      <c r="G43" s="58"/>
      <c r="H43" s="58"/>
      <c r="I43" s="58"/>
      <c r="J43" s="58"/>
      <c r="K43" s="58"/>
      <c r="L43" s="58"/>
      <c r="M43" s="58"/>
      <c r="N43" s="58"/>
      <c r="O43" s="58"/>
      <c r="P43" s="19"/>
    </row>
    <row r="44" spans="2:16" x14ac:dyDescent="0.4">
      <c r="B44" s="1133">
        <f t="shared" si="3"/>
        <v>12</v>
      </c>
      <c r="C44" s="1266" t="s">
        <v>1487</v>
      </c>
      <c r="D44" s="1270">
        <f t="shared" ref="D44:O44" si="8">+D67-D21</f>
        <v>0</v>
      </c>
      <c r="E44" s="1270">
        <f t="shared" si="8"/>
        <v>0</v>
      </c>
      <c r="F44" s="1270">
        <f t="shared" si="8"/>
        <v>0</v>
      </c>
      <c r="G44" s="1270">
        <f t="shared" si="8"/>
        <v>0</v>
      </c>
      <c r="H44" s="1270">
        <f t="shared" si="8"/>
        <v>0</v>
      </c>
      <c r="I44" s="1270">
        <f t="shared" si="8"/>
        <v>0</v>
      </c>
      <c r="J44" s="1270">
        <f t="shared" si="8"/>
        <v>0</v>
      </c>
      <c r="K44" s="1270">
        <f t="shared" si="8"/>
        <v>0</v>
      </c>
      <c r="L44" s="1270">
        <f t="shared" si="8"/>
        <v>0</v>
      </c>
      <c r="M44" s="1270">
        <f t="shared" si="8"/>
        <v>0</v>
      </c>
      <c r="N44" s="1270">
        <f t="shared" si="8"/>
        <v>0</v>
      </c>
      <c r="O44" s="1270">
        <f t="shared" si="8"/>
        <v>0</v>
      </c>
      <c r="P44" s="19"/>
    </row>
    <row r="45" spans="2:16" x14ac:dyDescent="0.4">
      <c r="B45" s="1133">
        <f t="shared" si="3"/>
        <v>13</v>
      </c>
      <c r="C45" s="1266" t="s">
        <v>1488</v>
      </c>
      <c r="D45" s="1270">
        <f t="shared" ref="D45:O45" si="9">+D68-D22</f>
        <v>0</v>
      </c>
      <c r="E45" s="1270">
        <f t="shared" si="9"/>
        <v>0</v>
      </c>
      <c r="F45" s="1270">
        <f t="shared" si="9"/>
        <v>1.6403399999999999E-3</v>
      </c>
      <c r="G45" s="1270">
        <f t="shared" si="9"/>
        <v>6.1180920000000001E-4</v>
      </c>
      <c r="H45" s="1270">
        <f t="shared" si="9"/>
        <v>0</v>
      </c>
      <c r="I45" s="1270">
        <f t="shared" si="9"/>
        <v>3.360096E-4</v>
      </c>
      <c r="J45" s="1270">
        <f t="shared" si="9"/>
        <v>5.3999999999999999E-2</v>
      </c>
      <c r="K45" s="1270">
        <f t="shared" si="9"/>
        <v>5.3999999999999999E-2</v>
      </c>
      <c r="L45" s="1270">
        <f t="shared" si="9"/>
        <v>5.3999999999999999E-2</v>
      </c>
      <c r="M45" s="1270">
        <f t="shared" si="9"/>
        <v>5.3999999999999999E-2</v>
      </c>
      <c r="N45" s="1270">
        <f t="shared" si="9"/>
        <v>5.3999999999999999E-2</v>
      </c>
      <c r="O45" s="1270">
        <f t="shared" si="9"/>
        <v>5.3999999999999999E-2</v>
      </c>
      <c r="P45" s="19"/>
    </row>
    <row r="46" spans="2:16" x14ac:dyDescent="0.4">
      <c r="B46" s="1133">
        <f t="shared" si="3"/>
        <v>14</v>
      </c>
      <c r="C46" s="1266" t="s">
        <v>1489</v>
      </c>
      <c r="D46" s="1270">
        <f t="shared" ref="D46:O46" si="10">+D69-D23</f>
        <v>0</v>
      </c>
      <c r="E46" s="1270">
        <f t="shared" si="10"/>
        <v>0</v>
      </c>
      <c r="F46" s="1270">
        <f t="shared" si="10"/>
        <v>0.4896549</v>
      </c>
      <c r="G46" s="1270">
        <f t="shared" si="10"/>
        <v>6.9912000000000001E-4</v>
      </c>
      <c r="H46" s="1270">
        <f t="shared" si="10"/>
        <v>2.1322800000000003E-3</v>
      </c>
      <c r="I46" s="1270">
        <f t="shared" si="10"/>
        <v>0.15655148369999999</v>
      </c>
      <c r="J46" s="1270">
        <f t="shared" si="10"/>
        <v>0</v>
      </c>
      <c r="K46" s="1270">
        <f t="shared" si="10"/>
        <v>0</v>
      </c>
      <c r="L46" s="1270">
        <f t="shared" si="10"/>
        <v>0</v>
      </c>
      <c r="M46" s="1270">
        <f t="shared" si="10"/>
        <v>0</v>
      </c>
      <c r="N46" s="1270">
        <f t="shared" si="10"/>
        <v>0</v>
      </c>
      <c r="O46" s="1270">
        <f t="shared" si="10"/>
        <v>0</v>
      </c>
      <c r="P46" s="19"/>
    </row>
    <row r="47" spans="2:16" x14ac:dyDescent="0.4">
      <c r="B47" s="1133">
        <f t="shared" si="3"/>
        <v>15</v>
      </c>
      <c r="C47" s="1267" t="s">
        <v>1490</v>
      </c>
      <c r="D47" s="1270">
        <f t="shared" ref="D47:O47" si="11">+D70-D24</f>
        <v>0</v>
      </c>
      <c r="E47" s="1270">
        <f t="shared" si="11"/>
        <v>0</v>
      </c>
      <c r="F47" s="1270">
        <f t="shared" si="11"/>
        <v>0</v>
      </c>
      <c r="G47" s="1270">
        <f t="shared" si="11"/>
        <v>0</v>
      </c>
      <c r="H47" s="1270">
        <f t="shared" si="11"/>
        <v>0</v>
      </c>
      <c r="I47" s="1270">
        <f t="shared" si="11"/>
        <v>0</v>
      </c>
      <c r="J47" s="1270">
        <f t="shared" si="11"/>
        <v>0</v>
      </c>
      <c r="K47" s="1270">
        <f t="shared" si="11"/>
        <v>0</v>
      </c>
      <c r="L47" s="1270">
        <f t="shared" si="11"/>
        <v>0</v>
      </c>
      <c r="M47" s="1270">
        <f t="shared" si="11"/>
        <v>0</v>
      </c>
      <c r="N47" s="1270">
        <f t="shared" si="11"/>
        <v>0</v>
      </c>
      <c r="O47" s="1270">
        <f t="shared" si="11"/>
        <v>0</v>
      </c>
      <c r="P47" s="10"/>
    </row>
    <row r="48" spans="2:16" x14ac:dyDescent="0.4">
      <c r="B48" s="1133">
        <f t="shared" si="3"/>
        <v>16</v>
      </c>
      <c r="C48" s="1268" t="s">
        <v>1491</v>
      </c>
      <c r="D48" s="1271">
        <f>+D71</f>
        <v>7.465967999999999E-3</v>
      </c>
      <c r="E48" s="1271">
        <f t="shared" ref="E48:O48" si="12">+E71</f>
        <v>1.70276E-2</v>
      </c>
      <c r="F48" s="1271">
        <f t="shared" si="12"/>
        <v>3.9904674000000001E-2</v>
      </c>
      <c r="G48" s="1271">
        <f t="shared" si="12"/>
        <v>9.37413E-2</v>
      </c>
      <c r="H48" s="1271">
        <f t="shared" si="12"/>
        <v>0.29442277</v>
      </c>
      <c r="I48" s="1271">
        <f t="shared" si="12"/>
        <v>0.42099910000000001</v>
      </c>
      <c r="J48" s="1271">
        <f t="shared" si="12"/>
        <v>0.31877100000000003</v>
      </c>
      <c r="K48" s="1271">
        <f t="shared" si="12"/>
        <v>0</v>
      </c>
      <c r="L48" s="1271">
        <f t="shared" si="12"/>
        <v>0</v>
      </c>
      <c r="M48" s="1271">
        <f t="shared" si="12"/>
        <v>0</v>
      </c>
      <c r="N48" s="1271">
        <f t="shared" si="12"/>
        <v>0</v>
      </c>
      <c r="O48" s="1271">
        <f t="shared" si="12"/>
        <v>0</v>
      </c>
      <c r="P48" s="10"/>
    </row>
    <row r="49" spans="2:16" x14ac:dyDescent="0.4">
      <c r="B49" s="54"/>
      <c r="C49" s="43" t="s">
        <v>164</v>
      </c>
      <c r="D49" s="1191">
        <f>SUM(D33:D48)</f>
        <v>0.3596102289</v>
      </c>
      <c r="E49" s="1191">
        <f>SUM(E33:E48)</f>
        <v>1.1437298600000001</v>
      </c>
      <c r="F49" s="1191">
        <f t="shared" ref="F49:O49" si="13">SUM(F33:F48)</f>
        <v>1.389514704</v>
      </c>
      <c r="G49" s="1191">
        <f t="shared" si="13"/>
        <v>0.17903095920000001</v>
      </c>
      <c r="H49" s="1191">
        <f t="shared" si="13"/>
        <v>1.5217543900000001</v>
      </c>
      <c r="I49" s="1191">
        <f t="shared" si="13"/>
        <v>0.85398535330000003</v>
      </c>
      <c r="J49" s="1191">
        <f t="shared" si="13"/>
        <v>1.3363390979999998</v>
      </c>
      <c r="K49" s="1191">
        <f t="shared" si="13"/>
        <v>1.0175680979999999</v>
      </c>
      <c r="L49" s="1191">
        <f t="shared" si="13"/>
        <v>1.0175680979999999</v>
      </c>
      <c r="M49" s="1191">
        <f t="shared" si="13"/>
        <v>1.0175680979999999</v>
      </c>
      <c r="N49" s="1191">
        <f t="shared" si="13"/>
        <v>1.0175680979999999</v>
      </c>
      <c r="O49" s="1191">
        <f t="shared" si="13"/>
        <v>1.0175680979999999</v>
      </c>
    </row>
    <row r="50" spans="2:16" x14ac:dyDescent="0.4">
      <c r="B50" s="10" t="s">
        <v>148</v>
      </c>
    </row>
    <row r="52" spans="2:16" x14ac:dyDescent="0.4">
      <c r="C52" s="99" t="s">
        <v>1486</v>
      </c>
      <c r="D52" s="179"/>
      <c r="E52" s="179"/>
      <c r="F52" s="179"/>
    </row>
    <row r="53" spans="2:16" x14ac:dyDescent="0.4">
      <c r="C53" s="40"/>
      <c r="D53" s="53"/>
      <c r="E53" s="53"/>
      <c r="F53" s="53"/>
      <c r="I53" s="53"/>
      <c r="K53" s="53"/>
      <c r="O53" s="53" t="s">
        <v>110</v>
      </c>
    </row>
    <row r="54" spans="2:16" x14ac:dyDescent="0.4">
      <c r="B54" s="1938" t="s">
        <v>1</v>
      </c>
      <c r="C54" s="1984" t="s">
        <v>111</v>
      </c>
      <c r="D54" s="98" t="s">
        <v>196</v>
      </c>
      <c r="E54" s="98" t="s">
        <v>197</v>
      </c>
      <c r="F54" s="98" t="s">
        <v>198</v>
      </c>
      <c r="G54" s="98" t="s">
        <v>199</v>
      </c>
      <c r="H54" s="358" t="s">
        <v>112</v>
      </c>
      <c r="I54" s="358" t="s">
        <v>113</v>
      </c>
      <c r="J54" s="358" t="s">
        <v>114</v>
      </c>
      <c r="K54" s="1934" t="s">
        <v>1019</v>
      </c>
      <c r="L54" s="1935"/>
      <c r="M54" s="1935"/>
      <c r="N54" s="1935"/>
      <c r="O54" s="1936"/>
      <c r="P54" s="1941" t="s">
        <v>116</v>
      </c>
    </row>
    <row r="55" spans="2:16" ht="27" x14ac:dyDescent="0.4">
      <c r="B55" s="1939"/>
      <c r="C55" s="1984"/>
      <c r="D55" s="1934" t="s">
        <v>117</v>
      </c>
      <c r="E55" s="1935"/>
      <c r="F55" s="1935"/>
      <c r="G55" s="1935"/>
      <c r="H55" s="1935"/>
      <c r="I55" s="1936"/>
      <c r="J55" s="217" t="s">
        <v>121</v>
      </c>
      <c r="K55" s="217" t="s">
        <v>123</v>
      </c>
      <c r="L55" s="217" t="s">
        <v>124</v>
      </c>
      <c r="M55" s="217" t="s">
        <v>125</v>
      </c>
      <c r="N55" s="217" t="s">
        <v>126</v>
      </c>
      <c r="O55" s="217" t="s">
        <v>127</v>
      </c>
      <c r="P55" s="1941"/>
    </row>
    <row r="56" spans="2:16" x14ac:dyDescent="0.4">
      <c r="B56" s="1133">
        <v>1</v>
      </c>
      <c r="C56" s="1265" t="s">
        <v>645</v>
      </c>
      <c r="D56" s="673"/>
      <c r="E56" s="673"/>
      <c r="F56" s="673"/>
      <c r="G56" s="1190"/>
      <c r="H56" s="1190"/>
      <c r="I56" s="1190"/>
      <c r="J56" s="1190"/>
      <c r="K56" s="1190"/>
      <c r="L56" s="1190"/>
      <c r="M56" s="1190"/>
      <c r="N56" s="1190"/>
      <c r="O56" s="1190"/>
      <c r="P56" s="19"/>
    </row>
    <row r="57" spans="2:16" x14ac:dyDescent="0.4">
      <c r="B57" s="1133">
        <f>B56+1</f>
        <v>2</v>
      </c>
      <c r="C57" s="1265" t="s">
        <v>646</v>
      </c>
      <c r="D57" s="673"/>
      <c r="E57" s="673"/>
      <c r="F57" s="673"/>
      <c r="G57" s="1190"/>
      <c r="H57" s="1190"/>
      <c r="I57" s="1190"/>
      <c r="J57" s="1190"/>
      <c r="K57" s="1190"/>
      <c r="L57" s="1190"/>
      <c r="M57" s="1190"/>
      <c r="N57" s="1190"/>
      <c r="O57" s="1190"/>
      <c r="P57" s="19"/>
    </row>
    <row r="58" spans="2:16" x14ac:dyDescent="0.4">
      <c r="B58" s="1133">
        <f t="shared" ref="B58:B71" si="14">B57+1</f>
        <v>3</v>
      </c>
      <c r="C58" s="1266" t="s">
        <v>647</v>
      </c>
      <c r="D58" s="673">
        <f>+Recon!E56</f>
        <v>1.3011900999999999E-2</v>
      </c>
      <c r="E58" s="673">
        <f>+Recon!H56</f>
        <v>2.3716399999999999E-2</v>
      </c>
      <c r="F58" s="673">
        <f>+Recon!K56</f>
        <v>2.39236E-2</v>
      </c>
      <c r="G58" s="673">
        <f>+Recon!N56</f>
        <v>3.8892799999999998E-2</v>
      </c>
      <c r="H58" s="673">
        <f>+Recon!Q56</f>
        <v>6.8591700000000005E-2</v>
      </c>
      <c r="I58" s="673">
        <f>+Recon!T56</f>
        <v>0.19271189999999999</v>
      </c>
      <c r="J58" s="673">
        <f>+Recon!W56</f>
        <v>0.89716799999999997</v>
      </c>
      <c r="K58" s="1190">
        <f>+J58</f>
        <v>0.89716799999999997</v>
      </c>
      <c r="L58" s="1190">
        <f>+K58</f>
        <v>0.89716799999999997</v>
      </c>
      <c r="M58" s="1190">
        <f t="shared" ref="M58:O59" si="15">+L58</f>
        <v>0.89716799999999997</v>
      </c>
      <c r="N58" s="1190">
        <f t="shared" si="15"/>
        <v>0.89716799999999997</v>
      </c>
      <c r="O58" s="1190">
        <f t="shared" si="15"/>
        <v>0.89716799999999997</v>
      </c>
      <c r="P58" s="19"/>
    </row>
    <row r="59" spans="2:16" x14ac:dyDescent="0.4">
      <c r="B59" s="1133">
        <f t="shared" si="14"/>
        <v>4</v>
      </c>
      <c r="C59" s="1266" t="s">
        <v>648</v>
      </c>
      <c r="D59" s="673">
        <f>+Recon!E57</f>
        <v>2.5095E-3</v>
      </c>
      <c r="E59" s="673">
        <f>+Recon!H57</f>
        <v>4.2449999999999996E-3</v>
      </c>
      <c r="F59" s="673">
        <f>+Recon!K57</f>
        <v>2.8568000000000001E-3</v>
      </c>
      <c r="G59" s="673">
        <f>+Recon!N57</f>
        <v>2.9451999999999998E-3</v>
      </c>
      <c r="H59" s="673">
        <f>+Recon!Q57</f>
        <v>3.6905000000000002E-3</v>
      </c>
      <c r="I59" s="673">
        <f>+Recon!T57</f>
        <v>5.1802000000000003E-3</v>
      </c>
      <c r="J59" s="673">
        <f>+Recon!W57</f>
        <v>5.2991000000000002E-3</v>
      </c>
      <c r="K59" s="1190">
        <f>+J59</f>
        <v>5.2991000000000002E-3</v>
      </c>
      <c r="L59" s="1190">
        <f>+K59</f>
        <v>5.2991000000000002E-3</v>
      </c>
      <c r="M59" s="1190">
        <f t="shared" si="15"/>
        <v>5.2991000000000002E-3</v>
      </c>
      <c r="N59" s="1190">
        <f t="shared" si="15"/>
        <v>5.2991000000000002E-3</v>
      </c>
      <c r="O59" s="1190">
        <f t="shared" si="15"/>
        <v>5.2991000000000002E-3</v>
      </c>
      <c r="P59" s="19"/>
    </row>
    <row r="60" spans="2:16" x14ac:dyDescent="0.4">
      <c r="B60" s="1133">
        <f t="shared" si="14"/>
        <v>5</v>
      </c>
      <c r="C60" s="1266" t="s">
        <v>649</v>
      </c>
      <c r="D60" s="673"/>
      <c r="E60" s="673"/>
      <c r="F60" s="673"/>
      <c r="G60" s="673"/>
      <c r="H60" s="673"/>
      <c r="I60" s="673"/>
      <c r="J60" s="673"/>
      <c r="K60" s="1190"/>
      <c r="L60" s="1190"/>
      <c r="M60" s="1190"/>
      <c r="N60" s="1190"/>
      <c r="O60" s="1190"/>
      <c r="P60" s="19"/>
    </row>
    <row r="61" spans="2:16" x14ac:dyDescent="0.4">
      <c r="B61" s="1133">
        <f t="shared" si="14"/>
        <v>6</v>
      </c>
      <c r="C61" s="1267" t="s">
        <v>650</v>
      </c>
      <c r="D61" s="1190"/>
      <c r="E61" s="1190"/>
      <c r="F61" s="1190"/>
      <c r="G61" s="1190"/>
      <c r="H61" s="1190"/>
      <c r="I61" s="1190"/>
      <c r="J61" s="1190"/>
      <c r="K61" s="1190"/>
      <c r="L61" s="1190"/>
      <c r="M61" s="1190"/>
      <c r="N61" s="1190"/>
      <c r="O61" s="1190"/>
      <c r="P61" s="19"/>
    </row>
    <row r="62" spans="2:16" x14ac:dyDescent="0.4">
      <c r="B62" s="1133">
        <f t="shared" si="14"/>
        <v>7</v>
      </c>
      <c r="C62" s="1267" t="s">
        <v>651</v>
      </c>
      <c r="D62" s="1190"/>
      <c r="E62" s="1190"/>
      <c r="F62" s="1190">
        <f>+Recon!K58</f>
        <v>5.8770000000000003E-4</v>
      </c>
      <c r="G62" s="1190">
        <f>+Recon!N58</f>
        <v>2.5276999999999999E-3</v>
      </c>
      <c r="H62" s="1190">
        <f>+Recon!Q58</f>
        <v>9.3343999999999996E-3</v>
      </c>
      <c r="I62" s="1190">
        <f>+Recon!T58</f>
        <v>6.5912999999999996E-3</v>
      </c>
      <c r="J62" s="1190">
        <f>+Recon!W58</f>
        <v>1.3265000000000001E-2</v>
      </c>
      <c r="K62" s="1190">
        <f>+J62</f>
        <v>1.3265000000000001E-2</v>
      </c>
      <c r="L62" s="1190">
        <f>+K62</f>
        <v>1.3265000000000001E-2</v>
      </c>
      <c r="M62" s="1190">
        <f t="shared" ref="M62:O64" si="16">+L62</f>
        <v>1.3265000000000001E-2</v>
      </c>
      <c r="N62" s="1190">
        <f t="shared" si="16"/>
        <v>1.3265000000000001E-2</v>
      </c>
      <c r="O62" s="1190">
        <f t="shared" si="16"/>
        <v>1.3265000000000001E-2</v>
      </c>
      <c r="P62" s="19"/>
    </row>
    <row r="63" spans="2:16" x14ac:dyDescent="0.4">
      <c r="B63" s="1133">
        <f t="shared" si="14"/>
        <v>8</v>
      </c>
      <c r="C63" s="1267" t="s">
        <v>652</v>
      </c>
      <c r="D63" s="1190"/>
      <c r="E63" s="1190"/>
      <c r="F63" s="1190"/>
      <c r="G63" s="1190"/>
      <c r="H63" s="1190"/>
      <c r="I63" s="1190"/>
      <c r="J63" s="1190"/>
      <c r="K63" s="1190"/>
      <c r="L63" s="1190"/>
      <c r="M63" s="1190"/>
      <c r="N63" s="1190"/>
      <c r="O63" s="1190"/>
      <c r="P63" s="19"/>
    </row>
    <row r="64" spans="2:16" ht="26.25" x14ac:dyDescent="0.4">
      <c r="B64" s="1133">
        <f t="shared" si="14"/>
        <v>9</v>
      </c>
      <c r="C64" s="1265" t="s">
        <v>653</v>
      </c>
      <c r="D64" s="673">
        <f>SUM(Recon!E40:E47)</f>
        <v>0.37574999999999997</v>
      </c>
      <c r="E64" s="673">
        <f>SUM(Recon!H40:H47)</f>
        <v>1.22393</v>
      </c>
      <c r="F64" s="673">
        <f>SUM(Recon!K40:K47)</f>
        <v>0.926315</v>
      </c>
      <c r="G64" s="673">
        <f>SUM(Recon!N40:N47)</f>
        <v>4.8944000000000001E-2</v>
      </c>
      <c r="H64" s="673">
        <f>SUM(Recon!Q40:Q47)</f>
        <v>1.2797160000000001</v>
      </c>
      <c r="I64" s="673">
        <f>SUM(Recon!T40:T47)</f>
        <v>0.10229300000000001</v>
      </c>
      <c r="J64" s="673">
        <f>SUM(Recon!W40:W47)</f>
        <v>0.15489912</v>
      </c>
      <c r="K64" s="1190">
        <f>+J64</f>
        <v>0.15489912</v>
      </c>
      <c r="L64" s="1190">
        <f>+K64</f>
        <v>0.15489912</v>
      </c>
      <c r="M64" s="1190">
        <f t="shared" si="16"/>
        <v>0.15489912</v>
      </c>
      <c r="N64" s="1190">
        <f t="shared" si="16"/>
        <v>0.15489912</v>
      </c>
      <c r="O64" s="1190">
        <f t="shared" si="16"/>
        <v>0.15489912</v>
      </c>
      <c r="P64" s="19"/>
    </row>
    <row r="65" spans="2:16" x14ac:dyDescent="0.4">
      <c r="B65" s="1133">
        <f t="shared" si="14"/>
        <v>10</v>
      </c>
      <c r="C65" s="1267" t="s">
        <v>654</v>
      </c>
      <c r="D65" s="1190"/>
      <c r="E65" s="1190"/>
      <c r="F65" s="1190"/>
      <c r="G65" s="1190"/>
      <c r="H65" s="1190"/>
      <c r="I65" s="1190"/>
      <c r="J65" s="1190"/>
      <c r="K65" s="1190"/>
      <c r="L65" s="1190"/>
      <c r="M65" s="1190"/>
      <c r="N65" s="1190"/>
      <c r="O65" s="1190"/>
      <c r="P65" s="19"/>
    </row>
    <row r="66" spans="2:16" x14ac:dyDescent="0.4">
      <c r="B66" s="1133">
        <f t="shared" si="14"/>
        <v>11</v>
      </c>
      <c r="C66" s="1266" t="s">
        <v>655</v>
      </c>
      <c r="D66" s="673"/>
      <c r="E66" s="673"/>
      <c r="F66" s="673"/>
      <c r="G66" s="673"/>
      <c r="H66" s="673"/>
      <c r="I66" s="673"/>
      <c r="J66" s="673"/>
      <c r="K66" s="1190"/>
      <c r="L66" s="1190"/>
      <c r="M66" s="1190"/>
      <c r="N66" s="1190"/>
      <c r="O66" s="1190"/>
      <c r="P66" s="19"/>
    </row>
    <row r="67" spans="2:16" x14ac:dyDescent="0.4">
      <c r="B67" s="1133">
        <f t="shared" si="14"/>
        <v>12</v>
      </c>
      <c r="C67" s="1266" t="s">
        <v>1487</v>
      </c>
      <c r="D67" s="1753"/>
      <c r="E67" s="1753"/>
      <c r="F67" s="1753"/>
      <c r="G67" s="1753"/>
      <c r="H67" s="1753"/>
      <c r="I67" s="1753"/>
      <c r="J67" s="1753"/>
      <c r="K67" s="1772"/>
      <c r="L67" s="1772"/>
      <c r="M67" s="1772"/>
      <c r="N67" s="1772"/>
      <c r="O67" s="1772"/>
      <c r="P67" s="19"/>
    </row>
    <row r="68" spans="2:16" x14ac:dyDescent="0.4">
      <c r="B68" s="1133">
        <f t="shared" si="14"/>
        <v>13</v>
      </c>
      <c r="C68" s="1266" t="s">
        <v>1488</v>
      </c>
      <c r="D68" s="673"/>
      <c r="E68" s="673"/>
      <c r="F68" s="673">
        <f>+Recon!K59</f>
        <v>1.8226E-3</v>
      </c>
      <c r="G68" s="673">
        <f>+Recon!N59</f>
        <v>6.7978799999999996E-4</v>
      </c>
      <c r="H68" s="673">
        <f>+Recon!Q59</f>
        <v>0</v>
      </c>
      <c r="I68" s="673">
        <f>+Recon!T59</f>
        <v>3.7334400000000001E-4</v>
      </c>
      <c r="J68" s="673">
        <f>+Recon!W59+Recon!W63</f>
        <v>0.06</v>
      </c>
      <c r="K68" s="1190">
        <f>+J68</f>
        <v>0.06</v>
      </c>
      <c r="L68" s="1190">
        <f>+K68</f>
        <v>0.06</v>
      </c>
      <c r="M68" s="1190">
        <f>+L68</f>
        <v>0.06</v>
      </c>
      <c r="N68" s="1190">
        <f>+M68</f>
        <v>0.06</v>
      </c>
      <c r="O68" s="1190">
        <f>+N68</f>
        <v>0.06</v>
      </c>
      <c r="P68" s="19"/>
    </row>
    <row r="69" spans="2:16" x14ac:dyDescent="0.4">
      <c r="B69" s="1133">
        <f t="shared" si="14"/>
        <v>14</v>
      </c>
      <c r="C69" s="1266" t="s">
        <v>1489</v>
      </c>
      <c r="D69" s="1190"/>
      <c r="E69" s="1190"/>
      <c r="F69" s="1190">
        <f>+Recon!K62</f>
        <v>0.54406100000000002</v>
      </c>
      <c r="G69" s="1190">
        <f>+Recon!N62</f>
        <v>7.7680000000000002E-4</v>
      </c>
      <c r="H69" s="1190">
        <f>+Recon!Q62</f>
        <v>2.3692000000000001E-3</v>
      </c>
      <c r="I69" s="1190">
        <f>+Recon!T62</f>
        <v>0.173946093</v>
      </c>
      <c r="J69" s="1190">
        <f>+Recon!W62</f>
        <v>0</v>
      </c>
      <c r="K69" s="1190"/>
      <c r="L69" s="1190"/>
      <c r="M69" s="1190"/>
      <c r="N69" s="1190"/>
      <c r="O69" s="1190"/>
      <c r="P69" s="19"/>
    </row>
    <row r="70" spans="2:16" x14ac:dyDescent="0.4">
      <c r="B70" s="1133">
        <f t="shared" si="14"/>
        <v>15</v>
      </c>
      <c r="C70" s="1267" t="s">
        <v>1490</v>
      </c>
      <c r="D70" s="1190"/>
      <c r="E70" s="1190"/>
      <c r="F70" s="1190">
        <f>+Recon!K60</f>
        <v>0.44089143799999997</v>
      </c>
      <c r="G70" s="1190"/>
      <c r="H70" s="1190"/>
      <c r="I70" s="1190"/>
      <c r="J70" s="1190"/>
      <c r="K70" s="1190"/>
      <c r="L70" s="1190"/>
      <c r="M70" s="1190"/>
      <c r="N70" s="1190"/>
      <c r="O70" s="1190"/>
      <c r="P70" s="19"/>
    </row>
    <row r="71" spans="2:16" x14ac:dyDescent="0.4">
      <c r="B71" s="1133">
        <f t="shared" si="14"/>
        <v>16</v>
      </c>
      <c r="C71" s="1268" t="s">
        <v>1491</v>
      </c>
      <c r="D71" s="1190">
        <f>+Recon!E64</f>
        <v>7.465967999999999E-3</v>
      </c>
      <c r="E71" s="1190">
        <f>+Recon!H64</f>
        <v>1.70276E-2</v>
      </c>
      <c r="F71" s="1190">
        <f>+Recon!K64</f>
        <v>3.9904674000000001E-2</v>
      </c>
      <c r="G71" s="1190">
        <f>+Recon!N64</f>
        <v>9.37413E-2</v>
      </c>
      <c r="H71" s="1190">
        <f>+Recon!Q64+Recon!Q61</f>
        <v>0.29442277</v>
      </c>
      <c r="I71" s="1190">
        <f>+Recon!T64+Recon!T61</f>
        <v>0.42099910000000001</v>
      </c>
      <c r="J71" s="1190">
        <f>+Recon!W64+Recon!W61</f>
        <v>0.31877100000000003</v>
      </c>
      <c r="K71" s="1190"/>
      <c r="L71" s="1190"/>
      <c r="M71" s="1190"/>
      <c r="N71" s="1190"/>
      <c r="O71" s="1190"/>
      <c r="P71" s="19"/>
    </row>
    <row r="72" spans="2:16" x14ac:dyDescent="0.4">
      <c r="B72" s="54"/>
      <c r="C72" s="43" t="s">
        <v>164</v>
      </c>
      <c r="D72" s="1191">
        <f>SUM(D56:D71)</f>
        <v>0.39873736899999995</v>
      </c>
      <c r="E72" s="1191">
        <f t="shared" ref="E72:J72" si="17">SUM(E56:E71)</f>
        <v>1.2689189999999999</v>
      </c>
      <c r="F72" s="1191">
        <f t="shared" si="17"/>
        <v>1.9803628119999999</v>
      </c>
      <c r="G72" s="1191">
        <f t="shared" si="17"/>
        <v>0.188507588</v>
      </c>
      <c r="H72" s="1191">
        <f t="shared" si="17"/>
        <v>1.65812457</v>
      </c>
      <c r="I72" s="1191">
        <f t="shared" si="17"/>
        <v>0.90209493699999999</v>
      </c>
      <c r="J72" s="1191">
        <f t="shared" si="17"/>
        <v>1.4494022200000001</v>
      </c>
      <c r="K72" s="1191">
        <f>SUM(K56:K70)</f>
        <v>1.1306312199999999</v>
      </c>
      <c r="L72" s="1191">
        <f>SUM(L56:L70)</f>
        <v>1.1306312199999999</v>
      </c>
      <c r="M72" s="1191">
        <f>SUM(M56:M70)</f>
        <v>1.1306312199999999</v>
      </c>
      <c r="N72" s="1191">
        <f>SUM(N56:N70)</f>
        <v>1.1306312199999999</v>
      </c>
      <c r="O72" s="1191">
        <f>SUM(O56:O70)</f>
        <v>1.1306312199999999</v>
      </c>
      <c r="P72" s="19"/>
    </row>
    <row r="73" spans="2:16" x14ac:dyDescent="0.4">
      <c r="D73" s="707">
        <f>+D72-D25-D49</f>
        <v>0</v>
      </c>
      <c r="E73" s="707">
        <f t="shared" ref="E73:O73" si="18">+E72-E25-E49</f>
        <v>0</v>
      </c>
      <c r="F73" s="707">
        <f t="shared" si="18"/>
        <v>0</v>
      </c>
      <c r="G73" s="707">
        <f t="shared" si="18"/>
        <v>0</v>
      </c>
      <c r="H73" s="707">
        <f t="shared" si="18"/>
        <v>0</v>
      </c>
      <c r="I73" s="707">
        <f t="shared" si="18"/>
        <v>0</v>
      </c>
      <c r="J73" s="707">
        <f t="shared" si="18"/>
        <v>0</v>
      </c>
      <c r="K73" s="707">
        <f t="shared" si="18"/>
        <v>0</v>
      </c>
      <c r="L73" s="707">
        <f t="shared" si="18"/>
        <v>0</v>
      </c>
      <c r="M73" s="707">
        <f t="shared" si="18"/>
        <v>0</v>
      </c>
      <c r="N73" s="707">
        <f t="shared" si="18"/>
        <v>0</v>
      </c>
      <c r="O73" s="707">
        <f t="shared" si="18"/>
        <v>0</v>
      </c>
    </row>
  </sheetData>
  <mergeCells count="18">
    <mergeCell ref="B2:P2"/>
    <mergeCell ref="B3:P3"/>
    <mergeCell ref="B4:P4"/>
    <mergeCell ref="C54:C55"/>
    <mergeCell ref="K54:O54"/>
    <mergeCell ref="P54:P55"/>
    <mergeCell ref="D55:I55"/>
    <mergeCell ref="B54:B55"/>
    <mergeCell ref="K31:O31"/>
    <mergeCell ref="D32:I32"/>
    <mergeCell ref="P8:P9"/>
    <mergeCell ref="B31:B32"/>
    <mergeCell ref="C31:C32"/>
    <mergeCell ref="P31:P32"/>
    <mergeCell ref="B8:B9"/>
    <mergeCell ref="C8:C9"/>
    <mergeCell ref="K8:O8"/>
    <mergeCell ref="D9:I9"/>
  </mergeCells>
  <pageMargins left="0.38" right="0.55000000000000004" top="0.66" bottom="0.66" header="0.5" footer="0.5"/>
  <pageSetup paperSize="9" scale="4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P39"/>
  <sheetViews>
    <sheetView showGridLines="0" view="pageBreakPreview" zoomScale="60" zoomScaleNormal="75" workbookViewId="0">
      <selection activeCell="K28" sqref="K28:O28"/>
    </sheetView>
  </sheetViews>
  <sheetFormatPr defaultColWidth="9.33203125" defaultRowHeight="13.9" x14ac:dyDescent="0.35"/>
  <cols>
    <col min="1" max="1" width="6.6640625" style="10" customWidth="1"/>
    <col min="2" max="2" width="9.33203125" style="10" customWidth="1"/>
    <col min="3" max="3" width="42.46484375" style="10" customWidth="1"/>
    <col min="4" max="15" width="16.19921875" style="10" customWidth="1"/>
    <col min="16" max="16" width="13.33203125" style="10" customWidth="1"/>
    <col min="17" max="255" width="9.33203125" style="10"/>
    <col min="256" max="256" width="6.6640625" style="10" customWidth="1"/>
    <col min="257" max="257" width="7" style="10" customWidth="1"/>
    <col min="258" max="258" width="42.46484375" style="10" customWidth="1"/>
    <col min="259" max="259" width="13.53125" style="10" customWidth="1"/>
    <col min="260" max="260" width="20.6640625" style="10" customWidth="1"/>
    <col min="261" max="263" width="18.6640625" style="10" customWidth="1"/>
    <col min="264" max="265" width="15.33203125" style="10" customWidth="1"/>
    <col min="266" max="266" width="15" style="10" customWidth="1"/>
    <col min="267" max="267" width="15.33203125" style="10" customWidth="1"/>
    <col min="268" max="268" width="15" style="10" customWidth="1"/>
    <col min="269" max="269" width="18.6640625" style="10" customWidth="1"/>
    <col min="270" max="511" width="9.33203125" style="10"/>
    <col min="512" max="512" width="6.6640625" style="10" customWidth="1"/>
    <col min="513" max="513" width="7" style="10" customWidth="1"/>
    <col min="514" max="514" width="42.46484375" style="10" customWidth="1"/>
    <col min="515" max="515" width="13.53125" style="10" customWidth="1"/>
    <col min="516" max="516" width="20.6640625" style="10" customWidth="1"/>
    <col min="517" max="519" width="18.6640625" style="10" customWidth="1"/>
    <col min="520" max="521" width="15.33203125" style="10" customWidth="1"/>
    <col min="522" max="522" width="15" style="10" customWidth="1"/>
    <col min="523" max="523" width="15.33203125" style="10" customWidth="1"/>
    <col min="524" max="524" width="15" style="10" customWidth="1"/>
    <col min="525" max="525" width="18.6640625" style="10" customWidth="1"/>
    <col min="526" max="767" width="9.33203125" style="10"/>
    <col min="768" max="768" width="6.6640625" style="10" customWidth="1"/>
    <col min="769" max="769" width="7" style="10" customWidth="1"/>
    <col min="770" max="770" width="42.46484375" style="10" customWidth="1"/>
    <col min="771" max="771" width="13.53125" style="10" customWidth="1"/>
    <col min="772" max="772" width="20.6640625" style="10" customWidth="1"/>
    <col min="773" max="775" width="18.6640625" style="10" customWidth="1"/>
    <col min="776" max="777" width="15.33203125" style="10" customWidth="1"/>
    <col min="778" max="778" width="15" style="10" customWidth="1"/>
    <col min="779" max="779" width="15.33203125" style="10" customWidth="1"/>
    <col min="780" max="780" width="15" style="10" customWidth="1"/>
    <col min="781" max="781" width="18.6640625" style="10" customWidth="1"/>
    <col min="782" max="1023" width="9.33203125" style="10"/>
    <col min="1024" max="1024" width="6.6640625" style="10" customWidth="1"/>
    <col min="1025" max="1025" width="7" style="10" customWidth="1"/>
    <col min="1026" max="1026" width="42.46484375" style="10" customWidth="1"/>
    <col min="1027" max="1027" width="13.53125" style="10" customWidth="1"/>
    <col min="1028" max="1028" width="20.6640625" style="10" customWidth="1"/>
    <col min="1029" max="1031" width="18.6640625" style="10" customWidth="1"/>
    <col min="1032" max="1033" width="15.33203125" style="10" customWidth="1"/>
    <col min="1034" max="1034" width="15" style="10" customWidth="1"/>
    <col min="1035" max="1035" width="15.33203125" style="10" customWidth="1"/>
    <col min="1036" max="1036" width="15" style="10" customWidth="1"/>
    <col min="1037" max="1037" width="18.6640625" style="10" customWidth="1"/>
    <col min="1038" max="1279" width="9.33203125" style="10"/>
    <col min="1280" max="1280" width="6.6640625" style="10" customWidth="1"/>
    <col min="1281" max="1281" width="7" style="10" customWidth="1"/>
    <col min="1282" max="1282" width="42.46484375" style="10" customWidth="1"/>
    <col min="1283" max="1283" width="13.53125" style="10" customWidth="1"/>
    <col min="1284" max="1284" width="20.6640625" style="10" customWidth="1"/>
    <col min="1285" max="1287" width="18.6640625" style="10" customWidth="1"/>
    <col min="1288" max="1289" width="15.33203125" style="10" customWidth="1"/>
    <col min="1290" max="1290" width="15" style="10" customWidth="1"/>
    <col min="1291" max="1291" width="15.33203125" style="10" customWidth="1"/>
    <col min="1292" max="1292" width="15" style="10" customWidth="1"/>
    <col min="1293" max="1293" width="18.6640625" style="10" customWidth="1"/>
    <col min="1294" max="1535" width="9.33203125" style="10"/>
    <col min="1536" max="1536" width="6.6640625" style="10" customWidth="1"/>
    <col min="1537" max="1537" width="7" style="10" customWidth="1"/>
    <col min="1538" max="1538" width="42.46484375" style="10" customWidth="1"/>
    <col min="1539" max="1539" width="13.53125" style="10" customWidth="1"/>
    <col min="1540" max="1540" width="20.6640625" style="10" customWidth="1"/>
    <col min="1541" max="1543" width="18.6640625" style="10" customWidth="1"/>
    <col min="1544" max="1545" width="15.33203125" style="10" customWidth="1"/>
    <col min="1546" max="1546" width="15" style="10" customWidth="1"/>
    <col min="1547" max="1547" width="15.33203125" style="10" customWidth="1"/>
    <col min="1548" max="1548" width="15" style="10" customWidth="1"/>
    <col min="1549" max="1549" width="18.6640625" style="10" customWidth="1"/>
    <col min="1550" max="1791" width="9.33203125" style="10"/>
    <col min="1792" max="1792" width="6.6640625" style="10" customWidth="1"/>
    <col min="1793" max="1793" width="7" style="10" customWidth="1"/>
    <col min="1794" max="1794" width="42.46484375" style="10" customWidth="1"/>
    <col min="1795" max="1795" width="13.53125" style="10" customWidth="1"/>
    <col min="1796" max="1796" width="20.6640625" style="10" customWidth="1"/>
    <col min="1797" max="1799" width="18.6640625" style="10" customWidth="1"/>
    <col min="1800" max="1801" width="15.33203125" style="10" customWidth="1"/>
    <col min="1802" max="1802" width="15" style="10" customWidth="1"/>
    <col min="1803" max="1803" width="15.33203125" style="10" customWidth="1"/>
    <col min="1804" max="1804" width="15" style="10" customWidth="1"/>
    <col min="1805" max="1805" width="18.6640625" style="10" customWidth="1"/>
    <col min="1806" max="2047" width="9.33203125" style="10"/>
    <col min="2048" max="2048" width="6.6640625" style="10" customWidth="1"/>
    <col min="2049" max="2049" width="7" style="10" customWidth="1"/>
    <col min="2050" max="2050" width="42.46484375" style="10" customWidth="1"/>
    <col min="2051" max="2051" width="13.53125" style="10" customWidth="1"/>
    <col min="2052" max="2052" width="20.6640625" style="10" customWidth="1"/>
    <col min="2053" max="2055" width="18.6640625" style="10" customWidth="1"/>
    <col min="2056" max="2057" width="15.33203125" style="10" customWidth="1"/>
    <col min="2058" max="2058" width="15" style="10" customWidth="1"/>
    <col min="2059" max="2059" width="15.33203125" style="10" customWidth="1"/>
    <col min="2060" max="2060" width="15" style="10" customWidth="1"/>
    <col min="2061" max="2061" width="18.6640625" style="10" customWidth="1"/>
    <col min="2062" max="2303" width="9.33203125" style="10"/>
    <col min="2304" max="2304" width="6.6640625" style="10" customWidth="1"/>
    <col min="2305" max="2305" width="7" style="10" customWidth="1"/>
    <col min="2306" max="2306" width="42.46484375" style="10" customWidth="1"/>
    <col min="2307" max="2307" width="13.53125" style="10" customWidth="1"/>
    <col min="2308" max="2308" width="20.6640625" style="10" customWidth="1"/>
    <col min="2309" max="2311" width="18.6640625" style="10" customWidth="1"/>
    <col min="2312" max="2313" width="15.33203125" style="10" customWidth="1"/>
    <col min="2314" max="2314" width="15" style="10" customWidth="1"/>
    <col min="2315" max="2315" width="15.33203125" style="10" customWidth="1"/>
    <col min="2316" max="2316" width="15" style="10" customWidth="1"/>
    <col min="2317" max="2317" width="18.6640625" style="10" customWidth="1"/>
    <col min="2318" max="2559" width="9.33203125" style="10"/>
    <col min="2560" max="2560" width="6.6640625" style="10" customWidth="1"/>
    <col min="2561" max="2561" width="7" style="10" customWidth="1"/>
    <col min="2562" max="2562" width="42.46484375" style="10" customWidth="1"/>
    <col min="2563" max="2563" width="13.53125" style="10" customWidth="1"/>
    <col min="2564" max="2564" width="20.6640625" style="10" customWidth="1"/>
    <col min="2565" max="2567" width="18.6640625" style="10" customWidth="1"/>
    <col min="2568" max="2569" width="15.33203125" style="10" customWidth="1"/>
    <col min="2570" max="2570" width="15" style="10" customWidth="1"/>
    <col min="2571" max="2571" width="15.33203125" style="10" customWidth="1"/>
    <col min="2572" max="2572" width="15" style="10" customWidth="1"/>
    <col min="2573" max="2573" width="18.6640625" style="10" customWidth="1"/>
    <col min="2574" max="2815" width="9.33203125" style="10"/>
    <col min="2816" max="2816" width="6.6640625" style="10" customWidth="1"/>
    <col min="2817" max="2817" width="7" style="10" customWidth="1"/>
    <col min="2818" max="2818" width="42.46484375" style="10" customWidth="1"/>
    <col min="2819" max="2819" width="13.53125" style="10" customWidth="1"/>
    <col min="2820" max="2820" width="20.6640625" style="10" customWidth="1"/>
    <col min="2821" max="2823" width="18.6640625" style="10" customWidth="1"/>
    <col min="2824" max="2825" width="15.33203125" style="10" customWidth="1"/>
    <col min="2826" max="2826" width="15" style="10" customWidth="1"/>
    <col min="2827" max="2827" width="15.33203125" style="10" customWidth="1"/>
    <col min="2828" max="2828" width="15" style="10" customWidth="1"/>
    <col min="2829" max="2829" width="18.6640625" style="10" customWidth="1"/>
    <col min="2830" max="3071" width="9.33203125" style="10"/>
    <col min="3072" max="3072" width="6.6640625" style="10" customWidth="1"/>
    <col min="3073" max="3073" width="7" style="10" customWidth="1"/>
    <col min="3074" max="3074" width="42.46484375" style="10" customWidth="1"/>
    <col min="3075" max="3075" width="13.53125" style="10" customWidth="1"/>
    <col min="3076" max="3076" width="20.6640625" style="10" customWidth="1"/>
    <col min="3077" max="3079" width="18.6640625" style="10" customWidth="1"/>
    <col min="3080" max="3081" width="15.33203125" style="10" customWidth="1"/>
    <col min="3082" max="3082" width="15" style="10" customWidth="1"/>
    <col min="3083" max="3083" width="15.33203125" style="10" customWidth="1"/>
    <col min="3084" max="3084" width="15" style="10" customWidth="1"/>
    <col min="3085" max="3085" width="18.6640625" style="10" customWidth="1"/>
    <col min="3086" max="3327" width="9.33203125" style="10"/>
    <col min="3328" max="3328" width="6.6640625" style="10" customWidth="1"/>
    <col min="3329" max="3329" width="7" style="10" customWidth="1"/>
    <col min="3330" max="3330" width="42.46484375" style="10" customWidth="1"/>
    <col min="3331" max="3331" width="13.53125" style="10" customWidth="1"/>
    <col min="3332" max="3332" width="20.6640625" style="10" customWidth="1"/>
    <col min="3333" max="3335" width="18.6640625" style="10" customWidth="1"/>
    <col min="3336" max="3337" width="15.33203125" style="10" customWidth="1"/>
    <col min="3338" max="3338" width="15" style="10" customWidth="1"/>
    <col min="3339" max="3339" width="15.33203125" style="10" customWidth="1"/>
    <col min="3340" max="3340" width="15" style="10" customWidth="1"/>
    <col min="3341" max="3341" width="18.6640625" style="10" customWidth="1"/>
    <col min="3342" max="3583" width="9.33203125" style="10"/>
    <col min="3584" max="3584" width="6.6640625" style="10" customWidth="1"/>
    <col min="3585" max="3585" width="7" style="10" customWidth="1"/>
    <col min="3586" max="3586" width="42.46484375" style="10" customWidth="1"/>
    <col min="3587" max="3587" width="13.53125" style="10" customWidth="1"/>
    <col min="3588" max="3588" width="20.6640625" style="10" customWidth="1"/>
    <col min="3589" max="3591" width="18.6640625" style="10" customWidth="1"/>
    <col min="3592" max="3593" width="15.33203125" style="10" customWidth="1"/>
    <col min="3594" max="3594" width="15" style="10" customWidth="1"/>
    <col min="3595" max="3595" width="15.33203125" style="10" customWidth="1"/>
    <col min="3596" max="3596" width="15" style="10" customWidth="1"/>
    <col min="3597" max="3597" width="18.6640625" style="10" customWidth="1"/>
    <col min="3598" max="3839" width="9.33203125" style="10"/>
    <col min="3840" max="3840" width="6.6640625" style="10" customWidth="1"/>
    <col min="3841" max="3841" width="7" style="10" customWidth="1"/>
    <col min="3842" max="3842" width="42.46484375" style="10" customWidth="1"/>
    <col min="3843" max="3843" width="13.53125" style="10" customWidth="1"/>
    <col min="3844" max="3844" width="20.6640625" style="10" customWidth="1"/>
    <col min="3845" max="3847" width="18.6640625" style="10" customWidth="1"/>
    <col min="3848" max="3849" width="15.33203125" style="10" customWidth="1"/>
    <col min="3850" max="3850" width="15" style="10" customWidth="1"/>
    <col min="3851" max="3851" width="15.33203125" style="10" customWidth="1"/>
    <col min="3852" max="3852" width="15" style="10" customWidth="1"/>
    <col min="3853" max="3853" width="18.6640625" style="10" customWidth="1"/>
    <col min="3854" max="4095" width="9.33203125" style="10"/>
    <col min="4096" max="4096" width="6.6640625" style="10" customWidth="1"/>
    <col min="4097" max="4097" width="7" style="10" customWidth="1"/>
    <col min="4098" max="4098" width="42.46484375" style="10" customWidth="1"/>
    <col min="4099" max="4099" width="13.53125" style="10" customWidth="1"/>
    <col min="4100" max="4100" width="20.6640625" style="10" customWidth="1"/>
    <col min="4101" max="4103" width="18.6640625" style="10" customWidth="1"/>
    <col min="4104" max="4105" width="15.33203125" style="10" customWidth="1"/>
    <col min="4106" max="4106" width="15" style="10" customWidth="1"/>
    <col min="4107" max="4107" width="15.33203125" style="10" customWidth="1"/>
    <col min="4108" max="4108" width="15" style="10" customWidth="1"/>
    <col min="4109" max="4109" width="18.6640625" style="10" customWidth="1"/>
    <col min="4110" max="4351" width="9.33203125" style="10"/>
    <col min="4352" max="4352" width="6.6640625" style="10" customWidth="1"/>
    <col min="4353" max="4353" width="7" style="10" customWidth="1"/>
    <col min="4354" max="4354" width="42.46484375" style="10" customWidth="1"/>
    <col min="4355" max="4355" width="13.53125" style="10" customWidth="1"/>
    <col min="4356" max="4356" width="20.6640625" style="10" customWidth="1"/>
    <col min="4357" max="4359" width="18.6640625" style="10" customWidth="1"/>
    <col min="4360" max="4361" width="15.33203125" style="10" customWidth="1"/>
    <col min="4362" max="4362" width="15" style="10" customWidth="1"/>
    <col min="4363" max="4363" width="15.33203125" style="10" customWidth="1"/>
    <col min="4364" max="4364" width="15" style="10" customWidth="1"/>
    <col min="4365" max="4365" width="18.6640625" style="10" customWidth="1"/>
    <col min="4366" max="4607" width="9.33203125" style="10"/>
    <col min="4608" max="4608" width="6.6640625" style="10" customWidth="1"/>
    <col min="4609" max="4609" width="7" style="10" customWidth="1"/>
    <col min="4610" max="4610" width="42.46484375" style="10" customWidth="1"/>
    <col min="4611" max="4611" width="13.53125" style="10" customWidth="1"/>
    <col min="4612" max="4612" width="20.6640625" style="10" customWidth="1"/>
    <col min="4613" max="4615" width="18.6640625" style="10" customWidth="1"/>
    <col min="4616" max="4617" width="15.33203125" style="10" customWidth="1"/>
    <col min="4618" max="4618" width="15" style="10" customWidth="1"/>
    <col min="4619" max="4619" width="15.33203125" style="10" customWidth="1"/>
    <col min="4620" max="4620" width="15" style="10" customWidth="1"/>
    <col min="4621" max="4621" width="18.6640625" style="10" customWidth="1"/>
    <col min="4622" max="4863" width="9.33203125" style="10"/>
    <col min="4864" max="4864" width="6.6640625" style="10" customWidth="1"/>
    <col min="4865" max="4865" width="7" style="10" customWidth="1"/>
    <col min="4866" max="4866" width="42.46484375" style="10" customWidth="1"/>
    <col min="4867" max="4867" width="13.53125" style="10" customWidth="1"/>
    <col min="4868" max="4868" width="20.6640625" style="10" customWidth="1"/>
    <col min="4869" max="4871" width="18.6640625" style="10" customWidth="1"/>
    <col min="4872" max="4873" width="15.33203125" style="10" customWidth="1"/>
    <col min="4874" max="4874" width="15" style="10" customWidth="1"/>
    <col min="4875" max="4875" width="15.33203125" style="10" customWidth="1"/>
    <col min="4876" max="4876" width="15" style="10" customWidth="1"/>
    <col min="4877" max="4877" width="18.6640625" style="10" customWidth="1"/>
    <col min="4878" max="5119" width="9.33203125" style="10"/>
    <col min="5120" max="5120" width="6.6640625" style="10" customWidth="1"/>
    <col min="5121" max="5121" width="7" style="10" customWidth="1"/>
    <col min="5122" max="5122" width="42.46484375" style="10" customWidth="1"/>
    <col min="5123" max="5123" width="13.53125" style="10" customWidth="1"/>
    <col min="5124" max="5124" width="20.6640625" style="10" customWidth="1"/>
    <col min="5125" max="5127" width="18.6640625" style="10" customWidth="1"/>
    <col min="5128" max="5129" width="15.33203125" style="10" customWidth="1"/>
    <col min="5130" max="5130" width="15" style="10" customWidth="1"/>
    <col min="5131" max="5131" width="15.33203125" style="10" customWidth="1"/>
    <col min="5132" max="5132" width="15" style="10" customWidth="1"/>
    <col min="5133" max="5133" width="18.6640625" style="10" customWidth="1"/>
    <col min="5134" max="5375" width="9.33203125" style="10"/>
    <col min="5376" max="5376" width="6.6640625" style="10" customWidth="1"/>
    <col min="5377" max="5377" width="7" style="10" customWidth="1"/>
    <col min="5378" max="5378" width="42.46484375" style="10" customWidth="1"/>
    <col min="5379" max="5379" width="13.53125" style="10" customWidth="1"/>
    <col min="5380" max="5380" width="20.6640625" style="10" customWidth="1"/>
    <col min="5381" max="5383" width="18.6640625" style="10" customWidth="1"/>
    <col min="5384" max="5385" width="15.33203125" style="10" customWidth="1"/>
    <col min="5386" max="5386" width="15" style="10" customWidth="1"/>
    <col min="5387" max="5387" width="15.33203125" style="10" customWidth="1"/>
    <col min="5388" max="5388" width="15" style="10" customWidth="1"/>
    <col min="5389" max="5389" width="18.6640625" style="10" customWidth="1"/>
    <col min="5390" max="5631" width="9.33203125" style="10"/>
    <col min="5632" max="5632" width="6.6640625" style="10" customWidth="1"/>
    <col min="5633" max="5633" width="7" style="10" customWidth="1"/>
    <col min="5634" max="5634" width="42.46484375" style="10" customWidth="1"/>
    <col min="5635" max="5635" width="13.53125" style="10" customWidth="1"/>
    <col min="5636" max="5636" width="20.6640625" style="10" customWidth="1"/>
    <col min="5637" max="5639" width="18.6640625" style="10" customWidth="1"/>
    <col min="5640" max="5641" width="15.33203125" style="10" customWidth="1"/>
    <col min="5642" max="5642" width="15" style="10" customWidth="1"/>
    <col min="5643" max="5643" width="15.33203125" style="10" customWidth="1"/>
    <col min="5644" max="5644" width="15" style="10" customWidth="1"/>
    <col min="5645" max="5645" width="18.6640625" style="10" customWidth="1"/>
    <col min="5646" max="5887" width="9.33203125" style="10"/>
    <col min="5888" max="5888" width="6.6640625" style="10" customWidth="1"/>
    <col min="5889" max="5889" width="7" style="10" customWidth="1"/>
    <col min="5890" max="5890" width="42.46484375" style="10" customWidth="1"/>
    <col min="5891" max="5891" width="13.53125" style="10" customWidth="1"/>
    <col min="5892" max="5892" width="20.6640625" style="10" customWidth="1"/>
    <col min="5893" max="5895" width="18.6640625" style="10" customWidth="1"/>
    <col min="5896" max="5897" width="15.33203125" style="10" customWidth="1"/>
    <col min="5898" max="5898" width="15" style="10" customWidth="1"/>
    <col min="5899" max="5899" width="15.33203125" style="10" customWidth="1"/>
    <col min="5900" max="5900" width="15" style="10" customWidth="1"/>
    <col min="5901" max="5901" width="18.6640625" style="10" customWidth="1"/>
    <col min="5902" max="6143" width="9.33203125" style="10"/>
    <col min="6144" max="6144" width="6.6640625" style="10" customWidth="1"/>
    <col min="6145" max="6145" width="7" style="10" customWidth="1"/>
    <col min="6146" max="6146" width="42.46484375" style="10" customWidth="1"/>
    <col min="6147" max="6147" width="13.53125" style="10" customWidth="1"/>
    <col min="6148" max="6148" width="20.6640625" style="10" customWidth="1"/>
    <col min="6149" max="6151" width="18.6640625" style="10" customWidth="1"/>
    <col min="6152" max="6153" width="15.33203125" style="10" customWidth="1"/>
    <col min="6154" max="6154" width="15" style="10" customWidth="1"/>
    <col min="6155" max="6155" width="15.33203125" style="10" customWidth="1"/>
    <col min="6156" max="6156" width="15" style="10" customWidth="1"/>
    <col min="6157" max="6157" width="18.6640625" style="10" customWidth="1"/>
    <col min="6158" max="6399" width="9.33203125" style="10"/>
    <col min="6400" max="6400" width="6.6640625" style="10" customWidth="1"/>
    <col min="6401" max="6401" width="7" style="10" customWidth="1"/>
    <col min="6402" max="6402" width="42.46484375" style="10" customWidth="1"/>
    <col min="6403" max="6403" width="13.53125" style="10" customWidth="1"/>
    <col min="6404" max="6404" width="20.6640625" style="10" customWidth="1"/>
    <col min="6405" max="6407" width="18.6640625" style="10" customWidth="1"/>
    <col min="6408" max="6409" width="15.33203125" style="10" customWidth="1"/>
    <col min="6410" max="6410" width="15" style="10" customWidth="1"/>
    <col min="6411" max="6411" width="15.33203125" style="10" customWidth="1"/>
    <col min="6412" max="6412" width="15" style="10" customWidth="1"/>
    <col min="6413" max="6413" width="18.6640625" style="10" customWidth="1"/>
    <col min="6414" max="6655" width="9.33203125" style="10"/>
    <col min="6656" max="6656" width="6.6640625" style="10" customWidth="1"/>
    <col min="6657" max="6657" width="7" style="10" customWidth="1"/>
    <col min="6658" max="6658" width="42.46484375" style="10" customWidth="1"/>
    <col min="6659" max="6659" width="13.53125" style="10" customWidth="1"/>
    <col min="6660" max="6660" width="20.6640625" style="10" customWidth="1"/>
    <col min="6661" max="6663" width="18.6640625" style="10" customWidth="1"/>
    <col min="6664" max="6665" width="15.33203125" style="10" customWidth="1"/>
    <col min="6666" max="6666" width="15" style="10" customWidth="1"/>
    <col min="6667" max="6667" width="15.33203125" style="10" customWidth="1"/>
    <col min="6668" max="6668" width="15" style="10" customWidth="1"/>
    <col min="6669" max="6669" width="18.6640625" style="10" customWidth="1"/>
    <col min="6670" max="6911" width="9.33203125" style="10"/>
    <col min="6912" max="6912" width="6.6640625" style="10" customWidth="1"/>
    <col min="6913" max="6913" width="7" style="10" customWidth="1"/>
    <col min="6914" max="6914" width="42.46484375" style="10" customWidth="1"/>
    <col min="6915" max="6915" width="13.53125" style="10" customWidth="1"/>
    <col min="6916" max="6916" width="20.6640625" style="10" customWidth="1"/>
    <col min="6917" max="6919" width="18.6640625" style="10" customWidth="1"/>
    <col min="6920" max="6921" width="15.33203125" style="10" customWidth="1"/>
    <col min="6922" max="6922" width="15" style="10" customWidth="1"/>
    <col min="6923" max="6923" width="15.33203125" style="10" customWidth="1"/>
    <col min="6924" max="6924" width="15" style="10" customWidth="1"/>
    <col min="6925" max="6925" width="18.6640625" style="10" customWidth="1"/>
    <col min="6926" max="7167" width="9.33203125" style="10"/>
    <col min="7168" max="7168" width="6.6640625" style="10" customWidth="1"/>
    <col min="7169" max="7169" width="7" style="10" customWidth="1"/>
    <col min="7170" max="7170" width="42.46484375" style="10" customWidth="1"/>
    <col min="7171" max="7171" width="13.53125" style="10" customWidth="1"/>
    <col min="7172" max="7172" width="20.6640625" style="10" customWidth="1"/>
    <col min="7173" max="7175" width="18.6640625" style="10" customWidth="1"/>
    <col min="7176" max="7177" width="15.33203125" style="10" customWidth="1"/>
    <col min="7178" max="7178" width="15" style="10" customWidth="1"/>
    <col min="7179" max="7179" width="15.33203125" style="10" customWidth="1"/>
    <col min="7180" max="7180" width="15" style="10" customWidth="1"/>
    <col min="7181" max="7181" width="18.6640625" style="10" customWidth="1"/>
    <col min="7182" max="7423" width="9.33203125" style="10"/>
    <col min="7424" max="7424" width="6.6640625" style="10" customWidth="1"/>
    <col min="7425" max="7425" width="7" style="10" customWidth="1"/>
    <col min="7426" max="7426" width="42.46484375" style="10" customWidth="1"/>
    <col min="7427" max="7427" width="13.53125" style="10" customWidth="1"/>
    <col min="7428" max="7428" width="20.6640625" style="10" customWidth="1"/>
    <col min="7429" max="7431" width="18.6640625" style="10" customWidth="1"/>
    <col min="7432" max="7433" width="15.33203125" style="10" customWidth="1"/>
    <col min="7434" max="7434" width="15" style="10" customWidth="1"/>
    <col min="7435" max="7435" width="15.33203125" style="10" customWidth="1"/>
    <col min="7436" max="7436" width="15" style="10" customWidth="1"/>
    <col min="7437" max="7437" width="18.6640625" style="10" customWidth="1"/>
    <col min="7438" max="7679" width="9.33203125" style="10"/>
    <col min="7680" max="7680" width="6.6640625" style="10" customWidth="1"/>
    <col min="7681" max="7681" width="7" style="10" customWidth="1"/>
    <col min="7682" max="7682" width="42.46484375" style="10" customWidth="1"/>
    <col min="7683" max="7683" width="13.53125" style="10" customWidth="1"/>
    <col min="7684" max="7684" width="20.6640625" style="10" customWidth="1"/>
    <col min="7685" max="7687" width="18.6640625" style="10" customWidth="1"/>
    <col min="7688" max="7689" width="15.33203125" style="10" customWidth="1"/>
    <col min="7690" max="7690" width="15" style="10" customWidth="1"/>
    <col min="7691" max="7691" width="15.33203125" style="10" customWidth="1"/>
    <col min="7692" max="7692" width="15" style="10" customWidth="1"/>
    <col min="7693" max="7693" width="18.6640625" style="10" customWidth="1"/>
    <col min="7694" max="7935" width="9.33203125" style="10"/>
    <col min="7936" max="7936" width="6.6640625" style="10" customWidth="1"/>
    <col min="7937" max="7937" width="7" style="10" customWidth="1"/>
    <col min="7938" max="7938" width="42.46484375" style="10" customWidth="1"/>
    <col min="7939" max="7939" width="13.53125" style="10" customWidth="1"/>
    <col min="7940" max="7940" width="20.6640625" style="10" customWidth="1"/>
    <col min="7941" max="7943" width="18.6640625" style="10" customWidth="1"/>
    <col min="7944" max="7945" width="15.33203125" style="10" customWidth="1"/>
    <col min="7946" max="7946" width="15" style="10" customWidth="1"/>
    <col min="7947" max="7947" width="15.33203125" style="10" customWidth="1"/>
    <col min="7948" max="7948" width="15" style="10" customWidth="1"/>
    <col min="7949" max="7949" width="18.6640625" style="10" customWidth="1"/>
    <col min="7950" max="8191" width="9.33203125" style="10"/>
    <col min="8192" max="8192" width="6.6640625" style="10" customWidth="1"/>
    <col min="8193" max="8193" width="7" style="10" customWidth="1"/>
    <col min="8194" max="8194" width="42.46484375" style="10" customWidth="1"/>
    <col min="8195" max="8195" width="13.53125" style="10" customWidth="1"/>
    <col min="8196" max="8196" width="20.6640625" style="10" customWidth="1"/>
    <col min="8197" max="8199" width="18.6640625" style="10" customWidth="1"/>
    <col min="8200" max="8201" width="15.33203125" style="10" customWidth="1"/>
    <col min="8202" max="8202" width="15" style="10" customWidth="1"/>
    <col min="8203" max="8203" width="15.33203125" style="10" customWidth="1"/>
    <col min="8204" max="8204" width="15" style="10" customWidth="1"/>
    <col min="8205" max="8205" width="18.6640625" style="10" customWidth="1"/>
    <col min="8206" max="8447" width="9.33203125" style="10"/>
    <col min="8448" max="8448" width="6.6640625" style="10" customWidth="1"/>
    <col min="8449" max="8449" width="7" style="10" customWidth="1"/>
    <col min="8450" max="8450" width="42.46484375" style="10" customWidth="1"/>
    <col min="8451" max="8451" width="13.53125" style="10" customWidth="1"/>
    <col min="8452" max="8452" width="20.6640625" style="10" customWidth="1"/>
    <col min="8453" max="8455" width="18.6640625" style="10" customWidth="1"/>
    <col min="8456" max="8457" width="15.33203125" style="10" customWidth="1"/>
    <col min="8458" max="8458" width="15" style="10" customWidth="1"/>
    <col min="8459" max="8459" width="15.33203125" style="10" customWidth="1"/>
    <col min="8460" max="8460" width="15" style="10" customWidth="1"/>
    <col min="8461" max="8461" width="18.6640625" style="10" customWidth="1"/>
    <col min="8462" max="8703" width="9.33203125" style="10"/>
    <col min="8704" max="8704" width="6.6640625" style="10" customWidth="1"/>
    <col min="8705" max="8705" width="7" style="10" customWidth="1"/>
    <col min="8706" max="8706" width="42.46484375" style="10" customWidth="1"/>
    <col min="8707" max="8707" width="13.53125" style="10" customWidth="1"/>
    <col min="8708" max="8708" width="20.6640625" style="10" customWidth="1"/>
    <col min="8709" max="8711" width="18.6640625" style="10" customWidth="1"/>
    <col min="8712" max="8713" width="15.33203125" style="10" customWidth="1"/>
    <col min="8714" max="8714" width="15" style="10" customWidth="1"/>
    <col min="8715" max="8715" width="15.33203125" style="10" customWidth="1"/>
    <col min="8716" max="8716" width="15" style="10" customWidth="1"/>
    <col min="8717" max="8717" width="18.6640625" style="10" customWidth="1"/>
    <col min="8718" max="8959" width="9.33203125" style="10"/>
    <col min="8960" max="8960" width="6.6640625" style="10" customWidth="1"/>
    <col min="8961" max="8961" width="7" style="10" customWidth="1"/>
    <col min="8962" max="8962" width="42.46484375" style="10" customWidth="1"/>
    <col min="8963" max="8963" width="13.53125" style="10" customWidth="1"/>
    <col min="8964" max="8964" width="20.6640625" style="10" customWidth="1"/>
    <col min="8965" max="8967" width="18.6640625" style="10" customWidth="1"/>
    <col min="8968" max="8969" width="15.33203125" style="10" customWidth="1"/>
    <col min="8970" max="8970" width="15" style="10" customWidth="1"/>
    <col min="8971" max="8971" width="15.33203125" style="10" customWidth="1"/>
    <col min="8972" max="8972" width="15" style="10" customWidth="1"/>
    <col min="8973" max="8973" width="18.6640625" style="10" customWidth="1"/>
    <col min="8974" max="9215" width="9.33203125" style="10"/>
    <col min="9216" max="9216" width="6.6640625" style="10" customWidth="1"/>
    <col min="9217" max="9217" width="7" style="10" customWidth="1"/>
    <col min="9218" max="9218" width="42.46484375" style="10" customWidth="1"/>
    <col min="9219" max="9219" width="13.53125" style="10" customWidth="1"/>
    <col min="9220" max="9220" width="20.6640625" style="10" customWidth="1"/>
    <col min="9221" max="9223" width="18.6640625" style="10" customWidth="1"/>
    <col min="9224" max="9225" width="15.33203125" style="10" customWidth="1"/>
    <col min="9226" max="9226" width="15" style="10" customWidth="1"/>
    <col min="9227" max="9227" width="15.33203125" style="10" customWidth="1"/>
    <col min="9228" max="9228" width="15" style="10" customWidth="1"/>
    <col min="9229" max="9229" width="18.6640625" style="10" customWidth="1"/>
    <col min="9230" max="9471" width="9.33203125" style="10"/>
    <col min="9472" max="9472" width="6.6640625" style="10" customWidth="1"/>
    <col min="9473" max="9473" width="7" style="10" customWidth="1"/>
    <col min="9474" max="9474" width="42.46484375" style="10" customWidth="1"/>
    <col min="9475" max="9475" width="13.53125" style="10" customWidth="1"/>
    <col min="9476" max="9476" width="20.6640625" style="10" customWidth="1"/>
    <col min="9477" max="9479" width="18.6640625" style="10" customWidth="1"/>
    <col min="9480" max="9481" width="15.33203125" style="10" customWidth="1"/>
    <col min="9482" max="9482" width="15" style="10" customWidth="1"/>
    <col min="9483" max="9483" width="15.33203125" style="10" customWidth="1"/>
    <col min="9484" max="9484" width="15" style="10" customWidth="1"/>
    <col min="9485" max="9485" width="18.6640625" style="10" customWidth="1"/>
    <col min="9486" max="9727" width="9.33203125" style="10"/>
    <col min="9728" max="9728" width="6.6640625" style="10" customWidth="1"/>
    <col min="9729" max="9729" width="7" style="10" customWidth="1"/>
    <col min="9730" max="9730" width="42.46484375" style="10" customWidth="1"/>
    <col min="9731" max="9731" width="13.53125" style="10" customWidth="1"/>
    <col min="9732" max="9732" width="20.6640625" style="10" customWidth="1"/>
    <col min="9733" max="9735" width="18.6640625" style="10" customWidth="1"/>
    <col min="9736" max="9737" width="15.33203125" style="10" customWidth="1"/>
    <col min="9738" max="9738" width="15" style="10" customWidth="1"/>
    <col min="9739" max="9739" width="15.33203125" style="10" customWidth="1"/>
    <col min="9740" max="9740" width="15" style="10" customWidth="1"/>
    <col min="9741" max="9741" width="18.6640625" style="10" customWidth="1"/>
    <col min="9742" max="9983" width="9.33203125" style="10"/>
    <col min="9984" max="9984" width="6.6640625" style="10" customWidth="1"/>
    <col min="9985" max="9985" width="7" style="10" customWidth="1"/>
    <col min="9986" max="9986" width="42.46484375" style="10" customWidth="1"/>
    <col min="9987" max="9987" width="13.53125" style="10" customWidth="1"/>
    <col min="9988" max="9988" width="20.6640625" style="10" customWidth="1"/>
    <col min="9989" max="9991" width="18.6640625" style="10" customWidth="1"/>
    <col min="9992" max="9993" width="15.33203125" style="10" customWidth="1"/>
    <col min="9994" max="9994" width="15" style="10" customWidth="1"/>
    <col min="9995" max="9995" width="15.33203125" style="10" customWidth="1"/>
    <col min="9996" max="9996" width="15" style="10" customWidth="1"/>
    <col min="9997" max="9997" width="18.6640625" style="10" customWidth="1"/>
    <col min="9998" max="10239" width="9.33203125" style="10"/>
    <col min="10240" max="10240" width="6.6640625" style="10" customWidth="1"/>
    <col min="10241" max="10241" width="7" style="10" customWidth="1"/>
    <col min="10242" max="10242" width="42.46484375" style="10" customWidth="1"/>
    <col min="10243" max="10243" width="13.53125" style="10" customWidth="1"/>
    <col min="10244" max="10244" width="20.6640625" style="10" customWidth="1"/>
    <col min="10245" max="10247" width="18.6640625" style="10" customWidth="1"/>
    <col min="10248" max="10249" width="15.33203125" style="10" customWidth="1"/>
    <col min="10250" max="10250" width="15" style="10" customWidth="1"/>
    <col min="10251" max="10251" width="15.33203125" style="10" customWidth="1"/>
    <col min="10252" max="10252" width="15" style="10" customWidth="1"/>
    <col min="10253" max="10253" width="18.6640625" style="10" customWidth="1"/>
    <col min="10254" max="10495" width="9.33203125" style="10"/>
    <col min="10496" max="10496" width="6.6640625" style="10" customWidth="1"/>
    <col min="10497" max="10497" width="7" style="10" customWidth="1"/>
    <col min="10498" max="10498" width="42.46484375" style="10" customWidth="1"/>
    <col min="10499" max="10499" width="13.53125" style="10" customWidth="1"/>
    <col min="10500" max="10500" width="20.6640625" style="10" customWidth="1"/>
    <col min="10501" max="10503" width="18.6640625" style="10" customWidth="1"/>
    <col min="10504" max="10505" width="15.33203125" style="10" customWidth="1"/>
    <col min="10506" max="10506" width="15" style="10" customWidth="1"/>
    <col min="10507" max="10507" width="15.33203125" style="10" customWidth="1"/>
    <col min="10508" max="10508" width="15" style="10" customWidth="1"/>
    <col min="10509" max="10509" width="18.6640625" style="10" customWidth="1"/>
    <col min="10510" max="10751" width="9.33203125" style="10"/>
    <col min="10752" max="10752" width="6.6640625" style="10" customWidth="1"/>
    <col min="10753" max="10753" width="7" style="10" customWidth="1"/>
    <col min="10754" max="10754" width="42.46484375" style="10" customWidth="1"/>
    <col min="10755" max="10755" width="13.53125" style="10" customWidth="1"/>
    <col min="10756" max="10756" width="20.6640625" style="10" customWidth="1"/>
    <col min="10757" max="10759" width="18.6640625" style="10" customWidth="1"/>
    <col min="10760" max="10761" width="15.33203125" style="10" customWidth="1"/>
    <col min="10762" max="10762" width="15" style="10" customWidth="1"/>
    <col min="10763" max="10763" width="15.33203125" style="10" customWidth="1"/>
    <col min="10764" max="10764" width="15" style="10" customWidth="1"/>
    <col min="10765" max="10765" width="18.6640625" style="10" customWidth="1"/>
    <col min="10766" max="11007" width="9.33203125" style="10"/>
    <col min="11008" max="11008" width="6.6640625" style="10" customWidth="1"/>
    <col min="11009" max="11009" width="7" style="10" customWidth="1"/>
    <col min="11010" max="11010" width="42.46484375" style="10" customWidth="1"/>
    <col min="11011" max="11011" width="13.53125" style="10" customWidth="1"/>
    <col min="11012" max="11012" width="20.6640625" style="10" customWidth="1"/>
    <col min="11013" max="11015" width="18.6640625" style="10" customWidth="1"/>
    <col min="11016" max="11017" width="15.33203125" style="10" customWidth="1"/>
    <col min="11018" max="11018" width="15" style="10" customWidth="1"/>
    <col min="11019" max="11019" width="15.33203125" style="10" customWidth="1"/>
    <col min="11020" max="11020" width="15" style="10" customWidth="1"/>
    <col min="11021" max="11021" width="18.6640625" style="10" customWidth="1"/>
    <col min="11022" max="11263" width="9.33203125" style="10"/>
    <col min="11264" max="11264" width="6.6640625" style="10" customWidth="1"/>
    <col min="11265" max="11265" width="7" style="10" customWidth="1"/>
    <col min="11266" max="11266" width="42.46484375" style="10" customWidth="1"/>
    <col min="11267" max="11267" width="13.53125" style="10" customWidth="1"/>
    <col min="11268" max="11268" width="20.6640625" style="10" customWidth="1"/>
    <col min="11269" max="11271" width="18.6640625" style="10" customWidth="1"/>
    <col min="11272" max="11273" width="15.33203125" style="10" customWidth="1"/>
    <col min="11274" max="11274" width="15" style="10" customWidth="1"/>
    <col min="11275" max="11275" width="15.33203125" style="10" customWidth="1"/>
    <col min="11276" max="11276" width="15" style="10" customWidth="1"/>
    <col min="11277" max="11277" width="18.6640625" style="10" customWidth="1"/>
    <col min="11278" max="11519" width="9.33203125" style="10"/>
    <col min="11520" max="11520" width="6.6640625" style="10" customWidth="1"/>
    <col min="11521" max="11521" width="7" style="10" customWidth="1"/>
    <col min="11522" max="11522" width="42.46484375" style="10" customWidth="1"/>
    <col min="11523" max="11523" width="13.53125" style="10" customWidth="1"/>
    <col min="11524" max="11524" width="20.6640625" style="10" customWidth="1"/>
    <col min="11525" max="11527" width="18.6640625" style="10" customWidth="1"/>
    <col min="11528" max="11529" width="15.33203125" style="10" customWidth="1"/>
    <col min="11530" max="11530" width="15" style="10" customWidth="1"/>
    <col min="11531" max="11531" width="15.33203125" style="10" customWidth="1"/>
    <col min="11532" max="11532" width="15" style="10" customWidth="1"/>
    <col min="11533" max="11533" width="18.6640625" style="10" customWidth="1"/>
    <col min="11534" max="11775" width="9.33203125" style="10"/>
    <col min="11776" max="11776" width="6.6640625" style="10" customWidth="1"/>
    <col min="11777" max="11777" width="7" style="10" customWidth="1"/>
    <col min="11778" max="11778" width="42.46484375" style="10" customWidth="1"/>
    <col min="11779" max="11779" width="13.53125" style="10" customWidth="1"/>
    <col min="11780" max="11780" width="20.6640625" style="10" customWidth="1"/>
    <col min="11781" max="11783" width="18.6640625" style="10" customWidth="1"/>
    <col min="11784" max="11785" width="15.33203125" style="10" customWidth="1"/>
    <col min="11786" max="11786" width="15" style="10" customWidth="1"/>
    <col min="11787" max="11787" width="15.33203125" style="10" customWidth="1"/>
    <col min="11788" max="11788" width="15" style="10" customWidth="1"/>
    <col min="11789" max="11789" width="18.6640625" style="10" customWidth="1"/>
    <col min="11790" max="12031" width="9.33203125" style="10"/>
    <col min="12032" max="12032" width="6.6640625" style="10" customWidth="1"/>
    <col min="12033" max="12033" width="7" style="10" customWidth="1"/>
    <col min="12034" max="12034" width="42.46484375" style="10" customWidth="1"/>
    <col min="12035" max="12035" width="13.53125" style="10" customWidth="1"/>
    <col min="12036" max="12036" width="20.6640625" style="10" customWidth="1"/>
    <col min="12037" max="12039" width="18.6640625" style="10" customWidth="1"/>
    <col min="12040" max="12041" width="15.33203125" style="10" customWidth="1"/>
    <col min="12042" max="12042" width="15" style="10" customWidth="1"/>
    <col min="12043" max="12043" width="15.33203125" style="10" customWidth="1"/>
    <col min="12044" max="12044" width="15" style="10" customWidth="1"/>
    <col min="12045" max="12045" width="18.6640625" style="10" customWidth="1"/>
    <col min="12046" max="12287" width="9.33203125" style="10"/>
    <col min="12288" max="12288" width="6.6640625" style="10" customWidth="1"/>
    <col min="12289" max="12289" width="7" style="10" customWidth="1"/>
    <col min="12290" max="12290" width="42.46484375" style="10" customWidth="1"/>
    <col min="12291" max="12291" width="13.53125" style="10" customWidth="1"/>
    <col min="12292" max="12292" width="20.6640625" style="10" customWidth="1"/>
    <col min="12293" max="12295" width="18.6640625" style="10" customWidth="1"/>
    <col min="12296" max="12297" width="15.33203125" style="10" customWidth="1"/>
    <col min="12298" max="12298" width="15" style="10" customWidth="1"/>
    <col min="12299" max="12299" width="15.33203125" style="10" customWidth="1"/>
    <col min="12300" max="12300" width="15" style="10" customWidth="1"/>
    <col min="12301" max="12301" width="18.6640625" style="10" customWidth="1"/>
    <col min="12302" max="12543" width="9.33203125" style="10"/>
    <col min="12544" max="12544" width="6.6640625" style="10" customWidth="1"/>
    <col min="12545" max="12545" width="7" style="10" customWidth="1"/>
    <col min="12546" max="12546" width="42.46484375" style="10" customWidth="1"/>
    <col min="12547" max="12547" width="13.53125" style="10" customWidth="1"/>
    <col min="12548" max="12548" width="20.6640625" style="10" customWidth="1"/>
    <col min="12549" max="12551" width="18.6640625" style="10" customWidth="1"/>
    <col min="12552" max="12553" width="15.33203125" style="10" customWidth="1"/>
    <col min="12554" max="12554" width="15" style="10" customWidth="1"/>
    <col min="12555" max="12555" width="15.33203125" style="10" customWidth="1"/>
    <col min="12556" max="12556" width="15" style="10" customWidth="1"/>
    <col min="12557" max="12557" width="18.6640625" style="10" customWidth="1"/>
    <col min="12558" max="12799" width="9.33203125" style="10"/>
    <col min="12800" max="12800" width="6.6640625" style="10" customWidth="1"/>
    <col min="12801" max="12801" width="7" style="10" customWidth="1"/>
    <col min="12802" max="12802" width="42.46484375" style="10" customWidth="1"/>
    <col min="12803" max="12803" width="13.53125" style="10" customWidth="1"/>
    <col min="12804" max="12804" width="20.6640625" style="10" customWidth="1"/>
    <col min="12805" max="12807" width="18.6640625" style="10" customWidth="1"/>
    <col min="12808" max="12809" width="15.33203125" style="10" customWidth="1"/>
    <col min="12810" max="12810" width="15" style="10" customWidth="1"/>
    <col min="12811" max="12811" width="15.33203125" style="10" customWidth="1"/>
    <col min="12812" max="12812" width="15" style="10" customWidth="1"/>
    <col min="12813" max="12813" width="18.6640625" style="10" customWidth="1"/>
    <col min="12814" max="13055" width="9.33203125" style="10"/>
    <col min="13056" max="13056" width="6.6640625" style="10" customWidth="1"/>
    <col min="13057" max="13057" width="7" style="10" customWidth="1"/>
    <col min="13058" max="13058" width="42.46484375" style="10" customWidth="1"/>
    <col min="13059" max="13059" width="13.53125" style="10" customWidth="1"/>
    <col min="13060" max="13060" width="20.6640625" style="10" customWidth="1"/>
    <col min="13061" max="13063" width="18.6640625" style="10" customWidth="1"/>
    <col min="13064" max="13065" width="15.33203125" style="10" customWidth="1"/>
    <col min="13066" max="13066" width="15" style="10" customWidth="1"/>
    <col min="13067" max="13067" width="15.33203125" style="10" customWidth="1"/>
    <col min="13068" max="13068" width="15" style="10" customWidth="1"/>
    <col min="13069" max="13069" width="18.6640625" style="10" customWidth="1"/>
    <col min="13070" max="13311" width="9.33203125" style="10"/>
    <col min="13312" max="13312" width="6.6640625" style="10" customWidth="1"/>
    <col min="13313" max="13313" width="7" style="10" customWidth="1"/>
    <col min="13314" max="13314" width="42.46484375" style="10" customWidth="1"/>
    <col min="13315" max="13315" width="13.53125" style="10" customWidth="1"/>
    <col min="13316" max="13316" width="20.6640625" style="10" customWidth="1"/>
    <col min="13317" max="13319" width="18.6640625" style="10" customWidth="1"/>
    <col min="13320" max="13321" width="15.33203125" style="10" customWidth="1"/>
    <col min="13322" max="13322" width="15" style="10" customWidth="1"/>
    <col min="13323" max="13323" width="15.33203125" style="10" customWidth="1"/>
    <col min="13324" max="13324" width="15" style="10" customWidth="1"/>
    <col min="13325" max="13325" width="18.6640625" style="10" customWidth="1"/>
    <col min="13326" max="13567" width="9.33203125" style="10"/>
    <col min="13568" max="13568" width="6.6640625" style="10" customWidth="1"/>
    <col min="13569" max="13569" width="7" style="10" customWidth="1"/>
    <col min="13570" max="13570" width="42.46484375" style="10" customWidth="1"/>
    <col min="13571" max="13571" width="13.53125" style="10" customWidth="1"/>
    <col min="13572" max="13572" width="20.6640625" style="10" customWidth="1"/>
    <col min="13573" max="13575" width="18.6640625" style="10" customWidth="1"/>
    <col min="13576" max="13577" width="15.33203125" style="10" customWidth="1"/>
    <col min="13578" max="13578" width="15" style="10" customWidth="1"/>
    <col min="13579" max="13579" width="15.33203125" style="10" customWidth="1"/>
    <col min="13580" max="13580" width="15" style="10" customWidth="1"/>
    <col min="13581" max="13581" width="18.6640625" style="10" customWidth="1"/>
    <col min="13582" max="13823" width="9.33203125" style="10"/>
    <col min="13824" max="13824" width="6.6640625" style="10" customWidth="1"/>
    <col min="13825" max="13825" width="7" style="10" customWidth="1"/>
    <col min="13826" max="13826" width="42.46484375" style="10" customWidth="1"/>
    <col min="13827" max="13827" width="13.53125" style="10" customWidth="1"/>
    <col min="13828" max="13828" width="20.6640625" style="10" customWidth="1"/>
    <col min="13829" max="13831" width="18.6640625" style="10" customWidth="1"/>
    <col min="13832" max="13833" width="15.33203125" style="10" customWidth="1"/>
    <col min="13834" max="13834" width="15" style="10" customWidth="1"/>
    <col min="13835" max="13835" width="15.33203125" style="10" customWidth="1"/>
    <col min="13836" max="13836" width="15" style="10" customWidth="1"/>
    <col min="13837" max="13837" width="18.6640625" style="10" customWidth="1"/>
    <col min="13838" max="14079" width="9.33203125" style="10"/>
    <col min="14080" max="14080" width="6.6640625" style="10" customWidth="1"/>
    <col min="14081" max="14081" width="7" style="10" customWidth="1"/>
    <col min="14082" max="14082" width="42.46484375" style="10" customWidth="1"/>
    <col min="14083" max="14083" width="13.53125" style="10" customWidth="1"/>
    <col min="14084" max="14084" width="20.6640625" style="10" customWidth="1"/>
    <col min="14085" max="14087" width="18.6640625" style="10" customWidth="1"/>
    <col min="14088" max="14089" width="15.33203125" style="10" customWidth="1"/>
    <col min="14090" max="14090" width="15" style="10" customWidth="1"/>
    <col min="14091" max="14091" width="15.33203125" style="10" customWidth="1"/>
    <col min="14092" max="14092" width="15" style="10" customWidth="1"/>
    <col min="14093" max="14093" width="18.6640625" style="10" customWidth="1"/>
    <col min="14094" max="14335" width="9.33203125" style="10"/>
    <col min="14336" max="14336" width="6.6640625" style="10" customWidth="1"/>
    <col min="14337" max="14337" width="7" style="10" customWidth="1"/>
    <col min="14338" max="14338" width="42.46484375" style="10" customWidth="1"/>
    <col min="14339" max="14339" width="13.53125" style="10" customWidth="1"/>
    <col min="14340" max="14340" width="20.6640625" style="10" customWidth="1"/>
    <col min="14341" max="14343" width="18.6640625" style="10" customWidth="1"/>
    <col min="14344" max="14345" width="15.33203125" style="10" customWidth="1"/>
    <col min="14346" max="14346" width="15" style="10" customWidth="1"/>
    <col min="14347" max="14347" width="15.33203125" style="10" customWidth="1"/>
    <col min="14348" max="14348" width="15" style="10" customWidth="1"/>
    <col min="14349" max="14349" width="18.6640625" style="10" customWidth="1"/>
    <col min="14350" max="14591" width="9.33203125" style="10"/>
    <col min="14592" max="14592" width="6.6640625" style="10" customWidth="1"/>
    <col min="14593" max="14593" width="7" style="10" customWidth="1"/>
    <col min="14594" max="14594" width="42.46484375" style="10" customWidth="1"/>
    <col min="14595" max="14595" width="13.53125" style="10" customWidth="1"/>
    <col min="14596" max="14596" width="20.6640625" style="10" customWidth="1"/>
    <col min="14597" max="14599" width="18.6640625" style="10" customWidth="1"/>
    <col min="14600" max="14601" width="15.33203125" style="10" customWidth="1"/>
    <col min="14602" max="14602" width="15" style="10" customWidth="1"/>
    <col min="14603" max="14603" width="15.33203125" style="10" customWidth="1"/>
    <col min="14604" max="14604" width="15" style="10" customWidth="1"/>
    <col min="14605" max="14605" width="18.6640625" style="10" customWidth="1"/>
    <col min="14606" max="14847" width="9.33203125" style="10"/>
    <col min="14848" max="14848" width="6.6640625" style="10" customWidth="1"/>
    <col min="14849" max="14849" width="7" style="10" customWidth="1"/>
    <col min="14850" max="14850" width="42.46484375" style="10" customWidth="1"/>
    <col min="14851" max="14851" width="13.53125" style="10" customWidth="1"/>
    <col min="14852" max="14852" width="20.6640625" style="10" customWidth="1"/>
    <col min="14853" max="14855" width="18.6640625" style="10" customWidth="1"/>
    <col min="14856" max="14857" width="15.33203125" style="10" customWidth="1"/>
    <col min="14858" max="14858" width="15" style="10" customWidth="1"/>
    <col min="14859" max="14859" width="15.33203125" style="10" customWidth="1"/>
    <col min="14860" max="14860" width="15" style="10" customWidth="1"/>
    <col min="14861" max="14861" width="18.6640625" style="10" customWidth="1"/>
    <col min="14862" max="15103" width="9.33203125" style="10"/>
    <col min="15104" max="15104" width="6.6640625" style="10" customWidth="1"/>
    <col min="15105" max="15105" width="7" style="10" customWidth="1"/>
    <col min="15106" max="15106" width="42.46484375" style="10" customWidth="1"/>
    <col min="15107" max="15107" width="13.53125" style="10" customWidth="1"/>
    <col min="15108" max="15108" width="20.6640625" style="10" customWidth="1"/>
    <col min="15109" max="15111" width="18.6640625" style="10" customWidth="1"/>
    <col min="15112" max="15113" width="15.33203125" style="10" customWidth="1"/>
    <col min="15114" max="15114" width="15" style="10" customWidth="1"/>
    <col min="15115" max="15115" width="15.33203125" style="10" customWidth="1"/>
    <col min="15116" max="15116" width="15" style="10" customWidth="1"/>
    <col min="15117" max="15117" width="18.6640625" style="10" customWidth="1"/>
    <col min="15118" max="15359" width="9.33203125" style="10"/>
    <col min="15360" max="15360" width="6.6640625" style="10" customWidth="1"/>
    <col min="15361" max="15361" width="7" style="10" customWidth="1"/>
    <col min="15362" max="15362" width="42.46484375" style="10" customWidth="1"/>
    <col min="15363" max="15363" width="13.53125" style="10" customWidth="1"/>
    <col min="15364" max="15364" width="20.6640625" style="10" customWidth="1"/>
    <col min="15365" max="15367" width="18.6640625" style="10" customWidth="1"/>
    <col min="15368" max="15369" width="15.33203125" style="10" customWidth="1"/>
    <col min="15370" max="15370" width="15" style="10" customWidth="1"/>
    <col min="15371" max="15371" width="15.33203125" style="10" customWidth="1"/>
    <col min="15372" max="15372" width="15" style="10" customWidth="1"/>
    <col min="15373" max="15373" width="18.6640625" style="10" customWidth="1"/>
    <col min="15374" max="15615" width="9.33203125" style="10"/>
    <col min="15616" max="15616" width="6.6640625" style="10" customWidth="1"/>
    <col min="15617" max="15617" width="7" style="10" customWidth="1"/>
    <col min="15618" max="15618" width="42.46484375" style="10" customWidth="1"/>
    <col min="15619" max="15619" width="13.53125" style="10" customWidth="1"/>
    <col min="15620" max="15620" width="20.6640625" style="10" customWidth="1"/>
    <col min="15621" max="15623" width="18.6640625" style="10" customWidth="1"/>
    <col min="15624" max="15625" width="15.33203125" style="10" customWidth="1"/>
    <col min="15626" max="15626" width="15" style="10" customWidth="1"/>
    <col min="15627" max="15627" width="15.33203125" style="10" customWidth="1"/>
    <col min="15628" max="15628" width="15" style="10" customWidth="1"/>
    <col min="15629" max="15629" width="18.6640625" style="10" customWidth="1"/>
    <col min="15630" max="15871" width="9.33203125" style="10"/>
    <col min="15872" max="15872" width="6.6640625" style="10" customWidth="1"/>
    <col min="15873" max="15873" width="7" style="10" customWidth="1"/>
    <col min="15874" max="15874" width="42.46484375" style="10" customWidth="1"/>
    <col min="15875" max="15875" width="13.53125" style="10" customWidth="1"/>
    <col min="15876" max="15876" width="20.6640625" style="10" customWidth="1"/>
    <col min="15877" max="15879" width="18.6640625" style="10" customWidth="1"/>
    <col min="15880" max="15881" width="15.33203125" style="10" customWidth="1"/>
    <col min="15882" max="15882" width="15" style="10" customWidth="1"/>
    <col min="15883" max="15883" width="15.33203125" style="10" customWidth="1"/>
    <col min="15884" max="15884" width="15" style="10" customWidth="1"/>
    <col min="15885" max="15885" width="18.6640625" style="10" customWidth="1"/>
    <col min="15886" max="16127" width="9.33203125" style="10"/>
    <col min="16128" max="16128" width="6.6640625" style="10" customWidth="1"/>
    <col min="16129" max="16129" width="7" style="10" customWidth="1"/>
    <col min="16130" max="16130" width="42.46484375" style="10" customWidth="1"/>
    <col min="16131" max="16131" width="13.53125" style="10" customWidth="1"/>
    <col min="16132" max="16132" width="20.6640625" style="10" customWidth="1"/>
    <col min="16133" max="16135" width="18.6640625" style="10" customWidth="1"/>
    <col min="16136" max="16137" width="15.33203125" style="10" customWidth="1"/>
    <col min="16138" max="16138" width="15" style="10" customWidth="1"/>
    <col min="16139" max="16139" width="15.33203125" style="10" customWidth="1"/>
    <col min="16140" max="16140" width="15" style="10" customWidth="1"/>
    <col min="16141" max="16141" width="18.6640625" style="10" customWidth="1"/>
    <col min="16142" max="16384" width="9.33203125" style="10"/>
  </cols>
  <sheetData>
    <row r="2" spans="2:16" ht="14" customHeight="1" x14ac:dyDescent="0.35">
      <c r="B2" s="1937" t="str">
        <f>Index!B2</f>
        <v>Nidar Utilities Panvel LLP</v>
      </c>
      <c r="C2" s="1937"/>
      <c r="D2" s="1937"/>
      <c r="E2" s="1937"/>
      <c r="F2" s="1937"/>
      <c r="G2" s="1937"/>
      <c r="H2" s="1937"/>
      <c r="I2" s="1937"/>
      <c r="J2" s="1937"/>
      <c r="K2" s="1937"/>
      <c r="L2" s="1937"/>
      <c r="M2" s="1937"/>
      <c r="N2" s="1937"/>
      <c r="O2" s="1937"/>
      <c r="P2" s="1937"/>
    </row>
    <row r="3" spans="2:16" s="1" customFormat="1" x14ac:dyDescent="0.4">
      <c r="B3" s="1875" t="s">
        <v>211</v>
      </c>
      <c r="C3" s="1875"/>
      <c r="D3" s="1875"/>
      <c r="E3" s="1875"/>
      <c r="F3" s="1875"/>
      <c r="G3" s="1875"/>
      <c r="H3" s="1875"/>
      <c r="I3" s="1875"/>
      <c r="J3" s="1875"/>
      <c r="K3" s="1875"/>
      <c r="L3" s="1875"/>
      <c r="M3" s="1875"/>
      <c r="N3" s="1875"/>
      <c r="O3" s="1875"/>
      <c r="P3" s="1875"/>
    </row>
    <row r="4" spans="2:16" s="1" customFormat="1" x14ac:dyDescent="0.4">
      <c r="B4" s="2056" t="s">
        <v>656</v>
      </c>
      <c r="C4" s="2056"/>
      <c r="D4" s="2056"/>
      <c r="E4" s="2056"/>
      <c r="F4" s="2056"/>
      <c r="G4" s="2056"/>
      <c r="H4" s="2056"/>
      <c r="I4" s="2056"/>
      <c r="J4" s="2056"/>
      <c r="K4" s="2056"/>
      <c r="L4" s="2056"/>
      <c r="M4" s="2056"/>
      <c r="N4" s="2056"/>
      <c r="O4" s="2056"/>
      <c r="P4" s="2056"/>
    </row>
    <row r="5" spans="2:16" s="1" customFormat="1" x14ac:dyDescent="0.4">
      <c r="B5" s="108"/>
      <c r="C5" s="4"/>
      <c r="D5" s="31"/>
      <c r="E5" s="31"/>
      <c r="F5" s="31"/>
      <c r="G5" s="31"/>
      <c r="H5" s="31"/>
      <c r="I5" s="31"/>
      <c r="J5" s="31"/>
      <c r="K5" s="31"/>
      <c r="L5" s="31"/>
      <c r="M5" s="31"/>
      <c r="N5" s="31"/>
      <c r="O5" s="31"/>
    </row>
    <row r="6" spans="2:16" x14ac:dyDescent="0.35">
      <c r="B6" s="57"/>
      <c r="C6" s="57"/>
      <c r="D6" s="57"/>
      <c r="E6" s="57"/>
      <c r="F6" s="57"/>
      <c r="G6" s="57"/>
      <c r="H6" s="57"/>
      <c r="I6" s="57"/>
      <c r="J6" s="57"/>
      <c r="K6" s="57"/>
      <c r="L6" s="57"/>
      <c r="M6" s="57"/>
      <c r="N6" s="57"/>
      <c r="O6" s="57"/>
    </row>
    <row r="7" spans="2:16" ht="17.25" x14ac:dyDescent="0.35">
      <c r="B7" s="151"/>
      <c r="C7" s="99" t="s">
        <v>553</v>
      </c>
    </row>
    <row r="8" spans="2:16" x14ac:dyDescent="0.35">
      <c r="J8" s="16"/>
      <c r="N8" s="16"/>
      <c r="P8" s="16" t="s">
        <v>110</v>
      </c>
    </row>
    <row r="9" spans="2:16" ht="12.75" customHeight="1" x14ac:dyDescent="0.35">
      <c r="B9" s="1938" t="s">
        <v>1</v>
      </c>
      <c r="C9" s="1984" t="s">
        <v>111</v>
      </c>
      <c r="D9" s="98" t="s">
        <v>196</v>
      </c>
      <c r="E9" s="98" t="s">
        <v>197</v>
      </c>
      <c r="F9" s="98" t="s">
        <v>198</v>
      </c>
      <c r="G9" s="98" t="s">
        <v>199</v>
      </c>
      <c r="H9" s="358" t="s">
        <v>112</v>
      </c>
      <c r="I9" s="358" t="s">
        <v>113</v>
      </c>
      <c r="J9" s="358" t="s">
        <v>114</v>
      </c>
      <c r="K9" s="1934" t="s">
        <v>1019</v>
      </c>
      <c r="L9" s="1935"/>
      <c r="M9" s="1935"/>
      <c r="N9" s="1935"/>
      <c r="O9" s="1936"/>
      <c r="P9" s="1941" t="s">
        <v>116</v>
      </c>
    </row>
    <row r="10" spans="2:16" ht="27" x14ac:dyDescent="0.35">
      <c r="B10" s="1939"/>
      <c r="C10" s="1984"/>
      <c r="D10" s="1934" t="s">
        <v>117</v>
      </c>
      <c r="E10" s="1935"/>
      <c r="F10" s="1935"/>
      <c r="G10" s="1935"/>
      <c r="H10" s="1935"/>
      <c r="I10" s="1936"/>
      <c r="J10" s="217" t="s">
        <v>121</v>
      </c>
      <c r="K10" s="217" t="s">
        <v>123</v>
      </c>
      <c r="L10" s="217" t="s">
        <v>124</v>
      </c>
      <c r="M10" s="217" t="s">
        <v>125</v>
      </c>
      <c r="N10" s="217" t="s">
        <v>126</v>
      </c>
      <c r="O10" s="217" t="s">
        <v>127</v>
      </c>
      <c r="P10" s="1941"/>
    </row>
    <row r="11" spans="2:16" ht="27.75" x14ac:dyDescent="0.35">
      <c r="B11" s="89">
        <v>1</v>
      </c>
      <c r="C11" s="46" t="s">
        <v>657</v>
      </c>
      <c r="D11" s="675">
        <v>0</v>
      </c>
      <c r="E11" s="777">
        <f>+D16</f>
        <v>0</v>
      </c>
      <c r="F11" s="777">
        <f t="shared" ref="F11:O11" si="0">+E16</f>
        <v>0</v>
      </c>
      <c r="G11" s="777">
        <f t="shared" si="0"/>
        <v>0</v>
      </c>
      <c r="H11" s="777">
        <f t="shared" si="0"/>
        <v>0</v>
      </c>
      <c r="I11" s="777">
        <f t="shared" si="0"/>
        <v>0</v>
      </c>
      <c r="J11" s="777">
        <f t="shared" si="0"/>
        <v>0</v>
      </c>
      <c r="K11" s="777">
        <f t="shared" si="0"/>
        <v>0</v>
      </c>
      <c r="L11" s="777">
        <f t="shared" si="0"/>
        <v>0</v>
      </c>
      <c r="M11" s="777">
        <f t="shared" si="0"/>
        <v>0</v>
      </c>
      <c r="N11" s="777">
        <f t="shared" si="0"/>
        <v>0</v>
      </c>
      <c r="O11" s="777">
        <f t="shared" si="0"/>
        <v>0</v>
      </c>
      <c r="P11" s="19"/>
    </row>
    <row r="12" spans="2:16" x14ac:dyDescent="0.35">
      <c r="B12" s="89">
        <f>B11+1</f>
        <v>2</v>
      </c>
      <c r="C12" s="46" t="s">
        <v>658</v>
      </c>
      <c r="D12" s="676">
        <f>+D39*Assum!$E$96</f>
        <v>8.17021842E-2</v>
      </c>
      <c r="E12" s="676">
        <f>+E39*Assum!$E$96</f>
        <v>0.2407877319</v>
      </c>
      <c r="F12" s="676">
        <f>+F39*Assum!$F$96</f>
        <v>0.26200256549999995</v>
      </c>
      <c r="G12" s="676">
        <f>+G39*Assum!$F$96</f>
        <v>0.26929351539999996</v>
      </c>
      <c r="H12" s="676">
        <f>+H39*Assum!$F$96</f>
        <v>0.63425331830000009</v>
      </c>
      <c r="I12" s="676">
        <f>+I39*Assum!$F$96</f>
        <v>1.8265165177</v>
      </c>
      <c r="J12" s="676">
        <f>+J39*Assum!$F$96</f>
        <v>1.4039221654</v>
      </c>
      <c r="K12" s="676">
        <f>+K39*Assum!$G$96</f>
        <v>1.4039221654</v>
      </c>
      <c r="L12" s="676">
        <f>+L39*Assum!$G$96</f>
        <v>1.4039221654</v>
      </c>
      <c r="M12" s="676">
        <f>+M39*Assum!$G$96</f>
        <v>1.4039221654</v>
      </c>
      <c r="N12" s="676">
        <f>+N39*Assum!$G$96</f>
        <v>1.4039221654</v>
      </c>
      <c r="O12" s="676">
        <f>+O39*Assum!$G$96</f>
        <v>1.4039221654</v>
      </c>
      <c r="P12" s="19"/>
    </row>
    <row r="13" spans="2:16" ht="27.75" x14ac:dyDescent="0.35">
      <c r="B13" s="89">
        <f>B12+1</f>
        <v>3</v>
      </c>
      <c r="C13" s="46" t="s">
        <v>659</v>
      </c>
      <c r="D13" s="1264">
        <f>+D11/D12</f>
        <v>0</v>
      </c>
      <c r="E13" s="1264">
        <f t="shared" ref="E13:O13" si="1">+E11/E12</f>
        <v>0</v>
      </c>
      <c r="F13" s="1264">
        <f t="shared" si="1"/>
        <v>0</v>
      </c>
      <c r="G13" s="1264">
        <f t="shared" si="1"/>
        <v>0</v>
      </c>
      <c r="H13" s="1264">
        <f t="shared" si="1"/>
        <v>0</v>
      </c>
      <c r="I13" s="1264">
        <f t="shared" si="1"/>
        <v>0</v>
      </c>
      <c r="J13" s="1264">
        <f t="shared" si="1"/>
        <v>0</v>
      </c>
      <c r="K13" s="1264">
        <f t="shared" si="1"/>
        <v>0</v>
      </c>
      <c r="L13" s="1264">
        <f t="shared" si="1"/>
        <v>0</v>
      </c>
      <c r="M13" s="1264">
        <f t="shared" si="1"/>
        <v>0</v>
      </c>
      <c r="N13" s="1264">
        <f t="shared" si="1"/>
        <v>0</v>
      </c>
      <c r="O13" s="1264">
        <f t="shared" si="1"/>
        <v>0</v>
      </c>
      <c r="P13" s="19"/>
    </row>
    <row r="14" spans="2:16" x14ac:dyDescent="0.35">
      <c r="B14" s="89">
        <f>B13+1</f>
        <v>4</v>
      </c>
      <c r="C14" s="46" t="s">
        <v>660</v>
      </c>
      <c r="D14" s="1273">
        <v>0</v>
      </c>
      <c r="E14" s="1273">
        <v>0</v>
      </c>
      <c r="F14" s="1273">
        <v>0</v>
      </c>
      <c r="G14" s="1273">
        <v>0</v>
      </c>
      <c r="H14" s="1273">
        <v>0</v>
      </c>
      <c r="I14" s="1273">
        <v>0</v>
      </c>
      <c r="J14" s="1273">
        <v>0</v>
      </c>
      <c r="K14" s="1741">
        <v>0</v>
      </c>
      <c r="L14" s="1741">
        <v>0</v>
      </c>
      <c r="M14" s="1741">
        <v>0</v>
      </c>
      <c r="N14" s="1741">
        <v>0</v>
      </c>
      <c r="O14" s="1741">
        <v>0</v>
      </c>
      <c r="P14" s="19"/>
    </row>
    <row r="15" spans="2:16" x14ac:dyDescent="0.35">
      <c r="B15" s="89">
        <f>B14+1</f>
        <v>5</v>
      </c>
      <c r="C15" s="46" t="s">
        <v>661</v>
      </c>
      <c r="D15" s="675">
        <v>0</v>
      </c>
      <c r="E15" s="675">
        <v>0</v>
      </c>
      <c r="F15" s="675">
        <v>0</v>
      </c>
      <c r="G15" s="675">
        <v>0</v>
      </c>
      <c r="H15" s="675">
        <v>0</v>
      </c>
      <c r="I15" s="675">
        <v>0</v>
      </c>
      <c r="J15" s="675">
        <v>0</v>
      </c>
      <c r="K15" s="675">
        <v>0</v>
      </c>
      <c r="L15" s="675">
        <v>0</v>
      </c>
      <c r="M15" s="675">
        <v>0</v>
      </c>
      <c r="N15" s="675">
        <v>0</v>
      </c>
      <c r="O15" s="675">
        <v>0</v>
      </c>
      <c r="P15" s="19"/>
    </row>
    <row r="16" spans="2:16" ht="27.75" x14ac:dyDescent="0.35">
      <c r="B16" s="89">
        <f>B15+1</f>
        <v>6</v>
      </c>
      <c r="C16" s="46" t="s">
        <v>662</v>
      </c>
      <c r="D16" s="1274">
        <f>+D11+D14-D15</f>
        <v>0</v>
      </c>
      <c r="E16" s="1274">
        <f t="shared" ref="E16:O16" si="2">+E11+E14-E15</f>
        <v>0</v>
      </c>
      <c r="F16" s="1274">
        <f t="shared" si="2"/>
        <v>0</v>
      </c>
      <c r="G16" s="1274">
        <f t="shared" si="2"/>
        <v>0</v>
      </c>
      <c r="H16" s="1274">
        <f t="shared" si="2"/>
        <v>0</v>
      </c>
      <c r="I16" s="1274">
        <f t="shared" si="2"/>
        <v>0</v>
      </c>
      <c r="J16" s="1274">
        <f t="shared" si="2"/>
        <v>0</v>
      </c>
      <c r="K16" s="1274">
        <f t="shared" si="2"/>
        <v>0</v>
      </c>
      <c r="L16" s="1274">
        <f t="shared" si="2"/>
        <v>0</v>
      </c>
      <c r="M16" s="1274">
        <f t="shared" si="2"/>
        <v>0</v>
      </c>
      <c r="N16" s="1274">
        <f t="shared" si="2"/>
        <v>0</v>
      </c>
      <c r="O16" s="1274">
        <f t="shared" si="2"/>
        <v>0</v>
      </c>
      <c r="P16" s="19"/>
    </row>
    <row r="17" spans="2:16" x14ac:dyDescent="0.35">
      <c r="B17" s="89"/>
      <c r="C17" s="28"/>
      <c r="D17" s="19"/>
      <c r="E17" s="19"/>
      <c r="F17" s="19"/>
      <c r="G17" s="19"/>
      <c r="H17" s="19"/>
      <c r="I17" s="19"/>
      <c r="J17" s="19"/>
      <c r="K17" s="19"/>
      <c r="L17" s="19"/>
      <c r="M17" s="19"/>
      <c r="N17" s="19"/>
      <c r="O17" s="19"/>
      <c r="P17" s="19"/>
    </row>
    <row r="18" spans="2:16" x14ac:dyDescent="0.35">
      <c r="B18" s="10" t="s">
        <v>663</v>
      </c>
    </row>
    <row r="19" spans="2:16" x14ac:dyDescent="0.35">
      <c r="B19" s="10">
        <v>2</v>
      </c>
      <c r="C19" s="2066" t="s">
        <v>664</v>
      </c>
      <c r="D19" s="2066"/>
      <c r="E19" s="2066"/>
      <c r="F19" s="2066"/>
      <c r="G19" s="2066"/>
      <c r="H19" s="2066"/>
      <c r="I19" s="2066"/>
      <c r="J19" s="2066"/>
      <c r="K19" s="2066"/>
    </row>
    <row r="21" spans="2:16" x14ac:dyDescent="0.35">
      <c r="C21" s="99" t="s">
        <v>278</v>
      </c>
    </row>
    <row r="23" spans="2:16" ht="12.75" customHeight="1" x14ac:dyDescent="0.35">
      <c r="B23" s="1938" t="s">
        <v>1</v>
      </c>
      <c r="C23" s="1984" t="s">
        <v>111</v>
      </c>
      <c r="D23" s="98" t="s">
        <v>196</v>
      </c>
      <c r="E23" s="98" t="s">
        <v>197</v>
      </c>
      <c r="F23" s="98" t="s">
        <v>198</v>
      </c>
      <c r="G23" s="98" t="s">
        <v>199</v>
      </c>
      <c r="H23" s="358" t="s">
        <v>112</v>
      </c>
      <c r="I23" s="358" t="s">
        <v>113</v>
      </c>
      <c r="J23" s="358" t="s">
        <v>114</v>
      </c>
      <c r="K23" s="1934" t="s">
        <v>1019</v>
      </c>
      <c r="L23" s="1935"/>
      <c r="M23" s="1935"/>
      <c r="N23" s="1935"/>
      <c r="O23" s="1936"/>
      <c r="P23" s="1941" t="s">
        <v>116</v>
      </c>
    </row>
    <row r="24" spans="2:16" ht="41.45" customHeight="1" x14ac:dyDescent="0.35">
      <c r="B24" s="1939"/>
      <c r="C24" s="1984"/>
      <c r="D24" s="1934" t="s">
        <v>117</v>
      </c>
      <c r="E24" s="1935"/>
      <c r="F24" s="1935"/>
      <c r="G24" s="1935"/>
      <c r="H24" s="1935"/>
      <c r="I24" s="1936"/>
      <c r="J24" s="217" t="s">
        <v>121</v>
      </c>
      <c r="K24" s="217" t="s">
        <v>123</v>
      </c>
      <c r="L24" s="217" t="s">
        <v>124</v>
      </c>
      <c r="M24" s="217" t="s">
        <v>125</v>
      </c>
      <c r="N24" s="217" t="s">
        <v>126</v>
      </c>
      <c r="O24" s="217" t="s">
        <v>127</v>
      </c>
      <c r="P24" s="1941"/>
    </row>
    <row r="25" spans="2:16" ht="27.75" x14ac:dyDescent="0.35">
      <c r="B25" s="89">
        <v>1</v>
      </c>
      <c r="C25" s="46" t="s">
        <v>657</v>
      </c>
      <c r="D25" s="675">
        <v>0</v>
      </c>
      <c r="E25" s="777">
        <f>+D30</f>
        <v>0</v>
      </c>
      <c r="F25" s="777">
        <f t="shared" ref="F25:O25" si="3">+E30</f>
        <v>0</v>
      </c>
      <c r="G25" s="777">
        <f t="shared" si="3"/>
        <v>0</v>
      </c>
      <c r="H25" s="777">
        <f t="shared" si="3"/>
        <v>0</v>
      </c>
      <c r="I25" s="777">
        <f t="shared" si="3"/>
        <v>0</v>
      </c>
      <c r="J25" s="777">
        <f t="shared" si="3"/>
        <v>0</v>
      </c>
      <c r="K25" s="777">
        <f t="shared" si="3"/>
        <v>0</v>
      </c>
      <c r="L25" s="777">
        <f t="shared" si="3"/>
        <v>0</v>
      </c>
      <c r="M25" s="777">
        <f t="shared" si="3"/>
        <v>0</v>
      </c>
      <c r="N25" s="777">
        <f t="shared" si="3"/>
        <v>0</v>
      </c>
      <c r="O25" s="777">
        <f t="shared" si="3"/>
        <v>0</v>
      </c>
      <c r="P25" s="19"/>
    </row>
    <row r="26" spans="2:16" x14ac:dyDescent="0.35">
      <c r="B26" s="89">
        <f>B25+1</f>
        <v>2</v>
      </c>
      <c r="C26" s="46" t="s">
        <v>658</v>
      </c>
      <c r="D26" s="676">
        <f>+D39*(1-Assum!$E$96)</f>
        <v>0.73531965779999997</v>
      </c>
      <c r="E26" s="676">
        <f>+E39*(1-Assum!$E$96)</f>
        <v>2.1670895871</v>
      </c>
      <c r="F26" s="676">
        <f>+F39*(1-Assum!$F$96)</f>
        <v>2.3580230894999996</v>
      </c>
      <c r="G26" s="676">
        <f>+G39*(1-Assum!$F$96)</f>
        <v>2.4236416385999999</v>
      </c>
      <c r="H26" s="676">
        <f>+H39*(1-Assum!$F$96)</f>
        <v>5.7082798647000006</v>
      </c>
      <c r="I26" s="676">
        <f>+I39*(1-Assum!$F$96)</f>
        <v>16.4386486593</v>
      </c>
      <c r="J26" s="676">
        <f>+J39*(1-Assum!$F$96)</f>
        <v>12.635299488599999</v>
      </c>
      <c r="K26" s="676">
        <f>+K39*(1-Assum!$G$96)</f>
        <v>12.635299488599999</v>
      </c>
      <c r="L26" s="676">
        <f>+L39*(1-Assum!$G$96)</f>
        <v>12.635299488599999</v>
      </c>
      <c r="M26" s="676">
        <f>+M39*(1-Assum!$G$96)</f>
        <v>12.635299488599999</v>
      </c>
      <c r="N26" s="676">
        <f>+N39*(1-Assum!$G$96)</f>
        <v>12.635299488599999</v>
      </c>
      <c r="O26" s="676">
        <f>+O39*(1-Assum!$G$96)</f>
        <v>12.635299488599999</v>
      </c>
      <c r="P26" s="19"/>
    </row>
    <row r="27" spans="2:16" ht="27.75" x14ac:dyDescent="0.35">
      <c r="B27" s="89">
        <f>B26+1</f>
        <v>3</v>
      </c>
      <c r="C27" s="46" t="s">
        <v>659</v>
      </c>
      <c r="D27" s="1264">
        <f t="shared" ref="D27:O27" si="4">+D25/D26</f>
        <v>0</v>
      </c>
      <c r="E27" s="1264">
        <f t="shared" si="4"/>
        <v>0</v>
      </c>
      <c r="F27" s="1264">
        <f t="shared" si="4"/>
        <v>0</v>
      </c>
      <c r="G27" s="1264">
        <f t="shared" si="4"/>
        <v>0</v>
      </c>
      <c r="H27" s="1264">
        <f t="shared" si="4"/>
        <v>0</v>
      </c>
      <c r="I27" s="1264">
        <f t="shared" si="4"/>
        <v>0</v>
      </c>
      <c r="J27" s="1264">
        <f t="shared" si="4"/>
        <v>0</v>
      </c>
      <c r="K27" s="1264">
        <f t="shared" si="4"/>
        <v>0</v>
      </c>
      <c r="L27" s="1264">
        <f t="shared" si="4"/>
        <v>0</v>
      </c>
      <c r="M27" s="1264">
        <f t="shared" si="4"/>
        <v>0</v>
      </c>
      <c r="N27" s="1264">
        <f t="shared" si="4"/>
        <v>0</v>
      </c>
      <c r="O27" s="1264">
        <f t="shared" si="4"/>
        <v>0</v>
      </c>
      <c r="P27" s="19"/>
    </row>
    <row r="28" spans="2:16" x14ac:dyDescent="0.35">
      <c r="B28" s="89">
        <f>B27+1</f>
        <v>4</v>
      </c>
      <c r="C28" s="46" t="s">
        <v>660</v>
      </c>
      <c r="D28" s="1273">
        <v>0</v>
      </c>
      <c r="E28" s="1273">
        <v>0</v>
      </c>
      <c r="F28" s="1273">
        <v>0</v>
      </c>
      <c r="G28" s="1273">
        <v>0</v>
      </c>
      <c r="H28" s="1273">
        <v>0</v>
      </c>
      <c r="I28" s="1273">
        <v>0</v>
      </c>
      <c r="J28" s="1273">
        <v>0</v>
      </c>
      <c r="K28" s="1741">
        <v>0</v>
      </c>
      <c r="L28" s="1741">
        <v>0</v>
      </c>
      <c r="M28" s="1741">
        <v>0</v>
      </c>
      <c r="N28" s="1741">
        <v>0</v>
      </c>
      <c r="O28" s="1741">
        <v>0</v>
      </c>
      <c r="P28" s="19"/>
    </row>
    <row r="29" spans="2:16" x14ac:dyDescent="0.35">
      <c r="B29" s="89">
        <f>B28+1</f>
        <v>5</v>
      </c>
      <c r="C29" s="46" t="s">
        <v>661</v>
      </c>
      <c r="D29" s="675">
        <v>0</v>
      </c>
      <c r="E29" s="675">
        <v>0</v>
      </c>
      <c r="F29" s="675">
        <v>0</v>
      </c>
      <c r="G29" s="675">
        <v>0</v>
      </c>
      <c r="H29" s="675">
        <v>0</v>
      </c>
      <c r="I29" s="675">
        <v>0</v>
      </c>
      <c r="J29" s="675">
        <v>0</v>
      </c>
      <c r="K29" s="675">
        <v>0</v>
      </c>
      <c r="L29" s="675">
        <v>0</v>
      </c>
      <c r="M29" s="675">
        <v>0</v>
      </c>
      <c r="N29" s="675">
        <v>0</v>
      </c>
      <c r="O29" s="675">
        <v>0</v>
      </c>
      <c r="P29" s="19"/>
    </row>
    <row r="30" spans="2:16" ht="27.75" x14ac:dyDescent="0.35">
      <c r="B30" s="89">
        <f>B29+1</f>
        <v>6</v>
      </c>
      <c r="C30" s="46" t="s">
        <v>662</v>
      </c>
      <c r="D30" s="1274">
        <f t="shared" ref="D30:O30" si="5">+D25+D28-D29</f>
        <v>0</v>
      </c>
      <c r="E30" s="1274">
        <f t="shared" si="5"/>
        <v>0</v>
      </c>
      <c r="F30" s="1274">
        <f t="shared" si="5"/>
        <v>0</v>
      </c>
      <c r="G30" s="1274">
        <f t="shared" si="5"/>
        <v>0</v>
      </c>
      <c r="H30" s="1274">
        <f t="shared" si="5"/>
        <v>0</v>
      </c>
      <c r="I30" s="1274">
        <f t="shared" si="5"/>
        <v>0</v>
      </c>
      <c r="J30" s="1274">
        <f t="shared" si="5"/>
        <v>0</v>
      </c>
      <c r="K30" s="1274">
        <f t="shared" si="5"/>
        <v>0</v>
      </c>
      <c r="L30" s="1274">
        <f t="shared" si="5"/>
        <v>0</v>
      </c>
      <c r="M30" s="1274">
        <f t="shared" si="5"/>
        <v>0</v>
      </c>
      <c r="N30" s="1274">
        <f t="shared" si="5"/>
        <v>0</v>
      </c>
      <c r="O30" s="1274">
        <f t="shared" si="5"/>
        <v>0</v>
      </c>
      <c r="P30" s="19"/>
    </row>
    <row r="32" spans="2:16" x14ac:dyDescent="0.35">
      <c r="B32" s="10" t="s">
        <v>663</v>
      </c>
    </row>
    <row r="33" spans="2:15" x14ac:dyDescent="0.35">
      <c r="B33" s="10">
        <v>2</v>
      </c>
      <c r="C33" s="2066" t="s">
        <v>664</v>
      </c>
      <c r="D33" s="2066"/>
      <c r="E33" s="2066"/>
      <c r="F33" s="2066"/>
      <c r="G33" s="2066"/>
      <c r="H33" s="2066"/>
      <c r="I33" s="2066"/>
      <c r="J33" s="2066"/>
      <c r="K33" s="2066"/>
    </row>
    <row r="39" spans="2:15" x14ac:dyDescent="0.35">
      <c r="C39" s="10" t="s">
        <v>1492</v>
      </c>
      <c r="D39" s="751">
        <f>+Recon!E153+Recon!E154</f>
        <v>0.81702184199999994</v>
      </c>
      <c r="E39" s="751">
        <f>+Recon!H153+Recon!H154</f>
        <v>2.4078773189999998</v>
      </c>
      <c r="F39" s="751">
        <f>+Recon!K153+Recon!K154</f>
        <v>2.6200256549999996</v>
      </c>
      <c r="G39" s="751">
        <f>+Recon!N153+Recon!N154</f>
        <v>2.6929351539999997</v>
      </c>
      <c r="H39" s="751">
        <f>+Recon!Q153+Recon!Q154</f>
        <v>6.3425331830000005</v>
      </c>
      <c r="I39" s="751">
        <f>+Recon!T153+Recon!T154</f>
        <v>18.265165177</v>
      </c>
      <c r="J39" s="751">
        <f>+Recon!W153+Recon!W154</f>
        <v>14.039221653999999</v>
      </c>
      <c r="K39" s="1272">
        <f>+J39</f>
        <v>14.039221653999999</v>
      </c>
      <c r="L39" s="1272">
        <f>+K39</f>
        <v>14.039221653999999</v>
      </c>
      <c r="M39" s="1272">
        <f>+L39</f>
        <v>14.039221653999999</v>
      </c>
      <c r="N39" s="1272">
        <f>+M39</f>
        <v>14.039221653999999</v>
      </c>
      <c r="O39" s="1272">
        <f>+N39</f>
        <v>14.039221653999999</v>
      </c>
    </row>
  </sheetData>
  <mergeCells count="15">
    <mergeCell ref="C33:K33"/>
    <mergeCell ref="B2:P2"/>
    <mergeCell ref="B3:P3"/>
    <mergeCell ref="B4:P4"/>
    <mergeCell ref="P9:P10"/>
    <mergeCell ref="B23:B24"/>
    <mergeCell ref="C23:C24"/>
    <mergeCell ref="P23:P24"/>
    <mergeCell ref="B9:B10"/>
    <mergeCell ref="C9:C10"/>
    <mergeCell ref="C19:K19"/>
    <mergeCell ref="K9:O9"/>
    <mergeCell ref="D10:I10"/>
    <mergeCell ref="K23:O23"/>
    <mergeCell ref="D24:I24"/>
  </mergeCells>
  <pageMargins left="0.75" right="0.75" top="1" bottom="1" header="0.5" footer="0.5"/>
  <pageSetup paperSize="9" scale="4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P54"/>
  <sheetViews>
    <sheetView showGridLines="0" view="pageBreakPreview" topLeftCell="A6" zoomScale="60" zoomScaleNormal="75" workbookViewId="0">
      <selection activeCell="C90" sqref="B90:P113"/>
    </sheetView>
  </sheetViews>
  <sheetFormatPr defaultColWidth="9.33203125" defaultRowHeight="13.9" x14ac:dyDescent="0.35"/>
  <cols>
    <col min="1" max="1" width="6.6640625" style="10" customWidth="1"/>
    <col min="2" max="2" width="9.33203125" style="57" customWidth="1"/>
    <col min="3" max="3" width="36.46484375" style="50" customWidth="1"/>
    <col min="4" max="6" width="16.19921875" style="50" customWidth="1"/>
    <col min="7" max="15" width="16.19921875" style="10" customWidth="1"/>
    <col min="16" max="16" width="11.6640625" style="10" customWidth="1"/>
    <col min="17" max="16384" width="9.33203125" style="10"/>
  </cols>
  <sheetData>
    <row r="2" spans="2:16" x14ac:dyDescent="0.35">
      <c r="B2" s="2019" t="str">
        <f>Index!B2</f>
        <v>Nidar Utilities Panvel LLP</v>
      </c>
      <c r="C2" s="2019"/>
      <c r="D2" s="2019"/>
      <c r="E2" s="2019"/>
      <c r="F2" s="2019"/>
      <c r="G2" s="2019"/>
      <c r="H2" s="2019"/>
      <c r="I2" s="2019"/>
      <c r="J2" s="2019"/>
      <c r="K2" s="2019"/>
      <c r="L2" s="2019"/>
      <c r="M2" s="2019"/>
      <c r="N2" s="2019"/>
      <c r="O2" s="2019"/>
      <c r="P2" s="2019"/>
    </row>
    <row r="3" spans="2:16" s="1" customFormat="1" x14ac:dyDescent="0.4">
      <c r="B3" s="1875" t="s">
        <v>211</v>
      </c>
      <c r="C3" s="1875"/>
      <c r="D3" s="1875"/>
      <c r="E3" s="1875"/>
      <c r="F3" s="1875"/>
      <c r="G3" s="1875"/>
      <c r="H3" s="1875"/>
      <c r="I3" s="1875"/>
      <c r="J3" s="1875"/>
      <c r="K3" s="1875"/>
      <c r="L3" s="1875"/>
      <c r="M3" s="1875"/>
      <c r="N3" s="1875"/>
      <c r="O3" s="1875"/>
      <c r="P3" s="1875"/>
    </row>
    <row r="4" spans="2:16" s="1" customFormat="1" x14ac:dyDescent="0.4">
      <c r="B4" s="2056" t="s">
        <v>665</v>
      </c>
      <c r="C4" s="2056"/>
      <c r="D4" s="2056"/>
      <c r="E4" s="2056"/>
      <c r="F4" s="2056"/>
      <c r="G4" s="2056"/>
      <c r="H4" s="2056"/>
      <c r="I4" s="2056"/>
      <c r="J4" s="2056"/>
      <c r="K4" s="2056"/>
      <c r="L4" s="2056"/>
      <c r="M4" s="2056"/>
      <c r="N4" s="2056"/>
      <c r="O4" s="2056"/>
      <c r="P4" s="2056"/>
    </row>
    <row r="5" spans="2:16" s="1" customFormat="1" x14ac:dyDescent="0.4">
      <c r="B5" s="53"/>
      <c r="C5" s="189"/>
      <c r="D5" s="189"/>
      <c r="E5" s="189"/>
      <c r="F5" s="189"/>
      <c r="G5" s="4"/>
      <c r="H5" s="4"/>
      <c r="I5" s="4"/>
      <c r="J5" s="4"/>
      <c r="K5" s="6"/>
      <c r="L5" s="6"/>
      <c r="M5" s="6"/>
      <c r="N5" s="6"/>
      <c r="O5" s="6"/>
    </row>
    <row r="6" spans="2:16" s="1" customFormat="1" x14ac:dyDescent="0.4">
      <c r="B6" s="53"/>
      <c r="C6" s="99" t="s">
        <v>553</v>
      </c>
      <c r="D6" s="99"/>
      <c r="E6" s="99"/>
      <c r="F6" s="99"/>
      <c r="G6" s="4"/>
      <c r="H6" s="4"/>
      <c r="I6" s="4"/>
      <c r="J6" s="4"/>
      <c r="K6" s="6"/>
      <c r="L6" s="6"/>
      <c r="M6" s="6"/>
      <c r="N6" s="6"/>
      <c r="O6" s="6"/>
    </row>
    <row r="7" spans="2:16" s="1" customFormat="1" x14ac:dyDescent="0.4">
      <c r="B7" s="53"/>
      <c r="C7" s="189"/>
      <c r="D7" s="189"/>
      <c r="E7" s="189"/>
      <c r="F7" s="189"/>
      <c r="G7" s="4"/>
      <c r="H7" s="4"/>
      <c r="I7" s="4"/>
      <c r="J7" s="4"/>
      <c r="K7" s="6"/>
      <c r="L7" s="6"/>
      <c r="M7" s="6"/>
      <c r="N7" s="6"/>
      <c r="O7" s="6"/>
    </row>
    <row r="8" spans="2:16" s="1" customFormat="1" ht="15" customHeight="1" x14ac:dyDescent="0.4">
      <c r="B8" s="1938" t="s">
        <v>1</v>
      </c>
      <c r="C8" s="1940" t="s">
        <v>111</v>
      </c>
      <c r="D8" s="98" t="s">
        <v>196</v>
      </c>
      <c r="E8" s="98" t="s">
        <v>197</v>
      </c>
      <c r="F8" s="98" t="s">
        <v>198</v>
      </c>
      <c r="G8" s="98" t="s">
        <v>199</v>
      </c>
      <c r="H8" s="358" t="s">
        <v>112</v>
      </c>
      <c r="I8" s="358" t="s">
        <v>113</v>
      </c>
      <c r="J8" s="358" t="s">
        <v>114</v>
      </c>
      <c r="K8" s="1934" t="s">
        <v>1019</v>
      </c>
      <c r="L8" s="1935"/>
      <c r="M8" s="1935"/>
      <c r="N8" s="1935"/>
      <c r="O8" s="1936"/>
      <c r="P8" s="1941" t="s">
        <v>116</v>
      </c>
    </row>
    <row r="9" spans="2:16" ht="27" x14ac:dyDescent="0.35">
      <c r="B9" s="1939"/>
      <c r="C9" s="1940"/>
      <c r="D9" s="1934" t="s">
        <v>117</v>
      </c>
      <c r="E9" s="1935"/>
      <c r="F9" s="1935"/>
      <c r="G9" s="1935"/>
      <c r="H9" s="1935"/>
      <c r="I9" s="1936"/>
      <c r="J9" s="217" t="s">
        <v>121</v>
      </c>
      <c r="K9" s="217" t="s">
        <v>123</v>
      </c>
      <c r="L9" s="217" t="s">
        <v>124</v>
      </c>
      <c r="M9" s="217" t="s">
        <v>125</v>
      </c>
      <c r="N9" s="217" t="s">
        <v>126</v>
      </c>
      <c r="O9" s="217" t="s">
        <v>127</v>
      </c>
      <c r="P9" s="1941"/>
    </row>
    <row r="10" spans="2:16" x14ac:dyDescent="0.35">
      <c r="B10" s="192">
        <v>1</v>
      </c>
      <c r="C10" s="193" t="s">
        <v>666</v>
      </c>
      <c r="D10" s="527">
        <v>0</v>
      </c>
      <c r="E10" s="527">
        <f>+D15</f>
        <v>0</v>
      </c>
      <c r="F10" s="527">
        <f t="shared" ref="F10:O10" si="0">+E15</f>
        <v>0.13886720361875002</v>
      </c>
      <c r="G10" s="527">
        <f t="shared" si="0"/>
        <v>0.30663822961614701</v>
      </c>
      <c r="H10" s="527">
        <f t="shared" si="0"/>
        <v>0.47759586012604394</v>
      </c>
      <c r="I10" s="527">
        <f t="shared" si="0"/>
        <v>0.65019072225094088</v>
      </c>
      <c r="J10" s="527">
        <f t="shared" si="0"/>
        <v>0.82279802185333784</v>
      </c>
      <c r="K10" s="527">
        <f t="shared" si="0"/>
        <v>0.99572622786698484</v>
      </c>
      <c r="L10" s="527">
        <f t="shared" si="0"/>
        <v>1.1686870983431317</v>
      </c>
      <c r="M10" s="527">
        <f t="shared" si="0"/>
        <v>1.3423879103192786</v>
      </c>
      <c r="N10" s="527">
        <f t="shared" si="0"/>
        <v>1.5162387222954257</v>
      </c>
      <c r="O10" s="527">
        <f t="shared" si="0"/>
        <v>1.6900895342715727</v>
      </c>
      <c r="P10" s="194"/>
    </row>
    <row r="11" spans="2:16" ht="15" customHeight="1" x14ac:dyDescent="0.4">
      <c r="B11" s="192">
        <f t="shared" ref="B11:B16" si="1">B10+1</f>
        <v>2</v>
      </c>
      <c r="C11" s="193" t="s">
        <v>667</v>
      </c>
      <c r="D11" s="527">
        <v>0</v>
      </c>
      <c r="E11" s="527">
        <f>+'F5.1 (E) Exisiting'!I24+'F5.1 (N) New'!I24</f>
        <v>55.546881447500006</v>
      </c>
      <c r="F11" s="527">
        <f>+'F5.1 (E) Exisiting'!N24+'F5.1 (N) New'!N24</f>
        <v>67.108410398958796</v>
      </c>
      <c r="G11" s="1275">
        <f>+'F5.1 (E) Exisiting'!S24+'F5.1 (N) New'!S24</f>
        <v>68.383052203958783</v>
      </c>
      <c r="H11" s="1276">
        <f>+'F5.1 (E) Exisiting'!D38+'F5.1 (N) New'!D38</f>
        <v>69.037944849958777</v>
      </c>
      <c r="I11" s="1276">
        <f>+'F5.1 (E) Exisiting'!I38+'F5.1 (N) New'!I38</f>
        <v>69.042919840958774</v>
      </c>
      <c r="J11" s="1275">
        <f>+'F5.1 (E) Exisiting'!N38+'F5.1 (N) New'!N38</f>
        <v>69.171282405458797</v>
      </c>
      <c r="K11" s="1276">
        <f>+'F5.1 (E) Exisiting'!S38+'F5.1 (N) New'!S38</f>
        <v>69.184348190458778</v>
      </c>
      <c r="L11" s="1276">
        <f>+'F5.1 (E) Exisiting'!D52+'F5.1 (N) New'!D52</f>
        <v>69.480324790458781</v>
      </c>
      <c r="M11" s="1277">
        <f>+'F5.1 (E) Exisiting'!I52+'F5.1 (N) New'!I52</f>
        <v>69.540324790458783</v>
      </c>
      <c r="N11" s="1277">
        <f>+'F5.1 (E) Exisiting'!N52+'F5.1 (N) New'!N52</f>
        <v>69.540324790458783</v>
      </c>
      <c r="O11" s="1277">
        <f>+'F5.1 (E) Exisiting'!S52+'F5.1 (N) New'!S52</f>
        <v>69.540324790458783</v>
      </c>
      <c r="P11" s="194"/>
    </row>
    <row r="12" spans="2:16" ht="27.75" x14ac:dyDescent="0.35">
      <c r="B12" s="192">
        <f t="shared" si="1"/>
        <v>3</v>
      </c>
      <c r="C12" s="193" t="s">
        <v>668</v>
      </c>
      <c r="D12" s="1249" t="e">
        <f>+D10/D11</f>
        <v>#DIV/0!</v>
      </c>
      <c r="E12" s="1249">
        <f t="shared" ref="E12:O12" si="2">+E10/E11</f>
        <v>0</v>
      </c>
      <c r="F12" s="1249">
        <f t="shared" si="2"/>
        <v>2.0692965724144852E-3</v>
      </c>
      <c r="G12" s="1249">
        <f t="shared" si="2"/>
        <v>4.4841261062985331E-3</v>
      </c>
      <c r="H12" s="1249">
        <f t="shared" si="2"/>
        <v>6.9178748174501771E-3</v>
      </c>
      <c r="I12" s="1249">
        <f t="shared" si="2"/>
        <v>9.4171961983743353E-3</v>
      </c>
      <c r="J12" s="1249">
        <f t="shared" si="2"/>
        <v>1.1895081213477763E-2</v>
      </c>
      <c r="K12" s="1249">
        <f t="shared" si="2"/>
        <v>1.4392362635633035E-2</v>
      </c>
      <c r="L12" s="1249">
        <f t="shared" si="2"/>
        <v>1.6820403500814072E-2</v>
      </c>
      <c r="M12" s="1249">
        <f t="shared" si="2"/>
        <v>1.9303733687816477E-2</v>
      </c>
      <c r="N12" s="1249">
        <f t="shared" si="2"/>
        <v>2.180373368781648E-2</v>
      </c>
      <c r="O12" s="1249">
        <f t="shared" si="2"/>
        <v>2.4303733687816482E-2</v>
      </c>
      <c r="P12" s="194"/>
    </row>
    <row r="13" spans="2:16" ht="27.75" x14ac:dyDescent="0.35">
      <c r="B13" s="192">
        <f t="shared" si="1"/>
        <v>4</v>
      </c>
      <c r="C13" s="193" t="s">
        <v>669</v>
      </c>
      <c r="D13" s="527">
        <f>+D11*0.25%</f>
        <v>0</v>
      </c>
      <c r="E13" s="527">
        <f t="shared" ref="E13:O13" si="3">+E11*0.25%</f>
        <v>0.13886720361875002</v>
      </c>
      <c r="F13" s="527">
        <f t="shared" si="3"/>
        <v>0.16777102599739699</v>
      </c>
      <c r="G13" s="527">
        <f t="shared" si="3"/>
        <v>0.17095763050989696</v>
      </c>
      <c r="H13" s="527">
        <f t="shared" si="3"/>
        <v>0.17259486212489694</v>
      </c>
      <c r="I13" s="527">
        <f t="shared" si="3"/>
        <v>0.17260729960239693</v>
      </c>
      <c r="J13" s="527">
        <f t="shared" si="3"/>
        <v>0.172928206013647</v>
      </c>
      <c r="K13" s="527">
        <f t="shared" si="3"/>
        <v>0.17296087047614694</v>
      </c>
      <c r="L13" s="527">
        <f t="shared" si="3"/>
        <v>0.17370081197614695</v>
      </c>
      <c r="M13" s="527">
        <f t="shared" si="3"/>
        <v>0.17385081197614696</v>
      </c>
      <c r="N13" s="527">
        <f t="shared" si="3"/>
        <v>0.17385081197614696</v>
      </c>
      <c r="O13" s="527">
        <f t="shared" si="3"/>
        <v>0.17385081197614696</v>
      </c>
      <c r="P13" s="194"/>
    </row>
    <row r="14" spans="2:16" ht="27.75" x14ac:dyDescent="0.4">
      <c r="B14" s="192">
        <f t="shared" si="1"/>
        <v>5</v>
      </c>
      <c r="C14" s="193" t="s">
        <v>670</v>
      </c>
      <c r="D14" s="527"/>
      <c r="E14" s="527"/>
      <c r="F14" s="527"/>
      <c r="G14" s="1275"/>
      <c r="H14" s="1276"/>
      <c r="I14" s="1276"/>
      <c r="J14" s="1275"/>
      <c r="K14" s="1276"/>
      <c r="L14" s="1276"/>
      <c r="M14" s="1277"/>
      <c r="N14" s="1277"/>
      <c r="O14" s="1277"/>
      <c r="P14" s="194"/>
    </row>
    <row r="15" spans="2:16" x14ac:dyDescent="0.35">
      <c r="B15" s="192">
        <f t="shared" si="1"/>
        <v>6</v>
      </c>
      <c r="C15" s="193" t="s">
        <v>671</v>
      </c>
      <c r="D15" s="527">
        <f>+D10+D13-D14</f>
        <v>0</v>
      </c>
      <c r="E15" s="527">
        <f t="shared" ref="E15:O15" si="4">+E10+E13-E14</f>
        <v>0.13886720361875002</v>
      </c>
      <c r="F15" s="527">
        <f t="shared" si="4"/>
        <v>0.30663822961614701</v>
      </c>
      <c r="G15" s="527">
        <f t="shared" si="4"/>
        <v>0.47759586012604394</v>
      </c>
      <c r="H15" s="527">
        <f t="shared" si="4"/>
        <v>0.65019072225094088</v>
      </c>
      <c r="I15" s="527">
        <f t="shared" si="4"/>
        <v>0.82279802185333784</v>
      </c>
      <c r="J15" s="527">
        <f t="shared" si="4"/>
        <v>0.99572622786698484</v>
      </c>
      <c r="K15" s="527">
        <f t="shared" si="4"/>
        <v>1.1686870983431317</v>
      </c>
      <c r="L15" s="527">
        <f t="shared" si="4"/>
        <v>1.3423879103192786</v>
      </c>
      <c r="M15" s="527">
        <f t="shared" si="4"/>
        <v>1.5162387222954257</v>
      </c>
      <c r="N15" s="527">
        <f t="shared" si="4"/>
        <v>1.6900895342715727</v>
      </c>
      <c r="O15" s="527">
        <f t="shared" si="4"/>
        <v>1.8639403462477198</v>
      </c>
      <c r="P15" s="194"/>
    </row>
    <row r="16" spans="2:16" ht="27.75" x14ac:dyDescent="0.35">
      <c r="B16" s="192">
        <f t="shared" si="1"/>
        <v>7</v>
      </c>
      <c r="C16" s="193" t="s">
        <v>672</v>
      </c>
      <c r="D16" s="1278" t="e">
        <f>+D15/D11</f>
        <v>#DIV/0!</v>
      </c>
      <c r="E16" s="1249">
        <f t="shared" ref="E16:O16" si="5">+E15/E11</f>
        <v>2.5000000000000001E-3</v>
      </c>
      <c r="F16" s="1249">
        <f t="shared" si="5"/>
        <v>4.5692965724144852E-3</v>
      </c>
      <c r="G16" s="1249">
        <f t="shared" si="5"/>
        <v>6.9841261062985327E-3</v>
      </c>
      <c r="H16" s="1249">
        <f t="shared" si="5"/>
        <v>9.4178748174501767E-3</v>
      </c>
      <c r="I16" s="1249">
        <f t="shared" si="5"/>
        <v>1.1917196198374334E-2</v>
      </c>
      <c r="J16" s="1249">
        <f t="shared" si="5"/>
        <v>1.4395081213477762E-2</v>
      </c>
      <c r="K16" s="1249">
        <f t="shared" si="5"/>
        <v>1.6892362635633033E-2</v>
      </c>
      <c r="L16" s="1249">
        <f t="shared" si="5"/>
        <v>1.9320403500814074E-2</v>
      </c>
      <c r="M16" s="1249">
        <f t="shared" si="5"/>
        <v>2.180373368781648E-2</v>
      </c>
      <c r="N16" s="1249">
        <f t="shared" si="5"/>
        <v>2.4303733687816482E-2</v>
      </c>
      <c r="O16" s="1249">
        <f t="shared" si="5"/>
        <v>2.6803733687816484E-2</v>
      </c>
      <c r="P16" s="194"/>
    </row>
    <row r="17" spans="2:16" ht="15.4" x14ac:dyDescent="0.45">
      <c r="B17" s="195"/>
      <c r="C17" s="196"/>
      <c r="D17" s="196"/>
      <c r="E17" s="196"/>
      <c r="F17" s="196"/>
      <c r="G17" s="197"/>
      <c r="H17" s="197"/>
      <c r="I17" s="197"/>
      <c r="J17" s="197"/>
      <c r="K17" s="197"/>
      <c r="L17" s="197"/>
      <c r="M17" s="197"/>
      <c r="N17" s="197"/>
      <c r="O17" s="197"/>
      <c r="P17" s="197"/>
    </row>
    <row r="18" spans="2:16" ht="15.4" x14ac:dyDescent="0.45">
      <c r="B18" s="10" t="s">
        <v>663</v>
      </c>
      <c r="C18" s="196"/>
      <c r="D18" s="196"/>
      <c r="E18" s="196"/>
      <c r="F18" s="196"/>
      <c r="G18" s="197"/>
      <c r="H18" s="197"/>
      <c r="I18" s="197"/>
      <c r="J18" s="197"/>
      <c r="K18" s="197"/>
      <c r="L18" s="197"/>
      <c r="M18" s="197"/>
      <c r="N18" s="197"/>
      <c r="O18" s="197"/>
      <c r="P18" s="197"/>
    </row>
    <row r="19" spans="2:16" x14ac:dyDescent="0.35">
      <c r="B19" s="142">
        <v>2</v>
      </c>
      <c r="C19" s="2066" t="s">
        <v>673</v>
      </c>
      <c r="D19" s="2066"/>
      <c r="E19" s="2066"/>
      <c r="F19" s="2066"/>
      <c r="G19" s="2066"/>
      <c r="H19" s="2066"/>
      <c r="I19" s="2066"/>
      <c r="J19" s="2066"/>
    </row>
    <row r="22" spans="2:16" x14ac:dyDescent="0.35">
      <c r="C22" s="99" t="s">
        <v>278</v>
      </c>
      <c r="D22" s="99"/>
      <c r="E22" s="99"/>
      <c r="F22" s="99"/>
    </row>
    <row r="25" spans="2:16" ht="15" customHeight="1" x14ac:dyDescent="0.35">
      <c r="B25" s="1938" t="s">
        <v>1</v>
      </c>
      <c r="C25" s="1940" t="s">
        <v>111</v>
      </c>
      <c r="D25" s="98" t="s">
        <v>196</v>
      </c>
      <c r="E25" s="98" t="s">
        <v>197</v>
      </c>
      <c r="F25" s="98" t="s">
        <v>198</v>
      </c>
      <c r="G25" s="98" t="s">
        <v>199</v>
      </c>
      <c r="H25" s="358" t="s">
        <v>112</v>
      </c>
      <c r="I25" s="358" t="s">
        <v>113</v>
      </c>
      <c r="J25" s="358" t="s">
        <v>114</v>
      </c>
      <c r="K25" s="1934" t="s">
        <v>1019</v>
      </c>
      <c r="L25" s="1935"/>
      <c r="M25" s="1935"/>
      <c r="N25" s="1935"/>
      <c r="O25" s="1936"/>
      <c r="P25" s="1941" t="s">
        <v>116</v>
      </c>
    </row>
    <row r="26" spans="2:16" ht="27" x14ac:dyDescent="0.35">
      <c r="B26" s="1939"/>
      <c r="C26" s="1940"/>
      <c r="D26" s="1934" t="s">
        <v>117</v>
      </c>
      <c r="E26" s="1935"/>
      <c r="F26" s="1935"/>
      <c r="G26" s="1935"/>
      <c r="H26" s="1935"/>
      <c r="I26" s="1936"/>
      <c r="J26" s="217" t="s">
        <v>121</v>
      </c>
      <c r="K26" s="217" t="s">
        <v>123</v>
      </c>
      <c r="L26" s="217" t="s">
        <v>124</v>
      </c>
      <c r="M26" s="217" t="s">
        <v>125</v>
      </c>
      <c r="N26" s="217" t="s">
        <v>126</v>
      </c>
      <c r="O26" s="217" t="s">
        <v>127</v>
      </c>
      <c r="P26" s="1941"/>
    </row>
    <row r="27" spans="2:16" x14ac:dyDescent="0.35">
      <c r="B27" s="192">
        <v>1</v>
      </c>
      <c r="C27" s="193" t="s">
        <v>666</v>
      </c>
      <c r="D27" s="527">
        <v>0</v>
      </c>
      <c r="E27" s="527">
        <f>+D32</f>
        <v>0</v>
      </c>
      <c r="F27" s="527">
        <f t="shared" ref="F27:O27" si="6">+E32</f>
        <v>1.9147838687500003E-3</v>
      </c>
      <c r="G27" s="527">
        <f t="shared" si="6"/>
        <v>7.0011409848085822E-3</v>
      </c>
      <c r="H27" s="527">
        <f t="shared" si="6"/>
        <v>1.2113300380867165E-2</v>
      </c>
      <c r="I27" s="527">
        <f t="shared" si="6"/>
        <v>1.7991120849425748E-2</v>
      </c>
      <c r="J27" s="527">
        <f t="shared" si="6"/>
        <v>2.6940002315484331E-2</v>
      </c>
      <c r="K27" s="527">
        <f t="shared" si="6"/>
        <v>3.6006510850292911E-2</v>
      </c>
      <c r="L27" s="527">
        <f t="shared" si="6"/>
        <v>4.512515384760149E-2</v>
      </c>
      <c r="M27" s="527">
        <f t="shared" si="6"/>
        <v>5.4513746844910074E-2</v>
      </c>
      <c r="N27" s="527">
        <f t="shared" si="6"/>
        <v>6.4450896092218657E-2</v>
      </c>
      <c r="O27" s="527">
        <f t="shared" si="6"/>
        <v>7.5125237589527244E-2</v>
      </c>
      <c r="P27" s="194"/>
    </row>
    <row r="28" spans="2:16" x14ac:dyDescent="0.35">
      <c r="B28" s="192">
        <f t="shared" ref="B28:B33" si="7">B27+1</f>
        <v>2</v>
      </c>
      <c r="C28" s="193" t="s">
        <v>667</v>
      </c>
      <c r="D28" s="527">
        <v>0</v>
      </c>
      <c r="E28" s="527">
        <f>+'F5.2 (E) Existing'!I24+'F5.2 (N) New'!I24</f>
        <v>0.76591354750000007</v>
      </c>
      <c r="F28" s="527">
        <f>+'F5.2 (E) Existing'!N24+'F5.2 (N) New'!N24</f>
        <v>2.0345428464234327</v>
      </c>
      <c r="G28" s="527">
        <f>+'F5.2 (E) Existing'!S24+'F5.2 (N) New'!S24</f>
        <v>2.0448637584234328</v>
      </c>
      <c r="H28" s="527">
        <f>+'F5.2 (E) Existing'!D38+'F5.2 (N) New'!D38</f>
        <v>2.3511281874234329</v>
      </c>
      <c r="I28" s="527">
        <f>+'F5.2 (E) Existing'!I38+'F5.2 (N) New'!I38</f>
        <v>3.5795525864234325</v>
      </c>
      <c r="J28" s="527">
        <f>+'F5.2 (E) Existing'!N38+'F5.2 (N) New'!N38</f>
        <v>3.6266034139234327</v>
      </c>
      <c r="K28" s="527">
        <f>+'F5.2 (E) Existing'!S38+'F5.2 (N) New'!S38</f>
        <v>3.647457198923433</v>
      </c>
      <c r="L28" s="527">
        <f>+'F5.2 (E) Existing'!D52+'F5.2 (N) New'!D52</f>
        <v>3.755437198923433</v>
      </c>
      <c r="M28" s="527">
        <f>+'F5.2 (E) Existing'!I52+'F5.2 (N) New'!I52</f>
        <v>3.9748596989234328</v>
      </c>
      <c r="N28" s="527">
        <f>+'F5.2 (E) Existing'!N52+'F5.2 (N) New'!N52</f>
        <v>4.2697365989234335</v>
      </c>
      <c r="O28" s="527">
        <f>+'F5.2 (E) Existing'!S52+'F5.2 (N) New'!S52</f>
        <v>4.7024116989234326</v>
      </c>
      <c r="P28" s="194"/>
    </row>
    <row r="29" spans="2:16" ht="27.75" x14ac:dyDescent="0.35">
      <c r="B29" s="192">
        <f t="shared" si="7"/>
        <v>3</v>
      </c>
      <c r="C29" s="193" t="s">
        <v>668</v>
      </c>
      <c r="D29" s="1249" t="e">
        <f t="shared" ref="D29:O29" si="8">+D27/D28</f>
        <v>#DIV/0!</v>
      </c>
      <c r="E29" s="1249">
        <f t="shared" si="8"/>
        <v>0</v>
      </c>
      <c r="F29" s="1249">
        <f t="shared" si="8"/>
        <v>9.4113715624914989E-4</v>
      </c>
      <c r="G29" s="1249">
        <f t="shared" si="8"/>
        <v>3.4237689215081907E-3</v>
      </c>
      <c r="H29" s="1249">
        <f t="shared" si="8"/>
        <v>5.1521224770572612E-3</v>
      </c>
      <c r="I29" s="1249">
        <f t="shared" si="8"/>
        <v>5.0260808900147672E-3</v>
      </c>
      <c r="J29" s="1249">
        <f t="shared" si="8"/>
        <v>7.4284390214973493E-3</v>
      </c>
      <c r="K29" s="1249">
        <f t="shared" si="8"/>
        <v>9.8716746726789373E-3</v>
      </c>
      <c r="L29" s="1249">
        <f t="shared" si="8"/>
        <v>1.2015952193405729E-2</v>
      </c>
      <c r="M29" s="1249">
        <f t="shared" si="8"/>
        <v>1.3714634219586366E-2</v>
      </c>
      <c r="N29" s="1249">
        <f t="shared" si="8"/>
        <v>1.5094817818145792E-2</v>
      </c>
      <c r="O29" s="1249">
        <f t="shared" si="8"/>
        <v>1.5975895433980477E-2</v>
      </c>
      <c r="P29" s="194"/>
    </row>
    <row r="30" spans="2:16" ht="27.75" x14ac:dyDescent="0.35">
      <c r="B30" s="192">
        <f t="shared" si="7"/>
        <v>4</v>
      </c>
      <c r="C30" s="193" t="s">
        <v>669</v>
      </c>
      <c r="D30" s="527">
        <f>+D28*0.25%</f>
        <v>0</v>
      </c>
      <c r="E30" s="527">
        <f t="shared" ref="E30:O30" si="9">+E28*0.25%</f>
        <v>1.9147838687500003E-3</v>
      </c>
      <c r="F30" s="527">
        <f t="shared" si="9"/>
        <v>5.0863571160585817E-3</v>
      </c>
      <c r="G30" s="527">
        <f t="shared" si="9"/>
        <v>5.1121593960585824E-3</v>
      </c>
      <c r="H30" s="527">
        <f t="shared" si="9"/>
        <v>5.8778204685585823E-3</v>
      </c>
      <c r="I30" s="527">
        <f t="shared" si="9"/>
        <v>8.9488814660585812E-3</v>
      </c>
      <c r="J30" s="527">
        <f t="shared" si="9"/>
        <v>9.066508534808582E-3</v>
      </c>
      <c r="K30" s="527">
        <f t="shared" si="9"/>
        <v>9.1186429973085827E-3</v>
      </c>
      <c r="L30" s="527">
        <f t="shared" si="9"/>
        <v>9.3885929973085824E-3</v>
      </c>
      <c r="M30" s="527">
        <f t="shared" si="9"/>
        <v>9.9371492473085826E-3</v>
      </c>
      <c r="N30" s="527">
        <f t="shared" si="9"/>
        <v>1.0674341497308584E-2</v>
      </c>
      <c r="O30" s="527">
        <f t="shared" si="9"/>
        <v>1.1756029247308581E-2</v>
      </c>
      <c r="P30" s="194"/>
    </row>
    <row r="31" spans="2:16" ht="27.75" x14ac:dyDescent="0.4">
      <c r="B31" s="192">
        <f t="shared" si="7"/>
        <v>5</v>
      </c>
      <c r="C31" s="193" t="s">
        <v>670</v>
      </c>
      <c r="D31" s="527"/>
      <c r="E31" s="527"/>
      <c r="F31" s="527"/>
      <c r="G31" s="1275"/>
      <c r="H31" s="1276"/>
      <c r="I31" s="1276"/>
      <c r="J31" s="1275"/>
      <c r="K31" s="1276"/>
      <c r="L31" s="1276"/>
      <c r="M31" s="1277"/>
      <c r="N31" s="1277"/>
      <c r="O31" s="1277"/>
      <c r="P31" s="194"/>
    </row>
    <row r="32" spans="2:16" x14ac:dyDescent="0.35">
      <c r="B32" s="192">
        <f t="shared" si="7"/>
        <v>6</v>
      </c>
      <c r="C32" s="193" t="s">
        <v>671</v>
      </c>
      <c r="D32" s="527">
        <f t="shared" ref="D32:O32" si="10">+D27+D30-D31</f>
        <v>0</v>
      </c>
      <c r="E32" s="527">
        <f t="shared" si="10"/>
        <v>1.9147838687500003E-3</v>
      </c>
      <c r="F32" s="527">
        <f t="shared" si="10"/>
        <v>7.0011409848085822E-3</v>
      </c>
      <c r="G32" s="527">
        <f t="shared" si="10"/>
        <v>1.2113300380867165E-2</v>
      </c>
      <c r="H32" s="527">
        <f t="shared" si="10"/>
        <v>1.7991120849425748E-2</v>
      </c>
      <c r="I32" s="527">
        <f t="shared" si="10"/>
        <v>2.6940002315484331E-2</v>
      </c>
      <c r="J32" s="527">
        <f t="shared" si="10"/>
        <v>3.6006510850292911E-2</v>
      </c>
      <c r="K32" s="527">
        <f t="shared" si="10"/>
        <v>4.512515384760149E-2</v>
      </c>
      <c r="L32" s="527">
        <f t="shared" si="10"/>
        <v>5.4513746844910074E-2</v>
      </c>
      <c r="M32" s="527">
        <f t="shared" si="10"/>
        <v>6.4450896092218657E-2</v>
      </c>
      <c r="N32" s="527">
        <f t="shared" si="10"/>
        <v>7.5125237589527244E-2</v>
      </c>
      <c r="O32" s="527">
        <f t="shared" si="10"/>
        <v>8.6881266836835822E-2</v>
      </c>
      <c r="P32" s="194"/>
    </row>
    <row r="33" spans="2:16" ht="27.75" x14ac:dyDescent="0.35">
      <c r="B33" s="192">
        <f t="shared" si="7"/>
        <v>7</v>
      </c>
      <c r="C33" s="193" t="s">
        <v>672</v>
      </c>
      <c r="D33" s="1278" t="e">
        <f t="shared" ref="D33:O33" si="11">+D32/D28</f>
        <v>#DIV/0!</v>
      </c>
      <c r="E33" s="1249">
        <f t="shared" si="11"/>
        <v>2.5000000000000001E-3</v>
      </c>
      <c r="F33" s="1249">
        <f t="shared" si="11"/>
        <v>3.4411371562491498E-3</v>
      </c>
      <c r="G33" s="1249">
        <f t="shared" si="11"/>
        <v>5.9237689215081912E-3</v>
      </c>
      <c r="H33" s="1249">
        <f t="shared" si="11"/>
        <v>7.6521224770572608E-3</v>
      </c>
      <c r="I33" s="1249">
        <f t="shared" si="11"/>
        <v>7.5260808900147677E-3</v>
      </c>
      <c r="J33" s="1249">
        <f t="shared" si="11"/>
        <v>9.9284390214973497E-3</v>
      </c>
      <c r="K33" s="1249">
        <f t="shared" si="11"/>
        <v>1.2371674672678936E-2</v>
      </c>
      <c r="L33" s="1249">
        <f t="shared" si="11"/>
        <v>1.4515952193405729E-2</v>
      </c>
      <c r="M33" s="1249">
        <f t="shared" si="11"/>
        <v>1.6214634219586365E-2</v>
      </c>
      <c r="N33" s="1249">
        <f t="shared" si="11"/>
        <v>1.7594817818145793E-2</v>
      </c>
      <c r="O33" s="1249">
        <f t="shared" si="11"/>
        <v>1.8475895433980476E-2</v>
      </c>
      <c r="P33" s="194"/>
    </row>
    <row r="34" spans="2:16" ht="15.4" x14ac:dyDescent="0.45">
      <c r="B34" s="195"/>
      <c r="C34" s="196"/>
      <c r="D34" s="196"/>
      <c r="E34" s="196"/>
      <c r="F34" s="196"/>
      <c r="G34" s="197"/>
      <c r="H34" s="197"/>
      <c r="I34" s="197"/>
      <c r="J34" s="197"/>
      <c r="K34" s="197"/>
      <c r="L34" s="197"/>
      <c r="M34" s="197"/>
      <c r="N34" s="197"/>
      <c r="O34" s="197"/>
      <c r="P34" s="197"/>
    </row>
    <row r="35" spans="2:16" ht="15.4" x14ac:dyDescent="0.45">
      <c r="B35" s="10" t="s">
        <v>663</v>
      </c>
      <c r="C35" s="196"/>
      <c r="D35" s="196"/>
      <c r="E35" s="196"/>
      <c r="F35" s="196"/>
      <c r="G35" s="197"/>
      <c r="H35" s="197"/>
      <c r="I35" s="197"/>
      <c r="J35" s="197"/>
      <c r="K35" s="197"/>
      <c r="L35" s="197"/>
      <c r="M35" s="197"/>
      <c r="N35" s="197"/>
      <c r="O35" s="197"/>
      <c r="P35" s="197"/>
    </row>
    <row r="36" spans="2:16" x14ac:dyDescent="0.35">
      <c r="B36" s="142">
        <v>2</v>
      </c>
      <c r="C36" s="2066" t="s">
        <v>673</v>
      </c>
      <c r="D36" s="2066"/>
      <c r="E36" s="2066"/>
      <c r="F36" s="2066"/>
      <c r="G36" s="2066"/>
      <c r="H36" s="2066"/>
      <c r="I36" s="2066"/>
      <c r="J36" s="2066"/>
    </row>
    <row r="37" spans="2:16" x14ac:dyDescent="0.35">
      <c r="B37" s="142">
        <v>3</v>
      </c>
      <c r="C37" s="2066" t="s">
        <v>674</v>
      </c>
      <c r="D37" s="2066"/>
      <c r="E37" s="2066"/>
      <c r="F37" s="2066"/>
      <c r="G37" s="2066"/>
      <c r="H37" s="2066"/>
      <c r="I37" s="2066"/>
      <c r="J37" s="2066"/>
      <c r="K37" s="2066"/>
    </row>
    <row r="38" spans="2:16" x14ac:dyDescent="0.35">
      <c r="B38" s="142">
        <v>4</v>
      </c>
      <c r="C38" s="2066" t="s">
        <v>675</v>
      </c>
      <c r="D38" s="2066"/>
      <c r="E38" s="2066"/>
      <c r="F38" s="2066"/>
      <c r="G38" s="2066"/>
      <c r="H38" s="2066"/>
      <c r="I38" s="2066"/>
      <c r="J38" s="2066"/>
      <c r="K38" s="2066"/>
    </row>
    <row r="41" spans="2:16" x14ac:dyDescent="0.35">
      <c r="C41" s="99" t="s">
        <v>1486</v>
      </c>
      <c r="D41" s="99"/>
      <c r="E41" s="99"/>
      <c r="F41" s="99"/>
    </row>
    <row r="44" spans="2:16" x14ac:dyDescent="0.35">
      <c r="B44" s="1938" t="s">
        <v>1</v>
      </c>
      <c r="C44" s="1940" t="s">
        <v>111</v>
      </c>
      <c r="D44" s="98" t="s">
        <v>196</v>
      </c>
      <c r="E44" s="98" t="s">
        <v>197</v>
      </c>
      <c r="F44" s="98" t="s">
        <v>198</v>
      </c>
      <c r="G44" s="98" t="s">
        <v>199</v>
      </c>
      <c r="H44" s="358" t="s">
        <v>112</v>
      </c>
      <c r="I44" s="358" t="s">
        <v>113</v>
      </c>
      <c r="J44" s="358" t="s">
        <v>114</v>
      </c>
      <c r="K44" s="1934" t="s">
        <v>1019</v>
      </c>
      <c r="L44" s="1935"/>
      <c r="M44" s="1935"/>
      <c r="N44" s="1935"/>
      <c r="O44" s="1936"/>
      <c r="P44" s="1941" t="s">
        <v>116</v>
      </c>
    </row>
    <row r="45" spans="2:16" ht="27" x14ac:dyDescent="0.35">
      <c r="B45" s="1939"/>
      <c r="C45" s="1940"/>
      <c r="D45" s="1934" t="s">
        <v>117</v>
      </c>
      <c r="E45" s="1935"/>
      <c r="F45" s="1935"/>
      <c r="G45" s="1935"/>
      <c r="H45" s="1935"/>
      <c r="I45" s="1936"/>
      <c r="J45" s="217" t="s">
        <v>121</v>
      </c>
      <c r="K45" s="217" t="s">
        <v>123</v>
      </c>
      <c r="L45" s="217" t="s">
        <v>124</v>
      </c>
      <c r="M45" s="217" t="s">
        <v>125</v>
      </c>
      <c r="N45" s="217" t="s">
        <v>126</v>
      </c>
      <c r="O45" s="217" t="s">
        <v>127</v>
      </c>
      <c r="P45" s="1941"/>
    </row>
    <row r="46" spans="2:16" x14ac:dyDescent="0.35">
      <c r="B46" s="192">
        <v>1</v>
      </c>
      <c r="C46" s="193" t="s">
        <v>666</v>
      </c>
      <c r="D46" s="527">
        <v>0</v>
      </c>
      <c r="E46" s="527">
        <f>+D51</f>
        <v>0</v>
      </c>
      <c r="F46" s="527">
        <f t="shared" ref="F46:O46" si="12">+E51</f>
        <v>0.14078198748750001</v>
      </c>
      <c r="G46" s="527">
        <f t="shared" si="12"/>
        <v>0.31363937060095559</v>
      </c>
      <c r="H46" s="527">
        <f t="shared" si="12"/>
        <v>0.48970916050691116</v>
      </c>
      <c r="I46" s="527">
        <f t="shared" si="12"/>
        <v>0.66818184310036666</v>
      </c>
      <c r="J46" s="527">
        <f t="shared" si="12"/>
        <v>0.84973802416882216</v>
      </c>
      <c r="K46" s="527">
        <f t="shared" si="12"/>
        <v>1.0317327387172777</v>
      </c>
      <c r="L46" s="527">
        <f t="shared" si="12"/>
        <v>1.2138122521907331</v>
      </c>
      <c r="M46" s="527">
        <f t="shared" si="12"/>
        <v>1.3969016571641886</v>
      </c>
      <c r="N46" s="527">
        <f t="shared" si="12"/>
        <v>1.5806896183876442</v>
      </c>
      <c r="O46" s="527">
        <f t="shared" si="12"/>
        <v>1.7652147718610998</v>
      </c>
      <c r="P46" s="194"/>
    </row>
    <row r="47" spans="2:16" x14ac:dyDescent="0.35">
      <c r="B47" s="192">
        <f t="shared" ref="B47:B52" si="13">B46+1</f>
        <v>2</v>
      </c>
      <c r="C47" s="193" t="s">
        <v>667</v>
      </c>
      <c r="D47" s="527">
        <f>+D28+D11</f>
        <v>0</v>
      </c>
      <c r="E47" s="527">
        <f t="shared" ref="E47:O49" si="14">+E28+E11</f>
        <v>56.312794995000004</v>
      </c>
      <c r="F47" s="527">
        <f t="shared" si="14"/>
        <v>69.14295324538223</v>
      </c>
      <c r="G47" s="527">
        <f t="shared" si="14"/>
        <v>70.427915962382215</v>
      </c>
      <c r="H47" s="527">
        <f t="shared" si="14"/>
        <v>71.389073037382204</v>
      </c>
      <c r="I47" s="527">
        <f t="shared" si="14"/>
        <v>72.622472427382206</v>
      </c>
      <c r="J47" s="527">
        <f t="shared" si="14"/>
        <v>72.79788581938223</v>
      </c>
      <c r="K47" s="527">
        <f t="shared" si="14"/>
        <v>72.831805389382211</v>
      </c>
      <c r="L47" s="527">
        <f t="shared" si="14"/>
        <v>73.235761989382212</v>
      </c>
      <c r="M47" s="527">
        <f t="shared" si="14"/>
        <v>73.515184489382221</v>
      </c>
      <c r="N47" s="527">
        <f t="shared" si="14"/>
        <v>73.810061389382213</v>
      </c>
      <c r="O47" s="527">
        <f t="shared" si="14"/>
        <v>74.24273648938221</v>
      </c>
      <c r="P47" s="194"/>
    </row>
    <row r="48" spans="2:16" ht="27.75" x14ac:dyDescent="0.35">
      <c r="B48" s="192">
        <f t="shared" si="13"/>
        <v>3</v>
      </c>
      <c r="C48" s="193" t="s">
        <v>668</v>
      </c>
      <c r="D48" s="1249" t="e">
        <f t="shared" ref="D48:O48" si="15">+D46/D47</f>
        <v>#DIV/0!</v>
      </c>
      <c r="E48" s="1249">
        <f t="shared" si="15"/>
        <v>0</v>
      </c>
      <c r="F48" s="1249">
        <f t="shared" si="15"/>
        <v>2.0361002948178562E-3</v>
      </c>
      <c r="G48" s="1249">
        <f t="shared" si="15"/>
        <v>4.4533387977642325E-3</v>
      </c>
      <c r="H48" s="1249">
        <f t="shared" si="15"/>
        <v>6.8597215185926238E-3</v>
      </c>
      <c r="I48" s="1249">
        <f t="shared" si="15"/>
        <v>9.2007586738182927E-3</v>
      </c>
      <c r="J48" s="1249">
        <f t="shared" si="15"/>
        <v>1.1672564588992251E-2</v>
      </c>
      <c r="K48" s="1249">
        <f t="shared" si="15"/>
        <v>1.4165964075740032E-2</v>
      </c>
      <c r="L48" s="1249">
        <f t="shared" si="15"/>
        <v>1.6574037317543207E-2</v>
      </c>
      <c r="M48" s="1249">
        <f t="shared" si="15"/>
        <v>1.9001539163190737E-2</v>
      </c>
      <c r="N48" s="1249">
        <f t="shared" si="15"/>
        <v>2.141563885238864E-2</v>
      </c>
      <c r="O48" s="1249">
        <f t="shared" si="15"/>
        <v>2.3776262235613462E-2</v>
      </c>
      <c r="P48" s="194"/>
    </row>
    <row r="49" spans="2:16" ht="27.75" x14ac:dyDescent="0.35">
      <c r="B49" s="192">
        <f t="shared" si="13"/>
        <v>4</v>
      </c>
      <c r="C49" s="193" t="s">
        <v>669</v>
      </c>
      <c r="D49" s="527">
        <f>+D30+D13</f>
        <v>0</v>
      </c>
      <c r="E49" s="527">
        <f t="shared" si="14"/>
        <v>0.14078198748750001</v>
      </c>
      <c r="F49" s="527">
        <f t="shared" si="14"/>
        <v>0.17285738311345558</v>
      </c>
      <c r="G49" s="527">
        <f t="shared" si="14"/>
        <v>0.17606978990595554</v>
      </c>
      <c r="H49" s="527">
        <f t="shared" si="14"/>
        <v>0.17847268259345553</v>
      </c>
      <c r="I49" s="527">
        <f t="shared" si="14"/>
        <v>0.1815561810684555</v>
      </c>
      <c r="J49" s="527">
        <f t="shared" si="14"/>
        <v>0.18199471454845559</v>
      </c>
      <c r="K49" s="527">
        <f t="shared" si="14"/>
        <v>0.18207951347345552</v>
      </c>
      <c r="L49" s="527">
        <f t="shared" si="14"/>
        <v>0.18308940497345552</v>
      </c>
      <c r="M49" s="527">
        <f t="shared" si="14"/>
        <v>0.18378796122345553</v>
      </c>
      <c r="N49" s="527">
        <f t="shared" si="14"/>
        <v>0.18452515347345555</v>
      </c>
      <c r="O49" s="527">
        <f t="shared" si="14"/>
        <v>0.18560684122345555</v>
      </c>
      <c r="P49" s="194"/>
    </row>
    <row r="50" spans="2:16" ht="27.75" x14ac:dyDescent="0.4">
      <c r="B50" s="192">
        <f t="shared" si="13"/>
        <v>5</v>
      </c>
      <c r="C50" s="193" t="s">
        <v>670</v>
      </c>
      <c r="D50" s="527"/>
      <c r="E50" s="527"/>
      <c r="F50" s="527"/>
      <c r="G50" s="1275"/>
      <c r="H50" s="1276"/>
      <c r="I50" s="1276"/>
      <c r="J50" s="1275"/>
      <c r="K50" s="1276"/>
      <c r="L50" s="1276"/>
      <c r="M50" s="1277"/>
      <c r="N50" s="1277"/>
      <c r="O50" s="1277"/>
      <c r="P50" s="194"/>
    </row>
    <row r="51" spans="2:16" x14ac:dyDescent="0.35">
      <c r="B51" s="192">
        <f t="shared" si="13"/>
        <v>6</v>
      </c>
      <c r="C51" s="193" t="s">
        <v>671</v>
      </c>
      <c r="D51" s="527">
        <f t="shared" ref="D51:O51" si="16">+D46+D49-D50</f>
        <v>0</v>
      </c>
      <c r="E51" s="527">
        <f t="shared" si="16"/>
        <v>0.14078198748750001</v>
      </c>
      <c r="F51" s="527">
        <f t="shared" si="16"/>
        <v>0.31363937060095559</v>
      </c>
      <c r="G51" s="527">
        <f t="shared" si="16"/>
        <v>0.48970916050691116</v>
      </c>
      <c r="H51" s="527">
        <f t="shared" si="16"/>
        <v>0.66818184310036666</v>
      </c>
      <c r="I51" s="527">
        <f t="shared" si="16"/>
        <v>0.84973802416882216</v>
      </c>
      <c r="J51" s="527">
        <f t="shared" si="16"/>
        <v>1.0317327387172777</v>
      </c>
      <c r="K51" s="527">
        <f t="shared" si="16"/>
        <v>1.2138122521907331</v>
      </c>
      <c r="L51" s="527">
        <f t="shared" si="16"/>
        <v>1.3969016571641886</v>
      </c>
      <c r="M51" s="527">
        <f t="shared" si="16"/>
        <v>1.5806896183876442</v>
      </c>
      <c r="N51" s="527">
        <f t="shared" si="16"/>
        <v>1.7652147718610998</v>
      </c>
      <c r="O51" s="527">
        <f t="shared" si="16"/>
        <v>1.9508216130845553</v>
      </c>
      <c r="P51" s="194"/>
    </row>
    <row r="52" spans="2:16" ht="27.75" x14ac:dyDescent="0.35">
      <c r="B52" s="192">
        <f t="shared" si="13"/>
        <v>7</v>
      </c>
      <c r="C52" s="193" t="s">
        <v>672</v>
      </c>
      <c r="D52" s="1278" t="e">
        <f t="shared" ref="D52:O52" si="17">+D51/D47</f>
        <v>#DIV/0!</v>
      </c>
      <c r="E52" s="1249">
        <f t="shared" si="17"/>
        <v>2.5000000000000001E-3</v>
      </c>
      <c r="F52" s="1249">
        <f t="shared" si="17"/>
        <v>4.5361002948178563E-3</v>
      </c>
      <c r="G52" s="1249">
        <f t="shared" si="17"/>
        <v>6.9533387977642322E-3</v>
      </c>
      <c r="H52" s="1249">
        <f t="shared" si="17"/>
        <v>9.3597215185926234E-3</v>
      </c>
      <c r="I52" s="1249">
        <f t="shared" si="17"/>
        <v>1.1700758673818293E-2</v>
      </c>
      <c r="J52" s="1249">
        <f t="shared" si="17"/>
        <v>1.4172564588992249E-2</v>
      </c>
      <c r="K52" s="1249">
        <f t="shared" si="17"/>
        <v>1.6665964075740031E-2</v>
      </c>
      <c r="L52" s="1249">
        <f t="shared" si="17"/>
        <v>1.9074037317543206E-2</v>
      </c>
      <c r="M52" s="1249">
        <f t="shared" si="17"/>
        <v>2.1501539163190739E-2</v>
      </c>
      <c r="N52" s="1249">
        <f t="shared" si="17"/>
        <v>2.3915638852388638E-2</v>
      </c>
      <c r="O52" s="1249">
        <f t="shared" si="17"/>
        <v>2.6276262235613461E-2</v>
      </c>
      <c r="P52" s="194"/>
    </row>
    <row r="54" spans="2:16" x14ac:dyDescent="0.35">
      <c r="E54" s="1279">
        <f>+'F5'!I24-E47</f>
        <v>0</v>
      </c>
      <c r="F54" s="1279">
        <f>+'F5'!N24-F47</f>
        <v>0</v>
      </c>
      <c r="G54" s="661">
        <f>+'F5'!S24-'F11'!G47</f>
        <v>0</v>
      </c>
      <c r="H54" s="661">
        <f>+'F5'!D38-H47</f>
        <v>0</v>
      </c>
      <c r="I54" s="661">
        <f>+'F5'!I38-I47</f>
        <v>0</v>
      </c>
      <c r="J54" s="661">
        <f>+'F5'!N38-J47</f>
        <v>0</v>
      </c>
      <c r="K54" s="661">
        <f>+'F5'!S38-K47</f>
        <v>0</v>
      </c>
      <c r="L54" s="661">
        <f>+'F5'!D52-L47</f>
        <v>0</v>
      </c>
      <c r="M54" s="661">
        <f>+'F5'!I52-M47</f>
        <v>0</v>
      </c>
      <c r="N54" s="661">
        <f>+'F5'!N52-N47</f>
        <v>0</v>
      </c>
      <c r="O54" s="661">
        <f>+'F5'!S52-O47</f>
        <v>0</v>
      </c>
    </row>
  </sheetData>
  <mergeCells count="22">
    <mergeCell ref="B2:P2"/>
    <mergeCell ref="B3:P3"/>
    <mergeCell ref="B4:P4"/>
    <mergeCell ref="B44:B45"/>
    <mergeCell ref="C44:C45"/>
    <mergeCell ref="K44:O44"/>
    <mergeCell ref="P44:P45"/>
    <mergeCell ref="D45:I45"/>
    <mergeCell ref="B25:B26"/>
    <mergeCell ref="C25:C26"/>
    <mergeCell ref="B8:B9"/>
    <mergeCell ref="C8:C9"/>
    <mergeCell ref="K8:O8"/>
    <mergeCell ref="D9:I9"/>
    <mergeCell ref="K25:O25"/>
    <mergeCell ref="D26:I26"/>
    <mergeCell ref="C37:K37"/>
    <mergeCell ref="C38:K38"/>
    <mergeCell ref="P8:P9"/>
    <mergeCell ref="P25:P26"/>
    <mergeCell ref="C36:J36"/>
    <mergeCell ref="C19:J19"/>
  </mergeCells>
  <pageMargins left="0.75" right="0.75" top="1" bottom="1" header="0.5" footer="0.5"/>
  <pageSetup paperSize="9" scale="4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L45"/>
  <sheetViews>
    <sheetView showGridLines="0" view="pageBreakPreview" topLeftCell="A6" zoomScale="80" zoomScaleNormal="75" zoomScaleSheetLayoutView="80" workbookViewId="0">
      <selection activeCell="C90" sqref="B90:P113"/>
    </sheetView>
  </sheetViews>
  <sheetFormatPr defaultColWidth="9.33203125" defaultRowHeight="13.9" x14ac:dyDescent="0.35"/>
  <cols>
    <col min="1" max="1" width="6.6640625" style="10" customWidth="1"/>
    <col min="2" max="2" width="6.53125" style="57" customWidth="1"/>
    <col min="3" max="3" width="49" style="10" customWidth="1"/>
    <col min="4" max="5" width="14.33203125" style="10" customWidth="1"/>
    <col min="6" max="7" width="12.6640625" style="10" customWidth="1"/>
    <col min="8" max="20" width="13.6640625" style="10" customWidth="1"/>
    <col min="21" max="16384" width="9.33203125" style="10"/>
  </cols>
  <sheetData>
    <row r="1" spans="2:9" x14ac:dyDescent="0.35">
      <c r="C1" s="48"/>
      <c r="D1" s="48"/>
      <c r="E1" s="48"/>
    </row>
    <row r="2" spans="2:9" x14ac:dyDescent="0.35">
      <c r="B2" s="1937" t="str">
        <f>Index!B2</f>
        <v>Nidar Utilities Panvel LLP</v>
      </c>
      <c r="C2" s="1937"/>
      <c r="D2" s="1937"/>
      <c r="E2" s="1937"/>
      <c r="F2" s="1937"/>
      <c r="G2" s="1937"/>
      <c r="H2" s="1937"/>
      <c r="I2" s="1937"/>
    </row>
    <row r="3" spans="2:9" x14ac:dyDescent="0.35">
      <c r="B3" s="1875" t="s">
        <v>211</v>
      </c>
      <c r="C3" s="1875"/>
      <c r="D3" s="1875"/>
      <c r="E3" s="1875"/>
      <c r="F3" s="1875"/>
      <c r="G3" s="1875"/>
      <c r="H3" s="1875"/>
      <c r="I3" s="1875"/>
    </row>
    <row r="4" spans="2:9" x14ac:dyDescent="0.35">
      <c r="B4" s="2056" t="s">
        <v>676</v>
      </c>
      <c r="C4" s="2056"/>
      <c r="D4" s="2056"/>
      <c r="E4" s="2056"/>
      <c r="F4" s="2056"/>
      <c r="G4" s="2056"/>
      <c r="H4" s="2056"/>
      <c r="I4" s="2056"/>
    </row>
    <row r="6" spans="2:9" x14ac:dyDescent="0.35">
      <c r="B6" s="98" t="s">
        <v>1</v>
      </c>
      <c r="C6" s="98" t="s">
        <v>111</v>
      </c>
      <c r="D6" s="191" t="s">
        <v>677</v>
      </c>
      <c r="E6" s="98" t="s">
        <v>198</v>
      </c>
      <c r="F6" s="98" t="s">
        <v>199</v>
      </c>
      <c r="G6" s="98" t="s">
        <v>112</v>
      </c>
      <c r="H6" s="98" t="s">
        <v>113</v>
      </c>
      <c r="I6" s="98" t="s">
        <v>345</v>
      </c>
    </row>
    <row r="7" spans="2:9" x14ac:dyDescent="0.35">
      <c r="B7" s="58">
        <v>1</v>
      </c>
      <c r="C7" s="271" t="s">
        <v>678</v>
      </c>
      <c r="D7" s="272" t="s">
        <v>128</v>
      </c>
      <c r="E7" s="676">
        <f>+Recon!K11</f>
        <v>15.514321804000001</v>
      </c>
      <c r="F7" s="676">
        <f>+Recon!N11</f>
        <v>19.601845566000001</v>
      </c>
      <c r="G7" s="676">
        <f>+Recon!Q11</f>
        <v>29.216499892000002</v>
      </c>
      <c r="H7" s="676">
        <f>+Recon!T11</f>
        <v>47.790192841</v>
      </c>
      <c r="I7" s="676">
        <f>+Recon!W11</f>
        <v>78.937188864999996</v>
      </c>
    </row>
    <row r="8" spans="2:9" x14ac:dyDescent="0.35">
      <c r="B8" s="58">
        <f>B7+1</f>
        <v>2</v>
      </c>
      <c r="C8" s="271" t="s">
        <v>679</v>
      </c>
      <c r="D8" s="272" t="s">
        <v>129</v>
      </c>
      <c r="E8" s="675">
        <v>0</v>
      </c>
      <c r="F8" s="675">
        <v>0</v>
      </c>
      <c r="G8" s="675">
        <v>0</v>
      </c>
      <c r="H8" s="675">
        <v>0</v>
      </c>
      <c r="I8" s="675">
        <v>0</v>
      </c>
    </row>
    <row r="9" spans="2:9" x14ac:dyDescent="0.35">
      <c r="B9" s="58">
        <f>B8+1</f>
        <v>3</v>
      </c>
      <c r="C9" s="271" t="s">
        <v>680</v>
      </c>
      <c r="D9" s="272" t="s">
        <v>681</v>
      </c>
      <c r="E9" s="744">
        <f>+E8/E7</f>
        <v>0</v>
      </c>
      <c r="F9" s="744">
        <f>+F8/F7</f>
        <v>0</v>
      </c>
      <c r="G9" s="744">
        <f>+G8/G7</f>
        <v>0</v>
      </c>
      <c r="H9" s="744">
        <f>+H8/H7</f>
        <v>0</v>
      </c>
      <c r="I9" s="744">
        <f>+I8/I7</f>
        <v>0</v>
      </c>
    </row>
    <row r="10" spans="2:9" x14ac:dyDescent="0.35">
      <c r="B10" s="58"/>
      <c r="C10" s="273" t="s">
        <v>1510</v>
      </c>
      <c r="D10" s="273"/>
      <c r="E10" s="19"/>
      <c r="F10" s="19"/>
      <c r="G10" s="19"/>
      <c r="H10" s="19"/>
      <c r="I10" s="19"/>
    </row>
    <row r="11" spans="2:9" x14ac:dyDescent="0.35">
      <c r="B11" s="58">
        <v>4</v>
      </c>
      <c r="C11" s="271" t="s">
        <v>682</v>
      </c>
      <c r="D11" s="272" t="s">
        <v>130</v>
      </c>
      <c r="E11" s="1250">
        <f>+Assum!G58</f>
        <v>0.14000000000000001</v>
      </c>
      <c r="F11" s="1250">
        <f>+Assum!H58</f>
        <v>0.14000000000000001</v>
      </c>
      <c r="G11" s="1250">
        <f>+Assum!I58</f>
        <v>0.14000000000000001</v>
      </c>
      <c r="H11" s="1250">
        <f>+Assum!J58</f>
        <v>0.14000000000000001</v>
      </c>
      <c r="I11" s="1250">
        <f>+Assum!K58</f>
        <v>0.14000000000000001</v>
      </c>
    </row>
    <row r="12" spans="2:9" x14ac:dyDescent="0.35">
      <c r="B12" s="58">
        <v>5</v>
      </c>
      <c r="C12" s="271" t="s">
        <v>683</v>
      </c>
      <c r="D12" s="272" t="s">
        <v>684</v>
      </c>
      <c r="E12" s="1250">
        <f>+'F8'!E35</f>
        <v>0.01</v>
      </c>
      <c r="F12" s="1250">
        <f>+'F8'!F35</f>
        <v>1.4999999999999999E-2</v>
      </c>
      <c r="G12" s="1250">
        <f>+'F8'!G35</f>
        <v>1.4999999999999999E-2</v>
      </c>
      <c r="H12" s="1250">
        <f>+'F8'!H35</f>
        <v>5.0000000000000001E-3</v>
      </c>
      <c r="I12" s="1250">
        <f>+'F8'!I35</f>
        <v>0.01</v>
      </c>
    </row>
    <row r="13" spans="2:9" x14ac:dyDescent="0.35">
      <c r="B13" s="58">
        <v>6</v>
      </c>
      <c r="C13" s="271" t="s">
        <v>685</v>
      </c>
      <c r="D13" s="272" t="s">
        <v>686</v>
      </c>
      <c r="E13" s="1250">
        <f>+E11+E12</f>
        <v>0.15000000000000002</v>
      </c>
      <c r="F13" s="1250">
        <f>+F11+F12</f>
        <v>0.15500000000000003</v>
      </c>
      <c r="G13" s="1250">
        <f>+G11+G12</f>
        <v>0.15500000000000003</v>
      </c>
      <c r="H13" s="1250">
        <f>+H11+H12</f>
        <v>0.14500000000000002</v>
      </c>
      <c r="I13" s="1250">
        <f>+I11+I12</f>
        <v>0.15000000000000002</v>
      </c>
    </row>
    <row r="14" spans="2:9" x14ac:dyDescent="0.35">
      <c r="B14" s="58">
        <v>7</v>
      </c>
      <c r="C14" s="273" t="s">
        <v>687</v>
      </c>
      <c r="D14" s="274" t="s">
        <v>688</v>
      </c>
      <c r="E14" s="1255">
        <f>+E13/(1-E9)</f>
        <v>0.15000000000000002</v>
      </c>
      <c r="F14" s="1255">
        <f>+F13/(1-F9)</f>
        <v>0.15500000000000003</v>
      </c>
      <c r="G14" s="1255">
        <f>+G13/(1-G9)</f>
        <v>0.15500000000000003</v>
      </c>
      <c r="H14" s="1255">
        <f>+H13/(1-H9)</f>
        <v>0.14500000000000002</v>
      </c>
      <c r="I14" s="1255">
        <f>+I13/(1-I9)</f>
        <v>0.15000000000000002</v>
      </c>
    </row>
    <row r="15" spans="2:9" x14ac:dyDescent="0.35">
      <c r="B15" s="58"/>
      <c r="C15" s="273" t="s">
        <v>278</v>
      </c>
      <c r="D15" s="273"/>
      <c r="E15" s="19"/>
      <c r="F15" s="19"/>
      <c r="G15" s="19"/>
      <c r="H15" s="19"/>
      <c r="I15" s="19"/>
    </row>
    <row r="16" spans="2:9" x14ac:dyDescent="0.35">
      <c r="B16" s="58">
        <f>+B14+1</f>
        <v>8</v>
      </c>
      <c r="C16" s="271" t="s">
        <v>682</v>
      </c>
      <c r="D16" s="272" t="s">
        <v>130</v>
      </c>
      <c r="E16" s="1250">
        <f>+Assum!G59</f>
        <v>0.155</v>
      </c>
      <c r="F16" s="1250">
        <f>+Assum!H59</f>
        <v>0.155</v>
      </c>
      <c r="G16" s="1250">
        <f>+Assum!I59</f>
        <v>0.155</v>
      </c>
      <c r="H16" s="1250">
        <f>+Assum!J59</f>
        <v>0.155</v>
      </c>
      <c r="I16" s="1250">
        <f>+Assum!K59</f>
        <v>0.155</v>
      </c>
    </row>
    <row r="17" spans="2:12" x14ac:dyDescent="0.35">
      <c r="B17" s="58">
        <f>+B16+1</f>
        <v>9</v>
      </c>
      <c r="C17" s="271" t="s">
        <v>683</v>
      </c>
      <c r="D17" s="272" t="s">
        <v>684</v>
      </c>
      <c r="E17" s="1250">
        <f>+'F8'!E75</f>
        <v>0.02</v>
      </c>
      <c r="F17" s="1250">
        <f>+'F8'!F75</f>
        <v>0.02</v>
      </c>
      <c r="G17" s="1250">
        <f>+'F8'!G75</f>
        <v>0.02</v>
      </c>
      <c r="H17" s="1250">
        <f>+'F8'!H75</f>
        <v>0.01</v>
      </c>
      <c r="I17" s="1250">
        <f>+'F8'!I75</f>
        <v>0.02</v>
      </c>
    </row>
    <row r="18" spans="2:12" x14ac:dyDescent="0.35">
      <c r="B18" s="58">
        <f>+B17+1</f>
        <v>10</v>
      </c>
      <c r="C18" s="271" t="s">
        <v>685</v>
      </c>
      <c r="D18" s="272" t="s">
        <v>686</v>
      </c>
      <c r="E18" s="1250">
        <f>+E16+E17</f>
        <v>0.17499999999999999</v>
      </c>
      <c r="F18" s="1250">
        <f>+F16+F17</f>
        <v>0.17499999999999999</v>
      </c>
      <c r="G18" s="1250">
        <f>+G16+G17</f>
        <v>0.17499999999999999</v>
      </c>
      <c r="H18" s="1250">
        <f>+H16+H17</f>
        <v>0.16500000000000001</v>
      </c>
      <c r="I18" s="1250">
        <f>+I16+I17</f>
        <v>0.17499999999999999</v>
      </c>
    </row>
    <row r="19" spans="2:12" x14ac:dyDescent="0.35">
      <c r="B19" s="58">
        <f>+B18+1</f>
        <v>11</v>
      </c>
      <c r="C19" s="273" t="s">
        <v>687</v>
      </c>
      <c r="D19" s="274" t="s">
        <v>688</v>
      </c>
      <c r="E19" s="1255">
        <f>+E18/(1-E9)</f>
        <v>0.17499999999999999</v>
      </c>
      <c r="F19" s="1255">
        <f>+F18/(1-F9)</f>
        <v>0.17499999999999999</v>
      </c>
      <c r="G19" s="1255">
        <f>+G18/(1-G9)</f>
        <v>0.17499999999999999</v>
      </c>
      <c r="H19" s="1255">
        <f>+H18/(1-H9)</f>
        <v>0.16500000000000001</v>
      </c>
      <c r="I19" s="1255">
        <f>+I18/(1-I9)</f>
        <v>0.17499999999999999</v>
      </c>
    </row>
    <row r="20" spans="2:12" x14ac:dyDescent="0.35">
      <c r="C20" s="270"/>
      <c r="D20" s="265"/>
    </row>
    <row r="21" spans="2:12" x14ac:dyDescent="0.35">
      <c r="C21" s="270"/>
      <c r="D21" s="265"/>
    </row>
    <row r="22" spans="2:12" x14ac:dyDescent="0.35">
      <c r="C22" s="10" t="s">
        <v>689</v>
      </c>
    </row>
    <row r="23" spans="2:12" ht="36.6" customHeight="1" x14ac:dyDescent="0.35">
      <c r="C23" s="2066" t="s">
        <v>690</v>
      </c>
      <c r="D23" s="2066"/>
      <c r="E23" s="2066"/>
      <c r="F23" s="2066"/>
      <c r="G23" s="2066"/>
      <c r="H23" s="2066"/>
      <c r="I23" s="2066"/>
    </row>
    <row r="24" spans="2:12" x14ac:dyDescent="0.35">
      <c r="C24" s="10" t="s">
        <v>691</v>
      </c>
    </row>
    <row r="25" spans="2:12" x14ac:dyDescent="0.35">
      <c r="C25" s="10" t="s">
        <v>692</v>
      </c>
    </row>
    <row r="27" spans="2:12" x14ac:dyDescent="0.35">
      <c r="C27" s="69"/>
      <c r="D27" s="69"/>
      <c r="E27" s="69"/>
      <c r="F27" s="50"/>
      <c r="G27" s="50"/>
      <c r="H27" s="50"/>
      <c r="I27" s="50"/>
      <c r="J27" s="50"/>
      <c r="K27" s="50"/>
      <c r="L27" s="50"/>
    </row>
    <row r="29" spans="2:12" x14ac:dyDescent="0.35">
      <c r="B29" s="2070" t="s">
        <v>693</v>
      </c>
      <c r="C29" s="2070"/>
      <c r="D29" s="2070"/>
      <c r="E29" s="2070"/>
      <c r="F29" s="2070"/>
      <c r="G29" s="2070"/>
      <c r="H29" s="2070"/>
      <c r="I29" s="2070"/>
      <c r="J29" s="150"/>
      <c r="K29" s="150"/>
    </row>
    <row r="30" spans="2:12" x14ac:dyDescent="0.35">
      <c r="B30" s="10"/>
      <c r="C30" s="273" t="s">
        <v>1510</v>
      </c>
    </row>
    <row r="31" spans="2:12" x14ac:dyDescent="0.35">
      <c r="B31" s="98" t="s">
        <v>1</v>
      </c>
      <c r="C31" s="98" t="s">
        <v>111</v>
      </c>
      <c r="D31" s="191" t="s">
        <v>677</v>
      </c>
      <c r="E31" s="191" t="s">
        <v>123</v>
      </c>
      <c r="F31" s="191" t="s">
        <v>124</v>
      </c>
      <c r="G31" s="98" t="s">
        <v>125</v>
      </c>
      <c r="H31" s="98" t="s">
        <v>126</v>
      </c>
      <c r="I31" s="98" t="s">
        <v>127</v>
      </c>
    </row>
    <row r="32" spans="2:12" x14ac:dyDescent="0.35">
      <c r="B32" s="58">
        <v>1</v>
      </c>
      <c r="C32" s="271" t="s">
        <v>694</v>
      </c>
      <c r="D32" s="272" t="s">
        <v>128</v>
      </c>
      <c r="E32" s="1303">
        <f>+Assum!L63</f>
        <v>0</v>
      </c>
      <c r="F32" s="1303">
        <f>+Assum!M63</f>
        <v>0</v>
      </c>
      <c r="G32" s="1303">
        <f>+Assum!N63</f>
        <v>0</v>
      </c>
      <c r="H32" s="1303">
        <f>+Assum!O63</f>
        <v>0</v>
      </c>
      <c r="I32" s="1303">
        <f>+Assum!P63</f>
        <v>0</v>
      </c>
    </row>
    <row r="33" spans="2:11" x14ac:dyDescent="0.35">
      <c r="B33" s="58"/>
      <c r="C33" s="273"/>
      <c r="D33" s="273"/>
      <c r="E33" s="271"/>
      <c r="F33" s="279"/>
      <c r="G33" s="279"/>
      <c r="H33" s="271"/>
      <c r="I33" s="279"/>
    </row>
    <row r="34" spans="2:11" x14ac:dyDescent="0.35">
      <c r="B34" s="58">
        <v>2</v>
      </c>
      <c r="C34" s="271" t="s">
        <v>695</v>
      </c>
      <c r="D34" s="272" t="s">
        <v>129</v>
      </c>
      <c r="E34" s="1303">
        <f>+Assum!L58</f>
        <v>0.155</v>
      </c>
      <c r="F34" s="1303">
        <f>+Assum!M58</f>
        <v>0.155</v>
      </c>
      <c r="G34" s="1303">
        <f>+Assum!N58</f>
        <v>0.155</v>
      </c>
      <c r="H34" s="1303">
        <f>+Assum!O58</f>
        <v>0.155</v>
      </c>
      <c r="I34" s="1303">
        <f>+Assum!P58</f>
        <v>0.155</v>
      </c>
    </row>
    <row r="35" spans="2:11" x14ac:dyDescent="0.35">
      <c r="B35" s="58">
        <v>3</v>
      </c>
      <c r="C35" s="273" t="s">
        <v>687</v>
      </c>
      <c r="D35" s="274" t="s">
        <v>696</v>
      </c>
      <c r="E35" s="1305">
        <f>+E34/(1-E32)</f>
        <v>0.155</v>
      </c>
      <c r="F35" s="1305">
        <f>+F34/(1-F32)</f>
        <v>0.155</v>
      </c>
      <c r="G35" s="1305">
        <f>+G34/(1-G32)</f>
        <v>0.155</v>
      </c>
      <c r="H35" s="1305">
        <f>+H34/(1-H32)</f>
        <v>0.155</v>
      </c>
      <c r="I35" s="1305">
        <f>+I34/(1-I32)</f>
        <v>0.155</v>
      </c>
    </row>
    <row r="36" spans="2:11" x14ac:dyDescent="0.35">
      <c r="C36" s="273"/>
      <c r="D36" s="265"/>
      <c r="E36" s="270"/>
      <c r="F36" s="1304"/>
      <c r="G36" s="1304"/>
      <c r="H36" s="270"/>
      <c r="I36" s="1304"/>
    </row>
    <row r="37" spans="2:11" x14ac:dyDescent="0.35">
      <c r="B37" s="10"/>
      <c r="C37" s="273" t="s">
        <v>986</v>
      </c>
    </row>
    <row r="38" spans="2:11" x14ac:dyDescent="0.35">
      <c r="B38" s="98" t="s">
        <v>1</v>
      </c>
      <c r="C38" s="98" t="s">
        <v>111</v>
      </c>
      <c r="D38" s="191" t="s">
        <v>677</v>
      </c>
      <c r="E38" s="191" t="s">
        <v>123</v>
      </c>
      <c r="F38" s="191" t="s">
        <v>124</v>
      </c>
      <c r="G38" s="98" t="s">
        <v>125</v>
      </c>
      <c r="H38" s="98" t="s">
        <v>126</v>
      </c>
      <c r="I38" s="98" t="s">
        <v>127</v>
      </c>
    </row>
    <row r="39" spans="2:11" x14ac:dyDescent="0.35">
      <c r="B39" s="58">
        <v>1</v>
      </c>
      <c r="C39" s="271" t="s">
        <v>694</v>
      </c>
      <c r="D39" s="272" t="s">
        <v>128</v>
      </c>
      <c r="E39" s="1303">
        <f>+Assum!L63</f>
        <v>0</v>
      </c>
      <c r="F39" s="1303">
        <f>+Assum!M63</f>
        <v>0</v>
      </c>
      <c r="G39" s="1303">
        <f>+Assum!N63</f>
        <v>0</v>
      </c>
      <c r="H39" s="1303">
        <f>+Assum!O63</f>
        <v>0</v>
      </c>
      <c r="I39" s="1303">
        <f>+Assum!P63</f>
        <v>0</v>
      </c>
    </row>
    <row r="40" spans="2:11" x14ac:dyDescent="0.35">
      <c r="B40" s="58"/>
      <c r="C40" s="273"/>
      <c r="D40" s="273"/>
      <c r="E40" s="271"/>
      <c r="F40" s="279"/>
      <c r="G40" s="279"/>
      <c r="H40" s="271"/>
      <c r="I40" s="279"/>
    </row>
    <row r="41" spans="2:11" x14ac:dyDescent="0.35">
      <c r="B41" s="58">
        <v>2</v>
      </c>
      <c r="C41" s="271" t="s">
        <v>695</v>
      </c>
      <c r="D41" s="272" t="s">
        <v>129</v>
      </c>
      <c r="E41" s="1303">
        <f>+Assum!L59</f>
        <v>0.17499999999999999</v>
      </c>
      <c r="F41" s="1303">
        <f>+Assum!M59</f>
        <v>0.17499999999999999</v>
      </c>
      <c r="G41" s="1303">
        <f>+Assum!N59</f>
        <v>0.17499999999999999</v>
      </c>
      <c r="H41" s="1303">
        <f>+Assum!O59</f>
        <v>0.17499999999999999</v>
      </c>
      <c r="I41" s="1303">
        <f>+Assum!P59</f>
        <v>0.17499999999999999</v>
      </c>
    </row>
    <row r="42" spans="2:11" x14ac:dyDescent="0.35">
      <c r="B42" s="58">
        <v>3</v>
      </c>
      <c r="C42" s="273" t="s">
        <v>687</v>
      </c>
      <c r="D42" s="274" t="s">
        <v>696</v>
      </c>
      <c r="E42" s="1305">
        <f>+E41/(1-E39)</f>
        <v>0.17499999999999999</v>
      </c>
      <c r="F42" s="1305">
        <f>+F41/(1-F39)</f>
        <v>0.17499999999999999</v>
      </c>
      <c r="G42" s="1305">
        <f>+G41/(1-G39)</f>
        <v>0.17499999999999999</v>
      </c>
      <c r="H42" s="1305">
        <f>+H41/(1-H39)</f>
        <v>0.17499999999999999</v>
      </c>
      <c r="I42" s="1305">
        <f>+I41/(1-I39)</f>
        <v>0.17499999999999999</v>
      </c>
    </row>
    <row r="43" spans="2:11" x14ac:dyDescent="0.35">
      <c r="B43" s="10"/>
    </row>
    <row r="44" spans="2:11" x14ac:dyDescent="0.35">
      <c r="B44" s="10"/>
      <c r="C44" s="2071" t="s">
        <v>697</v>
      </c>
      <c r="D44" s="2066"/>
      <c r="E44" s="2066"/>
      <c r="F44" s="2066"/>
      <c r="G44" s="2066"/>
      <c r="H44" s="2066"/>
      <c r="I44" s="2066"/>
      <c r="J44" s="2066"/>
      <c r="K44" s="2066"/>
    </row>
    <row r="45" spans="2:11" x14ac:dyDescent="0.35">
      <c r="B45" s="10"/>
      <c r="C45" s="10" t="s">
        <v>698</v>
      </c>
    </row>
  </sheetData>
  <mergeCells count="6">
    <mergeCell ref="C23:I23"/>
    <mergeCell ref="B29:I29"/>
    <mergeCell ref="C44:K44"/>
    <mergeCell ref="B2:I2"/>
    <mergeCell ref="B3:I3"/>
    <mergeCell ref="B4:I4"/>
  </mergeCells>
  <pageMargins left="1.1200000000000001" right="0.27" top="1.24" bottom="1" header="0.5" footer="0.5"/>
  <pageSetup paperSize="9" scale="6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94388-38B8-44D0-AA90-7BC5CD801443}">
  <sheetPr>
    <tabColor theme="3" tint="0.39997558519241921"/>
  </sheetPr>
  <dimension ref="B1:K123"/>
  <sheetViews>
    <sheetView showGridLines="0" view="pageBreakPreview" zoomScale="70" zoomScaleNormal="75" zoomScaleSheetLayoutView="70" workbookViewId="0">
      <pane xSplit="3" topLeftCell="D1" activePane="topRight" state="frozen"/>
      <selection activeCell="C90" sqref="B90:P113"/>
      <selection pane="topRight" activeCell="E36" sqref="E36:F38"/>
    </sheetView>
  </sheetViews>
  <sheetFormatPr defaultColWidth="9.1328125" defaultRowHeight="12.75" x14ac:dyDescent="0.35"/>
  <cols>
    <col min="1" max="1" width="6.86328125" style="376" customWidth="1"/>
    <col min="2" max="2" width="6.46484375" style="377" customWidth="1"/>
    <col min="3" max="3" width="49" style="376" customWidth="1"/>
    <col min="4" max="5" width="14.33203125" style="376" customWidth="1"/>
    <col min="6" max="6" width="13.796875" style="376" bestFit="1" customWidth="1"/>
    <col min="7" max="10" width="13.6640625" style="376" customWidth="1"/>
    <col min="11" max="16384" width="9.1328125" style="376"/>
  </cols>
  <sheetData>
    <row r="1" spans="2:9" x14ac:dyDescent="0.35">
      <c r="C1" s="414"/>
      <c r="D1" s="414"/>
      <c r="E1" s="414"/>
    </row>
    <row r="2" spans="2:9" x14ac:dyDescent="0.35">
      <c r="B2" s="2019" t="str">
        <f>Index!B2</f>
        <v>Nidar Utilities Panvel LLP</v>
      </c>
      <c r="C2" s="2019"/>
      <c r="D2" s="2019"/>
      <c r="E2" s="2019"/>
      <c r="F2" s="2019"/>
    </row>
    <row r="3" spans="2:9" x14ac:dyDescent="0.35">
      <c r="B3" s="2020" t="s">
        <v>211</v>
      </c>
      <c r="C3" s="2020"/>
      <c r="D3" s="2020"/>
      <c r="E3" s="2020"/>
      <c r="F3" s="2020"/>
    </row>
    <row r="4" spans="2:9" x14ac:dyDescent="0.35">
      <c r="B4" s="2074" t="s">
        <v>1104</v>
      </c>
      <c r="C4" s="2074"/>
      <c r="D4" s="2074"/>
      <c r="E4" s="2074"/>
      <c r="F4" s="2074"/>
    </row>
    <row r="6" spans="2:9" x14ac:dyDescent="0.35">
      <c r="B6" s="413"/>
    </row>
    <row r="7" spans="2:9" s="405" customFormat="1" x14ac:dyDescent="0.35">
      <c r="B7" s="2076" t="s">
        <v>1</v>
      </c>
      <c r="C7" s="2076" t="s">
        <v>111</v>
      </c>
      <c r="D7" s="388" t="s">
        <v>196</v>
      </c>
      <c r="E7" s="388" t="s">
        <v>197</v>
      </c>
      <c r="F7" s="2077" t="s">
        <v>116</v>
      </c>
      <c r="G7" s="407"/>
      <c r="H7" s="407"/>
      <c r="I7" s="407"/>
    </row>
    <row r="8" spans="2:9" s="405" customFormat="1" ht="25.5" x14ac:dyDescent="0.35">
      <c r="B8" s="2029"/>
      <c r="C8" s="2029"/>
      <c r="D8" s="389" t="s">
        <v>1095</v>
      </c>
      <c r="E8" s="389" t="s">
        <v>1095</v>
      </c>
      <c r="F8" s="2078"/>
      <c r="G8" s="407"/>
      <c r="H8" s="407"/>
      <c r="I8" s="407"/>
    </row>
    <row r="9" spans="2:9" s="405" customFormat="1" x14ac:dyDescent="0.35">
      <c r="B9" s="382">
        <v>1</v>
      </c>
      <c r="C9" s="381" t="s">
        <v>64</v>
      </c>
      <c r="D9" s="381"/>
      <c r="E9" s="412">
        <v>0</v>
      </c>
      <c r="F9" s="394"/>
      <c r="G9" s="407"/>
      <c r="H9" s="407"/>
      <c r="I9" s="407"/>
    </row>
    <row r="10" spans="2:9" s="405" customFormat="1" x14ac:dyDescent="0.35">
      <c r="B10" s="390"/>
      <c r="C10" s="408"/>
      <c r="D10" s="408"/>
      <c r="E10" s="408"/>
      <c r="F10" s="408"/>
      <c r="G10" s="407"/>
      <c r="H10" s="407"/>
      <c r="I10" s="407"/>
    </row>
    <row r="11" spans="2:9" s="405" customFormat="1" ht="13.25" customHeight="1" x14ac:dyDescent="0.35">
      <c r="B11" s="390"/>
      <c r="C11" s="2072" t="s">
        <v>1103</v>
      </c>
      <c r="D11" s="2072"/>
      <c r="E11" s="2072"/>
      <c r="F11" s="2072"/>
      <c r="G11" s="407"/>
      <c r="H11" s="407"/>
      <c r="I11" s="407"/>
    </row>
    <row r="12" spans="2:9" s="405" customFormat="1" ht="25.25" customHeight="1" x14ac:dyDescent="0.35">
      <c r="B12" s="390"/>
      <c r="C12" s="2072" t="s">
        <v>1046</v>
      </c>
      <c r="D12" s="2072"/>
      <c r="E12" s="2072"/>
      <c r="F12" s="2072"/>
      <c r="G12" s="407"/>
      <c r="H12" s="407"/>
      <c r="I12" s="407"/>
    </row>
    <row r="13" spans="2:9" s="405" customFormat="1" x14ac:dyDescent="0.35">
      <c r="B13" s="390"/>
      <c r="C13" s="411"/>
      <c r="D13" s="411"/>
      <c r="E13" s="411"/>
      <c r="F13" s="411"/>
      <c r="G13" s="407"/>
      <c r="H13" s="407"/>
      <c r="I13" s="407"/>
    </row>
    <row r="14" spans="2:9" s="405" customFormat="1" x14ac:dyDescent="0.35">
      <c r="B14" s="390"/>
      <c r="C14" s="411"/>
      <c r="D14" s="411"/>
      <c r="E14" s="411"/>
      <c r="F14" s="411"/>
      <c r="G14" s="407"/>
      <c r="H14" s="407"/>
      <c r="I14" s="407"/>
    </row>
    <row r="15" spans="2:9" s="405" customFormat="1" x14ac:dyDescent="0.35">
      <c r="B15" s="2073" t="s">
        <v>1102</v>
      </c>
      <c r="C15" s="2073"/>
      <c r="D15" s="2073"/>
      <c r="E15" s="2073"/>
      <c r="F15" s="2073"/>
      <c r="G15" s="407"/>
      <c r="H15" s="407"/>
      <c r="I15" s="407"/>
    </row>
    <row r="16" spans="2:9" s="405" customFormat="1" x14ac:dyDescent="0.35">
      <c r="B16" s="377"/>
      <c r="C16" s="376"/>
      <c r="D16" s="376"/>
      <c r="E16" s="376"/>
      <c r="F16" s="404" t="s">
        <v>110</v>
      </c>
      <c r="G16" s="407"/>
      <c r="H16" s="407"/>
      <c r="I16" s="407"/>
    </row>
    <row r="17" spans="2:11" s="405" customFormat="1" ht="36.75" customHeight="1" x14ac:dyDescent="0.35">
      <c r="B17" s="2076" t="s">
        <v>1</v>
      </c>
      <c r="C17" s="2076" t="s">
        <v>111</v>
      </c>
      <c r="D17" s="2077" t="s">
        <v>677</v>
      </c>
      <c r="E17" s="388" t="s">
        <v>196</v>
      </c>
      <c r="F17" s="389" t="s">
        <v>197</v>
      </c>
      <c r="G17" s="408"/>
      <c r="H17" s="407"/>
      <c r="I17" s="407"/>
      <c r="J17" s="407"/>
      <c r="K17" s="407"/>
    </row>
    <row r="18" spans="2:11" s="405" customFormat="1" ht="25.5" x14ac:dyDescent="0.35">
      <c r="B18" s="2029"/>
      <c r="C18" s="2029"/>
      <c r="D18" s="2078"/>
      <c r="E18" s="389" t="s">
        <v>117</v>
      </c>
      <c r="F18" s="389" t="s">
        <v>117</v>
      </c>
      <c r="G18" s="408"/>
      <c r="H18" s="407"/>
      <c r="I18" s="407"/>
      <c r="J18" s="407"/>
      <c r="K18" s="407"/>
    </row>
    <row r="19" spans="2:11" s="405" customFormat="1" x14ac:dyDescent="0.35">
      <c r="B19" s="382">
        <v>1</v>
      </c>
      <c r="C19" s="385" t="s">
        <v>1101</v>
      </c>
      <c r="D19" s="384">
        <v>1</v>
      </c>
      <c r="E19" s="410"/>
      <c r="F19" s="410"/>
      <c r="G19" s="408"/>
      <c r="H19" s="407"/>
      <c r="I19" s="407"/>
      <c r="J19" s="407"/>
      <c r="K19" s="407"/>
    </row>
    <row r="20" spans="2:11" s="405" customFormat="1" x14ac:dyDescent="0.35">
      <c r="B20" s="382">
        <v>2</v>
      </c>
      <c r="C20" s="385" t="s">
        <v>1100</v>
      </c>
      <c r="D20" s="384">
        <v>2</v>
      </c>
      <c r="E20" s="410"/>
      <c r="F20" s="410"/>
      <c r="G20" s="408"/>
      <c r="H20" s="407"/>
      <c r="I20" s="407"/>
      <c r="J20" s="407"/>
      <c r="K20" s="407"/>
    </row>
    <row r="21" spans="2:11" s="405" customFormat="1" x14ac:dyDescent="0.35">
      <c r="B21" s="382">
        <v>3</v>
      </c>
      <c r="C21" s="385" t="s">
        <v>1099</v>
      </c>
      <c r="D21" s="384">
        <v>3</v>
      </c>
      <c r="E21" s="409"/>
      <c r="F21" s="409"/>
      <c r="G21" s="408"/>
      <c r="H21" s="407"/>
      <c r="I21" s="407"/>
      <c r="J21" s="407"/>
      <c r="K21" s="407"/>
    </row>
    <row r="22" spans="2:11" s="405" customFormat="1" x14ac:dyDescent="0.35">
      <c r="B22" s="382">
        <v>4</v>
      </c>
      <c r="C22" s="385" t="s">
        <v>1098</v>
      </c>
      <c r="D22" s="384" t="s">
        <v>1097</v>
      </c>
      <c r="E22" s="409">
        <f>+E19+E20-E21</f>
        <v>0</v>
      </c>
      <c r="F22" s="409">
        <f>+F19+F20-F21</f>
        <v>0</v>
      </c>
      <c r="G22" s="408"/>
      <c r="H22" s="407"/>
      <c r="I22" s="407"/>
      <c r="J22" s="407"/>
      <c r="K22" s="407"/>
    </row>
    <row r="23" spans="2:11" s="405" customFormat="1" x14ac:dyDescent="0.35">
      <c r="B23" s="390"/>
      <c r="C23" s="408"/>
      <c r="D23" s="408"/>
      <c r="E23" s="408"/>
      <c r="F23" s="408"/>
      <c r="G23" s="407"/>
      <c r="H23" s="407"/>
      <c r="I23" s="407"/>
    </row>
    <row r="24" spans="2:11" s="405" customFormat="1" x14ac:dyDescent="0.35">
      <c r="B24" s="390"/>
      <c r="C24" s="408"/>
      <c r="D24" s="408"/>
      <c r="E24" s="408"/>
      <c r="F24" s="408"/>
      <c r="G24" s="407"/>
      <c r="H24" s="407"/>
      <c r="I24" s="407"/>
    </row>
    <row r="25" spans="2:11" s="405" customFormat="1" x14ac:dyDescent="0.35">
      <c r="B25" s="390"/>
      <c r="C25" s="408"/>
      <c r="D25" s="408"/>
      <c r="E25" s="408"/>
      <c r="F25" s="408"/>
      <c r="G25" s="407"/>
      <c r="H25" s="407"/>
      <c r="I25" s="407"/>
    </row>
    <row r="26" spans="2:11" s="405" customFormat="1" ht="13.25" customHeight="1" x14ac:dyDescent="0.35">
      <c r="B26" s="2073" t="s">
        <v>1096</v>
      </c>
      <c r="C26" s="2073"/>
      <c r="D26" s="2073"/>
      <c r="E26" s="2073"/>
      <c r="F26" s="2073"/>
      <c r="G26" s="406"/>
      <c r="H26" s="406"/>
      <c r="I26" s="406"/>
      <c r="J26" s="406"/>
    </row>
    <row r="27" spans="2:11" x14ac:dyDescent="0.35">
      <c r="F27" s="404" t="s">
        <v>110</v>
      </c>
    </row>
    <row r="28" spans="2:11" x14ac:dyDescent="0.35">
      <c r="B28" s="2076" t="s">
        <v>1</v>
      </c>
      <c r="C28" s="403" t="s">
        <v>111</v>
      </c>
      <c r="D28" s="402" t="s">
        <v>677</v>
      </c>
      <c r="E28" s="388" t="s">
        <v>196</v>
      </c>
      <c r="F28" s="388" t="s">
        <v>197</v>
      </c>
    </row>
    <row r="29" spans="2:11" ht="25.5" x14ac:dyDescent="0.35">
      <c r="B29" s="2029"/>
      <c r="C29" s="401"/>
      <c r="D29" s="400"/>
      <c r="E29" s="389" t="s">
        <v>1095</v>
      </c>
      <c r="F29" s="389" t="s">
        <v>1095</v>
      </c>
    </row>
    <row r="30" spans="2:11" x14ac:dyDescent="0.35">
      <c r="B30" s="382">
        <v>1</v>
      </c>
      <c r="C30" s="385" t="s">
        <v>1063</v>
      </c>
      <c r="D30" s="384" t="s">
        <v>1062</v>
      </c>
      <c r="E30" s="1283">
        <f>+Recon!E11</f>
        <v>1.9248424080000002</v>
      </c>
      <c r="F30" s="1283">
        <f>+Recon!H11</f>
        <v>6.5274221109999999</v>
      </c>
    </row>
    <row r="31" spans="2:11" x14ac:dyDescent="0.35">
      <c r="B31" s="382">
        <f>B30+1</f>
        <v>2</v>
      </c>
      <c r="C31" s="385" t="s">
        <v>1061</v>
      </c>
      <c r="D31" s="384" t="s">
        <v>1060</v>
      </c>
      <c r="E31" s="1283">
        <f>+Recon!E21</f>
        <v>7.4716567810000001</v>
      </c>
      <c r="F31" s="1283">
        <f>+Recon!H21</f>
        <v>18.005038694269814</v>
      </c>
    </row>
    <row r="32" spans="2:11" x14ac:dyDescent="0.35">
      <c r="B32" s="382">
        <f>B31+1</f>
        <v>3</v>
      </c>
      <c r="C32" s="381" t="s">
        <v>1059</v>
      </c>
      <c r="D32" s="380" t="s">
        <v>1058</v>
      </c>
      <c r="E32" s="1282">
        <f>+E30-E31</f>
        <v>-5.5468143730000001</v>
      </c>
      <c r="F32" s="1282">
        <f>+F30-F31</f>
        <v>-11.477616583269814</v>
      </c>
    </row>
    <row r="33" spans="2:6" x14ac:dyDescent="0.35">
      <c r="B33" s="382"/>
      <c r="C33" s="381"/>
      <c r="D33" s="380"/>
      <c r="E33" s="1282"/>
      <c r="F33" s="1282"/>
    </row>
    <row r="34" spans="2:6" x14ac:dyDescent="0.35">
      <c r="B34" s="382">
        <v>4</v>
      </c>
      <c r="C34" s="381" t="s">
        <v>1094</v>
      </c>
      <c r="D34" s="384"/>
      <c r="E34" s="1283"/>
      <c r="F34" s="1283"/>
    </row>
    <row r="35" spans="2:6" x14ac:dyDescent="0.35">
      <c r="B35" s="382"/>
      <c r="C35" s="381" t="s">
        <v>1093</v>
      </c>
      <c r="D35" s="384"/>
      <c r="E35" s="1283"/>
      <c r="F35" s="1283"/>
    </row>
    <row r="36" spans="2:6" x14ac:dyDescent="0.35">
      <c r="B36" s="382">
        <v>5</v>
      </c>
      <c r="C36" s="385" t="s">
        <v>1092</v>
      </c>
      <c r="D36" s="384" t="s">
        <v>1055</v>
      </c>
      <c r="E36" s="1773">
        <f>+Recon!E17</f>
        <v>1.2589140999999999</v>
      </c>
      <c r="F36" s="1773">
        <f>+Recon!H17</f>
        <v>2.8645279192698121</v>
      </c>
    </row>
    <row r="37" spans="2:6" ht="13.15" x14ac:dyDescent="0.35">
      <c r="B37" s="382">
        <f>B36+1</f>
        <v>6</v>
      </c>
      <c r="C37" s="385" t="s">
        <v>1056</v>
      </c>
      <c r="D37" s="384" t="s">
        <v>1051</v>
      </c>
      <c r="E37" s="1774">
        <f>SUM(E104:E111)/10^7</f>
        <v>8.5371600000000006E-2</v>
      </c>
      <c r="F37" s="1774">
        <f>SUM(F104:F111)/10^7</f>
        <v>0.26333020000000001</v>
      </c>
    </row>
    <row r="38" spans="2:6" x14ac:dyDescent="0.35">
      <c r="B38" s="382">
        <f>B37+1</f>
        <v>7</v>
      </c>
      <c r="C38" s="381" t="s">
        <v>1091</v>
      </c>
      <c r="D38" s="380" t="s">
        <v>1090</v>
      </c>
      <c r="E38" s="1775">
        <f>+E37+E36</f>
        <v>1.3442856999999999</v>
      </c>
      <c r="F38" s="1775">
        <f>+F37+F36</f>
        <v>3.1278581192698121</v>
      </c>
    </row>
    <row r="39" spans="2:6" x14ac:dyDescent="0.35">
      <c r="B39" s="382"/>
      <c r="C39" s="381" t="s">
        <v>1089</v>
      </c>
      <c r="D39" s="380"/>
      <c r="E39" s="1282"/>
      <c r="F39" s="1282"/>
    </row>
    <row r="40" spans="2:6" x14ac:dyDescent="0.35">
      <c r="B40" s="382">
        <v>8</v>
      </c>
      <c r="C40" s="385" t="s">
        <v>1088</v>
      </c>
      <c r="D40" s="384" t="s">
        <v>1087</v>
      </c>
      <c r="E40" s="1283">
        <f>+(E116+E117)/10^7</f>
        <v>11.956273299999999</v>
      </c>
      <c r="F40" s="1283">
        <f>+(F116+F117)/10^7</f>
        <v>14.421627674586535</v>
      </c>
    </row>
    <row r="41" spans="2:6" x14ac:dyDescent="0.35">
      <c r="B41" s="382">
        <f t="shared" ref="B41:B46" si="0">B40+1</f>
        <v>9</v>
      </c>
      <c r="C41" s="385" t="s">
        <v>1053</v>
      </c>
      <c r="D41" s="384" t="s">
        <v>1086</v>
      </c>
      <c r="E41" s="1283"/>
      <c r="F41" s="1283">
        <f>+SUM(F121:F123)/10^7</f>
        <v>0.1134201</v>
      </c>
    </row>
    <row r="42" spans="2:6" x14ac:dyDescent="0.35">
      <c r="B42" s="382">
        <f t="shared" si="0"/>
        <v>10</v>
      </c>
      <c r="C42" s="385" t="s">
        <v>1085</v>
      </c>
      <c r="D42" s="384" t="s">
        <v>1084</v>
      </c>
      <c r="E42" s="1283"/>
      <c r="F42" s="1283"/>
    </row>
    <row r="43" spans="2:6" x14ac:dyDescent="0.35">
      <c r="B43" s="382">
        <f t="shared" si="0"/>
        <v>11</v>
      </c>
      <c r="C43" s="385" t="s">
        <v>1083</v>
      </c>
      <c r="D43" s="384" t="s">
        <v>1082</v>
      </c>
      <c r="E43" s="1283"/>
      <c r="F43" s="1283"/>
    </row>
    <row r="44" spans="2:6" x14ac:dyDescent="0.35">
      <c r="B44" s="382">
        <f t="shared" si="0"/>
        <v>12</v>
      </c>
      <c r="C44" s="385" t="s">
        <v>1081</v>
      </c>
      <c r="D44" s="384" t="s">
        <v>1080</v>
      </c>
      <c r="E44" s="1283"/>
      <c r="F44" s="1283"/>
    </row>
    <row r="45" spans="2:6" x14ac:dyDescent="0.35">
      <c r="B45" s="382">
        <f t="shared" si="0"/>
        <v>13</v>
      </c>
      <c r="C45" s="381" t="s">
        <v>1079</v>
      </c>
      <c r="D45" s="380" t="s">
        <v>1078</v>
      </c>
      <c r="E45" s="1282">
        <f>SUM(E40:E44)</f>
        <v>11.956273299999999</v>
      </c>
      <c r="F45" s="1282">
        <f>SUM(F40:F44)</f>
        <v>14.535047774586536</v>
      </c>
    </row>
    <row r="46" spans="2:6" x14ac:dyDescent="0.35">
      <c r="B46" s="382">
        <f t="shared" si="0"/>
        <v>14</v>
      </c>
      <c r="C46" s="381" t="s">
        <v>1077</v>
      </c>
      <c r="D46" s="380" t="s">
        <v>1076</v>
      </c>
      <c r="E46" s="1282">
        <f>+E32+E38-E45</f>
        <v>-16.158801972999999</v>
      </c>
      <c r="F46" s="1282">
        <f>+F32+F38-F45</f>
        <v>-22.884806238586538</v>
      </c>
    </row>
    <row r="47" spans="2:6" x14ac:dyDescent="0.35">
      <c r="B47" s="382"/>
      <c r="C47" s="385"/>
      <c r="D47" s="384"/>
      <c r="E47" s="1283"/>
      <c r="F47" s="1283"/>
    </row>
    <row r="48" spans="2:6" x14ac:dyDescent="0.35">
      <c r="B48" s="382">
        <v>15</v>
      </c>
      <c r="C48" s="381" t="s">
        <v>1075</v>
      </c>
      <c r="D48" s="380" t="s">
        <v>1074</v>
      </c>
      <c r="E48" s="1282">
        <v>0</v>
      </c>
      <c r="F48" s="1282">
        <v>0</v>
      </c>
    </row>
    <row r="49" spans="2:6" x14ac:dyDescent="0.35">
      <c r="B49" s="382"/>
      <c r="C49" s="381"/>
      <c r="D49" s="380"/>
      <c r="E49" s="1282"/>
      <c r="F49" s="1282"/>
    </row>
    <row r="50" spans="2:6" ht="25.5" x14ac:dyDescent="0.35">
      <c r="B50" s="382">
        <v>16</v>
      </c>
      <c r="C50" s="381" t="s">
        <v>1048</v>
      </c>
      <c r="D50" s="399" t="s">
        <v>1073</v>
      </c>
      <c r="E50" s="1298">
        <f>+E81</f>
        <v>0</v>
      </c>
      <c r="F50" s="1298">
        <f>+F81</f>
        <v>0</v>
      </c>
    </row>
    <row r="51" spans="2:6" x14ac:dyDescent="0.35">
      <c r="B51" s="382"/>
      <c r="C51" s="385"/>
      <c r="D51" s="384"/>
      <c r="E51" s="1283"/>
      <c r="F51" s="1283"/>
    </row>
    <row r="52" spans="2:6" ht="13.15" x14ac:dyDescent="0.35">
      <c r="B52" s="382">
        <v>17</v>
      </c>
      <c r="C52" s="381" t="s">
        <v>1072</v>
      </c>
      <c r="D52" s="380" t="s">
        <v>1071</v>
      </c>
      <c r="E52" s="1298">
        <f>+MAX(E50,E48)</f>
        <v>0</v>
      </c>
      <c r="F52" s="1298">
        <f>+MAX(F50,F48)</f>
        <v>0</v>
      </c>
    </row>
    <row r="53" spans="2:6" x14ac:dyDescent="0.35">
      <c r="B53" s="382"/>
      <c r="C53" s="381"/>
      <c r="D53" s="380"/>
      <c r="E53" s="1282"/>
      <c r="F53" s="1282"/>
    </row>
    <row r="54" spans="2:6" x14ac:dyDescent="0.35">
      <c r="B54" s="382">
        <v>18</v>
      </c>
      <c r="C54" s="381" t="s">
        <v>1070</v>
      </c>
      <c r="D54" s="380" t="s">
        <v>1069</v>
      </c>
      <c r="E54" s="1282">
        <v>0</v>
      </c>
      <c r="F54" s="1282">
        <v>0</v>
      </c>
    </row>
    <row r="55" spans="2:6" x14ac:dyDescent="0.35">
      <c r="B55" s="382"/>
      <c r="C55" s="385"/>
      <c r="D55" s="384"/>
      <c r="E55" s="1283"/>
      <c r="F55" s="1283"/>
    </row>
    <row r="56" spans="2:6" x14ac:dyDescent="0.35">
      <c r="B56" s="382">
        <v>19</v>
      </c>
      <c r="C56" s="385" t="s">
        <v>1068</v>
      </c>
      <c r="D56" s="384" t="s">
        <v>1067</v>
      </c>
      <c r="E56" s="1280">
        <v>0</v>
      </c>
      <c r="F56" s="1280">
        <v>0</v>
      </c>
    </row>
    <row r="57" spans="2:6" x14ac:dyDescent="0.35">
      <c r="B57" s="382">
        <f>B56+1</f>
        <v>20</v>
      </c>
      <c r="C57" s="381" t="s">
        <v>1066</v>
      </c>
      <c r="D57" s="380" t="s">
        <v>1065</v>
      </c>
      <c r="E57" s="1283">
        <f>+E56*E54</f>
        <v>0</v>
      </c>
      <c r="F57" s="1283">
        <f>+F56*F54</f>
        <v>0</v>
      </c>
    </row>
    <row r="58" spans="2:6" x14ac:dyDescent="0.35">
      <c r="B58" s="382"/>
      <c r="C58" s="385"/>
      <c r="D58" s="384"/>
      <c r="E58" s="1284"/>
      <c r="F58" s="1284"/>
    </row>
    <row r="59" spans="2:6" x14ac:dyDescent="0.35">
      <c r="B59" s="398"/>
      <c r="C59" s="397" t="s">
        <v>1064</v>
      </c>
      <c r="D59" s="396"/>
      <c r="E59" s="396"/>
      <c r="F59" s="396"/>
    </row>
    <row r="60" spans="2:6" x14ac:dyDescent="0.35">
      <c r="B60" s="382">
        <v>21</v>
      </c>
      <c r="C60" s="385" t="s">
        <v>1063</v>
      </c>
      <c r="D60" s="384" t="s">
        <v>1062</v>
      </c>
      <c r="E60" s="1299">
        <f>+E30</f>
        <v>1.9248424080000002</v>
      </c>
      <c r="F60" s="1299">
        <f>+F30</f>
        <v>6.5274221109999999</v>
      </c>
    </row>
    <row r="61" spans="2:6" x14ac:dyDescent="0.35">
      <c r="B61" s="382">
        <f>B60+1</f>
        <v>22</v>
      </c>
      <c r="C61" s="385" t="s">
        <v>1061</v>
      </c>
      <c r="D61" s="384" t="s">
        <v>1060</v>
      </c>
      <c r="E61" s="1299">
        <f>+E31</f>
        <v>7.4716567810000001</v>
      </c>
      <c r="F61" s="1299">
        <f>+F31</f>
        <v>18.005038694269814</v>
      </c>
    </row>
    <row r="62" spans="2:6" x14ac:dyDescent="0.35">
      <c r="B62" s="382">
        <f>B61+1</f>
        <v>23</v>
      </c>
      <c r="C62" s="381" t="s">
        <v>1059</v>
      </c>
      <c r="D62" s="380" t="s">
        <v>1058</v>
      </c>
      <c r="E62" s="1282">
        <f>+E60-E61</f>
        <v>-5.5468143730000001</v>
      </c>
      <c r="F62" s="1282">
        <f>+F60-F61</f>
        <v>-11.477616583269814</v>
      </c>
    </row>
    <row r="63" spans="2:6" x14ac:dyDescent="0.35">
      <c r="B63" s="382"/>
      <c r="C63" s="381"/>
      <c r="D63" s="380"/>
      <c r="E63" s="385"/>
      <c r="F63" s="385"/>
    </row>
    <row r="64" spans="2:6" x14ac:dyDescent="0.35">
      <c r="B64" s="382">
        <v>24</v>
      </c>
      <c r="C64" s="381" t="s">
        <v>1057</v>
      </c>
      <c r="D64" s="384"/>
      <c r="E64" s="385"/>
      <c r="F64" s="385"/>
    </row>
    <row r="65" spans="2:6" x14ac:dyDescent="0.35">
      <c r="B65" s="382">
        <f t="shared" ref="B65:B70" si="1">B64+1</f>
        <v>25</v>
      </c>
      <c r="C65" s="385" t="s">
        <v>1056</v>
      </c>
      <c r="D65" s="384"/>
      <c r="E65" s="1300">
        <f>+E37</f>
        <v>8.5371600000000006E-2</v>
      </c>
      <c r="F65" s="1300">
        <f>+F37</f>
        <v>0.26333020000000001</v>
      </c>
    </row>
    <row r="66" spans="2:6" x14ac:dyDescent="0.35">
      <c r="B66" s="382">
        <f t="shared" si="1"/>
        <v>26</v>
      </c>
      <c r="C66" s="385" t="s">
        <v>365</v>
      </c>
      <c r="D66" s="384"/>
      <c r="E66" s="385"/>
      <c r="F66" s="385"/>
    </row>
    <row r="67" spans="2:6" x14ac:dyDescent="0.35">
      <c r="B67" s="382">
        <f t="shared" si="1"/>
        <v>27</v>
      </c>
      <c r="C67" s="385"/>
      <c r="D67" s="384"/>
      <c r="E67" s="385"/>
      <c r="F67" s="385"/>
    </row>
    <row r="68" spans="2:6" x14ac:dyDescent="0.35">
      <c r="B68" s="382">
        <f t="shared" si="1"/>
        <v>28</v>
      </c>
      <c r="C68" s="385"/>
      <c r="D68" s="384"/>
      <c r="E68" s="385"/>
      <c r="F68" s="385"/>
    </row>
    <row r="69" spans="2:6" x14ac:dyDescent="0.35">
      <c r="B69" s="382">
        <f t="shared" si="1"/>
        <v>29</v>
      </c>
      <c r="C69" s="385"/>
      <c r="D69" s="384"/>
      <c r="E69" s="385"/>
      <c r="F69" s="385"/>
    </row>
    <row r="70" spans="2:6" x14ac:dyDescent="0.35">
      <c r="B70" s="382">
        <f t="shared" si="1"/>
        <v>30</v>
      </c>
      <c r="C70" s="395" t="s">
        <v>1052</v>
      </c>
      <c r="D70" s="380" t="s">
        <v>1055</v>
      </c>
      <c r="E70" s="412">
        <f>SUM(E65:E69)</f>
        <v>8.5371600000000006E-2</v>
      </c>
      <c r="F70" s="412">
        <f>SUM(F65:F69)</f>
        <v>0.26333020000000001</v>
      </c>
    </row>
    <row r="71" spans="2:6" x14ac:dyDescent="0.35">
      <c r="B71" s="382"/>
      <c r="C71" s="385"/>
      <c r="D71" s="384"/>
      <c r="E71" s="385"/>
      <c r="F71" s="385"/>
    </row>
    <row r="72" spans="2:6" x14ac:dyDescent="0.35">
      <c r="B72" s="382">
        <v>31</v>
      </c>
      <c r="C72" s="381" t="s">
        <v>1054</v>
      </c>
      <c r="D72" s="380"/>
      <c r="E72" s="385"/>
      <c r="F72" s="385"/>
    </row>
    <row r="73" spans="2:6" x14ac:dyDescent="0.35">
      <c r="B73" s="382">
        <f>B72+1</f>
        <v>32</v>
      </c>
      <c r="C73" s="385" t="s">
        <v>1053</v>
      </c>
      <c r="D73" s="384"/>
      <c r="E73" s="1302">
        <f>+E41</f>
        <v>0</v>
      </c>
      <c r="F73" s="1302">
        <f>+F41</f>
        <v>0.1134201</v>
      </c>
    </row>
    <row r="74" spans="2:6" x14ac:dyDescent="0.35">
      <c r="B74" s="382">
        <f>B73+1</f>
        <v>33</v>
      </c>
      <c r="C74" s="385" t="s">
        <v>239</v>
      </c>
      <c r="D74" s="384"/>
      <c r="E74" s="385"/>
      <c r="F74" s="385"/>
    </row>
    <row r="75" spans="2:6" x14ac:dyDescent="0.35">
      <c r="B75" s="382">
        <f>B74+1</f>
        <v>34</v>
      </c>
      <c r="C75" s="385"/>
      <c r="D75" s="384"/>
      <c r="E75" s="385"/>
      <c r="F75" s="385"/>
    </row>
    <row r="76" spans="2:6" x14ac:dyDescent="0.35">
      <c r="B76" s="382">
        <f>B75+1</f>
        <v>35</v>
      </c>
      <c r="C76" s="385"/>
      <c r="D76" s="380"/>
      <c r="E76" s="385"/>
      <c r="F76" s="385"/>
    </row>
    <row r="77" spans="2:6" x14ac:dyDescent="0.35">
      <c r="B77" s="382">
        <f>B76+1</f>
        <v>36</v>
      </c>
      <c r="C77" s="395" t="s">
        <v>1052</v>
      </c>
      <c r="D77" s="380" t="s">
        <v>1051</v>
      </c>
      <c r="E77" s="545">
        <f>SUM(E73:E76)</f>
        <v>0</v>
      </c>
      <c r="F77" s="545">
        <f>SUM(F73:F76)</f>
        <v>0.1134201</v>
      </c>
    </row>
    <row r="78" spans="2:6" x14ac:dyDescent="0.35">
      <c r="B78" s="382"/>
      <c r="C78" s="381"/>
      <c r="D78" s="380"/>
      <c r="E78" s="385"/>
      <c r="F78" s="385"/>
    </row>
    <row r="79" spans="2:6" x14ac:dyDescent="0.35">
      <c r="B79" s="382">
        <v>37</v>
      </c>
      <c r="C79" s="381" t="s">
        <v>1050</v>
      </c>
      <c r="D79" s="380" t="s">
        <v>1049</v>
      </c>
      <c r="E79" s="1282">
        <f>+E62+E70-E77</f>
        <v>-5.4614427729999999</v>
      </c>
      <c r="F79" s="1282">
        <f>+F62+F70-F77</f>
        <v>-11.327706483269814</v>
      </c>
    </row>
    <row r="80" spans="2:6" x14ac:dyDescent="0.35">
      <c r="B80" s="382"/>
      <c r="C80" s="385"/>
      <c r="D80" s="384"/>
      <c r="E80" s="385"/>
      <c r="F80" s="385"/>
    </row>
    <row r="81" spans="2:6" x14ac:dyDescent="0.35">
      <c r="B81" s="382">
        <v>38</v>
      </c>
      <c r="C81" s="381" t="s">
        <v>1048</v>
      </c>
      <c r="D81" s="380"/>
      <c r="E81" s="1281">
        <v>0</v>
      </c>
      <c r="F81" s="1281">
        <v>0</v>
      </c>
    </row>
    <row r="83" spans="2:6" x14ac:dyDescent="0.35">
      <c r="C83" s="392" t="s">
        <v>1047</v>
      </c>
      <c r="D83" s="392"/>
      <c r="E83" s="392"/>
      <c r="F83" s="391"/>
    </row>
    <row r="84" spans="2:6" ht="13.25" customHeight="1" x14ac:dyDescent="0.35">
      <c r="C84" s="393" t="s">
        <v>1046</v>
      </c>
      <c r="D84" s="393"/>
      <c r="E84" s="393"/>
      <c r="F84" s="393"/>
    </row>
    <row r="86" spans="2:6" x14ac:dyDescent="0.35">
      <c r="C86" s="392"/>
      <c r="D86" s="392"/>
      <c r="E86" s="392"/>
      <c r="F86" s="391"/>
    </row>
    <row r="88" spans="2:6" x14ac:dyDescent="0.35">
      <c r="B88" s="2073" t="s">
        <v>1045</v>
      </c>
      <c r="C88" s="2073"/>
      <c r="D88" s="2073"/>
      <c r="E88" s="2073"/>
      <c r="F88" s="2073"/>
    </row>
    <row r="89" spans="2:6" x14ac:dyDescent="0.35">
      <c r="B89" s="376"/>
    </row>
    <row r="90" spans="2:6" x14ac:dyDescent="0.35">
      <c r="B90" s="389" t="s">
        <v>1</v>
      </c>
      <c r="C90" s="389" t="s">
        <v>111</v>
      </c>
      <c r="D90" s="388" t="s">
        <v>677</v>
      </c>
      <c r="E90" s="388" t="s">
        <v>1031</v>
      </c>
      <c r="F90" s="388" t="s">
        <v>197</v>
      </c>
    </row>
    <row r="91" spans="2:6" x14ac:dyDescent="0.35">
      <c r="B91" s="382">
        <v>1</v>
      </c>
      <c r="C91" s="385" t="s">
        <v>678</v>
      </c>
      <c r="D91" s="384" t="s">
        <v>128</v>
      </c>
      <c r="E91" s="387">
        <f>+E32</f>
        <v>-5.5468143730000001</v>
      </c>
      <c r="F91" s="387">
        <f>+F32</f>
        <v>-11.477616583269814</v>
      </c>
    </row>
    <row r="92" spans="2:6" x14ac:dyDescent="0.35">
      <c r="B92" s="382">
        <f>B91+1</f>
        <v>2</v>
      </c>
      <c r="C92" s="385" t="s">
        <v>679</v>
      </c>
      <c r="D92" s="384" t="s">
        <v>129</v>
      </c>
      <c r="E92" s="387">
        <v>0</v>
      </c>
      <c r="F92" s="1301">
        <v>0</v>
      </c>
    </row>
    <row r="93" spans="2:6" x14ac:dyDescent="0.35">
      <c r="B93" s="382">
        <f>B92+1</f>
        <v>3</v>
      </c>
      <c r="C93" s="385" t="s">
        <v>1044</v>
      </c>
      <c r="D93" s="384" t="s">
        <v>681</v>
      </c>
      <c r="E93" s="386">
        <f>IFERROR(+E92/E91,0)</f>
        <v>0</v>
      </c>
      <c r="F93" s="386">
        <f>IFERROR(+F92/F91,0)</f>
        <v>0</v>
      </c>
    </row>
    <row r="94" spans="2:6" x14ac:dyDescent="0.35">
      <c r="B94" s="382"/>
      <c r="C94" s="381"/>
      <c r="D94" s="381"/>
      <c r="E94" s="380"/>
      <c r="F94" s="385"/>
    </row>
    <row r="95" spans="2:6" x14ac:dyDescent="0.35">
      <c r="B95" s="382">
        <v>4</v>
      </c>
      <c r="C95" s="385" t="s">
        <v>682</v>
      </c>
      <c r="D95" s="384" t="s">
        <v>130</v>
      </c>
      <c r="E95" s="383"/>
      <c r="F95" s="383"/>
    </row>
    <row r="96" spans="2:6" x14ac:dyDescent="0.35">
      <c r="B96" s="382">
        <v>5</v>
      </c>
      <c r="C96" s="381" t="s">
        <v>687</v>
      </c>
      <c r="D96" s="380" t="s">
        <v>1043</v>
      </c>
      <c r="E96" s="379"/>
      <c r="F96" s="378"/>
    </row>
    <row r="97" spans="2:6" x14ac:dyDescent="0.35">
      <c r="B97" s="376"/>
    </row>
    <row r="98" spans="2:6" ht="35.450000000000003" customHeight="1" x14ac:dyDescent="0.35">
      <c r="B98" s="376"/>
      <c r="C98" s="2075" t="s">
        <v>1042</v>
      </c>
      <c r="D98" s="2075"/>
      <c r="E98" s="2075"/>
      <c r="F98" s="2075"/>
    </row>
    <row r="99" spans="2:6" ht="35.450000000000003" customHeight="1" x14ac:dyDescent="0.35">
      <c r="B99" s="376"/>
      <c r="C99" s="2075" t="s">
        <v>690</v>
      </c>
      <c r="D99" s="2075"/>
      <c r="E99" s="2075"/>
      <c r="F99" s="2075"/>
    </row>
    <row r="100" spans="2:6" ht="35.450000000000003" customHeight="1" x14ac:dyDescent="0.35">
      <c r="B100" s="376"/>
      <c r="C100" s="2075" t="s">
        <v>1041</v>
      </c>
      <c r="D100" s="2075"/>
      <c r="E100" s="2075"/>
      <c r="F100" s="2075"/>
    </row>
    <row r="101" spans="2:6" ht="35.450000000000003" customHeight="1" x14ac:dyDescent="0.35">
      <c r="B101" s="376"/>
      <c r="C101" s="2075" t="s">
        <v>1040</v>
      </c>
      <c r="D101" s="2075"/>
      <c r="E101" s="2075"/>
      <c r="F101" s="2075"/>
    </row>
    <row r="102" spans="2:6" ht="35.450000000000003" customHeight="1" x14ac:dyDescent="0.35"/>
    <row r="103" spans="2:6" ht="13.15" x14ac:dyDescent="0.35">
      <c r="C103" s="1285" t="s">
        <v>1493</v>
      </c>
    </row>
    <row r="104" spans="2:6" ht="14.25" x14ac:dyDescent="0.45">
      <c r="C104" s="1286" t="s">
        <v>1494</v>
      </c>
      <c r="E104" s="1293">
        <v>543707</v>
      </c>
      <c r="F104" s="1296">
        <v>584428</v>
      </c>
    </row>
    <row r="105" spans="2:6" ht="14.25" x14ac:dyDescent="0.45">
      <c r="C105" s="1287" t="s">
        <v>1495</v>
      </c>
      <c r="E105" s="1293"/>
      <c r="F105" s="1296"/>
    </row>
    <row r="106" spans="2:6" ht="14.25" x14ac:dyDescent="0.45">
      <c r="C106" s="1288" t="s">
        <v>1496</v>
      </c>
      <c r="E106" s="1294"/>
      <c r="F106" s="1296"/>
    </row>
    <row r="107" spans="2:6" ht="14.25" x14ac:dyDescent="0.45">
      <c r="C107" s="1286" t="s">
        <v>1497</v>
      </c>
      <c r="E107" s="1293">
        <v>31017</v>
      </c>
      <c r="F107" s="1296">
        <v>182016</v>
      </c>
    </row>
    <row r="108" spans="2:6" ht="14.25" x14ac:dyDescent="0.45">
      <c r="C108" s="1289" t="s">
        <v>1498</v>
      </c>
      <c r="E108" s="1293">
        <v>144</v>
      </c>
      <c r="F108" s="1296"/>
    </row>
    <row r="109" spans="2:6" ht="14.25" x14ac:dyDescent="0.45">
      <c r="C109" s="1289" t="s">
        <v>1499</v>
      </c>
      <c r="E109" s="1293">
        <v>278848</v>
      </c>
      <c r="F109" s="1296">
        <v>456143</v>
      </c>
    </row>
    <row r="110" spans="2:6" ht="14.25" x14ac:dyDescent="0.45">
      <c r="C110" s="1289" t="s">
        <v>1500</v>
      </c>
      <c r="E110" s="1293"/>
      <c r="F110" s="1296">
        <v>2450</v>
      </c>
    </row>
    <row r="111" spans="2:6" ht="14.25" x14ac:dyDescent="0.45">
      <c r="C111" s="1289" t="s">
        <v>1501</v>
      </c>
      <c r="E111" s="1293"/>
      <c r="F111" s="1296">
        <v>1408265</v>
      </c>
    </row>
    <row r="112" spans="2:6" ht="14.25" x14ac:dyDescent="0.35">
      <c r="C112" s="1218"/>
      <c r="E112" s="1295"/>
      <c r="F112" s="1295"/>
    </row>
    <row r="113" spans="3:6" ht="14.25" x14ac:dyDescent="0.35">
      <c r="C113" s="1218"/>
      <c r="E113" s="1295"/>
      <c r="F113" s="1295"/>
    </row>
    <row r="114" spans="3:6" ht="14.25" x14ac:dyDescent="0.45">
      <c r="C114" s="1290" t="s">
        <v>1502</v>
      </c>
      <c r="E114" s="1296"/>
      <c r="F114" s="1296"/>
    </row>
    <row r="115" spans="3:6" ht="14.25" x14ac:dyDescent="0.45">
      <c r="C115" s="1291" t="s">
        <v>1503</v>
      </c>
      <c r="E115" s="1296"/>
      <c r="F115" s="1296"/>
    </row>
    <row r="116" spans="3:6" ht="14.25" x14ac:dyDescent="0.45">
      <c r="C116" s="1289" t="s">
        <v>1504</v>
      </c>
      <c r="E116" s="1297">
        <v>42284839</v>
      </c>
      <c r="F116" s="1296">
        <v>144216276.74586535</v>
      </c>
    </row>
    <row r="117" spans="3:6" ht="14.25" x14ac:dyDescent="0.45">
      <c r="C117" s="1289" t="s">
        <v>1505</v>
      </c>
      <c r="E117" s="1293">
        <v>77277894</v>
      </c>
      <c r="F117" s="1296"/>
    </row>
    <row r="118" spans="3:6" ht="14.25" x14ac:dyDescent="0.35">
      <c r="C118" s="1218"/>
      <c r="F118" s="1295"/>
    </row>
    <row r="119" spans="3:6" ht="14.25" x14ac:dyDescent="0.35">
      <c r="C119" s="1292" t="s">
        <v>1506</v>
      </c>
      <c r="F119" s="1296"/>
    </row>
    <row r="120" spans="3:6" ht="14.25" x14ac:dyDescent="0.35">
      <c r="C120" s="1219" t="s">
        <v>1507</v>
      </c>
      <c r="F120" s="1296"/>
    </row>
    <row r="121" spans="3:6" ht="14.25" x14ac:dyDescent="0.45">
      <c r="C121" s="1286" t="s">
        <v>1508</v>
      </c>
      <c r="F121" s="1296">
        <v>23527</v>
      </c>
    </row>
    <row r="122" spans="3:6" ht="14.25" x14ac:dyDescent="0.45">
      <c r="C122" s="1286" t="s">
        <v>1499</v>
      </c>
      <c r="F122" s="1296">
        <v>220711</v>
      </c>
    </row>
    <row r="123" spans="3:6" ht="14.25" x14ac:dyDescent="0.45">
      <c r="C123" s="1289" t="s">
        <v>1509</v>
      </c>
      <c r="F123" s="1296">
        <v>889963</v>
      </c>
    </row>
  </sheetData>
  <mergeCells count="19">
    <mergeCell ref="B17:B18"/>
    <mergeCell ref="C17:C18"/>
    <mergeCell ref="D17:D18"/>
    <mergeCell ref="F7:F8"/>
    <mergeCell ref="B7:B8"/>
    <mergeCell ref="C7:C8"/>
    <mergeCell ref="C100:F100"/>
    <mergeCell ref="C101:F101"/>
    <mergeCell ref="B88:F88"/>
    <mergeCell ref="C99:F99"/>
    <mergeCell ref="B26:F26"/>
    <mergeCell ref="C98:F98"/>
    <mergeCell ref="B28:B29"/>
    <mergeCell ref="C11:F11"/>
    <mergeCell ref="C12:F12"/>
    <mergeCell ref="B15:F15"/>
    <mergeCell ref="B2:F2"/>
    <mergeCell ref="B3:F3"/>
    <mergeCell ref="B4:F4"/>
  </mergeCells>
  <pageMargins left="0.31496062992125984" right="0.31496062992125984" top="0.35433070866141736" bottom="0.15748031496062992" header="0.31496062992125984" footer="0.31496062992125984"/>
  <pageSetup paperSize="9" scale="49" orientation="landscape" r:id="rId1"/>
  <rowBreaks count="1" manualBreakCount="1">
    <brk id="24" min="1" max="19"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S237"/>
  <sheetViews>
    <sheetView showGridLines="0" view="pageBreakPreview" topLeftCell="A201" zoomScale="60" zoomScaleNormal="80" zoomScaleSheetLayoutView="70" workbookViewId="0"/>
  </sheetViews>
  <sheetFormatPr defaultColWidth="9.33203125" defaultRowHeight="13.9" x14ac:dyDescent="0.35"/>
  <cols>
    <col min="1" max="1" width="9.33203125" style="10"/>
    <col min="2" max="2" width="29.46484375" style="10" customWidth="1"/>
    <col min="3" max="3" width="14" style="57" customWidth="1"/>
    <col min="4" max="4" width="11.46484375" style="57" bestFit="1" customWidth="1"/>
    <col min="5" max="5" width="24.796875" style="57" bestFit="1" customWidth="1"/>
    <col min="6" max="6" width="20.33203125" style="57" bestFit="1" customWidth="1"/>
    <col min="7" max="7" width="23.1328125" style="57" bestFit="1" customWidth="1"/>
    <col min="8" max="8" width="17.6640625" style="57" bestFit="1" customWidth="1"/>
    <col min="9" max="10" width="17.86328125" style="57" bestFit="1" customWidth="1"/>
    <col min="11" max="11" width="12.46484375" style="57" customWidth="1"/>
    <col min="12" max="12" width="17.86328125" style="57" bestFit="1" customWidth="1"/>
    <col min="13" max="13" width="17.86328125" style="57" customWidth="1"/>
    <col min="14" max="14" width="19" style="57" customWidth="1"/>
    <col min="15" max="15" width="17.33203125" style="57" bestFit="1" customWidth="1"/>
    <col min="16" max="16" width="19" style="57" bestFit="1" customWidth="1"/>
    <col min="17" max="17" width="27.6640625" style="57" bestFit="1" customWidth="1"/>
    <col min="18" max="18" width="14.86328125" style="57" bestFit="1" customWidth="1"/>
    <col min="19" max="19" width="21.6640625" style="10" customWidth="1"/>
    <col min="20" max="16384" width="9.33203125" style="10"/>
  </cols>
  <sheetData>
    <row r="1" spans="2:19" s="1" customFormat="1" x14ac:dyDescent="0.4">
      <c r="B1" s="42"/>
      <c r="C1" s="108"/>
      <c r="D1" s="108"/>
      <c r="E1" s="108"/>
      <c r="F1" s="108"/>
      <c r="G1" s="108"/>
      <c r="H1" s="108"/>
      <c r="I1" s="108"/>
      <c r="J1" s="108"/>
      <c r="K1" s="108"/>
      <c r="L1" s="108"/>
      <c r="M1" s="108"/>
      <c r="N1" s="108"/>
      <c r="O1" s="108"/>
      <c r="P1" s="108"/>
      <c r="Q1" s="108"/>
      <c r="R1" s="108"/>
    </row>
    <row r="2" spans="2:19" s="1" customFormat="1"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row>
    <row r="3" spans="2:19" s="1" customFormat="1" x14ac:dyDescent="0.4">
      <c r="B3" s="1875" t="s">
        <v>211</v>
      </c>
      <c r="C3" s="1875"/>
      <c r="D3" s="1875"/>
      <c r="E3" s="1875"/>
      <c r="F3" s="1875"/>
      <c r="G3" s="1875"/>
      <c r="H3" s="1875"/>
      <c r="I3" s="1875"/>
      <c r="J3" s="1875"/>
      <c r="K3" s="1875"/>
      <c r="L3" s="1875"/>
      <c r="M3" s="1875"/>
      <c r="N3" s="1875"/>
      <c r="O3" s="1875"/>
      <c r="P3" s="1875"/>
      <c r="Q3" s="1875"/>
      <c r="R3" s="1875"/>
      <c r="S3" s="1875"/>
    </row>
    <row r="4" spans="2:19" s="1" customFormat="1" x14ac:dyDescent="0.4">
      <c r="B4" s="2079" t="s">
        <v>1456</v>
      </c>
      <c r="C4" s="2079"/>
      <c r="D4" s="2079"/>
      <c r="E4" s="2079"/>
      <c r="F4" s="2079"/>
      <c r="G4" s="2079"/>
      <c r="H4" s="2079"/>
      <c r="I4" s="2079"/>
      <c r="J4" s="2079"/>
      <c r="K4" s="2079"/>
      <c r="L4" s="2079"/>
      <c r="M4" s="2079"/>
      <c r="N4" s="2079"/>
      <c r="O4" s="2079"/>
      <c r="P4" s="2079"/>
      <c r="Q4" s="2079"/>
      <c r="R4" s="2079"/>
      <c r="S4" s="2079"/>
    </row>
    <row r="6" spans="2:19" x14ac:dyDescent="0.35">
      <c r="B6" s="40" t="s">
        <v>196</v>
      </c>
      <c r="C6" s="53"/>
      <c r="D6" s="53"/>
      <c r="E6" s="53"/>
      <c r="F6" s="53"/>
      <c r="G6" s="53"/>
      <c r="H6" s="53"/>
      <c r="I6" s="53"/>
      <c r="J6" s="53"/>
      <c r="K6" s="53"/>
      <c r="L6" s="53"/>
      <c r="M6" s="53"/>
      <c r="N6" s="53"/>
      <c r="O6" s="53"/>
    </row>
    <row r="7" spans="2:19" x14ac:dyDescent="0.35">
      <c r="B7" s="49"/>
    </row>
    <row r="8" spans="2:19" ht="40.5" x14ac:dyDescent="0.35">
      <c r="B8" s="1984" t="s">
        <v>699</v>
      </c>
      <c r="C8" s="106" t="s">
        <v>700</v>
      </c>
      <c r="D8" s="106" t="s">
        <v>701</v>
      </c>
      <c r="E8" s="106" t="s">
        <v>702</v>
      </c>
      <c r="F8" s="106" t="s">
        <v>703</v>
      </c>
      <c r="G8" s="106" t="s">
        <v>704</v>
      </c>
      <c r="H8" s="1188" t="s">
        <v>1449</v>
      </c>
      <c r="I8" s="1188" t="s">
        <v>1450</v>
      </c>
      <c r="J8" s="1188" t="s">
        <v>1451</v>
      </c>
      <c r="K8" s="106" t="s">
        <v>1448</v>
      </c>
      <c r="L8" s="106" t="s">
        <v>705</v>
      </c>
      <c r="M8" s="106" t="s">
        <v>706</v>
      </c>
      <c r="N8" s="106" t="s">
        <v>707</v>
      </c>
      <c r="O8" s="106" t="s">
        <v>708</v>
      </c>
      <c r="P8" s="106" t="s">
        <v>709</v>
      </c>
      <c r="Q8" s="106" t="s">
        <v>710</v>
      </c>
      <c r="R8" s="106" t="s">
        <v>711</v>
      </c>
      <c r="S8" s="106" t="s">
        <v>116</v>
      </c>
    </row>
    <row r="9" spans="2:19" ht="39.4" x14ac:dyDescent="0.35">
      <c r="B9" s="1984"/>
      <c r="C9" s="1188" t="s">
        <v>128</v>
      </c>
      <c r="D9" s="1188" t="s">
        <v>129</v>
      </c>
      <c r="E9" s="1188" t="s">
        <v>712</v>
      </c>
      <c r="F9" s="1188" t="s">
        <v>130</v>
      </c>
      <c r="G9" s="1188" t="s">
        <v>131</v>
      </c>
      <c r="H9" s="1188" t="s">
        <v>331</v>
      </c>
      <c r="I9" s="1188" t="s">
        <v>132</v>
      </c>
      <c r="J9" s="1188" t="s">
        <v>133</v>
      </c>
      <c r="K9" s="1188" t="s">
        <v>332</v>
      </c>
      <c r="L9" s="1188" t="s">
        <v>333</v>
      </c>
      <c r="M9" s="1188" t="s">
        <v>1452</v>
      </c>
      <c r="N9" s="1188" t="s">
        <v>529</v>
      </c>
      <c r="O9" s="1188" t="s">
        <v>1453</v>
      </c>
      <c r="P9" s="1188" t="s">
        <v>1454</v>
      </c>
      <c r="Q9" s="1188" t="s">
        <v>531</v>
      </c>
      <c r="R9" s="1188" t="s">
        <v>1455</v>
      </c>
      <c r="S9" s="1188" t="s">
        <v>533</v>
      </c>
    </row>
    <row r="10" spans="2:19" x14ac:dyDescent="0.35">
      <c r="B10" s="517" t="s">
        <v>161</v>
      </c>
      <c r="C10" s="93"/>
      <c r="D10" s="93"/>
      <c r="E10" s="93"/>
      <c r="F10" s="93"/>
      <c r="G10" s="93"/>
      <c r="H10" s="93"/>
      <c r="I10" s="93"/>
      <c r="J10" s="93"/>
      <c r="K10" s="93"/>
      <c r="L10" s="93"/>
      <c r="M10" s="93"/>
      <c r="N10" s="93"/>
      <c r="O10" s="93"/>
      <c r="P10" s="93"/>
      <c r="Q10" s="93"/>
      <c r="R10" s="93"/>
      <c r="S10" s="93"/>
    </row>
    <row r="11" spans="2:19" x14ac:dyDescent="0.35">
      <c r="B11" s="429" t="s">
        <v>1129</v>
      </c>
      <c r="C11" s="1189">
        <v>0</v>
      </c>
      <c r="D11" s="1190">
        <f>+'F1'!C12</f>
        <v>0</v>
      </c>
      <c r="E11" s="1190">
        <v>0</v>
      </c>
      <c r="F11" s="1190">
        <v>0</v>
      </c>
      <c r="G11" s="1190">
        <v>0</v>
      </c>
      <c r="H11" s="1190">
        <v>0</v>
      </c>
      <c r="I11" s="1190">
        <v>0</v>
      </c>
      <c r="J11" s="1190">
        <v>0</v>
      </c>
      <c r="K11" s="58"/>
      <c r="L11" s="1190"/>
      <c r="M11" s="1191">
        <f>SUM(E11:L11)</f>
        <v>0</v>
      </c>
      <c r="N11" s="1190"/>
      <c r="O11" s="1191">
        <f>+M11+N11</f>
        <v>0</v>
      </c>
      <c r="P11" s="887">
        <f>+IFERROR(O11/D11*10,0)</f>
        <v>0</v>
      </c>
      <c r="Q11" s="58"/>
      <c r="R11" s="58"/>
      <c r="S11" s="19"/>
    </row>
    <row r="12" spans="2:19" x14ac:dyDescent="0.35">
      <c r="B12" s="429" t="s">
        <v>1130</v>
      </c>
      <c r="C12" s="1189">
        <v>3</v>
      </c>
      <c r="D12" s="1190">
        <f>+'F1'!C13</f>
        <v>1.0070348</v>
      </c>
      <c r="E12" s="1190">
        <v>0.12942832000000001</v>
      </c>
      <c r="F12" s="1190">
        <v>1.158090023</v>
      </c>
      <c r="G12" s="1190">
        <v>7.8548715000000005E-2</v>
      </c>
      <c r="H12" s="1190">
        <v>-8.9811730000000003E-3</v>
      </c>
      <c r="I12" s="1190">
        <v>1.2336770000000003E-3</v>
      </c>
      <c r="J12" s="1190">
        <v>2.6081999999999998E-3</v>
      </c>
      <c r="K12" s="58"/>
      <c r="L12" s="1190"/>
      <c r="M12" s="1191">
        <f>SUM(E12:L12)</f>
        <v>1.360927762</v>
      </c>
      <c r="N12" s="1190"/>
      <c r="O12" s="1191">
        <f>+M12+N12</f>
        <v>1.360927762</v>
      </c>
      <c r="P12" s="887">
        <f>+IFERROR(O12/D12*10,0)</f>
        <v>13.514207870472799</v>
      </c>
      <c r="Q12" s="58"/>
      <c r="R12" s="58"/>
      <c r="S12" s="19"/>
    </row>
    <row r="13" spans="2:19" x14ac:dyDescent="0.35">
      <c r="B13" s="429" t="s">
        <v>1131</v>
      </c>
      <c r="C13" s="1189">
        <v>0</v>
      </c>
      <c r="D13" s="1190">
        <f>+'F1'!C14</f>
        <v>0</v>
      </c>
      <c r="E13" s="1190">
        <v>0</v>
      </c>
      <c r="F13" s="1190">
        <v>0</v>
      </c>
      <c r="G13" s="1190">
        <v>0</v>
      </c>
      <c r="H13" s="1190">
        <v>0</v>
      </c>
      <c r="I13" s="1190">
        <v>0</v>
      </c>
      <c r="J13" s="1190">
        <v>0</v>
      </c>
      <c r="K13" s="58"/>
      <c r="L13" s="1190"/>
      <c r="M13" s="1191">
        <f>SUM(E13:L13)</f>
        <v>0</v>
      </c>
      <c r="N13" s="1190"/>
      <c r="O13" s="1191">
        <f>+M13+N13</f>
        <v>0</v>
      </c>
      <c r="P13" s="887">
        <f>+IFERROR(O13/D13*10,0)</f>
        <v>0</v>
      </c>
      <c r="Q13" s="58"/>
      <c r="R13" s="58"/>
      <c r="S13" s="19"/>
    </row>
    <row r="14" spans="2:19" ht="25.5" x14ac:dyDescent="0.35">
      <c r="B14" s="429" t="s">
        <v>1132</v>
      </c>
      <c r="C14" s="1189">
        <v>0</v>
      </c>
      <c r="D14" s="1190">
        <f>+'F1'!C15</f>
        <v>0</v>
      </c>
      <c r="E14" s="1190">
        <v>0</v>
      </c>
      <c r="F14" s="1190">
        <v>0</v>
      </c>
      <c r="G14" s="1190">
        <v>0</v>
      </c>
      <c r="H14" s="1190">
        <v>0</v>
      </c>
      <c r="I14" s="1190">
        <v>0</v>
      </c>
      <c r="J14" s="1190">
        <v>0</v>
      </c>
      <c r="K14" s="58"/>
      <c r="L14" s="1190"/>
      <c r="M14" s="1191">
        <f>SUM(E14:L14)</f>
        <v>0</v>
      </c>
      <c r="N14" s="1190"/>
      <c r="O14" s="1191">
        <f>+M14+N14</f>
        <v>0</v>
      </c>
      <c r="P14" s="887">
        <f>+IFERROR(O14/D14*10,0)</f>
        <v>0</v>
      </c>
      <c r="Q14" s="58"/>
      <c r="R14" s="58"/>
      <c r="S14" s="19"/>
    </row>
    <row r="15" spans="2:19" x14ac:dyDescent="0.35">
      <c r="B15" s="518" t="s">
        <v>162</v>
      </c>
      <c r="C15" s="1192">
        <f>SUM(C11:C14)</f>
        <v>3</v>
      </c>
      <c r="D15" s="1191">
        <f t="shared" ref="D15:O15" si="0">SUM(D11:D14)</f>
        <v>1.0070348</v>
      </c>
      <c r="E15" s="1191">
        <f t="shared" si="0"/>
        <v>0.12942832000000001</v>
      </c>
      <c r="F15" s="1191">
        <f t="shared" si="0"/>
        <v>1.158090023</v>
      </c>
      <c r="G15" s="1191">
        <f t="shared" si="0"/>
        <v>7.8548715000000005E-2</v>
      </c>
      <c r="H15" s="1191">
        <f>SUM(H11:H14)</f>
        <v>-8.9811730000000003E-3</v>
      </c>
      <c r="I15" s="1191">
        <f>SUM(I11:I14)</f>
        <v>1.2336770000000003E-3</v>
      </c>
      <c r="J15" s="1191">
        <f>SUM(J11:J14)</f>
        <v>2.6081999999999998E-3</v>
      </c>
      <c r="K15" s="1191">
        <f>SUM(K11:K14)</f>
        <v>0</v>
      </c>
      <c r="L15" s="1191">
        <f>SUM(L11:L14)</f>
        <v>0</v>
      </c>
      <c r="M15" s="1191">
        <f t="shared" si="0"/>
        <v>1.360927762</v>
      </c>
      <c r="N15" s="1191">
        <f t="shared" si="0"/>
        <v>0</v>
      </c>
      <c r="O15" s="1191">
        <f t="shared" si="0"/>
        <v>1.360927762</v>
      </c>
      <c r="P15" s="887">
        <f>+IFERROR(O15/D15*10,0)</f>
        <v>13.514207870472799</v>
      </c>
      <c r="Q15" s="58"/>
      <c r="R15" s="58"/>
      <c r="S15" s="19"/>
    </row>
    <row r="16" spans="2:19" x14ac:dyDescent="0.35">
      <c r="B16" s="517" t="s">
        <v>163</v>
      </c>
      <c r="C16" s="1189"/>
      <c r="D16" s="1190"/>
      <c r="E16" s="1190"/>
      <c r="F16" s="1190"/>
      <c r="G16" s="1190"/>
      <c r="H16" s="1190"/>
      <c r="I16" s="1190"/>
      <c r="J16" s="1190"/>
      <c r="K16" s="58"/>
      <c r="L16" s="1190"/>
      <c r="M16" s="1190"/>
      <c r="N16" s="1190"/>
      <c r="O16" s="1190"/>
      <c r="P16" s="887"/>
      <c r="Q16" s="58"/>
      <c r="R16" s="58"/>
      <c r="S16" s="19"/>
    </row>
    <row r="17" spans="2:19" x14ac:dyDescent="0.35">
      <c r="B17" s="519" t="s">
        <v>1133</v>
      </c>
      <c r="C17" s="1189"/>
      <c r="D17" s="1190"/>
      <c r="E17" s="1190"/>
      <c r="F17" s="1190"/>
      <c r="G17" s="1190"/>
      <c r="H17" s="1190"/>
      <c r="I17" s="1190"/>
      <c r="J17" s="1190"/>
      <c r="K17" s="58"/>
      <c r="L17" s="1190"/>
      <c r="M17" s="1190"/>
      <c r="N17" s="1190"/>
      <c r="O17" s="1190"/>
      <c r="P17" s="887"/>
      <c r="Q17" s="58"/>
      <c r="R17" s="58"/>
      <c r="S17" s="19"/>
    </row>
    <row r="18" spans="2:19" x14ac:dyDescent="0.35">
      <c r="B18" s="520" t="s">
        <v>1106</v>
      </c>
      <c r="C18" s="1189">
        <v>78</v>
      </c>
      <c r="D18" s="1190">
        <f>+'F1'!C19</f>
        <v>3.6902539999999984E-2</v>
      </c>
      <c r="E18" s="1190">
        <v>1.57909E-2</v>
      </c>
      <c r="F18" s="1190">
        <v>2.2047960000000002E-3</v>
      </c>
      <c r="G18" s="1190">
        <v>9.5498000000000002E-4</v>
      </c>
      <c r="H18" s="1190">
        <v>0</v>
      </c>
      <c r="I18" s="1190">
        <v>0</v>
      </c>
      <c r="J18" s="1190">
        <v>0</v>
      </c>
      <c r="K18" s="58"/>
      <c r="L18" s="1190"/>
      <c r="M18" s="1191">
        <f t="shared" ref="M18:M30" si="1">SUM(E18:L18)</f>
        <v>1.8950676E-2</v>
      </c>
      <c r="N18" s="1190"/>
      <c r="O18" s="1191">
        <f t="shared" ref="O18:O30" si="2">+M18+N18</f>
        <v>1.8950676E-2</v>
      </c>
      <c r="P18" s="887">
        <f t="shared" ref="P18:P31" si="3">+IFERROR(O18/D18*10,0)</f>
        <v>5.1353310639321865</v>
      </c>
      <c r="Q18" s="58"/>
      <c r="R18" s="58"/>
      <c r="S18" s="19"/>
    </row>
    <row r="19" spans="2:19" x14ac:dyDescent="0.35">
      <c r="B19" s="520" t="s">
        <v>1107</v>
      </c>
      <c r="C19" s="1193">
        <v>41</v>
      </c>
      <c r="D19" s="1194">
        <f>+'F1'!C20</f>
        <v>2.9829460000000016E-2</v>
      </c>
      <c r="E19" s="1194">
        <v>7.0199999999999993E-3</v>
      </c>
      <c r="F19" s="1194">
        <v>1.9881015999999998E-2</v>
      </c>
      <c r="G19" s="1194">
        <v>5.5252600000000006E-3</v>
      </c>
      <c r="H19" s="1194">
        <v>0</v>
      </c>
      <c r="I19" s="1194">
        <v>0</v>
      </c>
      <c r="J19" s="1190">
        <v>0</v>
      </c>
      <c r="K19" s="58"/>
      <c r="L19" s="1190"/>
      <c r="M19" s="1191">
        <f t="shared" si="1"/>
        <v>3.2426275999999997E-2</v>
      </c>
      <c r="N19" s="1194"/>
      <c r="O19" s="1195">
        <f t="shared" si="2"/>
        <v>3.2426275999999997E-2</v>
      </c>
      <c r="P19" s="887">
        <f t="shared" si="3"/>
        <v>10.87055414345415</v>
      </c>
      <c r="Q19" s="58"/>
      <c r="R19" s="58"/>
      <c r="S19" s="19"/>
    </row>
    <row r="20" spans="2:19" x14ac:dyDescent="0.35">
      <c r="B20" s="520" t="s">
        <v>1108</v>
      </c>
      <c r="C20" s="1189">
        <v>11</v>
      </c>
      <c r="D20" s="1190">
        <f>+'F1'!C21</f>
        <v>6.0957200000000007E-3</v>
      </c>
      <c r="E20" s="1190">
        <v>1.1100000000000001E-3</v>
      </c>
      <c r="F20" s="1190">
        <v>8.4189929999999996E-3</v>
      </c>
      <c r="G20" s="1190">
        <v>1.7512300000000001E-3</v>
      </c>
      <c r="H20" s="1190">
        <v>0</v>
      </c>
      <c r="I20" s="1190">
        <v>0</v>
      </c>
      <c r="J20" s="1190">
        <v>0</v>
      </c>
      <c r="K20" s="58"/>
      <c r="L20" s="1190"/>
      <c r="M20" s="1191">
        <f t="shared" si="1"/>
        <v>1.1280222999999999E-2</v>
      </c>
      <c r="N20" s="1190"/>
      <c r="O20" s="1191">
        <f t="shared" si="2"/>
        <v>1.1280222999999999E-2</v>
      </c>
      <c r="P20" s="887">
        <f t="shared" si="3"/>
        <v>18.505152795732084</v>
      </c>
      <c r="Q20" s="58"/>
      <c r="R20" s="58"/>
      <c r="S20" s="19"/>
    </row>
    <row r="21" spans="2:19" x14ac:dyDescent="0.35">
      <c r="B21" s="520" t="s">
        <v>1109</v>
      </c>
      <c r="C21" s="1189">
        <v>1</v>
      </c>
      <c r="D21" s="1190">
        <f>+'F1'!C22</f>
        <v>7.2720199999999997E-3</v>
      </c>
      <c r="E21" s="1190">
        <v>1.7999999999999998E-4</v>
      </c>
      <c r="F21" s="1190">
        <v>2.9052000000000001E-3</v>
      </c>
      <c r="G21" s="1190">
        <v>4.8255999999999999E-4</v>
      </c>
      <c r="H21" s="1190">
        <v>0</v>
      </c>
      <c r="I21" s="1190">
        <v>0</v>
      </c>
      <c r="J21" s="1190">
        <v>0</v>
      </c>
      <c r="K21" s="58"/>
      <c r="L21" s="1190"/>
      <c r="M21" s="1191">
        <f t="shared" si="1"/>
        <v>3.5677600000000001E-3</v>
      </c>
      <c r="N21" s="1190"/>
      <c r="O21" s="1191">
        <f t="shared" si="2"/>
        <v>3.5677600000000001E-3</v>
      </c>
      <c r="P21" s="887">
        <f t="shared" si="3"/>
        <v>4.9061471228076936</v>
      </c>
      <c r="Q21" s="58"/>
      <c r="R21" s="58"/>
      <c r="S21" s="19"/>
    </row>
    <row r="22" spans="2:19" x14ac:dyDescent="0.35">
      <c r="B22" s="520" t="s">
        <v>1110</v>
      </c>
      <c r="C22" s="1189">
        <v>2</v>
      </c>
      <c r="D22" s="1190">
        <f>+'F1'!C23</f>
        <v>3.8889259999999995E-2</v>
      </c>
      <c r="E22" s="1190">
        <v>1.5E-3</v>
      </c>
      <c r="F22" s="1190">
        <v>5.6301597999999994E-2</v>
      </c>
      <c r="G22" s="1190">
        <v>6.7545399999999998E-3</v>
      </c>
      <c r="H22" s="1190">
        <v>0</v>
      </c>
      <c r="I22" s="1190">
        <v>0</v>
      </c>
      <c r="J22" s="1190">
        <v>0</v>
      </c>
      <c r="K22" s="58"/>
      <c r="L22" s="1190"/>
      <c r="M22" s="1191">
        <f t="shared" si="1"/>
        <v>6.4556137999999999E-2</v>
      </c>
      <c r="N22" s="1190"/>
      <c r="O22" s="1191">
        <f t="shared" si="2"/>
        <v>6.4556137999999999E-2</v>
      </c>
      <c r="P22" s="887">
        <f t="shared" si="3"/>
        <v>16.599991360082452</v>
      </c>
      <c r="Q22" s="58"/>
      <c r="R22" s="58"/>
      <c r="S22" s="19"/>
    </row>
    <row r="23" spans="2:19" x14ac:dyDescent="0.35">
      <c r="B23" s="519" t="s">
        <v>1139</v>
      </c>
      <c r="C23" s="1189"/>
      <c r="D23" s="1190">
        <f>+'F1'!C24</f>
        <v>0</v>
      </c>
      <c r="E23" s="58"/>
      <c r="F23" s="1190"/>
      <c r="G23" s="58"/>
      <c r="H23" s="58"/>
      <c r="I23" s="58"/>
      <c r="J23" s="58"/>
      <c r="K23" s="58"/>
      <c r="L23" s="1190"/>
      <c r="M23" s="1191">
        <f t="shared" si="1"/>
        <v>0</v>
      </c>
      <c r="N23" s="1190"/>
      <c r="O23" s="1191">
        <f t="shared" si="2"/>
        <v>0</v>
      </c>
      <c r="P23" s="887">
        <f t="shared" si="3"/>
        <v>0</v>
      </c>
      <c r="Q23" s="58"/>
      <c r="R23" s="58"/>
      <c r="S23" s="19"/>
    </row>
    <row r="24" spans="2:19" x14ac:dyDescent="0.35">
      <c r="B24" s="520" t="s">
        <v>1140</v>
      </c>
      <c r="C24" s="1189"/>
      <c r="D24" s="1190">
        <f>+'F1'!C25</f>
        <v>0</v>
      </c>
      <c r="E24" s="1190"/>
      <c r="F24" s="1190"/>
      <c r="G24" s="1190"/>
      <c r="H24" s="1190"/>
      <c r="I24" s="1190"/>
      <c r="J24" s="1190"/>
      <c r="K24" s="58"/>
      <c r="L24" s="1190"/>
      <c r="M24" s="1191">
        <f t="shared" si="1"/>
        <v>0</v>
      </c>
      <c r="N24" s="1190"/>
      <c r="O24" s="1191">
        <f t="shared" si="2"/>
        <v>0</v>
      </c>
      <c r="P24" s="887">
        <f t="shared" si="3"/>
        <v>0</v>
      </c>
      <c r="Q24" s="58"/>
      <c r="R24" s="58"/>
      <c r="S24" s="19"/>
    </row>
    <row r="25" spans="2:19" x14ac:dyDescent="0.35">
      <c r="B25" s="520" t="s">
        <v>1144</v>
      </c>
      <c r="C25" s="1196"/>
      <c r="D25" s="1197">
        <f>+'F1'!C26</f>
        <v>0</v>
      </c>
      <c r="E25" s="1197"/>
      <c r="F25" s="1197"/>
      <c r="G25" s="1197"/>
      <c r="H25" s="1197"/>
      <c r="I25" s="1197"/>
      <c r="J25" s="1190"/>
      <c r="K25" s="58"/>
      <c r="L25" s="1190"/>
      <c r="M25" s="1191">
        <f t="shared" si="1"/>
        <v>0</v>
      </c>
      <c r="N25" s="1197"/>
      <c r="O25" s="1198">
        <f t="shared" si="2"/>
        <v>0</v>
      </c>
      <c r="P25" s="887">
        <f t="shared" si="3"/>
        <v>0</v>
      </c>
      <c r="Q25" s="58"/>
      <c r="R25" s="58"/>
      <c r="S25" s="19"/>
    </row>
    <row r="26" spans="2:19" x14ac:dyDescent="0.35">
      <c r="B26" s="520" t="s">
        <v>1143</v>
      </c>
      <c r="C26" s="1189"/>
      <c r="D26" s="1190">
        <f>+'F1'!C27</f>
        <v>0</v>
      </c>
      <c r="E26" s="1190"/>
      <c r="F26" s="1190"/>
      <c r="G26" s="1190"/>
      <c r="H26" s="1190"/>
      <c r="I26" s="1190"/>
      <c r="J26" s="1190"/>
      <c r="K26" s="58"/>
      <c r="L26" s="1190"/>
      <c r="M26" s="1191">
        <f t="shared" si="1"/>
        <v>0</v>
      </c>
      <c r="N26" s="1190"/>
      <c r="O26" s="1191">
        <f t="shared" si="2"/>
        <v>0</v>
      </c>
      <c r="P26" s="887">
        <f t="shared" si="3"/>
        <v>0</v>
      </c>
      <c r="Q26" s="58"/>
      <c r="R26" s="58"/>
      <c r="S26" s="19"/>
    </row>
    <row r="27" spans="2:19" ht="25.5" x14ac:dyDescent="0.35">
      <c r="B27" s="519" t="s">
        <v>1111</v>
      </c>
      <c r="C27" s="1189"/>
      <c r="D27" s="1190">
        <f>+'F1'!C28</f>
        <v>0</v>
      </c>
      <c r="E27" s="1190"/>
      <c r="F27" s="1190"/>
      <c r="G27" s="1190"/>
      <c r="H27" s="1190"/>
      <c r="I27" s="1190"/>
      <c r="J27" s="1190"/>
      <c r="K27" s="58"/>
      <c r="L27" s="1190"/>
      <c r="M27" s="1191">
        <f t="shared" si="1"/>
        <v>0</v>
      </c>
      <c r="N27" s="1190"/>
      <c r="O27" s="1191">
        <f t="shared" si="2"/>
        <v>0</v>
      </c>
      <c r="P27" s="887">
        <f t="shared" si="3"/>
        <v>0</v>
      </c>
      <c r="Q27" s="58"/>
      <c r="R27" s="58"/>
      <c r="S27" s="19"/>
    </row>
    <row r="28" spans="2:19" ht="25.5" x14ac:dyDescent="0.35">
      <c r="B28" s="519" t="s">
        <v>1135</v>
      </c>
      <c r="C28" s="1189">
        <v>3</v>
      </c>
      <c r="D28" s="1190">
        <f>+'F1'!C29</f>
        <v>5.5825E-2</v>
      </c>
      <c r="E28" s="1190">
        <v>5.2500000000000008E-4</v>
      </c>
      <c r="F28" s="1190">
        <v>2.6572700000000005E-2</v>
      </c>
      <c r="G28" s="1190">
        <v>7.2572500000000007E-3</v>
      </c>
      <c r="H28" s="1190">
        <v>0</v>
      </c>
      <c r="I28" s="1190">
        <v>0</v>
      </c>
      <c r="J28" s="1190">
        <v>0</v>
      </c>
      <c r="K28" s="58"/>
      <c r="L28" s="1190"/>
      <c r="M28" s="1191">
        <f t="shared" si="1"/>
        <v>3.4354950000000009E-2</v>
      </c>
      <c r="N28" s="1190"/>
      <c r="O28" s="1191">
        <f t="shared" si="2"/>
        <v>3.4354950000000009E-2</v>
      </c>
      <c r="P28" s="887">
        <f t="shared" si="3"/>
        <v>6.1540438871473366</v>
      </c>
      <c r="Q28" s="58"/>
      <c r="R28" s="58"/>
      <c r="S28" s="19"/>
    </row>
    <row r="29" spans="2:19" ht="25.5" x14ac:dyDescent="0.35">
      <c r="B29" s="519" t="s">
        <v>1136</v>
      </c>
      <c r="C29" s="1189"/>
      <c r="D29" s="1190">
        <f>+'F1'!C30</f>
        <v>0</v>
      </c>
      <c r="E29" s="1190"/>
      <c r="F29" s="1190"/>
      <c r="G29" s="1190"/>
      <c r="H29" s="1190"/>
      <c r="I29" s="1190"/>
      <c r="J29" s="1190"/>
      <c r="K29" s="58"/>
      <c r="L29" s="1190"/>
      <c r="M29" s="1191">
        <f t="shared" si="1"/>
        <v>0</v>
      </c>
      <c r="N29" s="1190"/>
      <c r="O29" s="1191">
        <f t="shared" si="2"/>
        <v>0</v>
      </c>
      <c r="P29" s="887">
        <f t="shared" si="3"/>
        <v>0</v>
      </c>
      <c r="Q29" s="58"/>
      <c r="R29" s="58"/>
      <c r="S29" s="19"/>
    </row>
    <row r="30" spans="2:19" x14ac:dyDescent="0.35">
      <c r="B30" s="519" t="s">
        <v>1142</v>
      </c>
      <c r="C30" s="1189"/>
      <c r="D30" s="1190">
        <f>+'F1'!C31</f>
        <v>0</v>
      </c>
      <c r="E30" s="1190"/>
      <c r="F30" s="1190"/>
      <c r="G30" s="1190"/>
      <c r="H30" s="1190"/>
      <c r="I30" s="1190"/>
      <c r="J30" s="1190"/>
      <c r="K30" s="58"/>
      <c r="L30" s="1190"/>
      <c r="M30" s="1191">
        <f t="shared" si="1"/>
        <v>0</v>
      </c>
      <c r="N30" s="1190"/>
      <c r="O30" s="1191">
        <f t="shared" si="2"/>
        <v>0</v>
      </c>
      <c r="P30" s="887">
        <f t="shared" si="3"/>
        <v>0</v>
      </c>
      <c r="Q30" s="58"/>
      <c r="R30" s="58"/>
      <c r="S30" s="19"/>
    </row>
    <row r="31" spans="2:19" x14ac:dyDescent="0.35">
      <c r="B31" s="518" t="s">
        <v>162</v>
      </c>
      <c r="C31" s="1192">
        <f>SUM(C18:C30)</f>
        <v>136</v>
      </c>
      <c r="D31" s="1191">
        <f>SUM(D18:D30)</f>
        <v>0.174814</v>
      </c>
      <c r="E31" s="1191">
        <f>SUM(E18:E29)</f>
        <v>2.6125900000000001E-2</v>
      </c>
      <c r="F31" s="1191">
        <f>SUM(F18:F29)</f>
        <v>0.11628430299999999</v>
      </c>
      <c r="G31" s="1191">
        <f>SUM(G18:G29)</f>
        <v>2.2725820000000001E-2</v>
      </c>
      <c r="H31" s="1191">
        <f>SUM(H18:H29)</f>
        <v>0</v>
      </c>
      <c r="I31" s="1191">
        <f>SUM(I18:I29)</f>
        <v>0</v>
      </c>
      <c r="J31" s="1191"/>
      <c r="K31" s="58"/>
      <c r="L31" s="1191">
        <f>SUM(L18:L29)</f>
        <v>0</v>
      </c>
      <c r="M31" s="1191">
        <f>SUM(M18:M29)</f>
        <v>0.16513602300000002</v>
      </c>
      <c r="N31" s="1191">
        <f>SUM(N18:N29)</f>
        <v>0</v>
      </c>
      <c r="O31" s="1191">
        <f>SUM(O18:O29)</f>
        <v>0.16513602300000002</v>
      </c>
      <c r="P31" s="887">
        <f t="shared" si="3"/>
        <v>9.4463843284862783</v>
      </c>
      <c r="Q31" s="58"/>
      <c r="R31" s="58"/>
      <c r="S31" s="19"/>
    </row>
    <row r="32" spans="2:19" x14ac:dyDescent="0.35">
      <c r="B32" s="518"/>
      <c r="C32" s="58"/>
      <c r="D32" s="1190"/>
      <c r="E32" s="1190"/>
      <c r="F32" s="1190"/>
      <c r="G32" s="1190"/>
      <c r="H32" s="1190"/>
      <c r="I32" s="1190"/>
      <c r="J32" s="1190"/>
      <c r="K32" s="58"/>
      <c r="L32" s="1190"/>
      <c r="M32" s="1190"/>
      <c r="N32" s="1190"/>
      <c r="O32" s="1190"/>
      <c r="P32" s="887"/>
      <c r="Q32" s="58"/>
      <c r="R32" s="58"/>
      <c r="S32" s="19"/>
    </row>
    <row r="33" spans="2:19" x14ac:dyDescent="0.35">
      <c r="B33" s="119" t="s">
        <v>164</v>
      </c>
      <c r="C33" s="1192">
        <f t="shared" ref="C33:O33" si="4">+C31+C15</f>
        <v>139</v>
      </c>
      <c r="D33" s="1191">
        <f t="shared" si="4"/>
        <v>1.1818488</v>
      </c>
      <c r="E33" s="1191">
        <f t="shared" si="4"/>
        <v>0.15555422000000002</v>
      </c>
      <c r="F33" s="1191">
        <f t="shared" si="4"/>
        <v>1.274374326</v>
      </c>
      <c r="G33" s="1191">
        <f t="shared" si="4"/>
        <v>0.101274535</v>
      </c>
      <c r="H33" s="1191">
        <f t="shared" si="4"/>
        <v>-8.9811730000000003E-3</v>
      </c>
      <c r="I33" s="1191">
        <f t="shared" si="4"/>
        <v>1.2336770000000003E-3</v>
      </c>
      <c r="J33" s="1191">
        <f t="shared" si="4"/>
        <v>2.6081999999999998E-3</v>
      </c>
      <c r="K33" s="1191">
        <f t="shared" si="4"/>
        <v>0</v>
      </c>
      <c r="L33" s="1191">
        <f t="shared" si="4"/>
        <v>0</v>
      </c>
      <c r="M33" s="1191">
        <f t="shared" si="4"/>
        <v>1.5260637850000001</v>
      </c>
      <c r="N33" s="1191">
        <f t="shared" si="4"/>
        <v>0</v>
      </c>
      <c r="O33" s="1191">
        <f t="shared" si="4"/>
        <v>1.5260637850000001</v>
      </c>
      <c r="P33" s="887">
        <f>+IFERROR(O33/D33*10,0)</f>
        <v>12.912512878127895</v>
      </c>
      <c r="Q33" s="58"/>
      <c r="R33" s="58"/>
      <c r="S33" s="19"/>
    </row>
    <row r="34" spans="2:19" x14ac:dyDescent="0.35">
      <c r="B34" s="277"/>
    </row>
    <row r="35" spans="2:19" x14ac:dyDescent="0.35">
      <c r="B35" s="118" t="s">
        <v>165</v>
      </c>
      <c r="C35" s="1199"/>
      <c r="D35" s="1199"/>
      <c r="E35" s="1199"/>
      <c r="F35" s="1199"/>
      <c r="G35" s="1199"/>
      <c r="H35" s="1199"/>
      <c r="I35" s="1199"/>
      <c r="J35" s="1199"/>
      <c r="K35" s="1199"/>
      <c r="L35" s="1199"/>
      <c r="M35" s="1199"/>
      <c r="N35" s="1199"/>
      <c r="O35" s="1199"/>
    </row>
    <row r="36" spans="2:19" x14ac:dyDescent="0.35">
      <c r="B36" s="156" t="s">
        <v>714</v>
      </c>
      <c r="C36" s="1200"/>
      <c r="D36" s="1200"/>
      <c r="E36" s="1200"/>
      <c r="F36" s="1200"/>
      <c r="G36" s="1200"/>
      <c r="H36" s="1200"/>
      <c r="I36" s="1200"/>
      <c r="J36" s="1200"/>
      <c r="K36" s="1200"/>
      <c r="L36" s="1200"/>
      <c r="M36" s="1200"/>
      <c r="N36" s="1200"/>
      <c r="O36" s="1200"/>
    </row>
    <row r="37" spans="2:19" x14ac:dyDescent="0.35">
      <c r="B37" s="10" t="s">
        <v>715</v>
      </c>
    </row>
    <row r="38" spans="2:19" x14ac:dyDescent="0.35">
      <c r="B38" s="10" t="s">
        <v>716</v>
      </c>
    </row>
    <row r="39" spans="2:19" x14ac:dyDescent="0.35">
      <c r="B39" s="10" t="s">
        <v>717</v>
      </c>
    </row>
    <row r="42" spans="2:19" x14ac:dyDescent="0.35">
      <c r="B42" s="40" t="s">
        <v>197</v>
      </c>
      <c r="C42" s="53"/>
      <c r="D42" s="53"/>
      <c r="E42" s="53"/>
      <c r="F42" s="53"/>
      <c r="G42" s="53"/>
      <c r="H42" s="53"/>
      <c r="I42" s="53"/>
      <c r="J42" s="53"/>
      <c r="K42" s="53"/>
      <c r="L42" s="53"/>
      <c r="M42" s="53"/>
      <c r="N42" s="53"/>
      <c r="O42" s="53"/>
    </row>
    <row r="43" spans="2:19" x14ac:dyDescent="0.35">
      <c r="B43" s="49"/>
    </row>
    <row r="44" spans="2:19" ht="40.5" x14ac:dyDescent="0.35">
      <c r="B44" s="1984" t="s">
        <v>699</v>
      </c>
      <c r="C44" s="106" t="s">
        <v>700</v>
      </c>
      <c r="D44" s="106" t="s">
        <v>701</v>
      </c>
      <c r="E44" s="106" t="s">
        <v>702</v>
      </c>
      <c r="F44" s="106" t="s">
        <v>703</v>
      </c>
      <c r="G44" s="106" t="s">
        <v>704</v>
      </c>
      <c r="H44" s="1188" t="s">
        <v>1449</v>
      </c>
      <c r="I44" s="1188" t="s">
        <v>1450</v>
      </c>
      <c r="J44" s="1188" t="s">
        <v>1451</v>
      </c>
      <c r="K44" s="106" t="s">
        <v>1448</v>
      </c>
      <c r="L44" s="106" t="s">
        <v>705</v>
      </c>
      <c r="M44" s="106" t="s">
        <v>706</v>
      </c>
      <c r="N44" s="106" t="s">
        <v>707</v>
      </c>
      <c r="O44" s="106" t="s">
        <v>708</v>
      </c>
      <c r="P44" s="106" t="s">
        <v>709</v>
      </c>
      <c r="Q44" s="106" t="s">
        <v>710</v>
      </c>
      <c r="R44" s="106" t="s">
        <v>711</v>
      </c>
      <c r="S44" s="106" t="s">
        <v>116</v>
      </c>
    </row>
    <row r="45" spans="2:19" ht="39.4" x14ac:dyDescent="0.35">
      <c r="B45" s="1984"/>
      <c r="C45" s="1188" t="s">
        <v>128</v>
      </c>
      <c r="D45" s="1188" t="s">
        <v>129</v>
      </c>
      <c r="E45" s="1188" t="s">
        <v>712</v>
      </c>
      <c r="F45" s="1188" t="s">
        <v>130</v>
      </c>
      <c r="G45" s="1188" t="s">
        <v>131</v>
      </c>
      <c r="H45" s="1188" t="s">
        <v>331</v>
      </c>
      <c r="I45" s="1188" t="s">
        <v>132</v>
      </c>
      <c r="J45" s="1188" t="s">
        <v>133</v>
      </c>
      <c r="K45" s="1188" t="s">
        <v>332</v>
      </c>
      <c r="L45" s="1188" t="s">
        <v>333</v>
      </c>
      <c r="M45" s="1188" t="s">
        <v>1452</v>
      </c>
      <c r="N45" s="1188" t="s">
        <v>529</v>
      </c>
      <c r="O45" s="1188" t="s">
        <v>1453</v>
      </c>
      <c r="P45" s="1188" t="s">
        <v>1454</v>
      </c>
      <c r="Q45" s="1188" t="s">
        <v>531</v>
      </c>
      <c r="R45" s="1188" t="s">
        <v>1455</v>
      </c>
      <c r="S45" s="1188" t="s">
        <v>533</v>
      </c>
    </row>
    <row r="46" spans="2:19" x14ac:dyDescent="0.35">
      <c r="B46" s="517" t="s">
        <v>161</v>
      </c>
      <c r="C46" s="93"/>
      <c r="D46" s="93"/>
      <c r="E46" s="93"/>
      <c r="F46" s="93"/>
      <c r="G46" s="93"/>
      <c r="H46" s="93"/>
      <c r="I46" s="93"/>
      <c r="J46" s="93"/>
      <c r="K46" s="93"/>
      <c r="L46" s="93"/>
      <c r="M46" s="93"/>
      <c r="N46" s="93"/>
      <c r="O46" s="93"/>
      <c r="P46" s="93"/>
      <c r="Q46" s="93"/>
      <c r="R46" s="93"/>
      <c r="S46" s="93"/>
    </row>
    <row r="47" spans="2:19" x14ac:dyDescent="0.35">
      <c r="B47" s="429" t="s">
        <v>1129</v>
      </c>
      <c r="C47" s="1189">
        <f>+'F13 SEZ'!C47+'F13 Non SEZ'!C47</f>
        <v>0</v>
      </c>
      <c r="D47" s="1190"/>
      <c r="E47" s="1190"/>
      <c r="F47" s="1190"/>
      <c r="G47" s="1190"/>
      <c r="H47" s="1190"/>
      <c r="I47" s="1190"/>
      <c r="J47" s="1190"/>
      <c r="K47" s="58"/>
      <c r="L47" s="1190"/>
      <c r="M47" s="1191">
        <f>SUM(E47:L47)</f>
        <v>0</v>
      </c>
      <c r="N47" s="1190"/>
      <c r="O47" s="1191">
        <f>+M47+N47</f>
        <v>0</v>
      </c>
      <c r="P47" s="887">
        <f>+IFERROR(O47/D47*10,0)</f>
        <v>0</v>
      </c>
      <c r="Q47" s="58"/>
      <c r="R47" s="58"/>
      <c r="S47" s="19"/>
    </row>
    <row r="48" spans="2:19" x14ac:dyDescent="0.35">
      <c r="B48" s="429" t="s">
        <v>1130</v>
      </c>
      <c r="C48" s="1189">
        <f>+'F13 SEZ'!C48+'F13 Non SEZ'!C48</f>
        <v>4</v>
      </c>
      <c r="D48" s="1190">
        <f>+'F13 SEZ'!D48+'F13 Non SEZ'!D48</f>
        <v>1.86831243</v>
      </c>
      <c r="E48" s="1190">
        <f>+'F13 SEZ'!E48+'F13 Non SEZ'!E48</f>
        <v>0.45575168500000002</v>
      </c>
      <c r="F48" s="1190">
        <f>+'F13 SEZ'!F48+'F13 Non SEZ'!F48</f>
        <v>2.1915307319999999</v>
      </c>
      <c r="G48" s="1190">
        <f>+'F13 SEZ'!G48+'F13 Non SEZ'!G48</f>
        <v>0.14199175227999999</v>
      </c>
      <c r="H48" s="1190">
        <f>+'F13 SEZ'!H48+'F13 Non SEZ'!H48</f>
        <v>-1.7953678000000001E-2</v>
      </c>
      <c r="I48" s="1190">
        <f>+'F13 SEZ'!I48+'F13 Non SEZ'!I48</f>
        <v>-4.7128869000000004E-2</v>
      </c>
      <c r="J48" s="1190">
        <f>+'F13 SEZ'!J48+'F13 Non SEZ'!J48</f>
        <v>1.074468E-2</v>
      </c>
      <c r="K48" s="1203">
        <f>+'F13 SEZ'!K48+'F13 Non SEZ'!K48</f>
        <v>0</v>
      </c>
      <c r="L48" s="1203">
        <f>+'F13 SEZ'!L48+'F13 Non SEZ'!L48</f>
        <v>0</v>
      </c>
      <c r="M48" s="1191">
        <f>SUM(E48:L48)</f>
        <v>2.7349363022800004</v>
      </c>
      <c r="N48" s="1190"/>
      <c r="O48" s="1191">
        <f>+M48+N48</f>
        <v>2.7349363022800004</v>
      </c>
      <c r="P48" s="887">
        <f>+IFERROR(O48/D48*10,0)</f>
        <v>14.638538278525505</v>
      </c>
      <c r="Q48" s="58"/>
      <c r="R48" s="58"/>
      <c r="S48" s="19"/>
    </row>
    <row r="49" spans="2:19" x14ac:dyDescent="0.35">
      <c r="B49" s="429" t="s">
        <v>1131</v>
      </c>
      <c r="C49" s="1189">
        <f>+'F13 SEZ'!C49+'F13 Non SEZ'!C49</f>
        <v>1</v>
      </c>
      <c r="D49" s="1190">
        <f>+'F13 SEZ'!D49+'F13 Non SEZ'!D49</f>
        <v>0.56330367000000003</v>
      </c>
      <c r="E49" s="1190">
        <f>+'F13 SEZ'!E49+'F13 Non SEZ'!E49</f>
        <v>9.551045200000001E-2</v>
      </c>
      <c r="F49" s="1190">
        <f>+'F13 SEZ'!F49+'F13 Non SEZ'!F49</f>
        <v>0.67596460400000014</v>
      </c>
      <c r="G49" s="1190">
        <f>+'F13 SEZ'!G49+'F13 Non SEZ'!G49</f>
        <v>4.281107843999999E-2</v>
      </c>
      <c r="H49" s="1190">
        <f>+'F13 SEZ'!H49+'F13 Non SEZ'!H49</f>
        <v>-3.6103369999999999E-3</v>
      </c>
      <c r="I49" s="1190">
        <f>+'F13 SEZ'!I49+'F13 Non SEZ'!I49</f>
        <v>-6.3923939999999992E-3</v>
      </c>
      <c r="J49" s="1190">
        <f>+'F13 SEZ'!J49+'F13 Non SEZ'!J49</f>
        <v>0</v>
      </c>
      <c r="K49" s="1203">
        <f>+'F13 SEZ'!K49+'F13 Non SEZ'!K49</f>
        <v>0</v>
      </c>
      <c r="L49" s="1203">
        <f>+'F13 SEZ'!L49+'F13 Non SEZ'!L49</f>
        <v>0</v>
      </c>
      <c r="M49" s="1191">
        <f>SUM(E49:L49)</f>
        <v>0.80428340344000004</v>
      </c>
      <c r="N49" s="1190"/>
      <c r="O49" s="1191">
        <f>+M49+N49</f>
        <v>0.80428340344000004</v>
      </c>
      <c r="P49" s="887">
        <f>+IFERROR(O49/D49*10,0)</f>
        <v>14.277972011792503</v>
      </c>
      <c r="Q49" s="58"/>
      <c r="R49" s="58"/>
      <c r="S49" s="19"/>
    </row>
    <row r="50" spans="2:19" ht="25.5" x14ac:dyDescent="0.35">
      <c r="B50" s="429" t="s">
        <v>1132</v>
      </c>
      <c r="C50" s="1189">
        <f>+'F13 SEZ'!C50+'F13 Non SEZ'!C50</f>
        <v>0</v>
      </c>
      <c r="D50" s="1190">
        <f>+'F13 SEZ'!D50+'F13 Non SEZ'!D50</f>
        <v>0</v>
      </c>
      <c r="E50" s="1190">
        <f>+'F13 SEZ'!E50+'F13 Non SEZ'!E50</f>
        <v>0</v>
      </c>
      <c r="F50" s="1190">
        <f>+'F13 SEZ'!F50+'F13 Non SEZ'!F50</f>
        <v>0</v>
      </c>
      <c r="G50" s="1190">
        <f>+'F13 SEZ'!G50+'F13 Non SEZ'!G50</f>
        <v>0</v>
      </c>
      <c r="H50" s="1190">
        <f>+'F13 SEZ'!H50+'F13 Non SEZ'!H50</f>
        <v>0</v>
      </c>
      <c r="I50" s="1190">
        <f>+'F13 SEZ'!I50+'F13 Non SEZ'!I50</f>
        <v>0</v>
      </c>
      <c r="J50" s="1190">
        <f>+'F13 SEZ'!J50+'F13 Non SEZ'!J50</f>
        <v>0</v>
      </c>
      <c r="K50" s="1203">
        <f>+'F13 SEZ'!K50+'F13 Non SEZ'!K50</f>
        <v>0</v>
      </c>
      <c r="L50" s="1203">
        <f>+'F13 SEZ'!L50+'F13 Non SEZ'!L50</f>
        <v>0</v>
      </c>
      <c r="M50" s="1191">
        <f>SUM(E50:L50)</f>
        <v>0</v>
      </c>
      <c r="N50" s="1190"/>
      <c r="O50" s="1191">
        <f>+M50+N50</f>
        <v>0</v>
      </c>
      <c r="P50" s="887">
        <f>+IFERROR(O50/D50*10,0)</f>
        <v>0</v>
      </c>
      <c r="Q50" s="58"/>
      <c r="R50" s="58"/>
      <c r="S50" s="19"/>
    </row>
    <row r="51" spans="2:19" x14ac:dyDescent="0.35">
      <c r="B51" s="518" t="s">
        <v>162</v>
      </c>
      <c r="C51" s="1192">
        <f>SUM(C47:C50)</f>
        <v>5</v>
      </c>
      <c r="D51" s="1191">
        <f>SUM(D47:D50)</f>
        <v>2.4316161000000003</v>
      </c>
      <c r="E51" s="1191">
        <f t="shared" ref="E51:L51" si="5">SUM(E47:E50)</f>
        <v>0.55126213700000004</v>
      </c>
      <c r="F51" s="1191">
        <f t="shared" si="5"/>
        <v>2.8674953360000002</v>
      </c>
      <c r="G51" s="1191">
        <f t="shared" si="5"/>
        <v>0.18480283071999998</v>
      </c>
      <c r="H51" s="1191">
        <f t="shared" si="5"/>
        <v>-2.1564014999999999E-2</v>
      </c>
      <c r="I51" s="1191">
        <f t="shared" si="5"/>
        <v>-5.3521262999999999E-2</v>
      </c>
      <c r="J51" s="1191">
        <f t="shared" si="5"/>
        <v>1.074468E-2</v>
      </c>
      <c r="K51" s="1204">
        <f t="shared" si="5"/>
        <v>0</v>
      </c>
      <c r="L51" s="1204">
        <f t="shared" si="5"/>
        <v>0</v>
      </c>
      <c r="M51" s="1191">
        <f>SUM(M47:M50)</f>
        <v>3.5392197057200003</v>
      </c>
      <c r="N51" s="1191">
        <f>SUM(N47:N50)</f>
        <v>0</v>
      </c>
      <c r="O51" s="1191">
        <f>SUM(O47:O50)</f>
        <v>3.5392197057200003</v>
      </c>
      <c r="P51" s="887">
        <f>+IFERROR(O51/D51*10,0)</f>
        <v>14.55501016677756</v>
      </c>
      <c r="Q51" s="58"/>
      <c r="R51" s="58"/>
      <c r="S51" s="19"/>
    </row>
    <row r="52" spans="2:19" x14ac:dyDescent="0.35">
      <c r="B52" s="517" t="s">
        <v>163</v>
      </c>
      <c r="C52" s="1189"/>
      <c r="D52" s="1190"/>
      <c r="E52" s="1190"/>
      <c r="F52" s="1190"/>
      <c r="G52" s="1190"/>
      <c r="H52" s="1190"/>
      <c r="I52" s="1190"/>
      <c r="J52" s="1190"/>
      <c r="K52" s="1203"/>
      <c r="L52" s="1203"/>
      <c r="M52" s="1190"/>
      <c r="N52" s="1190"/>
      <c r="O52" s="1190"/>
      <c r="P52" s="887"/>
      <c r="Q52" s="58"/>
      <c r="R52" s="58"/>
      <c r="S52" s="19"/>
    </row>
    <row r="53" spans="2:19" x14ac:dyDescent="0.35">
      <c r="B53" s="519" t="s">
        <v>1133</v>
      </c>
      <c r="C53" s="1189">
        <f>+'F13 SEZ'!C53+'F13 Non SEZ'!C53</f>
        <v>0</v>
      </c>
      <c r="D53" s="1190">
        <f>+'F13 SEZ'!D53+'F13 Non SEZ'!D53</f>
        <v>0</v>
      </c>
      <c r="E53" s="1190">
        <f>+'F13 SEZ'!E53+'F13 Non SEZ'!E53</f>
        <v>0</v>
      </c>
      <c r="F53" s="1190">
        <f>+'F13 SEZ'!F53+'F13 Non SEZ'!F53</f>
        <v>0</v>
      </c>
      <c r="G53" s="1190">
        <f>+'F13 SEZ'!G53+'F13 Non SEZ'!G53</f>
        <v>0</v>
      </c>
      <c r="H53" s="1190">
        <f>+'F13 SEZ'!H53+'F13 Non SEZ'!H53</f>
        <v>0</v>
      </c>
      <c r="I53" s="1190">
        <f>+'F13 SEZ'!I53+'F13 Non SEZ'!I53</f>
        <v>0</v>
      </c>
      <c r="J53" s="1190">
        <f>+'F13 SEZ'!J53+'F13 Non SEZ'!J53</f>
        <v>0</v>
      </c>
      <c r="K53" s="1203">
        <f>+'F13 SEZ'!K53+'F13 Non SEZ'!K53</f>
        <v>0</v>
      </c>
      <c r="L53" s="1203">
        <f>+'F13 SEZ'!L53+'F13 Non SEZ'!L53</f>
        <v>0</v>
      </c>
      <c r="M53" s="1190"/>
      <c r="N53" s="1190"/>
      <c r="O53" s="1190"/>
      <c r="P53" s="887"/>
      <c r="Q53" s="58"/>
      <c r="R53" s="58"/>
      <c r="S53" s="19"/>
    </row>
    <row r="54" spans="2:19" x14ac:dyDescent="0.35">
      <c r="B54" s="520" t="s">
        <v>1106</v>
      </c>
      <c r="C54" s="1189">
        <f>+'F13 SEZ'!C54+'F13 Non SEZ'!C54</f>
        <v>365</v>
      </c>
      <c r="D54" s="1190">
        <f>+'F13 SEZ'!D54+'F13 Non SEZ'!D54</f>
        <v>4.5234989999999996E-2</v>
      </c>
      <c r="E54" s="1190">
        <f>+'F13 SEZ'!E54+'F13 Non SEZ'!E54</f>
        <v>6.4414137000000024E-2</v>
      </c>
      <c r="F54" s="1190">
        <f>+'F13 SEZ'!F54+'F13 Non SEZ'!F54</f>
        <v>1.56906627E-2</v>
      </c>
      <c r="G54" s="1190">
        <f>+'F13 SEZ'!G54+'F13 Non SEZ'!G54</f>
        <v>5.7900387200000005E-3</v>
      </c>
      <c r="H54" s="1190">
        <f>+'F13 SEZ'!H54+'F13 Non SEZ'!H54</f>
        <v>0</v>
      </c>
      <c r="I54" s="1190">
        <f>+'F13 SEZ'!I54+'F13 Non SEZ'!I54</f>
        <v>0</v>
      </c>
      <c r="J54" s="1190">
        <f>+'F13 SEZ'!J54+'F13 Non SEZ'!J54</f>
        <v>4.4106099999999986E-4</v>
      </c>
      <c r="K54" s="1203">
        <f>+'F13 SEZ'!K54+'F13 Non SEZ'!K54</f>
        <v>0</v>
      </c>
      <c r="L54" s="1203">
        <f>+'F13 SEZ'!L54+'F13 Non SEZ'!L54</f>
        <v>0</v>
      </c>
      <c r="M54" s="1191">
        <f t="shared" ref="M54:M66" si="6">SUM(E54:L54)</f>
        <v>8.6335899420000028E-2</v>
      </c>
      <c r="N54" s="1190"/>
      <c r="O54" s="1191">
        <f t="shared" ref="O54:O66" si="7">+M54+N54</f>
        <v>8.6335899420000028E-2</v>
      </c>
      <c r="P54" s="887">
        <f t="shared" ref="P54:P67" si="8">+IFERROR(O54/D54*10,0)</f>
        <v>19.086087875779356</v>
      </c>
      <c r="Q54" s="58"/>
      <c r="R54" s="58"/>
      <c r="S54" s="19"/>
    </row>
    <row r="55" spans="2:19" x14ac:dyDescent="0.35">
      <c r="B55" s="520" t="s">
        <v>1107</v>
      </c>
      <c r="C55" s="1189">
        <f>+'F13 SEZ'!C55+'F13 Non SEZ'!C55</f>
        <v>41</v>
      </c>
      <c r="D55" s="1190">
        <f>+'F13 SEZ'!D55+'F13 Non SEZ'!D55</f>
        <v>8.3919010000000002E-2</v>
      </c>
      <c r="E55" s="1190">
        <f>+'F13 SEZ'!E55+'F13 Non SEZ'!E55</f>
        <v>1.6427433000000002E-2</v>
      </c>
      <c r="F55" s="1190">
        <f>+'F13 SEZ'!F55+'F13 Non SEZ'!F55</f>
        <v>4.593341799999999E-2</v>
      </c>
      <c r="G55" s="1190">
        <f>+'F13 SEZ'!G55+'F13 Non SEZ'!G55</f>
        <v>1.0741633280000001E-2</v>
      </c>
      <c r="H55" s="1190">
        <f>+'F13 SEZ'!H55+'F13 Non SEZ'!H55</f>
        <v>0</v>
      </c>
      <c r="I55" s="1190">
        <f>+'F13 SEZ'!I55+'F13 Non SEZ'!I55</f>
        <v>0</v>
      </c>
      <c r="J55" s="1190">
        <f>+'F13 SEZ'!J55+'F13 Non SEZ'!J55</f>
        <v>3.3290000000000002E-6</v>
      </c>
      <c r="K55" s="1203">
        <f>+'F13 SEZ'!K55+'F13 Non SEZ'!K55</f>
        <v>0</v>
      </c>
      <c r="L55" s="1203">
        <f>+'F13 SEZ'!L55+'F13 Non SEZ'!L55</f>
        <v>0</v>
      </c>
      <c r="M55" s="1191">
        <f t="shared" si="6"/>
        <v>7.3105813279999987E-2</v>
      </c>
      <c r="N55" s="1194"/>
      <c r="O55" s="1195">
        <f t="shared" si="7"/>
        <v>7.3105813279999987E-2</v>
      </c>
      <c r="P55" s="887">
        <f t="shared" si="8"/>
        <v>8.7114723207530673</v>
      </c>
      <c r="Q55" s="58"/>
      <c r="R55" s="58"/>
      <c r="S55" s="19"/>
    </row>
    <row r="56" spans="2:19" x14ac:dyDescent="0.35">
      <c r="B56" s="520" t="s">
        <v>1108</v>
      </c>
      <c r="C56" s="1189">
        <f>+'F13 SEZ'!C56+'F13 Non SEZ'!C56</f>
        <v>8</v>
      </c>
      <c r="D56" s="1190">
        <f>+'F13 SEZ'!D56+'F13 Non SEZ'!D56</f>
        <v>3.5031049999999994E-2</v>
      </c>
      <c r="E56" s="1190">
        <f>+'F13 SEZ'!E56+'F13 Non SEZ'!E56</f>
        <v>2.8544999999999998E-3</v>
      </c>
      <c r="F56" s="1190">
        <f>+'F13 SEZ'!F56+'F13 Non SEZ'!F56</f>
        <v>2.5932493999999993E-2</v>
      </c>
      <c r="G56" s="1190">
        <f>+'F13 SEZ'!G56+'F13 Non SEZ'!G56</f>
        <v>4.4839744000000001E-3</v>
      </c>
      <c r="H56" s="1190">
        <f>+'F13 SEZ'!H56+'F13 Non SEZ'!H56</f>
        <v>0</v>
      </c>
      <c r="I56" s="1190">
        <f>+'F13 SEZ'!I56+'F13 Non SEZ'!I56</f>
        <v>0</v>
      </c>
      <c r="J56" s="1190">
        <f>+'F13 SEZ'!J56+'F13 Non SEZ'!J56</f>
        <v>0</v>
      </c>
      <c r="K56" s="1203">
        <f>+'F13 SEZ'!K56+'F13 Non SEZ'!K56</f>
        <v>0</v>
      </c>
      <c r="L56" s="1203">
        <f>+'F13 SEZ'!L56+'F13 Non SEZ'!L56</f>
        <v>0</v>
      </c>
      <c r="M56" s="1191">
        <f t="shared" si="6"/>
        <v>3.3270968399999989E-2</v>
      </c>
      <c r="N56" s="1190"/>
      <c r="O56" s="1191">
        <f t="shared" si="7"/>
        <v>3.3270968399999989E-2</v>
      </c>
      <c r="P56" s="887">
        <f t="shared" si="8"/>
        <v>9.497565274235285</v>
      </c>
      <c r="Q56" s="58"/>
      <c r="R56" s="58"/>
      <c r="S56" s="19"/>
    </row>
    <row r="57" spans="2:19" x14ac:dyDescent="0.35">
      <c r="B57" s="520" t="s">
        <v>1109</v>
      </c>
      <c r="C57" s="1189">
        <f>+'F13 SEZ'!C57+'F13 Non SEZ'!C57</f>
        <v>0</v>
      </c>
      <c r="D57" s="1190">
        <f>+'F13 SEZ'!D57+'F13 Non SEZ'!D57</f>
        <v>3.430271E-2</v>
      </c>
      <c r="E57" s="1190">
        <f>+'F13 SEZ'!E57+'F13 Non SEZ'!E57</f>
        <v>8.6399999999999975E-4</v>
      </c>
      <c r="F57" s="1190">
        <f>+'F13 SEZ'!F57+'F13 Non SEZ'!F57</f>
        <v>3.8740611000000008E-2</v>
      </c>
      <c r="G57" s="1190">
        <f>+'F13 SEZ'!G57+'F13 Non SEZ'!G57</f>
        <v>4.3907468800000009E-3</v>
      </c>
      <c r="H57" s="1190">
        <f>+'F13 SEZ'!H57+'F13 Non SEZ'!H57</f>
        <v>0</v>
      </c>
      <c r="I57" s="1190">
        <f>+'F13 SEZ'!I57+'F13 Non SEZ'!I57</f>
        <v>0</v>
      </c>
      <c r="J57" s="1190">
        <f>+'F13 SEZ'!J57+'F13 Non SEZ'!J57</f>
        <v>0</v>
      </c>
      <c r="K57" s="1203">
        <f>+'F13 SEZ'!K57+'F13 Non SEZ'!K57</f>
        <v>0</v>
      </c>
      <c r="L57" s="1203">
        <f>+'F13 SEZ'!L57+'F13 Non SEZ'!L57</f>
        <v>0</v>
      </c>
      <c r="M57" s="1191">
        <f t="shared" si="6"/>
        <v>4.3995357880000002E-2</v>
      </c>
      <c r="N57" s="1190"/>
      <c r="O57" s="1191">
        <f t="shared" si="7"/>
        <v>4.3995357880000002E-2</v>
      </c>
      <c r="P57" s="887">
        <f t="shared" si="8"/>
        <v>12.825621614152352</v>
      </c>
      <c r="Q57" s="58"/>
      <c r="R57" s="58"/>
      <c r="S57" s="19"/>
    </row>
    <row r="58" spans="2:19" x14ac:dyDescent="0.35">
      <c r="B58" s="520" t="s">
        <v>1110</v>
      </c>
      <c r="C58" s="1189">
        <f>+'F13 SEZ'!C58+'F13 Non SEZ'!C58</f>
        <v>7</v>
      </c>
      <c r="D58" s="1190">
        <f>+'F13 SEZ'!D58+'F13 Non SEZ'!D58</f>
        <v>0.30698021999999997</v>
      </c>
      <c r="E58" s="1190">
        <f>+'F13 SEZ'!E58+'F13 Non SEZ'!E58</f>
        <v>1.3237000000000001E-2</v>
      </c>
      <c r="F58" s="1190">
        <f>+'F13 SEZ'!F58+'F13 Non SEZ'!F58</f>
        <v>0.36733366900000008</v>
      </c>
      <c r="G58" s="1190">
        <f>+'F13 SEZ'!G58+'F13 Non SEZ'!G58</f>
        <v>4.0249703159999997E-2</v>
      </c>
      <c r="H58" s="1190">
        <f>+'F13 SEZ'!H58+'F13 Non SEZ'!H58</f>
        <v>0</v>
      </c>
      <c r="I58" s="1190">
        <f>+'F13 SEZ'!I58+'F13 Non SEZ'!I58</f>
        <v>0</v>
      </c>
      <c r="J58" s="1190">
        <f>+'F13 SEZ'!J58+'F13 Non SEZ'!J58</f>
        <v>0</v>
      </c>
      <c r="K58" s="1203">
        <f>+'F13 SEZ'!K58+'F13 Non SEZ'!K58</f>
        <v>0</v>
      </c>
      <c r="L58" s="1203">
        <f>+'F13 SEZ'!L58+'F13 Non SEZ'!L58</f>
        <v>0</v>
      </c>
      <c r="M58" s="1191">
        <f t="shared" si="6"/>
        <v>0.42082037216000007</v>
      </c>
      <c r="N58" s="1190"/>
      <c r="O58" s="1191">
        <f t="shared" si="7"/>
        <v>0.42082037216000007</v>
      </c>
      <c r="P58" s="887">
        <f t="shared" si="8"/>
        <v>13.708387210094518</v>
      </c>
      <c r="Q58" s="58"/>
      <c r="R58" s="58"/>
      <c r="S58" s="19"/>
    </row>
    <row r="59" spans="2:19" x14ac:dyDescent="0.35">
      <c r="B59" s="519" t="s">
        <v>1139</v>
      </c>
      <c r="C59" s="1189">
        <f>+'F13 SEZ'!C59+'F13 Non SEZ'!C59</f>
        <v>0</v>
      </c>
      <c r="D59" s="1190">
        <f>+'F13 SEZ'!D59+'F13 Non SEZ'!D59</f>
        <v>0</v>
      </c>
      <c r="E59" s="1190">
        <f>+'F13 SEZ'!E59+'F13 Non SEZ'!E59</f>
        <v>0</v>
      </c>
      <c r="F59" s="1190">
        <f>+'F13 SEZ'!F59+'F13 Non SEZ'!F59</f>
        <v>0</v>
      </c>
      <c r="G59" s="1190">
        <f>+'F13 SEZ'!G59+'F13 Non SEZ'!G59</f>
        <v>0</v>
      </c>
      <c r="H59" s="1190">
        <f>+'F13 SEZ'!H59+'F13 Non SEZ'!H59</f>
        <v>0</v>
      </c>
      <c r="I59" s="1190">
        <f>+'F13 SEZ'!I59+'F13 Non SEZ'!I59</f>
        <v>0</v>
      </c>
      <c r="J59" s="1190">
        <f>+'F13 SEZ'!J59+'F13 Non SEZ'!J59</f>
        <v>0</v>
      </c>
      <c r="K59" s="1203">
        <f>+'F13 SEZ'!K59+'F13 Non SEZ'!K59</f>
        <v>0</v>
      </c>
      <c r="L59" s="1203">
        <f>+'F13 SEZ'!L59+'F13 Non SEZ'!L59</f>
        <v>0</v>
      </c>
      <c r="M59" s="1191">
        <f t="shared" si="6"/>
        <v>0</v>
      </c>
      <c r="N59" s="1190"/>
      <c r="O59" s="1191">
        <f t="shared" si="7"/>
        <v>0</v>
      </c>
      <c r="P59" s="887">
        <f t="shared" si="8"/>
        <v>0</v>
      </c>
      <c r="Q59" s="58"/>
      <c r="R59" s="58"/>
      <c r="S59" s="19"/>
    </row>
    <row r="60" spans="2:19" x14ac:dyDescent="0.35">
      <c r="B60" s="520" t="s">
        <v>1140</v>
      </c>
      <c r="C60" s="1189">
        <f>+'F13 SEZ'!C60+'F13 Non SEZ'!C60</f>
        <v>11</v>
      </c>
      <c r="D60" s="1190">
        <f>+'F13 SEZ'!D60+'F13 Non SEZ'!D60</f>
        <v>1.8100000000000001E-4</v>
      </c>
      <c r="E60" s="1190">
        <f>+'F13 SEZ'!E60+'F13 Non SEZ'!E60</f>
        <v>8.0676300000000005E-4</v>
      </c>
      <c r="F60" s="1190">
        <f>+'F13 SEZ'!F60+'F13 Non SEZ'!F60</f>
        <v>1.1041000000000001E-4</v>
      </c>
      <c r="G60" s="1190">
        <f>+'F13 SEZ'!G60+'F13 Non SEZ'!G60</f>
        <v>2.3167999999999999E-5</v>
      </c>
      <c r="H60" s="1190">
        <f>+'F13 SEZ'!H60+'F13 Non SEZ'!H60</f>
        <v>0</v>
      </c>
      <c r="I60" s="1190">
        <f>+'F13 SEZ'!I60+'F13 Non SEZ'!I60</f>
        <v>0</v>
      </c>
      <c r="J60" s="1190">
        <f>+'F13 SEZ'!J60+'F13 Non SEZ'!J60</f>
        <v>0</v>
      </c>
      <c r="K60" s="1203">
        <f>+'F13 SEZ'!K60+'F13 Non SEZ'!K60</f>
        <v>0</v>
      </c>
      <c r="L60" s="1203">
        <f>+'F13 SEZ'!L60+'F13 Non SEZ'!L60</f>
        <v>0</v>
      </c>
      <c r="M60" s="1191">
        <f t="shared" si="6"/>
        <v>9.4034100000000003E-4</v>
      </c>
      <c r="N60" s="1190"/>
      <c r="O60" s="1191">
        <f t="shared" si="7"/>
        <v>9.4034100000000003E-4</v>
      </c>
      <c r="P60" s="887">
        <f t="shared" si="8"/>
        <v>51.952541436464088</v>
      </c>
      <c r="Q60" s="58"/>
      <c r="R60" s="58"/>
      <c r="S60" s="19"/>
    </row>
    <row r="61" spans="2:19" x14ac:dyDescent="0.35">
      <c r="B61" s="520" t="s">
        <v>1144</v>
      </c>
      <c r="C61" s="1189">
        <f>+'F13 SEZ'!C61+'F13 Non SEZ'!C61</f>
        <v>0</v>
      </c>
      <c r="D61" s="1190">
        <f>+'F13 SEZ'!D61+'F13 Non SEZ'!D61</f>
        <v>0</v>
      </c>
      <c r="E61" s="1190">
        <f>+'F13 SEZ'!E61+'F13 Non SEZ'!E61</f>
        <v>0</v>
      </c>
      <c r="F61" s="1190">
        <f>+'F13 SEZ'!F61+'F13 Non SEZ'!F61</f>
        <v>0</v>
      </c>
      <c r="G61" s="1190">
        <f>+'F13 SEZ'!G61+'F13 Non SEZ'!G61</f>
        <v>0</v>
      </c>
      <c r="H61" s="1190">
        <f>+'F13 SEZ'!H61+'F13 Non SEZ'!H61</f>
        <v>0</v>
      </c>
      <c r="I61" s="1190">
        <f>+'F13 SEZ'!I61+'F13 Non SEZ'!I61</f>
        <v>0</v>
      </c>
      <c r="J61" s="1190">
        <f>+'F13 SEZ'!J61+'F13 Non SEZ'!J61</f>
        <v>0</v>
      </c>
      <c r="K61" s="1203">
        <f>+'F13 SEZ'!K61+'F13 Non SEZ'!K61</f>
        <v>0</v>
      </c>
      <c r="L61" s="1203">
        <f>+'F13 SEZ'!L61+'F13 Non SEZ'!L61</f>
        <v>0</v>
      </c>
      <c r="M61" s="1191">
        <f t="shared" si="6"/>
        <v>0</v>
      </c>
      <c r="N61" s="1197"/>
      <c r="O61" s="1198">
        <f t="shared" si="7"/>
        <v>0</v>
      </c>
      <c r="P61" s="887">
        <f t="shared" si="8"/>
        <v>0</v>
      </c>
      <c r="Q61" s="58"/>
      <c r="R61" s="58"/>
      <c r="S61" s="19"/>
    </row>
    <row r="62" spans="2:19" x14ac:dyDescent="0.35">
      <c r="B62" s="520" t="s">
        <v>1143</v>
      </c>
      <c r="C62" s="1189">
        <f>+'F13 SEZ'!C62+'F13 Non SEZ'!C62</f>
        <v>0</v>
      </c>
      <c r="D62" s="1190">
        <f>+'F13 SEZ'!D62+'F13 Non SEZ'!D62</f>
        <v>0</v>
      </c>
      <c r="E62" s="1190">
        <f>+'F13 SEZ'!E62+'F13 Non SEZ'!E62</f>
        <v>0</v>
      </c>
      <c r="F62" s="1190">
        <f>+'F13 SEZ'!F62+'F13 Non SEZ'!F62</f>
        <v>0</v>
      </c>
      <c r="G62" s="1190">
        <f>+'F13 SEZ'!G62+'F13 Non SEZ'!G62</f>
        <v>0</v>
      </c>
      <c r="H62" s="1190">
        <f>+'F13 SEZ'!H62+'F13 Non SEZ'!H62</f>
        <v>0</v>
      </c>
      <c r="I62" s="1190">
        <f>+'F13 SEZ'!I62+'F13 Non SEZ'!I62</f>
        <v>0</v>
      </c>
      <c r="J62" s="1190">
        <f>+'F13 SEZ'!J62+'F13 Non SEZ'!J62</f>
        <v>0</v>
      </c>
      <c r="K62" s="1203">
        <f>+'F13 SEZ'!K62+'F13 Non SEZ'!K62</f>
        <v>0</v>
      </c>
      <c r="L62" s="1203">
        <f>+'F13 SEZ'!L62+'F13 Non SEZ'!L62</f>
        <v>0</v>
      </c>
      <c r="M62" s="1191">
        <f t="shared" si="6"/>
        <v>0</v>
      </c>
      <c r="N62" s="1190"/>
      <c r="O62" s="1191">
        <f t="shared" si="7"/>
        <v>0</v>
      </c>
      <c r="P62" s="887">
        <f t="shared" si="8"/>
        <v>0</v>
      </c>
      <c r="Q62" s="58"/>
      <c r="R62" s="58"/>
      <c r="S62" s="19"/>
    </row>
    <row r="63" spans="2:19" ht="25.5" x14ac:dyDescent="0.35">
      <c r="B63" s="519" t="s">
        <v>1111</v>
      </c>
      <c r="C63" s="1189">
        <f>+'F13 SEZ'!C63+'F13 Non SEZ'!C63</f>
        <v>0</v>
      </c>
      <c r="D63" s="1190">
        <f>+'F13 SEZ'!D63+'F13 Non SEZ'!D63</f>
        <v>0</v>
      </c>
      <c r="E63" s="1190">
        <f>+'F13 SEZ'!E63+'F13 Non SEZ'!E63</f>
        <v>0</v>
      </c>
      <c r="F63" s="1190">
        <f>+'F13 SEZ'!F63+'F13 Non SEZ'!F63</f>
        <v>0</v>
      </c>
      <c r="G63" s="1190">
        <f>+'F13 SEZ'!G63+'F13 Non SEZ'!G63</f>
        <v>0</v>
      </c>
      <c r="H63" s="1190">
        <f>+'F13 SEZ'!H63+'F13 Non SEZ'!H63</f>
        <v>0</v>
      </c>
      <c r="I63" s="1190">
        <f>+'F13 SEZ'!I63+'F13 Non SEZ'!I63</f>
        <v>0</v>
      </c>
      <c r="J63" s="1190">
        <f>+'F13 SEZ'!J63+'F13 Non SEZ'!J63</f>
        <v>0</v>
      </c>
      <c r="K63" s="1203">
        <f>+'F13 SEZ'!K63+'F13 Non SEZ'!K63</f>
        <v>0</v>
      </c>
      <c r="L63" s="1203">
        <f>+'F13 SEZ'!L63+'F13 Non SEZ'!L63</f>
        <v>0</v>
      </c>
      <c r="M63" s="1191">
        <f t="shared" si="6"/>
        <v>0</v>
      </c>
      <c r="N63" s="1190"/>
      <c r="O63" s="1191">
        <f t="shared" si="7"/>
        <v>0</v>
      </c>
      <c r="P63" s="887">
        <f t="shared" si="8"/>
        <v>0</v>
      </c>
      <c r="Q63" s="58"/>
      <c r="R63" s="58"/>
      <c r="S63" s="19"/>
    </row>
    <row r="64" spans="2:19" ht="25.5" x14ac:dyDescent="0.35">
      <c r="B64" s="519" t="s">
        <v>1135</v>
      </c>
      <c r="C64" s="1189">
        <f>+'F13 SEZ'!C64+'F13 Non SEZ'!C64</f>
        <v>2</v>
      </c>
      <c r="D64" s="1190">
        <f>+'F13 SEZ'!D64+'F13 Non SEZ'!D64</f>
        <v>0.12328399999999999</v>
      </c>
      <c r="E64" s="1190">
        <f>+'F13 SEZ'!E64+'F13 Non SEZ'!E64</f>
        <v>1.3671E-3</v>
      </c>
      <c r="F64" s="1190">
        <f>+'F13 SEZ'!F64+'F13 Non SEZ'!F64</f>
        <v>5.9299610999999995E-2</v>
      </c>
      <c r="G64" s="1190">
        <f>+'F13 SEZ'!G64+'F13 Non SEZ'!G64</f>
        <v>1.5780351999999997E-2</v>
      </c>
      <c r="H64" s="1190">
        <f>+'F13 SEZ'!H64+'F13 Non SEZ'!H64</f>
        <v>0</v>
      </c>
      <c r="I64" s="1190">
        <f>+'F13 SEZ'!I64+'F13 Non SEZ'!I64</f>
        <v>0</v>
      </c>
      <c r="J64" s="1190">
        <f>+'F13 SEZ'!J64+'F13 Non SEZ'!J64</f>
        <v>-3.7911999999999999E-4</v>
      </c>
      <c r="K64" s="1203">
        <f>+'F13 SEZ'!K64+'F13 Non SEZ'!K64</f>
        <v>0</v>
      </c>
      <c r="L64" s="1203">
        <f>+'F13 SEZ'!L64+'F13 Non SEZ'!L64</f>
        <v>0</v>
      </c>
      <c r="M64" s="1191">
        <f t="shared" si="6"/>
        <v>7.6067942999999999E-2</v>
      </c>
      <c r="N64" s="1190"/>
      <c r="O64" s="1191">
        <f t="shared" si="7"/>
        <v>7.6067942999999999E-2</v>
      </c>
      <c r="P64" s="887">
        <f t="shared" si="8"/>
        <v>6.1701391096979341</v>
      </c>
      <c r="Q64" s="58"/>
      <c r="R64" s="58"/>
      <c r="S64" s="19"/>
    </row>
    <row r="65" spans="2:19" ht="25.5" x14ac:dyDescent="0.35">
      <c r="B65" s="519" t="s">
        <v>1136</v>
      </c>
      <c r="C65" s="1189">
        <f>+'F13 SEZ'!C65+'F13 Non SEZ'!C65</f>
        <v>1</v>
      </c>
      <c r="D65" s="1190">
        <f>+'F13 SEZ'!D65+'F13 Non SEZ'!D65</f>
        <v>1.318683E-2</v>
      </c>
      <c r="E65" s="1190">
        <f>+'F13 SEZ'!E65+'F13 Non SEZ'!E65</f>
        <v>6.3250199999999998E-3</v>
      </c>
      <c r="F65" s="1190">
        <f>+'F13 SEZ'!F65+'F13 Non SEZ'!F65</f>
        <v>8.9670839999999984E-3</v>
      </c>
      <c r="G65" s="1190">
        <f>+'F13 SEZ'!G65+'F13 Non SEZ'!G65</f>
        <v>1.6879159999999998E-3</v>
      </c>
      <c r="H65" s="1190">
        <f>+'F13 SEZ'!H65+'F13 Non SEZ'!H65</f>
        <v>1.5706199999999999E-4</v>
      </c>
      <c r="I65" s="1190">
        <f>+'F13 SEZ'!I65+'F13 Non SEZ'!I65</f>
        <v>-3.4847200000000001E-4</v>
      </c>
      <c r="J65" s="1190">
        <f>+'F13 SEZ'!J65+'F13 Non SEZ'!J65</f>
        <v>0</v>
      </c>
      <c r="K65" s="1203">
        <f>+'F13 SEZ'!K65+'F13 Non SEZ'!K65</f>
        <v>0</v>
      </c>
      <c r="L65" s="1203">
        <f>+'F13 SEZ'!L65+'F13 Non SEZ'!L65</f>
        <v>0</v>
      </c>
      <c r="M65" s="1191">
        <f t="shared" si="6"/>
        <v>1.6788609999999999E-2</v>
      </c>
      <c r="N65" s="1190"/>
      <c r="O65" s="1191">
        <f t="shared" si="7"/>
        <v>1.6788609999999999E-2</v>
      </c>
      <c r="P65" s="887">
        <f t="shared" si="8"/>
        <v>12.731346350866735</v>
      </c>
      <c r="Q65" s="58"/>
      <c r="R65" s="58"/>
      <c r="S65" s="19"/>
    </row>
    <row r="66" spans="2:19" x14ac:dyDescent="0.35">
      <c r="B66" s="519" t="s">
        <v>1142</v>
      </c>
      <c r="C66" s="1189">
        <f>+'F13 SEZ'!C66+'F13 Non SEZ'!C66</f>
        <v>0</v>
      </c>
      <c r="D66" s="1190">
        <f>+'F13 SEZ'!D66+'F13 Non SEZ'!D66</f>
        <v>0</v>
      </c>
      <c r="E66" s="1190">
        <f>+'F13 SEZ'!E66+'F13 Non SEZ'!E66</f>
        <v>0</v>
      </c>
      <c r="F66" s="1190">
        <f>+'F13 SEZ'!F66+'F13 Non SEZ'!F66</f>
        <v>0</v>
      </c>
      <c r="G66" s="1190">
        <f>+'F13 SEZ'!G66+'F13 Non SEZ'!G66</f>
        <v>0</v>
      </c>
      <c r="H66" s="1190">
        <f>+'F13 SEZ'!H66+'F13 Non SEZ'!H66</f>
        <v>0</v>
      </c>
      <c r="I66" s="1190">
        <f>+'F13 SEZ'!I66+'F13 Non SEZ'!I66</f>
        <v>0</v>
      </c>
      <c r="J66" s="1190">
        <f>+'F13 SEZ'!J66+'F13 Non SEZ'!J66</f>
        <v>0</v>
      </c>
      <c r="K66" s="1203">
        <f>+'F13 SEZ'!K66+'F13 Non SEZ'!K66</f>
        <v>0</v>
      </c>
      <c r="L66" s="1203">
        <f>+'F13 SEZ'!L66+'F13 Non SEZ'!L66</f>
        <v>0</v>
      </c>
      <c r="M66" s="1191">
        <f t="shared" si="6"/>
        <v>0</v>
      </c>
      <c r="N66" s="1190"/>
      <c r="O66" s="1191">
        <f t="shared" si="7"/>
        <v>0</v>
      </c>
      <c r="P66" s="887">
        <f t="shared" si="8"/>
        <v>0</v>
      </c>
      <c r="Q66" s="58"/>
      <c r="R66" s="58"/>
      <c r="S66" s="19"/>
    </row>
    <row r="67" spans="2:19" x14ac:dyDescent="0.35">
      <c r="B67" s="518" t="s">
        <v>162</v>
      </c>
      <c r="C67" s="1192">
        <f>SUM(C54:C66)</f>
        <v>435</v>
      </c>
      <c r="D67" s="1191">
        <f>SUM(D54:D66)</f>
        <v>0.64211980999999985</v>
      </c>
      <c r="E67" s="1191">
        <f t="shared" ref="E67:L67" si="9">SUM(E54:E66)</f>
        <v>0.10629595300000003</v>
      </c>
      <c r="F67" s="1191">
        <f t="shared" si="9"/>
        <v>0.56200795970000006</v>
      </c>
      <c r="G67" s="1191">
        <f t="shared" si="9"/>
        <v>8.3147532440000005E-2</v>
      </c>
      <c r="H67" s="1191">
        <f t="shared" si="9"/>
        <v>1.5706199999999999E-4</v>
      </c>
      <c r="I67" s="1191">
        <f t="shared" si="9"/>
        <v>-3.4847200000000001E-4</v>
      </c>
      <c r="J67" s="1191">
        <f t="shared" si="9"/>
        <v>6.5269999999999868E-5</v>
      </c>
      <c r="K67" s="1204">
        <f t="shared" si="9"/>
        <v>0</v>
      </c>
      <c r="L67" s="1204">
        <f t="shared" si="9"/>
        <v>0</v>
      </c>
      <c r="M67" s="1191">
        <f>SUM(M54:M65)</f>
        <v>0.75132530513999995</v>
      </c>
      <c r="N67" s="1191">
        <f>SUM(N54:N65)</f>
        <v>0</v>
      </c>
      <c r="O67" s="1191">
        <f>SUM(O54:O65)</f>
        <v>0.75132530513999995</v>
      </c>
      <c r="P67" s="887">
        <f t="shared" si="8"/>
        <v>11.700702788471828</v>
      </c>
      <c r="Q67" s="58"/>
      <c r="R67" s="58"/>
      <c r="S67" s="19"/>
    </row>
    <row r="68" spans="2:19" x14ac:dyDescent="0.35">
      <c r="B68" s="518"/>
      <c r="C68" s="58"/>
      <c r="D68" s="1190"/>
      <c r="E68" s="1190"/>
      <c r="F68" s="1190"/>
      <c r="G68" s="1190"/>
      <c r="H68" s="1190"/>
      <c r="I68" s="1190"/>
      <c r="J68" s="1190"/>
      <c r="K68" s="1203"/>
      <c r="L68" s="1203"/>
      <c r="M68" s="1190"/>
      <c r="N68" s="1190"/>
      <c r="O68" s="1190"/>
      <c r="P68" s="887"/>
      <c r="Q68" s="58"/>
      <c r="R68" s="58"/>
      <c r="S68" s="19"/>
    </row>
    <row r="69" spans="2:19" x14ac:dyDescent="0.35">
      <c r="B69" s="119" t="s">
        <v>164</v>
      </c>
      <c r="C69" s="1192">
        <f>+C67+C51</f>
        <v>440</v>
      </c>
      <c r="D69" s="1191">
        <f>+D67+D51</f>
        <v>3.0737359099999999</v>
      </c>
      <c r="E69" s="1191">
        <f t="shared" ref="E69:L69" si="10">+E67+E51</f>
        <v>0.6575580900000001</v>
      </c>
      <c r="F69" s="1191">
        <f t="shared" si="10"/>
        <v>3.4295032957</v>
      </c>
      <c r="G69" s="1191">
        <f t="shared" si="10"/>
        <v>0.26795036315999998</v>
      </c>
      <c r="H69" s="1191">
        <f t="shared" si="10"/>
        <v>-2.1406952999999999E-2</v>
      </c>
      <c r="I69" s="1191">
        <f t="shared" si="10"/>
        <v>-5.3869735000000002E-2</v>
      </c>
      <c r="J69" s="1191">
        <f t="shared" si="10"/>
        <v>1.0809949999999999E-2</v>
      </c>
      <c r="K69" s="1204">
        <f t="shared" si="10"/>
        <v>0</v>
      </c>
      <c r="L69" s="1204">
        <f t="shared" si="10"/>
        <v>0</v>
      </c>
      <c r="M69" s="1191">
        <f>+M67+M51</f>
        <v>4.2905450108600007</v>
      </c>
      <c r="N69" s="1191">
        <f>+N67+N51</f>
        <v>0</v>
      </c>
      <c r="O69" s="1191">
        <f>+O67+O51</f>
        <v>4.2905450108600007</v>
      </c>
      <c r="P69" s="887">
        <f>+IFERROR(O69/D69*10,0)</f>
        <v>13.958730146273371</v>
      </c>
      <c r="Q69" s="58"/>
      <c r="R69" s="58"/>
      <c r="S69" s="19"/>
    </row>
    <row r="70" spans="2:19" x14ac:dyDescent="0.35">
      <c r="B70" s="58"/>
      <c r="C70" s="93"/>
      <c r="D70" s="93"/>
      <c r="E70" s="93"/>
      <c r="F70" s="93"/>
      <c r="G70" s="93"/>
      <c r="H70" s="93"/>
      <c r="I70" s="93"/>
      <c r="J70" s="93"/>
      <c r="K70" s="93"/>
      <c r="L70" s="93"/>
      <c r="M70" s="93"/>
      <c r="N70" s="93"/>
      <c r="O70" s="93"/>
      <c r="P70" s="93"/>
      <c r="Q70" s="93"/>
      <c r="R70" s="93"/>
      <c r="S70" s="93"/>
    </row>
    <row r="71" spans="2:19" x14ac:dyDescent="0.35">
      <c r="B71" s="206"/>
      <c r="C71" s="1206">
        <f>+'F13 SEZ'!C69+'F13 Non SEZ'!C69-C69</f>
        <v>0</v>
      </c>
      <c r="D71" s="1206">
        <f>+'F13 SEZ'!D69+'F13 Non SEZ'!D69-D69</f>
        <v>0</v>
      </c>
      <c r="E71" s="1206">
        <f>+'F13 SEZ'!E69+'F13 Non SEZ'!E69-E69</f>
        <v>0</v>
      </c>
      <c r="F71" s="1206">
        <f>+'F13 SEZ'!F69+'F13 Non SEZ'!F69-F69</f>
        <v>0</v>
      </c>
      <c r="G71" s="1206">
        <f>+'F13 SEZ'!G69+'F13 Non SEZ'!G69-G69</f>
        <v>0</v>
      </c>
      <c r="H71" s="1206">
        <f>+'F13 SEZ'!H69+'F13 Non SEZ'!H69-H69</f>
        <v>0</v>
      </c>
      <c r="I71" s="1206">
        <f>+'F13 SEZ'!I69+'F13 Non SEZ'!I69-I69</f>
        <v>0</v>
      </c>
      <c r="J71" s="1206">
        <f>+'F13 SEZ'!J69+'F13 Non SEZ'!J69-J69</f>
        <v>0</v>
      </c>
      <c r="K71" s="1206">
        <f>+'F13 SEZ'!K69+'F13 Non SEZ'!K69-K69</f>
        <v>0</v>
      </c>
      <c r="L71" s="1206">
        <f>+'F13 SEZ'!L69+'F13 Non SEZ'!L69-L69</f>
        <v>0</v>
      </c>
      <c r="M71" s="1206">
        <f>+'F13 SEZ'!M69+'F13 Non SEZ'!M69-M69</f>
        <v>0</v>
      </c>
    </row>
    <row r="72" spans="2:19" x14ac:dyDescent="0.35">
      <c r="B72" s="155" t="s">
        <v>713</v>
      </c>
      <c r="C72" s="1199"/>
      <c r="D72" s="1199"/>
      <c r="E72" s="1199"/>
      <c r="F72" s="1199"/>
      <c r="G72" s="1199"/>
      <c r="H72" s="1199"/>
      <c r="I72" s="1199"/>
      <c r="J72" s="1199"/>
      <c r="K72" s="1199"/>
      <c r="L72" s="1199"/>
      <c r="M72" s="1199"/>
      <c r="N72" s="1199"/>
      <c r="O72" s="1199"/>
    </row>
    <row r="73" spans="2:19" x14ac:dyDescent="0.35">
      <c r="B73" s="156" t="s">
        <v>714</v>
      </c>
      <c r="C73" s="1200"/>
      <c r="D73" s="1200"/>
      <c r="E73" s="1200"/>
      <c r="F73" s="1200"/>
      <c r="G73" s="1200"/>
      <c r="H73" s="1200"/>
      <c r="I73" s="1200"/>
      <c r="J73" s="1200"/>
      <c r="K73" s="1200"/>
      <c r="L73" s="1200"/>
      <c r="M73" s="1200"/>
      <c r="N73" s="1200"/>
      <c r="O73" s="1200"/>
    </row>
    <row r="74" spans="2:19" x14ac:dyDescent="0.35">
      <c r="B74" s="10" t="s">
        <v>715</v>
      </c>
    </row>
    <row r="75" spans="2:19" x14ac:dyDescent="0.35">
      <c r="B75" s="10" t="s">
        <v>716</v>
      </c>
    </row>
    <row r="76" spans="2:19" x14ac:dyDescent="0.35">
      <c r="B76" s="10" t="s">
        <v>717</v>
      </c>
    </row>
    <row r="78" spans="2:19" x14ac:dyDescent="0.35">
      <c r="B78" s="40" t="s">
        <v>198</v>
      </c>
      <c r="C78" s="53"/>
      <c r="D78" s="53"/>
      <c r="E78" s="53"/>
      <c r="F78" s="53"/>
      <c r="G78" s="53"/>
      <c r="H78" s="53"/>
      <c r="I78" s="53"/>
      <c r="J78" s="53"/>
      <c r="K78" s="53"/>
      <c r="L78" s="53"/>
      <c r="M78" s="53"/>
      <c r="N78" s="53"/>
      <c r="O78" s="53"/>
    </row>
    <row r="79" spans="2:19" x14ac:dyDescent="0.35">
      <c r="B79" s="49"/>
    </row>
    <row r="80" spans="2:19" ht="40.5" x14ac:dyDescent="0.35">
      <c r="B80" s="1984" t="s">
        <v>699</v>
      </c>
      <c r="C80" s="106" t="s">
        <v>700</v>
      </c>
      <c r="D80" s="106" t="s">
        <v>701</v>
      </c>
      <c r="E80" s="106" t="s">
        <v>702</v>
      </c>
      <c r="F80" s="106" t="s">
        <v>703</v>
      </c>
      <c r="G80" s="106" t="s">
        <v>704</v>
      </c>
      <c r="H80" s="1188" t="s">
        <v>1449</v>
      </c>
      <c r="I80" s="1188" t="s">
        <v>1450</v>
      </c>
      <c r="J80" s="1188" t="s">
        <v>1451</v>
      </c>
      <c r="K80" s="106" t="s">
        <v>1448</v>
      </c>
      <c r="L80" s="106" t="s">
        <v>705</v>
      </c>
      <c r="M80" s="106" t="s">
        <v>706</v>
      </c>
      <c r="N80" s="106" t="s">
        <v>707</v>
      </c>
      <c r="O80" s="106" t="s">
        <v>708</v>
      </c>
      <c r="P80" s="106" t="s">
        <v>709</v>
      </c>
      <c r="Q80" s="106" t="s">
        <v>710</v>
      </c>
      <c r="R80" s="106" t="s">
        <v>711</v>
      </c>
      <c r="S80" s="106" t="s">
        <v>116</v>
      </c>
    </row>
    <row r="81" spans="2:19" ht="39.4" x14ac:dyDescent="0.35">
      <c r="B81" s="1984"/>
      <c r="C81" s="1188" t="s">
        <v>128</v>
      </c>
      <c r="D81" s="1188" t="s">
        <v>129</v>
      </c>
      <c r="E81" s="1188" t="s">
        <v>712</v>
      </c>
      <c r="F81" s="1188" t="s">
        <v>130</v>
      </c>
      <c r="G81" s="1188" t="s">
        <v>131</v>
      </c>
      <c r="H81" s="1188" t="s">
        <v>331</v>
      </c>
      <c r="I81" s="1188" t="s">
        <v>132</v>
      </c>
      <c r="J81" s="1188" t="s">
        <v>133</v>
      </c>
      <c r="K81" s="1188" t="s">
        <v>332</v>
      </c>
      <c r="L81" s="1188" t="s">
        <v>333</v>
      </c>
      <c r="M81" s="1188" t="s">
        <v>1452</v>
      </c>
      <c r="N81" s="1188" t="s">
        <v>529</v>
      </c>
      <c r="O81" s="1188" t="s">
        <v>1453</v>
      </c>
      <c r="P81" s="1188" t="s">
        <v>1454</v>
      </c>
      <c r="Q81" s="1188" t="s">
        <v>531</v>
      </c>
      <c r="R81" s="1188" t="s">
        <v>1455</v>
      </c>
      <c r="S81" s="1188" t="s">
        <v>533</v>
      </c>
    </row>
    <row r="82" spans="2:19" x14ac:dyDescent="0.35">
      <c r="B82" s="517" t="s">
        <v>161</v>
      </c>
      <c r="C82" s="93"/>
      <c r="D82" s="93"/>
      <c r="E82" s="93"/>
      <c r="F82" s="93"/>
      <c r="G82" s="93"/>
      <c r="H82" s="93"/>
      <c r="I82" s="93"/>
      <c r="J82" s="93"/>
      <c r="K82" s="93"/>
      <c r="L82" s="93"/>
      <c r="M82" s="93"/>
      <c r="N82" s="93"/>
      <c r="O82" s="93"/>
      <c r="P82" s="93"/>
      <c r="Q82" s="93"/>
      <c r="R82" s="93"/>
      <c r="S82" s="93"/>
    </row>
    <row r="83" spans="2:19" x14ac:dyDescent="0.35">
      <c r="B83" s="429" t="s">
        <v>1129</v>
      </c>
      <c r="C83" s="1189">
        <f>+'F13 SEZ'!C83+'F13 Non SEZ'!C83</f>
        <v>1</v>
      </c>
      <c r="D83" s="1203">
        <f>+'F13 SEZ'!D83+'F13 Non SEZ'!D83</f>
        <v>1.44E-2</v>
      </c>
      <c r="E83" s="1203">
        <f>+'F13 SEZ'!E83+'F13 Non SEZ'!E83</f>
        <v>4.7696550000000002E-3</v>
      </c>
      <c r="F83" s="1203">
        <f>+'F13 SEZ'!F83+'F13 Non SEZ'!F83</f>
        <v>8.1899999999999994E-3</v>
      </c>
      <c r="G83" s="1203">
        <f>+'F13 SEZ'!G83+'F13 Non SEZ'!G83</f>
        <v>8.8920000000000004E-4</v>
      </c>
      <c r="H83" s="1203">
        <f>+'F13 SEZ'!H83+'F13 Non SEZ'!H83</f>
        <v>-7.1999999999999994E-4</v>
      </c>
      <c r="I83" s="1203">
        <f>+'F13 SEZ'!I83+'F13 Non SEZ'!I83</f>
        <v>0</v>
      </c>
      <c r="J83" s="1203">
        <f>+'F13 SEZ'!J83+'F13 Non SEZ'!J83</f>
        <v>0</v>
      </c>
      <c r="K83" s="1203">
        <f>+'F13 SEZ'!K83+'F13 Non SEZ'!K83</f>
        <v>0</v>
      </c>
      <c r="L83" s="1203">
        <f>+'F13 SEZ'!L83+'F13 Non SEZ'!L83</f>
        <v>0</v>
      </c>
      <c r="M83" s="1191">
        <f>SUM(E83:L83)</f>
        <v>1.3128855E-2</v>
      </c>
      <c r="N83" s="1190"/>
      <c r="O83" s="1191">
        <f>+M83+N83</f>
        <v>1.3128855E-2</v>
      </c>
      <c r="P83" s="887">
        <f>+IFERROR(O83/D83*10,0)</f>
        <v>9.1172604166666673</v>
      </c>
      <c r="Q83" s="58"/>
      <c r="R83" s="58"/>
      <c r="S83" s="19"/>
    </row>
    <row r="84" spans="2:19" x14ac:dyDescent="0.35">
      <c r="B84" s="429" t="s">
        <v>1130</v>
      </c>
      <c r="C84" s="1189">
        <f>+'F13 SEZ'!C84+'F13 Non SEZ'!C84</f>
        <v>5</v>
      </c>
      <c r="D84" s="1203">
        <f>+'F13 SEZ'!D84+'F13 Non SEZ'!D84</f>
        <v>6.8380711399999994</v>
      </c>
      <c r="E84" s="1203">
        <f>+'F13 SEZ'!E84+'F13 Non SEZ'!E84</f>
        <v>1.298634772</v>
      </c>
      <c r="F84" s="1203">
        <f>+'F13 SEZ'!F84+'F13 Non SEZ'!F84</f>
        <v>8.484657318</v>
      </c>
      <c r="G84" s="1203">
        <f>+'F13 SEZ'!G84+'F13 Non SEZ'!G84</f>
        <v>0.42164384367999996</v>
      </c>
      <c r="H84" s="1203">
        <f>+'F13 SEZ'!H84+'F13 Non SEZ'!H84</f>
        <v>-0.13392958500000002</v>
      </c>
      <c r="I84" s="1203">
        <f>+'F13 SEZ'!I84+'F13 Non SEZ'!I84</f>
        <v>0</v>
      </c>
      <c r="J84" s="1203">
        <f>+'F13 SEZ'!J84+'F13 Non SEZ'!J84</f>
        <v>0</v>
      </c>
      <c r="K84" s="1203">
        <f>+'F13 SEZ'!K84+'F13 Non SEZ'!K84</f>
        <v>0</v>
      </c>
      <c r="L84" s="1203">
        <f>+'F13 SEZ'!L84+'F13 Non SEZ'!L84</f>
        <v>0</v>
      </c>
      <c r="M84" s="1191">
        <f>SUM(E84:L84)</f>
        <v>10.071006348679999</v>
      </c>
      <c r="N84" s="1190"/>
      <c r="O84" s="1191">
        <f>+M84+N84</f>
        <v>10.071006348679999</v>
      </c>
      <c r="P84" s="887">
        <f>+IFERROR(O84/D84*10,0)</f>
        <v>14.727846701928286</v>
      </c>
      <c r="Q84" s="58"/>
      <c r="R84" s="58"/>
      <c r="S84" s="19"/>
    </row>
    <row r="85" spans="2:19" x14ac:dyDescent="0.35">
      <c r="B85" s="429" t="s">
        <v>1131</v>
      </c>
      <c r="C85" s="1189">
        <f>+'F13 SEZ'!C85+'F13 Non SEZ'!C85</f>
        <v>0</v>
      </c>
      <c r="D85" s="1203">
        <f>+'F13 SEZ'!D85+'F13 Non SEZ'!D85</f>
        <v>0</v>
      </c>
      <c r="E85" s="1203">
        <f>+'F13 SEZ'!E85+'F13 Non SEZ'!E85</f>
        <v>0</v>
      </c>
      <c r="F85" s="1203">
        <f>+'F13 SEZ'!F85+'F13 Non SEZ'!F85</f>
        <v>0</v>
      </c>
      <c r="G85" s="1203">
        <f>+'F13 SEZ'!G85+'F13 Non SEZ'!G85</f>
        <v>0</v>
      </c>
      <c r="H85" s="1203">
        <f>+'F13 SEZ'!H85+'F13 Non SEZ'!H85</f>
        <v>0</v>
      </c>
      <c r="I85" s="1203">
        <f>+'F13 SEZ'!I85+'F13 Non SEZ'!I85</f>
        <v>0</v>
      </c>
      <c r="J85" s="1203">
        <f>+'F13 SEZ'!J85+'F13 Non SEZ'!J85</f>
        <v>0</v>
      </c>
      <c r="K85" s="1203">
        <f>+'F13 SEZ'!K85+'F13 Non SEZ'!K85</f>
        <v>0</v>
      </c>
      <c r="L85" s="1203">
        <f>+'F13 SEZ'!L85+'F13 Non SEZ'!L85</f>
        <v>0</v>
      </c>
      <c r="M85" s="1191">
        <f>SUM(E85:L85)</f>
        <v>0</v>
      </c>
      <c r="N85" s="1190"/>
      <c r="O85" s="1191">
        <f>+M85+N85</f>
        <v>0</v>
      </c>
      <c r="P85" s="887">
        <f>+IFERROR(O85/D85*10,0)</f>
        <v>0</v>
      </c>
      <c r="Q85" s="58"/>
      <c r="R85" s="58"/>
      <c r="S85" s="19"/>
    </row>
    <row r="86" spans="2:19" ht="25.5" x14ac:dyDescent="0.35">
      <c r="B86" s="429" t="s">
        <v>1132</v>
      </c>
      <c r="C86" s="1189">
        <f>+'F13 SEZ'!C86+'F13 Non SEZ'!C86</f>
        <v>0</v>
      </c>
      <c r="D86" s="1203">
        <f>+'F13 SEZ'!D86+'F13 Non SEZ'!D86</f>
        <v>0</v>
      </c>
      <c r="E86" s="1203">
        <f>+'F13 SEZ'!E86+'F13 Non SEZ'!E86</f>
        <v>0</v>
      </c>
      <c r="F86" s="1203">
        <f>+'F13 SEZ'!F86+'F13 Non SEZ'!F86</f>
        <v>0</v>
      </c>
      <c r="G86" s="1203">
        <f>+'F13 SEZ'!G86+'F13 Non SEZ'!G86</f>
        <v>0</v>
      </c>
      <c r="H86" s="1203">
        <f>+'F13 SEZ'!H86+'F13 Non SEZ'!H86</f>
        <v>0</v>
      </c>
      <c r="I86" s="1203">
        <f>+'F13 SEZ'!I86+'F13 Non SEZ'!I86</f>
        <v>0</v>
      </c>
      <c r="J86" s="1203">
        <f>+'F13 SEZ'!J86+'F13 Non SEZ'!J86</f>
        <v>0</v>
      </c>
      <c r="K86" s="1203">
        <f>+'F13 SEZ'!K86+'F13 Non SEZ'!K86</f>
        <v>0</v>
      </c>
      <c r="L86" s="1203">
        <f>+'F13 SEZ'!L86+'F13 Non SEZ'!L86</f>
        <v>0</v>
      </c>
      <c r="M86" s="1191">
        <f>SUM(E86:L86)</f>
        <v>0</v>
      </c>
      <c r="N86" s="1190"/>
      <c r="O86" s="1191">
        <f>+M86+N86</f>
        <v>0</v>
      </c>
      <c r="P86" s="887">
        <f>+IFERROR(O86/D86*10,0)</f>
        <v>0</v>
      </c>
      <c r="Q86" s="58"/>
      <c r="R86" s="58"/>
      <c r="S86" s="19"/>
    </row>
    <row r="87" spans="2:19" x14ac:dyDescent="0.35">
      <c r="B87" s="518" t="s">
        <v>162</v>
      </c>
      <c r="C87" s="1192">
        <f t="shared" ref="C87:O87" si="11">SUM(C83:C86)</f>
        <v>6</v>
      </c>
      <c r="D87" s="1204">
        <f t="shared" si="11"/>
        <v>6.8524711399999996</v>
      </c>
      <c r="E87" s="1204">
        <f t="shared" si="11"/>
        <v>1.303404427</v>
      </c>
      <c r="F87" s="1204">
        <f t="shared" si="11"/>
        <v>8.4928473180000008</v>
      </c>
      <c r="G87" s="1204">
        <f t="shared" si="11"/>
        <v>0.42253304367999994</v>
      </c>
      <c r="H87" s="1204">
        <f t="shared" si="11"/>
        <v>-0.13464958500000002</v>
      </c>
      <c r="I87" s="1204">
        <f t="shared" si="11"/>
        <v>0</v>
      </c>
      <c r="J87" s="1204">
        <f t="shared" si="11"/>
        <v>0</v>
      </c>
      <c r="K87" s="1204">
        <f t="shared" si="11"/>
        <v>0</v>
      </c>
      <c r="L87" s="1204">
        <f t="shared" si="11"/>
        <v>0</v>
      </c>
      <c r="M87" s="1191">
        <f t="shared" si="11"/>
        <v>10.084135203679999</v>
      </c>
      <c r="N87" s="1191">
        <f t="shared" si="11"/>
        <v>0</v>
      </c>
      <c r="O87" s="1191">
        <f t="shared" si="11"/>
        <v>10.084135203679999</v>
      </c>
      <c r="P87" s="887">
        <f>+IFERROR(O87/D87*10,0)</f>
        <v>14.716056438115841</v>
      </c>
      <c r="Q87" s="58"/>
      <c r="R87" s="58"/>
      <c r="S87" s="19"/>
    </row>
    <row r="88" spans="2:19" x14ac:dyDescent="0.35">
      <c r="B88" s="517" t="s">
        <v>163</v>
      </c>
      <c r="C88" s="1189"/>
      <c r="D88" s="1203"/>
      <c r="E88" s="1203"/>
      <c r="F88" s="1203"/>
      <c r="G88" s="1203"/>
      <c r="H88" s="1203"/>
      <c r="I88" s="1203"/>
      <c r="J88" s="1203"/>
      <c r="K88" s="1203"/>
      <c r="L88" s="1203"/>
      <c r="M88" s="1190"/>
      <c r="N88" s="1190"/>
      <c r="O88" s="1190"/>
      <c r="P88" s="887"/>
      <c r="Q88" s="58"/>
      <c r="R88" s="58"/>
      <c r="S88" s="19"/>
    </row>
    <row r="89" spans="2:19" x14ac:dyDescent="0.35">
      <c r="B89" s="519" t="s">
        <v>1133</v>
      </c>
      <c r="C89" s="1189">
        <f>+'F13 SEZ'!C89+'F13 Non SEZ'!C89</f>
        <v>0</v>
      </c>
      <c r="D89" s="1203">
        <f>+'F13 SEZ'!D89+'F13 Non SEZ'!D89</f>
        <v>0</v>
      </c>
      <c r="E89" s="1203">
        <f>+'F13 SEZ'!E89+'F13 Non SEZ'!E89</f>
        <v>0</v>
      </c>
      <c r="F89" s="1203">
        <f>+'F13 SEZ'!F89+'F13 Non SEZ'!F89</f>
        <v>0</v>
      </c>
      <c r="G89" s="1203">
        <f>+'F13 SEZ'!G89+'F13 Non SEZ'!G89</f>
        <v>0</v>
      </c>
      <c r="H89" s="1203">
        <f>+'F13 SEZ'!H89+'F13 Non SEZ'!H89</f>
        <v>0</v>
      </c>
      <c r="I89" s="1203">
        <f>+'F13 SEZ'!I89+'F13 Non SEZ'!I89</f>
        <v>0</v>
      </c>
      <c r="J89" s="1203">
        <f>+'F13 SEZ'!J89+'F13 Non SEZ'!J89</f>
        <v>0</v>
      </c>
      <c r="K89" s="1203">
        <f>+'F13 SEZ'!K89+'F13 Non SEZ'!K89</f>
        <v>0</v>
      </c>
      <c r="L89" s="1203">
        <f>+'F13 SEZ'!L89+'F13 Non SEZ'!L89</f>
        <v>0</v>
      </c>
      <c r="M89" s="1190"/>
      <c r="N89" s="1190"/>
      <c r="O89" s="1190"/>
      <c r="P89" s="887"/>
      <c r="Q89" s="58"/>
      <c r="R89" s="58"/>
      <c r="S89" s="19"/>
    </row>
    <row r="90" spans="2:19" x14ac:dyDescent="0.35">
      <c r="B90" s="520" t="s">
        <v>1106</v>
      </c>
      <c r="C90" s="1189">
        <f>+'F13 SEZ'!C90+'F13 Non SEZ'!C90</f>
        <v>583</v>
      </c>
      <c r="D90" s="1203">
        <f>+'F13 SEZ'!D90+'F13 Non SEZ'!D90</f>
        <v>0.17605925</v>
      </c>
      <c r="E90" s="1203">
        <f>+'F13 SEZ'!E90+'F13 Non SEZ'!E90</f>
        <v>0.180407767</v>
      </c>
      <c r="F90" s="1203">
        <f>+'F13 SEZ'!F90+'F13 Non SEZ'!F90</f>
        <v>5.3650498599999999E-2</v>
      </c>
      <c r="G90" s="1203">
        <f>+'F13 SEZ'!G90+'F13 Non SEZ'!G90</f>
        <v>2.552859125E-2</v>
      </c>
      <c r="H90" s="1203">
        <f>+'F13 SEZ'!H90+'F13 Non SEZ'!H90</f>
        <v>0</v>
      </c>
      <c r="I90" s="1203">
        <f>+'F13 SEZ'!I90+'F13 Non SEZ'!I90</f>
        <v>0</v>
      </c>
      <c r="J90" s="1203">
        <f>+'F13 SEZ'!J90+'F13 Non SEZ'!J90</f>
        <v>0</v>
      </c>
      <c r="K90" s="1203">
        <f>+'F13 SEZ'!K90+'F13 Non SEZ'!K90</f>
        <v>0</v>
      </c>
      <c r="L90" s="1203">
        <f>+'F13 SEZ'!L90+'F13 Non SEZ'!L90</f>
        <v>0</v>
      </c>
      <c r="M90" s="1191">
        <f t="shared" ref="M90:M102" si="12">SUM(E90:L90)</f>
        <v>0.25958685684999999</v>
      </c>
      <c r="N90" s="1190"/>
      <c r="O90" s="1191">
        <f t="shared" ref="O90:O102" si="13">+M90+N90</f>
        <v>0.25958685684999999</v>
      </c>
      <c r="P90" s="887">
        <f t="shared" ref="P90:P103" si="14">+IFERROR(O90/D90*10,0)</f>
        <v>14.74428959853004</v>
      </c>
      <c r="Q90" s="58"/>
      <c r="R90" s="58"/>
      <c r="S90" s="19"/>
    </row>
    <row r="91" spans="2:19" x14ac:dyDescent="0.35">
      <c r="B91" s="520" t="s">
        <v>1107</v>
      </c>
      <c r="C91" s="1189">
        <f>+'F13 SEZ'!C91+'F13 Non SEZ'!C91</f>
        <v>109</v>
      </c>
      <c r="D91" s="1203">
        <f>+'F13 SEZ'!D91+'F13 Non SEZ'!D91</f>
        <v>0.13921244499999999</v>
      </c>
      <c r="E91" s="1203">
        <f>+'F13 SEZ'!E91+'F13 Non SEZ'!E91</f>
        <v>3.5004132999999993E-2</v>
      </c>
      <c r="F91" s="1203">
        <f>+'F13 SEZ'!F91+'F13 Non SEZ'!F91</f>
        <v>0.101153977975</v>
      </c>
      <c r="G91" s="1203">
        <f>+'F13 SEZ'!G91+'F13 Non SEZ'!G91</f>
        <v>2.0185804525000003E-2</v>
      </c>
      <c r="H91" s="1203">
        <f>+'F13 SEZ'!H91+'F13 Non SEZ'!H91</f>
        <v>0</v>
      </c>
      <c r="I91" s="1203">
        <f>+'F13 SEZ'!I91+'F13 Non SEZ'!I91</f>
        <v>0</v>
      </c>
      <c r="J91" s="1203">
        <f>+'F13 SEZ'!J91+'F13 Non SEZ'!J91</f>
        <v>0</v>
      </c>
      <c r="K91" s="1203">
        <f>+'F13 SEZ'!K91+'F13 Non SEZ'!K91</f>
        <v>0</v>
      </c>
      <c r="L91" s="1203">
        <f>+'F13 SEZ'!L91+'F13 Non SEZ'!L91</f>
        <v>0</v>
      </c>
      <c r="M91" s="1191">
        <f t="shared" si="12"/>
        <v>0.15634391549999999</v>
      </c>
      <c r="N91" s="1194"/>
      <c r="O91" s="1195">
        <f t="shared" si="13"/>
        <v>0.15634391549999999</v>
      </c>
      <c r="P91" s="887">
        <f t="shared" si="14"/>
        <v>11.23059906748998</v>
      </c>
      <c r="Q91" s="58"/>
      <c r="R91" s="58"/>
      <c r="S91" s="19"/>
    </row>
    <row r="92" spans="2:19" x14ac:dyDescent="0.35">
      <c r="B92" s="520" t="s">
        <v>1108</v>
      </c>
      <c r="C92" s="1189">
        <f>+'F13 SEZ'!C92+'F13 Non SEZ'!C92</f>
        <v>24</v>
      </c>
      <c r="D92" s="1203">
        <f>+'F13 SEZ'!D92+'F13 Non SEZ'!D92</f>
        <v>4.2151488999999993E-2</v>
      </c>
      <c r="E92" s="1203">
        <f>+'F13 SEZ'!E92+'F13 Non SEZ'!E92</f>
        <v>5.2954000000000005E-3</v>
      </c>
      <c r="F92" s="1203">
        <f>+'F13 SEZ'!F92+'F13 Non SEZ'!F92</f>
        <v>4.5309662872000001E-2</v>
      </c>
      <c r="G92" s="1203">
        <f>+'F13 SEZ'!G92+'F13 Non SEZ'!G92</f>
        <v>6.1119659050000007E-3</v>
      </c>
      <c r="H92" s="1203">
        <f>+'F13 SEZ'!H92+'F13 Non SEZ'!H92</f>
        <v>0</v>
      </c>
      <c r="I92" s="1203">
        <f>+'F13 SEZ'!I92+'F13 Non SEZ'!I92</f>
        <v>0</v>
      </c>
      <c r="J92" s="1203">
        <f>+'F13 SEZ'!J92+'F13 Non SEZ'!J92</f>
        <v>0</v>
      </c>
      <c r="K92" s="1203">
        <f>+'F13 SEZ'!K92+'F13 Non SEZ'!K92</f>
        <v>0</v>
      </c>
      <c r="L92" s="1203">
        <f>+'F13 SEZ'!L92+'F13 Non SEZ'!L92</f>
        <v>0</v>
      </c>
      <c r="M92" s="1191">
        <f t="shared" si="12"/>
        <v>5.6717028777000002E-2</v>
      </c>
      <c r="N92" s="1190"/>
      <c r="O92" s="1191">
        <f t="shared" si="13"/>
        <v>5.6717028777000002E-2</v>
      </c>
      <c r="P92" s="887">
        <f t="shared" si="14"/>
        <v>13.455522004691225</v>
      </c>
      <c r="Q92" s="58"/>
      <c r="R92" s="58"/>
      <c r="S92" s="19"/>
    </row>
    <row r="93" spans="2:19" x14ac:dyDescent="0.35">
      <c r="B93" s="520" t="s">
        <v>1109</v>
      </c>
      <c r="C93" s="1189">
        <f>+'F13 SEZ'!C93+'F13 Non SEZ'!C93</f>
        <v>28</v>
      </c>
      <c r="D93" s="1203">
        <f>+'F13 SEZ'!D93+'F13 Non SEZ'!D93</f>
        <v>0.49055880999999996</v>
      </c>
      <c r="E93" s="1203">
        <f>+'F13 SEZ'!E93+'F13 Non SEZ'!E93</f>
        <v>2.8284000000000004E-2</v>
      </c>
      <c r="F93" s="1203">
        <f>+'F13 SEZ'!F93+'F13 Non SEZ'!F93</f>
        <v>0.58172340269999989</v>
      </c>
      <c r="G93" s="1203">
        <f>+'F13 SEZ'!G93+'F13 Non SEZ'!G93</f>
        <v>7.1131027449999995E-2</v>
      </c>
      <c r="H93" s="1203">
        <f>+'F13 SEZ'!H93+'F13 Non SEZ'!H93</f>
        <v>0</v>
      </c>
      <c r="I93" s="1203">
        <f>+'F13 SEZ'!I93+'F13 Non SEZ'!I93</f>
        <v>0</v>
      </c>
      <c r="J93" s="1203">
        <f>+'F13 SEZ'!J93+'F13 Non SEZ'!J93</f>
        <v>0</v>
      </c>
      <c r="K93" s="1203">
        <f>+'F13 SEZ'!K93+'F13 Non SEZ'!K93</f>
        <v>0</v>
      </c>
      <c r="L93" s="1203">
        <f>+'F13 SEZ'!L93+'F13 Non SEZ'!L93</f>
        <v>0</v>
      </c>
      <c r="M93" s="1191">
        <f t="shared" si="12"/>
        <v>0.68113843014999986</v>
      </c>
      <c r="N93" s="1190"/>
      <c r="O93" s="1191">
        <f t="shared" si="13"/>
        <v>0.68113843014999986</v>
      </c>
      <c r="P93" s="887">
        <f t="shared" si="14"/>
        <v>13.884949495657818</v>
      </c>
      <c r="Q93" s="58"/>
      <c r="R93" s="58"/>
      <c r="S93" s="19"/>
    </row>
    <row r="94" spans="2:19" x14ac:dyDescent="0.35">
      <c r="B94" s="520" t="s">
        <v>1110</v>
      </c>
      <c r="C94" s="1189">
        <f>+'F13 SEZ'!C94+'F13 Non SEZ'!C94</f>
        <v>0</v>
      </c>
      <c r="D94" s="1203">
        <f>+'F13 SEZ'!D94+'F13 Non SEZ'!D94</f>
        <v>0</v>
      </c>
      <c r="E94" s="1203">
        <f>+'F13 SEZ'!E94+'F13 Non SEZ'!E94</f>
        <v>0</v>
      </c>
      <c r="F94" s="1203">
        <f>+'F13 SEZ'!F94+'F13 Non SEZ'!F94</f>
        <v>0</v>
      </c>
      <c r="G94" s="1203">
        <f>+'F13 SEZ'!G94+'F13 Non SEZ'!G94</f>
        <v>0</v>
      </c>
      <c r="H94" s="1203">
        <f>+'F13 SEZ'!H94+'F13 Non SEZ'!H94</f>
        <v>0</v>
      </c>
      <c r="I94" s="1203">
        <f>+'F13 SEZ'!I94+'F13 Non SEZ'!I94</f>
        <v>0</v>
      </c>
      <c r="J94" s="1203">
        <f>+'F13 SEZ'!J94+'F13 Non SEZ'!J94</f>
        <v>0</v>
      </c>
      <c r="K94" s="1203">
        <f>+'F13 SEZ'!K94+'F13 Non SEZ'!K94</f>
        <v>0</v>
      </c>
      <c r="L94" s="1203">
        <f>+'F13 SEZ'!L94+'F13 Non SEZ'!L94</f>
        <v>0</v>
      </c>
      <c r="M94" s="1191">
        <f t="shared" si="12"/>
        <v>0</v>
      </c>
      <c r="N94" s="1190"/>
      <c r="O94" s="1191">
        <f t="shared" si="13"/>
        <v>0</v>
      </c>
      <c r="P94" s="887">
        <f t="shared" si="14"/>
        <v>0</v>
      </c>
      <c r="Q94" s="58"/>
      <c r="R94" s="58"/>
      <c r="S94" s="19"/>
    </row>
    <row r="95" spans="2:19" x14ac:dyDescent="0.35">
      <c r="B95" s="519" t="s">
        <v>1139</v>
      </c>
      <c r="C95" s="1189">
        <f>+'F13 SEZ'!C95+'F13 Non SEZ'!C95</f>
        <v>0</v>
      </c>
      <c r="D95" s="1203">
        <f>+'F13 SEZ'!D95+'F13 Non SEZ'!D95</f>
        <v>0</v>
      </c>
      <c r="E95" s="1203">
        <f>+'F13 SEZ'!E95+'F13 Non SEZ'!E95</f>
        <v>0</v>
      </c>
      <c r="F95" s="1203">
        <f>+'F13 SEZ'!F95+'F13 Non SEZ'!F95</f>
        <v>0</v>
      </c>
      <c r="G95" s="1203">
        <f>+'F13 SEZ'!G95+'F13 Non SEZ'!G95</f>
        <v>0</v>
      </c>
      <c r="H95" s="1203">
        <f>+'F13 SEZ'!H95+'F13 Non SEZ'!H95</f>
        <v>0</v>
      </c>
      <c r="I95" s="1203">
        <f>+'F13 SEZ'!I95+'F13 Non SEZ'!I95</f>
        <v>0</v>
      </c>
      <c r="J95" s="1203">
        <f>+'F13 SEZ'!J95+'F13 Non SEZ'!J95</f>
        <v>0</v>
      </c>
      <c r="K95" s="1203">
        <f>+'F13 SEZ'!K95+'F13 Non SEZ'!K95</f>
        <v>0</v>
      </c>
      <c r="L95" s="1203">
        <f>+'F13 SEZ'!L95+'F13 Non SEZ'!L95</f>
        <v>0</v>
      </c>
      <c r="M95" s="1191">
        <f t="shared" si="12"/>
        <v>0</v>
      </c>
      <c r="N95" s="1190"/>
      <c r="O95" s="1191">
        <f t="shared" si="13"/>
        <v>0</v>
      </c>
      <c r="P95" s="887">
        <f t="shared" si="14"/>
        <v>0</v>
      </c>
      <c r="Q95" s="58"/>
      <c r="R95" s="58"/>
      <c r="S95" s="19"/>
    </row>
    <row r="96" spans="2:19" x14ac:dyDescent="0.35">
      <c r="B96" s="520" t="s">
        <v>1140</v>
      </c>
      <c r="C96" s="1189">
        <f>+'F13 SEZ'!C96+'F13 Non SEZ'!C96</f>
        <v>27</v>
      </c>
      <c r="D96" s="1203">
        <f>+'F13 SEZ'!D96+'F13 Non SEZ'!D96</f>
        <v>8.8260000000000005E-3</v>
      </c>
      <c r="E96" s="1203">
        <f>+'F13 SEZ'!E96+'F13 Non SEZ'!E96</f>
        <v>8.500704999999999E-3</v>
      </c>
      <c r="F96" s="1203">
        <f>+'F13 SEZ'!F96+'F13 Non SEZ'!F96</f>
        <v>6.4959320000000011E-3</v>
      </c>
      <c r="G96" s="1203">
        <f>+'F13 SEZ'!G96+'F13 Non SEZ'!G96</f>
        <v>5.8869999999999997E-5</v>
      </c>
      <c r="H96" s="1203">
        <f>+'F13 SEZ'!H96+'F13 Non SEZ'!H96</f>
        <v>0</v>
      </c>
      <c r="I96" s="1203">
        <f>+'F13 SEZ'!I96+'F13 Non SEZ'!I96</f>
        <v>0</v>
      </c>
      <c r="J96" s="1203">
        <f>+'F13 SEZ'!J96+'F13 Non SEZ'!J96</f>
        <v>0</v>
      </c>
      <c r="K96" s="1203">
        <f>+'F13 SEZ'!K96+'F13 Non SEZ'!K96</f>
        <v>0</v>
      </c>
      <c r="L96" s="1203">
        <f>+'F13 SEZ'!L96+'F13 Non SEZ'!L96</f>
        <v>0</v>
      </c>
      <c r="M96" s="1191">
        <f t="shared" si="12"/>
        <v>1.5055507000000001E-2</v>
      </c>
      <c r="N96" s="1190"/>
      <c r="O96" s="1191">
        <f t="shared" si="13"/>
        <v>1.5055507000000001E-2</v>
      </c>
      <c r="P96" s="887">
        <f t="shared" si="14"/>
        <v>17.05813165646952</v>
      </c>
      <c r="Q96" s="58"/>
      <c r="R96" s="58"/>
      <c r="S96" s="19"/>
    </row>
    <row r="97" spans="2:19" x14ac:dyDescent="0.35">
      <c r="B97" s="520" t="s">
        <v>1144</v>
      </c>
      <c r="C97" s="1189">
        <f>+'F13 SEZ'!C97+'F13 Non SEZ'!C97</f>
        <v>1</v>
      </c>
      <c r="D97" s="1203">
        <f>+'F13 SEZ'!D97+'F13 Non SEZ'!D97</f>
        <v>0</v>
      </c>
      <c r="E97" s="1203">
        <f>+'F13 SEZ'!E97+'F13 Non SEZ'!E97</f>
        <v>0</v>
      </c>
      <c r="F97" s="1203">
        <f>+'F13 SEZ'!F97+'F13 Non SEZ'!F97</f>
        <v>0</v>
      </c>
      <c r="G97" s="1203">
        <f>+'F13 SEZ'!G97+'F13 Non SEZ'!G97</f>
        <v>1.1845049999999998E-3</v>
      </c>
      <c r="H97" s="1203">
        <f>+'F13 SEZ'!H97+'F13 Non SEZ'!H97</f>
        <v>0</v>
      </c>
      <c r="I97" s="1203">
        <f>+'F13 SEZ'!I97+'F13 Non SEZ'!I97</f>
        <v>0</v>
      </c>
      <c r="J97" s="1203">
        <f>+'F13 SEZ'!J97+'F13 Non SEZ'!J97</f>
        <v>0</v>
      </c>
      <c r="K97" s="1203">
        <f>+'F13 SEZ'!K97+'F13 Non SEZ'!K97</f>
        <v>0</v>
      </c>
      <c r="L97" s="1203">
        <f>+'F13 SEZ'!L97+'F13 Non SEZ'!L97</f>
        <v>0</v>
      </c>
      <c r="M97" s="1191">
        <f t="shared" si="12"/>
        <v>1.1845049999999998E-3</v>
      </c>
      <c r="N97" s="1197"/>
      <c r="O97" s="1198">
        <f t="shared" si="13"/>
        <v>1.1845049999999998E-3</v>
      </c>
      <c r="P97" s="887">
        <f t="shared" si="14"/>
        <v>0</v>
      </c>
      <c r="Q97" s="58"/>
      <c r="R97" s="58"/>
      <c r="S97" s="19"/>
    </row>
    <row r="98" spans="2:19" x14ac:dyDescent="0.35">
      <c r="B98" s="520" t="s">
        <v>1143</v>
      </c>
      <c r="C98" s="1189">
        <f>+'F13 SEZ'!C98+'F13 Non SEZ'!C98</f>
        <v>0</v>
      </c>
      <c r="D98" s="1203">
        <f>+'F13 SEZ'!D98+'F13 Non SEZ'!D98</f>
        <v>0</v>
      </c>
      <c r="E98" s="1203">
        <f>+'F13 SEZ'!E98+'F13 Non SEZ'!E98</f>
        <v>0</v>
      </c>
      <c r="F98" s="1203">
        <f>+'F13 SEZ'!F98+'F13 Non SEZ'!F98</f>
        <v>0</v>
      </c>
      <c r="G98" s="1203">
        <f>+'F13 SEZ'!G98+'F13 Non SEZ'!G98</f>
        <v>0</v>
      </c>
      <c r="H98" s="1203">
        <f>+'F13 SEZ'!H98+'F13 Non SEZ'!H98</f>
        <v>0</v>
      </c>
      <c r="I98" s="1203">
        <f>+'F13 SEZ'!I98+'F13 Non SEZ'!I98</f>
        <v>0</v>
      </c>
      <c r="J98" s="1203">
        <f>+'F13 SEZ'!J98+'F13 Non SEZ'!J98</f>
        <v>0</v>
      </c>
      <c r="K98" s="1203">
        <f>+'F13 SEZ'!K98+'F13 Non SEZ'!K98</f>
        <v>0</v>
      </c>
      <c r="L98" s="1203">
        <f>+'F13 SEZ'!L98+'F13 Non SEZ'!L98</f>
        <v>0</v>
      </c>
      <c r="M98" s="1191">
        <f t="shared" si="12"/>
        <v>0</v>
      </c>
      <c r="N98" s="1190"/>
      <c r="O98" s="1191">
        <f t="shared" si="13"/>
        <v>0</v>
      </c>
      <c r="P98" s="887">
        <f t="shared" si="14"/>
        <v>0</v>
      </c>
      <c r="Q98" s="58"/>
      <c r="R98" s="58"/>
      <c r="S98" s="19"/>
    </row>
    <row r="99" spans="2:19" ht="25.5" x14ac:dyDescent="0.35">
      <c r="B99" s="519" t="s">
        <v>1111</v>
      </c>
      <c r="C99" s="1189">
        <f>+'F13 SEZ'!C99+'F13 Non SEZ'!C99</f>
        <v>1</v>
      </c>
      <c r="D99" s="1203">
        <f>+'F13 SEZ'!D99+'F13 Non SEZ'!D99</f>
        <v>7.2580000000000006E-2</v>
      </c>
      <c r="E99" s="1203">
        <f>+'F13 SEZ'!E99+'F13 Non SEZ'!E99</f>
        <v>2.5027600000000001E-3</v>
      </c>
      <c r="F99" s="1203">
        <f>+'F13 SEZ'!F99+'F13 Non SEZ'!F99</f>
        <v>3.7088380000000004E-2</v>
      </c>
      <c r="G99" s="1203">
        <f>+'F13 SEZ'!G99+'F13 Non SEZ'!G99</f>
        <v>1.0524100000000002E-2</v>
      </c>
      <c r="H99" s="1203">
        <f>+'F13 SEZ'!H99+'F13 Non SEZ'!H99</f>
        <v>-9.8917600000000003E-4</v>
      </c>
      <c r="I99" s="1203">
        <f>+'F13 SEZ'!I99+'F13 Non SEZ'!I99</f>
        <v>2.37879E-3</v>
      </c>
      <c r="J99" s="1203">
        <f>+'F13 SEZ'!J99+'F13 Non SEZ'!J99</f>
        <v>0</v>
      </c>
      <c r="K99" s="1203">
        <f>+'F13 SEZ'!K99+'F13 Non SEZ'!K99</f>
        <v>0</v>
      </c>
      <c r="L99" s="1203">
        <f>+'F13 SEZ'!L99+'F13 Non SEZ'!L99</f>
        <v>0</v>
      </c>
      <c r="M99" s="1191">
        <f t="shared" si="12"/>
        <v>5.1504854000000003E-2</v>
      </c>
      <c r="N99" s="1190"/>
      <c r="O99" s="1191">
        <f t="shared" si="13"/>
        <v>5.1504854000000003E-2</v>
      </c>
      <c r="P99" s="887">
        <f t="shared" si="14"/>
        <v>7.0962874069991733</v>
      </c>
      <c r="Q99" s="58"/>
      <c r="R99" s="58"/>
      <c r="S99" s="19"/>
    </row>
    <row r="100" spans="2:19" ht="25.5" x14ac:dyDescent="0.35">
      <c r="B100" s="519" t="s">
        <v>1135</v>
      </c>
      <c r="C100" s="1189">
        <f>+'F13 SEZ'!C100+'F13 Non SEZ'!C100</f>
        <v>2</v>
      </c>
      <c r="D100" s="1203">
        <f>+'F13 SEZ'!D100+'F13 Non SEZ'!D100</f>
        <v>0.120709</v>
      </c>
      <c r="E100" s="1203">
        <f>+'F13 SEZ'!E100+'F13 Non SEZ'!E100</f>
        <v>1.0896000000000002E-3</v>
      </c>
      <c r="F100" s="1203">
        <f>+'F13 SEZ'!F100+'F13 Non SEZ'!F100</f>
        <v>6.2889389000000004E-2</v>
      </c>
      <c r="G100" s="1203">
        <f>+'F13 SEZ'!G100+'F13 Non SEZ'!G100</f>
        <v>1.7502805E-2</v>
      </c>
      <c r="H100" s="1203">
        <f>+'F13 SEZ'!H100+'F13 Non SEZ'!H100</f>
        <v>0</v>
      </c>
      <c r="I100" s="1203">
        <f>+'F13 SEZ'!I100+'F13 Non SEZ'!I100</f>
        <v>0</v>
      </c>
      <c r="J100" s="1203">
        <f>+'F13 SEZ'!J100+'F13 Non SEZ'!J100</f>
        <v>0</v>
      </c>
      <c r="K100" s="1203">
        <f>+'F13 SEZ'!K100+'F13 Non SEZ'!K100</f>
        <v>0</v>
      </c>
      <c r="L100" s="1203">
        <f>+'F13 SEZ'!L100+'F13 Non SEZ'!L100</f>
        <v>0</v>
      </c>
      <c r="M100" s="1191">
        <f t="shared" si="12"/>
        <v>8.1481793999999996E-2</v>
      </c>
      <c r="N100" s="1190"/>
      <c r="O100" s="1191">
        <f t="shared" si="13"/>
        <v>8.1481793999999996E-2</v>
      </c>
      <c r="P100" s="887">
        <f t="shared" si="14"/>
        <v>6.7502666743987607</v>
      </c>
      <c r="Q100" s="58"/>
      <c r="R100" s="58"/>
      <c r="S100" s="19"/>
    </row>
    <row r="101" spans="2:19" ht="25.5" x14ac:dyDescent="0.35">
      <c r="B101" s="519" t="s">
        <v>1136</v>
      </c>
      <c r="C101" s="1189">
        <f>+'F13 SEZ'!C101+'F13 Non SEZ'!C101</f>
        <v>1</v>
      </c>
      <c r="D101" s="1203">
        <f>+'F13 SEZ'!D101+'F13 Non SEZ'!D101</f>
        <v>6.4155000000000011E-3</v>
      </c>
      <c r="E101" s="1203">
        <f>+'F13 SEZ'!E101+'F13 Non SEZ'!E101</f>
        <v>6.4439620000000001E-3</v>
      </c>
      <c r="F101" s="1203">
        <f>+'F13 SEZ'!F101+'F13 Non SEZ'!F101</f>
        <v>4.7731309999999999E-3</v>
      </c>
      <c r="G101" s="1203">
        <f>+'F13 SEZ'!G101+'F13 Non SEZ'!G101</f>
        <v>9.3024949999999992E-4</v>
      </c>
      <c r="H101" s="1203">
        <f>+'F13 SEZ'!H101+'F13 Non SEZ'!H101</f>
        <v>1.4804599999999998E-4</v>
      </c>
      <c r="I101" s="1203">
        <f>+'F13 SEZ'!I101+'F13 Non SEZ'!I101</f>
        <v>-4.3033700000000009E-4</v>
      </c>
      <c r="J101" s="1203">
        <f>+'F13 SEZ'!J101+'F13 Non SEZ'!J101</f>
        <v>0</v>
      </c>
      <c r="K101" s="1203">
        <f>+'F13 SEZ'!K101+'F13 Non SEZ'!K101</f>
        <v>0</v>
      </c>
      <c r="L101" s="1203">
        <f>+'F13 SEZ'!L101+'F13 Non SEZ'!L101</f>
        <v>0</v>
      </c>
      <c r="M101" s="1191">
        <f t="shared" si="12"/>
        <v>1.1865051500000003E-2</v>
      </c>
      <c r="N101" s="1190"/>
      <c r="O101" s="1191">
        <f t="shared" si="13"/>
        <v>1.1865051500000003E-2</v>
      </c>
      <c r="P101" s="887">
        <f t="shared" si="14"/>
        <v>18.494351960096644</v>
      </c>
      <c r="Q101" s="58"/>
      <c r="R101" s="58"/>
      <c r="S101" s="19"/>
    </row>
    <row r="102" spans="2:19" x14ac:dyDescent="0.35">
      <c r="B102" s="519" t="s">
        <v>1142</v>
      </c>
      <c r="C102" s="1189">
        <f>+'F13 SEZ'!C102+'F13 Non SEZ'!C102</f>
        <v>0</v>
      </c>
      <c r="D102" s="1203">
        <f>+'F13 SEZ'!D102+'F13 Non SEZ'!D102</f>
        <v>0</v>
      </c>
      <c r="E102" s="1203">
        <f>+'F13 SEZ'!E102+'F13 Non SEZ'!E102</f>
        <v>0</v>
      </c>
      <c r="F102" s="1203">
        <f>+'F13 SEZ'!F102+'F13 Non SEZ'!F102</f>
        <v>0</v>
      </c>
      <c r="G102" s="1203">
        <f>+'F13 SEZ'!G102+'F13 Non SEZ'!G102</f>
        <v>0</v>
      </c>
      <c r="H102" s="1203">
        <f>+'F13 SEZ'!H102+'F13 Non SEZ'!H102</f>
        <v>0</v>
      </c>
      <c r="I102" s="1203">
        <f>+'F13 SEZ'!I102+'F13 Non SEZ'!I102</f>
        <v>0</v>
      </c>
      <c r="J102" s="1203">
        <f>+'F13 SEZ'!J102+'F13 Non SEZ'!J102</f>
        <v>0</v>
      </c>
      <c r="K102" s="1203">
        <f>+'F13 SEZ'!K102+'F13 Non SEZ'!K102</f>
        <v>0</v>
      </c>
      <c r="L102" s="1203">
        <f>+'F13 SEZ'!L102+'F13 Non SEZ'!L102</f>
        <v>0</v>
      </c>
      <c r="M102" s="1191">
        <f t="shared" si="12"/>
        <v>0</v>
      </c>
      <c r="N102" s="1190"/>
      <c r="O102" s="1191">
        <f t="shared" si="13"/>
        <v>0</v>
      </c>
      <c r="P102" s="887">
        <f t="shared" si="14"/>
        <v>0</v>
      </c>
      <c r="Q102" s="58"/>
      <c r="R102" s="58"/>
      <c r="S102" s="19"/>
    </row>
    <row r="103" spans="2:19" x14ac:dyDescent="0.35">
      <c r="B103" s="518" t="s">
        <v>162</v>
      </c>
      <c r="C103" s="1192">
        <f t="shared" ref="C103:L103" si="15">SUM(C90:C102)</f>
        <v>776</v>
      </c>
      <c r="D103" s="1204">
        <f t="shared" si="15"/>
        <v>1.0565124939999999</v>
      </c>
      <c r="E103" s="1204">
        <f t="shared" si="15"/>
        <v>0.26752832700000007</v>
      </c>
      <c r="F103" s="1204">
        <f t="shared" si="15"/>
        <v>0.89308437414699982</v>
      </c>
      <c r="G103" s="1204">
        <f t="shared" si="15"/>
        <v>0.15315791863000003</v>
      </c>
      <c r="H103" s="1204">
        <f t="shared" si="15"/>
        <v>-8.4113000000000005E-4</v>
      </c>
      <c r="I103" s="1204">
        <f t="shared" si="15"/>
        <v>1.9484529999999999E-3</v>
      </c>
      <c r="J103" s="1204">
        <f t="shared" si="15"/>
        <v>0</v>
      </c>
      <c r="K103" s="1204">
        <f t="shared" si="15"/>
        <v>0</v>
      </c>
      <c r="L103" s="1204">
        <f t="shared" si="15"/>
        <v>0</v>
      </c>
      <c r="M103" s="1191">
        <f>SUM(M90:M101)</f>
        <v>1.3148779427770001</v>
      </c>
      <c r="N103" s="1191">
        <f>SUM(N90:N101)</f>
        <v>0</v>
      </c>
      <c r="O103" s="1191">
        <f>SUM(O90:O101)</f>
        <v>1.3148779427770001</v>
      </c>
      <c r="P103" s="887">
        <f t="shared" si="14"/>
        <v>12.445455687881342</v>
      </c>
      <c r="Q103" s="58"/>
      <c r="R103" s="58"/>
      <c r="S103" s="19"/>
    </row>
    <row r="104" spans="2:19" x14ac:dyDescent="0.35">
      <c r="B104" s="518"/>
      <c r="C104" s="58"/>
      <c r="D104" s="1203"/>
      <c r="E104" s="1203"/>
      <c r="F104" s="1203"/>
      <c r="G104" s="1203"/>
      <c r="H104" s="1203"/>
      <c r="I104" s="1203"/>
      <c r="J104" s="1203"/>
      <c r="K104" s="1203"/>
      <c r="L104" s="1203"/>
      <c r="M104" s="1190"/>
      <c r="N104" s="1190"/>
      <c r="O104" s="1190"/>
      <c r="P104" s="887"/>
      <c r="Q104" s="58"/>
      <c r="R104" s="58"/>
      <c r="S104" s="19"/>
    </row>
    <row r="105" spans="2:19" x14ac:dyDescent="0.35">
      <c r="B105" s="119" t="s">
        <v>164</v>
      </c>
      <c r="C105" s="1192">
        <f>+C103+C87</f>
        <v>782</v>
      </c>
      <c r="D105" s="1204">
        <f>+D103+D87</f>
        <v>7.9089836339999993</v>
      </c>
      <c r="E105" s="1204">
        <f t="shared" ref="E105:M105" si="16">+E103+E87</f>
        <v>1.5709327540000002</v>
      </c>
      <c r="F105" s="1204">
        <f t="shared" si="16"/>
        <v>9.3859316921470004</v>
      </c>
      <c r="G105" s="1204">
        <f t="shared" si="16"/>
        <v>0.57569096230999994</v>
      </c>
      <c r="H105" s="1204">
        <f t="shared" si="16"/>
        <v>-0.13549071500000001</v>
      </c>
      <c r="I105" s="1204">
        <f t="shared" si="16"/>
        <v>1.9484529999999999E-3</v>
      </c>
      <c r="J105" s="1204">
        <f t="shared" si="16"/>
        <v>0</v>
      </c>
      <c r="K105" s="1204">
        <f t="shared" si="16"/>
        <v>0</v>
      </c>
      <c r="L105" s="1204">
        <f t="shared" si="16"/>
        <v>0</v>
      </c>
      <c r="M105" s="1191">
        <f t="shared" si="16"/>
        <v>11.399013146456999</v>
      </c>
      <c r="N105" s="1191">
        <f>+N103+N87</f>
        <v>0</v>
      </c>
      <c r="O105" s="1191">
        <f>+O103+O87</f>
        <v>11.399013146456999</v>
      </c>
      <c r="P105" s="887">
        <f>+IFERROR(O105/D105*10,0)</f>
        <v>14.412740845048258</v>
      </c>
      <c r="Q105" s="58"/>
      <c r="R105" s="58"/>
      <c r="S105" s="19"/>
    </row>
    <row r="106" spans="2:19" x14ac:dyDescent="0.35">
      <c r="B106" s="58"/>
      <c r="C106" s="93"/>
      <c r="D106" s="93"/>
      <c r="E106" s="1205"/>
      <c r="F106" s="1205"/>
      <c r="G106" s="1205"/>
      <c r="H106" s="1205"/>
      <c r="I106" s="1205"/>
      <c r="J106" s="1205"/>
      <c r="K106" s="93"/>
      <c r="L106" s="93"/>
      <c r="M106" s="93"/>
      <c r="N106" s="93"/>
      <c r="O106" s="93"/>
      <c r="P106" s="93"/>
      <c r="Q106" s="93"/>
      <c r="R106" s="93"/>
      <c r="S106" s="93"/>
    </row>
    <row r="107" spans="2:19" x14ac:dyDescent="0.35">
      <c r="C107" s="1206">
        <f>+'F13 SEZ'!C105+'F13 Non SEZ'!C105-C105</f>
        <v>0</v>
      </c>
      <c r="D107" s="1206">
        <f>+'F13 SEZ'!D105+'F13 Non SEZ'!D105-D105</f>
        <v>0</v>
      </c>
      <c r="E107" s="1206">
        <f>+'F13 SEZ'!E105+'F13 Non SEZ'!E105-E105</f>
        <v>0</v>
      </c>
      <c r="F107" s="1206">
        <f>+'F13 SEZ'!F105+'F13 Non SEZ'!F105-F105</f>
        <v>0</v>
      </c>
      <c r="G107" s="1206">
        <f>+'F13 SEZ'!G105+'F13 Non SEZ'!G105-G105</f>
        <v>0</v>
      </c>
      <c r="H107" s="1206">
        <f>+'F13 SEZ'!H105+'F13 Non SEZ'!H105-H105</f>
        <v>0</v>
      </c>
      <c r="I107" s="1206">
        <f>+'F13 SEZ'!I105+'F13 Non SEZ'!I105-I105</f>
        <v>0</v>
      </c>
      <c r="J107" s="1206">
        <f>+'F13 SEZ'!J105+'F13 Non SEZ'!J105-J105</f>
        <v>0</v>
      </c>
      <c r="K107" s="1206">
        <f>+'F13 SEZ'!K105+'F13 Non SEZ'!K105-K105</f>
        <v>0</v>
      </c>
      <c r="L107" s="1206">
        <f>+'F13 SEZ'!L105+'F13 Non SEZ'!L105-L105</f>
        <v>0</v>
      </c>
      <c r="M107" s="1206">
        <f>+'F13 SEZ'!M105+'F13 Non SEZ'!M105-M105</f>
        <v>0</v>
      </c>
    </row>
    <row r="108" spans="2:19" x14ac:dyDescent="0.35">
      <c r="B108" s="40" t="s">
        <v>199</v>
      </c>
      <c r="C108" s="53"/>
      <c r="D108" s="53"/>
      <c r="E108" s="53"/>
      <c r="F108" s="53"/>
      <c r="G108" s="53"/>
      <c r="H108" s="53"/>
      <c r="I108" s="53"/>
      <c r="J108" s="53"/>
      <c r="K108" s="53"/>
      <c r="L108" s="53"/>
      <c r="M108" s="53"/>
      <c r="N108" s="53"/>
      <c r="O108" s="53"/>
    </row>
    <row r="109" spans="2:19" x14ac:dyDescent="0.35">
      <c r="B109" s="49"/>
    </row>
    <row r="110" spans="2:19" ht="40.5" x14ac:dyDescent="0.35">
      <c r="B110" s="1984" t="s">
        <v>699</v>
      </c>
      <c r="C110" s="106" t="s">
        <v>700</v>
      </c>
      <c r="D110" s="106" t="s">
        <v>701</v>
      </c>
      <c r="E110" s="106" t="s">
        <v>702</v>
      </c>
      <c r="F110" s="106" t="s">
        <v>703</v>
      </c>
      <c r="G110" s="106" t="s">
        <v>704</v>
      </c>
      <c r="H110" s="1188" t="s">
        <v>1449</v>
      </c>
      <c r="I110" s="1188" t="s">
        <v>1450</v>
      </c>
      <c r="J110" s="1188" t="s">
        <v>1451</v>
      </c>
      <c r="K110" s="106" t="s">
        <v>1448</v>
      </c>
      <c r="L110" s="106" t="s">
        <v>705</v>
      </c>
      <c r="M110" s="106" t="s">
        <v>706</v>
      </c>
      <c r="N110" s="106" t="s">
        <v>707</v>
      </c>
      <c r="O110" s="106" t="s">
        <v>708</v>
      </c>
      <c r="P110" s="106" t="s">
        <v>709</v>
      </c>
      <c r="Q110" s="106" t="s">
        <v>710</v>
      </c>
      <c r="R110" s="106" t="s">
        <v>711</v>
      </c>
      <c r="S110" s="106" t="s">
        <v>116</v>
      </c>
    </row>
    <row r="111" spans="2:19" ht="39.4" x14ac:dyDescent="0.35">
      <c r="B111" s="1984"/>
      <c r="C111" s="1188" t="s">
        <v>128</v>
      </c>
      <c r="D111" s="1188" t="s">
        <v>129</v>
      </c>
      <c r="E111" s="1188" t="s">
        <v>712</v>
      </c>
      <c r="F111" s="1188" t="s">
        <v>130</v>
      </c>
      <c r="G111" s="1188" t="s">
        <v>131</v>
      </c>
      <c r="H111" s="1188" t="s">
        <v>331</v>
      </c>
      <c r="I111" s="1188" t="s">
        <v>132</v>
      </c>
      <c r="J111" s="1188" t="s">
        <v>133</v>
      </c>
      <c r="K111" s="1188" t="s">
        <v>332</v>
      </c>
      <c r="L111" s="1188" t="s">
        <v>333</v>
      </c>
      <c r="M111" s="1188" t="s">
        <v>1452</v>
      </c>
      <c r="N111" s="1188" t="s">
        <v>529</v>
      </c>
      <c r="O111" s="1188" t="s">
        <v>1453</v>
      </c>
      <c r="P111" s="1188" t="s">
        <v>1454</v>
      </c>
      <c r="Q111" s="1188" t="s">
        <v>531</v>
      </c>
      <c r="R111" s="1188" t="s">
        <v>1455</v>
      </c>
      <c r="S111" s="1188" t="s">
        <v>533</v>
      </c>
    </row>
    <row r="112" spans="2:19" x14ac:dyDescent="0.35">
      <c r="B112" s="517" t="s">
        <v>161</v>
      </c>
      <c r="C112" s="93"/>
      <c r="D112" s="93"/>
      <c r="E112" s="93"/>
      <c r="F112" s="93"/>
      <c r="G112" s="93"/>
      <c r="H112" s="93"/>
      <c r="I112" s="93"/>
      <c r="J112" s="93"/>
      <c r="K112" s="93"/>
      <c r="L112" s="93"/>
      <c r="M112" s="93"/>
      <c r="N112" s="93"/>
      <c r="O112" s="93"/>
      <c r="P112" s="93"/>
      <c r="Q112" s="93"/>
      <c r="R112" s="93"/>
      <c r="S112" s="93"/>
    </row>
    <row r="113" spans="2:19" x14ac:dyDescent="0.35">
      <c r="B113" s="429" t="s">
        <v>1129</v>
      </c>
      <c r="C113" s="1189">
        <f>+'F13 SEZ'!C113+'F13 Non SEZ'!C113</f>
        <v>2</v>
      </c>
      <c r="D113" s="1203">
        <f>+'F13 SEZ'!D113+'F13 Non SEZ'!D113</f>
        <v>13.38198</v>
      </c>
      <c r="E113" s="1203">
        <f>+'F13 SEZ'!E113+'F13 Non SEZ'!E113</f>
        <v>1.2507544800000001</v>
      </c>
      <c r="F113" s="1203">
        <f>+'F13 SEZ'!F113+'F13 Non SEZ'!F113</f>
        <v>8.1540399600000004</v>
      </c>
      <c r="G113" s="1203">
        <f>+'F13 SEZ'!G113+'F13 Non SEZ'!G113</f>
        <v>0.76873103999999992</v>
      </c>
      <c r="H113" s="1203">
        <f>+'F13 SEZ'!H113+'F13 Non SEZ'!H113</f>
        <v>-0.28786559300000003</v>
      </c>
      <c r="I113" s="1203">
        <f>+'F13 SEZ'!I113+'F13 Non SEZ'!I113</f>
        <v>0</v>
      </c>
      <c r="J113" s="1203">
        <f>+'F13 SEZ'!J113+'F13 Non SEZ'!J113</f>
        <v>7.2575999999999995E-3</v>
      </c>
      <c r="K113" s="1203">
        <f>+'F13 SEZ'!K113+'F13 Non SEZ'!K113</f>
        <v>0</v>
      </c>
      <c r="L113" s="1203">
        <f>+'F13 SEZ'!L113+'F13 Non SEZ'!L113</f>
        <v>0</v>
      </c>
      <c r="M113" s="1191">
        <f>SUM(E113:L113)</f>
        <v>9.8929174870000018</v>
      </c>
      <c r="N113" s="1190"/>
      <c r="O113" s="1191">
        <f>+M113+N113</f>
        <v>9.8929174870000018</v>
      </c>
      <c r="P113" s="887">
        <f>+IFERROR(O113/D113*10,0)</f>
        <v>7.3927157916840427</v>
      </c>
      <c r="Q113" s="58"/>
      <c r="R113" s="58"/>
      <c r="S113" s="19"/>
    </row>
    <row r="114" spans="2:19" x14ac:dyDescent="0.35">
      <c r="B114" s="429" t="s">
        <v>1130</v>
      </c>
      <c r="C114" s="1189">
        <f>+'F13 SEZ'!C114+'F13 Non SEZ'!C114</f>
        <v>3</v>
      </c>
      <c r="D114" s="1203">
        <f>+'F13 SEZ'!D114+'F13 Non SEZ'!D114</f>
        <v>1.3603304818999997</v>
      </c>
      <c r="E114" s="1203">
        <f>+'F13 SEZ'!E114+'F13 Non SEZ'!E114</f>
        <v>0.44900438800000003</v>
      </c>
      <c r="F114" s="1203">
        <f>+'F13 SEZ'!F114+'F13 Non SEZ'!F114</f>
        <v>1.5475061099999998</v>
      </c>
      <c r="G114" s="1203">
        <f>+'F13 SEZ'!G114+'F13 Non SEZ'!G114</f>
        <v>7.7375320999999997E-2</v>
      </c>
      <c r="H114" s="1203">
        <f>+'F13 SEZ'!H114+'F13 Non SEZ'!H114</f>
        <v>-1.2227284999999997E-2</v>
      </c>
      <c r="I114" s="1203">
        <f>+'F13 SEZ'!I114+'F13 Non SEZ'!I114</f>
        <v>0</v>
      </c>
      <c r="J114" s="1203">
        <f>+'F13 SEZ'!J114+'F13 Non SEZ'!J114</f>
        <v>1.7700000000000001E-7</v>
      </c>
      <c r="K114" s="1203">
        <f>+'F13 SEZ'!K114+'F13 Non SEZ'!K114</f>
        <v>0</v>
      </c>
      <c r="L114" s="1203">
        <f>+'F13 SEZ'!L114+'F13 Non SEZ'!L114</f>
        <v>0</v>
      </c>
      <c r="M114" s="1191">
        <f>SUM(E114:L114)</f>
        <v>2.0616587110000002</v>
      </c>
      <c r="N114" s="1190"/>
      <c r="O114" s="1191">
        <f>+M114+N114</f>
        <v>2.0616587110000002</v>
      </c>
      <c r="P114" s="887">
        <f>+IFERROR(O114/D114*10,0)</f>
        <v>15.155572402674105</v>
      </c>
      <c r="Q114" s="58"/>
      <c r="R114" s="58"/>
      <c r="S114" s="19"/>
    </row>
    <row r="115" spans="2:19" x14ac:dyDescent="0.35">
      <c r="B115" s="429" t="s">
        <v>1131</v>
      </c>
      <c r="C115" s="1189">
        <f>+'F13 SEZ'!C115+'F13 Non SEZ'!C115</f>
        <v>0</v>
      </c>
      <c r="D115" s="1203">
        <f>+'F13 SEZ'!D115+'F13 Non SEZ'!D115</f>
        <v>0</v>
      </c>
      <c r="E115" s="1203">
        <f>+'F13 SEZ'!E115+'F13 Non SEZ'!E115</f>
        <v>0</v>
      </c>
      <c r="F115" s="1203">
        <f>+'F13 SEZ'!F115+'F13 Non SEZ'!F115</f>
        <v>0</v>
      </c>
      <c r="G115" s="1203">
        <f>+'F13 SEZ'!G115+'F13 Non SEZ'!G115</f>
        <v>0</v>
      </c>
      <c r="H115" s="1203">
        <f>+'F13 SEZ'!H115+'F13 Non SEZ'!H115</f>
        <v>0</v>
      </c>
      <c r="I115" s="1203">
        <f>+'F13 SEZ'!I115+'F13 Non SEZ'!I115</f>
        <v>0</v>
      </c>
      <c r="J115" s="1203">
        <f>+'F13 SEZ'!J115+'F13 Non SEZ'!J115</f>
        <v>0</v>
      </c>
      <c r="K115" s="1203">
        <f>+'F13 SEZ'!K115+'F13 Non SEZ'!K115</f>
        <v>0</v>
      </c>
      <c r="L115" s="1203">
        <f>+'F13 SEZ'!L115+'F13 Non SEZ'!L115</f>
        <v>0</v>
      </c>
      <c r="M115" s="1191">
        <f>SUM(E115:L115)</f>
        <v>0</v>
      </c>
      <c r="N115" s="1190"/>
      <c r="O115" s="1191">
        <f>+M115+N115</f>
        <v>0</v>
      </c>
      <c r="P115" s="887">
        <f>+IFERROR(O115/D115*10,0)</f>
        <v>0</v>
      </c>
      <c r="Q115" s="58"/>
      <c r="R115" s="58"/>
      <c r="S115" s="19"/>
    </row>
    <row r="116" spans="2:19" ht="25.5" x14ac:dyDescent="0.35">
      <c r="B116" s="429" t="s">
        <v>1132</v>
      </c>
      <c r="C116" s="1189">
        <f>+'F13 SEZ'!C116+'F13 Non SEZ'!C116</f>
        <v>0</v>
      </c>
      <c r="D116" s="1203">
        <f>+'F13 SEZ'!D116+'F13 Non SEZ'!D116</f>
        <v>0</v>
      </c>
      <c r="E116" s="1203">
        <f>+'F13 SEZ'!E116+'F13 Non SEZ'!E116</f>
        <v>0</v>
      </c>
      <c r="F116" s="1203">
        <f>+'F13 SEZ'!F116+'F13 Non SEZ'!F116</f>
        <v>0</v>
      </c>
      <c r="G116" s="1203">
        <f>+'F13 SEZ'!G116+'F13 Non SEZ'!G116</f>
        <v>0</v>
      </c>
      <c r="H116" s="1203">
        <f>+'F13 SEZ'!H116+'F13 Non SEZ'!H116</f>
        <v>0</v>
      </c>
      <c r="I116" s="1203">
        <f>+'F13 SEZ'!I116+'F13 Non SEZ'!I116</f>
        <v>0</v>
      </c>
      <c r="J116" s="1203">
        <f>+'F13 SEZ'!J116+'F13 Non SEZ'!J116</f>
        <v>0</v>
      </c>
      <c r="K116" s="1203">
        <f>+'F13 SEZ'!K116+'F13 Non SEZ'!K116</f>
        <v>0</v>
      </c>
      <c r="L116" s="1203">
        <f>+'F13 SEZ'!L116+'F13 Non SEZ'!L116</f>
        <v>0</v>
      </c>
      <c r="M116" s="1191">
        <f>SUM(E116:L116)</f>
        <v>0</v>
      </c>
      <c r="N116" s="1190"/>
      <c r="O116" s="1191">
        <f>+M116+N116</f>
        <v>0</v>
      </c>
      <c r="P116" s="887">
        <f>+IFERROR(O116/D116*10,0)</f>
        <v>0</v>
      </c>
      <c r="Q116" s="58"/>
      <c r="R116" s="58"/>
      <c r="S116" s="19"/>
    </row>
    <row r="117" spans="2:19" x14ac:dyDescent="0.35">
      <c r="B117" s="518" t="s">
        <v>162</v>
      </c>
      <c r="C117" s="1192">
        <f t="shared" ref="C117:O117" si="17">SUM(C113:C116)</f>
        <v>5</v>
      </c>
      <c r="D117" s="1204">
        <f t="shared" si="17"/>
        <v>14.742310481900001</v>
      </c>
      <c r="E117" s="1204">
        <f t="shared" si="17"/>
        <v>1.6997588680000002</v>
      </c>
      <c r="F117" s="1204">
        <f t="shared" si="17"/>
        <v>9.7015460700000009</v>
      </c>
      <c r="G117" s="1204">
        <f t="shared" si="17"/>
        <v>0.84610636099999992</v>
      </c>
      <c r="H117" s="1204">
        <f t="shared" si="17"/>
        <v>-0.30009287800000001</v>
      </c>
      <c r="I117" s="1204">
        <f t="shared" si="17"/>
        <v>0</v>
      </c>
      <c r="J117" s="1204">
        <f t="shared" si="17"/>
        <v>7.2577769999999991E-3</v>
      </c>
      <c r="K117" s="1204">
        <f t="shared" si="17"/>
        <v>0</v>
      </c>
      <c r="L117" s="1204">
        <f t="shared" si="17"/>
        <v>0</v>
      </c>
      <c r="M117" s="1191">
        <f t="shared" si="17"/>
        <v>11.954576198000002</v>
      </c>
      <c r="N117" s="1191">
        <f t="shared" si="17"/>
        <v>0</v>
      </c>
      <c r="O117" s="1191">
        <f t="shared" si="17"/>
        <v>11.954576198000002</v>
      </c>
      <c r="P117" s="887">
        <f>+IFERROR(O117/D117*10,0)</f>
        <v>8.109024845649083</v>
      </c>
      <c r="Q117" s="58"/>
      <c r="R117" s="58"/>
      <c r="S117" s="19"/>
    </row>
    <row r="118" spans="2:19" x14ac:dyDescent="0.35">
      <c r="B118" s="517" t="s">
        <v>163</v>
      </c>
      <c r="C118" s="1189"/>
      <c r="D118" s="1203"/>
      <c r="E118" s="1203"/>
      <c r="F118" s="1203"/>
      <c r="G118" s="1203"/>
      <c r="H118" s="1203"/>
      <c r="I118" s="1203"/>
      <c r="J118" s="1203"/>
      <c r="K118" s="1203"/>
      <c r="L118" s="1203"/>
      <c r="M118" s="1190"/>
      <c r="N118" s="1190"/>
      <c r="O118" s="1190"/>
      <c r="P118" s="887"/>
      <c r="Q118" s="58"/>
      <c r="R118" s="58"/>
      <c r="S118" s="19"/>
    </row>
    <row r="119" spans="2:19" x14ac:dyDescent="0.35">
      <c r="B119" s="519" t="s">
        <v>1133</v>
      </c>
      <c r="C119" s="1189">
        <f>+'F13 SEZ'!C119+'F13 Non SEZ'!C119</f>
        <v>0</v>
      </c>
      <c r="D119" s="1203">
        <f>+'F13 SEZ'!D119+'F13 Non SEZ'!D119</f>
        <v>0</v>
      </c>
      <c r="E119" s="1203">
        <f>+'F13 SEZ'!E119+'F13 Non SEZ'!E119</f>
        <v>0</v>
      </c>
      <c r="F119" s="1203">
        <f>+'F13 SEZ'!F119+'F13 Non SEZ'!F119</f>
        <v>0</v>
      </c>
      <c r="G119" s="1203">
        <f>+'F13 SEZ'!G119+'F13 Non SEZ'!G119</f>
        <v>0</v>
      </c>
      <c r="H119" s="1203">
        <f>+'F13 SEZ'!H119+'F13 Non SEZ'!H119</f>
        <v>0</v>
      </c>
      <c r="I119" s="1203">
        <f>+'F13 SEZ'!I119+'F13 Non SEZ'!I119</f>
        <v>0</v>
      </c>
      <c r="J119" s="1203">
        <f>+'F13 SEZ'!J119+'F13 Non SEZ'!J119</f>
        <v>0</v>
      </c>
      <c r="K119" s="1203">
        <f>+'F13 SEZ'!K119+'F13 Non SEZ'!K119</f>
        <v>0</v>
      </c>
      <c r="L119" s="1203">
        <f>+'F13 SEZ'!L119+'F13 Non SEZ'!L119</f>
        <v>0</v>
      </c>
      <c r="M119" s="1191">
        <f t="shared" ref="M119:M132" si="18">SUM(E119:L119)</f>
        <v>0</v>
      </c>
      <c r="N119" s="1190"/>
      <c r="O119" s="1190"/>
      <c r="P119" s="887"/>
      <c r="Q119" s="58"/>
      <c r="R119" s="58"/>
      <c r="S119" s="19"/>
    </row>
    <row r="120" spans="2:19" x14ac:dyDescent="0.35">
      <c r="B120" s="520" t="s">
        <v>1106</v>
      </c>
      <c r="C120" s="1189">
        <f>+'F13 SEZ'!C120+'F13 Non SEZ'!C120</f>
        <v>1055</v>
      </c>
      <c r="D120" s="1203">
        <f>+'F13 SEZ'!D120+'F13 Non SEZ'!D120</f>
        <v>0.34350700000000006</v>
      </c>
      <c r="E120" s="1203">
        <f>+'F13 SEZ'!E120+'F13 Non SEZ'!E120</f>
        <v>0.342257123</v>
      </c>
      <c r="F120" s="1203">
        <f>+'F13 SEZ'!F120+'F13 Non SEZ'!F120</f>
        <v>0.11816640799999999</v>
      </c>
      <c r="G120" s="1203">
        <f>+'F13 SEZ'!G120+'F13 Non SEZ'!G120</f>
        <v>4.7403966000000006E-2</v>
      </c>
      <c r="H120" s="1203">
        <f>+'F13 SEZ'!H120+'F13 Non SEZ'!H120</f>
        <v>0</v>
      </c>
      <c r="I120" s="1203">
        <f>+'F13 SEZ'!I120+'F13 Non SEZ'!I120</f>
        <v>0</v>
      </c>
      <c r="J120" s="1203">
        <f>+'F13 SEZ'!J120+'F13 Non SEZ'!J120</f>
        <v>2.6092109999999997E-3</v>
      </c>
      <c r="K120" s="1203">
        <f>+'F13 SEZ'!K120+'F13 Non SEZ'!K120</f>
        <v>0</v>
      </c>
      <c r="L120" s="1203">
        <f>+'F13 SEZ'!L120+'F13 Non SEZ'!L120</f>
        <v>0</v>
      </c>
      <c r="M120" s="1191">
        <f t="shared" si="18"/>
        <v>0.51043670799999996</v>
      </c>
      <c r="N120" s="1190"/>
      <c r="O120" s="1191">
        <f t="shared" ref="O120:O132" si="19">+M120+N120</f>
        <v>0.51043670799999996</v>
      </c>
      <c r="P120" s="887">
        <f t="shared" ref="P120:P133" si="20">+IFERROR(O120/D120*10,0)</f>
        <v>14.859572235791408</v>
      </c>
      <c r="Q120" s="58"/>
      <c r="R120" s="58"/>
      <c r="S120" s="19"/>
    </row>
    <row r="121" spans="2:19" x14ac:dyDescent="0.35">
      <c r="B121" s="520" t="s">
        <v>1107</v>
      </c>
      <c r="C121" s="1189">
        <f>+'F13 SEZ'!C121+'F13 Non SEZ'!C121</f>
        <v>203</v>
      </c>
      <c r="D121" s="1203">
        <f>+'F13 SEZ'!D121+'F13 Non SEZ'!D121</f>
        <v>0.29010199999999997</v>
      </c>
      <c r="E121" s="1203">
        <f>+'F13 SEZ'!E121+'F13 Non SEZ'!E121</f>
        <v>7.4099470000000001E-2</v>
      </c>
      <c r="F121" s="1203">
        <f>+'F13 SEZ'!F121+'F13 Non SEZ'!F121</f>
        <v>0.212934868</v>
      </c>
      <c r="G121" s="1203">
        <f>+'F13 SEZ'!G121+'F13 Non SEZ'!G121</f>
        <v>4.0034075999999995E-2</v>
      </c>
      <c r="H121" s="1203">
        <f>+'F13 SEZ'!H121+'F13 Non SEZ'!H121</f>
        <v>0</v>
      </c>
      <c r="I121" s="1203">
        <f>+'F13 SEZ'!I121+'F13 Non SEZ'!I121</f>
        <v>0</v>
      </c>
      <c r="J121" s="1203">
        <f>+'F13 SEZ'!J121+'F13 Non SEZ'!J121</f>
        <v>1.3335E-5</v>
      </c>
      <c r="K121" s="1203">
        <f>+'F13 SEZ'!K121+'F13 Non SEZ'!K121</f>
        <v>0</v>
      </c>
      <c r="L121" s="1203">
        <f>+'F13 SEZ'!L121+'F13 Non SEZ'!L121</f>
        <v>0</v>
      </c>
      <c r="M121" s="1191">
        <f t="shared" si="18"/>
        <v>0.32708174899999998</v>
      </c>
      <c r="N121" s="1194"/>
      <c r="O121" s="1195">
        <f t="shared" si="19"/>
        <v>0.32708174899999998</v>
      </c>
      <c r="P121" s="887">
        <f t="shared" si="20"/>
        <v>11.274715410441845</v>
      </c>
      <c r="Q121" s="58"/>
      <c r="R121" s="58"/>
      <c r="S121" s="19"/>
    </row>
    <row r="122" spans="2:19" x14ac:dyDescent="0.35">
      <c r="B122" s="520" t="s">
        <v>1108</v>
      </c>
      <c r="C122" s="1189">
        <f>+'F13 SEZ'!C122+'F13 Non SEZ'!C122</f>
        <v>56</v>
      </c>
      <c r="D122" s="1203">
        <f>+'F13 SEZ'!D122+'F13 Non SEZ'!D122</f>
        <v>9.0147000000000005E-2</v>
      </c>
      <c r="E122" s="1203">
        <f>+'F13 SEZ'!E122+'F13 Non SEZ'!E122</f>
        <v>1.5088599999999999E-2</v>
      </c>
      <c r="F122" s="1203">
        <f>+'F13 SEZ'!F122+'F13 Non SEZ'!F122</f>
        <v>9.3392292000000002E-2</v>
      </c>
      <c r="G122" s="1203">
        <f>+'F13 SEZ'!G122+'F13 Non SEZ'!G122</f>
        <v>1.2440286E-2</v>
      </c>
      <c r="H122" s="1203">
        <f>+'F13 SEZ'!H122+'F13 Non SEZ'!H122</f>
        <v>0</v>
      </c>
      <c r="I122" s="1203">
        <f>+'F13 SEZ'!I122+'F13 Non SEZ'!I122</f>
        <v>0</v>
      </c>
      <c r="J122" s="1203">
        <f>+'F13 SEZ'!J122+'F13 Non SEZ'!J122</f>
        <v>0</v>
      </c>
      <c r="K122" s="1203">
        <f>+'F13 SEZ'!K122+'F13 Non SEZ'!K122</f>
        <v>0</v>
      </c>
      <c r="L122" s="1203">
        <f>+'F13 SEZ'!L122+'F13 Non SEZ'!L122</f>
        <v>0</v>
      </c>
      <c r="M122" s="1191">
        <f t="shared" si="18"/>
        <v>0.12092117799999999</v>
      </c>
      <c r="N122" s="1190"/>
      <c r="O122" s="1191">
        <f t="shared" si="19"/>
        <v>0.12092117799999999</v>
      </c>
      <c r="P122" s="887">
        <f t="shared" si="20"/>
        <v>13.413777274895446</v>
      </c>
      <c r="Q122" s="58"/>
      <c r="R122" s="58"/>
      <c r="S122" s="19"/>
    </row>
    <row r="123" spans="2:19" x14ac:dyDescent="0.35">
      <c r="B123" s="520" t="s">
        <v>1109</v>
      </c>
      <c r="C123" s="1189">
        <f>+'F13 SEZ'!C123+'F13 Non SEZ'!C123</f>
        <v>45</v>
      </c>
      <c r="D123" s="1203">
        <f>+'F13 SEZ'!D123+'F13 Non SEZ'!D123</f>
        <v>0.84930899999999998</v>
      </c>
      <c r="E123" s="1203">
        <f>+'F13 SEZ'!E123+'F13 Non SEZ'!E123</f>
        <v>5.4583000000000007E-2</v>
      </c>
      <c r="F123" s="1203">
        <f>+'F13 SEZ'!F123+'F13 Non SEZ'!F123</f>
        <v>1.0038832419999999</v>
      </c>
      <c r="G123" s="1203">
        <f>+'F13 SEZ'!G123+'F13 Non SEZ'!G123</f>
        <v>0.11720464199999997</v>
      </c>
      <c r="H123" s="1203">
        <f>+'F13 SEZ'!H123+'F13 Non SEZ'!H123</f>
        <v>0</v>
      </c>
      <c r="I123" s="1203">
        <f>+'F13 SEZ'!I123+'F13 Non SEZ'!I123</f>
        <v>0</v>
      </c>
      <c r="J123" s="1203">
        <f>+'F13 SEZ'!J123+'F13 Non SEZ'!J123</f>
        <v>0</v>
      </c>
      <c r="K123" s="1203">
        <f>+'F13 SEZ'!K123+'F13 Non SEZ'!K123</f>
        <v>0</v>
      </c>
      <c r="L123" s="1203">
        <f>+'F13 SEZ'!L123+'F13 Non SEZ'!L123</f>
        <v>0</v>
      </c>
      <c r="M123" s="1191">
        <f t="shared" si="18"/>
        <v>1.1756708839999999</v>
      </c>
      <c r="N123" s="1190"/>
      <c r="O123" s="1191">
        <f t="shared" si="19"/>
        <v>1.1756708839999999</v>
      </c>
      <c r="P123" s="887">
        <f t="shared" si="20"/>
        <v>13.842675445568101</v>
      </c>
      <c r="Q123" s="58"/>
      <c r="R123" s="58"/>
      <c r="S123" s="19"/>
    </row>
    <row r="124" spans="2:19" x14ac:dyDescent="0.35">
      <c r="B124" s="520" t="s">
        <v>1110</v>
      </c>
      <c r="C124" s="1189">
        <f>+'F13 SEZ'!C124+'F13 Non SEZ'!C124</f>
        <v>0</v>
      </c>
      <c r="D124" s="1203">
        <f>+'F13 SEZ'!D124+'F13 Non SEZ'!D124</f>
        <v>0</v>
      </c>
      <c r="E124" s="1203">
        <f>+'F13 SEZ'!E124+'F13 Non SEZ'!E124</f>
        <v>0</v>
      </c>
      <c r="F124" s="1203">
        <f>+'F13 SEZ'!F124+'F13 Non SEZ'!F124</f>
        <v>0</v>
      </c>
      <c r="G124" s="1203">
        <f>+'F13 SEZ'!G124+'F13 Non SEZ'!G124</f>
        <v>0</v>
      </c>
      <c r="H124" s="1203">
        <f>+'F13 SEZ'!H124+'F13 Non SEZ'!H124</f>
        <v>0</v>
      </c>
      <c r="I124" s="1203">
        <f>+'F13 SEZ'!I124+'F13 Non SEZ'!I124</f>
        <v>0</v>
      </c>
      <c r="J124" s="1203">
        <f>+'F13 SEZ'!J124+'F13 Non SEZ'!J124</f>
        <v>0</v>
      </c>
      <c r="K124" s="1203">
        <f>+'F13 SEZ'!K124+'F13 Non SEZ'!K124</f>
        <v>0</v>
      </c>
      <c r="L124" s="1203">
        <f>+'F13 SEZ'!L124+'F13 Non SEZ'!L124</f>
        <v>0</v>
      </c>
      <c r="M124" s="1191">
        <f t="shared" si="18"/>
        <v>0</v>
      </c>
      <c r="N124" s="1190"/>
      <c r="O124" s="1191">
        <f t="shared" si="19"/>
        <v>0</v>
      </c>
      <c r="P124" s="887">
        <f t="shared" si="20"/>
        <v>0</v>
      </c>
      <c r="Q124" s="58"/>
      <c r="R124" s="58"/>
      <c r="S124" s="19"/>
    </row>
    <row r="125" spans="2:19" x14ac:dyDescent="0.35">
      <c r="B125" s="519" t="s">
        <v>1139</v>
      </c>
      <c r="C125" s="1189">
        <f>+'F13 SEZ'!C125+'F13 Non SEZ'!C125</f>
        <v>0</v>
      </c>
      <c r="D125" s="1203">
        <f>+'F13 SEZ'!D125+'F13 Non SEZ'!D125</f>
        <v>0</v>
      </c>
      <c r="E125" s="1203">
        <f>+'F13 SEZ'!E125+'F13 Non SEZ'!E125</f>
        <v>0</v>
      </c>
      <c r="F125" s="1203">
        <f>+'F13 SEZ'!F125+'F13 Non SEZ'!F125</f>
        <v>0</v>
      </c>
      <c r="G125" s="1203">
        <f>+'F13 SEZ'!G125+'F13 Non SEZ'!G125</f>
        <v>0</v>
      </c>
      <c r="H125" s="1203">
        <f>+'F13 SEZ'!H125+'F13 Non SEZ'!H125</f>
        <v>0</v>
      </c>
      <c r="I125" s="1203">
        <f>+'F13 SEZ'!I125+'F13 Non SEZ'!I125</f>
        <v>0</v>
      </c>
      <c r="J125" s="1203">
        <f>+'F13 SEZ'!J125+'F13 Non SEZ'!J125</f>
        <v>0</v>
      </c>
      <c r="K125" s="1203">
        <f>+'F13 SEZ'!K125+'F13 Non SEZ'!K125</f>
        <v>0</v>
      </c>
      <c r="L125" s="1203">
        <f>+'F13 SEZ'!L125+'F13 Non SEZ'!L125</f>
        <v>0</v>
      </c>
      <c r="M125" s="1191">
        <f t="shared" si="18"/>
        <v>0</v>
      </c>
      <c r="N125" s="1190"/>
      <c r="O125" s="1191">
        <f t="shared" si="19"/>
        <v>0</v>
      </c>
      <c r="P125" s="887">
        <f t="shared" si="20"/>
        <v>0</v>
      </c>
      <c r="Q125" s="58"/>
      <c r="R125" s="58"/>
      <c r="S125" s="19"/>
    </row>
    <row r="126" spans="2:19" x14ac:dyDescent="0.35">
      <c r="B126" s="520" t="s">
        <v>1140</v>
      </c>
      <c r="C126" s="1189">
        <f>+'F13 SEZ'!C126+'F13 Non SEZ'!C126</f>
        <v>35</v>
      </c>
      <c r="D126" s="1203">
        <f>+'F13 SEZ'!D126+'F13 Non SEZ'!D126</f>
        <v>4.0835999999999997E-2</v>
      </c>
      <c r="E126" s="1203">
        <f>+'F13 SEZ'!E126+'F13 Non SEZ'!E126</f>
        <v>1.5027147999999999E-2</v>
      </c>
      <c r="F126" s="1203">
        <f>+'F13 SEZ'!F126+'F13 Non SEZ'!F126</f>
        <v>2.9320247999999997E-2</v>
      </c>
      <c r="G126" s="1203">
        <f>+'F13 SEZ'!G126+'F13 Non SEZ'!G126</f>
        <v>5.635368E-3</v>
      </c>
      <c r="H126" s="1203">
        <f>+'F13 SEZ'!H126+'F13 Non SEZ'!H126</f>
        <v>0</v>
      </c>
      <c r="I126" s="1203">
        <f>+'F13 SEZ'!I126+'F13 Non SEZ'!I126</f>
        <v>0</v>
      </c>
      <c r="J126" s="1203">
        <f>+'F13 SEZ'!J126+'F13 Non SEZ'!J126</f>
        <v>1.1770799999999999E-4</v>
      </c>
      <c r="K126" s="1203">
        <f>+'F13 SEZ'!K126+'F13 Non SEZ'!K126</f>
        <v>0</v>
      </c>
      <c r="L126" s="1203">
        <f>+'F13 SEZ'!L126+'F13 Non SEZ'!L126</f>
        <v>0</v>
      </c>
      <c r="M126" s="1191">
        <f t="shared" si="18"/>
        <v>5.0100472E-2</v>
      </c>
      <c r="N126" s="1190"/>
      <c r="O126" s="1191">
        <f t="shared" si="19"/>
        <v>5.0100472E-2</v>
      </c>
      <c r="P126" s="887">
        <f t="shared" si="20"/>
        <v>12.268702125575473</v>
      </c>
      <c r="Q126" s="58"/>
      <c r="R126" s="58"/>
      <c r="S126" s="19"/>
    </row>
    <row r="127" spans="2:19" x14ac:dyDescent="0.35">
      <c r="B127" s="520" t="s">
        <v>1144</v>
      </c>
      <c r="C127" s="1189">
        <f>+'F13 SEZ'!C127+'F13 Non SEZ'!C127</f>
        <v>9</v>
      </c>
      <c r="D127" s="1203">
        <f>+'F13 SEZ'!D127+'F13 Non SEZ'!D127</f>
        <v>0.12834783</v>
      </c>
      <c r="E127" s="1203">
        <f>+'F13 SEZ'!E127+'F13 Non SEZ'!E127</f>
        <v>2.0562835000000002E-2</v>
      </c>
      <c r="F127" s="1203">
        <f>+'F13 SEZ'!F127+'F13 Non SEZ'!F127</f>
        <v>0.13992328562</v>
      </c>
      <c r="G127" s="1203">
        <f>+'F13 SEZ'!G127+'F13 Non SEZ'!G127</f>
        <v>1.7712000539999998E-2</v>
      </c>
      <c r="H127" s="1203">
        <f>+'F13 SEZ'!H127+'F13 Non SEZ'!H127</f>
        <v>-1.0974019999999999E-3</v>
      </c>
      <c r="I127" s="1203">
        <f>+'F13 SEZ'!I127+'F13 Non SEZ'!I127</f>
        <v>-5.2090069999999999E-3</v>
      </c>
      <c r="J127" s="1203">
        <f>+'F13 SEZ'!J127+'F13 Non SEZ'!J127</f>
        <v>0</v>
      </c>
      <c r="K127" s="1203">
        <f>+'F13 SEZ'!K127+'F13 Non SEZ'!K127</f>
        <v>0</v>
      </c>
      <c r="L127" s="1203">
        <f>+'F13 SEZ'!L127+'F13 Non SEZ'!L127</f>
        <v>0</v>
      </c>
      <c r="M127" s="1191">
        <f t="shared" si="18"/>
        <v>0.17189171216000002</v>
      </c>
      <c r="N127" s="1197"/>
      <c r="O127" s="1198">
        <f t="shared" si="19"/>
        <v>0.17189171216000002</v>
      </c>
      <c r="P127" s="887">
        <f t="shared" si="20"/>
        <v>13.392646541823108</v>
      </c>
      <c r="Q127" s="58"/>
      <c r="R127" s="58"/>
      <c r="S127" s="19"/>
    </row>
    <row r="128" spans="2:19" x14ac:dyDescent="0.35">
      <c r="B128" s="520" t="s">
        <v>1143</v>
      </c>
      <c r="C128" s="1189">
        <f>+'F13 SEZ'!C128+'F13 Non SEZ'!C128</f>
        <v>0</v>
      </c>
      <c r="D128" s="1203">
        <f>+'F13 SEZ'!D128+'F13 Non SEZ'!D128</f>
        <v>0</v>
      </c>
      <c r="E128" s="1203">
        <f>+'F13 SEZ'!E128+'F13 Non SEZ'!E128</f>
        <v>0</v>
      </c>
      <c r="F128" s="1203">
        <f>+'F13 SEZ'!F128+'F13 Non SEZ'!F128</f>
        <v>0</v>
      </c>
      <c r="G128" s="1203">
        <f>+'F13 SEZ'!G128+'F13 Non SEZ'!G128</f>
        <v>0</v>
      </c>
      <c r="H128" s="1203">
        <f>+'F13 SEZ'!H128+'F13 Non SEZ'!H128</f>
        <v>0</v>
      </c>
      <c r="I128" s="1203">
        <f>+'F13 SEZ'!I128+'F13 Non SEZ'!I128</f>
        <v>7.6859900000000002E-3</v>
      </c>
      <c r="J128" s="1203">
        <f>+'F13 SEZ'!J128+'F13 Non SEZ'!J128</f>
        <v>0</v>
      </c>
      <c r="K128" s="1203">
        <f>+'F13 SEZ'!K128+'F13 Non SEZ'!K128</f>
        <v>0</v>
      </c>
      <c r="L128" s="1203">
        <f>+'F13 SEZ'!L128+'F13 Non SEZ'!L128</f>
        <v>0</v>
      </c>
      <c r="M128" s="1191">
        <f t="shared" si="18"/>
        <v>7.6859900000000002E-3</v>
      </c>
      <c r="N128" s="1190"/>
      <c r="O128" s="1191">
        <f t="shared" si="19"/>
        <v>7.6859900000000002E-3</v>
      </c>
      <c r="P128" s="887">
        <f t="shared" si="20"/>
        <v>0</v>
      </c>
      <c r="Q128" s="58"/>
      <c r="R128" s="58"/>
      <c r="S128" s="19"/>
    </row>
    <row r="129" spans="2:19" ht="25.5" x14ac:dyDescent="0.35">
      <c r="B129" s="519" t="s">
        <v>1111</v>
      </c>
      <c r="C129" s="1189">
        <f>+'F13 SEZ'!C129+'F13 Non SEZ'!C129</f>
        <v>1</v>
      </c>
      <c r="D129" s="1203">
        <f>+'F13 SEZ'!D129+'F13 Non SEZ'!D129</f>
        <v>0.26699392</v>
      </c>
      <c r="E129" s="1203">
        <f>+'F13 SEZ'!E129+'F13 Non SEZ'!E129</f>
        <v>7.6476999999999995E-3</v>
      </c>
      <c r="F129" s="1203">
        <f>+'F13 SEZ'!F129+'F13 Non SEZ'!F129</f>
        <v>0.13670088976000003</v>
      </c>
      <c r="G129" s="1203">
        <f>+'F13 SEZ'!G129+'F13 Non SEZ'!G129</f>
        <v>3.6845160719999999E-2</v>
      </c>
      <c r="H129" s="1203">
        <f>+'F13 SEZ'!H129+'F13 Non SEZ'!H129</f>
        <v>-4.5999999999999978E-7</v>
      </c>
      <c r="I129" s="1203">
        <f>+'F13 SEZ'!I129+'F13 Non SEZ'!I129</f>
        <v>0</v>
      </c>
      <c r="J129" s="1203">
        <f>+'F13 SEZ'!J129+'F13 Non SEZ'!J129</f>
        <v>0</v>
      </c>
      <c r="K129" s="1203">
        <f>+'F13 SEZ'!K129+'F13 Non SEZ'!K129</f>
        <v>0</v>
      </c>
      <c r="L129" s="1203">
        <f>+'F13 SEZ'!L129+'F13 Non SEZ'!L129</f>
        <v>0</v>
      </c>
      <c r="M129" s="1191">
        <f t="shared" si="18"/>
        <v>0.18119329048000002</v>
      </c>
      <c r="N129" s="1190"/>
      <c r="O129" s="1191">
        <f t="shared" si="19"/>
        <v>0.18119329048000002</v>
      </c>
      <c r="P129" s="887">
        <f t="shared" si="20"/>
        <v>6.7864200982554213</v>
      </c>
      <c r="Q129" s="58"/>
      <c r="R129" s="58"/>
      <c r="S129" s="19"/>
    </row>
    <row r="130" spans="2:19" ht="25.5" x14ac:dyDescent="0.35">
      <c r="B130" s="519" t="s">
        <v>1135</v>
      </c>
      <c r="C130" s="1189">
        <f>+'F13 SEZ'!C130+'F13 Non SEZ'!C130</f>
        <v>2</v>
      </c>
      <c r="D130" s="1203">
        <f>+'F13 SEZ'!D130+'F13 Non SEZ'!D130</f>
        <v>0.13652400000000001</v>
      </c>
      <c r="E130" s="1203">
        <f>+'F13 SEZ'!E130+'F13 Non SEZ'!E130</f>
        <v>1.1232000000000004E-3</v>
      </c>
      <c r="F130" s="1203">
        <f>+'F13 SEZ'!F130+'F13 Non SEZ'!F130</f>
        <v>6.8398524000000002E-2</v>
      </c>
      <c r="G130" s="1203">
        <f>+'F13 SEZ'!G130+'F13 Non SEZ'!G130</f>
        <v>1.8840312000000001E-2</v>
      </c>
      <c r="H130" s="1203">
        <f>+'F13 SEZ'!H130+'F13 Non SEZ'!H130</f>
        <v>0</v>
      </c>
      <c r="I130" s="1203">
        <f>+'F13 SEZ'!I130+'F13 Non SEZ'!I130</f>
        <v>0</v>
      </c>
      <c r="J130" s="1203">
        <f>+'F13 SEZ'!J130+'F13 Non SEZ'!J130</f>
        <v>0</v>
      </c>
      <c r="K130" s="1203">
        <f>+'F13 SEZ'!K130+'F13 Non SEZ'!K130</f>
        <v>0</v>
      </c>
      <c r="L130" s="1203">
        <f>+'F13 SEZ'!L130+'F13 Non SEZ'!L130</f>
        <v>0</v>
      </c>
      <c r="M130" s="1191">
        <f t="shared" si="18"/>
        <v>8.8362036000000005E-2</v>
      </c>
      <c r="N130" s="1190"/>
      <c r="O130" s="1191">
        <f t="shared" si="19"/>
        <v>8.8362036000000005E-2</v>
      </c>
      <c r="P130" s="887">
        <f t="shared" si="20"/>
        <v>6.4722712490111629</v>
      </c>
      <c r="Q130" s="58"/>
      <c r="R130" s="58"/>
      <c r="S130" s="19"/>
    </row>
    <row r="131" spans="2:19" ht="25.5" x14ac:dyDescent="0.35">
      <c r="B131" s="519" t="s">
        <v>1136</v>
      </c>
      <c r="C131" s="1189">
        <f>+'F13 SEZ'!C131+'F13 Non SEZ'!C131</f>
        <v>1</v>
      </c>
      <c r="D131" s="1203">
        <f>+'F13 SEZ'!D131+'F13 Non SEZ'!D131</f>
        <v>3.8269799999999998E-3</v>
      </c>
      <c r="E131" s="1203">
        <f>+'F13 SEZ'!E131+'F13 Non SEZ'!E131</f>
        <v>1.1712199999999999E-3</v>
      </c>
      <c r="F131" s="1203">
        <f>+'F13 SEZ'!F131+'F13 Non SEZ'!F131</f>
        <v>2.7860419999999999E-3</v>
      </c>
      <c r="G131" s="1203">
        <f>+'F13 SEZ'!G131+'F13 Non SEZ'!G131</f>
        <v>5.2812324000000004E-4</v>
      </c>
      <c r="H131" s="1203">
        <f>+'F13 SEZ'!H131+'F13 Non SEZ'!H131</f>
        <v>7.6328000000000005E-5</v>
      </c>
      <c r="I131" s="1203">
        <f>+'F13 SEZ'!I131+'F13 Non SEZ'!I131</f>
        <v>-1.98302E-4</v>
      </c>
      <c r="J131" s="1203">
        <f>+'F13 SEZ'!J131+'F13 Non SEZ'!J131</f>
        <v>0</v>
      </c>
      <c r="K131" s="1203">
        <f>+'F13 SEZ'!K131+'F13 Non SEZ'!K131</f>
        <v>0</v>
      </c>
      <c r="L131" s="1203">
        <f>+'F13 SEZ'!L131+'F13 Non SEZ'!L131</f>
        <v>0</v>
      </c>
      <c r="M131" s="1191">
        <f t="shared" si="18"/>
        <v>4.3634112399999992E-3</v>
      </c>
      <c r="N131" s="1190"/>
      <c r="O131" s="1191">
        <f t="shared" si="19"/>
        <v>4.3634112399999992E-3</v>
      </c>
      <c r="P131" s="887">
        <f t="shared" si="20"/>
        <v>11.401709023825575</v>
      </c>
      <c r="Q131" s="58"/>
      <c r="R131" s="58"/>
      <c r="S131" s="19"/>
    </row>
    <row r="132" spans="2:19" x14ac:dyDescent="0.35">
      <c r="B132" s="519" t="s">
        <v>1142</v>
      </c>
      <c r="C132" s="1189">
        <f>+'F13 SEZ'!C132+'F13 Non SEZ'!C132</f>
        <v>1</v>
      </c>
      <c r="D132" s="1203">
        <f>+'F13 SEZ'!D132+'F13 Non SEZ'!D132</f>
        <v>1.8542E-4</v>
      </c>
      <c r="E132" s="1203">
        <f>+'F13 SEZ'!E132+'F13 Non SEZ'!E132</f>
        <v>1.7919999999999999E-4</v>
      </c>
      <c r="F132" s="1203">
        <f>+'F13 SEZ'!F132+'F13 Non SEZ'!F132</f>
        <v>7.6393280000000005E-5</v>
      </c>
      <c r="G132" s="1203">
        <f>+'F13 SEZ'!G132+'F13 Non SEZ'!G132</f>
        <v>2.558796E-5</v>
      </c>
      <c r="H132" s="1203">
        <f>+'F13 SEZ'!H132+'F13 Non SEZ'!H132</f>
        <v>-4.5999999999999978E-7</v>
      </c>
      <c r="I132" s="1203">
        <f>+'F13 SEZ'!I132+'F13 Non SEZ'!I132</f>
        <v>-9.8259999999999988E-6</v>
      </c>
      <c r="J132" s="1203">
        <f>+'F13 SEZ'!J132+'F13 Non SEZ'!J132</f>
        <v>0</v>
      </c>
      <c r="K132" s="1203">
        <f>+'F13 SEZ'!K132+'F13 Non SEZ'!K132</f>
        <v>0</v>
      </c>
      <c r="L132" s="1203">
        <f>+'F13 SEZ'!L132+'F13 Non SEZ'!L132</f>
        <v>0</v>
      </c>
      <c r="M132" s="1191">
        <f t="shared" si="18"/>
        <v>2.7089524000000002E-4</v>
      </c>
      <c r="N132" s="1190"/>
      <c r="O132" s="1191">
        <f t="shared" si="19"/>
        <v>2.7089524000000002E-4</v>
      </c>
      <c r="P132" s="887">
        <f t="shared" si="20"/>
        <v>14.609817711142272</v>
      </c>
      <c r="Q132" s="58"/>
      <c r="R132" s="58"/>
      <c r="S132" s="19"/>
    </row>
    <row r="133" spans="2:19" x14ac:dyDescent="0.35">
      <c r="B133" s="518" t="s">
        <v>162</v>
      </c>
      <c r="C133" s="1192">
        <f>SUM(C120:C132)</f>
        <v>1408</v>
      </c>
      <c r="D133" s="1204">
        <f>SUM(D120:D132)</f>
        <v>2.1497791500000005</v>
      </c>
      <c r="E133" s="1204">
        <f t="shared" ref="E133:L133" si="21">SUM(E120:E132)</f>
        <v>0.53173949600000014</v>
      </c>
      <c r="F133" s="1204">
        <f t="shared" si="21"/>
        <v>1.8055821926600002</v>
      </c>
      <c r="G133" s="1204">
        <f t="shared" si="21"/>
        <v>0.29666952246</v>
      </c>
      <c r="H133" s="1204">
        <f t="shared" si="21"/>
        <v>-1.021994E-3</v>
      </c>
      <c r="I133" s="1204">
        <f t="shared" si="21"/>
        <v>2.2688550000000002E-3</v>
      </c>
      <c r="J133" s="1204">
        <f t="shared" si="21"/>
        <v>2.7402539999999997E-3</v>
      </c>
      <c r="K133" s="1204">
        <f t="shared" si="21"/>
        <v>0</v>
      </c>
      <c r="L133" s="1204">
        <f t="shared" si="21"/>
        <v>0</v>
      </c>
      <c r="M133" s="1204">
        <f>SUM(M120:M132)</f>
        <v>2.6379783261199998</v>
      </c>
      <c r="N133" s="1191">
        <f>SUM(N120:N131)</f>
        <v>0</v>
      </c>
      <c r="O133" s="1191">
        <f>SUM(O120:O132)</f>
        <v>2.6379783261199998</v>
      </c>
      <c r="P133" s="887">
        <f t="shared" si="20"/>
        <v>12.270927114164259</v>
      </c>
      <c r="Q133" s="58"/>
      <c r="R133" s="58"/>
      <c r="S133" s="19"/>
    </row>
    <row r="134" spans="2:19" x14ac:dyDescent="0.35">
      <c r="B134" s="518"/>
      <c r="C134" s="58"/>
      <c r="D134" s="1203"/>
      <c r="E134" s="1203"/>
      <c r="F134" s="1203"/>
      <c r="G134" s="1203"/>
      <c r="H134" s="1203"/>
      <c r="I134" s="1203"/>
      <c r="J134" s="1203"/>
      <c r="K134" s="1203"/>
      <c r="L134" s="1203"/>
      <c r="M134" s="1190"/>
      <c r="N134" s="1190"/>
      <c r="O134" s="1190"/>
      <c r="P134" s="887"/>
      <c r="Q134" s="58"/>
      <c r="R134" s="58"/>
      <c r="S134" s="19"/>
    </row>
    <row r="135" spans="2:19" x14ac:dyDescent="0.35">
      <c r="B135" s="119" t="s">
        <v>164</v>
      </c>
      <c r="C135" s="1192">
        <f>+C133+C117</f>
        <v>1413</v>
      </c>
      <c r="D135" s="1204">
        <f>+D133+D117</f>
        <v>16.892089631899999</v>
      </c>
      <c r="E135" s="1191">
        <f t="shared" ref="E135:M135" si="22">+E133+E117</f>
        <v>2.2314983640000001</v>
      </c>
      <c r="F135" s="1191">
        <f t="shared" si="22"/>
        <v>11.50712826266</v>
      </c>
      <c r="G135" s="1191">
        <f t="shared" si="22"/>
        <v>1.1427758834599999</v>
      </c>
      <c r="H135" s="1191">
        <f t="shared" si="22"/>
        <v>-0.30111487200000003</v>
      </c>
      <c r="I135" s="1191">
        <f t="shared" si="22"/>
        <v>2.2688550000000002E-3</v>
      </c>
      <c r="J135" s="1191">
        <f t="shared" si="22"/>
        <v>9.9980309999999992E-3</v>
      </c>
      <c r="K135" s="1191">
        <f t="shared" si="22"/>
        <v>0</v>
      </c>
      <c r="L135" s="1191">
        <f t="shared" si="22"/>
        <v>0</v>
      </c>
      <c r="M135" s="1191">
        <f t="shared" si="22"/>
        <v>14.592554524120001</v>
      </c>
      <c r="N135" s="1191">
        <f>+N133+N117</f>
        <v>0</v>
      </c>
      <c r="O135" s="1191">
        <f>+O133+O117</f>
        <v>14.592554524120001</v>
      </c>
      <c r="P135" s="887">
        <f>+IFERROR(O135/D135*10,0)</f>
        <v>8.6386911519594207</v>
      </c>
      <c r="Q135" s="58"/>
      <c r="R135" s="58"/>
      <c r="S135" s="19"/>
    </row>
    <row r="136" spans="2:19" x14ac:dyDescent="0.35">
      <c r="B136" s="58"/>
      <c r="C136" s="93"/>
      <c r="D136" s="93"/>
      <c r="E136" s="672"/>
      <c r="F136" s="672"/>
      <c r="G136" s="672"/>
      <c r="H136" s="672"/>
      <c r="I136" s="672"/>
      <c r="J136" s="93"/>
      <c r="K136" s="93"/>
      <c r="L136" s="93"/>
      <c r="M136" s="93"/>
      <c r="N136" s="93"/>
      <c r="O136" s="93"/>
      <c r="P136" s="93"/>
      <c r="Q136" s="93"/>
      <c r="R136" s="93"/>
      <c r="S136" s="93"/>
    </row>
    <row r="137" spans="2:19" x14ac:dyDescent="0.35">
      <c r="C137" s="681">
        <f>+'F13 SEZ'!C135+'F13 Non SEZ'!C135-C135</f>
        <v>0</v>
      </c>
      <c r="D137" s="681">
        <f>+'F13 SEZ'!D135+'F13 Non SEZ'!D135-D135</f>
        <v>0</v>
      </c>
      <c r="E137" s="681">
        <f>+'F13 SEZ'!E135+'F13 Non SEZ'!E135-E135</f>
        <v>0</v>
      </c>
      <c r="F137" s="681">
        <f>+'F13 SEZ'!F135+'F13 Non SEZ'!F135-F135</f>
        <v>0</v>
      </c>
      <c r="G137" s="681">
        <f>+'F13 SEZ'!G135+'F13 Non SEZ'!G135-G135</f>
        <v>0</v>
      </c>
      <c r="H137" s="681">
        <f>+'F13 SEZ'!H135+'F13 Non SEZ'!H135-H135</f>
        <v>0</v>
      </c>
      <c r="I137" s="681">
        <f>+'F13 SEZ'!I135+'F13 Non SEZ'!I135-I135</f>
        <v>0</v>
      </c>
      <c r="J137" s="681">
        <f>+'F13 SEZ'!J135+'F13 Non SEZ'!J135-J135</f>
        <v>0</v>
      </c>
      <c r="K137" s="681">
        <f>+'F13 SEZ'!K135+'F13 Non SEZ'!K135-K135</f>
        <v>0</v>
      </c>
      <c r="L137" s="681">
        <f>+'F13 SEZ'!L135+'F13 Non SEZ'!L135-L135</f>
        <v>0</v>
      </c>
      <c r="M137" s="681">
        <f>+'F13 SEZ'!M135+'F13 Non SEZ'!M135-M135</f>
        <v>0</v>
      </c>
      <c r="N137" s="681"/>
      <c r="O137" s="681"/>
    </row>
    <row r="138" spans="2:19" x14ac:dyDescent="0.35">
      <c r="B138" s="40" t="s">
        <v>112</v>
      </c>
      <c r="C138" s="53"/>
      <c r="D138" s="53"/>
      <c r="E138" s="53"/>
      <c r="F138" s="53"/>
      <c r="G138" s="53"/>
      <c r="H138" s="53"/>
      <c r="I138" s="53"/>
      <c r="J138" s="53"/>
      <c r="K138" s="53"/>
      <c r="L138" s="53"/>
      <c r="M138" s="53"/>
      <c r="N138" s="53"/>
      <c r="O138" s="53"/>
    </row>
    <row r="139" spans="2:19" x14ac:dyDescent="0.35">
      <c r="B139" s="49"/>
    </row>
    <row r="140" spans="2:19" ht="40.5" x14ac:dyDescent="0.35">
      <c r="B140" s="1984" t="s">
        <v>699</v>
      </c>
      <c r="C140" s="106" t="s">
        <v>700</v>
      </c>
      <c r="D140" s="106" t="s">
        <v>701</v>
      </c>
      <c r="E140" s="106" t="s">
        <v>702</v>
      </c>
      <c r="F140" s="106" t="s">
        <v>703</v>
      </c>
      <c r="G140" s="106" t="s">
        <v>704</v>
      </c>
      <c r="H140" s="1188" t="s">
        <v>1449</v>
      </c>
      <c r="I140" s="1188" t="s">
        <v>1450</v>
      </c>
      <c r="J140" s="1188" t="s">
        <v>1451</v>
      </c>
      <c r="K140" s="106" t="s">
        <v>1448</v>
      </c>
      <c r="L140" s="106" t="s">
        <v>705</v>
      </c>
      <c r="M140" s="106" t="s">
        <v>706</v>
      </c>
      <c r="N140" s="106" t="s">
        <v>707</v>
      </c>
      <c r="O140" s="106" t="s">
        <v>708</v>
      </c>
      <c r="P140" s="106" t="s">
        <v>709</v>
      </c>
      <c r="Q140" s="106" t="s">
        <v>710</v>
      </c>
      <c r="R140" s="106" t="s">
        <v>711</v>
      </c>
      <c r="S140" s="106" t="s">
        <v>116</v>
      </c>
    </row>
    <row r="141" spans="2:19" ht="39.4" x14ac:dyDescent="0.35">
      <c r="B141" s="1984"/>
      <c r="C141" s="1188" t="s">
        <v>128</v>
      </c>
      <c r="D141" s="1188" t="s">
        <v>129</v>
      </c>
      <c r="E141" s="1188" t="s">
        <v>712</v>
      </c>
      <c r="F141" s="1188" t="s">
        <v>130</v>
      </c>
      <c r="G141" s="1188" t="s">
        <v>131</v>
      </c>
      <c r="H141" s="1188" t="s">
        <v>331</v>
      </c>
      <c r="I141" s="1188" t="s">
        <v>132</v>
      </c>
      <c r="J141" s="1188" t="s">
        <v>133</v>
      </c>
      <c r="K141" s="1188" t="s">
        <v>332</v>
      </c>
      <c r="L141" s="1188" t="s">
        <v>333</v>
      </c>
      <c r="M141" s="1188" t="s">
        <v>1452</v>
      </c>
      <c r="N141" s="1188" t="s">
        <v>529</v>
      </c>
      <c r="O141" s="1188" t="s">
        <v>1453</v>
      </c>
      <c r="P141" s="1188" t="s">
        <v>1454</v>
      </c>
      <c r="Q141" s="1188" t="s">
        <v>531</v>
      </c>
      <c r="R141" s="1188" t="s">
        <v>1455</v>
      </c>
      <c r="S141" s="1188" t="s">
        <v>533</v>
      </c>
    </row>
    <row r="142" spans="2:19" x14ac:dyDescent="0.35">
      <c r="B142" s="517" t="s">
        <v>161</v>
      </c>
      <c r="C142" s="93"/>
      <c r="D142" s="93"/>
      <c r="E142" s="93"/>
      <c r="F142" s="93"/>
      <c r="G142" s="93"/>
      <c r="H142" s="93"/>
      <c r="I142" s="93"/>
      <c r="J142" s="93"/>
      <c r="K142" s="93"/>
      <c r="L142" s="93"/>
      <c r="M142" s="93"/>
      <c r="N142" s="93"/>
      <c r="O142" s="93"/>
      <c r="P142" s="93"/>
      <c r="Q142" s="93"/>
      <c r="R142" s="93"/>
      <c r="S142" s="93"/>
    </row>
    <row r="143" spans="2:19" x14ac:dyDescent="0.35">
      <c r="B143" s="429" t="s">
        <v>1129</v>
      </c>
      <c r="C143" s="1189">
        <f>+'F13 SEZ'!C143+'F13 Non SEZ'!C143</f>
        <v>2</v>
      </c>
      <c r="D143" s="1203">
        <f>+'F13 SEZ'!D143+'F13 Non SEZ'!D143</f>
        <v>21.446819999999999</v>
      </c>
      <c r="E143" s="1203">
        <f>+'F13 SEZ'!E143+'F13 Non SEZ'!E143</f>
        <v>1.68932492</v>
      </c>
      <c r="F143" s="1203">
        <f>+'F13 SEZ'!F143+'F13 Non SEZ'!F143</f>
        <v>13.897559799999996</v>
      </c>
      <c r="G143" s="1203">
        <f>+'F13 SEZ'!G143+'F13 Non SEZ'!G143</f>
        <v>1.1961906</v>
      </c>
      <c r="H143" s="1203">
        <f>+'F13 SEZ'!H143+'F13 Non SEZ'!H143</f>
        <v>-0.44733179999999989</v>
      </c>
      <c r="I143" s="1203">
        <f>+'F13 SEZ'!I143+'F13 Non SEZ'!I143</f>
        <v>0</v>
      </c>
      <c r="J143" s="1203">
        <f>+'F13 SEZ'!J143+'F13 Non SEZ'!J143</f>
        <v>0</v>
      </c>
      <c r="K143" s="1203">
        <f>+'F13 SEZ'!K143+'F13 Non SEZ'!K143</f>
        <v>0</v>
      </c>
      <c r="L143" s="1203">
        <f>+'F13 SEZ'!L143+'F13 Non SEZ'!L143</f>
        <v>0</v>
      </c>
      <c r="M143" s="1191">
        <f>SUM(E143:L143)</f>
        <v>16.335743519999998</v>
      </c>
      <c r="N143" s="1190"/>
      <c r="O143" s="1191">
        <f>+M143+N143</f>
        <v>16.335743519999998</v>
      </c>
      <c r="P143" s="887">
        <f>+IFERROR(O143/D143*10,0)</f>
        <v>7.616860457634278</v>
      </c>
      <c r="Q143" s="58"/>
      <c r="R143" s="58"/>
      <c r="S143" s="19"/>
    </row>
    <row r="144" spans="2:19" x14ac:dyDescent="0.35">
      <c r="B144" s="429" t="s">
        <v>1130</v>
      </c>
      <c r="C144" s="1189">
        <f>+'F13 SEZ'!C144+'F13 Non SEZ'!C144</f>
        <v>3</v>
      </c>
      <c r="D144" s="1203">
        <f>+'F13 SEZ'!D144+'F13 Non SEZ'!D144</f>
        <v>0.31088268000000002</v>
      </c>
      <c r="E144" s="1203">
        <f>+'F13 SEZ'!E144+'F13 Non SEZ'!E144</f>
        <v>0.24239087300000003</v>
      </c>
      <c r="F144" s="1203">
        <f>+'F13 SEZ'!F144+'F13 Non SEZ'!F144</f>
        <v>0.35355482300000002</v>
      </c>
      <c r="G144" s="1203">
        <f>+'F13 SEZ'!G144+'F13 Non SEZ'!G144</f>
        <v>1.7758434999999999E-2</v>
      </c>
      <c r="H144" s="1203">
        <f>+'F13 SEZ'!H144+'F13 Non SEZ'!H144</f>
        <v>8.3646429999999997E-3</v>
      </c>
      <c r="I144" s="1203">
        <f>+'F13 SEZ'!I144+'F13 Non SEZ'!I144</f>
        <v>0</v>
      </c>
      <c r="J144" s="1203">
        <f>+'F13 SEZ'!J144+'F13 Non SEZ'!J144</f>
        <v>0</v>
      </c>
      <c r="K144" s="1203">
        <f>+'F13 SEZ'!K144+'F13 Non SEZ'!K144</f>
        <v>0</v>
      </c>
      <c r="L144" s="1203">
        <f>+'F13 SEZ'!L144+'F13 Non SEZ'!L144</f>
        <v>0</v>
      </c>
      <c r="M144" s="1191">
        <f>SUM(E144:L144)</f>
        <v>0.62206877399999994</v>
      </c>
      <c r="N144" s="1190"/>
      <c r="O144" s="1191">
        <f>+M144+N144</f>
        <v>0.62206877399999994</v>
      </c>
      <c r="P144" s="887">
        <f>+IFERROR(O144/D144*10,0)</f>
        <v>20.009759758890393</v>
      </c>
      <c r="Q144" s="58"/>
      <c r="R144" s="58"/>
      <c r="S144" s="19"/>
    </row>
    <row r="145" spans="2:19" x14ac:dyDescent="0.35">
      <c r="B145" s="429" t="s">
        <v>1131</v>
      </c>
      <c r="C145" s="1189">
        <f>+'F13 SEZ'!C145+'F13 Non SEZ'!C145</f>
        <v>0</v>
      </c>
      <c r="D145" s="1203">
        <f>+'F13 SEZ'!D145+'F13 Non SEZ'!D145</f>
        <v>0</v>
      </c>
      <c r="E145" s="1203">
        <f>+'F13 SEZ'!E145+'F13 Non SEZ'!E145</f>
        <v>0</v>
      </c>
      <c r="F145" s="1203">
        <f>+'F13 SEZ'!F145+'F13 Non SEZ'!F145</f>
        <v>0</v>
      </c>
      <c r="G145" s="1203">
        <f>+'F13 SEZ'!G145+'F13 Non SEZ'!G145</f>
        <v>0</v>
      </c>
      <c r="H145" s="1203">
        <f>+'F13 SEZ'!H145+'F13 Non SEZ'!H145</f>
        <v>0</v>
      </c>
      <c r="I145" s="1203">
        <f>+'F13 SEZ'!I145+'F13 Non SEZ'!I145</f>
        <v>0</v>
      </c>
      <c r="J145" s="1203">
        <f>+'F13 SEZ'!J145+'F13 Non SEZ'!J145</f>
        <v>0</v>
      </c>
      <c r="K145" s="1203">
        <f>+'F13 SEZ'!K145+'F13 Non SEZ'!K145</f>
        <v>0</v>
      </c>
      <c r="L145" s="1203">
        <f>+'F13 SEZ'!L145+'F13 Non SEZ'!L145</f>
        <v>0</v>
      </c>
      <c r="M145" s="1191">
        <f>SUM(E145:L145)</f>
        <v>0</v>
      </c>
      <c r="N145" s="1190"/>
      <c r="O145" s="1191">
        <f>+M145+N145</f>
        <v>0</v>
      </c>
      <c r="P145" s="887">
        <f>+IFERROR(O145/D145*10,0)</f>
        <v>0</v>
      </c>
      <c r="Q145" s="58"/>
      <c r="R145" s="58"/>
      <c r="S145" s="19"/>
    </row>
    <row r="146" spans="2:19" ht="25.5" x14ac:dyDescent="0.35">
      <c r="B146" s="429" t="s">
        <v>1132</v>
      </c>
      <c r="C146" s="1189">
        <f>+'F13 SEZ'!C146+'F13 Non SEZ'!C146</f>
        <v>0</v>
      </c>
      <c r="D146" s="1203">
        <f>+'F13 SEZ'!D146+'F13 Non SEZ'!D146</f>
        <v>0</v>
      </c>
      <c r="E146" s="1203">
        <f>+'F13 SEZ'!E146+'F13 Non SEZ'!E146</f>
        <v>0</v>
      </c>
      <c r="F146" s="1203">
        <f>+'F13 SEZ'!F146+'F13 Non SEZ'!F146</f>
        <v>0</v>
      </c>
      <c r="G146" s="1203">
        <f>+'F13 SEZ'!G146+'F13 Non SEZ'!G146</f>
        <v>0</v>
      </c>
      <c r="H146" s="1203">
        <f>+'F13 SEZ'!H146+'F13 Non SEZ'!H146</f>
        <v>0</v>
      </c>
      <c r="I146" s="1203">
        <f>+'F13 SEZ'!I146+'F13 Non SEZ'!I146</f>
        <v>0</v>
      </c>
      <c r="J146" s="1203">
        <f>+'F13 SEZ'!J146+'F13 Non SEZ'!J146</f>
        <v>0</v>
      </c>
      <c r="K146" s="1203">
        <f>+'F13 SEZ'!K146+'F13 Non SEZ'!K146</f>
        <v>0</v>
      </c>
      <c r="L146" s="1203">
        <f>+'F13 SEZ'!L146+'F13 Non SEZ'!L146</f>
        <v>0</v>
      </c>
      <c r="M146" s="1191">
        <f>SUM(E146:L146)</f>
        <v>0</v>
      </c>
      <c r="N146" s="1190"/>
      <c r="O146" s="1191">
        <f>+M146+N146</f>
        <v>0</v>
      </c>
      <c r="P146" s="887">
        <f>+IFERROR(O146/D146*10,0)</f>
        <v>0</v>
      </c>
      <c r="Q146" s="58"/>
      <c r="R146" s="58"/>
      <c r="S146" s="19"/>
    </row>
    <row r="147" spans="2:19" x14ac:dyDescent="0.35">
      <c r="B147" s="518" t="s">
        <v>162</v>
      </c>
      <c r="C147" s="1192">
        <f t="shared" ref="C147:O147" si="23">SUM(C143:C146)</f>
        <v>5</v>
      </c>
      <c r="D147" s="1204">
        <f t="shared" si="23"/>
        <v>21.757702679999998</v>
      </c>
      <c r="E147" s="1204">
        <f t="shared" si="23"/>
        <v>1.931715793</v>
      </c>
      <c r="F147" s="1204">
        <f t="shared" si="23"/>
        <v>14.251114622999996</v>
      </c>
      <c r="G147" s="1204">
        <f t="shared" si="23"/>
        <v>1.213949035</v>
      </c>
      <c r="H147" s="1204">
        <f t="shared" si="23"/>
        <v>-0.43896715699999989</v>
      </c>
      <c r="I147" s="1204">
        <f t="shared" si="23"/>
        <v>0</v>
      </c>
      <c r="J147" s="1204">
        <f t="shared" si="23"/>
        <v>0</v>
      </c>
      <c r="K147" s="1204">
        <f t="shared" si="23"/>
        <v>0</v>
      </c>
      <c r="L147" s="1204">
        <f t="shared" si="23"/>
        <v>0</v>
      </c>
      <c r="M147" s="1191">
        <f t="shared" si="23"/>
        <v>16.957812293999996</v>
      </c>
      <c r="N147" s="1191">
        <f t="shared" si="23"/>
        <v>0</v>
      </c>
      <c r="O147" s="1191">
        <f t="shared" si="23"/>
        <v>16.957812293999996</v>
      </c>
      <c r="P147" s="887">
        <f>+IFERROR(O147/D147*10,0)</f>
        <v>7.7939351150284208</v>
      </c>
      <c r="Q147" s="58"/>
      <c r="R147" s="58"/>
      <c r="S147" s="19"/>
    </row>
    <row r="148" spans="2:19" x14ac:dyDescent="0.35">
      <c r="B148" s="517" t="s">
        <v>163</v>
      </c>
      <c r="C148" s="1189"/>
      <c r="D148" s="1203"/>
      <c r="E148" s="1203"/>
      <c r="F148" s="1203"/>
      <c r="G148" s="1203"/>
      <c r="H148" s="1203"/>
      <c r="I148" s="1203"/>
      <c r="J148" s="1203"/>
      <c r="K148" s="1203"/>
      <c r="L148" s="1203"/>
      <c r="M148" s="1190"/>
      <c r="N148" s="1190"/>
      <c r="O148" s="1190"/>
      <c r="P148" s="887"/>
      <c r="Q148" s="58"/>
      <c r="R148" s="58"/>
      <c r="S148" s="19"/>
    </row>
    <row r="149" spans="2:19" x14ac:dyDescent="0.35">
      <c r="B149" s="519" t="s">
        <v>1133</v>
      </c>
      <c r="C149" s="1189">
        <f>+'F13 SEZ'!C149+'F13 Non SEZ'!C149</f>
        <v>0</v>
      </c>
      <c r="D149" s="1203">
        <f>+'F13 SEZ'!D149+'F13 Non SEZ'!D149</f>
        <v>0</v>
      </c>
      <c r="E149" s="1203">
        <f>+'F13 SEZ'!E149+'F13 Non SEZ'!E149</f>
        <v>0</v>
      </c>
      <c r="F149" s="1203">
        <f>+'F13 SEZ'!F149+'F13 Non SEZ'!F149</f>
        <v>0</v>
      </c>
      <c r="G149" s="1203">
        <f>+'F13 SEZ'!G149+'F13 Non SEZ'!G149</f>
        <v>0</v>
      </c>
      <c r="H149" s="1203">
        <f>+'F13 SEZ'!H149+'F13 Non SEZ'!H149</f>
        <v>0</v>
      </c>
      <c r="I149" s="1203">
        <f>+'F13 SEZ'!I149+'F13 Non SEZ'!I149</f>
        <v>0</v>
      </c>
      <c r="J149" s="1203">
        <f>+'F13 SEZ'!J149+'F13 Non SEZ'!J149</f>
        <v>0</v>
      </c>
      <c r="K149" s="1203">
        <f>+'F13 SEZ'!K149+'F13 Non SEZ'!K149</f>
        <v>0</v>
      </c>
      <c r="L149" s="1203">
        <f>+'F13 SEZ'!L149+'F13 Non SEZ'!L149</f>
        <v>0</v>
      </c>
      <c r="M149" s="1190"/>
      <c r="N149" s="1190"/>
      <c r="O149" s="1190"/>
      <c r="P149" s="887"/>
      <c r="Q149" s="58"/>
      <c r="R149" s="58"/>
      <c r="S149" s="19"/>
    </row>
    <row r="150" spans="2:19" x14ac:dyDescent="0.35">
      <c r="B150" s="520" t="s">
        <v>1106</v>
      </c>
      <c r="C150" s="1189">
        <f>+'F13 SEZ'!C150+'F13 Non SEZ'!C150</f>
        <v>1448</v>
      </c>
      <c r="D150" s="1203">
        <f>+'F13 SEZ'!D150+'F13 Non SEZ'!D150</f>
        <v>0.60887500000000006</v>
      </c>
      <c r="E150" s="1203">
        <f>+'F13 SEZ'!E150+'F13 Non SEZ'!E150</f>
        <v>0.51065935499999993</v>
      </c>
      <c r="F150" s="1203">
        <f>+'F13 SEZ'!F150+'F13 Non SEZ'!F150</f>
        <v>0.20458200000000001</v>
      </c>
      <c r="G150" s="1203">
        <f>+'F13 SEZ'!G150+'F13 Non SEZ'!G150</f>
        <v>8.2198124999999997E-2</v>
      </c>
      <c r="H150" s="1203">
        <f>+'F13 SEZ'!H150+'F13 Non SEZ'!H150</f>
        <v>0</v>
      </c>
      <c r="I150" s="1203">
        <f>+'F13 SEZ'!I150+'F13 Non SEZ'!I150</f>
        <v>0</v>
      </c>
      <c r="J150" s="1203">
        <f>+'F13 SEZ'!J150+'F13 Non SEZ'!J150</f>
        <v>4.031583E-3</v>
      </c>
      <c r="K150" s="1203">
        <f>+'F13 SEZ'!K150+'F13 Non SEZ'!K150</f>
        <v>0</v>
      </c>
      <c r="L150" s="1203">
        <f>+'F13 SEZ'!L150+'F13 Non SEZ'!L150</f>
        <v>0</v>
      </c>
      <c r="M150" s="1191">
        <f t="shared" ref="M150:M162" si="24">SUM(E150:L150)</f>
        <v>0.80147106299999993</v>
      </c>
      <c r="N150" s="1190"/>
      <c r="O150" s="1191">
        <f t="shared" ref="O150:O162" si="25">+M150+N150</f>
        <v>0.80147106299999993</v>
      </c>
      <c r="P150" s="887">
        <f t="shared" ref="P150:P163" si="26">+IFERROR(O150/D150*10,0)</f>
        <v>13.163146179429273</v>
      </c>
      <c r="Q150" s="58"/>
      <c r="R150" s="58"/>
      <c r="S150" s="19"/>
    </row>
    <row r="151" spans="2:19" x14ac:dyDescent="0.35">
      <c r="B151" s="520" t="s">
        <v>1107</v>
      </c>
      <c r="C151" s="1189">
        <f>+'F13 SEZ'!C151+'F13 Non SEZ'!C151</f>
        <v>288</v>
      </c>
      <c r="D151" s="1203">
        <f>+'F13 SEZ'!D151+'F13 Non SEZ'!D151</f>
        <v>0.58151600000000014</v>
      </c>
      <c r="E151" s="1203">
        <f>+'F13 SEZ'!E151+'F13 Non SEZ'!E151</f>
        <v>0.12694033299999999</v>
      </c>
      <c r="F151" s="1203">
        <f>+'F13 SEZ'!F151+'F13 Non SEZ'!F151</f>
        <v>0.4268327440000001</v>
      </c>
      <c r="G151" s="1203">
        <f>+'F13 SEZ'!G151+'F13 Non SEZ'!G151</f>
        <v>7.8504660000000004E-2</v>
      </c>
      <c r="H151" s="1203">
        <f>+'F13 SEZ'!H151+'F13 Non SEZ'!H151</f>
        <v>0</v>
      </c>
      <c r="I151" s="1203">
        <f>+'F13 SEZ'!I151+'F13 Non SEZ'!I151</f>
        <v>0</v>
      </c>
      <c r="J151" s="1203">
        <f>+'F13 SEZ'!J151+'F13 Non SEZ'!J151</f>
        <v>5.1518999999999999E-5</v>
      </c>
      <c r="K151" s="1203">
        <f>+'F13 SEZ'!K151+'F13 Non SEZ'!K151</f>
        <v>0</v>
      </c>
      <c r="L151" s="1203">
        <f>+'F13 SEZ'!L151+'F13 Non SEZ'!L151</f>
        <v>0</v>
      </c>
      <c r="M151" s="1191">
        <f t="shared" si="24"/>
        <v>0.63232925600000012</v>
      </c>
      <c r="N151" s="1194"/>
      <c r="O151" s="1195">
        <f t="shared" si="25"/>
        <v>0.63232925600000012</v>
      </c>
      <c r="P151" s="887">
        <f t="shared" si="26"/>
        <v>10.873806670839667</v>
      </c>
      <c r="Q151" s="58"/>
      <c r="R151" s="58"/>
      <c r="S151" s="19"/>
    </row>
    <row r="152" spans="2:19" x14ac:dyDescent="0.35">
      <c r="B152" s="520" t="s">
        <v>1108</v>
      </c>
      <c r="C152" s="1189">
        <f>+'F13 SEZ'!C152+'F13 Non SEZ'!C152</f>
        <v>106</v>
      </c>
      <c r="D152" s="1203">
        <f>+'F13 SEZ'!D152+'F13 Non SEZ'!D152</f>
        <v>0.19316800000000001</v>
      </c>
      <c r="E152" s="1203">
        <f>+'F13 SEZ'!E152+'F13 Non SEZ'!E152</f>
        <v>3.4286833000000003E-2</v>
      </c>
      <c r="F152" s="1203">
        <f>+'F13 SEZ'!F152+'F13 Non SEZ'!F152</f>
        <v>0.20031521600000002</v>
      </c>
      <c r="G152" s="1203">
        <f>+'F13 SEZ'!G152+'F13 Non SEZ'!G152</f>
        <v>2.6077680000000002E-2</v>
      </c>
      <c r="H152" s="1203">
        <f>+'F13 SEZ'!H152+'F13 Non SEZ'!H152</f>
        <v>0</v>
      </c>
      <c r="I152" s="1203">
        <f>+'F13 SEZ'!I152+'F13 Non SEZ'!I152</f>
        <v>0</v>
      </c>
      <c r="J152" s="1203">
        <f>+'F13 SEZ'!J152+'F13 Non SEZ'!J152</f>
        <v>1.7871999999999998E-5</v>
      </c>
      <c r="K152" s="1203">
        <f>+'F13 SEZ'!K152+'F13 Non SEZ'!K152</f>
        <v>0</v>
      </c>
      <c r="L152" s="1203">
        <f>+'F13 SEZ'!L152+'F13 Non SEZ'!L152</f>
        <v>0</v>
      </c>
      <c r="M152" s="1191">
        <f t="shared" si="24"/>
        <v>0.260697601</v>
      </c>
      <c r="N152" s="1190"/>
      <c r="O152" s="1191">
        <f t="shared" si="25"/>
        <v>0.260697601</v>
      </c>
      <c r="P152" s="887">
        <f t="shared" si="26"/>
        <v>13.495899993787789</v>
      </c>
      <c r="Q152" s="58"/>
      <c r="R152" s="58"/>
      <c r="S152" s="19"/>
    </row>
    <row r="153" spans="2:19" x14ac:dyDescent="0.35">
      <c r="B153" s="520" t="s">
        <v>1109</v>
      </c>
      <c r="C153" s="1189">
        <f>+'F13 SEZ'!C153+'F13 Non SEZ'!C153</f>
        <v>63</v>
      </c>
      <c r="D153" s="1203">
        <f>+'F13 SEZ'!D153+'F13 Non SEZ'!D153</f>
        <v>1.5647049999999998</v>
      </c>
      <c r="E153" s="1203">
        <f>+'F13 SEZ'!E153+'F13 Non SEZ'!E153</f>
        <v>9.2678999999999997E-2</v>
      </c>
      <c r="F153" s="1203">
        <f>+'F13 SEZ'!F153+'F13 Non SEZ'!F153</f>
        <v>1.85574013</v>
      </c>
      <c r="G153" s="1203">
        <f>+'F13 SEZ'!G153+'F13 Non SEZ'!G153</f>
        <v>0.211235175</v>
      </c>
      <c r="H153" s="1203">
        <f>+'F13 SEZ'!H153+'F13 Non SEZ'!H153</f>
        <v>0</v>
      </c>
      <c r="I153" s="1203">
        <f>+'F13 SEZ'!I153+'F13 Non SEZ'!I153</f>
        <v>0</v>
      </c>
      <c r="J153" s="1203">
        <f>+'F13 SEZ'!J153+'F13 Non SEZ'!J153</f>
        <v>2.3180000000000001E-6</v>
      </c>
      <c r="K153" s="1203">
        <f>+'F13 SEZ'!K153+'F13 Non SEZ'!K153</f>
        <v>0</v>
      </c>
      <c r="L153" s="1203">
        <f>+'F13 SEZ'!L153+'F13 Non SEZ'!L153</f>
        <v>0</v>
      </c>
      <c r="M153" s="1191">
        <f t="shared" si="24"/>
        <v>2.1596566230000001</v>
      </c>
      <c r="N153" s="1190"/>
      <c r="O153" s="1191">
        <f t="shared" si="25"/>
        <v>2.1596566230000001</v>
      </c>
      <c r="P153" s="887">
        <f t="shared" si="26"/>
        <v>13.802324546799557</v>
      </c>
      <c r="Q153" s="58"/>
      <c r="R153" s="58"/>
      <c r="S153" s="19"/>
    </row>
    <row r="154" spans="2:19" x14ac:dyDescent="0.35">
      <c r="B154" s="520" t="s">
        <v>1110</v>
      </c>
      <c r="C154" s="1189">
        <f>+'F13 SEZ'!C154+'F13 Non SEZ'!C154</f>
        <v>0</v>
      </c>
      <c r="D154" s="1203">
        <f>+'F13 SEZ'!D154+'F13 Non SEZ'!D154</f>
        <v>0</v>
      </c>
      <c r="E154" s="1203">
        <f>+'F13 SEZ'!E154+'F13 Non SEZ'!E154</f>
        <v>0</v>
      </c>
      <c r="F154" s="1203">
        <f>+'F13 SEZ'!F154+'F13 Non SEZ'!F154</f>
        <v>0</v>
      </c>
      <c r="G154" s="1203">
        <f>+'F13 SEZ'!G154+'F13 Non SEZ'!G154</f>
        <v>0</v>
      </c>
      <c r="H154" s="1203">
        <f>+'F13 SEZ'!H154+'F13 Non SEZ'!H154</f>
        <v>0</v>
      </c>
      <c r="I154" s="1203">
        <f>+'F13 SEZ'!I154+'F13 Non SEZ'!I154</f>
        <v>0</v>
      </c>
      <c r="J154" s="1203">
        <f>+'F13 SEZ'!J154+'F13 Non SEZ'!J154</f>
        <v>0</v>
      </c>
      <c r="K154" s="1203">
        <f>+'F13 SEZ'!K154+'F13 Non SEZ'!K154</f>
        <v>0</v>
      </c>
      <c r="L154" s="1203">
        <f>+'F13 SEZ'!L154+'F13 Non SEZ'!L154</f>
        <v>0</v>
      </c>
      <c r="M154" s="1191">
        <f t="shared" si="24"/>
        <v>0</v>
      </c>
      <c r="N154" s="1190"/>
      <c r="O154" s="1191">
        <f t="shared" si="25"/>
        <v>0</v>
      </c>
      <c r="P154" s="887">
        <f t="shared" si="26"/>
        <v>0</v>
      </c>
      <c r="Q154" s="58"/>
      <c r="R154" s="58"/>
      <c r="S154" s="19"/>
    </row>
    <row r="155" spans="2:19" x14ac:dyDescent="0.35">
      <c r="B155" s="519" t="s">
        <v>1139</v>
      </c>
      <c r="C155" s="1189">
        <f>+'F13 SEZ'!C155+'F13 Non SEZ'!C155</f>
        <v>0</v>
      </c>
      <c r="D155" s="1203">
        <f>+'F13 SEZ'!D155+'F13 Non SEZ'!D155</f>
        <v>0</v>
      </c>
      <c r="E155" s="1203">
        <f>+'F13 SEZ'!E155+'F13 Non SEZ'!E155</f>
        <v>0</v>
      </c>
      <c r="F155" s="1203">
        <f>+'F13 SEZ'!F155+'F13 Non SEZ'!F155</f>
        <v>0</v>
      </c>
      <c r="G155" s="1203">
        <f>+'F13 SEZ'!G155+'F13 Non SEZ'!G155</f>
        <v>0</v>
      </c>
      <c r="H155" s="1203">
        <f>+'F13 SEZ'!H155+'F13 Non SEZ'!H155</f>
        <v>0</v>
      </c>
      <c r="I155" s="1203">
        <f>+'F13 SEZ'!I155+'F13 Non SEZ'!I155</f>
        <v>0</v>
      </c>
      <c r="J155" s="1203">
        <f>+'F13 SEZ'!J155+'F13 Non SEZ'!J155</f>
        <v>0</v>
      </c>
      <c r="K155" s="1203">
        <f>+'F13 SEZ'!K155+'F13 Non SEZ'!K155</f>
        <v>0</v>
      </c>
      <c r="L155" s="1203">
        <f>+'F13 SEZ'!L155+'F13 Non SEZ'!L155</f>
        <v>0</v>
      </c>
      <c r="M155" s="1191">
        <f t="shared" si="24"/>
        <v>0</v>
      </c>
      <c r="N155" s="1190"/>
      <c r="O155" s="1191">
        <f t="shared" si="25"/>
        <v>0</v>
      </c>
      <c r="P155" s="887">
        <f t="shared" si="26"/>
        <v>0</v>
      </c>
      <c r="Q155" s="58"/>
      <c r="R155" s="58"/>
      <c r="S155" s="19"/>
    </row>
    <row r="156" spans="2:19" x14ac:dyDescent="0.35">
      <c r="B156" s="520" t="s">
        <v>1140</v>
      </c>
      <c r="C156" s="1189">
        <f>+'F13 SEZ'!C156+'F13 Non SEZ'!C156</f>
        <v>36</v>
      </c>
      <c r="D156" s="1203">
        <f>+'F13 SEZ'!D156+'F13 Non SEZ'!D156</f>
        <v>7.4553000000000008E-2</v>
      </c>
      <c r="E156" s="1203">
        <f>+'F13 SEZ'!E156+'F13 Non SEZ'!E156</f>
        <v>1.8339650000000002E-2</v>
      </c>
      <c r="F156" s="1203">
        <f>+'F13 SEZ'!F156+'F13 Non SEZ'!F156</f>
        <v>5.2811984999999999E-2</v>
      </c>
      <c r="G156" s="1203">
        <f>+'F13 SEZ'!G156+'F13 Non SEZ'!G156</f>
        <v>1.0064655E-2</v>
      </c>
      <c r="H156" s="1203">
        <f>+'F13 SEZ'!H156+'F13 Non SEZ'!H156</f>
        <v>0</v>
      </c>
      <c r="I156" s="1203">
        <f>+'F13 SEZ'!I156+'F13 Non SEZ'!I156</f>
        <v>0</v>
      </c>
      <c r="J156" s="1203">
        <f>+'F13 SEZ'!J156+'F13 Non SEZ'!J156</f>
        <v>3.4378999999999991E-5</v>
      </c>
      <c r="K156" s="1203">
        <f>+'F13 SEZ'!K156+'F13 Non SEZ'!K156</f>
        <v>0</v>
      </c>
      <c r="L156" s="1203">
        <f>+'F13 SEZ'!L156+'F13 Non SEZ'!L156</f>
        <v>0</v>
      </c>
      <c r="M156" s="1191">
        <f t="shared" si="24"/>
        <v>8.1250669000000011E-2</v>
      </c>
      <c r="N156" s="1190"/>
      <c r="O156" s="1191">
        <f t="shared" si="25"/>
        <v>8.1250669000000011E-2</v>
      </c>
      <c r="P156" s="887">
        <f t="shared" si="26"/>
        <v>10.89837685941545</v>
      </c>
      <c r="Q156" s="58"/>
      <c r="R156" s="58"/>
      <c r="S156" s="19"/>
    </row>
    <row r="157" spans="2:19" x14ac:dyDescent="0.35">
      <c r="B157" s="520" t="s">
        <v>1144</v>
      </c>
      <c r="C157" s="1189">
        <f>+'F13 SEZ'!C157+'F13 Non SEZ'!C157</f>
        <v>7</v>
      </c>
      <c r="D157" s="1203">
        <f>+'F13 SEZ'!D157+'F13 Non SEZ'!D157</f>
        <v>0.30945506229999997</v>
      </c>
      <c r="E157" s="1203">
        <f>+'F13 SEZ'!E157+'F13 Non SEZ'!E157</f>
        <v>8.6735228999999969E-2</v>
      </c>
      <c r="F157" s="1203">
        <f>+'F13 SEZ'!F157+'F13 Non SEZ'!F157</f>
        <v>0.33390201222170002</v>
      </c>
      <c r="G157" s="1203">
        <f>+'F13 SEZ'!G157+'F13 Non SEZ'!G157</f>
        <v>4.1776433410500004E-2</v>
      </c>
      <c r="H157" s="1203">
        <f>+'F13 SEZ'!H157+'F13 Non SEZ'!H157</f>
        <v>-3.9324707999999998E-3</v>
      </c>
      <c r="I157" s="1203">
        <f>+'F13 SEZ'!I157+'F13 Non SEZ'!I157</f>
        <v>-1.0763587999999999E-2</v>
      </c>
      <c r="J157" s="1203">
        <f>+'F13 SEZ'!J157+'F13 Non SEZ'!J157</f>
        <v>0</v>
      </c>
      <c r="K157" s="1203">
        <f>+'F13 SEZ'!K157+'F13 Non SEZ'!K157</f>
        <v>0</v>
      </c>
      <c r="L157" s="1203">
        <f>+'F13 SEZ'!L157+'F13 Non SEZ'!L157</f>
        <v>0</v>
      </c>
      <c r="M157" s="1191">
        <f t="shared" si="24"/>
        <v>0.44771761583220004</v>
      </c>
      <c r="N157" s="1197"/>
      <c r="O157" s="1198">
        <f t="shared" si="25"/>
        <v>0.44771761583220004</v>
      </c>
      <c r="P157" s="887">
        <f t="shared" si="26"/>
        <v>14.467936394530911</v>
      </c>
      <c r="Q157" s="58"/>
      <c r="R157" s="58"/>
      <c r="S157" s="19"/>
    </row>
    <row r="158" spans="2:19" x14ac:dyDescent="0.35">
      <c r="B158" s="520" t="s">
        <v>1143</v>
      </c>
      <c r="C158" s="1189">
        <f>+'F13 SEZ'!C158+'F13 Non SEZ'!C158</f>
        <v>1</v>
      </c>
      <c r="D158" s="1203">
        <f>+'F13 SEZ'!D158+'F13 Non SEZ'!D158</f>
        <v>6.9497249999999997E-2</v>
      </c>
      <c r="E158" s="1203">
        <f>+'F13 SEZ'!E158+'F13 Non SEZ'!E158</f>
        <v>1.5108113999999997E-2</v>
      </c>
      <c r="F158" s="1203">
        <f>+'F13 SEZ'!F158+'F13 Non SEZ'!F158</f>
        <v>8.8678490999999984E-2</v>
      </c>
      <c r="G158" s="1203">
        <f>+'F13 SEZ'!G158+'F13 Non SEZ'!G158</f>
        <v>9.3821287499999996E-3</v>
      </c>
      <c r="H158" s="1203">
        <f>+'F13 SEZ'!H158+'F13 Non SEZ'!H158</f>
        <v>5.4881500000000002E-4</v>
      </c>
      <c r="I158" s="1203">
        <f>+'F13 SEZ'!I158+'F13 Non SEZ'!I158</f>
        <v>-3.357521E-3</v>
      </c>
      <c r="J158" s="1203">
        <f>+'F13 SEZ'!J158+'F13 Non SEZ'!J158</f>
        <v>0</v>
      </c>
      <c r="K158" s="1203">
        <f>+'F13 SEZ'!K158+'F13 Non SEZ'!K158</f>
        <v>0</v>
      </c>
      <c r="L158" s="1203">
        <f>+'F13 SEZ'!L158+'F13 Non SEZ'!L158</f>
        <v>0</v>
      </c>
      <c r="M158" s="1191">
        <f t="shared" si="24"/>
        <v>0.11036002774999996</v>
      </c>
      <c r="N158" s="1190"/>
      <c r="O158" s="1191">
        <f t="shared" si="25"/>
        <v>0.11036002774999996</v>
      </c>
      <c r="P158" s="887">
        <f t="shared" si="26"/>
        <v>15.879769019637465</v>
      </c>
      <c r="Q158" s="58"/>
      <c r="R158" s="58"/>
      <c r="S158" s="19"/>
    </row>
    <row r="159" spans="2:19" ht="25.5" x14ac:dyDescent="0.35">
      <c r="B159" s="519" t="s">
        <v>1111</v>
      </c>
      <c r="C159" s="1189">
        <f>+'F13 SEZ'!C159+'F13 Non SEZ'!C159</f>
        <v>2</v>
      </c>
      <c r="D159" s="1203">
        <f>+'F13 SEZ'!D159+'F13 Non SEZ'!D159</f>
        <v>0.34130574200000002</v>
      </c>
      <c r="E159" s="1203">
        <f>+'F13 SEZ'!E159+'F13 Non SEZ'!E159</f>
        <v>1.5557709999999997E-2</v>
      </c>
      <c r="F159" s="1203">
        <f>+'F13 SEZ'!F159+'F13 Non SEZ'!F159</f>
        <v>0.17372462267799998</v>
      </c>
      <c r="G159" s="1203">
        <f>+'F13 SEZ'!G159+'F13 Non SEZ'!G159</f>
        <v>4.607627517E-2</v>
      </c>
      <c r="H159" s="1203">
        <f>+'F13 SEZ'!H159+'F13 Non SEZ'!H159</f>
        <v>-1.2145730000000003E-3</v>
      </c>
      <c r="I159" s="1203">
        <f>+'F13 SEZ'!I159+'F13 Non SEZ'!I159</f>
        <v>4.4627959999999998E-3</v>
      </c>
      <c r="J159" s="1203">
        <f>+'F13 SEZ'!J159+'F13 Non SEZ'!J159</f>
        <v>0</v>
      </c>
      <c r="K159" s="1203">
        <f>+'F13 SEZ'!K159+'F13 Non SEZ'!K159</f>
        <v>0</v>
      </c>
      <c r="L159" s="1203">
        <f>+'F13 SEZ'!L159+'F13 Non SEZ'!L159</f>
        <v>0</v>
      </c>
      <c r="M159" s="1191">
        <f t="shared" si="24"/>
        <v>0.238606830848</v>
      </c>
      <c r="N159" s="1190"/>
      <c r="O159" s="1191">
        <f t="shared" si="25"/>
        <v>0.238606830848</v>
      </c>
      <c r="P159" s="887">
        <f t="shared" si="26"/>
        <v>6.990999607853067</v>
      </c>
      <c r="Q159" s="58"/>
      <c r="R159" s="58"/>
      <c r="S159" s="19"/>
    </row>
    <row r="160" spans="2:19" ht="25.5" x14ac:dyDescent="0.35">
      <c r="B160" s="519" t="s">
        <v>1135</v>
      </c>
      <c r="C160" s="1189">
        <f>+'F13 SEZ'!C160+'F13 Non SEZ'!C160</f>
        <v>2</v>
      </c>
      <c r="D160" s="1203">
        <f>+'F13 SEZ'!D160+'F13 Non SEZ'!D160</f>
        <v>0.13664599999999999</v>
      </c>
      <c r="E160" s="1203">
        <f>+'F13 SEZ'!E160+'F13 Non SEZ'!E160</f>
        <v>1.1567999999999997E-3</v>
      </c>
      <c r="F160" s="1203">
        <f>+'F13 SEZ'!F160+'F13 Non SEZ'!F160</f>
        <v>6.9826105999999999E-2</v>
      </c>
      <c r="G160" s="1203">
        <f>+'F13 SEZ'!G160+'F13 Non SEZ'!G160</f>
        <v>1.8447210000000002E-2</v>
      </c>
      <c r="H160" s="1203">
        <f>+'F13 SEZ'!H160+'F13 Non SEZ'!H160</f>
        <v>0</v>
      </c>
      <c r="I160" s="1203">
        <f>+'F13 SEZ'!I160+'F13 Non SEZ'!I160</f>
        <v>0</v>
      </c>
      <c r="J160" s="1203">
        <f>+'F13 SEZ'!J160+'F13 Non SEZ'!J160</f>
        <v>0</v>
      </c>
      <c r="K160" s="1203">
        <f>+'F13 SEZ'!K160+'F13 Non SEZ'!K160</f>
        <v>0</v>
      </c>
      <c r="L160" s="1203">
        <f>+'F13 SEZ'!L160+'F13 Non SEZ'!L160</f>
        <v>0</v>
      </c>
      <c r="M160" s="1191">
        <f t="shared" si="24"/>
        <v>8.9430116000000004E-2</v>
      </c>
      <c r="N160" s="1190"/>
      <c r="O160" s="1191">
        <f t="shared" si="25"/>
        <v>8.9430116000000004E-2</v>
      </c>
      <c r="P160" s="887">
        <f t="shared" si="26"/>
        <v>6.5446567041845363</v>
      </c>
      <c r="Q160" s="58"/>
      <c r="R160" s="58"/>
      <c r="S160" s="19"/>
    </row>
    <row r="161" spans="2:19" ht="25.5" x14ac:dyDescent="0.35">
      <c r="B161" s="519" t="s">
        <v>1136</v>
      </c>
      <c r="C161" s="1189">
        <f>+'F13 SEZ'!C161+'F13 Non SEZ'!C161</f>
        <v>0</v>
      </c>
      <c r="D161" s="1203">
        <f>+'F13 SEZ'!D161+'F13 Non SEZ'!D161</f>
        <v>0</v>
      </c>
      <c r="E161" s="1203">
        <f>+'F13 SEZ'!E161+'F13 Non SEZ'!E161</f>
        <v>0</v>
      </c>
      <c r="F161" s="1203">
        <f>+'F13 SEZ'!F161+'F13 Non SEZ'!F161</f>
        <v>0</v>
      </c>
      <c r="G161" s="1203">
        <f>+'F13 SEZ'!G161+'F13 Non SEZ'!G161</f>
        <v>0</v>
      </c>
      <c r="H161" s="1203">
        <f>+'F13 SEZ'!H161+'F13 Non SEZ'!H161</f>
        <v>0</v>
      </c>
      <c r="I161" s="1203">
        <f>+'F13 SEZ'!I161+'F13 Non SEZ'!I161</f>
        <v>1.8075719999999997E-3</v>
      </c>
      <c r="J161" s="1203">
        <f>+'F13 SEZ'!J161+'F13 Non SEZ'!J161</f>
        <v>0</v>
      </c>
      <c r="K161" s="1203">
        <f>+'F13 SEZ'!K161+'F13 Non SEZ'!K161</f>
        <v>0</v>
      </c>
      <c r="L161" s="1203">
        <f>+'F13 SEZ'!L161+'F13 Non SEZ'!L161</f>
        <v>0</v>
      </c>
      <c r="M161" s="1191">
        <f t="shared" si="24"/>
        <v>1.8075719999999997E-3</v>
      </c>
      <c r="N161" s="1190"/>
      <c r="O161" s="1191">
        <f t="shared" si="25"/>
        <v>1.8075719999999997E-3</v>
      </c>
      <c r="P161" s="887">
        <f t="shared" si="26"/>
        <v>0</v>
      </c>
      <c r="Q161" s="58"/>
      <c r="R161" s="58"/>
      <c r="S161" s="19"/>
    </row>
    <row r="162" spans="2:19" x14ac:dyDescent="0.35">
      <c r="B162" s="519" t="s">
        <v>1142</v>
      </c>
      <c r="C162" s="1189">
        <f>+'F13 SEZ'!C162+'F13 Non SEZ'!C162</f>
        <v>1</v>
      </c>
      <c r="D162" s="1203">
        <f>+'F13 SEZ'!D162+'F13 Non SEZ'!D162</f>
        <v>1.778895E-3</v>
      </c>
      <c r="E162" s="1203">
        <f>+'F13 SEZ'!E162+'F13 Non SEZ'!E162</f>
        <v>2.7518399999999998E-3</v>
      </c>
      <c r="F162" s="1203">
        <f>+'F13 SEZ'!F162+'F13 Non SEZ'!F162</f>
        <v>7.3824142500000009E-4</v>
      </c>
      <c r="G162" s="1203">
        <f>+'F13 SEZ'!G162+'F13 Non SEZ'!G162</f>
        <v>2.4015082499999999E-4</v>
      </c>
      <c r="H162" s="1203">
        <f>+'F13 SEZ'!H162+'F13 Non SEZ'!H162</f>
        <v>-2.9665599999999996E-4</v>
      </c>
      <c r="I162" s="1203">
        <f>+'F13 SEZ'!I162+'F13 Non SEZ'!I162</f>
        <v>0</v>
      </c>
      <c r="J162" s="1203">
        <f>+'F13 SEZ'!J162+'F13 Non SEZ'!J162</f>
        <v>0</v>
      </c>
      <c r="K162" s="1203">
        <f>+'F13 SEZ'!K162+'F13 Non SEZ'!K162</f>
        <v>0</v>
      </c>
      <c r="L162" s="1203">
        <f>+'F13 SEZ'!L162+'F13 Non SEZ'!L162</f>
        <v>0</v>
      </c>
      <c r="M162" s="1191">
        <f t="shared" si="24"/>
        <v>3.4335762499999997E-3</v>
      </c>
      <c r="N162" s="1190"/>
      <c r="O162" s="1191">
        <f t="shared" si="25"/>
        <v>3.4335762499999997E-3</v>
      </c>
      <c r="P162" s="887">
        <f t="shared" si="26"/>
        <v>19.301736471236357</v>
      </c>
      <c r="Q162" s="58"/>
      <c r="R162" s="58"/>
      <c r="S162" s="19"/>
    </row>
    <row r="163" spans="2:19" x14ac:dyDescent="0.35">
      <c r="B163" s="518" t="s">
        <v>162</v>
      </c>
      <c r="C163" s="1192">
        <f>SUM(C150:C162)</f>
        <v>1954</v>
      </c>
      <c r="D163" s="1204">
        <f>SUM(D150:D162)</f>
        <v>3.8814999492999998</v>
      </c>
      <c r="E163" s="1191">
        <f t="shared" ref="E163:N163" si="27">SUM(E150:E162)</f>
        <v>0.90421486399999973</v>
      </c>
      <c r="F163" s="1191">
        <f t="shared" si="27"/>
        <v>3.4071515483246997</v>
      </c>
      <c r="G163" s="1191">
        <f t="shared" si="27"/>
        <v>0.52400249315549996</v>
      </c>
      <c r="H163" s="1191">
        <f t="shared" si="27"/>
        <v>-4.8948847999999998E-3</v>
      </c>
      <c r="I163" s="1191">
        <f t="shared" si="27"/>
        <v>-7.8507409999999996E-3</v>
      </c>
      <c r="J163" s="1191">
        <f t="shared" si="27"/>
        <v>4.1376710000000008E-3</v>
      </c>
      <c r="K163" s="1191">
        <f t="shared" si="27"/>
        <v>0</v>
      </c>
      <c r="L163" s="1191">
        <f t="shared" si="27"/>
        <v>0</v>
      </c>
      <c r="M163" s="1191">
        <f t="shared" si="27"/>
        <v>4.8267609506801996</v>
      </c>
      <c r="N163" s="1191">
        <f t="shared" si="27"/>
        <v>0</v>
      </c>
      <c r="O163" s="1191">
        <f>SUM(O150:O162)</f>
        <v>4.8267609506801996</v>
      </c>
      <c r="P163" s="887">
        <f t="shared" si="26"/>
        <v>12.435298244820718</v>
      </c>
      <c r="Q163" s="58"/>
      <c r="R163" s="58"/>
      <c r="S163" s="19"/>
    </row>
    <row r="164" spans="2:19" x14ac:dyDescent="0.35">
      <c r="B164" s="518"/>
      <c r="C164" s="58"/>
      <c r="D164" s="1203"/>
      <c r="E164" s="1203"/>
      <c r="F164" s="1203"/>
      <c r="G164" s="1203"/>
      <c r="H164" s="1203"/>
      <c r="I164" s="1203"/>
      <c r="J164" s="1203"/>
      <c r="K164" s="1203"/>
      <c r="L164" s="1203"/>
      <c r="M164" s="1190"/>
      <c r="N164" s="1190"/>
      <c r="O164" s="1190"/>
      <c r="P164" s="887"/>
      <c r="Q164" s="58"/>
      <c r="R164" s="58"/>
      <c r="S164" s="19"/>
    </row>
    <row r="165" spans="2:19" x14ac:dyDescent="0.35">
      <c r="B165" s="119" t="s">
        <v>164</v>
      </c>
      <c r="C165" s="1192">
        <f>+C163+C147</f>
        <v>1959</v>
      </c>
      <c r="D165" s="1204">
        <f>+D163+D147</f>
        <v>25.639202629299998</v>
      </c>
      <c r="E165" s="1204">
        <f t="shared" ref="E165:M165" si="28">+E163+E147</f>
        <v>2.8359306569999996</v>
      </c>
      <c r="F165" s="1204">
        <f t="shared" si="28"/>
        <v>17.658266171324694</v>
      </c>
      <c r="G165" s="1204">
        <f t="shared" si="28"/>
        <v>1.7379515281555</v>
      </c>
      <c r="H165" s="1204">
        <f t="shared" si="28"/>
        <v>-0.44386204179999988</v>
      </c>
      <c r="I165" s="1204">
        <f t="shared" si="28"/>
        <v>-7.8507409999999996E-3</v>
      </c>
      <c r="J165" s="1204">
        <f t="shared" si="28"/>
        <v>4.1376710000000008E-3</v>
      </c>
      <c r="K165" s="1204">
        <f t="shared" si="28"/>
        <v>0</v>
      </c>
      <c r="L165" s="1204">
        <f t="shared" si="28"/>
        <v>0</v>
      </c>
      <c r="M165" s="1191">
        <f t="shared" si="28"/>
        <v>21.784573244680196</v>
      </c>
      <c r="N165" s="1191">
        <f>+N163+N147</f>
        <v>0</v>
      </c>
      <c r="O165" s="1191">
        <f>+O163+O147</f>
        <v>21.784573244680196</v>
      </c>
      <c r="P165" s="887">
        <f>+IFERROR(O165/D165*10,0)</f>
        <v>8.4965876512030043</v>
      </c>
      <c r="Q165" s="58"/>
      <c r="R165" s="58"/>
      <c r="S165" s="19"/>
    </row>
    <row r="166" spans="2:19" x14ac:dyDescent="0.35">
      <c r="B166" s="58"/>
      <c r="C166" s="93"/>
      <c r="D166" s="93"/>
      <c r="E166" s="93"/>
      <c r="F166" s="93"/>
      <c r="G166" s="93"/>
      <c r="H166" s="93"/>
      <c r="I166" s="93"/>
      <c r="J166" s="93"/>
      <c r="K166" s="93"/>
      <c r="L166" s="93"/>
      <c r="M166" s="93"/>
      <c r="N166" s="93"/>
      <c r="O166" s="93"/>
      <c r="P166" s="93"/>
      <c r="Q166" s="93"/>
      <c r="R166" s="93"/>
      <c r="S166" s="93"/>
    </row>
    <row r="167" spans="2:19" x14ac:dyDescent="0.35">
      <c r="C167" s="681">
        <f>+'F13 SEZ'!C165+'F13 Non SEZ'!C165-C165</f>
        <v>0</v>
      </c>
      <c r="D167" s="681">
        <f>+'F13 SEZ'!D165+'F13 Non SEZ'!D165-D165</f>
        <v>0</v>
      </c>
      <c r="E167" s="681">
        <f>+'F13 SEZ'!E165+'F13 Non SEZ'!E165-E165</f>
        <v>0</v>
      </c>
      <c r="F167" s="681">
        <f>+'F13 SEZ'!F165+'F13 Non SEZ'!F165-F165</f>
        <v>0</v>
      </c>
      <c r="G167" s="681">
        <f>+'F13 SEZ'!G165+'F13 Non SEZ'!G165-G165</f>
        <v>0</v>
      </c>
      <c r="H167" s="681">
        <f>+'F13 SEZ'!H165+'F13 Non SEZ'!H165-H165</f>
        <v>0</v>
      </c>
      <c r="I167" s="681">
        <f>+'F13 SEZ'!I165+'F13 Non SEZ'!I165-I165</f>
        <v>0</v>
      </c>
      <c r="J167" s="681">
        <f>+'F13 SEZ'!J165+'F13 Non SEZ'!J165-J165</f>
        <v>0</v>
      </c>
      <c r="K167" s="681">
        <f>+'F13 SEZ'!K165+'F13 Non SEZ'!K165-K165</f>
        <v>0</v>
      </c>
      <c r="L167" s="681">
        <f>+'F13 SEZ'!L165+'F13 Non SEZ'!L165-L165</f>
        <v>0</v>
      </c>
      <c r="M167" s="681">
        <f>+'F13 SEZ'!M165+'F13 Non SEZ'!M165-M165</f>
        <v>0</v>
      </c>
    </row>
    <row r="168" spans="2:19" x14ac:dyDescent="0.35">
      <c r="B168" s="40" t="s">
        <v>113</v>
      </c>
      <c r="C168" s="53"/>
      <c r="D168" s="53"/>
      <c r="E168" s="53"/>
      <c r="F168" s="53"/>
      <c r="G168" s="53"/>
      <c r="H168" s="53"/>
      <c r="I168" s="53"/>
      <c r="J168" s="53"/>
      <c r="K168" s="53"/>
      <c r="L168" s="53"/>
      <c r="M168" s="53"/>
      <c r="N168" s="53"/>
      <c r="O168" s="53"/>
    </row>
    <row r="169" spans="2:19" x14ac:dyDescent="0.35">
      <c r="B169" s="49"/>
    </row>
    <row r="170" spans="2:19" s="57" customFormat="1" ht="40.5" x14ac:dyDescent="0.35">
      <c r="B170" s="1984" t="s">
        <v>699</v>
      </c>
      <c r="C170" s="106" t="s">
        <v>700</v>
      </c>
      <c r="D170" s="106" t="s">
        <v>701</v>
      </c>
      <c r="E170" s="106" t="s">
        <v>702</v>
      </c>
      <c r="F170" s="106" t="s">
        <v>703</v>
      </c>
      <c r="G170" s="106" t="s">
        <v>704</v>
      </c>
      <c r="H170" s="1188" t="s">
        <v>1449</v>
      </c>
      <c r="I170" s="1188" t="s">
        <v>1450</v>
      </c>
      <c r="J170" s="1188" t="s">
        <v>1451</v>
      </c>
      <c r="K170" s="106" t="s">
        <v>1448</v>
      </c>
      <c r="L170" s="106" t="s">
        <v>705</v>
      </c>
      <c r="M170" s="106" t="s">
        <v>706</v>
      </c>
      <c r="N170" s="106" t="s">
        <v>707</v>
      </c>
      <c r="O170" s="106" t="s">
        <v>708</v>
      </c>
      <c r="P170" s="106" t="s">
        <v>709</v>
      </c>
      <c r="Q170" s="106" t="s">
        <v>710</v>
      </c>
      <c r="R170" s="106" t="s">
        <v>711</v>
      </c>
      <c r="S170" s="106" t="s">
        <v>116</v>
      </c>
    </row>
    <row r="171" spans="2:19" s="57" customFormat="1" ht="39.4" x14ac:dyDescent="0.35">
      <c r="B171" s="1984"/>
      <c r="C171" s="1188" t="s">
        <v>128</v>
      </c>
      <c r="D171" s="1188" t="s">
        <v>129</v>
      </c>
      <c r="E171" s="1188" t="s">
        <v>712</v>
      </c>
      <c r="F171" s="1188" t="s">
        <v>130</v>
      </c>
      <c r="G171" s="1188" t="s">
        <v>131</v>
      </c>
      <c r="H171" s="1188" t="s">
        <v>331</v>
      </c>
      <c r="I171" s="1188" t="s">
        <v>132</v>
      </c>
      <c r="J171" s="1188" t="s">
        <v>133</v>
      </c>
      <c r="K171" s="1188" t="s">
        <v>332</v>
      </c>
      <c r="L171" s="1188" t="s">
        <v>333</v>
      </c>
      <c r="M171" s="1188" t="s">
        <v>1452</v>
      </c>
      <c r="N171" s="1188" t="s">
        <v>529</v>
      </c>
      <c r="O171" s="1188" t="s">
        <v>1453</v>
      </c>
      <c r="P171" s="1188" t="s">
        <v>1454</v>
      </c>
      <c r="Q171" s="1188" t="s">
        <v>531</v>
      </c>
      <c r="R171" s="1188" t="s">
        <v>1455</v>
      </c>
      <c r="S171" s="1188" t="s">
        <v>533</v>
      </c>
    </row>
    <row r="172" spans="2:19" x14ac:dyDescent="0.35">
      <c r="B172" s="517" t="s">
        <v>161</v>
      </c>
      <c r="C172" s="93"/>
      <c r="D172" s="93"/>
      <c r="E172" s="93"/>
      <c r="F172" s="93"/>
      <c r="G172" s="93"/>
      <c r="H172" s="93"/>
      <c r="I172" s="93"/>
      <c r="J172" s="93"/>
      <c r="K172" s="93"/>
      <c r="L172" s="93"/>
      <c r="M172" s="93"/>
      <c r="N172" s="93"/>
      <c r="O172" s="93"/>
      <c r="P172" s="93"/>
      <c r="Q172" s="93"/>
      <c r="R172" s="93"/>
      <c r="S172" s="93"/>
    </row>
    <row r="173" spans="2:19" x14ac:dyDescent="0.35">
      <c r="B173" s="429" t="s">
        <v>1129</v>
      </c>
      <c r="C173" s="1189">
        <f>+'F13 SEZ'!C173+'F13 Non SEZ'!C173</f>
        <v>2</v>
      </c>
      <c r="D173" s="1203">
        <f>+'F13 SEZ'!D173+'F13 Non SEZ'!D173</f>
        <v>33.8577600156</v>
      </c>
      <c r="E173" s="1203">
        <f>+'F13 SEZ'!E173+'F13 Non SEZ'!E173</f>
        <v>3.0740595600000002</v>
      </c>
      <c r="F173" s="1203">
        <f>+'F13 SEZ'!F173+'F13 Non SEZ'!F173</f>
        <v>27.995047919999998</v>
      </c>
      <c r="G173" s="1203">
        <f>+'F13 SEZ'!G173+'F13 Non SEZ'!G173</f>
        <v>2.0685995999999998</v>
      </c>
      <c r="H173" s="1203">
        <f>+'F13 SEZ'!H173+'F13 Non SEZ'!H173</f>
        <v>-0.70195021999999996</v>
      </c>
      <c r="I173" s="1203">
        <f>+'F13 SEZ'!I173+'F13 Non SEZ'!I173</f>
        <v>0</v>
      </c>
      <c r="J173" s="1203">
        <f>+'F13 SEZ'!J173+'F13 Non SEZ'!J173</f>
        <v>0</v>
      </c>
      <c r="K173" s="1203">
        <f>+'F13 SEZ'!K173+'F13 Non SEZ'!K173</f>
        <v>0</v>
      </c>
      <c r="L173" s="1203">
        <f>+'F13 SEZ'!L173+'F13 Non SEZ'!L173</f>
        <v>0</v>
      </c>
      <c r="M173" s="1191">
        <f>SUM(E173:L173)</f>
        <v>32.435756859999998</v>
      </c>
      <c r="N173" s="1190"/>
      <c r="O173" s="1191">
        <f>+M173+N173</f>
        <v>32.435756859999998</v>
      </c>
      <c r="P173" s="887">
        <f>+IFERROR(O173/D173*10,0)</f>
        <v>9.580006723733403</v>
      </c>
      <c r="Q173" s="58"/>
      <c r="R173" s="58"/>
      <c r="S173" s="19"/>
    </row>
    <row r="174" spans="2:19" x14ac:dyDescent="0.35">
      <c r="B174" s="429" t="s">
        <v>1130</v>
      </c>
      <c r="C174" s="1189">
        <f>+'F13 SEZ'!C174+'F13 Non SEZ'!C174</f>
        <v>4</v>
      </c>
      <c r="D174" s="1203">
        <f>+'F13 SEZ'!D174+'F13 Non SEZ'!D174</f>
        <v>0.34753759000000006</v>
      </c>
      <c r="E174" s="1203">
        <f>+'F13 SEZ'!E174+'F13 Non SEZ'!E174</f>
        <v>0.378079575</v>
      </c>
      <c r="F174" s="1203">
        <f>+'F13 SEZ'!F174+'F13 Non SEZ'!F174</f>
        <v>0.5768439660000001</v>
      </c>
      <c r="G174" s="1203">
        <f>+'F13 SEZ'!G174+'F13 Non SEZ'!G174</f>
        <v>2.6976345000000002E-2</v>
      </c>
      <c r="H174" s="1203">
        <f>+'F13 SEZ'!H174+'F13 Non SEZ'!H174</f>
        <v>-8.497919999999996E-4</v>
      </c>
      <c r="I174" s="1203">
        <f>+'F13 SEZ'!I174+'F13 Non SEZ'!I174</f>
        <v>0</v>
      </c>
      <c r="J174" s="1203">
        <f>+'F13 SEZ'!J174+'F13 Non SEZ'!J174</f>
        <v>0</v>
      </c>
      <c r="K174" s="1203">
        <f>+'F13 SEZ'!K174+'F13 Non SEZ'!K174</f>
        <v>0</v>
      </c>
      <c r="L174" s="1203">
        <f>+'F13 SEZ'!L174+'F13 Non SEZ'!L174</f>
        <v>0</v>
      </c>
      <c r="M174" s="1191">
        <f>SUM(E174:L174)</f>
        <v>0.98105009400000009</v>
      </c>
      <c r="N174" s="1190"/>
      <c r="O174" s="1191">
        <f>+M174+N174</f>
        <v>0.98105009400000009</v>
      </c>
      <c r="P174" s="887">
        <f>+IFERROR(O174/D174*10,0)</f>
        <v>28.228603818079073</v>
      </c>
      <c r="Q174" s="58"/>
      <c r="R174" s="58"/>
      <c r="S174" s="19"/>
    </row>
    <row r="175" spans="2:19" x14ac:dyDescent="0.35">
      <c r="B175" s="429" t="s">
        <v>1131</v>
      </c>
      <c r="C175" s="1189">
        <f>+'F13 SEZ'!C175+'F13 Non SEZ'!C175</f>
        <v>0</v>
      </c>
      <c r="D175" s="1203">
        <f>+'F13 SEZ'!D175+'F13 Non SEZ'!D175</f>
        <v>0</v>
      </c>
      <c r="E175" s="1203">
        <f>+'F13 SEZ'!E175+'F13 Non SEZ'!E175</f>
        <v>0</v>
      </c>
      <c r="F175" s="1203">
        <f>+'F13 SEZ'!F175+'F13 Non SEZ'!F175</f>
        <v>0</v>
      </c>
      <c r="G175" s="1203">
        <f>+'F13 SEZ'!G175+'F13 Non SEZ'!G175</f>
        <v>0</v>
      </c>
      <c r="H175" s="1203">
        <f>+'F13 SEZ'!H175+'F13 Non SEZ'!H175</f>
        <v>0</v>
      </c>
      <c r="I175" s="1203">
        <f>+'F13 SEZ'!I175+'F13 Non SEZ'!I175</f>
        <v>0</v>
      </c>
      <c r="J175" s="1203">
        <f>+'F13 SEZ'!J175+'F13 Non SEZ'!J175</f>
        <v>0</v>
      </c>
      <c r="K175" s="1203">
        <f>+'F13 SEZ'!K175+'F13 Non SEZ'!K175</f>
        <v>0</v>
      </c>
      <c r="L175" s="1203">
        <f>+'F13 SEZ'!L175+'F13 Non SEZ'!L175</f>
        <v>0</v>
      </c>
      <c r="M175" s="1191">
        <f>SUM(E175:L175)</f>
        <v>0</v>
      </c>
      <c r="N175" s="1190"/>
      <c r="O175" s="1191">
        <f>+M175+N175</f>
        <v>0</v>
      </c>
      <c r="P175" s="887">
        <f>+IFERROR(O175/D175*10,0)</f>
        <v>0</v>
      </c>
      <c r="Q175" s="58"/>
      <c r="R175" s="58"/>
      <c r="S175" s="19"/>
    </row>
    <row r="176" spans="2:19" ht="25.5" x14ac:dyDescent="0.35">
      <c r="B176" s="429" t="s">
        <v>1132</v>
      </c>
      <c r="C176" s="1189">
        <f>+'F13 SEZ'!C176+'F13 Non SEZ'!C176</f>
        <v>0</v>
      </c>
      <c r="D176" s="1203">
        <f>+'F13 SEZ'!D176+'F13 Non SEZ'!D176</f>
        <v>0</v>
      </c>
      <c r="E176" s="1203">
        <f>+'F13 SEZ'!E176+'F13 Non SEZ'!E176</f>
        <v>0</v>
      </c>
      <c r="F176" s="1203">
        <f>+'F13 SEZ'!F176+'F13 Non SEZ'!F176</f>
        <v>0</v>
      </c>
      <c r="G176" s="1203">
        <f>+'F13 SEZ'!G176+'F13 Non SEZ'!G176</f>
        <v>0</v>
      </c>
      <c r="H176" s="1203">
        <f>+'F13 SEZ'!H176+'F13 Non SEZ'!H176</f>
        <v>0</v>
      </c>
      <c r="I176" s="1203">
        <f>+'F13 SEZ'!I176+'F13 Non SEZ'!I176</f>
        <v>0</v>
      </c>
      <c r="J176" s="1203">
        <f>+'F13 SEZ'!J176+'F13 Non SEZ'!J176</f>
        <v>0</v>
      </c>
      <c r="K176" s="1203">
        <f>+'F13 SEZ'!K176+'F13 Non SEZ'!K176</f>
        <v>0</v>
      </c>
      <c r="L176" s="1203">
        <f>+'F13 SEZ'!L176+'F13 Non SEZ'!L176</f>
        <v>0</v>
      </c>
      <c r="M176" s="1191">
        <f>SUM(E176:L176)</f>
        <v>0</v>
      </c>
      <c r="N176" s="1190"/>
      <c r="O176" s="1191">
        <f>+M176+N176</f>
        <v>0</v>
      </c>
      <c r="P176" s="887">
        <f>+IFERROR(O176/D176*10,0)</f>
        <v>0</v>
      </c>
      <c r="Q176" s="58"/>
      <c r="R176" s="58"/>
      <c r="S176" s="19"/>
    </row>
    <row r="177" spans="2:19" x14ac:dyDescent="0.35">
      <c r="B177" s="518" t="s">
        <v>162</v>
      </c>
      <c r="C177" s="1192">
        <f t="shared" ref="C177:O177" si="29">SUM(C173:C176)</f>
        <v>6</v>
      </c>
      <c r="D177" s="1204">
        <f t="shared" si="29"/>
        <v>34.205297605600002</v>
      </c>
      <c r="E177" s="1204">
        <f t="shared" si="29"/>
        <v>3.4521391350000004</v>
      </c>
      <c r="F177" s="1204">
        <f t="shared" si="29"/>
        <v>28.571891885999996</v>
      </c>
      <c r="G177" s="1204">
        <f t="shared" si="29"/>
        <v>2.0955759449999998</v>
      </c>
      <c r="H177" s="1204">
        <f t="shared" si="29"/>
        <v>-0.70280001199999997</v>
      </c>
      <c r="I177" s="1204">
        <f t="shared" si="29"/>
        <v>0</v>
      </c>
      <c r="J177" s="1204">
        <f t="shared" si="29"/>
        <v>0</v>
      </c>
      <c r="K177" s="1204">
        <f t="shared" si="29"/>
        <v>0</v>
      </c>
      <c r="L177" s="1204">
        <f t="shared" si="29"/>
        <v>0</v>
      </c>
      <c r="M177" s="1191">
        <f t="shared" si="29"/>
        <v>33.416806953999995</v>
      </c>
      <c r="N177" s="1191">
        <f t="shared" si="29"/>
        <v>0</v>
      </c>
      <c r="O177" s="1191">
        <f t="shared" si="29"/>
        <v>33.416806953999995</v>
      </c>
      <c r="P177" s="887">
        <f>+IFERROR(O177/D177*10,0)</f>
        <v>9.7694828851683742</v>
      </c>
      <c r="Q177" s="58"/>
      <c r="R177" s="58"/>
      <c r="S177" s="19"/>
    </row>
    <row r="178" spans="2:19" x14ac:dyDescent="0.35">
      <c r="B178" s="517" t="s">
        <v>163</v>
      </c>
      <c r="C178" s="1189"/>
      <c r="D178" s="1203"/>
      <c r="E178" s="1203"/>
      <c r="F178" s="1203"/>
      <c r="G178" s="1203"/>
      <c r="H178" s="1203"/>
      <c r="I178" s="1203"/>
      <c r="J178" s="1203"/>
      <c r="K178" s="1203"/>
      <c r="L178" s="1203"/>
      <c r="M178" s="1190"/>
      <c r="N178" s="1190"/>
      <c r="O178" s="1190"/>
      <c r="P178" s="887"/>
      <c r="Q178" s="58"/>
      <c r="R178" s="58"/>
      <c r="S178" s="19"/>
    </row>
    <row r="179" spans="2:19" x14ac:dyDescent="0.35">
      <c r="B179" s="519" t="s">
        <v>1133</v>
      </c>
      <c r="C179" s="1189">
        <f>+'F13 SEZ'!C179+'F13 Non SEZ'!C179</f>
        <v>0</v>
      </c>
      <c r="D179" s="1203">
        <f>+'F13 SEZ'!D179+'F13 Non SEZ'!D179</f>
        <v>0</v>
      </c>
      <c r="E179" s="1203">
        <f>+'F13 SEZ'!E179+'F13 Non SEZ'!E179</f>
        <v>0</v>
      </c>
      <c r="F179" s="1203">
        <f>+'F13 SEZ'!F179+'F13 Non SEZ'!F179</f>
        <v>0</v>
      </c>
      <c r="G179" s="1203">
        <f>+'F13 SEZ'!G179+'F13 Non SEZ'!G179</f>
        <v>0</v>
      </c>
      <c r="H179" s="1203">
        <f>+'F13 SEZ'!H179+'F13 Non SEZ'!H179</f>
        <v>0</v>
      </c>
      <c r="I179" s="1203">
        <f>+'F13 SEZ'!I179+'F13 Non SEZ'!I179</f>
        <v>0</v>
      </c>
      <c r="J179" s="1203">
        <f>+'F13 SEZ'!J179+'F13 Non SEZ'!J179</f>
        <v>0</v>
      </c>
      <c r="K179" s="1203">
        <f>+'F13 SEZ'!K179+'F13 Non SEZ'!K179</f>
        <v>0</v>
      </c>
      <c r="L179" s="1203">
        <f>+'F13 SEZ'!L179+'F13 Non SEZ'!L179</f>
        <v>0</v>
      </c>
      <c r="M179" s="1190"/>
      <c r="N179" s="1190"/>
      <c r="O179" s="1190"/>
      <c r="P179" s="887"/>
      <c r="Q179" s="58"/>
      <c r="R179" s="58"/>
      <c r="S179" s="19"/>
    </row>
    <row r="180" spans="2:19" x14ac:dyDescent="0.35">
      <c r="B180" s="520" t="s">
        <v>1106</v>
      </c>
      <c r="C180" s="1189">
        <f>+'F13 SEZ'!C180+'F13 Non SEZ'!C180</f>
        <v>1492</v>
      </c>
      <c r="D180" s="1203">
        <f>+'F13 SEZ'!D180+'F13 Non SEZ'!D180</f>
        <v>0.93132999999999988</v>
      </c>
      <c r="E180" s="1203">
        <f>+'F13 SEZ'!E180+'F13 Non SEZ'!E180</f>
        <v>0.70727333100000001</v>
      </c>
      <c r="F180" s="1203">
        <f>+'F13 SEZ'!F180+'F13 Non SEZ'!F180</f>
        <v>0.41084322047999999</v>
      </c>
      <c r="G180" s="1203">
        <f>+'F13 SEZ'!G180+'F13 Non SEZ'!G180</f>
        <v>0.10899922175999999</v>
      </c>
      <c r="H180" s="1203">
        <f>+'F13 SEZ'!H180+'F13 Non SEZ'!H180</f>
        <v>0</v>
      </c>
      <c r="I180" s="1203">
        <f>+'F13 SEZ'!I180+'F13 Non SEZ'!I180</f>
        <v>0</v>
      </c>
      <c r="J180" s="1203">
        <f>+'F13 SEZ'!J180+'F13 Non SEZ'!J180</f>
        <v>3.4271100000000006E-3</v>
      </c>
      <c r="K180" s="1203">
        <f>+'F13 SEZ'!K180+'F13 Non SEZ'!K180</f>
        <v>0</v>
      </c>
      <c r="L180" s="1203">
        <f>+'F13 SEZ'!L180+'F13 Non SEZ'!L180</f>
        <v>0</v>
      </c>
      <c r="M180" s="1191">
        <f t="shared" ref="M180:M192" si="30">SUM(E180:L180)</f>
        <v>1.2305428832400001</v>
      </c>
      <c r="N180" s="1190"/>
      <c r="O180" s="1191">
        <f t="shared" ref="O180:O192" si="31">+M180+N180</f>
        <v>1.2305428832400001</v>
      </c>
      <c r="P180" s="887">
        <f t="shared" ref="P180:P193" si="32">+IFERROR(O180/D180*10,0)</f>
        <v>13.212748255076077</v>
      </c>
      <c r="Q180" s="58"/>
      <c r="R180" s="58"/>
      <c r="S180" s="19"/>
    </row>
    <row r="181" spans="2:19" x14ac:dyDescent="0.35">
      <c r="B181" s="520" t="s">
        <v>1107</v>
      </c>
      <c r="C181" s="1189">
        <f>+'F13 SEZ'!C181+'F13 Non SEZ'!C181</f>
        <v>488</v>
      </c>
      <c r="D181" s="1203">
        <f>+'F13 SEZ'!D181+'F13 Non SEZ'!D181</f>
        <v>0.90188899999999994</v>
      </c>
      <c r="E181" s="1203">
        <f>+'F13 SEZ'!E181+'F13 Non SEZ'!E181</f>
        <v>0.18909300100000004</v>
      </c>
      <c r="F181" s="1203">
        <f>+'F13 SEZ'!F181+'F13 Non SEZ'!F181</f>
        <v>0.87020073704000001</v>
      </c>
      <c r="G181" s="1203">
        <f>+'F13 SEZ'!G181+'F13 Non SEZ'!G181</f>
        <v>0.10561564961999999</v>
      </c>
      <c r="H181" s="1203">
        <f>+'F13 SEZ'!H181+'F13 Non SEZ'!H181</f>
        <v>0</v>
      </c>
      <c r="I181" s="1203">
        <f>+'F13 SEZ'!I181+'F13 Non SEZ'!I181</f>
        <v>0</v>
      </c>
      <c r="J181" s="1203">
        <f>+'F13 SEZ'!J181+'F13 Non SEZ'!J181</f>
        <v>4.3356199999999991E-4</v>
      </c>
      <c r="K181" s="1203">
        <f>+'F13 SEZ'!K181+'F13 Non SEZ'!K181</f>
        <v>0</v>
      </c>
      <c r="L181" s="1203">
        <f>+'F13 SEZ'!L181+'F13 Non SEZ'!L181</f>
        <v>0</v>
      </c>
      <c r="M181" s="1191">
        <f t="shared" si="30"/>
        <v>1.1653429496600001</v>
      </c>
      <c r="N181" s="1194"/>
      <c r="O181" s="1195">
        <f t="shared" si="31"/>
        <v>1.1653429496600001</v>
      </c>
      <c r="P181" s="887">
        <f t="shared" si="32"/>
        <v>12.92113496960269</v>
      </c>
      <c r="Q181" s="58"/>
      <c r="R181" s="58"/>
      <c r="S181" s="19"/>
    </row>
    <row r="182" spans="2:19" x14ac:dyDescent="0.35">
      <c r="B182" s="520" t="s">
        <v>1108</v>
      </c>
      <c r="C182" s="1189">
        <f>+'F13 SEZ'!C182+'F13 Non SEZ'!C182</f>
        <v>141</v>
      </c>
      <c r="D182" s="1203">
        <f>+'F13 SEZ'!D182+'F13 Non SEZ'!D182</f>
        <v>0.31589299999999998</v>
      </c>
      <c r="E182" s="1203">
        <f>+'F13 SEZ'!E182+'F13 Non SEZ'!E182</f>
        <v>6.4320000000000002E-2</v>
      </c>
      <c r="F182" s="1203">
        <f>+'F13 SEZ'!F182+'F13 Non SEZ'!F182</f>
        <v>0.43047477299999998</v>
      </c>
      <c r="G182" s="1203">
        <f>+'F13 SEZ'!G182+'F13 Non SEZ'!G182</f>
        <v>3.7006280999999995E-2</v>
      </c>
      <c r="H182" s="1203">
        <f>+'F13 SEZ'!H182+'F13 Non SEZ'!H182</f>
        <v>0</v>
      </c>
      <c r="I182" s="1203">
        <f>+'F13 SEZ'!I182+'F13 Non SEZ'!I182</f>
        <v>0</v>
      </c>
      <c r="J182" s="1203">
        <f>+'F13 SEZ'!J182+'F13 Non SEZ'!J182</f>
        <v>2.3265300000000004E-4</v>
      </c>
      <c r="K182" s="1203">
        <f>+'F13 SEZ'!K182+'F13 Non SEZ'!K182</f>
        <v>0</v>
      </c>
      <c r="L182" s="1203">
        <f>+'F13 SEZ'!L182+'F13 Non SEZ'!L182</f>
        <v>0</v>
      </c>
      <c r="M182" s="1191">
        <f t="shared" si="30"/>
        <v>0.53203370699999997</v>
      </c>
      <c r="N182" s="1190"/>
      <c r="O182" s="1191">
        <f t="shared" si="31"/>
        <v>0.53203370699999997</v>
      </c>
      <c r="P182" s="887">
        <f t="shared" si="32"/>
        <v>16.842212616297289</v>
      </c>
      <c r="Q182" s="58"/>
      <c r="R182" s="58"/>
      <c r="S182" s="19"/>
    </row>
    <row r="183" spans="2:19" x14ac:dyDescent="0.35">
      <c r="B183" s="520" t="s">
        <v>1109</v>
      </c>
      <c r="C183" s="1189">
        <f>+'F13 SEZ'!C183+'F13 Non SEZ'!C183</f>
        <v>66</v>
      </c>
      <c r="D183" s="1203">
        <f>+'F13 SEZ'!D183+'F13 Non SEZ'!D183</f>
        <v>1.8567230000000001</v>
      </c>
      <c r="E183" s="1203">
        <f>+'F13 SEZ'!E183+'F13 Non SEZ'!E183</f>
        <v>0.125021934</v>
      </c>
      <c r="F183" s="1203">
        <f>+'F13 SEZ'!F183+'F13 Non SEZ'!F183</f>
        <v>2.8916946539999997</v>
      </c>
      <c r="G183" s="1203">
        <f>+'F13 SEZ'!G183+'F13 Non SEZ'!G183</f>
        <v>0.217294974</v>
      </c>
      <c r="H183" s="1203">
        <f>+'F13 SEZ'!H183+'F13 Non SEZ'!H183</f>
        <v>0</v>
      </c>
      <c r="I183" s="1203">
        <f>+'F13 SEZ'!I183+'F13 Non SEZ'!I183</f>
        <v>0</v>
      </c>
      <c r="J183" s="1203">
        <f>+'F13 SEZ'!J183+'F13 Non SEZ'!J183</f>
        <v>1.5679999999999999E-5</v>
      </c>
      <c r="K183" s="1203">
        <f>+'F13 SEZ'!K183+'F13 Non SEZ'!K183</f>
        <v>0</v>
      </c>
      <c r="L183" s="1203">
        <f>+'F13 SEZ'!L183+'F13 Non SEZ'!L183</f>
        <v>0</v>
      </c>
      <c r="M183" s="1191">
        <f t="shared" si="30"/>
        <v>3.2340272419999998</v>
      </c>
      <c r="N183" s="1190"/>
      <c r="O183" s="1191">
        <f t="shared" si="31"/>
        <v>3.2340272419999998</v>
      </c>
      <c r="P183" s="887">
        <f t="shared" si="32"/>
        <v>17.417930633702493</v>
      </c>
      <c r="Q183" s="58"/>
      <c r="R183" s="58"/>
      <c r="S183" s="19"/>
    </row>
    <row r="184" spans="2:19" x14ac:dyDescent="0.35">
      <c r="B184" s="520" t="s">
        <v>1110</v>
      </c>
      <c r="C184" s="1189">
        <f>+'F13 SEZ'!C184+'F13 Non SEZ'!C184</f>
        <v>0</v>
      </c>
      <c r="D184" s="1203">
        <f>+'F13 SEZ'!D184+'F13 Non SEZ'!D184</f>
        <v>0</v>
      </c>
      <c r="E184" s="1203">
        <f>+'F13 SEZ'!E184+'F13 Non SEZ'!E184</f>
        <v>0</v>
      </c>
      <c r="F184" s="1203">
        <f>+'F13 SEZ'!F184+'F13 Non SEZ'!F184</f>
        <v>0</v>
      </c>
      <c r="G184" s="1203">
        <f>+'F13 SEZ'!G184+'F13 Non SEZ'!G184</f>
        <v>0</v>
      </c>
      <c r="H184" s="1203">
        <f>+'F13 SEZ'!H184+'F13 Non SEZ'!H184</f>
        <v>0</v>
      </c>
      <c r="I184" s="1203">
        <f>+'F13 SEZ'!I184+'F13 Non SEZ'!I184</f>
        <v>0</v>
      </c>
      <c r="J184" s="1203">
        <f>+'F13 SEZ'!J184+'F13 Non SEZ'!J184</f>
        <v>0</v>
      </c>
      <c r="K184" s="1203">
        <f>+'F13 SEZ'!K184+'F13 Non SEZ'!K184</f>
        <v>0</v>
      </c>
      <c r="L184" s="1203">
        <f>+'F13 SEZ'!L184+'F13 Non SEZ'!L184</f>
        <v>0</v>
      </c>
      <c r="M184" s="1191">
        <f t="shared" si="30"/>
        <v>0</v>
      </c>
      <c r="N184" s="1190"/>
      <c r="O184" s="1191">
        <f t="shared" si="31"/>
        <v>0</v>
      </c>
      <c r="P184" s="887">
        <f t="shared" si="32"/>
        <v>0</v>
      </c>
      <c r="Q184" s="58"/>
      <c r="R184" s="58"/>
      <c r="S184" s="19"/>
    </row>
    <row r="185" spans="2:19" x14ac:dyDescent="0.35">
      <c r="B185" s="519" t="s">
        <v>1139</v>
      </c>
      <c r="C185" s="1189">
        <f>+'F13 SEZ'!C185+'F13 Non SEZ'!C185</f>
        <v>0</v>
      </c>
      <c r="D185" s="1203">
        <f>+'F13 SEZ'!D185+'F13 Non SEZ'!D185</f>
        <v>0</v>
      </c>
      <c r="E185" s="1203">
        <f>+'F13 SEZ'!E185+'F13 Non SEZ'!E185</f>
        <v>0</v>
      </c>
      <c r="F185" s="1203">
        <f>+'F13 SEZ'!F185+'F13 Non SEZ'!F185</f>
        <v>0</v>
      </c>
      <c r="G185" s="1203">
        <f>+'F13 SEZ'!G185+'F13 Non SEZ'!G185</f>
        <v>0</v>
      </c>
      <c r="H185" s="1203">
        <f>+'F13 SEZ'!H185+'F13 Non SEZ'!H185</f>
        <v>0</v>
      </c>
      <c r="I185" s="1203">
        <f>+'F13 SEZ'!I185+'F13 Non SEZ'!I185</f>
        <v>0</v>
      </c>
      <c r="J185" s="1203">
        <f>+'F13 SEZ'!J185+'F13 Non SEZ'!J185</f>
        <v>0</v>
      </c>
      <c r="K185" s="1203">
        <f>+'F13 SEZ'!K185+'F13 Non SEZ'!K185</f>
        <v>0</v>
      </c>
      <c r="L185" s="1203">
        <f>+'F13 SEZ'!L185+'F13 Non SEZ'!L185</f>
        <v>0</v>
      </c>
      <c r="M185" s="1191">
        <f t="shared" si="30"/>
        <v>0</v>
      </c>
      <c r="N185" s="1190"/>
      <c r="O185" s="1191">
        <f t="shared" si="31"/>
        <v>0</v>
      </c>
      <c r="P185" s="887">
        <f t="shared" si="32"/>
        <v>0</v>
      </c>
      <c r="Q185" s="58"/>
      <c r="R185" s="58"/>
      <c r="S185" s="19"/>
    </row>
    <row r="186" spans="2:19" x14ac:dyDescent="0.35">
      <c r="B186" s="520" t="s">
        <v>1140</v>
      </c>
      <c r="C186" s="1189">
        <f>+'F13 SEZ'!C186+'F13 Non SEZ'!C186</f>
        <v>38</v>
      </c>
      <c r="D186" s="1203">
        <f>+'F13 SEZ'!D186+'F13 Non SEZ'!D186</f>
        <v>0.15646300000000002</v>
      </c>
      <c r="E186" s="1203">
        <f>+'F13 SEZ'!E186+'F13 Non SEZ'!E186</f>
        <v>2.0448134000000003E-2</v>
      </c>
      <c r="F186" s="1203">
        <f>+'F13 SEZ'!F186+'F13 Non SEZ'!F186</f>
        <v>0.12959196500000003</v>
      </c>
      <c r="G186" s="1203">
        <f>+'F13 SEZ'!G186+'F13 Non SEZ'!G186</f>
        <v>1.8306171E-2</v>
      </c>
      <c r="H186" s="1203">
        <f>+'F13 SEZ'!H186+'F13 Non SEZ'!H186</f>
        <v>0</v>
      </c>
      <c r="I186" s="1203">
        <f>+'F13 SEZ'!I186+'F13 Non SEZ'!I186</f>
        <v>0</v>
      </c>
      <c r="J186" s="1203">
        <f>+'F13 SEZ'!J186+'F13 Non SEZ'!J186</f>
        <v>2.7731000000000003E-5</v>
      </c>
      <c r="K186" s="1203">
        <f>+'F13 SEZ'!K186+'F13 Non SEZ'!K186</f>
        <v>0</v>
      </c>
      <c r="L186" s="1203">
        <f>+'F13 SEZ'!L186+'F13 Non SEZ'!L186</f>
        <v>0</v>
      </c>
      <c r="M186" s="1191">
        <f t="shared" si="30"/>
        <v>0.16837400100000005</v>
      </c>
      <c r="N186" s="1190"/>
      <c r="O186" s="1191">
        <f t="shared" si="31"/>
        <v>0.16837400100000005</v>
      </c>
      <c r="P186" s="887">
        <f t="shared" si="32"/>
        <v>10.761266305771972</v>
      </c>
      <c r="Q186" s="58"/>
      <c r="R186" s="58"/>
      <c r="S186" s="19"/>
    </row>
    <row r="187" spans="2:19" x14ac:dyDescent="0.35">
      <c r="B187" s="520" t="s">
        <v>1144</v>
      </c>
      <c r="C187" s="1189">
        <f>+'F13 SEZ'!C187+'F13 Non SEZ'!C187</f>
        <v>8</v>
      </c>
      <c r="D187" s="1203">
        <f>+'F13 SEZ'!D187+'F13 Non SEZ'!D187</f>
        <v>0.27486611</v>
      </c>
      <c r="E187" s="1203">
        <f>+'F13 SEZ'!E187+'F13 Non SEZ'!E187</f>
        <v>6.7268750000000002E-2</v>
      </c>
      <c r="F187" s="1203">
        <f>+'F13 SEZ'!F187+'F13 Non SEZ'!F187</f>
        <v>0.34715589692999999</v>
      </c>
      <c r="G187" s="1203">
        <f>+'F13 SEZ'!G187+'F13 Non SEZ'!G187</f>
        <v>3.215933487E-2</v>
      </c>
      <c r="H187" s="1203">
        <f>+'F13 SEZ'!H187+'F13 Non SEZ'!H187</f>
        <v>-1.9263088000000003E-3</v>
      </c>
      <c r="I187" s="1203">
        <f>+'F13 SEZ'!I187+'F13 Non SEZ'!I187</f>
        <v>-1.2379986999999999E-2</v>
      </c>
      <c r="J187" s="1203">
        <f>+'F13 SEZ'!J187+'F13 Non SEZ'!J187</f>
        <v>0</v>
      </c>
      <c r="K187" s="1203">
        <f>+'F13 SEZ'!K187+'F13 Non SEZ'!K187</f>
        <v>0</v>
      </c>
      <c r="L187" s="1203">
        <f>+'F13 SEZ'!L187+'F13 Non SEZ'!L187</f>
        <v>0</v>
      </c>
      <c r="M187" s="1191">
        <f t="shared" si="30"/>
        <v>0.43227768599999999</v>
      </c>
      <c r="N187" s="1197"/>
      <c r="O187" s="1198">
        <f t="shared" si="31"/>
        <v>0.43227768599999999</v>
      </c>
      <c r="P187" s="887">
        <f t="shared" si="32"/>
        <v>15.726845554004456</v>
      </c>
      <c r="Q187" s="58"/>
      <c r="R187" s="58"/>
      <c r="S187" s="19"/>
    </row>
    <row r="188" spans="2:19" x14ac:dyDescent="0.35">
      <c r="B188" s="520" t="s">
        <v>1143</v>
      </c>
      <c r="C188" s="1189">
        <f>+'F13 SEZ'!C188+'F13 Non SEZ'!C188</f>
        <v>1</v>
      </c>
      <c r="D188" s="1203">
        <f>+'F13 SEZ'!D188+'F13 Non SEZ'!D188</f>
        <v>8.1854079999999996E-2</v>
      </c>
      <c r="E188" s="1203">
        <f>+'F13 SEZ'!E188+'F13 Non SEZ'!E188</f>
        <v>2.0572369999999996E-2</v>
      </c>
      <c r="F188" s="1203">
        <f>+'F13 SEZ'!F188+'F13 Non SEZ'!F188</f>
        <v>0.12220814144</v>
      </c>
      <c r="G188" s="1203">
        <f>+'F13 SEZ'!G188+'F13 Non SEZ'!G188</f>
        <v>9.5769273599999993E-3</v>
      </c>
      <c r="H188" s="1203">
        <f>+'F13 SEZ'!H188+'F13 Non SEZ'!H188</f>
        <v>0</v>
      </c>
      <c r="I188" s="1203">
        <f>+'F13 SEZ'!I188+'F13 Non SEZ'!I188</f>
        <v>-3.9354729999999984E-3</v>
      </c>
      <c r="J188" s="1203">
        <f>+'F13 SEZ'!J188+'F13 Non SEZ'!J188</f>
        <v>0</v>
      </c>
      <c r="K188" s="1203">
        <f>+'F13 SEZ'!K188+'F13 Non SEZ'!K188</f>
        <v>0</v>
      </c>
      <c r="L188" s="1203">
        <f>+'F13 SEZ'!L188+'F13 Non SEZ'!L188</f>
        <v>0</v>
      </c>
      <c r="M188" s="1191">
        <f t="shared" si="30"/>
        <v>0.1484219658</v>
      </c>
      <c r="N188" s="1190"/>
      <c r="O188" s="1191">
        <f t="shared" si="31"/>
        <v>0.1484219658</v>
      </c>
      <c r="P188" s="887">
        <f t="shared" si="32"/>
        <v>18.132506748594572</v>
      </c>
      <c r="Q188" s="58"/>
      <c r="R188" s="58"/>
      <c r="S188" s="19"/>
    </row>
    <row r="189" spans="2:19" ht="25.5" x14ac:dyDescent="0.35">
      <c r="B189" s="519" t="s">
        <v>1111</v>
      </c>
      <c r="C189" s="1189">
        <f>+'F13 SEZ'!C189+'F13 Non SEZ'!C189</f>
        <v>2</v>
      </c>
      <c r="D189" s="1203">
        <f>+'F13 SEZ'!D189+'F13 Non SEZ'!D189</f>
        <v>0.45583488999999999</v>
      </c>
      <c r="E189" s="1203">
        <f>+'F13 SEZ'!E189+'F13 Non SEZ'!E189</f>
        <v>2.2628143999999999E-2</v>
      </c>
      <c r="F189" s="1203">
        <f>+'F13 SEZ'!F189+'F13 Non SEZ'!F189</f>
        <v>0.33184779991999996</v>
      </c>
      <c r="G189" s="1203">
        <f>+'F13 SEZ'!G189+'F13 Non SEZ'!G189</f>
        <v>5.3332682129999996E-2</v>
      </c>
      <c r="H189" s="1203">
        <f>+'F13 SEZ'!H189+'F13 Non SEZ'!H189</f>
        <v>2.8820966999999996E-3</v>
      </c>
      <c r="I189" s="1203">
        <f>+'F13 SEZ'!I189+'F13 Non SEZ'!I189</f>
        <v>4.9265899999999978E-4</v>
      </c>
      <c r="J189" s="1203">
        <f>+'F13 SEZ'!J189+'F13 Non SEZ'!J189</f>
        <v>0</v>
      </c>
      <c r="K189" s="1203">
        <f>+'F13 SEZ'!K189+'F13 Non SEZ'!K189</f>
        <v>0</v>
      </c>
      <c r="L189" s="1203">
        <f>+'F13 SEZ'!L189+'F13 Non SEZ'!L189</f>
        <v>0</v>
      </c>
      <c r="M189" s="1191">
        <f t="shared" si="30"/>
        <v>0.41118338174999997</v>
      </c>
      <c r="N189" s="1190"/>
      <c r="O189" s="1191">
        <f t="shared" si="31"/>
        <v>0.41118338174999997</v>
      </c>
      <c r="P189" s="887">
        <f t="shared" si="32"/>
        <v>9.0204455773449013</v>
      </c>
      <c r="Q189" s="58"/>
      <c r="R189" s="58"/>
      <c r="S189" s="19"/>
    </row>
    <row r="190" spans="2:19" ht="25.5" x14ac:dyDescent="0.35">
      <c r="B190" s="519" t="s">
        <v>1135</v>
      </c>
      <c r="C190" s="1189">
        <f>+'F13 SEZ'!C190+'F13 Non SEZ'!C190</f>
        <v>2</v>
      </c>
      <c r="D190" s="1203">
        <f>+'F13 SEZ'!D190+'F13 Non SEZ'!D190</f>
        <v>0.16902500000000001</v>
      </c>
      <c r="E190" s="1203">
        <f>+'F13 SEZ'!E190+'F13 Non SEZ'!E190</f>
        <v>1.2720000000000001E-3</v>
      </c>
      <c r="F190" s="1203">
        <f>+'F13 SEZ'!F190+'F13 Non SEZ'!F190</f>
        <v>0.10107695</v>
      </c>
      <c r="G190" s="1203">
        <f>+'F13 SEZ'!G190+'F13 Non SEZ'!G190</f>
        <v>1.9775925E-2</v>
      </c>
      <c r="H190" s="1203">
        <f>+'F13 SEZ'!H190+'F13 Non SEZ'!H190</f>
        <v>0</v>
      </c>
      <c r="I190" s="1203">
        <f>+'F13 SEZ'!I190+'F13 Non SEZ'!I190</f>
        <v>0</v>
      </c>
      <c r="J190" s="1203">
        <f>+'F13 SEZ'!J190+'F13 Non SEZ'!J190</f>
        <v>0</v>
      </c>
      <c r="K190" s="1203">
        <f>+'F13 SEZ'!K190+'F13 Non SEZ'!K190</f>
        <v>0</v>
      </c>
      <c r="L190" s="1203">
        <f>+'F13 SEZ'!L190+'F13 Non SEZ'!L190</f>
        <v>0</v>
      </c>
      <c r="M190" s="1191">
        <f t="shared" si="30"/>
        <v>0.12212487499999999</v>
      </c>
      <c r="N190" s="1190"/>
      <c r="O190" s="1191">
        <f t="shared" si="31"/>
        <v>0.12212487499999999</v>
      </c>
      <c r="P190" s="887">
        <f t="shared" si="32"/>
        <v>7.225255139772222</v>
      </c>
      <c r="Q190" s="58"/>
      <c r="R190" s="58"/>
      <c r="S190" s="19"/>
    </row>
    <row r="191" spans="2:19" ht="25.5" x14ac:dyDescent="0.35">
      <c r="B191" s="519" t="s">
        <v>1136</v>
      </c>
      <c r="C191" s="1189">
        <f>+'F13 SEZ'!C191+'F13 Non SEZ'!C191</f>
        <v>0</v>
      </c>
      <c r="D191" s="1203">
        <f>+'F13 SEZ'!D191+'F13 Non SEZ'!D191</f>
        <v>0</v>
      </c>
      <c r="E191" s="1203">
        <f>+'F13 SEZ'!E191+'F13 Non SEZ'!E191</f>
        <v>0</v>
      </c>
      <c r="F191" s="1203">
        <f>+'F13 SEZ'!F191+'F13 Non SEZ'!F191</f>
        <v>0</v>
      </c>
      <c r="G191" s="1203">
        <f>+'F13 SEZ'!G191+'F13 Non SEZ'!G191</f>
        <v>0</v>
      </c>
      <c r="H191" s="1203">
        <f>+'F13 SEZ'!H191+'F13 Non SEZ'!H191</f>
        <v>0</v>
      </c>
      <c r="I191" s="1203">
        <f>+'F13 SEZ'!I191+'F13 Non SEZ'!I191</f>
        <v>0</v>
      </c>
      <c r="J191" s="1203">
        <f>+'F13 SEZ'!J191+'F13 Non SEZ'!J191</f>
        <v>0</v>
      </c>
      <c r="K191" s="1203">
        <f>+'F13 SEZ'!K191+'F13 Non SEZ'!K191</f>
        <v>0</v>
      </c>
      <c r="L191" s="1203">
        <f>+'F13 SEZ'!L191+'F13 Non SEZ'!L191</f>
        <v>0</v>
      </c>
      <c r="M191" s="1191">
        <f t="shared" si="30"/>
        <v>0</v>
      </c>
      <c r="N191" s="1190"/>
      <c r="O191" s="1191">
        <f t="shared" si="31"/>
        <v>0</v>
      </c>
      <c r="P191" s="887">
        <f t="shared" si="32"/>
        <v>0</v>
      </c>
      <c r="Q191" s="58"/>
      <c r="R191" s="58"/>
      <c r="S191" s="19"/>
    </row>
    <row r="192" spans="2:19" x14ac:dyDescent="0.35">
      <c r="B192" s="519" t="s">
        <v>1142</v>
      </c>
      <c r="C192" s="1189">
        <f>+'F13 SEZ'!C192+'F13 Non SEZ'!C192</f>
        <v>6</v>
      </c>
      <c r="D192" s="1203">
        <f>+'F13 SEZ'!D192+'F13 Non SEZ'!D192</f>
        <v>9.4836839999999992E-3</v>
      </c>
      <c r="E192" s="1203">
        <f>+'F13 SEZ'!E192+'F13 Non SEZ'!E192</f>
        <v>3.0889759999999998E-3</v>
      </c>
      <c r="F192" s="1203">
        <f>+'F13 SEZ'!F192+'F13 Non SEZ'!F192</f>
        <v>5.7660798720000003E-3</v>
      </c>
      <c r="G192" s="1203">
        <f>+'F13 SEZ'!G192+'F13 Non SEZ'!G192</f>
        <v>1.1095910279999999E-3</v>
      </c>
      <c r="H192" s="1203">
        <f>+'F13 SEZ'!H192+'F13 Non SEZ'!H192</f>
        <v>-2.86705E-4</v>
      </c>
      <c r="I192" s="1203">
        <f>+'F13 SEZ'!I192+'F13 Non SEZ'!I192</f>
        <v>-3.3705400000000004E-4</v>
      </c>
      <c r="J192" s="1203">
        <f>+'F13 SEZ'!J192+'F13 Non SEZ'!J192</f>
        <v>0</v>
      </c>
      <c r="K192" s="1203">
        <f>+'F13 SEZ'!K192+'F13 Non SEZ'!K192</f>
        <v>0</v>
      </c>
      <c r="L192" s="1203">
        <f>+'F13 SEZ'!L192+'F13 Non SEZ'!L192</f>
        <v>0</v>
      </c>
      <c r="M192" s="1191">
        <f t="shared" si="30"/>
        <v>9.3408879000000007E-3</v>
      </c>
      <c r="N192" s="1190"/>
      <c r="O192" s="1191">
        <f t="shared" si="31"/>
        <v>9.3408879000000007E-3</v>
      </c>
      <c r="P192" s="887">
        <f t="shared" si="32"/>
        <v>9.849429715287858</v>
      </c>
      <c r="Q192" s="58"/>
      <c r="R192" s="58"/>
      <c r="S192" s="19"/>
    </row>
    <row r="193" spans="2:19" x14ac:dyDescent="0.35">
      <c r="B193" s="518" t="s">
        <v>162</v>
      </c>
      <c r="C193" s="1192">
        <f>SUM(C180:C192)</f>
        <v>2244</v>
      </c>
      <c r="D193" s="1204">
        <f>SUM(D180:D192)</f>
        <v>5.1533617640000005</v>
      </c>
      <c r="E193" s="1191">
        <f t="shared" ref="E193:J193" si="33">SUM(E180:E192)</f>
        <v>1.22098664</v>
      </c>
      <c r="F193" s="1191">
        <f t="shared" si="33"/>
        <v>5.6408602176820013</v>
      </c>
      <c r="G193" s="1191">
        <f t="shared" si="33"/>
        <v>0.60317675776799995</v>
      </c>
      <c r="H193" s="1191">
        <f t="shared" si="33"/>
        <v>6.6908289999999932E-4</v>
      </c>
      <c r="I193" s="1191">
        <f t="shared" si="33"/>
        <v>-1.6159854999999997E-2</v>
      </c>
      <c r="J193" s="1191">
        <f t="shared" si="33"/>
        <v>4.1367359999999994E-3</v>
      </c>
      <c r="K193" s="1204">
        <f>SUM(K180:K192)</f>
        <v>0</v>
      </c>
      <c r="L193" s="1204">
        <f>SUM(L180:L192)</f>
        <v>0</v>
      </c>
      <c r="M193" s="1191">
        <f>SUM(M180:M192)</f>
        <v>7.4536695793499996</v>
      </c>
      <c r="N193" s="1191">
        <f>SUM(N180:N191)</f>
        <v>0</v>
      </c>
      <c r="O193" s="1191">
        <f>SUM(O180:O192)</f>
        <v>7.4536695793499996</v>
      </c>
      <c r="P193" s="887">
        <f t="shared" si="32"/>
        <v>14.463703346850847</v>
      </c>
      <c r="Q193" s="58"/>
      <c r="R193" s="58"/>
      <c r="S193" s="19"/>
    </row>
    <row r="194" spans="2:19" x14ac:dyDescent="0.35">
      <c r="B194" s="518"/>
      <c r="C194" s="58"/>
      <c r="D194" s="1203"/>
      <c r="E194" s="1203"/>
      <c r="F194" s="1203"/>
      <c r="G194" s="1203"/>
      <c r="H194" s="1203"/>
      <c r="I194" s="1203"/>
      <c r="J194" s="1203"/>
      <c r="K194" s="1203"/>
      <c r="L194" s="1203"/>
      <c r="M194" s="1190"/>
      <c r="N194" s="1190"/>
      <c r="O194" s="1190"/>
      <c r="P194" s="887"/>
      <c r="Q194" s="58"/>
      <c r="R194" s="58"/>
      <c r="S194" s="19"/>
    </row>
    <row r="195" spans="2:19" x14ac:dyDescent="0.35">
      <c r="B195" s="119" t="s">
        <v>164</v>
      </c>
      <c r="C195" s="1192">
        <f>+C193+C177</f>
        <v>2250</v>
      </c>
      <c r="D195" s="1204">
        <f>+D193+D177</f>
        <v>39.358659369600005</v>
      </c>
      <c r="E195" s="1204">
        <f t="shared" ref="E195:M195" si="34">+E193+E177</f>
        <v>4.6731257750000008</v>
      </c>
      <c r="F195" s="1204">
        <f t="shared" si="34"/>
        <v>34.212752103682</v>
      </c>
      <c r="G195" s="1204">
        <f t="shared" si="34"/>
        <v>2.6987527027679996</v>
      </c>
      <c r="H195" s="1204">
        <f t="shared" si="34"/>
        <v>-0.70213092909999997</v>
      </c>
      <c r="I195" s="1204">
        <f t="shared" si="34"/>
        <v>-1.6159854999999997E-2</v>
      </c>
      <c r="J195" s="1204">
        <f t="shared" si="34"/>
        <v>4.1367359999999994E-3</v>
      </c>
      <c r="K195" s="1204">
        <f t="shared" si="34"/>
        <v>0</v>
      </c>
      <c r="L195" s="1204">
        <f t="shared" si="34"/>
        <v>0</v>
      </c>
      <c r="M195" s="1191">
        <f t="shared" si="34"/>
        <v>40.870476533349994</v>
      </c>
      <c r="N195" s="1191">
        <f>+N193+N177</f>
        <v>0</v>
      </c>
      <c r="O195" s="1191">
        <f>+O193+O177</f>
        <v>40.870476533349994</v>
      </c>
      <c r="P195" s="887">
        <f>+IFERROR(O195/D195*10,0)</f>
        <v>10.384112972333019</v>
      </c>
      <c r="Q195" s="58"/>
      <c r="R195" s="58"/>
      <c r="S195" s="19"/>
    </row>
    <row r="196" spans="2:19" x14ac:dyDescent="0.35">
      <c r="B196" s="58"/>
      <c r="C196" s="93"/>
      <c r="D196" s="93"/>
      <c r="E196" s="93"/>
      <c r="F196" s="93"/>
      <c r="G196" s="93"/>
      <c r="H196" s="93"/>
      <c r="I196" s="93"/>
      <c r="J196" s="93"/>
      <c r="K196" s="93"/>
      <c r="L196" s="93"/>
      <c r="M196" s="93"/>
      <c r="N196" s="93"/>
      <c r="O196" s="93"/>
      <c r="P196" s="93"/>
      <c r="Q196" s="93"/>
      <c r="R196" s="93"/>
      <c r="S196" s="93"/>
    </row>
    <row r="197" spans="2:19" x14ac:dyDescent="0.35">
      <c r="C197" s="681">
        <f>+'F13 SEZ'!C195+'F13 Non SEZ'!C195-C195</f>
        <v>0</v>
      </c>
      <c r="D197" s="681">
        <f>+'F13 SEZ'!D195+'F13 Non SEZ'!D195-D195</f>
        <v>0</v>
      </c>
      <c r="E197" s="681">
        <f>+'F13 SEZ'!E195+'F13 Non SEZ'!E195-E195</f>
        <v>0</v>
      </c>
      <c r="F197" s="681">
        <f>+'F13 SEZ'!F195+'F13 Non SEZ'!F195-F195</f>
        <v>0</v>
      </c>
      <c r="G197" s="681">
        <f>+'F13 SEZ'!G195+'F13 Non SEZ'!G195-G195</f>
        <v>0</v>
      </c>
      <c r="H197" s="681">
        <f>+'F13 SEZ'!H195+'F13 Non SEZ'!H195-H195</f>
        <v>0</v>
      </c>
      <c r="I197" s="681">
        <f>+'F13 SEZ'!I195+'F13 Non SEZ'!I195-I195</f>
        <v>0</v>
      </c>
      <c r="J197" s="681">
        <f>+'F13 SEZ'!J195+'F13 Non SEZ'!J195-J195</f>
        <v>0</v>
      </c>
      <c r="K197" s="681">
        <f>+'F13 SEZ'!K195+'F13 Non SEZ'!K195-K195</f>
        <v>0</v>
      </c>
      <c r="L197" s="681">
        <f>+'F13 SEZ'!L195+'F13 Non SEZ'!L195-L195</f>
        <v>0</v>
      </c>
      <c r="M197" s="681">
        <f>+'F13 SEZ'!M195+'F13 Non SEZ'!M195-M195</f>
        <v>0</v>
      </c>
    </row>
    <row r="199" spans="2:19" x14ac:dyDescent="0.35">
      <c r="B199" s="16" t="s">
        <v>114</v>
      </c>
    </row>
    <row r="200" spans="2:19" x14ac:dyDescent="0.35">
      <c r="B200" s="16" t="s">
        <v>187</v>
      </c>
    </row>
    <row r="201" spans="2:19" ht="40.5" x14ac:dyDescent="0.35">
      <c r="B201" s="1984" t="s">
        <v>699</v>
      </c>
      <c r="C201" s="106" t="s">
        <v>700</v>
      </c>
      <c r="D201" s="106" t="s">
        <v>701</v>
      </c>
      <c r="E201" s="106" t="s">
        <v>702</v>
      </c>
      <c r="F201" s="106" t="s">
        <v>703</v>
      </c>
      <c r="G201" s="106" t="s">
        <v>704</v>
      </c>
      <c r="H201" s="1188" t="s">
        <v>1449</v>
      </c>
      <c r="I201" s="1188" t="s">
        <v>1450</v>
      </c>
      <c r="J201" s="1188" t="s">
        <v>1451</v>
      </c>
      <c r="K201" s="106" t="s">
        <v>1448</v>
      </c>
      <c r="L201" s="106" t="s">
        <v>705</v>
      </c>
      <c r="M201" s="106" t="s">
        <v>706</v>
      </c>
      <c r="N201" s="106" t="s">
        <v>707</v>
      </c>
      <c r="O201" s="106" t="s">
        <v>708</v>
      </c>
      <c r="P201" s="106" t="s">
        <v>709</v>
      </c>
      <c r="Q201" s="106" t="s">
        <v>710</v>
      </c>
      <c r="R201" s="106" t="s">
        <v>711</v>
      </c>
      <c r="S201" s="106" t="s">
        <v>116</v>
      </c>
    </row>
    <row r="202" spans="2:19" ht="39.4" x14ac:dyDescent="0.35">
      <c r="B202" s="1984"/>
      <c r="C202" s="1188" t="s">
        <v>128</v>
      </c>
      <c r="D202" s="1188" t="s">
        <v>129</v>
      </c>
      <c r="E202" s="1188" t="s">
        <v>712</v>
      </c>
      <c r="F202" s="1188" t="s">
        <v>130</v>
      </c>
      <c r="G202" s="1188" t="s">
        <v>131</v>
      </c>
      <c r="H202" s="1188" t="s">
        <v>331</v>
      </c>
      <c r="I202" s="1188" t="s">
        <v>132</v>
      </c>
      <c r="J202" s="1188" t="s">
        <v>133</v>
      </c>
      <c r="K202" s="1188" t="s">
        <v>332</v>
      </c>
      <c r="L202" s="1188" t="s">
        <v>333</v>
      </c>
      <c r="M202" s="1188" t="s">
        <v>1452</v>
      </c>
      <c r="N202" s="1188" t="s">
        <v>529</v>
      </c>
      <c r="O202" s="1188" t="s">
        <v>1453</v>
      </c>
      <c r="P202" s="1188" t="s">
        <v>1454</v>
      </c>
      <c r="Q202" s="1188" t="s">
        <v>531</v>
      </c>
      <c r="R202" s="1188" t="s">
        <v>1455</v>
      </c>
      <c r="S202" s="1188" t="s">
        <v>533</v>
      </c>
    </row>
    <row r="203" spans="2:19" x14ac:dyDescent="0.35">
      <c r="B203" s="517" t="s">
        <v>161</v>
      </c>
      <c r="C203" s="93"/>
      <c r="D203" s="93"/>
      <c r="E203" s="93"/>
      <c r="F203" s="93"/>
      <c r="G203" s="93"/>
      <c r="H203" s="93"/>
      <c r="I203" s="93"/>
      <c r="J203" s="93"/>
      <c r="K203" s="93"/>
      <c r="L203" s="93"/>
      <c r="M203" s="93"/>
      <c r="N203" s="93"/>
      <c r="O203" s="93"/>
      <c r="P203" s="93"/>
      <c r="Q203" s="93"/>
      <c r="R203" s="93"/>
      <c r="S203" s="93"/>
    </row>
    <row r="204" spans="2:19" x14ac:dyDescent="0.35">
      <c r="B204" s="429" t="s">
        <v>1129</v>
      </c>
      <c r="C204" s="1189">
        <f>+'F13 SEZ'!C204+'F13 Non SEZ'!C204</f>
        <v>3</v>
      </c>
      <c r="D204" s="1203">
        <f>+'F13 SEZ'!D204+'F13 Non SEZ'!D204</f>
        <v>73.164360000000002</v>
      </c>
      <c r="E204" s="1203">
        <f>+'F13 SEZ'!E204+'F13 Non SEZ'!E204</f>
        <v>9.0063697600000001</v>
      </c>
      <c r="F204" s="1203">
        <f>+'F13 SEZ'!F204+'F13 Non SEZ'!F204</f>
        <v>52.243014439999989</v>
      </c>
      <c r="G204" s="1203">
        <f>+'F13 SEZ'!G204+'F13 Non SEZ'!G204</f>
        <v>4.4086932000000001</v>
      </c>
      <c r="H204" s="1203">
        <f>+'F13 SEZ'!H204+'F13 Non SEZ'!H204</f>
        <v>-1.3952572449999998</v>
      </c>
      <c r="I204" s="1203">
        <f>+'F13 SEZ'!I204+'F13 Non SEZ'!I204</f>
        <v>0</v>
      </c>
      <c r="J204" s="1203">
        <f>+'F13 SEZ'!J204+'F13 Non SEZ'!J204</f>
        <v>0</v>
      </c>
      <c r="K204" s="1203">
        <f>+'F13 SEZ'!K204+'F13 Non SEZ'!K204</f>
        <v>0</v>
      </c>
      <c r="L204" s="1203">
        <f>+'F13 SEZ'!L204+'F13 Non SEZ'!L204</f>
        <v>0</v>
      </c>
      <c r="M204" s="1191">
        <f>SUM(E204:L204)</f>
        <v>64.262820154999986</v>
      </c>
      <c r="N204" s="1190"/>
      <c r="O204" s="1191">
        <f>+M204+N204</f>
        <v>64.262820154999986</v>
      </c>
      <c r="P204" s="887">
        <f>+IFERROR(O204/D204*10,0)</f>
        <v>8.7833502753253061</v>
      </c>
      <c r="Q204" s="58"/>
      <c r="R204" s="58"/>
      <c r="S204" s="19"/>
    </row>
    <row r="205" spans="2:19" x14ac:dyDescent="0.35">
      <c r="B205" s="429" t="s">
        <v>1130</v>
      </c>
      <c r="C205" s="1189">
        <f>+'F13 SEZ'!C205+'F13 Non SEZ'!C205</f>
        <v>4</v>
      </c>
      <c r="D205" s="1203">
        <f>+'F13 SEZ'!D205+'F13 Non SEZ'!D205</f>
        <v>0.49245180000000005</v>
      </c>
      <c r="E205" s="1203">
        <f>+'F13 SEZ'!E205+'F13 Non SEZ'!E205</f>
        <v>0.47130744299999994</v>
      </c>
      <c r="F205" s="1203">
        <f>+'F13 SEZ'!F205+'F13 Non SEZ'!F205</f>
        <v>0.58877928300000004</v>
      </c>
      <c r="G205" s="1203">
        <f>+'F13 SEZ'!G205+'F13 Non SEZ'!G205</f>
        <v>3.1457497000000001E-2</v>
      </c>
      <c r="H205" s="1203">
        <f>+'F13 SEZ'!H205+'F13 Non SEZ'!H205</f>
        <v>-7.9864465999999995E-2</v>
      </c>
      <c r="I205" s="1203">
        <f>+'F13 SEZ'!I205+'F13 Non SEZ'!I205</f>
        <v>0</v>
      </c>
      <c r="J205" s="1203">
        <f>+'F13 SEZ'!J205+'F13 Non SEZ'!J205</f>
        <v>0</v>
      </c>
      <c r="K205" s="1203">
        <f>+'F13 SEZ'!K205+'F13 Non SEZ'!K205</f>
        <v>0</v>
      </c>
      <c r="L205" s="1203">
        <f>+'F13 SEZ'!L205+'F13 Non SEZ'!L205</f>
        <v>0</v>
      </c>
      <c r="M205" s="1191">
        <f>SUM(E205:L205)</f>
        <v>1.011679757</v>
      </c>
      <c r="N205" s="1190"/>
      <c r="O205" s="1191">
        <f>+M205+N205</f>
        <v>1.011679757</v>
      </c>
      <c r="P205" s="887">
        <f>+IFERROR(O205/D205*10,0)</f>
        <v>20.543731528649097</v>
      </c>
      <c r="Q205" s="58"/>
      <c r="R205" s="58"/>
      <c r="S205" s="19"/>
    </row>
    <row r="206" spans="2:19" x14ac:dyDescent="0.35">
      <c r="B206" s="429" t="s">
        <v>1131</v>
      </c>
      <c r="C206" s="1189">
        <f>+'F13 SEZ'!C206+'F13 Non SEZ'!C206</f>
        <v>0</v>
      </c>
      <c r="D206" s="1203">
        <f>+'F13 SEZ'!D206+'F13 Non SEZ'!D206</f>
        <v>0</v>
      </c>
      <c r="E206" s="1203">
        <f>+'F13 SEZ'!E206+'F13 Non SEZ'!E206</f>
        <v>0</v>
      </c>
      <c r="F206" s="1203">
        <f>+'F13 SEZ'!F206+'F13 Non SEZ'!F206</f>
        <v>0</v>
      </c>
      <c r="G206" s="1203">
        <f>+'F13 SEZ'!G206+'F13 Non SEZ'!G206</f>
        <v>0</v>
      </c>
      <c r="H206" s="1203">
        <f>+'F13 SEZ'!H206+'F13 Non SEZ'!H206</f>
        <v>0</v>
      </c>
      <c r="I206" s="1203">
        <f>+'F13 SEZ'!I206+'F13 Non SEZ'!I206</f>
        <v>0</v>
      </c>
      <c r="J206" s="1203">
        <f>+'F13 SEZ'!J206+'F13 Non SEZ'!J206</f>
        <v>0</v>
      </c>
      <c r="K206" s="1203">
        <f>+'F13 SEZ'!K206+'F13 Non SEZ'!K206</f>
        <v>0</v>
      </c>
      <c r="L206" s="1203">
        <f>+'F13 SEZ'!L206+'F13 Non SEZ'!L206</f>
        <v>0</v>
      </c>
      <c r="M206" s="1191">
        <f>SUM(E206:L206)</f>
        <v>0</v>
      </c>
      <c r="N206" s="1190"/>
      <c r="O206" s="1191">
        <f>+M206+N206</f>
        <v>0</v>
      </c>
      <c r="P206" s="887">
        <f>+IFERROR(O206/D206*10,0)</f>
        <v>0</v>
      </c>
      <c r="Q206" s="58"/>
      <c r="R206" s="58"/>
      <c r="S206" s="19"/>
    </row>
    <row r="207" spans="2:19" ht="25.5" x14ac:dyDescent="0.35">
      <c r="B207" s="429" t="s">
        <v>1132</v>
      </c>
      <c r="C207" s="1189">
        <f>+'F13 SEZ'!C207+'F13 Non SEZ'!C207</f>
        <v>0</v>
      </c>
      <c r="D207" s="1203">
        <f>+'F13 SEZ'!D207+'F13 Non SEZ'!D207</f>
        <v>0</v>
      </c>
      <c r="E207" s="1203">
        <f>+'F13 SEZ'!E207+'F13 Non SEZ'!E207</f>
        <v>0</v>
      </c>
      <c r="F207" s="1203">
        <f>+'F13 SEZ'!F207+'F13 Non SEZ'!F207</f>
        <v>0</v>
      </c>
      <c r="G207" s="1203">
        <f>+'F13 SEZ'!G207+'F13 Non SEZ'!G207</f>
        <v>0</v>
      </c>
      <c r="H207" s="1203">
        <f>+'F13 SEZ'!H207+'F13 Non SEZ'!H207</f>
        <v>0</v>
      </c>
      <c r="I207" s="1203">
        <f>+'F13 SEZ'!I207+'F13 Non SEZ'!I207</f>
        <v>0</v>
      </c>
      <c r="J207" s="1203">
        <f>+'F13 SEZ'!J207+'F13 Non SEZ'!J207</f>
        <v>0</v>
      </c>
      <c r="K207" s="1203">
        <f>+'F13 SEZ'!K207+'F13 Non SEZ'!K207</f>
        <v>0</v>
      </c>
      <c r="L207" s="1203">
        <f>+'F13 SEZ'!L207+'F13 Non SEZ'!L207</f>
        <v>0</v>
      </c>
      <c r="M207" s="1191">
        <f>SUM(E207:L207)</f>
        <v>0</v>
      </c>
      <c r="N207" s="1190"/>
      <c r="O207" s="1191">
        <f>+M207+N207</f>
        <v>0</v>
      </c>
      <c r="P207" s="887">
        <f>+IFERROR(O207/D207*10,0)</f>
        <v>0</v>
      </c>
      <c r="Q207" s="58"/>
      <c r="R207" s="58"/>
      <c r="S207" s="19"/>
    </row>
    <row r="208" spans="2:19" x14ac:dyDescent="0.35">
      <c r="B208" s="518" t="s">
        <v>162</v>
      </c>
      <c r="C208" s="1192">
        <f t="shared" ref="C208:O208" si="35">SUM(C204:C207)</f>
        <v>7</v>
      </c>
      <c r="D208" s="1204">
        <f t="shared" si="35"/>
        <v>73.6568118</v>
      </c>
      <c r="E208" s="1204">
        <f t="shared" si="35"/>
        <v>9.4776772030000007</v>
      </c>
      <c r="F208" s="1204">
        <f t="shared" si="35"/>
        <v>52.83179372299999</v>
      </c>
      <c r="G208" s="1204">
        <f t="shared" si="35"/>
        <v>4.440150697</v>
      </c>
      <c r="H208" s="1204">
        <f t="shared" si="35"/>
        <v>-1.4751217109999999</v>
      </c>
      <c r="I208" s="1204">
        <f t="shared" si="35"/>
        <v>0</v>
      </c>
      <c r="J208" s="1204">
        <f t="shared" si="35"/>
        <v>0</v>
      </c>
      <c r="K208" s="1204">
        <f t="shared" si="35"/>
        <v>0</v>
      </c>
      <c r="L208" s="1204">
        <f t="shared" si="35"/>
        <v>0</v>
      </c>
      <c r="M208" s="1191">
        <f t="shared" si="35"/>
        <v>65.274499911999982</v>
      </c>
      <c r="N208" s="1191">
        <f t="shared" si="35"/>
        <v>0</v>
      </c>
      <c r="O208" s="1191">
        <f t="shared" si="35"/>
        <v>65.274499911999982</v>
      </c>
      <c r="P208" s="887">
        <f>+IFERROR(O208/D208*10,0)</f>
        <v>8.8619773673125479</v>
      </c>
      <c r="Q208" s="58"/>
      <c r="R208" s="58"/>
      <c r="S208" s="19"/>
    </row>
    <row r="209" spans="2:19" x14ac:dyDescent="0.35">
      <c r="B209" s="517" t="s">
        <v>163</v>
      </c>
      <c r="C209" s="1189"/>
      <c r="D209" s="1203"/>
      <c r="E209" s="1203"/>
      <c r="F209" s="1203"/>
      <c r="G209" s="1203"/>
      <c r="H209" s="1203"/>
      <c r="I209" s="1203"/>
      <c r="J209" s="1203"/>
      <c r="K209" s="1203"/>
      <c r="L209" s="1203"/>
      <c r="M209" s="1190"/>
      <c r="N209" s="1190"/>
      <c r="O209" s="1190"/>
      <c r="P209" s="887"/>
      <c r="Q209" s="58"/>
      <c r="R209" s="58"/>
      <c r="S209" s="19"/>
    </row>
    <row r="210" spans="2:19" x14ac:dyDescent="0.35">
      <c r="B210" s="519" t="s">
        <v>1133</v>
      </c>
      <c r="C210" s="1189">
        <f>+'F13 SEZ'!C210+'F13 Non SEZ'!C210</f>
        <v>0</v>
      </c>
      <c r="D210" s="1203">
        <f>+'F13 SEZ'!D210+'F13 Non SEZ'!D210</f>
        <v>0</v>
      </c>
      <c r="E210" s="1203">
        <f>+'F13 SEZ'!E210+'F13 Non SEZ'!E210</f>
        <v>0</v>
      </c>
      <c r="F210" s="1203">
        <f>+'F13 SEZ'!F210+'F13 Non SEZ'!F210</f>
        <v>0</v>
      </c>
      <c r="G210" s="1203">
        <f>+'F13 SEZ'!G210+'F13 Non SEZ'!G210</f>
        <v>0</v>
      </c>
      <c r="H210" s="1203">
        <f>+'F13 SEZ'!H210+'F13 Non SEZ'!H210</f>
        <v>0</v>
      </c>
      <c r="I210" s="1203">
        <f>+'F13 SEZ'!I210+'F13 Non SEZ'!I210</f>
        <v>0</v>
      </c>
      <c r="J210" s="1203">
        <f>+'F13 SEZ'!J210+'F13 Non SEZ'!J210</f>
        <v>0</v>
      </c>
      <c r="K210" s="1203">
        <f>+'F13 SEZ'!K210+'F13 Non SEZ'!K210</f>
        <v>0</v>
      </c>
      <c r="L210" s="1203">
        <f>+'F13 SEZ'!L210+'F13 Non SEZ'!L210</f>
        <v>0</v>
      </c>
      <c r="M210" s="1190"/>
      <c r="N210" s="1190"/>
      <c r="O210" s="1190"/>
      <c r="P210" s="887"/>
      <c r="Q210" s="58"/>
      <c r="R210" s="58"/>
      <c r="S210" s="19"/>
    </row>
    <row r="211" spans="2:19" x14ac:dyDescent="0.35">
      <c r="B211" s="520" t="s">
        <v>1106</v>
      </c>
      <c r="C211" s="1189">
        <f>+'F13 SEZ'!C211+'F13 Non SEZ'!C211</f>
        <v>1303</v>
      </c>
      <c r="D211" s="1203">
        <f>+'F13 SEZ'!D211+'F13 Non SEZ'!D211</f>
        <v>1.2685139999999999</v>
      </c>
      <c r="E211" s="1203">
        <f>+'F13 SEZ'!E211+'F13 Non SEZ'!E211</f>
        <v>0.73835305299999987</v>
      </c>
      <c r="F211" s="1203">
        <f>+'F13 SEZ'!F211+'F13 Non SEZ'!F211</f>
        <v>0.5074055999999999</v>
      </c>
      <c r="G211" s="1203">
        <f>+'F13 SEZ'!G211+'F13 Non SEZ'!G211</f>
        <v>0.14841613799999998</v>
      </c>
      <c r="H211" s="1203">
        <f>+'F13 SEZ'!H211+'F13 Non SEZ'!H211</f>
        <v>0</v>
      </c>
      <c r="I211" s="1203">
        <f>+'F13 SEZ'!I211+'F13 Non SEZ'!I211</f>
        <v>0</v>
      </c>
      <c r="J211" s="1203">
        <f>+'F13 SEZ'!J211+'F13 Non SEZ'!J211</f>
        <v>0</v>
      </c>
      <c r="K211" s="1203">
        <f>+'F13 SEZ'!K211+'F13 Non SEZ'!K211</f>
        <v>0</v>
      </c>
      <c r="L211" s="1203">
        <f>+'F13 SEZ'!L211+'F13 Non SEZ'!L211</f>
        <v>0</v>
      </c>
      <c r="M211" s="1191">
        <f t="shared" ref="M211:M223" si="36">SUM(E211:L211)</f>
        <v>1.3941747909999997</v>
      </c>
      <c r="N211" s="1190"/>
      <c r="O211" s="1191">
        <f t="shared" ref="O211:O223" si="37">+M211+N211</f>
        <v>1.3941747909999997</v>
      </c>
      <c r="P211" s="887">
        <f t="shared" ref="P211:P224" si="38">+IFERROR(O211/D211*10,0)</f>
        <v>10.990614143793444</v>
      </c>
      <c r="Q211" s="58"/>
      <c r="R211" s="58"/>
      <c r="S211" s="19"/>
    </row>
    <row r="212" spans="2:19" x14ac:dyDescent="0.35">
      <c r="B212" s="520" t="s">
        <v>1107</v>
      </c>
      <c r="C212" s="1189">
        <f>+'F13 SEZ'!C212+'F13 Non SEZ'!C212</f>
        <v>507</v>
      </c>
      <c r="D212" s="1203">
        <f>+'F13 SEZ'!D212+'F13 Non SEZ'!D212</f>
        <v>1.3396719999999998</v>
      </c>
      <c r="E212" s="1203">
        <f>+'F13 SEZ'!E212+'F13 Non SEZ'!E212</f>
        <v>0.27858770099999997</v>
      </c>
      <c r="F212" s="1203">
        <f>+'F13 SEZ'!F212+'F13 Non SEZ'!F212</f>
        <v>1.1722129999999999</v>
      </c>
      <c r="G212" s="1203">
        <f>+'F13 SEZ'!G212+'F13 Non SEZ'!G212</f>
        <v>0.156741624</v>
      </c>
      <c r="H212" s="1203">
        <f>+'F13 SEZ'!H212+'F13 Non SEZ'!H212</f>
        <v>0</v>
      </c>
      <c r="I212" s="1203">
        <f>+'F13 SEZ'!I212+'F13 Non SEZ'!I212</f>
        <v>0</v>
      </c>
      <c r="J212" s="1203">
        <f>+'F13 SEZ'!J212+'F13 Non SEZ'!J212</f>
        <v>0</v>
      </c>
      <c r="K212" s="1203">
        <f>+'F13 SEZ'!K212+'F13 Non SEZ'!K212</f>
        <v>0</v>
      </c>
      <c r="L212" s="1203">
        <f>+'F13 SEZ'!L212+'F13 Non SEZ'!L212</f>
        <v>0</v>
      </c>
      <c r="M212" s="1191">
        <f t="shared" si="36"/>
        <v>1.6075423249999998</v>
      </c>
      <c r="N212" s="1194"/>
      <c r="O212" s="1195">
        <f t="shared" si="37"/>
        <v>1.6075423249999998</v>
      </c>
      <c r="P212" s="887">
        <f t="shared" si="38"/>
        <v>11.999521711284553</v>
      </c>
      <c r="Q212" s="58"/>
      <c r="R212" s="58"/>
      <c r="S212" s="19"/>
    </row>
    <row r="213" spans="2:19" x14ac:dyDescent="0.35">
      <c r="B213" s="520" t="s">
        <v>1108</v>
      </c>
      <c r="C213" s="1189">
        <f>+'F13 SEZ'!C213+'F13 Non SEZ'!C213</f>
        <v>269</v>
      </c>
      <c r="D213" s="1203">
        <f>+'F13 SEZ'!D213+'F13 Non SEZ'!D213</f>
        <v>0.51790599999999987</v>
      </c>
      <c r="E213" s="1203">
        <f>+'F13 SEZ'!E213+'F13 Non SEZ'!E213</f>
        <v>0.1087336</v>
      </c>
      <c r="F213" s="1203">
        <f>+'F13 SEZ'!F213+'F13 Non SEZ'!F213</f>
        <v>0.64064972199999981</v>
      </c>
      <c r="G213" s="1203">
        <f>+'F13 SEZ'!G213+'F13 Non SEZ'!G213</f>
        <v>6.0595001999999995E-2</v>
      </c>
      <c r="H213" s="1203">
        <f>+'F13 SEZ'!H213+'F13 Non SEZ'!H213</f>
        <v>0</v>
      </c>
      <c r="I213" s="1203">
        <f>+'F13 SEZ'!I213+'F13 Non SEZ'!I213</f>
        <v>0</v>
      </c>
      <c r="J213" s="1203">
        <f>+'F13 SEZ'!J213+'F13 Non SEZ'!J213</f>
        <v>0</v>
      </c>
      <c r="K213" s="1203">
        <f>+'F13 SEZ'!K213+'F13 Non SEZ'!K213</f>
        <v>0</v>
      </c>
      <c r="L213" s="1203">
        <f>+'F13 SEZ'!L213+'F13 Non SEZ'!L213</f>
        <v>0</v>
      </c>
      <c r="M213" s="1191">
        <f t="shared" si="36"/>
        <v>0.80997832399999981</v>
      </c>
      <c r="N213" s="1190"/>
      <c r="O213" s="1191">
        <f t="shared" si="37"/>
        <v>0.80997832399999981</v>
      </c>
      <c r="P213" s="887">
        <f t="shared" si="38"/>
        <v>15.639485234772334</v>
      </c>
      <c r="Q213" s="58"/>
      <c r="R213" s="58"/>
      <c r="S213" s="19"/>
    </row>
    <row r="214" spans="2:19" x14ac:dyDescent="0.35">
      <c r="B214" s="520" t="s">
        <v>1109</v>
      </c>
      <c r="C214" s="1189">
        <f>+'F13 SEZ'!C214+'F13 Non SEZ'!C214</f>
        <v>193</v>
      </c>
      <c r="D214" s="1203">
        <f>+'F13 SEZ'!D214+'F13 Non SEZ'!D214</f>
        <v>1.9953139999999996</v>
      </c>
      <c r="E214" s="1203">
        <f>+'F13 SEZ'!E214+'F13 Non SEZ'!E214</f>
        <v>0.14582812699999997</v>
      </c>
      <c r="F214" s="1203">
        <f>+'F13 SEZ'!F214+'F13 Non SEZ'!F214</f>
        <v>2.8213739959999997</v>
      </c>
      <c r="G214" s="1203">
        <f>+'F13 SEZ'!G214+'F13 Non SEZ'!G214</f>
        <v>0.23345173799999996</v>
      </c>
      <c r="H214" s="1203">
        <f>+'F13 SEZ'!H214+'F13 Non SEZ'!H214</f>
        <v>0</v>
      </c>
      <c r="I214" s="1203">
        <f>+'F13 SEZ'!I214+'F13 Non SEZ'!I214</f>
        <v>0</v>
      </c>
      <c r="J214" s="1203">
        <f>+'F13 SEZ'!J214+'F13 Non SEZ'!J214</f>
        <v>0</v>
      </c>
      <c r="K214" s="1203">
        <f>+'F13 SEZ'!K214+'F13 Non SEZ'!K214</f>
        <v>0</v>
      </c>
      <c r="L214" s="1203">
        <f>+'F13 SEZ'!L214+'F13 Non SEZ'!L214</f>
        <v>0</v>
      </c>
      <c r="M214" s="1191">
        <f t="shared" si="36"/>
        <v>3.2006538609999997</v>
      </c>
      <c r="N214" s="1190"/>
      <c r="O214" s="1191">
        <f t="shared" si="37"/>
        <v>3.2006538609999997</v>
      </c>
      <c r="P214" s="887">
        <f t="shared" si="38"/>
        <v>16.040853023634376</v>
      </c>
      <c r="Q214" s="58"/>
      <c r="R214" s="58"/>
      <c r="S214" s="19"/>
    </row>
    <row r="215" spans="2:19" x14ac:dyDescent="0.35">
      <c r="B215" s="520" t="s">
        <v>1110</v>
      </c>
      <c r="C215" s="1189">
        <f>+'F13 SEZ'!C215+'F13 Non SEZ'!C215</f>
        <v>0</v>
      </c>
      <c r="D215" s="1203">
        <f>+'F13 SEZ'!D215+'F13 Non SEZ'!D215</f>
        <v>0</v>
      </c>
      <c r="E215" s="1203">
        <f>+'F13 SEZ'!E215+'F13 Non SEZ'!E215</f>
        <v>0</v>
      </c>
      <c r="F215" s="1203">
        <f>+'F13 SEZ'!F215+'F13 Non SEZ'!F215</f>
        <v>0</v>
      </c>
      <c r="G215" s="1203">
        <f>+'F13 SEZ'!G215+'F13 Non SEZ'!G215</f>
        <v>0</v>
      </c>
      <c r="H215" s="1203">
        <f>+'F13 SEZ'!H215+'F13 Non SEZ'!H215</f>
        <v>0</v>
      </c>
      <c r="I215" s="1203">
        <f>+'F13 SEZ'!I215+'F13 Non SEZ'!I215</f>
        <v>0</v>
      </c>
      <c r="J215" s="1203">
        <f>+'F13 SEZ'!J215+'F13 Non SEZ'!J215</f>
        <v>0</v>
      </c>
      <c r="K215" s="1203">
        <f>+'F13 SEZ'!K215+'F13 Non SEZ'!K215</f>
        <v>0</v>
      </c>
      <c r="L215" s="1203">
        <f>+'F13 SEZ'!L215+'F13 Non SEZ'!L215</f>
        <v>0</v>
      </c>
      <c r="M215" s="1191">
        <f t="shared" si="36"/>
        <v>0</v>
      </c>
      <c r="N215" s="1190"/>
      <c r="O215" s="1191">
        <f t="shared" si="37"/>
        <v>0</v>
      </c>
      <c r="P215" s="887">
        <f t="shared" si="38"/>
        <v>0</v>
      </c>
      <c r="Q215" s="58"/>
      <c r="R215" s="58"/>
      <c r="S215" s="19"/>
    </row>
    <row r="216" spans="2:19" x14ac:dyDescent="0.35">
      <c r="B216" s="519" t="s">
        <v>1139</v>
      </c>
      <c r="C216" s="1189">
        <f>+'F13 SEZ'!C216+'F13 Non SEZ'!C216</f>
        <v>0</v>
      </c>
      <c r="D216" s="1203">
        <f>+'F13 SEZ'!D216+'F13 Non SEZ'!D216</f>
        <v>0</v>
      </c>
      <c r="E216" s="1203">
        <f>+'F13 SEZ'!E216+'F13 Non SEZ'!E216</f>
        <v>0</v>
      </c>
      <c r="F216" s="1203">
        <f>+'F13 SEZ'!F216+'F13 Non SEZ'!F216</f>
        <v>0</v>
      </c>
      <c r="G216" s="1203">
        <f>+'F13 SEZ'!G216+'F13 Non SEZ'!G216</f>
        <v>0</v>
      </c>
      <c r="H216" s="1203">
        <f>+'F13 SEZ'!H216+'F13 Non SEZ'!H216</f>
        <v>0</v>
      </c>
      <c r="I216" s="1203">
        <f>+'F13 SEZ'!I216+'F13 Non SEZ'!I216</f>
        <v>0</v>
      </c>
      <c r="J216" s="1203">
        <f>+'F13 SEZ'!J216+'F13 Non SEZ'!J216</f>
        <v>0</v>
      </c>
      <c r="K216" s="1203">
        <f>+'F13 SEZ'!K216+'F13 Non SEZ'!K216</f>
        <v>0</v>
      </c>
      <c r="L216" s="1203">
        <f>+'F13 SEZ'!L216+'F13 Non SEZ'!L216</f>
        <v>0</v>
      </c>
      <c r="M216" s="1191">
        <f t="shared" si="36"/>
        <v>0</v>
      </c>
      <c r="N216" s="1190"/>
      <c r="O216" s="1191">
        <f t="shared" si="37"/>
        <v>0</v>
      </c>
      <c r="P216" s="887">
        <f t="shared" si="38"/>
        <v>0</v>
      </c>
      <c r="Q216" s="58"/>
      <c r="R216" s="58"/>
      <c r="S216" s="19"/>
    </row>
    <row r="217" spans="2:19" x14ac:dyDescent="0.35">
      <c r="B217" s="520" t="s">
        <v>1140</v>
      </c>
      <c r="C217" s="1189">
        <f>+'F13 SEZ'!C217+'F13 Non SEZ'!C217</f>
        <v>42</v>
      </c>
      <c r="D217" s="1203">
        <f>+'F13 SEZ'!D217+'F13 Non SEZ'!D217</f>
        <v>0.25776300000000002</v>
      </c>
      <c r="E217" s="1203">
        <f>+'F13 SEZ'!E217+'F13 Non SEZ'!E217</f>
        <v>2.5501888000000004E-2</v>
      </c>
      <c r="F217" s="1203">
        <f>+'F13 SEZ'!F217+'F13 Non SEZ'!F217</f>
        <v>0.18721427300000004</v>
      </c>
      <c r="G217" s="1203">
        <f>+'F13 SEZ'!G217+'F13 Non SEZ'!G217</f>
        <v>3.0158270999999997E-2</v>
      </c>
      <c r="H217" s="1203">
        <f>+'F13 SEZ'!H217+'F13 Non SEZ'!H217</f>
        <v>0</v>
      </c>
      <c r="I217" s="1203">
        <f>+'F13 SEZ'!I217+'F13 Non SEZ'!I217</f>
        <v>0</v>
      </c>
      <c r="J217" s="1203">
        <f>+'F13 SEZ'!J217+'F13 Non SEZ'!J217</f>
        <v>0</v>
      </c>
      <c r="K217" s="1203">
        <f>+'F13 SEZ'!K217+'F13 Non SEZ'!K217</f>
        <v>0</v>
      </c>
      <c r="L217" s="1203">
        <f>+'F13 SEZ'!L217+'F13 Non SEZ'!L217</f>
        <v>0</v>
      </c>
      <c r="M217" s="1191">
        <f t="shared" si="36"/>
        <v>0.24287443200000003</v>
      </c>
      <c r="N217" s="1190"/>
      <c r="O217" s="1191">
        <f t="shared" si="37"/>
        <v>0.24287443200000003</v>
      </c>
      <c r="P217" s="887">
        <f t="shared" si="38"/>
        <v>9.4223931285715956</v>
      </c>
      <c r="Q217" s="58"/>
      <c r="R217" s="58"/>
      <c r="S217" s="19"/>
    </row>
    <row r="218" spans="2:19" x14ac:dyDescent="0.35">
      <c r="B218" s="520" t="s">
        <v>1144</v>
      </c>
      <c r="C218" s="1189">
        <f>+'F13 SEZ'!C218+'F13 Non SEZ'!C218</f>
        <v>9</v>
      </c>
      <c r="D218" s="1203">
        <f>+'F13 SEZ'!D218+'F13 Non SEZ'!D218</f>
        <v>0.48194874999999998</v>
      </c>
      <c r="E218" s="1203">
        <f>+'F13 SEZ'!E218+'F13 Non SEZ'!E218</f>
        <v>0.118468462</v>
      </c>
      <c r="F218" s="1203">
        <f>+'F13 SEZ'!F218+'F13 Non SEZ'!F218</f>
        <v>0.53303531749999999</v>
      </c>
      <c r="G218" s="1203">
        <f>+'F13 SEZ'!G218+'F13 Non SEZ'!G218</f>
        <v>5.6388003749999992E-2</v>
      </c>
      <c r="H218" s="1203">
        <f>+'F13 SEZ'!H218+'F13 Non SEZ'!H218</f>
        <v>4.2870180000000001E-3</v>
      </c>
      <c r="I218" s="1203">
        <f>+'F13 SEZ'!I218+'F13 Non SEZ'!I218</f>
        <v>-2.0423569000000003E-2</v>
      </c>
      <c r="J218" s="1203">
        <f>+'F13 SEZ'!J218+'F13 Non SEZ'!J218</f>
        <v>0</v>
      </c>
      <c r="K218" s="1203">
        <f>+'F13 SEZ'!K218+'F13 Non SEZ'!K218</f>
        <v>0</v>
      </c>
      <c r="L218" s="1203">
        <f>+'F13 SEZ'!L218+'F13 Non SEZ'!L218</f>
        <v>0</v>
      </c>
      <c r="M218" s="1191">
        <f t="shared" si="36"/>
        <v>0.69175523225000002</v>
      </c>
      <c r="N218" s="1197"/>
      <c r="O218" s="1198">
        <f t="shared" si="37"/>
        <v>0.69175523225000002</v>
      </c>
      <c r="P218" s="887">
        <f t="shared" si="38"/>
        <v>14.353294458176311</v>
      </c>
      <c r="Q218" s="58"/>
      <c r="R218" s="58"/>
      <c r="S218" s="19"/>
    </row>
    <row r="219" spans="2:19" x14ac:dyDescent="0.35">
      <c r="B219" s="520" t="s">
        <v>1143</v>
      </c>
      <c r="C219" s="1189">
        <f>+'F13 SEZ'!C219+'F13 Non SEZ'!C219</f>
        <v>1</v>
      </c>
      <c r="D219" s="1203">
        <f>+'F13 SEZ'!D219+'F13 Non SEZ'!D219</f>
        <v>8.7541799999999989E-2</v>
      </c>
      <c r="E219" s="1203">
        <f>+'F13 SEZ'!E219+'F13 Non SEZ'!E219</f>
        <v>2.0920405E-2</v>
      </c>
      <c r="F219" s="1203">
        <f>+'F13 SEZ'!F219+'F13 Non SEZ'!F219</f>
        <v>0.11441713259999998</v>
      </c>
      <c r="G219" s="1203">
        <f>+'F13 SEZ'!G219+'F13 Non SEZ'!G219</f>
        <v>1.0242390599999998E-2</v>
      </c>
      <c r="H219" s="1203">
        <f>+'F13 SEZ'!H219+'F13 Non SEZ'!H219</f>
        <v>1.1625070000000001E-3</v>
      </c>
      <c r="I219" s="1203">
        <f>+'F13 SEZ'!I219+'F13 Non SEZ'!I219</f>
        <v>-3.8721350000000005E-3</v>
      </c>
      <c r="J219" s="1203">
        <f>+'F13 SEZ'!J219+'F13 Non SEZ'!J219</f>
        <v>0</v>
      </c>
      <c r="K219" s="1203">
        <f>+'F13 SEZ'!K219+'F13 Non SEZ'!K219</f>
        <v>0</v>
      </c>
      <c r="L219" s="1203">
        <f>+'F13 SEZ'!L219+'F13 Non SEZ'!L219</f>
        <v>0</v>
      </c>
      <c r="M219" s="1191">
        <f t="shared" si="36"/>
        <v>0.14287030019999999</v>
      </c>
      <c r="N219" s="1190"/>
      <c r="O219" s="1191">
        <f t="shared" si="37"/>
        <v>0.14287030019999999</v>
      </c>
      <c r="P219" s="887">
        <f t="shared" si="38"/>
        <v>16.320237897781404</v>
      </c>
      <c r="Q219" s="58"/>
      <c r="R219" s="58"/>
      <c r="S219" s="19"/>
    </row>
    <row r="220" spans="2:19" ht="25.5" x14ac:dyDescent="0.35">
      <c r="B220" s="519" t="s">
        <v>1111</v>
      </c>
      <c r="C220" s="1189">
        <f>+'F13 SEZ'!C220+'F13 Non SEZ'!C220</f>
        <v>2</v>
      </c>
      <c r="D220" s="1203">
        <f>+'F13 SEZ'!D220+'F13 Non SEZ'!D220</f>
        <v>0.56095090999999997</v>
      </c>
      <c r="E220" s="1203">
        <f>+'F13 SEZ'!E220+'F13 Non SEZ'!E220</f>
        <v>2.0725408000000001E-2</v>
      </c>
      <c r="F220" s="1203">
        <f>+'F13 SEZ'!F220+'F13 Non SEZ'!F220</f>
        <v>0.40051894974000007</v>
      </c>
      <c r="G220" s="1203">
        <f>+'F13 SEZ'!G220+'F13 Non SEZ'!G220</f>
        <v>6.5631256469999996E-2</v>
      </c>
      <c r="H220" s="1203">
        <f>+'F13 SEZ'!H220+'F13 Non SEZ'!H220</f>
        <v>-7.6215700000000011E-3</v>
      </c>
      <c r="I220" s="1203">
        <f>+'F13 SEZ'!I220+'F13 Non SEZ'!I220</f>
        <v>-2.644094E-3</v>
      </c>
      <c r="J220" s="1203">
        <f>+'F13 SEZ'!J220+'F13 Non SEZ'!J220</f>
        <v>0</v>
      </c>
      <c r="K220" s="1203">
        <f>+'F13 SEZ'!K220+'F13 Non SEZ'!K220</f>
        <v>0</v>
      </c>
      <c r="L220" s="1203">
        <f>+'F13 SEZ'!L220+'F13 Non SEZ'!L220</f>
        <v>0</v>
      </c>
      <c r="M220" s="1191">
        <f t="shared" si="36"/>
        <v>0.47660995021000008</v>
      </c>
      <c r="N220" s="1190"/>
      <c r="O220" s="1191">
        <f t="shared" si="37"/>
        <v>0.47660995021000008</v>
      </c>
      <c r="P220" s="887">
        <f t="shared" si="38"/>
        <v>8.4964645161196035</v>
      </c>
      <c r="Q220" s="58"/>
      <c r="R220" s="58"/>
      <c r="S220" s="19"/>
    </row>
    <row r="221" spans="2:19" ht="25.5" x14ac:dyDescent="0.35">
      <c r="B221" s="519" t="s">
        <v>1135</v>
      </c>
      <c r="C221" s="1189">
        <f>+'F13 SEZ'!C221+'F13 Non SEZ'!C221</f>
        <v>2</v>
      </c>
      <c r="D221" s="1203">
        <f>+'F13 SEZ'!D221+'F13 Non SEZ'!D221</f>
        <v>0.16315700000000002</v>
      </c>
      <c r="E221" s="1203">
        <f>+'F13 SEZ'!E221+'F13 Non SEZ'!E221</f>
        <v>1.3992000000000002E-3</v>
      </c>
      <c r="F221" s="1203">
        <f>+'F13 SEZ'!F221+'F13 Non SEZ'!F221</f>
        <v>8.5494267999999998E-2</v>
      </c>
      <c r="G221" s="1203">
        <f>+'F13 SEZ'!G221+'F13 Non SEZ'!G221</f>
        <v>1.9089369000000002E-2</v>
      </c>
      <c r="H221" s="1203">
        <f>+'F13 SEZ'!H221+'F13 Non SEZ'!H221</f>
        <v>0</v>
      </c>
      <c r="I221" s="1203">
        <f>+'F13 SEZ'!I221+'F13 Non SEZ'!I221</f>
        <v>0</v>
      </c>
      <c r="J221" s="1203">
        <f>+'F13 SEZ'!J221+'F13 Non SEZ'!J221</f>
        <v>0</v>
      </c>
      <c r="K221" s="1203">
        <f>+'F13 SEZ'!K221+'F13 Non SEZ'!K221</f>
        <v>0</v>
      </c>
      <c r="L221" s="1203">
        <f>+'F13 SEZ'!L221+'F13 Non SEZ'!L221</f>
        <v>0</v>
      </c>
      <c r="M221" s="1191">
        <f t="shared" si="36"/>
        <v>0.105982837</v>
      </c>
      <c r="N221" s="1190"/>
      <c r="O221" s="1191">
        <f t="shared" si="37"/>
        <v>0.105982837</v>
      </c>
      <c r="P221" s="887">
        <f t="shared" si="38"/>
        <v>6.4957578896400392</v>
      </c>
      <c r="Q221" s="58"/>
      <c r="R221" s="58"/>
      <c r="S221" s="19"/>
    </row>
    <row r="222" spans="2:19" ht="25.5" x14ac:dyDescent="0.35">
      <c r="B222" s="519" t="s">
        <v>1136</v>
      </c>
      <c r="C222" s="1189">
        <f>+'F13 SEZ'!C222+'F13 Non SEZ'!C222</f>
        <v>0</v>
      </c>
      <c r="D222" s="1203">
        <f>+'F13 SEZ'!D222+'F13 Non SEZ'!D222</f>
        <v>0</v>
      </c>
      <c r="E222" s="1203">
        <f>+'F13 SEZ'!E222+'F13 Non SEZ'!E222</f>
        <v>0</v>
      </c>
      <c r="F222" s="1203">
        <f>+'F13 SEZ'!F222+'F13 Non SEZ'!F222</f>
        <v>0</v>
      </c>
      <c r="G222" s="1203">
        <f>+'F13 SEZ'!G222+'F13 Non SEZ'!G222</f>
        <v>0</v>
      </c>
      <c r="H222" s="1203">
        <f>+'F13 SEZ'!H222+'F13 Non SEZ'!H222</f>
        <v>0</v>
      </c>
      <c r="I222" s="1203">
        <f>+'F13 SEZ'!I222+'F13 Non SEZ'!I222</f>
        <v>0</v>
      </c>
      <c r="J222" s="1203">
        <f>+'F13 SEZ'!J222+'F13 Non SEZ'!J222</f>
        <v>0</v>
      </c>
      <c r="K222" s="1203">
        <f>+'F13 SEZ'!K222+'F13 Non SEZ'!K222</f>
        <v>0</v>
      </c>
      <c r="L222" s="1203">
        <f>+'F13 SEZ'!L222+'F13 Non SEZ'!L222</f>
        <v>0</v>
      </c>
      <c r="M222" s="1191">
        <f t="shared" si="36"/>
        <v>0</v>
      </c>
      <c r="N222" s="1190"/>
      <c r="O222" s="1191">
        <f t="shared" si="37"/>
        <v>0</v>
      </c>
      <c r="P222" s="887">
        <f t="shared" si="38"/>
        <v>0</v>
      </c>
      <c r="Q222" s="58"/>
      <c r="R222" s="58"/>
      <c r="S222" s="19"/>
    </row>
    <row r="223" spans="2:19" x14ac:dyDescent="0.35">
      <c r="B223" s="519" t="s">
        <v>1142</v>
      </c>
      <c r="C223" s="1189">
        <f>+'F13 SEZ'!C223+'F13 Non SEZ'!C223</f>
        <v>10</v>
      </c>
      <c r="D223" s="1203">
        <f>+'F13 SEZ'!D223+'F13 Non SEZ'!D223</f>
        <v>3.2286402999999991E-2</v>
      </c>
      <c r="E223" s="1203">
        <f>+'F13 SEZ'!E223+'F13 Non SEZ'!E223</f>
        <v>6.510199999999999E-3</v>
      </c>
      <c r="F223" s="1203">
        <f>+'F13 SEZ'!F223+'F13 Non SEZ'!F223</f>
        <v>1.8048099277000001E-2</v>
      </c>
      <c r="G223" s="1203">
        <f>+'F13 SEZ'!G223+'F13 Non SEZ'!G223</f>
        <v>3.7775091509999999E-3</v>
      </c>
      <c r="H223" s="1203">
        <f>+'F13 SEZ'!H223+'F13 Non SEZ'!H223</f>
        <v>-2.2802140299999999E-3</v>
      </c>
      <c r="I223" s="1203">
        <f>+'F13 SEZ'!I223+'F13 Non SEZ'!I223</f>
        <v>-9.1071999999999985E-4</v>
      </c>
      <c r="J223" s="1203">
        <f>+'F13 SEZ'!J223+'F13 Non SEZ'!J223</f>
        <v>0</v>
      </c>
      <c r="K223" s="1203">
        <f>+'F13 SEZ'!K223+'F13 Non SEZ'!K223</f>
        <v>0</v>
      </c>
      <c r="L223" s="1203">
        <f>+'F13 SEZ'!L223+'F13 Non SEZ'!L223</f>
        <v>0</v>
      </c>
      <c r="M223" s="1191">
        <f t="shared" si="36"/>
        <v>2.5144874397999995E-2</v>
      </c>
      <c r="N223" s="1190"/>
      <c r="O223" s="1191">
        <f t="shared" si="37"/>
        <v>2.5144874397999995E-2</v>
      </c>
      <c r="P223" s="887">
        <f t="shared" si="38"/>
        <v>7.7880692990172999</v>
      </c>
      <c r="Q223" s="58"/>
      <c r="R223" s="58"/>
      <c r="S223" s="19"/>
    </row>
    <row r="224" spans="2:19" x14ac:dyDescent="0.35">
      <c r="B224" s="518" t="s">
        <v>162</v>
      </c>
      <c r="C224" s="1192">
        <f t="shared" ref="C224:I224" si="39">SUM(C211:C223)</f>
        <v>2338</v>
      </c>
      <c r="D224" s="1204">
        <f t="shared" si="39"/>
        <v>6.7050538629999989</v>
      </c>
      <c r="E224" s="1204">
        <f t="shared" si="39"/>
        <v>1.4650280439999999</v>
      </c>
      <c r="F224" s="1204">
        <f t="shared" si="39"/>
        <v>6.4803703581169989</v>
      </c>
      <c r="G224" s="1204">
        <f t="shared" si="39"/>
        <v>0.78449130197099992</v>
      </c>
      <c r="H224" s="1204">
        <f t="shared" si="39"/>
        <v>-4.4522590300000008E-3</v>
      </c>
      <c r="I224" s="1204">
        <f t="shared" si="39"/>
        <v>-2.7850518000000001E-2</v>
      </c>
      <c r="J224" s="1204">
        <f t="shared" ref="J224:O224" si="40">SUM(J211:J223)</f>
        <v>0</v>
      </c>
      <c r="K224" s="1204">
        <f t="shared" si="40"/>
        <v>0</v>
      </c>
      <c r="L224" s="1204">
        <f t="shared" si="40"/>
        <v>0</v>
      </c>
      <c r="M224" s="1204">
        <f t="shared" si="40"/>
        <v>8.6975869270579995</v>
      </c>
      <c r="N224" s="1191">
        <f>SUM(N211:N222)</f>
        <v>0</v>
      </c>
      <c r="O224" s="1204">
        <f t="shared" si="40"/>
        <v>8.6975869270579995</v>
      </c>
      <c r="P224" s="887">
        <f t="shared" si="38"/>
        <v>12.971688378304085</v>
      </c>
      <c r="Q224" s="58"/>
      <c r="R224" s="58"/>
      <c r="S224" s="19"/>
    </row>
    <row r="225" spans="2:19" x14ac:dyDescent="0.35">
      <c r="B225" s="518"/>
      <c r="C225" s="58"/>
      <c r="D225" s="1203"/>
      <c r="E225" s="1203"/>
      <c r="F225" s="1203"/>
      <c r="G225" s="1203"/>
      <c r="H225" s="1203"/>
      <c r="I225" s="1203"/>
      <c r="J225" s="1203"/>
      <c r="K225" s="1203"/>
      <c r="L225" s="1203"/>
      <c r="M225" s="1190"/>
      <c r="N225" s="1190"/>
      <c r="O225" s="1190"/>
      <c r="P225" s="887"/>
      <c r="Q225" s="58"/>
      <c r="R225" s="58"/>
      <c r="S225" s="19"/>
    </row>
    <row r="226" spans="2:19" x14ac:dyDescent="0.35">
      <c r="B226" s="119" t="s">
        <v>164</v>
      </c>
      <c r="C226" s="1192">
        <f>+C224+C208</f>
        <v>2345</v>
      </c>
      <c r="D226" s="1204">
        <f>+D224+D208</f>
        <v>80.361865663000003</v>
      </c>
      <c r="E226" s="1204">
        <f t="shared" ref="E226:M226" si="41">+E224+E208</f>
        <v>10.942705247000001</v>
      </c>
      <c r="F226" s="1204">
        <f t="shared" si="41"/>
        <v>59.31216408111699</v>
      </c>
      <c r="G226" s="1204">
        <f t="shared" si="41"/>
        <v>5.2246419989710002</v>
      </c>
      <c r="H226" s="1204">
        <f t="shared" si="41"/>
        <v>-1.4795739700299999</v>
      </c>
      <c r="I226" s="1204">
        <f t="shared" si="41"/>
        <v>-2.7850518000000001E-2</v>
      </c>
      <c r="J226" s="1204">
        <f t="shared" si="41"/>
        <v>0</v>
      </c>
      <c r="K226" s="1204">
        <f t="shared" si="41"/>
        <v>0</v>
      </c>
      <c r="L226" s="1204">
        <f t="shared" si="41"/>
        <v>0</v>
      </c>
      <c r="M226" s="1191">
        <f t="shared" si="41"/>
        <v>73.97208683905798</v>
      </c>
      <c r="N226" s="1191">
        <f>+N224+N208</f>
        <v>0</v>
      </c>
      <c r="O226" s="1191">
        <f>+O224+O208</f>
        <v>73.97208683905798</v>
      </c>
      <c r="P226" s="887">
        <f>+IFERROR(O226/D226*10,0)</f>
        <v>9.2048742558145964</v>
      </c>
      <c r="Q226" s="58"/>
      <c r="R226" s="58"/>
      <c r="S226" s="19"/>
    </row>
    <row r="227" spans="2:19" x14ac:dyDescent="0.35">
      <c r="B227" s="58"/>
      <c r="C227" s="681">
        <f>+'F13 SEZ'!C225+'F13 Non SEZ'!C225-C225</f>
        <v>0</v>
      </c>
      <c r="D227" s="681">
        <f>+'F13 SEZ'!D225+'F13 Non SEZ'!D225-D225</f>
        <v>0</v>
      </c>
      <c r="E227" s="681">
        <f>+'F13 SEZ'!E225+'F13 Non SEZ'!E225-E225</f>
        <v>0</v>
      </c>
      <c r="F227" s="681">
        <f>+'F13 SEZ'!F225+'F13 Non SEZ'!F225-F225</f>
        <v>0</v>
      </c>
      <c r="G227" s="681">
        <f>+'F13 SEZ'!G225+'F13 Non SEZ'!G225-G225</f>
        <v>0</v>
      </c>
      <c r="H227" s="681">
        <f>+'F13 SEZ'!H225+'F13 Non SEZ'!H225-H225</f>
        <v>0</v>
      </c>
      <c r="I227" s="681">
        <f>+'F13 SEZ'!I225+'F13 Non SEZ'!I225-I225</f>
        <v>0</v>
      </c>
      <c r="J227" s="681">
        <f>+'F13 SEZ'!J225+'F13 Non SEZ'!J225-J225</f>
        <v>0</v>
      </c>
      <c r="K227" s="681">
        <f>+'F13 SEZ'!K225+'F13 Non SEZ'!K225-K225</f>
        <v>0</v>
      </c>
      <c r="L227" s="681">
        <f>+'F13 SEZ'!L225+'F13 Non SEZ'!L225-L225</f>
        <v>0</v>
      </c>
      <c r="M227" s="681">
        <f>+'F13 SEZ'!M225+'F13 Non SEZ'!M225-M225</f>
        <v>0</v>
      </c>
      <c r="N227" s="93"/>
      <c r="O227" s="93"/>
      <c r="P227" s="93"/>
      <c r="Q227" s="93"/>
      <c r="R227" s="93"/>
      <c r="S227" s="93"/>
    </row>
    <row r="229" spans="2:19" x14ac:dyDescent="0.35">
      <c r="B229" s="661"/>
      <c r="E229" s="681"/>
      <c r="F229" s="681"/>
      <c r="G229" s="681"/>
      <c r="H229" s="681"/>
      <c r="I229" s="681"/>
    </row>
    <row r="230" spans="2:19" x14ac:dyDescent="0.35">
      <c r="B230" s="661"/>
      <c r="E230" s="681"/>
      <c r="F230" s="681"/>
      <c r="G230" s="681"/>
      <c r="H230" s="681"/>
      <c r="I230" s="681"/>
      <c r="J230" s="1456"/>
    </row>
    <row r="232" spans="2:19" x14ac:dyDescent="0.35">
      <c r="B232" s="661"/>
    </row>
    <row r="237" spans="2:19" x14ac:dyDescent="0.35">
      <c r="B237" s="16"/>
    </row>
  </sheetData>
  <mergeCells count="10">
    <mergeCell ref="B2:S2"/>
    <mergeCell ref="B3:S3"/>
    <mergeCell ref="B4:S4"/>
    <mergeCell ref="B201:B202"/>
    <mergeCell ref="B170:B171"/>
    <mergeCell ref="B140:B141"/>
    <mergeCell ref="B8:B9"/>
    <mergeCell ref="B44:B45"/>
    <mergeCell ref="B80:B81"/>
    <mergeCell ref="B110:B111"/>
  </mergeCells>
  <pageMargins left="0.39370078740157483" right="0.47244094488188981" top="0.70866141732283472" bottom="1.8897637795275593" header="0.51181102362204722" footer="0.51181102362204722"/>
  <pageSetup paperSize="9" scale="39" fitToHeight="2" orientation="landscape" r:id="rId1"/>
  <headerFooter alignWithMargins="0"/>
  <rowBreaks count="5" manualBreakCount="5">
    <brk id="41" min="1" max="18" man="1"/>
    <brk id="77" min="1" max="18" man="1"/>
    <brk id="107" min="1" max="18" man="1"/>
    <brk id="137" min="1" max="18" man="1"/>
    <brk id="167" min="1" max="1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5008A-F114-43F0-9DD4-ECCE7A6EA394}">
  <dimension ref="B1:S237"/>
  <sheetViews>
    <sheetView showGridLines="0" view="pageBreakPreview" topLeftCell="C1" zoomScale="60" zoomScaleNormal="80" workbookViewId="0">
      <selection activeCell="H205" sqref="H205"/>
    </sheetView>
  </sheetViews>
  <sheetFormatPr defaultColWidth="9.33203125" defaultRowHeight="13.9" x14ac:dyDescent="0.35"/>
  <cols>
    <col min="1" max="1" width="9.33203125" style="10"/>
    <col min="2" max="2" width="29.46484375" style="10" customWidth="1"/>
    <col min="3" max="3" width="14" style="57" customWidth="1"/>
    <col min="4" max="4" width="11.46484375" style="57" bestFit="1" customWidth="1"/>
    <col min="5" max="5" width="24.796875" style="57" bestFit="1" customWidth="1"/>
    <col min="6" max="6" width="20.33203125" style="57" bestFit="1" customWidth="1"/>
    <col min="7" max="7" width="23.1328125" style="57" bestFit="1" customWidth="1"/>
    <col min="8" max="8" width="17.6640625" style="57" bestFit="1" customWidth="1"/>
    <col min="9" max="10" width="17.86328125" style="57" bestFit="1" customWidth="1"/>
    <col min="11" max="11" width="12.46484375" style="57" customWidth="1"/>
    <col min="12" max="12" width="17.86328125" style="57" bestFit="1" customWidth="1"/>
    <col min="13" max="13" width="17.86328125" style="57" customWidth="1"/>
    <col min="14" max="14" width="19" style="57" customWidth="1"/>
    <col min="15" max="15" width="17.33203125" style="57" bestFit="1" customWidth="1"/>
    <col min="16" max="16" width="19" style="57" bestFit="1" customWidth="1"/>
    <col min="17" max="17" width="27.6640625" style="57" bestFit="1" customWidth="1"/>
    <col min="18" max="18" width="14.86328125" style="57" bestFit="1" customWidth="1"/>
    <col min="19" max="19" width="21.6640625" style="10" customWidth="1"/>
    <col min="20" max="16384" width="9.33203125" style="10"/>
  </cols>
  <sheetData>
    <row r="1" spans="2:19" s="1" customFormat="1" x14ac:dyDescent="0.4">
      <c r="B1" s="42"/>
      <c r="C1" s="108"/>
      <c r="D1" s="108"/>
      <c r="E1" s="108"/>
      <c r="F1" s="108"/>
      <c r="G1" s="108"/>
      <c r="H1" s="108"/>
      <c r="I1" s="108"/>
      <c r="J1" s="108"/>
      <c r="K1" s="108"/>
      <c r="L1" s="108"/>
      <c r="M1" s="108"/>
      <c r="N1" s="108"/>
      <c r="O1" s="108"/>
      <c r="P1" s="108"/>
      <c r="Q1" s="108"/>
      <c r="R1" s="108"/>
    </row>
    <row r="2" spans="2:19" s="1" customFormat="1"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row>
    <row r="3" spans="2:19" s="1" customFormat="1" x14ac:dyDescent="0.4">
      <c r="B3" s="1875" t="s">
        <v>211</v>
      </c>
      <c r="C3" s="1875"/>
      <c r="D3" s="1875"/>
      <c r="E3" s="1875"/>
      <c r="F3" s="1875"/>
      <c r="G3" s="1875"/>
      <c r="H3" s="1875"/>
      <c r="I3" s="1875"/>
      <c r="J3" s="1875"/>
      <c r="K3" s="1875"/>
      <c r="L3" s="1875"/>
      <c r="M3" s="1875"/>
      <c r="N3" s="1875"/>
      <c r="O3" s="1875"/>
      <c r="P3" s="1875"/>
      <c r="Q3" s="1875"/>
      <c r="R3" s="1875"/>
      <c r="S3" s="1875"/>
    </row>
    <row r="4" spans="2:19" s="1" customFormat="1" x14ac:dyDescent="0.4">
      <c r="B4" s="2079" t="s">
        <v>1460</v>
      </c>
      <c r="C4" s="2079"/>
      <c r="D4" s="2079"/>
      <c r="E4" s="2079"/>
      <c r="F4" s="2079"/>
      <c r="G4" s="2079"/>
      <c r="H4" s="2079"/>
      <c r="I4" s="2079"/>
      <c r="J4" s="2079"/>
      <c r="K4" s="2079"/>
      <c r="L4" s="2079"/>
      <c r="M4" s="2079"/>
      <c r="N4" s="2079"/>
      <c r="O4" s="2079"/>
      <c r="P4" s="2079"/>
      <c r="Q4" s="2079"/>
      <c r="R4" s="2079"/>
      <c r="S4" s="2079"/>
    </row>
    <row r="6" spans="2:19" x14ac:dyDescent="0.35">
      <c r="B6" s="40" t="s">
        <v>196</v>
      </c>
      <c r="C6" s="53"/>
      <c r="D6" s="53"/>
      <c r="E6" s="53"/>
      <c r="F6" s="53"/>
      <c r="G6" s="53"/>
      <c r="H6" s="53"/>
      <c r="I6" s="53"/>
      <c r="J6" s="53"/>
      <c r="K6" s="53"/>
      <c r="L6" s="53"/>
      <c r="M6" s="53"/>
      <c r="N6" s="53"/>
      <c r="O6" s="53"/>
    </row>
    <row r="7" spans="2:19" x14ac:dyDescent="0.35">
      <c r="B7" s="49"/>
    </row>
    <row r="8" spans="2:19" ht="40.5" x14ac:dyDescent="0.35">
      <c r="B8" s="1984" t="s">
        <v>699</v>
      </c>
      <c r="C8" s="106" t="s">
        <v>700</v>
      </c>
      <c r="D8" s="106" t="s">
        <v>701</v>
      </c>
      <c r="E8" s="106" t="s">
        <v>702</v>
      </c>
      <c r="F8" s="106" t="s">
        <v>703</v>
      </c>
      <c r="G8" s="106" t="s">
        <v>704</v>
      </c>
      <c r="H8" s="1188" t="s">
        <v>1449</v>
      </c>
      <c r="I8" s="1188" t="s">
        <v>1450</v>
      </c>
      <c r="J8" s="1188" t="s">
        <v>1451</v>
      </c>
      <c r="K8" s="106" t="s">
        <v>1448</v>
      </c>
      <c r="L8" s="106" t="s">
        <v>705</v>
      </c>
      <c r="M8" s="106" t="s">
        <v>706</v>
      </c>
      <c r="N8" s="106" t="s">
        <v>707</v>
      </c>
      <c r="O8" s="106" t="s">
        <v>708</v>
      </c>
      <c r="P8" s="106" t="s">
        <v>709</v>
      </c>
      <c r="Q8" s="106" t="s">
        <v>710</v>
      </c>
      <c r="R8" s="106" t="s">
        <v>711</v>
      </c>
      <c r="S8" s="106" t="s">
        <v>116</v>
      </c>
    </row>
    <row r="9" spans="2:19" ht="39.4" x14ac:dyDescent="0.35">
      <c r="B9" s="1984"/>
      <c r="C9" s="1188" t="s">
        <v>128</v>
      </c>
      <c r="D9" s="1188" t="s">
        <v>129</v>
      </c>
      <c r="E9" s="1188" t="s">
        <v>712</v>
      </c>
      <c r="F9" s="1188" t="s">
        <v>130</v>
      </c>
      <c r="G9" s="1188" t="s">
        <v>131</v>
      </c>
      <c r="H9" s="1188" t="s">
        <v>331</v>
      </c>
      <c r="I9" s="1188" t="s">
        <v>132</v>
      </c>
      <c r="J9" s="1188" t="s">
        <v>133</v>
      </c>
      <c r="K9" s="1188" t="s">
        <v>332</v>
      </c>
      <c r="L9" s="1188" t="s">
        <v>333</v>
      </c>
      <c r="M9" s="1188" t="s">
        <v>1452</v>
      </c>
      <c r="N9" s="1188" t="s">
        <v>529</v>
      </c>
      <c r="O9" s="1188" t="s">
        <v>1453</v>
      </c>
      <c r="P9" s="1188" t="s">
        <v>1454</v>
      </c>
      <c r="Q9" s="1188" t="s">
        <v>531</v>
      </c>
      <c r="R9" s="1188" t="s">
        <v>1455</v>
      </c>
      <c r="S9" s="1188" t="s">
        <v>533</v>
      </c>
    </row>
    <row r="10" spans="2:19" x14ac:dyDescent="0.35">
      <c r="B10" s="517" t="s">
        <v>161</v>
      </c>
      <c r="C10" s="93"/>
      <c r="D10" s="93"/>
      <c r="E10" s="93"/>
      <c r="F10" s="93"/>
      <c r="G10" s="93"/>
      <c r="H10" s="93"/>
      <c r="I10" s="93"/>
      <c r="J10" s="93"/>
      <c r="K10" s="93"/>
      <c r="L10" s="93"/>
      <c r="M10" s="93"/>
      <c r="N10" s="93"/>
      <c r="O10" s="93"/>
      <c r="P10" s="93"/>
      <c r="Q10" s="93"/>
      <c r="R10" s="93"/>
      <c r="S10" s="93"/>
    </row>
    <row r="11" spans="2:19" x14ac:dyDescent="0.35">
      <c r="B11" s="429" t="s">
        <v>1129</v>
      </c>
      <c r="C11" s="1189"/>
      <c r="D11" s="1190"/>
      <c r="E11" s="1190"/>
      <c r="F11" s="1190"/>
      <c r="G11" s="1190"/>
      <c r="H11" s="1190"/>
      <c r="I11" s="1190"/>
      <c r="J11" s="1190"/>
      <c r="K11" s="58"/>
      <c r="L11" s="1190"/>
      <c r="M11" s="1191"/>
      <c r="N11" s="1190"/>
      <c r="O11" s="1191"/>
      <c r="P11" s="887"/>
      <c r="Q11" s="58"/>
      <c r="R11" s="58"/>
      <c r="S11" s="19"/>
    </row>
    <row r="12" spans="2:19" x14ac:dyDescent="0.35">
      <c r="B12" s="429" t="s">
        <v>1130</v>
      </c>
      <c r="C12" s="1189"/>
      <c r="D12" s="1190"/>
      <c r="E12" s="1190"/>
      <c r="F12" s="1190"/>
      <c r="G12" s="1190"/>
      <c r="H12" s="1190"/>
      <c r="I12" s="1190"/>
      <c r="J12" s="1190"/>
      <c r="K12" s="58"/>
      <c r="L12" s="1190"/>
      <c r="M12" s="1191"/>
      <c r="N12" s="1190"/>
      <c r="O12" s="1191"/>
      <c r="P12" s="887"/>
      <c r="Q12" s="58"/>
      <c r="R12" s="58"/>
      <c r="S12" s="19"/>
    </row>
    <row r="13" spans="2:19" x14ac:dyDescent="0.35">
      <c r="B13" s="429" t="s">
        <v>1131</v>
      </c>
      <c r="C13" s="1189"/>
      <c r="D13" s="1190"/>
      <c r="E13" s="1190"/>
      <c r="F13" s="1190"/>
      <c r="G13" s="1190"/>
      <c r="H13" s="1190"/>
      <c r="I13" s="1190"/>
      <c r="J13" s="1190"/>
      <c r="K13" s="58"/>
      <c r="L13" s="1190"/>
      <c r="M13" s="1191"/>
      <c r="N13" s="1190"/>
      <c r="O13" s="1191"/>
      <c r="P13" s="887"/>
      <c r="Q13" s="58"/>
      <c r="R13" s="58"/>
      <c r="S13" s="19"/>
    </row>
    <row r="14" spans="2:19" ht="25.5" x14ac:dyDescent="0.35">
      <c r="B14" s="429" t="s">
        <v>1132</v>
      </c>
      <c r="C14" s="1189"/>
      <c r="D14" s="1190"/>
      <c r="E14" s="1190"/>
      <c r="F14" s="1190"/>
      <c r="G14" s="1190"/>
      <c r="H14" s="1190"/>
      <c r="I14" s="1190"/>
      <c r="J14" s="1190"/>
      <c r="K14" s="58"/>
      <c r="L14" s="1190"/>
      <c r="M14" s="1191"/>
      <c r="N14" s="1190"/>
      <c r="O14" s="1191"/>
      <c r="P14" s="887"/>
      <c r="Q14" s="58"/>
      <c r="R14" s="58"/>
      <c r="S14" s="19"/>
    </row>
    <row r="15" spans="2:19" x14ac:dyDescent="0.35">
      <c r="B15" s="518" t="s">
        <v>162</v>
      </c>
      <c r="C15" s="1192"/>
      <c r="D15" s="1191"/>
      <c r="E15" s="1191"/>
      <c r="F15" s="1191"/>
      <c r="G15" s="1191"/>
      <c r="H15" s="1191"/>
      <c r="I15" s="1191"/>
      <c r="J15" s="1191"/>
      <c r="K15" s="1191"/>
      <c r="L15" s="1191"/>
      <c r="M15" s="1191"/>
      <c r="N15" s="1191"/>
      <c r="O15" s="1191"/>
      <c r="P15" s="887"/>
      <c r="Q15" s="58"/>
      <c r="R15" s="58"/>
      <c r="S15" s="19"/>
    </row>
    <row r="16" spans="2:19" x14ac:dyDescent="0.35">
      <c r="B16" s="517" t="s">
        <v>163</v>
      </c>
      <c r="C16" s="1189"/>
      <c r="D16" s="1190"/>
      <c r="E16" s="1190"/>
      <c r="F16" s="1190"/>
      <c r="G16" s="1190"/>
      <c r="H16" s="1190"/>
      <c r="I16" s="1190"/>
      <c r="J16" s="1190"/>
      <c r="K16" s="58"/>
      <c r="L16" s="1190"/>
      <c r="M16" s="1190"/>
      <c r="N16" s="1190"/>
      <c r="O16" s="1190"/>
      <c r="P16" s="887"/>
      <c r="Q16" s="58"/>
      <c r="R16" s="58"/>
      <c r="S16" s="19"/>
    </row>
    <row r="17" spans="2:19" x14ac:dyDescent="0.35">
      <c r="B17" s="519" t="s">
        <v>1133</v>
      </c>
      <c r="C17" s="1189"/>
      <c r="D17" s="1190"/>
      <c r="E17" s="1190"/>
      <c r="F17" s="1190"/>
      <c r="G17" s="1190"/>
      <c r="H17" s="1190"/>
      <c r="I17" s="1190"/>
      <c r="J17" s="1190"/>
      <c r="K17" s="58"/>
      <c r="L17" s="1190"/>
      <c r="M17" s="1190"/>
      <c r="N17" s="1190"/>
      <c r="O17" s="1190"/>
      <c r="P17" s="887"/>
      <c r="Q17" s="58"/>
      <c r="R17" s="58"/>
      <c r="S17" s="19"/>
    </row>
    <row r="18" spans="2:19" x14ac:dyDescent="0.35">
      <c r="B18" s="520" t="s">
        <v>1106</v>
      </c>
      <c r="C18" s="1189"/>
      <c r="D18" s="1190"/>
      <c r="E18" s="1190"/>
      <c r="F18" s="1190"/>
      <c r="G18" s="1190"/>
      <c r="H18" s="1190"/>
      <c r="I18" s="1190"/>
      <c r="J18" s="1190"/>
      <c r="K18" s="58"/>
      <c r="L18" s="1190"/>
      <c r="M18" s="1191"/>
      <c r="N18" s="1190"/>
      <c r="O18" s="1191"/>
      <c r="P18" s="887"/>
      <c r="Q18" s="58"/>
      <c r="R18" s="58"/>
      <c r="S18" s="19"/>
    </row>
    <row r="19" spans="2:19" x14ac:dyDescent="0.35">
      <c r="B19" s="520" t="s">
        <v>1107</v>
      </c>
      <c r="C19" s="1193"/>
      <c r="D19" s="1194"/>
      <c r="E19" s="1194"/>
      <c r="F19" s="1194"/>
      <c r="G19" s="1194"/>
      <c r="H19" s="1194"/>
      <c r="I19" s="1194"/>
      <c r="J19" s="1190"/>
      <c r="K19" s="58"/>
      <c r="L19" s="1190"/>
      <c r="M19" s="1191"/>
      <c r="N19" s="1194"/>
      <c r="O19" s="1195"/>
      <c r="P19" s="887"/>
      <c r="Q19" s="58"/>
      <c r="R19" s="58"/>
      <c r="S19" s="19"/>
    </row>
    <row r="20" spans="2:19" x14ac:dyDescent="0.35">
      <c r="B20" s="520" t="s">
        <v>1108</v>
      </c>
      <c r="C20" s="1189"/>
      <c r="D20" s="1190"/>
      <c r="E20" s="1190"/>
      <c r="F20" s="1190"/>
      <c r="G20" s="1190"/>
      <c r="H20" s="1190"/>
      <c r="I20" s="1190"/>
      <c r="J20" s="1190"/>
      <c r="K20" s="58"/>
      <c r="L20" s="1190"/>
      <c r="M20" s="1191"/>
      <c r="N20" s="1190"/>
      <c r="O20" s="1191"/>
      <c r="P20" s="887"/>
      <c r="Q20" s="58"/>
      <c r="R20" s="58"/>
      <c r="S20" s="19"/>
    </row>
    <row r="21" spans="2:19" x14ac:dyDescent="0.35">
      <c r="B21" s="520" t="s">
        <v>1109</v>
      </c>
      <c r="C21" s="1189"/>
      <c r="D21" s="1190"/>
      <c r="E21" s="1190"/>
      <c r="F21" s="1190"/>
      <c r="G21" s="1190"/>
      <c r="H21" s="1190"/>
      <c r="I21" s="1190"/>
      <c r="J21" s="1190"/>
      <c r="K21" s="58"/>
      <c r="L21" s="1190"/>
      <c r="M21" s="1191"/>
      <c r="N21" s="1190"/>
      <c r="O21" s="1191"/>
      <c r="P21" s="887"/>
      <c r="Q21" s="58"/>
      <c r="R21" s="58"/>
      <c r="S21" s="19"/>
    </row>
    <row r="22" spans="2:19" x14ac:dyDescent="0.35">
      <c r="B22" s="520" t="s">
        <v>1110</v>
      </c>
      <c r="C22" s="1189"/>
      <c r="D22" s="1190"/>
      <c r="E22" s="1190"/>
      <c r="F22" s="1190"/>
      <c r="G22" s="1190"/>
      <c r="H22" s="1190"/>
      <c r="I22" s="1190"/>
      <c r="J22" s="1190"/>
      <c r="K22" s="58"/>
      <c r="L22" s="1190"/>
      <c r="M22" s="1191"/>
      <c r="N22" s="1190"/>
      <c r="O22" s="1191"/>
      <c r="P22" s="887"/>
      <c r="Q22" s="58"/>
      <c r="R22" s="58"/>
      <c r="S22" s="19"/>
    </row>
    <row r="23" spans="2:19" x14ac:dyDescent="0.35">
      <c r="B23" s="519" t="s">
        <v>1139</v>
      </c>
      <c r="C23" s="1189"/>
      <c r="D23" s="1190"/>
      <c r="E23" s="58"/>
      <c r="F23" s="1190"/>
      <c r="G23" s="58"/>
      <c r="H23" s="58"/>
      <c r="I23" s="58"/>
      <c r="J23" s="58"/>
      <c r="K23" s="58"/>
      <c r="L23" s="1190"/>
      <c r="M23" s="1191"/>
      <c r="N23" s="1190"/>
      <c r="O23" s="1191"/>
      <c r="P23" s="887"/>
      <c r="Q23" s="58"/>
      <c r="R23" s="58"/>
      <c r="S23" s="19"/>
    </row>
    <row r="24" spans="2:19" x14ac:dyDescent="0.35">
      <c r="B24" s="520" t="s">
        <v>1140</v>
      </c>
      <c r="C24" s="1189"/>
      <c r="D24" s="1190"/>
      <c r="E24" s="1190"/>
      <c r="F24" s="1190"/>
      <c r="G24" s="1190"/>
      <c r="H24" s="1190"/>
      <c r="I24" s="1190"/>
      <c r="J24" s="1190"/>
      <c r="K24" s="58"/>
      <c r="L24" s="1190"/>
      <c r="M24" s="1191"/>
      <c r="N24" s="1190"/>
      <c r="O24" s="1191"/>
      <c r="P24" s="887"/>
      <c r="Q24" s="58"/>
      <c r="R24" s="58"/>
      <c r="S24" s="19"/>
    </row>
    <row r="25" spans="2:19" x14ac:dyDescent="0.35">
      <c r="B25" s="520" t="s">
        <v>1144</v>
      </c>
      <c r="C25" s="1196"/>
      <c r="D25" s="1197"/>
      <c r="E25" s="1197"/>
      <c r="F25" s="1197"/>
      <c r="G25" s="1197"/>
      <c r="H25" s="1197"/>
      <c r="I25" s="1197"/>
      <c r="J25" s="1190"/>
      <c r="K25" s="58"/>
      <c r="L25" s="1190"/>
      <c r="M25" s="1191"/>
      <c r="N25" s="1197"/>
      <c r="O25" s="1198"/>
      <c r="P25" s="887"/>
      <c r="Q25" s="58"/>
      <c r="R25" s="58"/>
      <c r="S25" s="19"/>
    </row>
    <row r="26" spans="2:19" x14ac:dyDescent="0.35">
      <c r="B26" s="520" t="s">
        <v>1143</v>
      </c>
      <c r="C26" s="1189"/>
      <c r="D26" s="1190"/>
      <c r="E26" s="1190"/>
      <c r="F26" s="1190"/>
      <c r="G26" s="1190"/>
      <c r="H26" s="1190"/>
      <c r="I26" s="1190"/>
      <c r="J26" s="1190"/>
      <c r="K26" s="58"/>
      <c r="L26" s="1190"/>
      <c r="M26" s="1191"/>
      <c r="N26" s="1190"/>
      <c r="O26" s="1191"/>
      <c r="P26" s="887"/>
      <c r="Q26" s="58"/>
      <c r="R26" s="58"/>
      <c r="S26" s="19"/>
    </row>
    <row r="27" spans="2:19" ht="25.5" x14ac:dyDescent="0.35">
      <c r="B27" s="519" t="s">
        <v>1111</v>
      </c>
      <c r="C27" s="1189"/>
      <c r="D27" s="1190"/>
      <c r="E27" s="1190"/>
      <c r="F27" s="1190"/>
      <c r="G27" s="1190"/>
      <c r="H27" s="1190"/>
      <c r="I27" s="1190"/>
      <c r="J27" s="1190"/>
      <c r="K27" s="58"/>
      <c r="L27" s="1190"/>
      <c r="M27" s="1191"/>
      <c r="N27" s="1190"/>
      <c r="O27" s="1191"/>
      <c r="P27" s="887"/>
      <c r="Q27" s="58"/>
      <c r="R27" s="58"/>
      <c r="S27" s="19"/>
    </row>
    <row r="28" spans="2:19" ht="25.5" x14ac:dyDescent="0.35">
      <c r="B28" s="519" t="s">
        <v>1135</v>
      </c>
      <c r="C28" s="1189"/>
      <c r="D28" s="1190"/>
      <c r="E28" s="1190"/>
      <c r="F28" s="1190"/>
      <c r="G28" s="1190"/>
      <c r="H28" s="1190"/>
      <c r="I28" s="1190"/>
      <c r="J28" s="1190"/>
      <c r="K28" s="58"/>
      <c r="L28" s="1190"/>
      <c r="M28" s="1191"/>
      <c r="N28" s="1190"/>
      <c r="O28" s="1191"/>
      <c r="P28" s="887"/>
      <c r="Q28" s="58"/>
      <c r="R28" s="58"/>
      <c r="S28" s="19"/>
    </row>
    <row r="29" spans="2:19" ht="25.5" x14ac:dyDescent="0.35">
      <c r="B29" s="519" t="s">
        <v>1136</v>
      </c>
      <c r="C29" s="1189"/>
      <c r="D29" s="1190"/>
      <c r="E29" s="1190"/>
      <c r="F29" s="1190"/>
      <c r="G29" s="1190"/>
      <c r="H29" s="1190"/>
      <c r="I29" s="1190"/>
      <c r="J29" s="1190"/>
      <c r="K29" s="58"/>
      <c r="L29" s="1190"/>
      <c r="M29" s="1191"/>
      <c r="N29" s="1190"/>
      <c r="O29" s="1191"/>
      <c r="P29" s="887"/>
      <c r="Q29" s="58"/>
      <c r="R29" s="58"/>
      <c r="S29" s="19"/>
    </row>
    <row r="30" spans="2:19" x14ac:dyDescent="0.35">
      <c r="B30" s="519" t="s">
        <v>1142</v>
      </c>
      <c r="C30" s="1189"/>
      <c r="D30" s="1190"/>
      <c r="E30" s="1190"/>
      <c r="F30" s="1190"/>
      <c r="G30" s="1190"/>
      <c r="H30" s="1190"/>
      <c r="I30" s="1190"/>
      <c r="J30" s="1190"/>
      <c r="K30" s="58"/>
      <c r="L30" s="1190"/>
      <c r="M30" s="1191"/>
      <c r="N30" s="1190"/>
      <c r="O30" s="1191"/>
      <c r="P30" s="887"/>
      <c r="Q30" s="58"/>
      <c r="R30" s="58"/>
      <c r="S30" s="19"/>
    </row>
    <row r="31" spans="2:19" x14ac:dyDescent="0.35">
      <c r="B31" s="518" t="s">
        <v>162</v>
      </c>
      <c r="C31" s="1192"/>
      <c r="D31" s="1191"/>
      <c r="E31" s="1191"/>
      <c r="F31" s="1191"/>
      <c r="G31" s="1191"/>
      <c r="H31" s="1191"/>
      <c r="I31" s="1191"/>
      <c r="J31" s="1191"/>
      <c r="K31" s="58"/>
      <c r="L31" s="1191"/>
      <c r="M31" s="1191"/>
      <c r="N31" s="1191"/>
      <c r="O31" s="1191"/>
      <c r="P31" s="887"/>
      <c r="Q31" s="58"/>
      <c r="R31" s="58"/>
      <c r="S31" s="19"/>
    </row>
    <row r="32" spans="2:19" x14ac:dyDescent="0.35">
      <c r="B32" s="518"/>
      <c r="C32" s="58"/>
      <c r="D32" s="1190"/>
      <c r="E32" s="1190"/>
      <c r="F32" s="1190"/>
      <c r="G32" s="1190"/>
      <c r="H32" s="1190"/>
      <c r="I32" s="1190"/>
      <c r="J32" s="1190"/>
      <c r="K32" s="58"/>
      <c r="L32" s="1190"/>
      <c r="M32" s="1190"/>
      <c r="N32" s="1190"/>
      <c r="O32" s="1190"/>
      <c r="P32" s="887"/>
      <c r="Q32" s="58"/>
      <c r="R32" s="58"/>
      <c r="S32" s="19"/>
    </row>
    <row r="33" spans="2:19" x14ac:dyDescent="0.35">
      <c r="B33" s="119" t="s">
        <v>164</v>
      </c>
      <c r="C33" s="1192"/>
      <c r="D33" s="1191"/>
      <c r="E33" s="1191"/>
      <c r="F33" s="1191"/>
      <c r="G33" s="1191"/>
      <c r="H33" s="1191"/>
      <c r="I33" s="1191"/>
      <c r="J33" s="1191"/>
      <c r="K33" s="1191"/>
      <c r="L33" s="1191"/>
      <c r="M33" s="1191"/>
      <c r="N33" s="1191"/>
      <c r="O33" s="1191"/>
      <c r="P33" s="887"/>
      <c r="Q33" s="58"/>
      <c r="R33" s="58"/>
      <c r="S33" s="19"/>
    </row>
    <row r="34" spans="2:19" x14ac:dyDescent="0.35">
      <c r="B34" s="277"/>
    </row>
    <row r="35" spans="2:19" x14ac:dyDescent="0.35">
      <c r="B35" s="118" t="s">
        <v>165</v>
      </c>
      <c r="C35" s="1199"/>
      <c r="D35" s="1199"/>
      <c r="E35" s="1199"/>
      <c r="F35" s="1199"/>
      <c r="G35" s="1199"/>
      <c r="H35" s="1199"/>
      <c r="I35" s="1199"/>
      <c r="J35" s="1199"/>
      <c r="K35" s="1199"/>
      <c r="L35" s="1199"/>
      <c r="M35" s="1199"/>
      <c r="N35" s="1199"/>
      <c r="O35" s="1199"/>
    </row>
    <row r="36" spans="2:19" x14ac:dyDescent="0.35">
      <c r="B36" s="156" t="s">
        <v>714</v>
      </c>
      <c r="C36" s="1200"/>
      <c r="D36" s="1200"/>
      <c r="E36" s="1200"/>
      <c r="F36" s="1200"/>
      <c r="G36" s="1200"/>
      <c r="H36" s="1200"/>
      <c r="I36" s="1200"/>
      <c r="J36" s="1200"/>
      <c r="K36" s="1200"/>
      <c r="L36" s="1200"/>
      <c r="M36" s="1200"/>
      <c r="N36" s="1200"/>
      <c r="O36" s="1200"/>
    </row>
    <row r="37" spans="2:19" x14ac:dyDescent="0.35">
      <c r="B37" s="10" t="s">
        <v>715</v>
      </c>
    </row>
    <row r="38" spans="2:19" x14ac:dyDescent="0.35">
      <c r="B38" s="10" t="s">
        <v>716</v>
      </c>
    </row>
    <row r="39" spans="2:19" x14ac:dyDescent="0.35">
      <c r="B39" s="10" t="s">
        <v>717</v>
      </c>
    </row>
    <row r="42" spans="2:19" x14ac:dyDescent="0.35">
      <c r="B42" s="40" t="s">
        <v>197</v>
      </c>
      <c r="C42" s="53"/>
      <c r="D42" s="53"/>
      <c r="E42" s="53"/>
      <c r="F42" s="53"/>
      <c r="G42" s="53"/>
      <c r="H42" s="53"/>
      <c r="I42" s="53"/>
      <c r="J42" s="53"/>
      <c r="K42" s="53"/>
      <c r="L42" s="53"/>
      <c r="M42" s="53"/>
      <c r="N42" s="53"/>
      <c r="O42" s="53"/>
    </row>
    <row r="43" spans="2:19" x14ac:dyDescent="0.35">
      <c r="B43" s="49"/>
    </row>
    <row r="44" spans="2:19" ht="40.5" x14ac:dyDescent="0.35">
      <c r="B44" s="1984" t="s">
        <v>699</v>
      </c>
      <c r="C44" s="106" t="s">
        <v>700</v>
      </c>
      <c r="D44" s="106" t="s">
        <v>701</v>
      </c>
      <c r="E44" s="106" t="s">
        <v>702</v>
      </c>
      <c r="F44" s="106" t="s">
        <v>703</v>
      </c>
      <c r="G44" s="106" t="s">
        <v>704</v>
      </c>
      <c r="H44" s="1188" t="s">
        <v>1449</v>
      </c>
      <c r="I44" s="1188" t="s">
        <v>1450</v>
      </c>
      <c r="J44" s="1188" t="s">
        <v>1451</v>
      </c>
      <c r="K44" s="106" t="s">
        <v>1448</v>
      </c>
      <c r="L44" s="106" t="s">
        <v>705</v>
      </c>
      <c r="M44" s="106" t="s">
        <v>706</v>
      </c>
      <c r="N44" s="106" t="s">
        <v>707</v>
      </c>
      <c r="O44" s="106" t="s">
        <v>708</v>
      </c>
      <c r="P44" s="106" t="s">
        <v>709</v>
      </c>
      <c r="Q44" s="106" t="s">
        <v>710</v>
      </c>
      <c r="R44" s="106" t="s">
        <v>711</v>
      </c>
      <c r="S44" s="106" t="s">
        <v>116</v>
      </c>
    </row>
    <row r="45" spans="2:19" ht="39.4" x14ac:dyDescent="0.35">
      <c r="B45" s="1984"/>
      <c r="C45" s="1188" t="s">
        <v>128</v>
      </c>
      <c r="D45" s="1188" t="s">
        <v>129</v>
      </c>
      <c r="E45" s="1188" t="s">
        <v>712</v>
      </c>
      <c r="F45" s="1188" t="s">
        <v>130</v>
      </c>
      <c r="G45" s="1188" t="s">
        <v>131</v>
      </c>
      <c r="H45" s="1188" t="s">
        <v>331</v>
      </c>
      <c r="I45" s="1188" t="s">
        <v>132</v>
      </c>
      <c r="J45" s="1188" t="s">
        <v>133</v>
      </c>
      <c r="K45" s="1188" t="s">
        <v>332</v>
      </c>
      <c r="L45" s="1188" t="s">
        <v>333</v>
      </c>
      <c r="M45" s="1188" t="s">
        <v>1452</v>
      </c>
      <c r="N45" s="1188" t="s">
        <v>529</v>
      </c>
      <c r="O45" s="1188" t="s">
        <v>1453</v>
      </c>
      <c r="P45" s="1188" t="s">
        <v>1454</v>
      </c>
      <c r="Q45" s="1188" t="s">
        <v>531</v>
      </c>
      <c r="R45" s="1188" t="s">
        <v>1455</v>
      </c>
      <c r="S45" s="1188" t="s">
        <v>533</v>
      </c>
    </row>
    <row r="46" spans="2:19" x14ac:dyDescent="0.35">
      <c r="B46" s="517" t="s">
        <v>161</v>
      </c>
      <c r="C46" s="93"/>
      <c r="D46" s="93"/>
      <c r="E46" s="93"/>
      <c r="F46" s="93"/>
      <c r="G46" s="93"/>
      <c r="H46" s="93"/>
      <c r="I46" s="93"/>
      <c r="J46" s="93"/>
      <c r="K46" s="93"/>
      <c r="L46" s="93"/>
      <c r="M46" s="93"/>
      <c r="N46" s="93"/>
      <c r="O46" s="93"/>
      <c r="P46" s="93"/>
      <c r="Q46" s="93"/>
      <c r="R46" s="93"/>
      <c r="S46" s="93"/>
    </row>
    <row r="47" spans="2:19" x14ac:dyDescent="0.35">
      <c r="B47" s="429" t="s">
        <v>1129</v>
      </c>
      <c r="C47" s="1189"/>
      <c r="D47" s="1190">
        <f>+'F1 SEZ'!D12</f>
        <v>0</v>
      </c>
      <c r="E47" s="1190"/>
      <c r="F47" s="1190"/>
      <c r="G47" s="1190"/>
      <c r="H47" s="1190"/>
      <c r="I47" s="1190"/>
      <c r="J47" s="1190"/>
      <c r="K47" s="58"/>
      <c r="L47" s="1190"/>
      <c r="M47" s="1191">
        <f>SUM(E47:L47)</f>
        <v>0</v>
      </c>
      <c r="N47" s="1190"/>
      <c r="O47" s="1191">
        <f>+M47+N47</f>
        <v>0</v>
      </c>
      <c r="P47" s="887">
        <f>+IFERROR(O47/D47*10,0)</f>
        <v>0</v>
      </c>
      <c r="Q47" s="58"/>
      <c r="R47" s="58"/>
      <c r="S47" s="19"/>
    </row>
    <row r="48" spans="2:19" x14ac:dyDescent="0.35">
      <c r="B48" s="429" t="s">
        <v>1130</v>
      </c>
      <c r="C48" s="1189">
        <v>1</v>
      </c>
      <c r="D48" s="1190">
        <f>+'F1 SEZ'!D13</f>
        <v>0.56330385000000005</v>
      </c>
      <c r="E48" s="1190">
        <v>9.551045200000001E-2</v>
      </c>
      <c r="F48" s="1190">
        <v>0.67596462000000002</v>
      </c>
      <c r="G48" s="1190">
        <v>4.2811092599999989E-2</v>
      </c>
      <c r="H48" s="1190">
        <v>-3.6103540000000001E-3</v>
      </c>
      <c r="I48" s="1190">
        <v>-6.3923939999999992E-3</v>
      </c>
      <c r="J48" s="1190">
        <v>1.9900300000000001E-4</v>
      </c>
      <c r="K48" s="58"/>
      <c r="L48" s="1190"/>
      <c r="M48" s="1191">
        <f>SUM(E48:L48)</f>
        <v>0.80448241959999989</v>
      </c>
      <c r="N48" s="1190"/>
      <c r="O48" s="1191">
        <f>+M48+N48</f>
        <v>0.80448241959999989</v>
      </c>
      <c r="P48" s="887">
        <f>+IFERROR(O48/D48*10,0)</f>
        <v>14.281500465512526</v>
      </c>
      <c r="Q48" s="58"/>
      <c r="R48" s="58"/>
      <c r="S48" s="19"/>
    </row>
    <row r="49" spans="2:19" x14ac:dyDescent="0.35">
      <c r="B49" s="429" t="s">
        <v>1131</v>
      </c>
      <c r="C49" s="1189"/>
      <c r="D49" s="1190">
        <f>+'F1 SEZ'!D14</f>
        <v>0</v>
      </c>
      <c r="E49" s="1190"/>
      <c r="F49" s="1190"/>
      <c r="G49" s="1190"/>
      <c r="H49" s="1190"/>
      <c r="I49" s="1190"/>
      <c r="J49" s="1190"/>
      <c r="K49" s="58"/>
      <c r="L49" s="1190"/>
      <c r="M49" s="1191">
        <f>SUM(E49:L49)</f>
        <v>0</v>
      </c>
      <c r="N49" s="1190"/>
      <c r="O49" s="1191">
        <f>+M49+N49</f>
        <v>0</v>
      </c>
      <c r="P49" s="887">
        <f>+IFERROR(O49/D49*10,0)</f>
        <v>0</v>
      </c>
      <c r="Q49" s="58"/>
      <c r="R49" s="58"/>
      <c r="S49" s="19"/>
    </row>
    <row r="50" spans="2:19" ht="25.5" x14ac:dyDescent="0.35">
      <c r="B50" s="429" t="s">
        <v>1132</v>
      </c>
      <c r="C50" s="1189"/>
      <c r="D50" s="1190">
        <f>+'F1 SEZ'!D15</f>
        <v>0</v>
      </c>
      <c r="E50" s="1190"/>
      <c r="F50" s="1190"/>
      <c r="G50" s="1190"/>
      <c r="H50" s="1190"/>
      <c r="I50" s="1190"/>
      <c r="J50" s="1190"/>
      <c r="K50" s="58"/>
      <c r="L50" s="1190"/>
      <c r="M50" s="1191">
        <f>SUM(E50:L50)</f>
        <v>0</v>
      </c>
      <c r="N50" s="1190"/>
      <c r="O50" s="1191">
        <f>+M50+N50</f>
        <v>0</v>
      </c>
      <c r="P50" s="887">
        <f>+IFERROR(O50/D50*10,0)</f>
        <v>0</v>
      </c>
      <c r="Q50" s="58"/>
      <c r="R50" s="58"/>
      <c r="S50" s="19"/>
    </row>
    <row r="51" spans="2:19" x14ac:dyDescent="0.35">
      <c r="B51" s="518" t="s">
        <v>162</v>
      </c>
      <c r="C51" s="1192">
        <f>SUM(C47:C50)</f>
        <v>1</v>
      </c>
      <c r="D51" s="1191">
        <f t="shared" ref="D51:O51" si="0">SUM(D47:D50)</f>
        <v>0.56330385000000005</v>
      </c>
      <c r="E51" s="1191">
        <f t="shared" si="0"/>
        <v>9.551045200000001E-2</v>
      </c>
      <c r="F51" s="1191">
        <f t="shared" si="0"/>
        <v>0.67596462000000002</v>
      </c>
      <c r="G51" s="1191">
        <f t="shared" si="0"/>
        <v>4.2811092599999989E-2</v>
      </c>
      <c r="H51" s="1191">
        <f t="shared" si="0"/>
        <v>-3.6103540000000001E-3</v>
      </c>
      <c r="I51" s="1191">
        <f t="shared" si="0"/>
        <v>-6.3923939999999992E-3</v>
      </c>
      <c r="J51" s="1191">
        <f t="shared" si="0"/>
        <v>1.9900300000000001E-4</v>
      </c>
      <c r="K51" s="1191">
        <f t="shared" si="0"/>
        <v>0</v>
      </c>
      <c r="L51" s="1191">
        <f t="shared" si="0"/>
        <v>0</v>
      </c>
      <c r="M51" s="1191">
        <f t="shared" si="0"/>
        <v>0.80448241959999989</v>
      </c>
      <c r="N51" s="1191">
        <f t="shared" si="0"/>
        <v>0</v>
      </c>
      <c r="O51" s="1191">
        <f t="shared" si="0"/>
        <v>0.80448241959999989</v>
      </c>
      <c r="P51" s="887">
        <f>+IFERROR(O51/D51*10,0)</f>
        <v>14.281500465512526</v>
      </c>
      <c r="Q51" s="58"/>
      <c r="R51" s="58"/>
      <c r="S51" s="19"/>
    </row>
    <row r="52" spans="2:19" x14ac:dyDescent="0.35">
      <c r="B52" s="517" t="s">
        <v>163</v>
      </c>
      <c r="C52" s="1189"/>
      <c r="D52" s="1190"/>
      <c r="E52" s="1190"/>
      <c r="F52" s="1190"/>
      <c r="G52" s="1190"/>
      <c r="H52" s="1190"/>
      <c r="I52" s="1190"/>
      <c r="J52" s="1190"/>
      <c r="K52" s="58"/>
      <c r="L52" s="1190"/>
      <c r="M52" s="1190"/>
      <c r="N52" s="1190"/>
      <c r="O52" s="1190"/>
      <c r="P52" s="887"/>
      <c r="Q52" s="58"/>
      <c r="R52" s="58"/>
      <c r="S52" s="19"/>
    </row>
    <row r="53" spans="2:19" x14ac:dyDescent="0.35">
      <c r="B53" s="519" t="s">
        <v>1133</v>
      </c>
      <c r="C53" s="1189"/>
      <c r="D53" s="1190"/>
      <c r="E53" s="1190"/>
      <c r="F53" s="1190"/>
      <c r="G53" s="1190"/>
      <c r="H53" s="1190"/>
      <c r="I53" s="1190"/>
      <c r="J53" s="1190"/>
      <c r="K53" s="58"/>
      <c r="L53" s="1190"/>
      <c r="M53" s="1190"/>
      <c r="N53" s="1190"/>
      <c r="O53" s="1190"/>
      <c r="P53" s="887"/>
      <c r="Q53" s="58"/>
      <c r="R53" s="58"/>
      <c r="S53" s="19"/>
    </row>
    <row r="54" spans="2:19" x14ac:dyDescent="0.35">
      <c r="B54" s="520" t="s">
        <v>1106</v>
      </c>
      <c r="C54" s="1189"/>
      <c r="D54" s="1190">
        <f>+'F1 SEZ'!D19</f>
        <v>0</v>
      </c>
      <c r="E54" s="1190"/>
      <c r="F54" s="1190"/>
      <c r="G54" s="1190"/>
      <c r="H54" s="1190"/>
      <c r="I54" s="1190"/>
      <c r="J54" s="1190"/>
      <c r="K54" s="58"/>
      <c r="L54" s="1190"/>
      <c r="M54" s="1191">
        <f t="shared" ref="M54:M66" si="1">SUM(E54:L54)</f>
        <v>0</v>
      </c>
      <c r="N54" s="1190"/>
      <c r="O54" s="1191">
        <f t="shared" ref="O54:O66" si="2">+M54+N54</f>
        <v>0</v>
      </c>
      <c r="P54" s="887">
        <f t="shared" ref="P54:P67" si="3">+IFERROR(O54/D54*10,0)</f>
        <v>0</v>
      </c>
      <c r="Q54" s="58"/>
      <c r="R54" s="58"/>
      <c r="S54" s="19"/>
    </row>
    <row r="55" spans="2:19" x14ac:dyDescent="0.35">
      <c r="B55" s="520" t="s">
        <v>1107</v>
      </c>
      <c r="C55" s="1193"/>
      <c r="D55" s="1190">
        <f>+'F1 SEZ'!D20</f>
        <v>0</v>
      </c>
      <c r="E55" s="1194"/>
      <c r="F55" s="1194"/>
      <c r="G55" s="1194"/>
      <c r="H55" s="1194"/>
      <c r="I55" s="1194"/>
      <c r="J55" s="1190"/>
      <c r="K55" s="58"/>
      <c r="L55" s="1190"/>
      <c r="M55" s="1191">
        <f t="shared" si="1"/>
        <v>0</v>
      </c>
      <c r="N55" s="1194"/>
      <c r="O55" s="1195">
        <f t="shared" si="2"/>
        <v>0</v>
      </c>
      <c r="P55" s="887">
        <f t="shared" si="3"/>
        <v>0</v>
      </c>
      <c r="Q55" s="58"/>
      <c r="R55" s="58"/>
      <c r="S55" s="19"/>
    </row>
    <row r="56" spans="2:19" x14ac:dyDescent="0.35">
      <c r="B56" s="520" t="s">
        <v>1108</v>
      </c>
      <c r="C56" s="1189"/>
      <c r="D56" s="1190">
        <f>+'F1 SEZ'!D21</f>
        <v>0</v>
      </c>
      <c r="E56" s="1190"/>
      <c r="F56" s="1190"/>
      <c r="G56" s="1190"/>
      <c r="H56" s="1190"/>
      <c r="I56" s="1190"/>
      <c r="J56" s="1190"/>
      <c r="K56" s="58"/>
      <c r="L56" s="1190"/>
      <c r="M56" s="1191">
        <f t="shared" si="1"/>
        <v>0</v>
      </c>
      <c r="N56" s="1190"/>
      <c r="O56" s="1191">
        <f t="shared" si="2"/>
        <v>0</v>
      </c>
      <c r="P56" s="887">
        <f t="shared" si="3"/>
        <v>0</v>
      </c>
      <c r="Q56" s="58"/>
      <c r="R56" s="58"/>
      <c r="S56" s="19"/>
    </row>
    <row r="57" spans="2:19" x14ac:dyDescent="0.35">
      <c r="B57" s="520" t="s">
        <v>1109</v>
      </c>
      <c r="C57" s="1189"/>
      <c r="D57" s="1190">
        <f>+'F1 SEZ'!D22</f>
        <v>0</v>
      </c>
      <c r="E57" s="1190"/>
      <c r="F57" s="1190"/>
      <c r="G57" s="1190"/>
      <c r="H57" s="1190"/>
      <c r="I57" s="1190"/>
      <c r="J57" s="1190"/>
      <c r="K57" s="58"/>
      <c r="L57" s="1190"/>
      <c r="M57" s="1191">
        <f t="shared" si="1"/>
        <v>0</v>
      </c>
      <c r="N57" s="1190"/>
      <c r="O57" s="1191">
        <f t="shared" si="2"/>
        <v>0</v>
      </c>
      <c r="P57" s="887">
        <f t="shared" si="3"/>
        <v>0</v>
      </c>
      <c r="Q57" s="58"/>
      <c r="R57" s="58"/>
      <c r="S57" s="19"/>
    </row>
    <row r="58" spans="2:19" x14ac:dyDescent="0.35">
      <c r="B58" s="520" t="s">
        <v>1110</v>
      </c>
      <c r="C58" s="1189"/>
      <c r="D58" s="1190">
        <f>+'F1 SEZ'!D23</f>
        <v>0</v>
      </c>
      <c r="E58" s="1190"/>
      <c r="F58" s="1190"/>
      <c r="G58" s="1190"/>
      <c r="H58" s="1190"/>
      <c r="I58" s="1190"/>
      <c r="J58" s="1190"/>
      <c r="K58" s="58"/>
      <c r="L58" s="1190"/>
      <c r="M58" s="1191">
        <f t="shared" si="1"/>
        <v>0</v>
      </c>
      <c r="N58" s="1190"/>
      <c r="O58" s="1191">
        <f t="shared" si="2"/>
        <v>0</v>
      </c>
      <c r="P58" s="887">
        <f t="shared" si="3"/>
        <v>0</v>
      </c>
      <c r="Q58" s="58"/>
      <c r="R58" s="58"/>
      <c r="S58" s="19"/>
    </row>
    <row r="59" spans="2:19" x14ac:dyDescent="0.35">
      <c r="B59" s="519" t="s">
        <v>1139</v>
      </c>
      <c r="C59" s="1189"/>
      <c r="D59" s="1190">
        <f>+'F1 SEZ'!D24</f>
        <v>0</v>
      </c>
      <c r="E59" s="58"/>
      <c r="F59" s="1190"/>
      <c r="G59" s="58"/>
      <c r="H59" s="58"/>
      <c r="I59" s="58"/>
      <c r="J59" s="58"/>
      <c r="K59" s="58"/>
      <c r="L59" s="1190"/>
      <c r="M59" s="1191">
        <f t="shared" si="1"/>
        <v>0</v>
      </c>
      <c r="N59" s="1190"/>
      <c r="O59" s="1191">
        <f t="shared" si="2"/>
        <v>0</v>
      </c>
      <c r="P59" s="887">
        <f t="shared" si="3"/>
        <v>0</v>
      </c>
      <c r="Q59" s="58"/>
      <c r="R59" s="58"/>
      <c r="S59" s="19"/>
    </row>
    <row r="60" spans="2:19" x14ac:dyDescent="0.35">
      <c r="B60" s="520" t="s">
        <v>1140</v>
      </c>
      <c r="C60" s="1189"/>
      <c r="D60" s="1190">
        <f>+'F1 SEZ'!D25</f>
        <v>0</v>
      </c>
      <c r="E60" s="1190"/>
      <c r="F60" s="1190"/>
      <c r="G60" s="1190"/>
      <c r="H60" s="1190"/>
      <c r="I60" s="1190"/>
      <c r="J60" s="1190"/>
      <c r="K60" s="58"/>
      <c r="L60" s="1190"/>
      <c r="M60" s="1191">
        <f t="shared" si="1"/>
        <v>0</v>
      </c>
      <c r="N60" s="1190"/>
      <c r="O60" s="1191">
        <f t="shared" si="2"/>
        <v>0</v>
      </c>
      <c r="P60" s="887">
        <f t="shared" si="3"/>
        <v>0</v>
      </c>
      <c r="Q60" s="58"/>
      <c r="R60" s="58"/>
      <c r="S60" s="19"/>
    </row>
    <row r="61" spans="2:19" x14ac:dyDescent="0.35">
      <c r="B61" s="520" t="s">
        <v>1144</v>
      </c>
      <c r="C61" s="1196"/>
      <c r="D61" s="1190">
        <f>+'F1 SEZ'!D26</f>
        <v>0</v>
      </c>
      <c r="E61" s="1197"/>
      <c r="F61" s="1197"/>
      <c r="G61" s="1197"/>
      <c r="H61" s="1197"/>
      <c r="I61" s="1197"/>
      <c r="J61" s="1190"/>
      <c r="K61" s="58"/>
      <c r="L61" s="1190"/>
      <c r="M61" s="1191">
        <f t="shared" si="1"/>
        <v>0</v>
      </c>
      <c r="N61" s="1197"/>
      <c r="O61" s="1198">
        <f t="shared" si="2"/>
        <v>0</v>
      </c>
      <c r="P61" s="887">
        <f t="shared" si="3"/>
        <v>0</v>
      </c>
      <c r="Q61" s="58"/>
      <c r="R61" s="58"/>
      <c r="S61" s="19"/>
    </row>
    <row r="62" spans="2:19" x14ac:dyDescent="0.35">
      <c r="B62" s="520" t="s">
        <v>1143</v>
      </c>
      <c r="C62" s="1189"/>
      <c r="D62" s="1190">
        <f>+'F1 SEZ'!D27</f>
        <v>0</v>
      </c>
      <c r="E62" s="1190"/>
      <c r="F62" s="1190"/>
      <c r="G62" s="1190"/>
      <c r="H62" s="1190"/>
      <c r="I62" s="1190"/>
      <c r="J62" s="1190"/>
      <c r="K62" s="58"/>
      <c r="L62" s="1190"/>
      <c r="M62" s="1191">
        <f t="shared" si="1"/>
        <v>0</v>
      </c>
      <c r="N62" s="1190"/>
      <c r="O62" s="1191">
        <f t="shared" si="2"/>
        <v>0</v>
      </c>
      <c r="P62" s="887">
        <f t="shared" si="3"/>
        <v>0</v>
      </c>
      <c r="Q62" s="58"/>
      <c r="R62" s="58"/>
      <c r="S62" s="19"/>
    </row>
    <row r="63" spans="2:19" ht="25.5" x14ac:dyDescent="0.35">
      <c r="B63" s="519" t="s">
        <v>1111</v>
      </c>
      <c r="C63" s="1189"/>
      <c r="D63" s="1190">
        <f>+'F1 SEZ'!D28</f>
        <v>0</v>
      </c>
      <c r="E63" s="1190"/>
      <c r="F63" s="1190"/>
      <c r="G63" s="1190"/>
      <c r="H63" s="1190"/>
      <c r="I63" s="1190"/>
      <c r="J63" s="1190"/>
      <c r="K63" s="58"/>
      <c r="L63" s="1190"/>
      <c r="M63" s="1191">
        <f t="shared" si="1"/>
        <v>0</v>
      </c>
      <c r="N63" s="1190"/>
      <c r="O63" s="1191">
        <f t="shared" si="2"/>
        <v>0</v>
      </c>
      <c r="P63" s="887">
        <f t="shared" si="3"/>
        <v>0</v>
      </c>
      <c r="Q63" s="58"/>
      <c r="R63" s="58"/>
      <c r="S63" s="19"/>
    </row>
    <row r="64" spans="2:19" ht="25.5" x14ac:dyDescent="0.35">
      <c r="B64" s="519" t="s">
        <v>1135</v>
      </c>
      <c r="C64" s="1189">
        <v>1</v>
      </c>
      <c r="D64" s="1190">
        <f>+'F1 SEZ'!D29</f>
        <v>0.101504</v>
      </c>
      <c r="E64" s="1190">
        <v>5.2919999999999985E-4</v>
      </c>
      <c r="F64" s="1190">
        <v>4.8823423999999997E-2</v>
      </c>
      <c r="G64" s="1190">
        <v>1.2992511999999998E-2</v>
      </c>
      <c r="H64" s="1190"/>
      <c r="I64" s="1190"/>
      <c r="J64" s="1190"/>
      <c r="K64" s="58"/>
      <c r="L64" s="1190"/>
      <c r="M64" s="1191">
        <f t="shared" si="1"/>
        <v>6.2345135999999995E-2</v>
      </c>
      <c r="N64" s="1190"/>
      <c r="O64" s="1191">
        <f t="shared" si="2"/>
        <v>6.2345135999999995E-2</v>
      </c>
      <c r="P64" s="887">
        <f t="shared" si="3"/>
        <v>6.1421358764186627</v>
      </c>
      <c r="Q64" s="58"/>
      <c r="R64" s="58"/>
      <c r="S64" s="19"/>
    </row>
    <row r="65" spans="2:19" ht="25.5" x14ac:dyDescent="0.35">
      <c r="B65" s="519" t="s">
        <v>1136</v>
      </c>
      <c r="C65" s="1189"/>
      <c r="D65" s="1190">
        <f>+'F1 SEZ'!D30</f>
        <v>0</v>
      </c>
      <c r="E65" s="1190"/>
      <c r="F65" s="1190"/>
      <c r="G65" s="1190"/>
      <c r="H65" s="1190"/>
      <c r="I65" s="1190"/>
      <c r="J65" s="1190"/>
      <c r="K65" s="58"/>
      <c r="L65" s="1190"/>
      <c r="M65" s="1191">
        <f t="shared" si="1"/>
        <v>0</v>
      </c>
      <c r="N65" s="1190"/>
      <c r="O65" s="1191">
        <f t="shared" si="2"/>
        <v>0</v>
      </c>
      <c r="P65" s="887">
        <f t="shared" si="3"/>
        <v>0</v>
      </c>
      <c r="Q65" s="58"/>
      <c r="R65" s="58"/>
      <c r="S65" s="19"/>
    </row>
    <row r="66" spans="2:19" x14ac:dyDescent="0.35">
      <c r="B66" s="519" t="s">
        <v>1142</v>
      </c>
      <c r="C66" s="1189"/>
      <c r="D66" s="1190">
        <f>+'F1 SEZ'!D31</f>
        <v>0</v>
      </c>
      <c r="E66" s="1190"/>
      <c r="F66" s="1190"/>
      <c r="G66" s="1190"/>
      <c r="H66" s="1190"/>
      <c r="I66" s="1190"/>
      <c r="J66" s="1190"/>
      <c r="K66" s="58"/>
      <c r="L66" s="1190"/>
      <c r="M66" s="1191">
        <f t="shared" si="1"/>
        <v>0</v>
      </c>
      <c r="N66" s="1190"/>
      <c r="O66" s="1191">
        <f t="shared" si="2"/>
        <v>0</v>
      </c>
      <c r="P66" s="887">
        <f t="shared" si="3"/>
        <v>0</v>
      </c>
      <c r="Q66" s="58"/>
      <c r="R66" s="58"/>
      <c r="S66" s="19"/>
    </row>
    <row r="67" spans="2:19" x14ac:dyDescent="0.35">
      <c r="B67" s="518" t="s">
        <v>162</v>
      </c>
      <c r="C67" s="1192">
        <f>SUM(C54:C66)</f>
        <v>1</v>
      </c>
      <c r="D67" s="1191">
        <f>SUM(D54:D66)</f>
        <v>0.101504</v>
      </c>
      <c r="E67" s="1191">
        <f t="shared" ref="E67:J67" si="4">SUM(E54:E65)</f>
        <v>5.2919999999999985E-4</v>
      </c>
      <c r="F67" s="1191">
        <f t="shared" si="4"/>
        <v>4.8823423999999997E-2</v>
      </c>
      <c r="G67" s="1191">
        <f t="shared" si="4"/>
        <v>1.2992511999999998E-2</v>
      </c>
      <c r="H67" s="1191">
        <f t="shared" si="4"/>
        <v>0</v>
      </c>
      <c r="I67" s="1191">
        <f t="shared" si="4"/>
        <v>0</v>
      </c>
      <c r="J67" s="1191">
        <f t="shared" si="4"/>
        <v>0</v>
      </c>
      <c r="K67" s="58"/>
      <c r="L67" s="1191">
        <f>SUM(L54:L65)</f>
        <v>0</v>
      </c>
      <c r="M67" s="1191">
        <f>SUM(M54:M65)</f>
        <v>6.2345135999999995E-2</v>
      </c>
      <c r="N67" s="1191">
        <f>SUM(N54:N65)</f>
        <v>0</v>
      </c>
      <c r="O67" s="1191">
        <f>SUM(O54:O65)</f>
        <v>6.2345135999999995E-2</v>
      </c>
      <c r="P67" s="887">
        <f t="shared" si="3"/>
        <v>6.1421358764186627</v>
      </c>
      <c r="Q67" s="58"/>
      <c r="R67" s="58"/>
      <c r="S67" s="19"/>
    </row>
    <row r="68" spans="2:19" x14ac:dyDescent="0.35">
      <c r="B68" s="518"/>
      <c r="C68" s="58"/>
      <c r="D68" s="1190"/>
      <c r="E68" s="1190"/>
      <c r="F68" s="1190"/>
      <c r="G68" s="1190"/>
      <c r="H68" s="1190"/>
      <c r="I68" s="1190"/>
      <c r="J68" s="1190"/>
      <c r="K68" s="58"/>
      <c r="L68" s="1190"/>
      <c r="M68" s="1190"/>
      <c r="N68" s="1190"/>
      <c r="O68" s="1190"/>
      <c r="P68" s="887"/>
      <c r="Q68" s="58"/>
      <c r="R68" s="58"/>
      <c r="S68" s="19"/>
    </row>
    <row r="69" spans="2:19" x14ac:dyDescent="0.35">
      <c r="B69" s="119" t="s">
        <v>164</v>
      </c>
      <c r="C69" s="1192">
        <f t="shared" ref="C69:O69" si="5">+C67+C51</f>
        <v>2</v>
      </c>
      <c r="D69" s="1191">
        <f t="shared" si="5"/>
        <v>0.66480785000000009</v>
      </c>
      <c r="E69" s="1191">
        <f t="shared" si="5"/>
        <v>9.6039652000000003E-2</v>
      </c>
      <c r="F69" s="1191">
        <f t="shared" si="5"/>
        <v>0.72478804399999996</v>
      </c>
      <c r="G69" s="1191">
        <f t="shared" si="5"/>
        <v>5.5803604599999987E-2</v>
      </c>
      <c r="H69" s="1191">
        <f t="shared" si="5"/>
        <v>-3.6103540000000001E-3</v>
      </c>
      <c r="I69" s="1191">
        <f t="shared" si="5"/>
        <v>-6.3923939999999992E-3</v>
      </c>
      <c r="J69" s="1191">
        <f t="shared" si="5"/>
        <v>1.9900300000000001E-4</v>
      </c>
      <c r="K69" s="1191">
        <f t="shared" si="5"/>
        <v>0</v>
      </c>
      <c r="L69" s="1191">
        <f t="shared" si="5"/>
        <v>0</v>
      </c>
      <c r="M69" s="1191">
        <f t="shared" si="5"/>
        <v>0.86682755559999991</v>
      </c>
      <c r="N69" s="1191">
        <f t="shared" si="5"/>
        <v>0</v>
      </c>
      <c r="O69" s="1191">
        <f t="shared" si="5"/>
        <v>0.86682755559999991</v>
      </c>
      <c r="P69" s="887">
        <f>+IFERROR(O69/D69*10,0)</f>
        <v>13.038768353893531</v>
      </c>
      <c r="Q69" s="58"/>
      <c r="R69" s="58"/>
      <c r="S69" s="19"/>
    </row>
    <row r="70" spans="2:19" x14ac:dyDescent="0.35">
      <c r="B70" s="58"/>
      <c r="C70" s="93"/>
      <c r="D70" s="93"/>
      <c r="E70" s="93"/>
      <c r="F70" s="93"/>
      <c r="G70" s="93"/>
      <c r="H70" s="93"/>
      <c r="I70" s="93"/>
      <c r="J70" s="93"/>
      <c r="K70" s="93"/>
      <c r="L70" s="93"/>
      <c r="M70" s="93"/>
      <c r="N70" s="93"/>
      <c r="O70" s="93"/>
      <c r="P70" s="93"/>
      <c r="Q70" s="93"/>
      <c r="R70" s="93"/>
      <c r="S70" s="93"/>
    </row>
    <row r="71" spans="2:19" x14ac:dyDescent="0.35">
      <c r="B71" s="206"/>
    </row>
    <row r="72" spans="2:19" x14ac:dyDescent="0.35">
      <c r="B72" s="155" t="s">
        <v>713</v>
      </c>
      <c r="C72" s="1199"/>
      <c r="D72" s="1199"/>
      <c r="E72" s="1199"/>
      <c r="F72" s="1199"/>
      <c r="G72" s="1199"/>
      <c r="H72" s="1199"/>
      <c r="I72" s="1199"/>
      <c r="J72" s="1199"/>
      <c r="K72" s="1199"/>
      <c r="L72" s="1199"/>
      <c r="M72" s="1199"/>
      <c r="N72" s="1199"/>
      <c r="O72" s="1199"/>
    </row>
    <row r="73" spans="2:19" x14ac:dyDescent="0.35">
      <c r="B73" s="156" t="s">
        <v>714</v>
      </c>
      <c r="C73" s="1200"/>
      <c r="D73" s="1200"/>
      <c r="E73" s="1200"/>
      <c r="F73" s="1200"/>
      <c r="G73" s="1200"/>
      <c r="H73" s="1200"/>
      <c r="I73" s="1200"/>
      <c r="J73" s="1200"/>
      <c r="K73" s="1200"/>
      <c r="L73" s="1200"/>
      <c r="M73" s="1200"/>
      <c r="N73" s="1200"/>
      <c r="O73" s="1200"/>
    </row>
    <row r="74" spans="2:19" x14ac:dyDescent="0.35">
      <c r="B74" s="10" t="s">
        <v>715</v>
      </c>
    </row>
    <row r="75" spans="2:19" x14ac:dyDescent="0.35">
      <c r="B75" s="10" t="s">
        <v>716</v>
      </c>
    </row>
    <row r="76" spans="2:19" x14ac:dyDescent="0.35">
      <c r="B76" s="10" t="s">
        <v>717</v>
      </c>
    </row>
    <row r="78" spans="2:19" x14ac:dyDescent="0.35">
      <c r="B78" s="40" t="s">
        <v>198</v>
      </c>
      <c r="C78" s="53"/>
      <c r="D78" s="53"/>
      <c r="E78" s="53"/>
      <c r="F78" s="53"/>
      <c r="G78" s="53"/>
      <c r="H78" s="53"/>
      <c r="I78" s="53"/>
      <c r="J78" s="53"/>
      <c r="K78" s="53"/>
      <c r="L78" s="53"/>
      <c r="M78" s="53"/>
      <c r="N78" s="53"/>
      <c r="O78" s="53"/>
    </row>
    <row r="79" spans="2:19" x14ac:dyDescent="0.35">
      <c r="B79" s="49"/>
    </row>
    <row r="80" spans="2:19" ht="40.5" x14ac:dyDescent="0.35">
      <c r="B80" s="1984" t="s">
        <v>699</v>
      </c>
      <c r="C80" s="106" t="s">
        <v>700</v>
      </c>
      <c r="D80" s="106" t="s">
        <v>701</v>
      </c>
      <c r="E80" s="106" t="s">
        <v>702</v>
      </c>
      <c r="F80" s="106" t="s">
        <v>703</v>
      </c>
      <c r="G80" s="106" t="s">
        <v>704</v>
      </c>
      <c r="H80" s="1188" t="s">
        <v>1449</v>
      </c>
      <c r="I80" s="1188" t="s">
        <v>1450</v>
      </c>
      <c r="J80" s="1188" t="s">
        <v>1451</v>
      </c>
      <c r="K80" s="106" t="s">
        <v>1448</v>
      </c>
      <c r="L80" s="106" t="s">
        <v>705</v>
      </c>
      <c r="M80" s="106" t="s">
        <v>706</v>
      </c>
      <c r="N80" s="106" t="s">
        <v>707</v>
      </c>
      <c r="O80" s="106" t="s">
        <v>708</v>
      </c>
      <c r="P80" s="106" t="s">
        <v>709</v>
      </c>
      <c r="Q80" s="106" t="s">
        <v>710</v>
      </c>
      <c r="R80" s="106" t="s">
        <v>711</v>
      </c>
      <c r="S80" s="106" t="s">
        <v>116</v>
      </c>
    </row>
    <row r="81" spans="2:19" ht="39.4" x14ac:dyDescent="0.35">
      <c r="B81" s="1984"/>
      <c r="C81" s="1188" t="s">
        <v>128</v>
      </c>
      <c r="D81" s="1188" t="s">
        <v>129</v>
      </c>
      <c r="E81" s="1188" t="s">
        <v>712</v>
      </c>
      <c r="F81" s="1188" t="s">
        <v>130</v>
      </c>
      <c r="G81" s="1188" t="s">
        <v>131</v>
      </c>
      <c r="H81" s="1188" t="s">
        <v>331</v>
      </c>
      <c r="I81" s="1188" t="s">
        <v>132</v>
      </c>
      <c r="J81" s="1188" t="s">
        <v>133</v>
      </c>
      <c r="K81" s="1188" t="s">
        <v>332</v>
      </c>
      <c r="L81" s="1188" t="s">
        <v>333</v>
      </c>
      <c r="M81" s="1188" t="s">
        <v>1452</v>
      </c>
      <c r="N81" s="1188" t="s">
        <v>529</v>
      </c>
      <c r="O81" s="1188" t="s">
        <v>1453</v>
      </c>
      <c r="P81" s="1188" t="s">
        <v>1454</v>
      </c>
      <c r="Q81" s="1188" t="s">
        <v>531</v>
      </c>
      <c r="R81" s="1188" t="s">
        <v>1455</v>
      </c>
      <c r="S81" s="1188" t="s">
        <v>533</v>
      </c>
    </row>
    <row r="82" spans="2:19" x14ac:dyDescent="0.35">
      <c r="B82" s="517" t="s">
        <v>161</v>
      </c>
      <c r="C82" s="93"/>
      <c r="D82" s="93"/>
      <c r="E82" s="93"/>
      <c r="F82" s="93"/>
      <c r="G82" s="93"/>
      <c r="H82" s="93"/>
      <c r="I82" s="93"/>
      <c r="J82" s="93"/>
      <c r="K82" s="93"/>
      <c r="L82" s="93"/>
      <c r="M82" s="93"/>
      <c r="N82" s="93"/>
      <c r="O82" s="93"/>
      <c r="P82" s="93"/>
      <c r="Q82" s="93"/>
      <c r="R82" s="93"/>
      <c r="S82" s="93"/>
    </row>
    <row r="83" spans="2:19" x14ac:dyDescent="0.35">
      <c r="B83" s="429" t="s">
        <v>1129</v>
      </c>
      <c r="C83" s="1189"/>
      <c r="D83" s="1190">
        <f>+'F1 SEZ'!E12</f>
        <v>0</v>
      </c>
      <c r="E83" s="1190"/>
      <c r="F83" s="1190"/>
      <c r="G83" s="1190"/>
      <c r="H83" s="1190"/>
      <c r="I83" s="1190"/>
      <c r="J83" s="1190"/>
      <c r="K83" s="58"/>
      <c r="L83" s="1190"/>
      <c r="M83" s="1191">
        <f>SUM(E83:L83)</f>
        <v>0</v>
      </c>
      <c r="N83" s="1190"/>
      <c r="O83" s="1191">
        <f>+M83+N83</f>
        <v>0</v>
      </c>
      <c r="P83" s="887">
        <f>+IFERROR(O83/D83*10,0)</f>
        <v>0</v>
      </c>
      <c r="Q83" s="58"/>
      <c r="R83" s="58"/>
      <c r="S83" s="19"/>
    </row>
    <row r="84" spans="2:19" x14ac:dyDescent="0.35">
      <c r="B84" s="429" t="s">
        <v>1130</v>
      </c>
      <c r="C84" s="1189">
        <v>2</v>
      </c>
      <c r="D84" s="1190">
        <f>+'F1 SEZ'!E13</f>
        <v>5.3769855269999995</v>
      </c>
      <c r="E84" s="1190">
        <v>0.81394686599999999</v>
      </c>
      <c r="F84" s="1190">
        <v>6.7694562570000008</v>
      </c>
      <c r="G84" s="1190">
        <v>0.33630603105999995</v>
      </c>
      <c r="H84" s="1190">
        <v>-0.11673063200000001</v>
      </c>
      <c r="I84" s="1190"/>
      <c r="J84" s="1190">
        <v>0</v>
      </c>
      <c r="K84" s="58"/>
      <c r="L84" s="1190"/>
      <c r="M84" s="1191">
        <f>SUM(E84:L84)</f>
        <v>7.802978522060001</v>
      </c>
      <c r="N84" s="1190"/>
      <c r="O84" s="1191">
        <f>+M84+N84</f>
        <v>7.802978522060001</v>
      </c>
      <c r="P84" s="887">
        <f>+IFERROR(O84/D84*10,0)</f>
        <v>14.511808675842845</v>
      </c>
      <c r="Q84" s="58"/>
      <c r="R84" s="58"/>
      <c r="S84" s="19"/>
    </row>
    <row r="85" spans="2:19" x14ac:dyDescent="0.35">
      <c r="B85" s="429" t="s">
        <v>1131</v>
      </c>
      <c r="C85" s="1189"/>
      <c r="D85" s="1190">
        <f>+'F1 SEZ'!E14</f>
        <v>0</v>
      </c>
      <c r="E85" s="1190"/>
      <c r="F85" s="1190"/>
      <c r="G85" s="1190"/>
      <c r="H85" s="1190"/>
      <c r="I85" s="1190"/>
      <c r="J85" s="1190"/>
      <c r="K85" s="58"/>
      <c r="L85" s="1190"/>
      <c r="M85" s="1191">
        <f>SUM(E85:L85)</f>
        <v>0</v>
      </c>
      <c r="N85" s="1190"/>
      <c r="O85" s="1191">
        <f>+M85+N85</f>
        <v>0</v>
      </c>
      <c r="P85" s="887">
        <f>+IFERROR(O85/D85*10,0)</f>
        <v>0</v>
      </c>
      <c r="Q85" s="58"/>
      <c r="R85" s="58"/>
      <c r="S85" s="19"/>
    </row>
    <row r="86" spans="2:19" ht="25.5" x14ac:dyDescent="0.35">
      <c r="B86" s="429" t="s">
        <v>1132</v>
      </c>
      <c r="C86" s="1189"/>
      <c r="D86" s="1190">
        <f>+'F1 SEZ'!E15</f>
        <v>0</v>
      </c>
      <c r="E86" s="1190"/>
      <c r="F86" s="1190"/>
      <c r="G86" s="1190"/>
      <c r="H86" s="1190"/>
      <c r="I86" s="1190"/>
      <c r="J86" s="1190"/>
      <c r="K86" s="58"/>
      <c r="L86" s="1190"/>
      <c r="M86" s="1191">
        <f>SUM(E86:L86)</f>
        <v>0</v>
      </c>
      <c r="N86" s="1190"/>
      <c r="O86" s="1191">
        <f>+M86+N86</f>
        <v>0</v>
      </c>
      <c r="P86" s="887">
        <f>+IFERROR(O86/D86*10,0)</f>
        <v>0</v>
      </c>
      <c r="Q86" s="58"/>
      <c r="R86" s="58"/>
      <c r="S86" s="19"/>
    </row>
    <row r="87" spans="2:19" x14ac:dyDescent="0.35">
      <c r="B87" s="518" t="s">
        <v>162</v>
      </c>
      <c r="C87" s="1192">
        <f>SUM(C83:C86)</f>
        <v>2</v>
      </c>
      <c r="D87" s="1191">
        <f t="shared" ref="D87:O87" si="6">SUM(D83:D86)</f>
        <v>5.3769855269999995</v>
      </c>
      <c r="E87" s="1191">
        <f t="shared" si="6"/>
        <v>0.81394686599999999</v>
      </c>
      <c r="F87" s="1191">
        <f t="shared" si="6"/>
        <v>6.7694562570000008</v>
      </c>
      <c r="G87" s="1191">
        <f t="shared" si="6"/>
        <v>0.33630603105999995</v>
      </c>
      <c r="H87" s="1191">
        <f t="shared" si="6"/>
        <v>-0.11673063200000001</v>
      </c>
      <c r="I87" s="1191">
        <f t="shared" si="6"/>
        <v>0</v>
      </c>
      <c r="J87" s="1191">
        <f t="shared" si="6"/>
        <v>0</v>
      </c>
      <c r="K87" s="1191">
        <f t="shared" si="6"/>
        <v>0</v>
      </c>
      <c r="L87" s="1191">
        <f t="shared" si="6"/>
        <v>0</v>
      </c>
      <c r="M87" s="1191">
        <f t="shared" si="6"/>
        <v>7.802978522060001</v>
      </c>
      <c r="N87" s="1191">
        <f t="shared" si="6"/>
        <v>0</v>
      </c>
      <c r="O87" s="1191">
        <f t="shared" si="6"/>
        <v>7.802978522060001</v>
      </c>
      <c r="P87" s="887">
        <f>+IFERROR(O87/D87*10,0)</f>
        <v>14.511808675842845</v>
      </c>
      <c r="Q87" s="58"/>
      <c r="R87" s="58"/>
      <c r="S87" s="19"/>
    </row>
    <row r="88" spans="2:19" x14ac:dyDescent="0.35">
      <c r="B88" s="517" t="s">
        <v>163</v>
      </c>
      <c r="C88" s="1189"/>
      <c r="D88" s="1190"/>
      <c r="E88" s="1190"/>
      <c r="F88" s="1190"/>
      <c r="G88" s="1190"/>
      <c r="H88" s="1190"/>
      <c r="I88" s="1190"/>
      <c r="J88" s="1190"/>
      <c r="K88" s="58"/>
      <c r="L88" s="1190"/>
      <c r="M88" s="1190"/>
      <c r="N88" s="1190"/>
      <c r="O88" s="1190"/>
      <c r="P88" s="887"/>
      <c r="Q88" s="58"/>
      <c r="R88" s="58"/>
      <c r="S88" s="19"/>
    </row>
    <row r="89" spans="2:19" x14ac:dyDescent="0.35">
      <c r="B89" s="519" t="s">
        <v>1133</v>
      </c>
      <c r="C89" s="1189"/>
      <c r="D89" s="1190"/>
      <c r="E89" s="1190"/>
      <c r="F89" s="1190"/>
      <c r="G89" s="1190"/>
      <c r="H89" s="1190"/>
      <c r="I89" s="1190"/>
      <c r="J89" s="1190"/>
      <c r="K89" s="58"/>
      <c r="L89" s="1190"/>
      <c r="M89" s="1190"/>
      <c r="N89" s="1190"/>
      <c r="O89" s="1190"/>
      <c r="P89" s="887"/>
      <c r="Q89" s="58"/>
      <c r="R89" s="58"/>
      <c r="S89" s="19"/>
    </row>
    <row r="90" spans="2:19" x14ac:dyDescent="0.35">
      <c r="B90" s="520" t="s">
        <v>1106</v>
      </c>
      <c r="C90" s="1189"/>
      <c r="D90" s="1190">
        <f>+'F1 SEZ'!E19</f>
        <v>0</v>
      </c>
      <c r="E90" s="1190"/>
      <c r="F90" s="1190"/>
      <c r="G90" s="1190"/>
      <c r="H90" s="1190"/>
      <c r="I90" s="1190"/>
      <c r="J90" s="1190"/>
      <c r="K90" s="58"/>
      <c r="L90" s="1190"/>
      <c r="M90" s="1191">
        <f t="shared" ref="M90:M102" si="7">SUM(E90:L90)</f>
        <v>0</v>
      </c>
      <c r="N90" s="1190"/>
      <c r="O90" s="1191">
        <f t="shared" ref="O90:O102" si="8">+M90+N90</f>
        <v>0</v>
      </c>
      <c r="P90" s="887">
        <f t="shared" ref="P90:P103" si="9">+IFERROR(O90/D90*10,0)</f>
        <v>0</v>
      </c>
      <c r="Q90" s="58"/>
      <c r="R90" s="58"/>
      <c r="S90" s="19"/>
    </row>
    <row r="91" spans="2:19" x14ac:dyDescent="0.35">
      <c r="B91" s="520" t="s">
        <v>1107</v>
      </c>
      <c r="C91" s="1193"/>
      <c r="D91" s="1190">
        <f>+'F1 SEZ'!E20</f>
        <v>0</v>
      </c>
      <c r="E91" s="1194"/>
      <c r="F91" s="1194"/>
      <c r="G91" s="1194"/>
      <c r="H91" s="1194"/>
      <c r="I91" s="1194"/>
      <c r="J91" s="1190"/>
      <c r="K91" s="58"/>
      <c r="L91" s="1190"/>
      <c r="M91" s="1191">
        <f t="shared" si="7"/>
        <v>0</v>
      </c>
      <c r="N91" s="1194"/>
      <c r="O91" s="1195">
        <f t="shared" si="8"/>
        <v>0</v>
      </c>
      <c r="P91" s="887">
        <f t="shared" si="9"/>
        <v>0</v>
      </c>
      <c r="Q91" s="58"/>
      <c r="R91" s="58"/>
      <c r="S91" s="19"/>
    </row>
    <row r="92" spans="2:19" x14ac:dyDescent="0.35">
      <c r="B92" s="520" t="s">
        <v>1108</v>
      </c>
      <c r="C92" s="1189"/>
      <c r="D92" s="1190">
        <f>+'F1 SEZ'!E21</f>
        <v>0</v>
      </c>
      <c r="E92" s="1190"/>
      <c r="F92" s="1190"/>
      <c r="G92" s="1190"/>
      <c r="H92" s="1190"/>
      <c r="I92" s="1190"/>
      <c r="J92" s="1190"/>
      <c r="K92" s="58"/>
      <c r="L92" s="1190"/>
      <c r="M92" s="1191">
        <f t="shared" si="7"/>
        <v>0</v>
      </c>
      <c r="N92" s="1190"/>
      <c r="O92" s="1191">
        <f t="shared" si="8"/>
        <v>0</v>
      </c>
      <c r="P92" s="887">
        <f t="shared" si="9"/>
        <v>0</v>
      </c>
      <c r="Q92" s="58"/>
      <c r="R92" s="58"/>
      <c r="S92" s="19"/>
    </row>
    <row r="93" spans="2:19" x14ac:dyDescent="0.35">
      <c r="B93" s="520" t="s">
        <v>1109</v>
      </c>
      <c r="C93" s="1189"/>
      <c r="D93" s="1190">
        <f>+'F1 SEZ'!E22</f>
        <v>0</v>
      </c>
      <c r="E93" s="1190"/>
      <c r="F93" s="1190"/>
      <c r="G93" s="1190"/>
      <c r="H93" s="1190"/>
      <c r="I93" s="1190"/>
      <c r="J93" s="1190"/>
      <c r="K93" s="58"/>
      <c r="L93" s="1190"/>
      <c r="M93" s="1191">
        <f t="shared" si="7"/>
        <v>0</v>
      </c>
      <c r="N93" s="1190"/>
      <c r="O93" s="1191">
        <f t="shared" si="8"/>
        <v>0</v>
      </c>
      <c r="P93" s="887">
        <f t="shared" si="9"/>
        <v>0</v>
      </c>
      <c r="Q93" s="58"/>
      <c r="R93" s="58"/>
      <c r="S93" s="19"/>
    </row>
    <row r="94" spans="2:19" x14ac:dyDescent="0.35">
      <c r="B94" s="520" t="s">
        <v>1110</v>
      </c>
      <c r="C94" s="1189"/>
      <c r="D94" s="1190">
        <f>+'F1 SEZ'!E23</f>
        <v>0</v>
      </c>
      <c r="E94" s="1190"/>
      <c r="F94" s="1190"/>
      <c r="G94" s="1190"/>
      <c r="H94" s="1190"/>
      <c r="I94" s="1190"/>
      <c r="J94" s="1190"/>
      <c r="K94" s="58"/>
      <c r="L94" s="1190"/>
      <c r="M94" s="1191">
        <f t="shared" si="7"/>
        <v>0</v>
      </c>
      <c r="N94" s="1190"/>
      <c r="O94" s="1191">
        <f t="shared" si="8"/>
        <v>0</v>
      </c>
      <c r="P94" s="887">
        <f t="shared" si="9"/>
        <v>0</v>
      </c>
      <c r="Q94" s="58"/>
      <c r="R94" s="58"/>
      <c r="S94" s="19"/>
    </row>
    <row r="95" spans="2:19" x14ac:dyDescent="0.35">
      <c r="B95" s="519" t="s">
        <v>1139</v>
      </c>
      <c r="C95" s="1189"/>
      <c r="D95" s="1190">
        <f>+'F1 SEZ'!E24</f>
        <v>0</v>
      </c>
      <c r="E95" s="58"/>
      <c r="F95" s="1190"/>
      <c r="G95" s="58"/>
      <c r="H95" s="58"/>
      <c r="I95" s="58"/>
      <c r="J95" s="58"/>
      <c r="K95" s="58"/>
      <c r="L95" s="1190"/>
      <c r="M95" s="1191">
        <f t="shared" si="7"/>
        <v>0</v>
      </c>
      <c r="N95" s="1190"/>
      <c r="O95" s="1191">
        <f t="shared" si="8"/>
        <v>0</v>
      </c>
      <c r="P95" s="887">
        <f t="shared" si="9"/>
        <v>0</v>
      </c>
      <c r="Q95" s="58"/>
      <c r="R95" s="58"/>
      <c r="S95" s="19"/>
    </row>
    <row r="96" spans="2:19" x14ac:dyDescent="0.35">
      <c r="B96" s="520" t="s">
        <v>1140</v>
      </c>
      <c r="C96" s="1189">
        <v>1</v>
      </c>
      <c r="D96" s="1190">
        <f>+'F1 SEZ'!E25</f>
        <v>2.3799999999999998E-4</v>
      </c>
      <c r="E96" s="1190">
        <v>4.1777699999999993E-4</v>
      </c>
      <c r="F96" s="1190">
        <v>1.7516799999999999E-4</v>
      </c>
      <c r="G96" s="1190">
        <v>3.451E-5</v>
      </c>
      <c r="H96" s="1190"/>
      <c r="I96" s="1190"/>
      <c r="J96" s="1190">
        <v>0</v>
      </c>
      <c r="K96" s="58"/>
      <c r="L96" s="1190"/>
      <c r="M96" s="1191">
        <f t="shared" si="7"/>
        <v>6.2745499999999985E-4</v>
      </c>
      <c r="N96" s="1190"/>
      <c r="O96" s="1191">
        <f t="shared" si="8"/>
        <v>6.2745499999999985E-4</v>
      </c>
      <c r="P96" s="887">
        <f t="shared" si="9"/>
        <v>26.36365546218487</v>
      </c>
      <c r="Q96" s="58"/>
      <c r="R96" s="58"/>
      <c r="S96" s="19"/>
    </row>
    <row r="97" spans="2:19" x14ac:dyDescent="0.35">
      <c r="B97" s="520" t="s">
        <v>1144</v>
      </c>
      <c r="C97" s="1196"/>
      <c r="D97" s="1190">
        <f>+'F1 SEZ'!E26</f>
        <v>0</v>
      </c>
      <c r="E97" s="1197"/>
      <c r="F97" s="1197"/>
      <c r="G97" s="1197"/>
      <c r="H97" s="1197"/>
      <c r="I97" s="1197"/>
      <c r="J97" s="1190"/>
      <c r="K97" s="58"/>
      <c r="L97" s="1190"/>
      <c r="M97" s="1191">
        <f t="shared" si="7"/>
        <v>0</v>
      </c>
      <c r="N97" s="1197"/>
      <c r="O97" s="1198">
        <f t="shared" si="8"/>
        <v>0</v>
      </c>
      <c r="P97" s="887">
        <f t="shared" si="9"/>
        <v>0</v>
      </c>
      <c r="Q97" s="58"/>
      <c r="R97" s="58"/>
      <c r="S97" s="19"/>
    </row>
    <row r="98" spans="2:19" x14ac:dyDescent="0.35">
      <c r="B98" s="520" t="s">
        <v>1143</v>
      </c>
      <c r="C98" s="1189"/>
      <c r="D98" s="1190">
        <f>+'F1 SEZ'!E27</f>
        <v>0</v>
      </c>
      <c r="E98" s="1190"/>
      <c r="F98" s="1190"/>
      <c r="G98" s="1190"/>
      <c r="H98" s="1190"/>
      <c r="I98" s="1190"/>
      <c r="J98" s="1190"/>
      <c r="K98" s="58"/>
      <c r="L98" s="1190"/>
      <c r="M98" s="1191">
        <f t="shared" si="7"/>
        <v>0</v>
      </c>
      <c r="N98" s="1190"/>
      <c r="O98" s="1191">
        <f t="shared" si="8"/>
        <v>0</v>
      </c>
      <c r="P98" s="887">
        <f t="shared" si="9"/>
        <v>0</v>
      </c>
      <c r="Q98" s="58"/>
      <c r="R98" s="58"/>
      <c r="S98" s="19"/>
    </row>
    <row r="99" spans="2:19" ht="25.5" x14ac:dyDescent="0.35">
      <c r="B99" s="519" t="s">
        <v>1111</v>
      </c>
      <c r="C99" s="1189"/>
      <c r="D99" s="1190">
        <f>+'F1 SEZ'!E28</f>
        <v>0</v>
      </c>
      <c r="E99" s="1190"/>
      <c r="F99" s="1190"/>
      <c r="G99" s="1190"/>
      <c r="H99" s="1190"/>
      <c r="I99" s="1190"/>
      <c r="J99" s="1190"/>
      <c r="K99" s="58"/>
      <c r="L99" s="1190"/>
      <c r="M99" s="1191">
        <f t="shared" si="7"/>
        <v>0</v>
      </c>
      <c r="N99" s="1190"/>
      <c r="O99" s="1191">
        <f t="shared" si="8"/>
        <v>0</v>
      </c>
      <c r="P99" s="887">
        <f t="shared" si="9"/>
        <v>0</v>
      </c>
      <c r="Q99" s="58"/>
      <c r="R99" s="58"/>
      <c r="S99" s="19"/>
    </row>
    <row r="100" spans="2:19" ht="25.5" x14ac:dyDescent="0.35">
      <c r="B100" s="519" t="s">
        <v>1135</v>
      </c>
      <c r="C100" s="1189">
        <v>1</v>
      </c>
      <c r="D100" s="1190">
        <f>+'F1 SEZ'!E29</f>
        <v>0.11068699999999999</v>
      </c>
      <c r="E100" s="1190">
        <v>5.4480000000000012E-4</v>
      </c>
      <c r="F100" s="1190">
        <v>5.5656346000000002E-2</v>
      </c>
      <c r="G100" s="1190">
        <v>1.6181999999999998E-2</v>
      </c>
      <c r="H100" s="1190"/>
      <c r="I100" s="1190"/>
      <c r="J100" s="1190"/>
      <c r="K100" s="58"/>
      <c r="L100" s="1190"/>
      <c r="M100" s="1191">
        <f t="shared" si="7"/>
        <v>7.2383145999999995E-2</v>
      </c>
      <c r="N100" s="1190"/>
      <c r="O100" s="1191">
        <f t="shared" si="8"/>
        <v>7.2383145999999995E-2</v>
      </c>
      <c r="P100" s="887">
        <f t="shared" si="9"/>
        <v>6.5394441985056959</v>
      </c>
      <c r="Q100" s="58"/>
      <c r="R100" s="58"/>
      <c r="S100" s="19"/>
    </row>
    <row r="101" spans="2:19" ht="25.5" x14ac:dyDescent="0.35">
      <c r="B101" s="519" t="s">
        <v>1136</v>
      </c>
      <c r="C101" s="1189"/>
      <c r="D101" s="1190">
        <f>+'F1 SEZ'!E30</f>
        <v>0</v>
      </c>
      <c r="E101" s="1190"/>
      <c r="F101" s="1190"/>
      <c r="G101" s="1190"/>
      <c r="H101" s="1190"/>
      <c r="I101" s="1190"/>
      <c r="J101" s="1190"/>
      <c r="K101" s="58"/>
      <c r="L101" s="1190"/>
      <c r="M101" s="1191">
        <f t="shared" si="7"/>
        <v>0</v>
      </c>
      <c r="N101" s="1190"/>
      <c r="O101" s="1191">
        <f t="shared" si="8"/>
        <v>0</v>
      </c>
      <c r="P101" s="887">
        <f t="shared" si="9"/>
        <v>0</v>
      </c>
      <c r="Q101" s="58"/>
      <c r="R101" s="58"/>
      <c r="S101" s="19"/>
    </row>
    <row r="102" spans="2:19" x14ac:dyDescent="0.35">
      <c r="B102" s="519" t="s">
        <v>1142</v>
      </c>
      <c r="C102" s="1189"/>
      <c r="D102" s="1190">
        <f>+'F1 SEZ'!E31</f>
        <v>0</v>
      </c>
      <c r="E102" s="1190"/>
      <c r="F102" s="1190"/>
      <c r="G102" s="1190"/>
      <c r="H102" s="1190"/>
      <c r="I102" s="1190"/>
      <c r="J102" s="1190"/>
      <c r="K102" s="58"/>
      <c r="L102" s="1190"/>
      <c r="M102" s="1191">
        <f t="shared" si="7"/>
        <v>0</v>
      </c>
      <c r="N102" s="1190"/>
      <c r="O102" s="1191">
        <f t="shared" si="8"/>
        <v>0</v>
      </c>
      <c r="P102" s="887">
        <f t="shared" si="9"/>
        <v>0</v>
      </c>
      <c r="Q102" s="58"/>
      <c r="R102" s="58"/>
      <c r="S102" s="19"/>
    </row>
    <row r="103" spans="2:19" x14ac:dyDescent="0.35">
      <c r="B103" s="518" t="s">
        <v>162</v>
      </c>
      <c r="C103" s="1192">
        <f>SUM(C90:C102)</f>
        <v>2</v>
      </c>
      <c r="D103" s="1191">
        <f>SUM(D90:D102)</f>
        <v>0.110925</v>
      </c>
      <c r="E103" s="1191">
        <f t="shared" ref="E103:J103" si="10">SUM(E90:E101)</f>
        <v>9.6257700000000005E-4</v>
      </c>
      <c r="F103" s="1191">
        <f t="shared" si="10"/>
        <v>5.5831514000000006E-2</v>
      </c>
      <c r="G103" s="1191">
        <f t="shared" si="10"/>
        <v>1.621651E-2</v>
      </c>
      <c r="H103" s="1191">
        <f t="shared" si="10"/>
        <v>0</v>
      </c>
      <c r="I103" s="1191">
        <f t="shared" si="10"/>
        <v>0</v>
      </c>
      <c r="J103" s="1191">
        <f t="shared" si="10"/>
        <v>0</v>
      </c>
      <c r="K103" s="58"/>
      <c r="L103" s="1191">
        <f>SUM(L90:L101)</f>
        <v>0</v>
      </c>
      <c r="M103" s="1191">
        <f>SUM(M90:M101)</f>
        <v>7.3010600999999994E-2</v>
      </c>
      <c r="N103" s="1191">
        <f>SUM(N90:N101)</f>
        <v>0</v>
      </c>
      <c r="O103" s="1191">
        <f>SUM(O90:O101)</f>
        <v>7.3010600999999994E-2</v>
      </c>
      <c r="P103" s="887">
        <f t="shared" si="9"/>
        <v>6.5819789046653145</v>
      </c>
      <c r="Q103" s="58"/>
      <c r="R103" s="58"/>
      <c r="S103" s="19"/>
    </row>
    <row r="104" spans="2:19" x14ac:dyDescent="0.35">
      <c r="B104" s="518"/>
      <c r="C104" s="58"/>
      <c r="D104" s="1190"/>
      <c r="E104" s="1190"/>
      <c r="F104" s="1190"/>
      <c r="G104" s="1190"/>
      <c r="H104" s="1190"/>
      <c r="I104" s="1190"/>
      <c r="J104" s="1190"/>
      <c r="K104" s="58"/>
      <c r="L104" s="1190"/>
      <c r="M104" s="1190"/>
      <c r="N104" s="1190"/>
      <c r="O104" s="1190"/>
      <c r="P104" s="887"/>
      <c r="Q104" s="58"/>
      <c r="R104" s="58"/>
      <c r="S104" s="19"/>
    </row>
    <row r="105" spans="2:19" x14ac:dyDescent="0.35">
      <c r="B105" s="119" t="s">
        <v>164</v>
      </c>
      <c r="C105" s="1192">
        <f t="shared" ref="C105:O105" si="11">+C103+C87</f>
        <v>4</v>
      </c>
      <c r="D105" s="1191">
        <f t="shared" si="11"/>
        <v>5.4879105269999995</v>
      </c>
      <c r="E105" s="1191">
        <f t="shared" si="11"/>
        <v>0.81490944300000001</v>
      </c>
      <c r="F105" s="1191">
        <f t="shared" si="11"/>
        <v>6.8252877710000011</v>
      </c>
      <c r="G105" s="1191">
        <f t="shared" si="11"/>
        <v>0.35252254105999997</v>
      </c>
      <c r="H105" s="1191">
        <f t="shared" si="11"/>
        <v>-0.11673063200000001</v>
      </c>
      <c r="I105" s="1191">
        <f t="shared" si="11"/>
        <v>0</v>
      </c>
      <c r="J105" s="1191">
        <f t="shared" si="11"/>
        <v>0</v>
      </c>
      <c r="K105" s="1191">
        <f t="shared" si="11"/>
        <v>0</v>
      </c>
      <c r="L105" s="1191">
        <f t="shared" si="11"/>
        <v>0</v>
      </c>
      <c r="M105" s="1191">
        <f t="shared" si="11"/>
        <v>7.875989123060001</v>
      </c>
      <c r="N105" s="1191">
        <f t="shared" si="11"/>
        <v>0</v>
      </c>
      <c r="O105" s="1191">
        <f t="shared" si="11"/>
        <v>7.875989123060001</v>
      </c>
      <c r="P105" s="887">
        <f>+IFERROR(O105/D105*10,0)</f>
        <v>14.351526112371696</v>
      </c>
      <c r="Q105" s="58"/>
      <c r="R105" s="58"/>
      <c r="S105" s="19"/>
    </row>
    <row r="106" spans="2:19" x14ac:dyDescent="0.35">
      <c r="B106" s="58"/>
      <c r="C106" s="93"/>
      <c r="D106" s="93"/>
      <c r="E106" s="93"/>
      <c r="F106" s="93"/>
      <c r="G106" s="93"/>
      <c r="H106" s="93"/>
      <c r="I106" s="93"/>
      <c r="J106" s="93"/>
      <c r="K106" s="93"/>
      <c r="L106" s="93"/>
      <c r="M106" s="93"/>
      <c r="N106" s="93"/>
      <c r="O106" s="93"/>
      <c r="P106" s="93"/>
      <c r="Q106" s="93"/>
      <c r="R106" s="93"/>
      <c r="S106" s="93"/>
    </row>
    <row r="108" spans="2:19" x14ac:dyDescent="0.35">
      <c r="B108" s="40" t="s">
        <v>199</v>
      </c>
      <c r="C108" s="53"/>
      <c r="D108" s="53"/>
      <c r="E108" s="53"/>
      <c r="F108" s="53"/>
      <c r="G108" s="53"/>
      <c r="H108" s="53"/>
      <c r="I108" s="53"/>
      <c r="J108" s="53"/>
      <c r="K108" s="53"/>
      <c r="L108" s="53"/>
      <c r="M108" s="53"/>
      <c r="N108" s="53"/>
      <c r="O108" s="53"/>
    </row>
    <row r="109" spans="2:19" x14ac:dyDescent="0.35">
      <c r="B109" s="49"/>
    </row>
    <row r="110" spans="2:19" ht="40.5" x14ac:dyDescent="0.35">
      <c r="B110" s="1984" t="s">
        <v>699</v>
      </c>
      <c r="C110" s="106" t="s">
        <v>700</v>
      </c>
      <c r="D110" s="106" t="s">
        <v>701</v>
      </c>
      <c r="E110" s="106" t="s">
        <v>702</v>
      </c>
      <c r="F110" s="106" t="s">
        <v>703</v>
      </c>
      <c r="G110" s="106" t="s">
        <v>704</v>
      </c>
      <c r="H110" s="1188" t="s">
        <v>1449</v>
      </c>
      <c r="I110" s="1188" t="s">
        <v>1450</v>
      </c>
      <c r="J110" s="1188" t="s">
        <v>1451</v>
      </c>
      <c r="K110" s="106" t="s">
        <v>1448</v>
      </c>
      <c r="L110" s="106" t="s">
        <v>705</v>
      </c>
      <c r="M110" s="106" t="s">
        <v>706</v>
      </c>
      <c r="N110" s="106" t="s">
        <v>707</v>
      </c>
      <c r="O110" s="106" t="s">
        <v>708</v>
      </c>
      <c r="P110" s="106" t="s">
        <v>709</v>
      </c>
      <c r="Q110" s="106" t="s">
        <v>710</v>
      </c>
      <c r="R110" s="106" t="s">
        <v>711</v>
      </c>
      <c r="S110" s="106" t="s">
        <v>116</v>
      </c>
    </row>
    <row r="111" spans="2:19" ht="39.4" x14ac:dyDescent="0.35">
      <c r="B111" s="1984"/>
      <c r="C111" s="1188" t="s">
        <v>128</v>
      </c>
      <c r="D111" s="1188" t="s">
        <v>129</v>
      </c>
      <c r="E111" s="1188" t="s">
        <v>712</v>
      </c>
      <c r="F111" s="1188" t="s">
        <v>130</v>
      </c>
      <c r="G111" s="1188" t="s">
        <v>131</v>
      </c>
      <c r="H111" s="1188" t="s">
        <v>331</v>
      </c>
      <c r="I111" s="1188" t="s">
        <v>132</v>
      </c>
      <c r="J111" s="1188" t="s">
        <v>133</v>
      </c>
      <c r="K111" s="1188" t="s">
        <v>332</v>
      </c>
      <c r="L111" s="1188" t="s">
        <v>333</v>
      </c>
      <c r="M111" s="1188" t="s">
        <v>1452</v>
      </c>
      <c r="N111" s="1188" t="s">
        <v>529</v>
      </c>
      <c r="O111" s="1188" t="s">
        <v>1453</v>
      </c>
      <c r="P111" s="1188" t="s">
        <v>1454</v>
      </c>
      <c r="Q111" s="1188" t="s">
        <v>531</v>
      </c>
      <c r="R111" s="1188" t="s">
        <v>1455</v>
      </c>
      <c r="S111" s="1188" t="s">
        <v>533</v>
      </c>
    </row>
    <row r="112" spans="2:19" x14ac:dyDescent="0.35">
      <c r="B112" s="517" t="s">
        <v>161</v>
      </c>
      <c r="C112" s="93"/>
      <c r="D112" s="93"/>
      <c r="E112" s="93"/>
      <c r="F112" s="93"/>
      <c r="G112" s="93"/>
      <c r="H112" s="93"/>
      <c r="I112" s="93"/>
      <c r="J112" s="93"/>
      <c r="K112" s="93"/>
      <c r="L112" s="93"/>
      <c r="M112" s="93"/>
      <c r="N112" s="93"/>
      <c r="O112" s="93"/>
      <c r="P112" s="93"/>
      <c r="Q112" s="93"/>
      <c r="R112" s="93"/>
      <c r="S112" s="93"/>
    </row>
    <row r="113" spans="2:19" x14ac:dyDescent="0.35">
      <c r="B113" s="429" t="s">
        <v>1129</v>
      </c>
      <c r="C113" s="1189">
        <v>1</v>
      </c>
      <c r="D113" s="1190">
        <f>+'F1 SEZ'!F12</f>
        <v>13.149180000000001</v>
      </c>
      <c r="E113" s="1190">
        <v>1.1928384000000001</v>
      </c>
      <c r="F113" s="1190">
        <v>8.0057775600000003</v>
      </c>
      <c r="G113" s="1190">
        <v>0.75475343999999989</v>
      </c>
      <c r="H113" s="1190">
        <v>-0.28100159300000005</v>
      </c>
      <c r="I113" s="1190"/>
      <c r="J113" s="1190"/>
      <c r="K113" s="58"/>
      <c r="L113" s="1190"/>
      <c r="M113" s="1191">
        <f>SUM(E113:L113)</f>
        <v>9.6723678070000005</v>
      </c>
      <c r="N113" s="1190"/>
      <c r="O113" s="1191">
        <f>+M113+N113</f>
        <v>9.6723678070000005</v>
      </c>
      <c r="P113" s="887">
        <f>+IFERROR(O113/D113*10,0)</f>
        <v>7.3558714741147355</v>
      </c>
      <c r="Q113" s="58"/>
      <c r="R113" s="58"/>
      <c r="S113" s="19"/>
    </row>
    <row r="114" spans="2:19" x14ac:dyDescent="0.35">
      <c r="B114" s="429" t="s">
        <v>1130</v>
      </c>
      <c r="C114" s="1189">
        <v>1</v>
      </c>
      <c r="D114" s="1190">
        <f>+'F1 SEZ'!F13</f>
        <v>3.1858730000000002E-2</v>
      </c>
      <c r="E114" s="1190">
        <v>0.12562387199999997</v>
      </c>
      <c r="F114" s="1190">
        <v>3.6719204000000005E-2</v>
      </c>
      <c r="G114" s="1190">
        <v>1.8359685000000001E-3</v>
      </c>
      <c r="H114" s="1190">
        <v>3.6063509999999998E-3</v>
      </c>
      <c r="I114" s="1190"/>
      <c r="J114" s="1190"/>
      <c r="K114" s="58"/>
      <c r="L114" s="1190"/>
      <c r="M114" s="1191">
        <f>SUM(E114:L114)</f>
        <v>0.16778539549999999</v>
      </c>
      <c r="N114" s="1190"/>
      <c r="O114" s="1191">
        <f>+M114+N114</f>
        <v>0.16778539549999999</v>
      </c>
      <c r="P114" s="887">
        <f>+IFERROR(O114/D114*10,0)</f>
        <v>52.665437542551118</v>
      </c>
      <c r="Q114" s="58"/>
      <c r="R114" s="58"/>
      <c r="S114" s="19"/>
    </row>
    <row r="115" spans="2:19" x14ac:dyDescent="0.35">
      <c r="B115" s="429" t="s">
        <v>1131</v>
      </c>
      <c r="C115" s="1189"/>
      <c r="D115" s="1190">
        <f>+'F1 SEZ'!F14</f>
        <v>0</v>
      </c>
      <c r="E115" s="1190"/>
      <c r="F115" s="1190"/>
      <c r="G115" s="1190"/>
      <c r="H115" s="1190"/>
      <c r="I115" s="1190"/>
      <c r="J115" s="1190"/>
      <c r="K115" s="58"/>
      <c r="L115" s="1190"/>
      <c r="M115" s="1191">
        <f>SUM(E115:L115)</f>
        <v>0</v>
      </c>
      <c r="N115" s="1190"/>
      <c r="O115" s="1191">
        <f>+M115+N115</f>
        <v>0</v>
      </c>
      <c r="P115" s="887">
        <f>+IFERROR(O115/D115*10,0)</f>
        <v>0</v>
      </c>
      <c r="Q115" s="58"/>
      <c r="R115" s="58"/>
      <c r="S115" s="19"/>
    </row>
    <row r="116" spans="2:19" ht="25.5" x14ac:dyDescent="0.35">
      <c r="B116" s="429" t="s">
        <v>1132</v>
      </c>
      <c r="C116" s="1189"/>
      <c r="D116" s="1190">
        <f>+'F1 SEZ'!F15</f>
        <v>0</v>
      </c>
      <c r="E116" s="1190"/>
      <c r="F116" s="1190"/>
      <c r="G116" s="1190"/>
      <c r="H116" s="1190"/>
      <c r="I116" s="1190"/>
      <c r="J116" s="1190"/>
      <c r="K116" s="58"/>
      <c r="L116" s="1190"/>
      <c r="M116" s="1191">
        <f>SUM(E116:L116)</f>
        <v>0</v>
      </c>
      <c r="N116" s="1190"/>
      <c r="O116" s="1191">
        <f>+M116+N116</f>
        <v>0</v>
      </c>
      <c r="P116" s="887">
        <f>+IFERROR(O116/D116*10,0)</f>
        <v>0</v>
      </c>
      <c r="Q116" s="58"/>
      <c r="R116" s="58"/>
      <c r="S116" s="19"/>
    </row>
    <row r="117" spans="2:19" x14ac:dyDescent="0.35">
      <c r="B117" s="518" t="s">
        <v>162</v>
      </c>
      <c r="C117" s="1192">
        <f>SUM(C113:C116)</f>
        <v>2</v>
      </c>
      <c r="D117" s="1191">
        <f t="shared" ref="D117:O117" si="12">SUM(D113:D116)</f>
        <v>13.181038730000001</v>
      </c>
      <c r="E117" s="1191">
        <f t="shared" si="12"/>
        <v>1.3184622720000001</v>
      </c>
      <c r="F117" s="1191">
        <f t="shared" si="12"/>
        <v>8.0424967640000009</v>
      </c>
      <c r="G117" s="1191">
        <f t="shared" si="12"/>
        <v>0.75658940849999989</v>
      </c>
      <c r="H117" s="1191">
        <f t="shared" si="12"/>
        <v>-0.27739524200000004</v>
      </c>
      <c r="I117" s="1191">
        <f t="shared" si="12"/>
        <v>0</v>
      </c>
      <c r="J117" s="1191">
        <f t="shared" si="12"/>
        <v>0</v>
      </c>
      <c r="K117" s="1191">
        <f t="shared" si="12"/>
        <v>0</v>
      </c>
      <c r="L117" s="1191">
        <f t="shared" si="12"/>
        <v>0</v>
      </c>
      <c r="M117" s="1191">
        <f t="shared" si="12"/>
        <v>9.8401532024999998</v>
      </c>
      <c r="N117" s="1191">
        <f t="shared" si="12"/>
        <v>0</v>
      </c>
      <c r="O117" s="1191">
        <f t="shared" si="12"/>
        <v>9.8401532024999998</v>
      </c>
      <c r="P117" s="887">
        <f>+IFERROR(O117/D117*10,0)</f>
        <v>7.4653852432007826</v>
      </c>
      <c r="Q117" s="58"/>
      <c r="R117" s="58"/>
      <c r="S117" s="19"/>
    </row>
    <row r="118" spans="2:19" x14ac:dyDescent="0.35">
      <c r="B118" s="517" t="s">
        <v>163</v>
      </c>
      <c r="C118" s="1189"/>
      <c r="D118" s="1190"/>
      <c r="E118" s="1190"/>
      <c r="F118" s="1190"/>
      <c r="G118" s="1190"/>
      <c r="H118" s="1190"/>
      <c r="I118" s="1190"/>
      <c r="J118" s="1190"/>
      <c r="K118" s="58"/>
      <c r="L118" s="1190"/>
      <c r="M118" s="1190"/>
      <c r="N118" s="1190"/>
      <c r="O118" s="1190"/>
      <c r="P118" s="887"/>
      <c r="Q118" s="58"/>
      <c r="R118" s="58"/>
      <c r="S118" s="19"/>
    </row>
    <row r="119" spans="2:19" x14ac:dyDescent="0.35">
      <c r="B119" s="519" t="s">
        <v>1133</v>
      </c>
      <c r="C119" s="1189"/>
      <c r="D119" s="1190"/>
      <c r="E119" s="1190"/>
      <c r="F119" s="1190"/>
      <c r="G119" s="1190"/>
      <c r="H119" s="1190"/>
      <c r="I119" s="1190"/>
      <c r="J119" s="1190"/>
      <c r="K119" s="58"/>
      <c r="L119" s="1190"/>
      <c r="M119" s="1190"/>
      <c r="N119" s="1190"/>
      <c r="O119" s="1190"/>
      <c r="P119" s="887"/>
      <c r="Q119" s="58"/>
      <c r="R119" s="58"/>
      <c r="S119" s="19"/>
    </row>
    <row r="120" spans="2:19" x14ac:dyDescent="0.35">
      <c r="B120" s="520" t="s">
        <v>1106</v>
      </c>
      <c r="C120" s="1189"/>
      <c r="D120" s="1190">
        <f>+'F1 SEZ'!F19</f>
        <v>0</v>
      </c>
      <c r="E120" s="1190"/>
      <c r="F120" s="1190"/>
      <c r="G120" s="1190"/>
      <c r="H120" s="1190"/>
      <c r="I120" s="1190"/>
      <c r="J120" s="1190"/>
      <c r="K120" s="58"/>
      <c r="L120" s="1190"/>
      <c r="M120" s="1191">
        <f t="shared" ref="M120:M132" si="13">SUM(E120:L120)</f>
        <v>0</v>
      </c>
      <c r="N120" s="1190"/>
      <c r="O120" s="1191">
        <f t="shared" ref="O120:O132" si="14">+M120+N120</f>
        <v>0</v>
      </c>
      <c r="P120" s="887">
        <f t="shared" ref="P120:P133" si="15">+IFERROR(O120/D120*10,0)</f>
        <v>0</v>
      </c>
      <c r="Q120" s="58"/>
      <c r="R120" s="58"/>
      <c r="S120" s="19"/>
    </row>
    <row r="121" spans="2:19" x14ac:dyDescent="0.35">
      <c r="B121" s="520" t="s">
        <v>1107</v>
      </c>
      <c r="C121" s="1193"/>
      <c r="D121" s="1190">
        <f>+'F1 SEZ'!F20</f>
        <v>0</v>
      </c>
      <c r="E121" s="1194"/>
      <c r="F121" s="1194"/>
      <c r="G121" s="1194"/>
      <c r="H121" s="1194"/>
      <c r="I121" s="1194"/>
      <c r="J121" s="1190"/>
      <c r="K121" s="58"/>
      <c r="L121" s="1190"/>
      <c r="M121" s="1191">
        <f t="shared" si="13"/>
        <v>0</v>
      </c>
      <c r="N121" s="1194"/>
      <c r="O121" s="1195">
        <f t="shared" si="14"/>
        <v>0</v>
      </c>
      <c r="P121" s="887">
        <f t="shared" si="15"/>
        <v>0</v>
      </c>
      <c r="Q121" s="58"/>
      <c r="R121" s="58"/>
      <c r="S121" s="19"/>
    </row>
    <row r="122" spans="2:19" x14ac:dyDescent="0.35">
      <c r="B122" s="520" t="s">
        <v>1108</v>
      </c>
      <c r="C122" s="1189"/>
      <c r="D122" s="1190">
        <f>+'F1 SEZ'!F21</f>
        <v>0</v>
      </c>
      <c r="E122" s="1190"/>
      <c r="F122" s="1190"/>
      <c r="G122" s="1190"/>
      <c r="H122" s="1190"/>
      <c r="I122" s="1190"/>
      <c r="J122" s="1190"/>
      <c r="K122" s="58"/>
      <c r="L122" s="1190"/>
      <c r="M122" s="1191">
        <f t="shared" si="13"/>
        <v>0</v>
      </c>
      <c r="N122" s="1190"/>
      <c r="O122" s="1191">
        <f t="shared" si="14"/>
        <v>0</v>
      </c>
      <c r="P122" s="887">
        <f t="shared" si="15"/>
        <v>0</v>
      </c>
      <c r="Q122" s="58"/>
      <c r="R122" s="58"/>
      <c r="S122" s="19"/>
    </row>
    <row r="123" spans="2:19" x14ac:dyDescent="0.35">
      <c r="B123" s="520" t="s">
        <v>1109</v>
      </c>
      <c r="C123" s="1189"/>
      <c r="D123" s="1190">
        <f>+'F1 SEZ'!F22</f>
        <v>0</v>
      </c>
      <c r="E123" s="1190"/>
      <c r="F123" s="1190"/>
      <c r="G123" s="1190"/>
      <c r="H123" s="1190"/>
      <c r="I123" s="1190"/>
      <c r="J123" s="1190"/>
      <c r="K123" s="58"/>
      <c r="L123" s="1190"/>
      <c r="M123" s="1191">
        <f t="shared" si="13"/>
        <v>0</v>
      </c>
      <c r="N123" s="1190"/>
      <c r="O123" s="1191">
        <f t="shared" si="14"/>
        <v>0</v>
      </c>
      <c r="P123" s="887">
        <f t="shared" si="15"/>
        <v>0</v>
      </c>
      <c r="Q123" s="58"/>
      <c r="R123" s="58"/>
      <c r="S123" s="19"/>
    </row>
    <row r="124" spans="2:19" x14ac:dyDescent="0.35">
      <c r="B124" s="520" t="s">
        <v>1110</v>
      </c>
      <c r="C124" s="1189"/>
      <c r="D124" s="1190">
        <f>+'F1 SEZ'!F23</f>
        <v>0</v>
      </c>
      <c r="E124" s="1190"/>
      <c r="F124" s="1190"/>
      <c r="G124" s="1190"/>
      <c r="H124" s="1190"/>
      <c r="I124" s="1190"/>
      <c r="J124" s="1190"/>
      <c r="K124" s="58"/>
      <c r="L124" s="1190"/>
      <c r="M124" s="1191">
        <f t="shared" si="13"/>
        <v>0</v>
      </c>
      <c r="N124" s="1190"/>
      <c r="O124" s="1191">
        <f t="shared" si="14"/>
        <v>0</v>
      </c>
      <c r="P124" s="887">
        <f t="shared" si="15"/>
        <v>0</v>
      </c>
      <c r="Q124" s="58"/>
      <c r="R124" s="58"/>
      <c r="S124" s="19"/>
    </row>
    <row r="125" spans="2:19" x14ac:dyDescent="0.35">
      <c r="B125" s="519" t="s">
        <v>1139</v>
      </c>
      <c r="C125" s="1189"/>
      <c r="D125" s="1190">
        <f>+'F1 SEZ'!F24</f>
        <v>0</v>
      </c>
      <c r="E125" s="58"/>
      <c r="F125" s="1190"/>
      <c r="G125" s="58"/>
      <c r="H125" s="58"/>
      <c r="I125" s="58"/>
      <c r="J125" s="58"/>
      <c r="K125" s="58"/>
      <c r="L125" s="1190"/>
      <c r="M125" s="1191">
        <f t="shared" si="13"/>
        <v>0</v>
      </c>
      <c r="N125" s="1190"/>
      <c r="O125" s="1191">
        <f t="shared" si="14"/>
        <v>0</v>
      </c>
      <c r="P125" s="887">
        <f t="shared" si="15"/>
        <v>0</v>
      </c>
      <c r="Q125" s="58"/>
      <c r="R125" s="58"/>
      <c r="S125" s="19"/>
    </row>
    <row r="126" spans="2:19" x14ac:dyDescent="0.35">
      <c r="B126" s="520" t="s">
        <v>1140</v>
      </c>
      <c r="C126" s="1189">
        <v>1</v>
      </c>
      <c r="D126" s="1190">
        <f>+'F1 SEZ'!F25</f>
        <v>2.9300000000000002E-4</v>
      </c>
      <c r="E126" s="1190">
        <v>4.9800000000000007E-4</v>
      </c>
      <c r="F126" s="1190">
        <v>2.1037399999999999E-4</v>
      </c>
      <c r="G126" s="1190">
        <v>4.0433999999999999E-5</v>
      </c>
      <c r="H126" s="1190"/>
      <c r="I126" s="1190"/>
      <c r="J126" s="1190"/>
      <c r="K126" s="58"/>
      <c r="L126" s="1190"/>
      <c r="M126" s="1191">
        <f t="shared" si="13"/>
        <v>7.4880800000000011E-4</v>
      </c>
      <c r="N126" s="1190"/>
      <c r="O126" s="1191">
        <f t="shared" si="14"/>
        <v>7.4880800000000011E-4</v>
      </c>
      <c r="P126" s="887">
        <f t="shared" si="15"/>
        <v>25.556587030716727</v>
      </c>
      <c r="Q126" s="58"/>
      <c r="R126" s="58"/>
      <c r="S126" s="19"/>
    </row>
    <row r="127" spans="2:19" x14ac:dyDescent="0.35">
      <c r="B127" s="520" t="s">
        <v>1144</v>
      </c>
      <c r="C127" s="1196"/>
      <c r="D127" s="1190">
        <f>+'F1 SEZ'!F26</f>
        <v>0</v>
      </c>
      <c r="E127" s="1197"/>
      <c r="F127" s="1197"/>
      <c r="G127" s="1197"/>
      <c r="H127" s="1197"/>
      <c r="I127" s="1197"/>
      <c r="J127" s="1190"/>
      <c r="K127" s="58"/>
      <c r="L127" s="1190"/>
      <c r="M127" s="1191">
        <f t="shared" si="13"/>
        <v>0</v>
      </c>
      <c r="N127" s="1197"/>
      <c r="O127" s="1198">
        <f t="shared" si="14"/>
        <v>0</v>
      </c>
      <c r="P127" s="887">
        <f t="shared" si="15"/>
        <v>0</v>
      </c>
      <c r="Q127" s="58"/>
      <c r="R127" s="58"/>
      <c r="S127" s="19"/>
    </row>
    <row r="128" spans="2:19" x14ac:dyDescent="0.35">
      <c r="B128" s="520" t="s">
        <v>1143</v>
      </c>
      <c r="C128" s="1189"/>
      <c r="D128" s="1190">
        <f>+'F1 SEZ'!F27</f>
        <v>0</v>
      </c>
      <c r="E128" s="1190"/>
      <c r="F128" s="1190"/>
      <c r="G128" s="1190"/>
      <c r="H128" s="1190"/>
      <c r="I128" s="1190"/>
      <c r="J128" s="1190"/>
      <c r="K128" s="58"/>
      <c r="L128" s="1190"/>
      <c r="M128" s="1191">
        <f t="shared" si="13"/>
        <v>0</v>
      </c>
      <c r="N128" s="1190"/>
      <c r="O128" s="1191">
        <f t="shared" si="14"/>
        <v>0</v>
      </c>
      <c r="P128" s="887">
        <f t="shared" si="15"/>
        <v>0</v>
      </c>
      <c r="Q128" s="58"/>
      <c r="R128" s="58"/>
      <c r="S128" s="19"/>
    </row>
    <row r="129" spans="2:19" ht="25.5" x14ac:dyDescent="0.35">
      <c r="B129" s="519" t="s">
        <v>1111</v>
      </c>
      <c r="C129" s="1189"/>
      <c r="D129" s="1190">
        <f>+'F1 SEZ'!F28</f>
        <v>0</v>
      </c>
      <c r="E129" s="1190"/>
      <c r="F129" s="1190"/>
      <c r="G129" s="1190"/>
      <c r="H129" s="1190"/>
      <c r="I129" s="1190"/>
      <c r="J129" s="1190"/>
      <c r="K129" s="58"/>
      <c r="L129" s="1190"/>
      <c r="M129" s="1191">
        <f t="shared" si="13"/>
        <v>0</v>
      </c>
      <c r="N129" s="1190"/>
      <c r="O129" s="1191">
        <f t="shared" si="14"/>
        <v>0</v>
      </c>
      <c r="P129" s="887">
        <f t="shared" si="15"/>
        <v>0</v>
      </c>
      <c r="Q129" s="58"/>
      <c r="R129" s="58"/>
      <c r="S129" s="19"/>
    </row>
    <row r="130" spans="2:19" ht="25.5" x14ac:dyDescent="0.35">
      <c r="B130" s="519" t="s">
        <v>1135</v>
      </c>
      <c r="C130" s="1189">
        <v>1</v>
      </c>
      <c r="D130" s="1190">
        <f>+'F1 SEZ'!F29</f>
        <v>0.12382400000000002</v>
      </c>
      <c r="E130" s="1190">
        <v>5.6160000000000021E-4</v>
      </c>
      <c r="F130" s="1190">
        <v>6.2035824000000003E-2</v>
      </c>
      <c r="G130" s="1190">
        <v>1.7087712000000001E-2</v>
      </c>
      <c r="H130" s="1190"/>
      <c r="I130" s="1190"/>
      <c r="J130" s="1190"/>
      <c r="K130" s="58"/>
      <c r="L130" s="1190"/>
      <c r="M130" s="1191">
        <f t="shared" si="13"/>
        <v>7.9685136000000004E-2</v>
      </c>
      <c r="N130" s="1190"/>
      <c r="O130" s="1191">
        <f t="shared" si="14"/>
        <v>7.9685136000000004E-2</v>
      </c>
      <c r="P130" s="887">
        <f t="shared" si="15"/>
        <v>6.4353546969892754</v>
      </c>
      <c r="Q130" s="58"/>
      <c r="R130" s="58"/>
      <c r="S130" s="19"/>
    </row>
    <row r="131" spans="2:19" ht="25.5" x14ac:dyDescent="0.35">
      <c r="B131" s="519" t="s">
        <v>1136</v>
      </c>
      <c r="C131" s="1189"/>
      <c r="D131" s="1190">
        <f>+'F1 SEZ'!F30</f>
        <v>0</v>
      </c>
      <c r="E131" s="1190"/>
      <c r="F131" s="1190"/>
      <c r="G131" s="1190"/>
      <c r="H131" s="1190"/>
      <c r="I131" s="1190"/>
      <c r="J131" s="1190"/>
      <c r="K131" s="58"/>
      <c r="L131" s="1190"/>
      <c r="M131" s="1191">
        <f t="shared" si="13"/>
        <v>0</v>
      </c>
      <c r="N131" s="1190"/>
      <c r="O131" s="1191">
        <f t="shared" si="14"/>
        <v>0</v>
      </c>
      <c r="P131" s="887">
        <f t="shared" si="15"/>
        <v>0</v>
      </c>
      <c r="Q131" s="58"/>
      <c r="R131" s="58"/>
      <c r="S131" s="19"/>
    </row>
    <row r="132" spans="2:19" x14ac:dyDescent="0.35">
      <c r="B132" s="519" t="s">
        <v>1142</v>
      </c>
      <c r="C132" s="1189"/>
      <c r="D132" s="1190">
        <f>+'F1 SEZ'!F31</f>
        <v>0</v>
      </c>
      <c r="E132" s="1190"/>
      <c r="F132" s="1190"/>
      <c r="G132" s="1190"/>
      <c r="H132" s="1190"/>
      <c r="I132" s="1190"/>
      <c r="J132" s="1190"/>
      <c r="K132" s="58"/>
      <c r="L132" s="1190"/>
      <c r="M132" s="1191">
        <f t="shared" si="13"/>
        <v>0</v>
      </c>
      <c r="N132" s="1190"/>
      <c r="O132" s="1191">
        <f t="shared" si="14"/>
        <v>0</v>
      </c>
      <c r="P132" s="887">
        <f t="shared" si="15"/>
        <v>0</v>
      </c>
      <c r="Q132" s="58"/>
      <c r="R132" s="58"/>
      <c r="S132" s="19"/>
    </row>
    <row r="133" spans="2:19" x14ac:dyDescent="0.35">
      <c r="B133" s="518" t="s">
        <v>162</v>
      </c>
      <c r="C133" s="1192">
        <f>SUM(C120:C132)</f>
        <v>2</v>
      </c>
      <c r="D133" s="1191">
        <f>SUM(D120:D132)</f>
        <v>0.12411700000000002</v>
      </c>
      <c r="E133" s="1191">
        <f t="shared" ref="E133:O133" si="16">SUM(E120:E132)</f>
        <v>1.0596000000000004E-3</v>
      </c>
      <c r="F133" s="1191">
        <f t="shared" si="16"/>
        <v>6.2246198000000003E-2</v>
      </c>
      <c r="G133" s="1191">
        <f t="shared" si="16"/>
        <v>1.7128146E-2</v>
      </c>
      <c r="H133" s="1191">
        <f t="shared" si="16"/>
        <v>0</v>
      </c>
      <c r="I133" s="1191">
        <f t="shared" si="16"/>
        <v>0</v>
      </c>
      <c r="J133" s="1191">
        <f t="shared" si="16"/>
        <v>0</v>
      </c>
      <c r="K133" s="1191">
        <f t="shared" si="16"/>
        <v>0</v>
      </c>
      <c r="L133" s="1191">
        <f t="shared" si="16"/>
        <v>0</v>
      </c>
      <c r="M133" s="1191">
        <f t="shared" si="16"/>
        <v>8.0433944000000007E-2</v>
      </c>
      <c r="N133" s="1191">
        <f t="shared" si="16"/>
        <v>0</v>
      </c>
      <c r="O133" s="1191">
        <f t="shared" si="16"/>
        <v>8.0433944000000007E-2</v>
      </c>
      <c r="P133" s="887">
        <f t="shared" si="15"/>
        <v>6.4804937276924193</v>
      </c>
      <c r="Q133" s="58"/>
      <c r="R133" s="58"/>
      <c r="S133" s="19"/>
    </row>
    <row r="134" spans="2:19" x14ac:dyDescent="0.35">
      <c r="B134" s="518"/>
      <c r="C134" s="58"/>
      <c r="D134" s="1190"/>
      <c r="E134" s="1190"/>
      <c r="F134" s="1190"/>
      <c r="G134" s="1190"/>
      <c r="H134" s="1190"/>
      <c r="I134" s="1190"/>
      <c r="J134" s="1190"/>
      <c r="K134" s="58"/>
      <c r="L134" s="1190"/>
      <c r="M134" s="1190"/>
      <c r="N134" s="1190"/>
      <c r="O134" s="1190"/>
      <c r="P134" s="887"/>
      <c r="Q134" s="58"/>
      <c r="R134" s="58"/>
      <c r="S134" s="19"/>
    </row>
    <row r="135" spans="2:19" x14ac:dyDescent="0.35">
      <c r="B135" s="119" t="s">
        <v>164</v>
      </c>
      <c r="C135" s="1192">
        <f t="shared" ref="C135:O135" si="17">+C133+C117</f>
        <v>4</v>
      </c>
      <c r="D135" s="1191">
        <f t="shared" si="17"/>
        <v>13.305155730000001</v>
      </c>
      <c r="E135" s="1191">
        <f t="shared" si="17"/>
        <v>1.3195218720000002</v>
      </c>
      <c r="F135" s="1191">
        <f t="shared" si="17"/>
        <v>8.1047429620000013</v>
      </c>
      <c r="G135" s="1191">
        <f t="shared" si="17"/>
        <v>0.7737175544999999</v>
      </c>
      <c r="H135" s="1191">
        <f t="shared" si="17"/>
        <v>-0.27739524200000004</v>
      </c>
      <c r="I135" s="1191">
        <f t="shared" si="17"/>
        <v>0</v>
      </c>
      <c r="J135" s="1191">
        <f t="shared" si="17"/>
        <v>0</v>
      </c>
      <c r="K135" s="1191">
        <f t="shared" si="17"/>
        <v>0</v>
      </c>
      <c r="L135" s="1191">
        <f t="shared" si="17"/>
        <v>0</v>
      </c>
      <c r="M135" s="1191">
        <f t="shared" si="17"/>
        <v>9.9205871464999991</v>
      </c>
      <c r="N135" s="1191">
        <f t="shared" si="17"/>
        <v>0</v>
      </c>
      <c r="O135" s="1191">
        <f t="shared" si="17"/>
        <v>9.9205871464999991</v>
      </c>
      <c r="P135" s="887">
        <f>+IFERROR(O135/D135*10,0)</f>
        <v>7.4561976934485674</v>
      </c>
      <c r="Q135" s="58"/>
      <c r="R135" s="58"/>
      <c r="S135" s="19"/>
    </row>
    <row r="136" spans="2:19" x14ac:dyDescent="0.35">
      <c r="B136" s="58"/>
      <c r="C136" s="93"/>
      <c r="D136" s="93"/>
      <c r="E136" s="93"/>
      <c r="F136" s="93"/>
      <c r="G136" s="93"/>
      <c r="H136" s="93"/>
      <c r="I136" s="93"/>
      <c r="J136" s="93"/>
      <c r="K136" s="93"/>
      <c r="L136" s="93"/>
      <c r="M136" s="93"/>
      <c r="N136" s="93"/>
      <c r="O136" s="93"/>
      <c r="P136" s="93"/>
      <c r="Q136" s="93"/>
      <c r="R136" s="93"/>
      <c r="S136" s="93"/>
    </row>
    <row r="138" spans="2:19" x14ac:dyDescent="0.35">
      <c r="B138" s="40" t="s">
        <v>112</v>
      </c>
      <c r="C138" s="53"/>
      <c r="D138" s="53"/>
      <c r="E138" s="53"/>
      <c r="F138" s="53"/>
      <c r="G138" s="53"/>
      <c r="H138" s="53"/>
      <c r="I138" s="53"/>
      <c r="J138" s="53"/>
      <c r="K138" s="53"/>
      <c r="L138" s="53"/>
      <c r="M138" s="53"/>
      <c r="N138" s="53"/>
      <c r="O138" s="53"/>
    </row>
    <row r="139" spans="2:19" x14ac:dyDescent="0.35">
      <c r="B139" s="49"/>
    </row>
    <row r="140" spans="2:19" ht="40.5" x14ac:dyDescent="0.35">
      <c r="B140" s="1984" t="s">
        <v>699</v>
      </c>
      <c r="C140" s="106" t="s">
        <v>700</v>
      </c>
      <c r="D140" s="106" t="s">
        <v>701</v>
      </c>
      <c r="E140" s="106" t="s">
        <v>702</v>
      </c>
      <c r="F140" s="106" t="s">
        <v>703</v>
      </c>
      <c r="G140" s="106" t="s">
        <v>704</v>
      </c>
      <c r="H140" s="1188" t="s">
        <v>1449</v>
      </c>
      <c r="I140" s="1188" t="s">
        <v>1450</v>
      </c>
      <c r="J140" s="1188" t="s">
        <v>1451</v>
      </c>
      <c r="K140" s="106" t="s">
        <v>1448</v>
      </c>
      <c r="L140" s="106" t="s">
        <v>705</v>
      </c>
      <c r="M140" s="106" t="s">
        <v>706</v>
      </c>
      <c r="N140" s="106" t="s">
        <v>707</v>
      </c>
      <c r="O140" s="106" t="s">
        <v>708</v>
      </c>
      <c r="P140" s="106" t="s">
        <v>709</v>
      </c>
      <c r="Q140" s="106" t="s">
        <v>710</v>
      </c>
      <c r="R140" s="106" t="s">
        <v>711</v>
      </c>
      <c r="S140" s="106" t="s">
        <v>116</v>
      </c>
    </row>
    <row r="141" spans="2:19" ht="39.4" x14ac:dyDescent="0.35">
      <c r="B141" s="1984"/>
      <c r="C141" s="1188" t="s">
        <v>128</v>
      </c>
      <c r="D141" s="1188" t="s">
        <v>129</v>
      </c>
      <c r="E141" s="1188" t="s">
        <v>712</v>
      </c>
      <c r="F141" s="1188" t="s">
        <v>130</v>
      </c>
      <c r="G141" s="1188" t="s">
        <v>131</v>
      </c>
      <c r="H141" s="1188" t="s">
        <v>331</v>
      </c>
      <c r="I141" s="1188" t="s">
        <v>132</v>
      </c>
      <c r="J141" s="1188" t="s">
        <v>133</v>
      </c>
      <c r="K141" s="1188" t="s">
        <v>332</v>
      </c>
      <c r="L141" s="1188" t="s">
        <v>333</v>
      </c>
      <c r="M141" s="1188" t="s">
        <v>1452</v>
      </c>
      <c r="N141" s="1188" t="s">
        <v>529</v>
      </c>
      <c r="O141" s="1188" t="s">
        <v>1453</v>
      </c>
      <c r="P141" s="1188" t="s">
        <v>1454</v>
      </c>
      <c r="Q141" s="1188" t="s">
        <v>531</v>
      </c>
      <c r="R141" s="1188" t="s">
        <v>1455</v>
      </c>
      <c r="S141" s="1188" t="s">
        <v>533</v>
      </c>
    </row>
    <row r="142" spans="2:19" x14ac:dyDescent="0.35">
      <c r="B142" s="517" t="s">
        <v>161</v>
      </c>
      <c r="C142" s="93"/>
      <c r="D142" s="93"/>
      <c r="E142" s="93"/>
      <c r="F142" s="93"/>
      <c r="G142" s="93"/>
      <c r="H142" s="93"/>
      <c r="I142" s="93"/>
      <c r="J142" s="93"/>
      <c r="K142" s="93"/>
      <c r="L142" s="93"/>
      <c r="M142" s="93"/>
      <c r="N142" s="93"/>
      <c r="O142" s="93"/>
      <c r="P142" s="93"/>
      <c r="Q142" s="93"/>
      <c r="R142" s="93"/>
      <c r="S142" s="93"/>
    </row>
    <row r="143" spans="2:19" x14ac:dyDescent="0.35">
      <c r="B143" s="429" t="s">
        <v>1129</v>
      </c>
      <c r="C143" s="1189">
        <v>1</v>
      </c>
      <c r="D143" s="1190">
        <f>+'F1 SEZ'!G12</f>
        <v>21.21162</v>
      </c>
      <c r="E143" s="1190">
        <v>1.6146056</v>
      </c>
      <c r="F143" s="1190">
        <v>13.733464659999997</v>
      </c>
      <c r="G143" s="1190">
        <v>1.1820666</v>
      </c>
      <c r="H143" s="1190">
        <v>-0.43921979999999988</v>
      </c>
      <c r="I143" s="1190"/>
      <c r="J143" s="1190"/>
      <c r="K143" s="58"/>
      <c r="L143" s="1190"/>
      <c r="M143" s="1191">
        <f>SUM(E143:L143)</f>
        <v>16.090917059999995</v>
      </c>
      <c r="N143" s="1190"/>
      <c r="O143" s="1191">
        <f>+M143+N143</f>
        <v>16.090917059999995</v>
      </c>
      <c r="P143" s="887">
        <f>+IFERROR(O143/D143*10,0)</f>
        <v>7.5858972864873095</v>
      </c>
      <c r="Q143" s="58"/>
      <c r="R143" s="58"/>
      <c r="S143" s="19"/>
    </row>
    <row r="144" spans="2:19" x14ac:dyDescent="0.35">
      <c r="B144" s="429" t="s">
        <v>1130</v>
      </c>
      <c r="C144" s="1189">
        <v>1</v>
      </c>
      <c r="D144" s="1190">
        <f>+'F1 SEZ'!G13</f>
        <v>2.761328E-2</v>
      </c>
      <c r="E144" s="1190">
        <v>0.14164800000000002</v>
      </c>
      <c r="F144" s="1190">
        <v>3.2625970000000004E-2</v>
      </c>
      <c r="G144" s="1190">
        <v>1.638753E-3</v>
      </c>
      <c r="H144" s="1190">
        <v>1.4899149E-2</v>
      </c>
      <c r="I144" s="1190"/>
      <c r="J144" s="1190"/>
      <c r="K144" s="58"/>
      <c r="L144" s="1190"/>
      <c r="M144" s="1191">
        <f>SUM(E144:L144)</f>
        <v>0.19081187200000002</v>
      </c>
      <c r="N144" s="1190"/>
      <c r="O144" s="1191">
        <f>+M144+N144</f>
        <v>0.19081187200000002</v>
      </c>
      <c r="P144" s="887">
        <f>+IFERROR(O144/D144*10,0)</f>
        <v>69.101487400265384</v>
      </c>
      <c r="Q144" s="58"/>
      <c r="R144" s="58"/>
      <c r="S144" s="19"/>
    </row>
    <row r="145" spans="2:19" x14ac:dyDescent="0.35">
      <c r="B145" s="429" t="s">
        <v>1131</v>
      </c>
      <c r="C145" s="1189"/>
      <c r="D145" s="1190">
        <f>+'F1 SEZ'!G14</f>
        <v>0</v>
      </c>
      <c r="E145" s="1190"/>
      <c r="F145" s="1190"/>
      <c r="G145" s="1190"/>
      <c r="H145" s="1190"/>
      <c r="I145" s="1190"/>
      <c r="J145" s="1190"/>
      <c r="K145" s="58"/>
      <c r="L145" s="1190"/>
      <c r="M145" s="1191">
        <f>SUM(E145:L145)</f>
        <v>0</v>
      </c>
      <c r="N145" s="1190"/>
      <c r="O145" s="1191">
        <f>+M145+N145</f>
        <v>0</v>
      </c>
      <c r="P145" s="887">
        <f>+IFERROR(O145/D145*10,0)</f>
        <v>0</v>
      </c>
      <c r="Q145" s="58"/>
      <c r="R145" s="58"/>
      <c r="S145" s="19"/>
    </row>
    <row r="146" spans="2:19" ht="25.5" x14ac:dyDescent="0.35">
      <c r="B146" s="429" t="s">
        <v>1132</v>
      </c>
      <c r="C146" s="1189"/>
      <c r="D146" s="1190">
        <f>+'F1 SEZ'!G15</f>
        <v>0</v>
      </c>
      <c r="E146" s="1190"/>
      <c r="F146" s="1190"/>
      <c r="G146" s="1190"/>
      <c r="H146" s="1190"/>
      <c r="I146" s="1190"/>
      <c r="J146" s="1190"/>
      <c r="K146" s="58"/>
      <c r="L146" s="1190"/>
      <c r="M146" s="1191">
        <f>SUM(E146:L146)</f>
        <v>0</v>
      </c>
      <c r="N146" s="1190"/>
      <c r="O146" s="1191">
        <f>+M146+N146</f>
        <v>0</v>
      </c>
      <c r="P146" s="887">
        <f>+IFERROR(O146/D146*10,0)</f>
        <v>0</v>
      </c>
      <c r="Q146" s="58"/>
      <c r="R146" s="58"/>
      <c r="S146" s="19"/>
    </row>
    <row r="147" spans="2:19" x14ac:dyDescent="0.35">
      <c r="B147" s="518" t="s">
        <v>162</v>
      </c>
      <c r="C147" s="1192">
        <f>SUM(C143:C146)</f>
        <v>2</v>
      </c>
      <c r="D147" s="1191">
        <f t="shared" ref="D147:O147" si="18">SUM(D143:D146)</f>
        <v>21.239233280000001</v>
      </c>
      <c r="E147" s="1191">
        <f t="shared" si="18"/>
        <v>1.7562536</v>
      </c>
      <c r="F147" s="1191">
        <f t="shared" si="18"/>
        <v>13.766090629999997</v>
      </c>
      <c r="G147" s="1191">
        <f t="shared" si="18"/>
        <v>1.1837053529999999</v>
      </c>
      <c r="H147" s="1191">
        <f t="shared" si="18"/>
        <v>-0.42432065099999988</v>
      </c>
      <c r="I147" s="1191">
        <f t="shared" si="18"/>
        <v>0</v>
      </c>
      <c r="J147" s="1191">
        <f t="shared" si="18"/>
        <v>0</v>
      </c>
      <c r="K147" s="1191">
        <f t="shared" si="18"/>
        <v>0</v>
      </c>
      <c r="L147" s="1191">
        <f t="shared" si="18"/>
        <v>0</v>
      </c>
      <c r="M147" s="1191">
        <f t="shared" si="18"/>
        <v>16.281728931999996</v>
      </c>
      <c r="N147" s="1191">
        <f t="shared" si="18"/>
        <v>0</v>
      </c>
      <c r="O147" s="1191">
        <f t="shared" si="18"/>
        <v>16.281728931999996</v>
      </c>
      <c r="P147" s="887">
        <f>+IFERROR(O147/D147*10,0)</f>
        <v>7.6658741477884442</v>
      </c>
      <c r="Q147" s="58"/>
      <c r="R147" s="58"/>
      <c r="S147" s="19"/>
    </row>
    <row r="148" spans="2:19" x14ac:dyDescent="0.35">
      <c r="B148" s="517" t="s">
        <v>163</v>
      </c>
      <c r="C148" s="1189"/>
      <c r="D148" s="1190"/>
      <c r="E148" s="1190"/>
      <c r="F148" s="1190"/>
      <c r="G148" s="1190"/>
      <c r="H148" s="1190"/>
      <c r="I148" s="1190"/>
      <c r="J148" s="1190"/>
      <c r="K148" s="58"/>
      <c r="L148" s="1190"/>
      <c r="M148" s="1190"/>
      <c r="N148" s="1190"/>
      <c r="O148" s="1190"/>
      <c r="P148" s="887"/>
      <c r="Q148" s="58"/>
      <c r="R148" s="58"/>
      <c r="S148" s="19"/>
    </row>
    <row r="149" spans="2:19" x14ac:dyDescent="0.35">
      <c r="B149" s="519" t="s">
        <v>1133</v>
      </c>
      <c r="C149" s="1189"/>
      <c r="D149" s="1190"/>
      <c r="E149" s="1190"/>
      <c r="F149" s="1190"/>
      <c r="G149" s="1190"/>
      <c r="H149" s="1190"/>
      <c r="I149" s="1190"/>
      <c r="J149" s="1190"/>
      <c r="K149" s="58"/>
      <c r="L149" s="1190"/>
      <c r="M149" s="1190"/>
      <c r="N149" s="1190"/>
      <c r="O149" s="1190"/>
      <c r="P149" s="887"/>
      <c r="Q149" s="58"/>
      <c r="R149" s="58"/>
      <c r="S149" s="19"/>
    </row>
    <row r="150" spans="2:19" x14ac:dyDescent="0.35">
      <c r="B150" s="520" t="s">
        <v>1106</v>
      </c>
      <c r="C150" s="1189"/>
      <c r="D150" s="1190">
        <f>+'F1 SEZ'!G19</f>
        <v>0</v>
      </c>
      <c r="E150" s="1190"/>
      <c r="F150" s="1190"/>
      <c r="G150" s="1190"/>
      <c r="H150" s="1190"/>
      <c r="I150" s="1190"/>
      <c r="J150" s="1190"/>
      <c r="K150" s="58"/>
      <c r="L150" s="1190"/>
      <c r="M150" s="1191">
        <f t="shared" ref="M150:M162" si="19">SUM(E150:L150)</f>
        <v>0</v>
      </c>
      <c r="N150" s="1190"/>
      <c r="O150" s="1191">
        <f t="shared" ref="O150:O162" si="20">+M150+N150</f>
        <v>0</v>
      </c>
      <c r="P150" s="887">
        <f t="shared" ref="P150:P163" si="21">+IFERROR(O150/D150*10,0)</f>
        <v>0</v>
      </c>
      <c r="Q150" s="58"/>
      <c r="R150" s="58"/>
      <c r="S150" s="19"/>
    </row>
    <row r="151" spans="2:19" x14ac:dyDescent="0.35">
      <c r="B151" s="520" t="s">
        <v>1107</v>
      </c>
      <c r="C151" s="1193"/>
      <c r="D151" s="1190">
        <f>+'F1 SEZ'!G20</f>
        <v>0</v>
      </c>
      <c r="E151" s="1194"/>
      <c r="F151" s="1194"/>
      <c r="G151" s="1194"/>
      <c r="H151" s="1194"/>
      <c r="I151" s="1194"/>
      <c r="J151" s="1190"/>
      <c r="K151" s="58"/>
      <c r="L151" s="1190"/>
      <c r="M151" s="1191">
        <f t="shared" si="19"/>
        <v>0</v>
      </c>
      <c r="N151" s="1194"/>
      <c r="O151" s="1195">
        <f t="shared" si="20"/>
        <v>0</v>
      </c>
      <c r="P151" s="887">
        <f t="shared" si="21"/>
        <v>0</v>
      </c>
      <c r="Q151" s="58"/>
      <c r="R151" s="58"/>
      <c r="S151" s="19"/>
    </row>
    <row r="152" spans="2:19" x14ac:dyDescent="0.35">
      <c r="B152" s="520" t="s">
        <v>1108</v>
      </c>
      <c r="C152" s="1189"/>
      <c r="D152" s="1190">
        <f>+'F1 SEZ'!G21</f>
        <v>0</v>
      </c>
      <c r="E152" s="1190"/>
      <c r="F152" s="1190"/>
      <c r="G152" s="1190"/>
      <c r="H152" s="1190"/>
      <c r="I152" s="1190"/>
      <c r="J152" s="1190"/>
      <c r="K152" s="58"/>
      <c r="L152" s="1190"/>
      <c r="M152" s="1191">
        <f t="shared" si="19"/>
        <v>0</v>
      </c>
      <c r="N152" s="1190"/>
      <c r="O152" s="1191">
        <f t="shared" si="20"/>
        <v>0</v>
      </c>
      <c r="P152" s="887">
        <f t="shared" si="21"/>
        <v>0</v>
      </c>
      <c r="Q152" s="58"/>
      <c r="R152" s="58"/>
      <c r="S152" s="19"/>
    </row>
    <row r="153" spans="2:19" x14ac:dyDescent="0.35">
      <c r="B153" s="520" t="s">
        <v>1109</v>
      </c>
      <c r="C153" s="1189"/>
      <c r="D153" s="1190">
        <f>+'F1 SEZ'!G22</f>
        <v>0</v>
      </c>
      <c r="E153" s="1190"/>
      <c r="F153" s="1190"/>
      <c r="G153" s="1190"/>
      <c r="H153" s="1190"/>
      <c r="I153" s="1190"/>
      <c r="J153" s="1190"/>
      <c r="K153" s="58"/>
      <c r="L153" s="1190"/>
      <c r="M153" s="1191">
        <f t="shared" si="19"/>
        <v>0</v>
      </c>
      <c r="N153" s="1190"/>
      <c r="O153" s="1191">
        <f t="shared" si="20"/>
        <v>0</v>
      </c>
      <c r="P153" s="887">
        <f t="shared" si="21"/>
        <v>0</v>
      </c>
      <c r="Q153" s="58"/>
      <c r="R153" s="58"/>
      <c r="S153" s="19"/>
    </row>
    <row r="154" spans="2:19" x14ac:dyDescent="0.35">
      <c r="B154" s="520" t="s">
        <v>1110</v>
      </c>
      <c r="C154" s="1189"/>
      <c r="D154" s="1190">
        <f>+'F1 SEZ'!G23</f>
        <v>0</v>
      </c>
      <c r="E154" s="1190"/>
      <c r="F154" s="1190"/>
      <c r="G154" s="1190"/>
      <c r="H154" s="1190"/>
      <c r="I154" s="1190"/>
      <c r="J154" s="1190"/>
      <c r="K154" s="58"/>
      <c r="L154" s="1190"/>
      <c r="M154" s="1191">
        <f t="shared" si="19"/>
        <v>0</v>
      </c>
      <c r="N154" s="1190"/>
      <c r="O154" s="1191">
        <f t="shared" si="20"/>
        <v>0</v>
      </c>
      <c r="P154" s="887">
        <f t="shared" si="21"/>
        <v>0</v>
      </c>
      <c r="Q154" s="58"/>
      <c r="R154" s="58"/>
      <c r="S154" s="19"/>
    </row>
    <row r="155" spans="2:19" x14ac:dyDescent="0.35">
      <c r="B155" s="519" t="s">
        <v>1139</v>
      </c>
      <c r="C155" s="1189"/>
      <c r="D155" s="1190">
        <f>+'F1 SEZ'!G24</f>
        <v>0</v>
      </c>
      <c r="E155" s="58"/>
      <c r="F155" s="1190"/>
      <c r="G155" s="58"/>
      <c r="H155" s="58"/>
      <c r="I155" s="58"/>
      <c r="J155" s="58"/>
      <c r="K155" s="58"/>
      <c r="L155" s="1190"/>
      <c r="M155" s="1191">
        <f t="shared" si="19"/>
        <v>0</v>
      </c>
      <c r="N155" s="1190"/>
      <c r="O155" s="1191">
        <f t="shared" si="20"/>
        <v>0</v>
      </c>
      <c r="P155" s="887">
        <f t="shared" si="21"/>
        <v>0</v>
      </c>
      <c r="Q155" s="58"/>
      <c r="R155" s="58"/>
      <c r="S155" s="19"/>
    </row>
    <row r="156" spans="2:19" x14ac:dyDescent="0.35">
      <c r="B156" s="520" t="s">
        <v>1140</v>
      </c>
      <c r="C156" s="1189">
        <v>1</v>
      </c>
      <c r="D156" s="1190">
        <f>+'F1 SEZ'!G25</f>
        <v>1.2899999999999999E-4</v>
      </c>
      <c r="E156" s="1190">
        <v>2.5619999999999999E-4</v>
      </c>
      <c r="F156" s="1190">
        <v>9.1203000000000001E-5</v>
      </c>
      <c r="G156" s="1190">
        <v>1.7414999999999998E-5</v>
      </c>
      <c r="H156" s="1190"/>
      <c r="I156" s="1190"/>
      <c r="J156" s="1190"/>
      <c r="K156" s="58"/>
      <c r="L156" s="1190"/>
      <c r="M156" s="1191">
        <f t="shared" si="19"/>
        <v>3.6481799999999999E-4</v>
      </c>
      <c r="N156" s="1190"/>
      <c r="O156" s="1191">
        <f t="shared" si="20"/>
        <v>3.6481799999999999E-4</v>
      </c>
      <c r="P156" s="887">
        <f t="shared" si="21"/>
        <v>28.280465116279071</v>
      </c>
      <c r="Q156" s="58"/>
      <c r="R156" s="58"/>
      <c r="S156" s="19"/>
    </row>
    <row r="157" spans="2:19" x14ac:dyDescent="0.35">
      <c r="B157" s="520" t="s">
        <v>1144</v>
      </c>
      <c r="C157" s="1196"/>
      <c r="D157" s="1190">
        <f>+'F1 SEZ'!G26</f>
        <v>0</v>
      </c>
      <c r="E157" s="1197"/>
      <c r="F157" s="1197"/>
      <c r="G157" s="1197"/>
      <c r="H157" s="1197"/>
      <c r="I157" s="1197"/>
      <c r="J157" s="1190"/>
      <c r="K157" s="58"/>
      <c r="L157" s="1190"/>
      <c r="M157" s="1191">
        <f t="shared" si="19"/>
        <v>0</v>
      </c>
      <c r="N157" s="1197"/>
      <c r="O157" s="1198">
        <f t="shared" si="20"/>
        <v>0</v>
      </c>
      <c r="P157" s="887">
        <f t="shared" si="21"/>
        <v>0</v>
      </c>
      <c r="Q157" s="58"/>
      <c r="R157" s="58"/>
      <c r="S157" s="19"/>
    </row>
    <row r="158" spans="2:19" x14ac:dyDescent="0.35">
      <c r="B158" s="520" t="s">
        <v>1143</v>
      </c>
      <c r="C158" s="1189"/>
      <c r="D158" s="1190">
        <f>+'F1 SEZ'!G27</f>
        <v>0</v>
      </c>
      <c r="E158" s="1190"/>
      <c r="F158" s="1190"/>
      <c r="G158" s="1190"/>
      <c r="H158" s="1190"/>
      <c r="I158" s="1190"/>
      <c r="J158" s="1190"/>
      <c r="K158" s="58"/>
      <c r="L158" s="1190"/>
      <c r="M158" s="1191">
        <f t="shared" si="19"/>
        <v>0</v>
      </c>
      <c r="N158" s="1190"/>
      <c r="O158" s="1191">
        <f t="shared" si="20"/>
        <v>0</v>
      </c>
      <c r="P158" s="887">
        <f t="shared" si="21"/>
        <v>0</v>
      </c>
      <c r="Q158" s="58"/>
      <c r="R158" s="58"/>
      <c r="S158" s="19"/>
    </row>
    <row r="159" spans="2:19" ht="25.5" x14ac:dyDescent="0.35">
      <c r="B159" s="519" t="s">
        <v>1111</v>
      </c>
      <c r="C159" s="1189"/>
      <c r="D159" s="1190">
        <f>+'F1 SEZ'!G28</f>
        <v>0</v>
      </c>
      <c r="E159" s="1190"/>
      <c r="F159" s="1190"/>
      <c r="G159" s="1190"/>
      <c r="H159" s="1190"/>
      <c r="I159" s="1190"/>
      <c r="J159" s="1190"/>
      <c r="K159" s="58"/>
      <c r="L159" s="1190"/>
      <c r="M159" s="1191">
        <f t="shared" si="19"/>
        <v>0</v>
      </c>
      <c r="N159" s="1190"/>
      <c r="O159" s="1191">
        <f t="shared" si="20"/>
        <v>0</v>
      </c>
      <c r="P159" s="887">
        <f t="shared" si="21"/>
        <v>0</v>
      </c>
      <c r="Q159" s="58"/>
      <c r="R159" s="58"/>
      <c r="S159" s="19"/>
    </row>
    <row r="160" spans="2:19" ht="25.5" x14ac:dyDescent="0.35">
      <c r="B160" s="519" t="s">
        <v>1135</v>
      </c>
      <c r="C160" s="1189">
        <v>1</v>
      </c>
      <c r="D160" s="1190">
        <f>+'F1 SEZ'!G29</f>
        <v>0.12545599999999998</v>
      </c>
      <c r="E160" s="1190">
        <v>5.7839999999999986E-4</v>
      </c>
      <c r="F160" s="1190">
        <v>6.410801599999999E-2</v>
      </c>
      <c r="G160" s="1190">
        <v>1.693656E-2</v>
      </c>
      <c r="H160" s="1190"/>
      <c r="I160" s="1190"/>
      <c r="J160" s="1190"/>
      <c r="K160" s="58"/>
      <c r="L160" s="1190"/>
      <c r="M160" s="1191">
        <f t="shared" si="19"/>
        <v>8.1622976E-2</v>
      </c>
      <c r="N160" s="1190"/>
      <c r="O160" s="1191">
        <f t="shared" si="20"/>
        <v>8.1622976E-2</v>
      </c>
      <c r="P160" s="887">
        <f t="shared" si="21"/>
        <v>6.5061038132891227</v>
      </c>
      <c r="Q160" s="58"/>
      <c r="R160" s="58"/>
      <c r="S160" s="19"/>
    </row>
    <row r="161" spans="2:19" ht="25.5" x14ac:dyDescent="0.35">
      <c r="B161" s="519" t="s">
        <v>1136</v>
      </c>
      <c r="C161" s="1189"/>
      <c r="D161" s="1190">
        <f>+'F1 SEZ'!G30</f>
        <v>0</v>
      </c>
      <c r="E161" s="1190"/>
      <c r="F161" s="1190"/>
      <c r="G161" s="1190"/>
      <c r="H161" s="1190"/>
      <c r="I161" s="1190"/>
      <c r="J161" s="1190"/>
      <c r="K161" s="58"/>
      <c r="L161" s="1190"/>
      <c r="M161" s="1191">
        <f t="shared" si="19"/>
        <v>0</v>
      </c>
      <c r="N161" s="1190"/>
      <c r="O161" s="1191">
        <f t="shared" si="20"/>
        <v>0</v>
      </c>
      <c r="P161" s="887">
        <f t="shared" si="21"/>
        <v>0</v>
      </c>
      <c r="Q161" s="58"/>
      <c r="R161" s="58"/>
      <c r="S161" s="19"/>
    </row>
    <row r="162" spans="2:19" x14ac:dyDescent="0.35">
      <c r="B162" s="519" t="s">
        <v>1142</v>
      </c>
      <c r="C162" s="1189"/>
      <c r="D162" s="1190">
        <f>+'F1 SEZ'!G31</f>
        <v>0</v>
      </c>
      <c r="E162" s="1190"/>
      <c r="F162" s="1190"/>
      <c r="G162" s="1190"/>
      <c r="H162" s="1190"/>
      <c r="I162" s="1190"/>
      <c r="J162" s="1190"/>
      <c r="K162" s="58"/>
      <c r="L162" s="1190"/>
      <c r="M162" s="1191">
        <f t="shared" si="19"/>
        <v>0</v>
      </c>
      <c r="N162" s="1190"/>
      <c r="O162" s="1191">
        <f t="shared" si="20"/>
        <v>0</v>
      </c>
      <c r="P162" s="887">
        <f t="shared" si="21"/>
        <v>0</v>
      </c>
      <c r="Q162" s="58"/>
      <c r="R162" s="58"/>
      <c r="S162" s="19"/>
    </row>
    <row r="163" spans="2:19" x14ac:dyDescent="0.35">
      <c r="B163" s="518" t="s">
        <v>162</v>
      </c>
      <c r="C163" s="1192">
        <f>SUM(C150:C162)</f>
        <v>2</v>
      </c>
      <c r="D163" s="1191">
        <f>SUM(D150:D162)</f>
        <v>0.12558499999999997</v>
      </c>
      <c r="E163" s="1191">
        <f t="shared" ref="E163:O163" si="22">SUM(E150:E161)</f>
        <v>8.345999999999998E-4</v>
      </c>
      <c r="F163" s="1191">
        <f t="shared" si="22"/>
        <v>6.4199218999999988E-2</v>
      </c>
      <c r="G163" s="1191">
        <f t="shared" si="22"/>
        <v>1.6953975E-2</v>
      </c>
      <c r="H163" s="1191">
        <f t="shared" si="22"/>
        <v>0</v>
      </c>
      <c r="I163" s="1191">
        <f t="shared" si="22"/>
        <v>0</v>
      </c>
      <c r="J163" s="1191">
        <f t="shared" si="22"/>
        <v>0</v>
      </c>
      <c r="K163" s="1191">
        <f t="shared" si="22"/>
        <v>0</v>
      </c>
      <c r="L163" s="1191">
        <f t="shared" si="22"/>
        <v>0</v>
      </c>
      <c r="M163" s="1191">
        <f t="shared" si="22"/>
        <v>8.1987794000000003E-2</v>
      </c>
      <c r="N163" s="1191">
        <f t="shared" si="22"/>
        <v>0</v>
      </c>
      <c r="O163" s="1191">
        <f t="shared" si="22"/>
        <v>8.1987794000000003E-2</v>
      </c>
      <c r="P163" s="887">
        <f t="shared" si="21"/>
        <v>6.5284702790938418</v>
      </c>
      <c r="Q163" s="58"/>
      <c r="R163" s="58"/>
      <c r="S163" s="19"/>
    </row>
    <row r="164" spans="2:19" x14ac:dyDescent="0.35">
      <c r="B164" s="518"/>
      <c r="C164" s="58"/>
      <c r="D164" s="1190"/>
      <c r="E164" s="1190"/>
      <c r="F164" s="1190"/>
      <c r="G164" s="1190"/>
      <c r="H164" s="1190"/>
      <c r="I164" s="1190"/>
      <c r="J164" s="1190"/>
      <c r="K164" s="58"/>
      <c r="L164" s="1190"/>
      <c r="M164" s="1190"/>
      <c r="N164" s="1190"/>
      <c r="O164" s="1190"/>
      <c r="P164" s="887"/>
      <c r="Q164" s="58"/>
      <c r="R164" s="58"/>
      <c r="S164" s="19"/>
    </row>
    <row r="165" spans="2:19" x14ac:dyDescent="0.35">
      <c r="B165" s="119" t="s">
        <v>164</v>
      </c>
      <c r="C165" s="1192">
        <f t="shared" ref="C165:O165" si="23">+C163+C147</f>
        <v>4</v>
      </c>
      <c r="D165" s="1191">
        <f t="shared" si="23"/>
        <v>21.364818280000001</v>
      </c>
      <c r="E165" s="1191">
        <f t="shared" si="23"/>
        <v>1.7570881999999999</v>
      </c>
      <c r="F165" s="1191">
        <f t="shared" si="23"/>
        <v>13.830289848999998</v>
      </c>
      <c r="G165" s="1191">
        <f t="shared" si="23"/>
        <v>1.200659328</v>
      </c>
      <c r="H165" s="1191">
        <f t="shared" si="23"/>
        <v>-0.42432065099999988</v>
      </c>
      <c r="I165" s="1191">
        <f t="shared" si="23"/>
        <v>0</v>
      </c>
      <c r="J165" s="1191">
        <f t="shared" si="23"/>
        <v>0</v>
      </c>
      <c r="K165" s="1191">
        <f t="shared" si="23"/>
        <v>0</v>
      </c>
      <c r="L165" s="1191">
        <f t="shared" si="23"/>
        <v>0</v>
      </c>
      <c r="M165" s="1191">
        <f t="shared" si="23"/>
        <v>16.363716725999996</v>
      </c>
      <c r="N165" s="1191">
        <f t="shared" si="23"/>
        <v>0</v>
      </c>
      <c r="O165" s="1191">
        <f t="shared" si="23"/>
        <v>16.363716725999996</v>
      </c>
      <c r="P165" s="887">
        <f>+IFERROR(O165/D165*10,0)</f>
        <v>7.6591883495299236</v>
      </c>
      <c r="Q165" s="58"/>
      <c r="R165" s="58"/>
      <c r="S165" s="19"/>
    </row>
    <row r="166" spans="2:19" x14ac:dyDescent="0.35">
      <c r="B166" s="58"/>
      <c r="C166" s="93"/>
      <c r="D166" s="93"/>
      <c r="E166" s="93"/>
      <c r="F166" s="93"/>
      <c r="G166" s="93"/>
      <c r="H166" s="93"/>
      <c r="I166" s="93"/>
      <c r="J166" s="93"/>
      <c r="K166" s="93"/>
      <c r="L166" s="93"/>
      <c r="M166" s="93"/>
      <c r="N166" s="93"/>
      <c r="O166" s="93"/>
      <c r="P166" s="93"/>
      <c r="Q166" s="93"/>
      <c r="R166" s="93"/>
      <c r="S166" s="93"/>
    </row>
    <row r="168" spans="2:19" x14ac:dyDescent="0.35">
      <c r="B168" s="40" t="s">
        <v>113</v>
      </c>
      <c r="C168" s="53"/>
      <c r="D168" s="53"/>
      <c r="E168" s="53"/>
      <c r="F168" s="53"/>
      <c r="G168" s="53"/>
      <c r="H168" s="53"/>
      <c r="I168" s="53"/>
      <c r="J168" s="53"/>
      <c r="K168" s="53"/>
      <c r="L168" s="53"/>
      <c r="M168" s="53"/>
      <c r="N168" s="53"/>
      <c r="O168" s="53"/>
    </row>
    <row r="169" spans="2:19" x14ac:dyDescent="0.35">
      <c r="B169" s="49"/>
    </row>
    <row r="170" spans="2:19" s="57" customFormat="1" ht="40.5" x14ac:dyDescent="0.35">
      <c r="B170" s="1984" t="s">
        <v>699</v>
      </c>
      <c r="C170" s="106" t="s">
        <v>700</v>
      </c>
      <c r="D170" s="106" t="s">
        <v>701</v>
      </c>
      <c r="E170" s="106" t="s">
        <v>702</v>
      </c>
      <c r="F170" s="106" t="s">
        <v>703</v>
      </c>
      <c r="G170" s="106" t="s">
        <v>704</v>
      </c>
      <c r="H170" s="1188" t="s">
        <v>1449</v>
      </c>
      <c r="I170" s="1188" t="s">
        <v>1450</v>
      </c>
      <c r="J170" s="1188" t="s">
        <v>1451</v>
      </c>
      <c r="K170" s="106" t="s">
        <v>1448</v>
      </c>
      <c r="L170" s="106" t="s">
        <v>705</v>
      </c>
      <c r="M170" s="106" t="s">
        <v>706</v>
      </c>
      <c r="N170" s="106" t="s">
        <v>707</v>
      </c>
      <c r="O170" s="106" t="s">
        <v>708</v>
      </c>
      <c r="P170" s="106" t="s">
        <v>709</v>
      </c>
      <c r="Q170" s="106" t="s">
        <v>710</v>
      </c>
      <c r="R170" s="106" t="s">
        <v>711</v>
      </c>
      <c r="S170" s="106" t="s">
        <v>116</v>
      </c>
    </row>
    <row r="171" spans="2:19" s="57" customFormat="1" ht="39.4" x14ac:dyDescent="0.35">
      <c r="B171" s="1984"/>
      <c r="C171" s="1188" t="s">
        <v>128</v>
      </c>
      <c r="D171" s="1188" t="s">
        <v>129</v>
      </c>
      <c r="E171" s="1188" t="s">
        <v>712</v>
      </c>
      <c r="F171" s="1188" t="s">
        <v>130</v>
      </c>
      <c r="G171" s="1188" t="s">
        <v>131</v>
      </c>
      <c r="H171" s="1188" t="s">
        <v>331</v>
      </c>
      <c r="I171" s="1188" t="s">
        <v>132</v>
      </c>
      <c r="J171" s="1188" t="s">
        <v>133</v>
      </c>
      <c r="K171" s="1188" t="s">
        <v>332</v>
      </c>
      <c r="L171" s="1188" t="s">
        <v>333</v>
      </c>
      <c r="M171" s="1188" t="s">
        <v>1452</v>
      </c>
      <c r="N171" s="1188" t="s">
        <v>529</v>
      </c>
      <c r="O171" s="1188" t="s">
        <v>1453</v>
      </c>
      <c r="P171" s="1188" t="s">
        <v>1454</v>
      </c>
      <c r="Q171" s="1188" t="s">
        <v>531</v>
      </c>
      <c r="R171" s="1188" t="s">
        <v>1455</v>
      </c>
      <c r="S171" s="1188" t="s">
        <v>533</v>
      </c>
    </row>
    <row r="172" spans="2:19" x14ac:dyDescent="0.35">
      <c r="B172" s="517" t="s">
        <v>161</v>
      </c>
      <c r="C172" s="93"/>
      <c r="D172" s="93"/>
      <c r="E172" s="93"/>
      <c r="F172" s="93"/>
      <c r="G172" s="93"/>
      <c r="H172" s="93"/>
      <c r="I172" s="93"/>
      <c r="J172" s="93"/>
      <c r="K172" s="93"/>
      <c r="L172" s="93"/>
      <c r="M172" s="93"/>
      <c r="N172" s="93"/>
      <c r="O172" s="93"/>
      <c r="P172" s="93"/>
      <c r="Q172" s="93"/>
      <c r="R172" s="93"/>
      <c r="S172" s="93"/>
    </row>
    <row r="173" spans="2:19" x14ac:dyDescent="0.35">
      <c r="B173" s="429" t="s">
        <v>1129</v>
      </c>
      <c r="C173" s="1189">
        <v>1</v>
      </c>
      <c r="D173" s="1190">
        <f>+'F1 SEZ'!H12</f>
        <v>33.574559999999998</v>
      </c>
      <c r="E173" s="1190">
        <v>2.9856168000000003</v>
      </c>
      <c r="F173" s="1190">
        <v>27.666675059999999</v>
      </c>
      <c r="G173" s="1190">
        <v>2.0443355999999997</v>
      </c>
      <c r="H173" s="1190">
        <v>-0.68984221999999995</v>
      </c>
      <c r="I173" s="1190"/>
      <c r="J173" s="1190"/>
      <c r="K173" s="58"/>
      <c r="L173" s="1190"/>
      <c r="M173" s="1191">
        <f>SUM(E173:L173)</f>
        <v>32.006785239999992</v>
      </c>
      <c r="N173" s="1190"/>
      <c r="O173" s="1191">
        <f>+M173+N173</f>
        <v>32.006785239999992</v>
      </c>
      <c r="P173" s="887">
        <f>+IFERROR(O173/D173*10,0)</f>
        <v>9.5330468187818376</v>
      </c>
      <c r="Q173" s="58"/>
      <c r="R173" s="58"/>
      <c r="S173" s="19"/>
    </row>
    <row r="174" spans="2:19" x14ac:dyDescent="0.35">
      <c r="B174" s="429" t="s">
        <v>1130</v>
      </c>
      <c r="C174" s="1189">
        <v>1</v>
      </c>
      <c r="D174" s="1190">
        <f>+'F1 SEZ'!H13</f>
        <v>1.6677579999999997E-2</v>
      </c>
      <c r="E174" s="1190">
        <v>0.16766400000000001</v>
      </c>
      <c r="F174" s="1190">
        <v>2.2273247999999999E-2</v>
      </c>
      <c r="G174" s="1190">
        <v>1.0416219999999999E-3</v>
      </c>
      <c r="H174" s="1190">
        <v>1.909631E-3</v>
      </c>
      <c r="I174" s="1190"/>
      <c r="J174" s="1190"/>
      <c r="K174" s="58"/>
      <c r="L174" s="1190"/>
      <c r="M174" s="1191">
        <f>SUM(E174:L174)</f>
        <v>0.19288850099999999</v>
      </c>
      <c r="N174" s="1190"/>
      <c r="O174" s="1191">
        <f>+M174+N174</f>
        <v>0.19288850099999999</v>
      </c>
      <c r="P174" s="887">
        <f>+IFERROR(O174/D174*10,0)</f>
        <v>115.65736815533191</v>
      </c>
      <c r="Q174" s="58"/>
      <c r="R174" s="58"/>
      <c r="S174" s="19"/>
    </row>
    <row r="175" spans="2:19" x14ac:dyDescent="0.35">
      <c r="B175" s="429" t="s">
        <v>1131</v>
      </c>
      <c r="C175" s="1189"/>
      <c r="D175" s="1190">
        <f>+'F1 SEZ'!H14</f>
        <v>0</v>
      </c>
      <c r="E175" s="1190"/>
      <c r="F175" s="1190"/>
      <c r="G175" s="1190"/>
      <c r="H175" s="1190"/>
      <c r="I175" s="1190"/>
      <c r="J175" s="1190"/>
      <c r="K175" s="58"/>
      <c r="L175" s="1190"/>
      <c r="M175" s="1191">
        <f>SUM(E175:L175)</f>
        <v>0</v>
      </c>
      <c r="N175" s="1190"/>
      <c r="O175" s="1191">
        <f>+M175+N175</f>
        <v>0</v>
      </c>
      <c r="P175" s="887">
        <f>+IFERROR(O175/D175*10,0)</f>
        <v>0</v>
      </c>
      <c r="Q175" s="58"/>
      <c r="R175" s="58"/>
      <c r="S175" s="19"/>
    </row>
    <row r="176" spans="2:19" ht="25.5" x14ac:dyDescent="0.35">
      <c r="B176" s="429" t="s">
        <v>1132</v>
      </c>
      <c r="C176" s="1189"/>
      <c r="D176" s="1190">
        <f>+'F1 SEZ'!H15</f>
        <v>0</v>
      </c>
      <c r="E176" s="1190"/>
      <c r="F176" s="1190"/>
      <c r="G176" s="1190"/>
      <c r="H176" s="1190"/>
      <c r="I176" s="1190"/>
      <c r="J176" s="1190"/>
      <c r="K176" s="58"/>
      <c r="L176" s="1190"/>
      <c r="M176" s="1191">
        <f>SUM(E176:L176)</f>
        <v>0</v>
      </c>
      <c r="N176" s="1190"/>
      <c r="O176" s="1191">
        <f>+M176+N176</f>
        <v>0</v>
      </c>
      <c r="P176" s="887">
        <f>+IFERROR(O176/D176*10,0)</f>
        <v>0</v>
      </c>
      <c r="Q176" s="58"/>
      <c r="R176" s="58"/>
      <c r="S176" s="19"/>
    </row>
    <row r="177" spans="2:19" x14ac:dyDescent="0.35">
      <c r="B177" s="518" t="s">
        <v>162</v>
      </c>
      <c r="C177" s="1192">
        <f>SUM(C173:C176)</f>
        <v>2</v>
      </c>
      <c r="D177" s="1191">
        <f t="shared" ref="D177:O177" si="24">SUM(D173:D176)</f>
        <v>33.591237579999998</v>
      </c>
      <c r="E177" s="1191">
        <f t="shared" si="24"/>
        <v>3.1532808000000001</v>
      </c>
      <c r="F177" s="1191">
        <f t="shared" si="24"/>
        <v>27.688948308000001</v>
      </c>
      <c r="G177" s="1191">
        <f t="shared" si="24"/>
        <v>2.0453772219999995</v>
      </c>
      <c r="H177" s="1191">
        <f t="shared" si="24"/>
        <v>-0.68793258899999998</v>
      </c>
      <c r="I177" s="1191">
        <f t="shared" si="24"/>
        <v>0</v>
      </c>
      <c r="J177" s="1191">
        <f t="shared" si="24"/>
        <v>0</v>
      </c>
      <c r="K177" s="1191">
        <f t="shared" si="24"/>
        <v>0</v>
      </c>
      <c r="L177" s="1191">
        <f t="shared" si="24"/>
        <v>0</v>
      </c>
      <c r="M177" s="1191">
        <f t="shared" si="24"/>
        <v>32.199673740999991</v>
      </c>
      <c r="N177" s="1191">
        <f t="shared" si="24"/>
        <v>0</v>
      </c>
      <c r="O177" s="1191">
        <f t="shared" si="24"/>
        <v>32.199673740999991</v>
      </c>
      <c r="P177" s="887">
        <f>+IFERROR(O177/D177*10,0)</f>
        <v>9.5857360611719358</v>
      </c>
      <c r="Q177" s="58"/>
      <c r="R177" s="58"/>
      <c r="S177" s="19"/>
    </row>
    <row r="178" spans="2:19" x14ac:dyDescent="0.35">
      <c r="B178" s="517" t="s">
        <v>163</v>
      </c>
      <c r="C178" s="1189"/>
      <c r="D178" s="1190"/>
      <c r="E178" s="1190"/>
      <c r="F178" s="1190"/>
      <c r="G178" s="1190"/>
      <c r="H178" s="1190"/>
      <c r="I178" s="1190"/>
      <c r="J178" s="1190"/>
      <c r="K178" s="58"/>
      <c r="L178" s="1190"/>
      <c r="M178" s="1190"/>
      <c r="N178" s="1190"/>
      <c r="O178" s="1190"/>
      <c r="P178" s="887"/>
      <c r="Q178" s="58"/>
      <c r="R178" s="58"/>
      <c r="S178" s="19"/>
    </row>
    <row r="179" spans="2:19" x14ac:dyDescent="0.35">
      <c r="B179" s="519" t="s">
        <v>1133</v>
      </c>
      <c r="C179" s="1189"/>
      <c r="D179" s="1190"/>
      <c r="E179" s="1190"/>
      <c r="F179" s="1190"/>
      <c r="G179" s="1190"/>
      <c r="H179" s="1190"/>
      <c r="I179" s="1190"/>
      <c r="J179" s="1190"/>
      <c r="K179" s="58"/>
      <c r="L179" s="1190"/>
      <c r="M179" s="1190"/>
      <c r="N179" s="1190"/>
      <c r="O179" s="1190"/>
      <c r="P179" s="887"/>
      <c r="Q179" s="58"/>
      <c r="R179" s="58"/>
      <c r="S179" s="19"/>
    </row>
    <row r="180" spans="2:19" x14ac:dyDescent="0.35">
      <c r="B180" s="520" t="s">
        <v>1106</v>
      </c>
      <c r="C180" s="1189"/>
      <c r="D180" s="1190">
        <f>+'F1 SEZ'!H19</f>
        <v>0</v>
      </c>
      <c r="E180" s="1190"/>
      <c r="F180" s="1190"/>
      <c r="G180" s="1190"/>
      <c r="H180" s="1190"/>
      <c r="I180" s="1190"/>
      <c r="J180" s="1190"/>
      <c r="K180" s="58"/>
      <c r="L180" s="1190"/>
      <c r="M180" s="1191">
        <f t="shared" ref="M180:M192" si="25">SUM(E180:L180)</f>
        <v>0</v>
      </c>
      <c r="N180" s="1190"/>
      <c r="O180" s="1191">
        <f t="shared" ref="O180:O192" si="26">+M180+N180</f>
        <v>0</v>
      </c>
      <c r="P180" s="887">
        <f t="shared" ref="P180:P193" si="27">+IFERROR(O180/D180*10,0)</f>
        <v>0</v>
      </c>
      <c r="Q180" s="58"/>
      <c r="R180" s="58"/>
      <c r="S180" s="19"/>
    </row>
    <row r="181" spans="2:19" x14ac:dyDescent="0.35">
      <c r="B181" s="520" t="s">
        <v>1107</v>
      </c>
      <c r="C181" s="1193"/>
      <c r="D181" s="1190">
        <f>+'F1 SEZ'!H20</f>
        <v>0</v>
      </c>
      <c r="E181" s="1194"/>
      <c r="F181" s="1194"/>
      <c r="G181" s="1194"/>
      <c r="H181" s="1194"/>
      <c r="I181" s="1194"/>
      <c r="J181" s="1190"/>
      <c r="K181" s="58"/>
      <c r="L181" s="1190"/>
      <c r="M181" s="1191">
        <f t="shared" si="25"/>
        <v>0</v>
      </c>
      <c r="N181" s="1194"/>
      <c r="O181" s="1195">
        <f t="shared" si="26"/>
        <v>0</v>
      </c>
      <c r="P181" s="887">
        <f t="shared" si="27"/>
        <v>0</v>
      </c>
      <c r="Q181" s="58"/>
      <c r="R181" s="58"/>
      <c r="S181" s="19"/>
    </row>
    <row r="182" spans="2:19" x14ac:dyDescent="0.35">
      <c r="B182" s="520" t="s">
        <v>1108</v>
      </c>
      <c r="C182" s="1189"/>
      <c r="D182" s="1190">
        <f>+'F1 SEZ'!H21</f>
        <v>0</v>
      </c>
      <c r="E182" s="1190"/>
      <c r="F182" s="1190"/>
      <c r="G182" s="1190"/>
      <c r="H182" s="1190"/>
      <c r="I182" s="1190"/>
      <c r="J182" s="1190"/>
      <c r="K182" s="58"/>
      <c r="L182" s="1190"/>
      <c r="M182" s="1191">
        <f t="shared" si="25"/>
        <v>0</v>
      </c>
      <c r="N182" s="1190"/>
      <c r="O182" s="1191">
        <f t="shared" si="26"/>
        <v>0</v>
      </c>
      <c r="P182" s="887">
        <f t="shared" si="27"/>
        <v>0</v>
      </c>
      <c r="Q182" s="58"/>
      <c r="R182" s="58"/>
      <c r="S182" s="19"/>
    </row>
    <row r="183" spans="2:19" x14ac:dyDescent="0.35">
      <c r="B183" s="520" t="s">
        <v>1109</v>
      </c>
      <c r="C183" s="1189"/>
      <c r="D183" s="1190">
        <f>+'F1 SEZ'!H22</f>
        <v>0</v>
      </c>
      <c r="E183" s="1190"/>
      <c r="F183" s="1190"/>
      <c r="G183" s="1190"/>
      <c r="H183" s="1190"/>
      <c r="I183" s="1190"/>
      <c r="J183" s="1190"/>
      <c r="K183" s="58"/>
      <c r="L183" s="1190"/>
      <c r="M183" s="1191">
        <f t="shared" si="25"/>
        <v>0</v>
      </c>
      <c r="N183" s="1190"/>
      <c r="O183" s="1191">
        <f t="shared" si="26"/>
        <v>0</v>
      </c>
      <c r="P183" s="887">
        <f t="shared" si="27"/>
        <v>0</v>
      </c>
      <c r="Q183" s="58"/>
      <c r="R183" s="58"/>
      <c r="S183" s="19"/>
    </row>
    <row r="184" spans="2:19" x14ac:dyDescent="0.35">
      <c r="B184" s="520" t="s">
        <v>1110</v>
      </c>
      <c r="C184" s="1189"/>
      <c r="D184" s="1190">
        <f>+'F1 SEZ'!H23</f>
        <v>0</v>
      </c>
      <c r="E184" s="1190"/>
      <c r="F184" s="1190"/>
      <c r="G184" s="1190"/>
      <c r="H184" s="1190"/>
      <c r="I184" s="1190"/>
      <c r="J184" s="1190"/>
      <c r="K184" s="58"/>
      <c r="L184" s="1190"/>
      <c r="M184" s="1191">
        <f t="shared" si="25"/>
        <v>0</v>
      </c>
      <c r="N184" s="1190"/>
      <c r="O184" s="1191">
        <f t="shared" si="26"/>
        <v>0</v>
      </c>
      <c r="P184" s="887">
        <f t="shared" si="27"/>
        <v>0</v>
      </c>
      <c r="Q184" s="58"/>
      <c r="R184" s="58"/>
      <c r="S184" s="19"/>
    </row>
    <row r="185" spans="2:19" x14ac:dyDescent="0.35">
      <c r="B185" s="519" t="s">
        <v>1139</v>
      </c>
      <c r="C185" s="1189"/>
      <c r="D185" s="1190">
        <f>+'F1 SEZ'!H24</f>
        <v>0</v>
      </c>
      <c r="E185" s="58"/>
      <c r="F185" s="1190"/>
      <c r="G185" s="58"/>
      <c r="H185" s="58"/>
      <c r="I185" s="58"/>
      <c r="J185" s="58"/>
      <c r="K185" s="58"/>
      <c r="L185" s="1190"/>
      <c r="M185" s="1191">
        <f t="shared" si="25"/>
        <v>0</v>
      </c>
      <c r="N185" s="1190"/>
      <c r="O185" s="1191">
        <f t="shared" si="26"/>
        <v>0</v>
      </c>
      <c r="P185" s="887">
        <f t="shared" si="27"/>
        <v>0</v>
      </c>
      <c r="Q185" s="58"/>
      <c r="R185" s="58"/>
      <c r="S185" s="19"/>
    </row>
    <row r="186" spans="2:19" x14ac:dyDescent="0.35">
      <c r="B186" s="520" t="s">
        <v>1140</v>
      </c>
      <c r="C186" s="1189"/>
      <c r="D186" s="1190">
        <f>+'F1 SEZ'!H25</f>
        <v>0</v>
      </c>
      <c r="E186" s="1190"/>
      <c r="F186" s="1190"/>
      <c r="G186" s="1190"/>
      <c r="H186" s="1190"/>
      <c r="I186" s="1190"/>
      <c r="J186" s="1190"/>
      <c r="K186" s="58"/>
      <c r="L186" s="1190"/>
      <c r="M186" s="1191">
        <f t="shared" si="25"/>
        <v>0</v>
      </c>
      <c r="N186" s="1190"/>
      <c r="O186" s="1191">
        <f t="shared" si="26"/>
        <v>0</v>
      </c>
      <c r="P186" s="887">
        <f t="shared" si="27"/>
        <v>0</v>
      </c>
      <c r="Q186" s="58"/>
      <c r="R186" s="58"/>
      <c r="S186" s="19"/>
    </row>
    <row r="187" spans="2:19" x14ac:dyDescent="0.35">
      <c r="B187" s="520" t="s">
        <v>1144</v>
      </c>
      <c r="C187" s="1196"/>
      <c r="D187" s="1190">
        <f>+'F1 SEZ'!H26</f>
        <v>0</v>
      </c>
      <c r="E187" s="1197"/>
      <c r="F187" s="1197"/>
      <c r="G187" s="1197"/>
      <c r="H187" s="1197"/>
      <c r="I187" s="1197"/>
      <c r="J187" s="1190"/>
      <c r="K187" s="58"/>
      <c r="L187" s="1190"/>
      <c r="M187" s="1191">
        <f t="shared" si="25"/>
        <v>0</v>
      </c>
      <c r="N187" s="1197"/>
      <c r="O187" s="1198">
        <f t="shared" si="26"/>
        <v>0</v>
      </c>
      <c r="P187" s="887">
        <f t="shared" si="27"/>
        <v>0</v>
      </c>
      <c r="Q187" s="58"/>
      <c r="R187" s="58"/>
      <c r="S187" s="19"/>
    </row>
    <row r="188" spans="2:19" x14ac:dyDescent="0.35">
      <c r="B188" s="520" t="s">
        <v>1143</v>
      </c>
      <c r="C188" s="1189"/>
      <c r="D188" s="1190">
        <f>+'F1 SEZ'!H27</f>
        <v>0</v>
      </c>
      <c r="E188" s="1190"/>
      <c r="F188" s="1190"/>
      <c r="G188" s="1190"/>
      <c r="H188" s="1190"/>
      <c r="I188" s="1190"/>
      <c r="J188" s="1190"/>
      <c r="K188" s="58"/>
      <c r="L188" s="1190"/>
      <c r="M188" s="1191">
        <f t="shared" si="25"/>
        <v>0</v>
      </c>
      <c r="N188" s="1190"/>
      <c r="O188" s="1191">
        <f t="shared" si="26"/>
        <v>0</v>
      </c>
      <c r="P188" s="887">
        <f t="shared" si="27"/>
        <v>0</v>
      </c>
      <c r="Q188" s="58"/>
      <c r="R188" s="58"/>
      <c r="S188" s="19"/>
    </row>
    <row r="189" spans="2:19" ht="25.5" x14ac:dyDescent="0.35">
      <c r="B189" s="519" t="s">
        <v>1111</v>
      </c>
      <c r="C189" s="1189"/>
      <c r="D189" s="1190">
        <f>+'F1 SEZ'!H28</f>
        <v>0</v>
      </c>
      <c r="E189" s="1190"/>
      <c r="F189" s="1190"/>
      <c r="G189" s="1190"/>
      <c r="H189" s="1190"/>
      <c r="I189" s="1190"/>
      <c r="J189" s="1190"/>
      <c r="K189" s="58"/>
      <c r="L189" s="1190"/>
      <c r="M189" s="1191">
        <f t="shared" si="25"/>
        <v>0</v>
      </c>
      <c r="N189" s="1190"/>
      <c r="O189" s="1191">
        <f t="shared" si="26"/>
        <v>0</v>
      </c>
      <c r="P189" s="887">
        <f t="shared" si="27"/>
        <v>0</v>
      </c>
      <c r="Q189" s="58"/>
      <c r="R189" s="58"/>
      <c r="S189" s="19"/>
    </row>
    <row r="190" spans="2:19" ht="25.5" x14ac:dyDescent="0.35">
      <c r="B190" s="519" t="s">
        <v>1135</v>
      </c>
      <c r="C190" s="1189">
        <v>1</v>
      </c>
      <c r="D190" s="1190">
        <f>+'F1 SEZ'!H29</f>
        <v>0.15712800000000002</v>
      </c>
      <c r="E190" s="1190">
        <v>6.3600000000000006E-4</v>
      </c>
      <c r="F190" s="1190">
        <v>9.3962543999999995E-2</v>
      </c>
      <c r="G190" s="1190">
        <v>1.8383976E-2</v>
      </c>
      <c r="H190" s="1190"/>
      <c r="I190" s="1190"/>
      <c r="J190" s="1190"/>
      <c r="K190" s="58"/>
      <c r="L190" s="1190"/>
      <c r="M190" s="1191">
        <f t="shared" si="25"/>
        <v>0.11298251999999999</v>
      </c>
      <c r="N190" s="1190"/>
      <c r="O190" s="1191">
        <f t="shared" si="26"/>
        <v>0.11298251999999999</v>
      </c>
      <c r="P190" s="887">
        <f t="shared" si="27"/>
        <v>7.1904765541469366</v>
      </c>
      <c r="Q190" s="58"/>
      <c r="R190" s="58"/>
      <c r="S190" s="19"/>
    </row>
    <row r="191" spans="2:19" ht="25.5" x14ac:dyDescent="0.35">
      <c r="B191" s="519" t="s">
        <v>1136</v>
      </c>
      <c r="C191" s="1189"/>
      <c r="D191" s="1190">
        <f>+'F1 SEZ'!H30</f>
        <v>0</v>
      </c>
      <c r="E191" s="1190"/>
      <c r="F191" s="1190"/>
      <c r="G191" s="1190"/>
      <c r="H191" s="1190"/>
      <c r="I191" s="1190"/>
      <c r="J191" s="1190"/>
      <c r="K191" s="58"/>
      <c r="L191" s="1190"/>
      <c r="M191" s="1191">
        <f t="shared" si="25"/>
        <v>0</v>
      </c>
      <c r="N191" s="1190"/>
      <c r="O191" s="1191">
        <f t="shared" si="26"/>
        <v>0</v>
      </c>
      <c r="P191" s="887">
        <f t="shared" si="27"/>
        <v>0</v>
      </c>
      <c r="Q191" s="58"/>
      <c r="R191" s="58"/>
      <c r="S191" s="19"/>
    </row>
    <row r="192" spans="2:19" x14ac:dyDescent="0.35">
      <c r="B192" s="519" t="s">
        <v>1142</v>
      </c>
      <c r="C192" s="1189"/>
      <c r="D192" s="1190">
        <f>+'F1 SEZ'!H31</f>
        <v>0</v>
      </c>
      <c r="E192" s="1190"/>
      <c r="F192" s="1190"/>
      <c r="G192" s="1190"/>
      <c r="H192" s="1190"/>
      <c r="I192" s="1190"/>
      <c r="J192" s="1190"/>
      <c r="K192" s="58"/>
      <c r="L192" s="1190"/>
      <c r="M192" s="1191">
        <f t="shared" si="25"/>
        <v>0</v>
      </c>
      <c r="N192" s="1190"/>
      <c r="O192" s="1191">
        <f t="shared" si="26"/>
        <v>0</v>
      </c>
      <c r="P192" s="887">
        <f t="shared" si="27"/>
        <v>0</v>
      </c>
      <c r="Q192" s="58"/>
      <c r="R192" s="58"/>
      <c r="S192" s="19"/>
    </row>
    <row r="193" spans="2:19" x14ac:dyDescent="0.35">
      <c r="B193" s="518" t="s">
        <v>162</v>
      </c>
      <c r="C193" s="1192">
        <f>SUM(C180:C192)</f>
        <v>1</v>
      </c>
      <c r="D193" s="1191">
        <f>SUM(D180:D192)</f>
        <v>0.15712800000000002</v>
      </c>
      <c r="E193" s="1191">
        <f>SUM(E180:E191)</f>
        <v>6.3600000000000006E-4</v>
      </c>
      <c r="F193" s="1191">
        <f>SUM(F180:F191)</f>
        <v>9.3962543999999995E-2</v>
      </c>
      <c r="G193" s="1191">
        <f>SUM(G180:G191)</f>
        <v>1.8383976E-2</v>
      </c>
      <c r="H193" s="1191">
        <f>SUM(H180:H191)</f>
        <v>0</v>
      </c>
      <c r="I193" s="1191">
        <f>SUM(I180:I191)</f>
        <v>0</v>
      </c>
      <c r="J193" s="1191"/>
      <c r="K193" s="58"/>
      <c r="L193" s="1191">
        <f>SUM(L180:L191)</f>
        <v>0</v>
      </c>
      <c r="M193" s="1191">
        <f>SUM(M180:M191)</f>
        <v>0.11298251999999999</v>
      </c>
      <c r="N193" s="1191">
        <f>SUM(N180:N191)</f>
        <v>0</v>
      </c>
      <c r="O193" s="1191">
        <f>SUM(O180:O191)</f>
        <v>0.11298251999999999</v>
      </c>
      <c r="P193" s="887">
        <f t="shared" si="27"/>
        <v>7.1904765541469366</v>
      </c>
      <c r="Q193" s="58"/>
      <c r="R193" s="58"/>
      <c r="S193" s="19"/>
    </row>
    <row r="194" spans="2:19" x14ac:dyDescent="0.35">
      <c r="B194" s="518"/>
      <c r="C194" s="58"/>
      <c r="D194" s="1190"/>
      <c r="E194" s="1190"/>
      <c r="F194" s="1190"/>
      <c r="G194" s="1190"/>
      <c r="H194" s="1190"/>
      <c r="I194" s="1190"/>
      <c r="J194" s="1190"/>
      <c r="K194" s="58"/>
      <c r="L194" s="1190"/>
      <c r="M194" s="1190"/>
      <c r="N194" s="1190"/>
      <c r="O194" s="1190"/>
      <c r="P194" s="887"/>
      <c r="Q194" s="58"/>
      <c r="R194" s="58"/>
      <c r="S194" s="19"/>
    </row>
    <row r="195" spans="2:19" x14ac:dyDescent="0.35">
      <c r="B195" s="119" t="s">
        <v>164</v>
      </c>
      <c r="C195" s="1192">
        <f t="shared" ref="C195:O195" si="28">+C193+C177</f>
        <v>3</v>
      </c>
      <c r="D195" s="1191">
        <f t="shared" si="28"/>
        <v>33.748365579999998</v>
      </c>
      <c r="E195" s="1191">
        <f t="shared" si="28"/>
        <v>3.1539168000000002</v>
      </c>
      <c r="F195" s="1191">
        <f t="shared" si="28"/>
        <v>27.782910852000001</v>
      </c>
      <c r="G195" s="1191">
        <f t="shared" si="28"/>
        <v>2.0637611979999995</v>
      </c>
      <c r="H195" s="1191">
        <f t="shared" si="28"/>
        <v>-0.68793258899999998</v>
      </c>
      <c r="I195" s="1191">
        <f t="shared" si="28"/>
        <v>0</v>
      </c>
      <c r="J195" s="1191">
        <f t="shared" si="28"/>
        <v>0</v>
      </c>
      <c r="K195" s="1191">
        <f t="shared" si="28"/>
        <v>0</v>
      </c>
      <c r="L195" s="1191">
        <f t="shared" si="28"/>
        <v>0</v>
      </c>
      <c r="M195" s="1191">
        <f t="shared" si="28"/>
        <v>32.312656260999994</v>
      </c>
      <c r="N195" s="1191">
        <f t="shared" si="28"/>
        <v>0</v>
      </c>
      <c r="O195" s="1191">
        <f t="shared" si="28"/>
        <v>32.312656260999994</v>
      </c>
      <c r="P195" s="887">
        <f>+IFERROR(O195/D195*10,0)</f>
        <v>9.5745840444934505</v>
      </c>
      <c r="Q195" s="58"/>
      <c r="R195" s="58"/>
      <c r="S195" s="19"/>
    </row>
    <row r="196" spans="2:19" x14ac:dyDescent="0.35">
      <c r="B196" s="58"/>
      <c r="C196" s="93"/>
      <c r="D196" s="93"/>
      <c r="E196" s="93"/>
      <c r="F196" s="93"/>
      <c r="G196" s="93"/>
      <c r="H196" s="93"/>
      <c r="I196" s="93"/>
      <c r="J196" s="93"/>
      <c r="K196" s="93"/>
      <c r="L196" s="93"/>
      <c r="M196" s="93"/>
      <c r="N196" s="93"/>
      <c r="O196" s="93"/>
      <c r="P196" s="93"/>
      <c r="Q196" s="93"/>
      <c r="R196" s="93"/>
      <c r="S196" s="93"/>
    </row>
    <row r="199" spans="2:19" x14ac:dyDescent="0.35">
      <c r="B199" s="16" t="s">
        <v>114</v>
      </c>
    </row>
    <row r="200" spans="2:19" x14ac:dyDescent="0.35">
      <c r="B200" s="16" t="s">
        <v>187</v>
      </c>
    </row>
    <row r="201" spans="2:19" ht="40.5" x14ac:dyDescent="0.35">
      <c r="B201" s="1984" t="s">
        <v>699</v>
      </c>
      <c r="C201" s="106" t="s">
        <v>700</v>
      </c>
      <c r="D201" s="106" t="s">
        <v>701</v>
      </c>
      <c r="E201" s="106" t="s">
        <v>702</v>
      </c>
      <c r="F201" s="106" t="s">
        <v>703</v>
      </c>
      <c r="G201" s="106" t="s">
        <v>704</v>
      </c>
      <c r="H201" s="1188" t="s">
        <v>1449</v>
      </c>
      <c r="I201" s="1188" t="s">
        <v>1450</v>
      </c>
      <c r="J201" s="1188" t="s">
        <v>1451</v>
      </c>
      <c r="K201" s="106" t="s">
        <v>1448</v>
      </c>
      <c r="L201" s="106" t="s">
        <v>705</v>
      </c>
      <c r="M201" s="106" t="s">
        <v>706</v>
      </c>
      <c r="N201" s="106" t="s">
        <v>707</v>
      </c>
      <c r="O201" s="106" t="s">
        <v>708</v>
      </c>
      <c r="P201" s="106" t="s">
        <v>709</v>
      </c>
      <c r="Q201" s="106" t="s">
        <v>710</v>
      </c>
      <c r="R201" s="106" t="s">
        <v>711</v>
      </c>
      <c r="S201" s="106" t="s">
        <v>116</v>
      </c>
    </row>
    <row r="202" spans="2:19" ht="39.4" x14ac:dyDescent="0.35">
      <c r="B202" s="1984"/>
      <c r="C202" s="1188" t="s">
        <v>128</v>
      </c>
      <c r="D202" s="1188" t="s">
        <v>129</v>
      </c>
      <c r="E202" s="1188" t="s">
        <v>712</v>
      </c>
      <c r="F202" s="1188" t="s">
        <v>130</v>
      </c>
      <c r="G202" s="1188" t="s">
        <v>131</v>
      </c>
      <c r="H202" s="1188" t="s">
        <v>331</v>
      </c>
      <c r="I202" s="1188" t="s">
        <v>132</v>
      </c>
      <c r="J202" s="1188" t="s">
        <v>133</v>
      </c>
      <c r="K202" s="1188" t="s">
        <v>332</v>
      </c>
      <c r="L202" s="1188" t="s">
        <v>333</v>
      </c>
      <c r="M202" s="1188" t="s">
        <v>1452</v>
      </c>
      <c r="N202" s="1188" t="s">
        <v>529</v>
      </c>
      <c r="O202" s="1188" t="s">
        <v>1453</v>
      </c>
      <c r="P202" s="1188" t="s">
        <v>1454</v>
      </c>
      <c r="Q202" s="1188" t="s">
        <v>531</v>
      </c>
      <c r="R202" s="1188" t="s">
        <v>1455</v>
      </c>
      <c r="S202" s="1188" t="s">
        <v>533</v>
      </c>
    </row>
    <row r="203" spans="2:19" x14ac:dyDescent="0.35">
      <c r="B203" s="517" t="s">
        <v>161</v>
      </c>
      <c r="C203" s="93"/>
      <c r="D203" s="93"/>
      <c r="E203" s="93"/>
      <c r="F203" s="93"/>
      <c r="G203" s="93"/>
      <c r="H203" s="93"/>
      <c r="I203" s="93"/>
      <c r="J203" s="93"/>
      <c r="K203" s="93"/>
      <c r="L203" s="93"/>
      <c r="M203" s="93"/>
      <c r="N203" s="93"/>
      <c r="O203" s="93"/>
      <c r="P203" s="93"/>
      <c r="Q203" s="93"/>
      <c r="R203" s="93"/>
      <c r="S203" s="93"/>
    </row>
    <row r="204" spans="2:19" x14ac:dyDescent="0.35">
      <c r="B204" s="429" t="s">
        <v>1129</v>
      </c>
      <c r="C204" s="1189">
        <v>2</v>
      </c>
      <c r="D204" s="1190">
        <f>+'F1 SEZ'!I12</f>
        <v>72.979561000000004</v>
      </c>
      <c r="E204" s="1190">
        <v>8.9026937999999998</v>
      </c>
      <c r="F204" s="1190">
        <v>52.091998019999991</v>
      </c>
      <c r="G204" s="1190">
        <v>4.3959492000000004</v>
      </c>
      <c r="H204" s="1190">
        <v>-1.4708838849999999</v>
      </c>
      <c r="I204" s="1190"/>
      <c r="J204" s="1190">
        <v>0</v>
      </c>
      <c r="K204" s="58"/>
      <c r="L204" s="1190"/>
      <c r="M204" s="1191">
        <f>SUM(E204:L204)</f>
        <v>63.91975713499999</v>
      </c>
      <c r="N204" s="1190"/>
      <c r="O204" s="1191">
        <f>+M204+N204</f>
        <v>63.91975713499999</v>
      </c>
      <c r="P204" s="887">
        <f>+IFERROR(O204/D204*10,0)</f>
        <v>8.7585833977543377</v>
      </c>
      <c r="Q204" s="58"/>
      <c r="R204" s="58"/>
      <c r="S204" s="19"/>
    </row>
    <row r="205" spans="2:19" x14ac:dyDescent="0.35">
      <c r="B205" s="429" t="s">
        <v>1130</v>
      </c>
      <c r="C205" s="1189">
        <v>1</v>
      </c>
      <c r="D205" s="1190">
        <f>+'F1 SEZ'!I13</f>
        <v>2.4935730000000003E-2</v>
      </c>
      <c r="E205" s="1190">
        <v>0.19654199999999997</v>
      </c>
      <c r="F205" s="1190">
        <v>2.814297E-2</v>
      </c>
      <c r="G205" s="1190">
        <v>1.5036359999999998E-3</v>
      </c>
      <c r="H205" s="1190">
        <v>2.7566590000000003E-3</v>
      </c>
      <c r="I205" s="1190"/>
      <c r="J205" s="1190"/>
      <c r="K205" s="58"/>
      <c r="L205" s="1190"/>
      <c r="M205" s="1191">
        <f>SUM(E205:L205)</f>
        <v>0.22894526499999995</v>
      </c>
      <c r="N205" s="1190"/>
      <c r="O205" s="1191">
        <f>+M205+N205</f>
        <v>0.22894526499999995</v>
      </c>
      <c r="P205" s="887">
        <f>+IFERROR(O205/D205*10,0)</f>
        <v>91.814141795728418</v>
      </c>
      <c r="Q205" s="58"/>
      <c r="R205" s="58"/>
      <c r="S205" s="19"/>
    </row>
    <row r="206" spans="2:19" x14ac:dyDescent="0.35">
      <c r="B206" s="429" t="s">
        <v>1131</v>
      </c>
      <c r="C206" s="1189"/>
      <c r="D206" s="1190"/>
      <c r="E206" s="1190"/>
      <c r="F206" s="1190"/>
      <c r="G206" s="1190"/>
      <c r="H206" s="1190"/>
      <c r="I206" s="1190"/>
      <c r="J206" s="1190"/>
      <c r="K206" s="58"/>
      <c r="L206" s="1190"/>
      <c r="M206" s="1191">
        <f>SUM(E206:L206)</f>
        <v>0</v>
      </c>
      <c r="N206" s="1190"/>
      <c r="O206" s="1191">
        <f>+M206+N206</f>
        <v>0</v>
      </c>
      <c r="P206" s="887">
        <f>+IFERROR(O206/D206*10,0)</f>
        <v>0</v>
      </c>
      <c r="Q206" s="58"/>
      <c r="R206" s="58"/>
      <c r="S206" s="19"/>
    </row>
    <row r="207" spans="2:19" ht="25.5" x14ac:dyDescent="0.35">
      <c r="B207" s="429" t="s">
        <v>1132</v>
      </c>
      <c r="C207" s="1189"/>
      <c r="D207" s="1190"/>
      <c r="E207" s="1190"/>
      <c r="F207" s="1190"/>
      <c r="G207" s="1190"/>
      <c r="H207" s="1190"/>
      <c r="I207" s="1190"/>
      <c r="J207" s="1190"/>
      <c r="K207" s="58"/>
      <c r="L207" s="1190"/>
      <c r="M207" s="1191">
        <f>SUM(E207:L207)</f>
        <v>0</v>
      </c>
      <c r="N207" s="1190"/>
      <c r="O207" s="1191">
        <f>+M207+N207</f>
        <v>0</v>
      </c>
      <c r="P207" s="887">
        <f>+IFERROR(O207/D207*10,0)</f>
        <v>0</v>
      </c>
      <c r="Q207" s="58"/>
      <c r="R207" s="58"/>
      <c r="S207" s="19"/>
    </row>
    <row r="208" spans="2:19" x14ac:dyDescent="0.35">
      <c r="B208" s="518" t="s">
        <v>162</v>
      </c>
      <c r="C208" s="1192">
        <f>SUM(C204:C207)</f>
        <v>3</v>
      </c>
      <c r="D208" s="1191">
        <f t="shared" ref="D208:O208" si="29">SUM(D204:D207)</f>
        <v>73.00449673</v>
      </c>
      <c r="E208" s="1191">
        <f t="shared" si="29"/>
        <v>9.0992357999999989</v>
      </c>
      <c r="F208" s="1191">
        <f t="shared" si="29"/>
        <v>52.120140989999989</v>
      </c>
      <c r="G208" s="1191">
        <f t="shared" si="29"/>
        <v>4.3974528360000003</v>
      </c>
      <c r="H208" s="1191">
        <f t="shared" si="29"/>
        <v>-1.4681272259999998</v>
      </c>
      <c r="I208" s="1191">
        <f t="shared" si="29"/>
        <v>0</v>
      </c>
      <c r="J208" s="1191">
        <f t="shared" si="29"/>
        <v>0</v>
      </c>
      <c r="K208" s="1191">
        <f t="shared" si="29"/>
        <v>0</v>
      </c>
      <c r="L208" s="1191">
        <f t="shared" si="29"/>
        <v>0</v>
      </c>
      <c r="M208" s="1191">
        <f t="shared" si="29"/>
        <v>64.148702399999991</v>
      </c>
      <c r="N208" s="1191">
        <f t="shared" si="29"/>
        <v>0</v>
      </c>
      <c r="O208" s="1191">
        <f t="shared" si="29"/>
        <v>64.148702399999991</v>
      </c>
      <c r="P208" s="887">
        <f>+IFERROR(O208/D208*10,0)</f>
        <v>8.7869522116216618</v>
      </c>
      <c r="Q208" s="58"/>
      <c r="R208" s="58"/>
      <c r="S208" s="19"/>
    </row>
    <row r="209" spans="2:19" x14ac:dyDescent="0.35">
      <c r="B209" s="517" t="s">
        <v>163</v>
      </c>
      <c r="C209" s="1189"/>
      <c r="D209" s="1190"/>
      <c r="E209" s="1190"/>
      <c r="F209" s="1190"/>
      <c r="G209" s="1190"/>
      <c r="H209" s="1190"/>
      <c r="I209" s="1190"/>
      <c r="J209" s="1190"/>
      <c r="K209" s="58"/>
      <c r="L209" s="1190"/>
      <c r="M209" s="1190"/>
      <c r="N209" s="1190"/>
      <c r="O209" s="1190"/>
      <c r="P209" s="887"/>
      <c r="Q209" s="58"/>
      <c r="R209" s="58"/>
      <c r="S209" s="19"/>
    </row>
    <row r="210" spans="2:19" x14ac:dyDescent="0.35">
      <c r="B210" s="519" t="s">
        <v>1133</v>
      </c>
      <c r="C210" s="1189"/>
      <c r="D210" s="1190"/>
      <c r="E210" s="1190"/>
      <c r="F210" s="1190"/>
      <c r="G210" s="1190"/>
      <c r="H210" s="1190"/>
      <c r="I210" s="1190"/>
      <c r="J210" s="1190"/>
      <c r="K210" s="58"/>
      <c r="L210" s="1190"/>
      <c r="M210" s="1190"/>
      <c r="N210" s="1190"/>
      <c r="O210" s="1190"/>
      <c r="P210" s="887"/>
      <c r="Q210" s="58"/>
      <c r="R210" s="58"/>
      <c r="S210" s="19"/>
    </row>
    <row r="211" spans="2:19" x14ac:dyDescent="0.35">
      <c r="B211" s="520" t="s">
        <v>1106</v>
      </c>
      <c r="C211" s="1189"/>
      <c r="D211" s="1190">
        <f>+'F1 SEZ'!I19</f>
        <v>0</v>
      </c>
      <c r="E211" s="1190"/>
      <c r="F211" s="1190"/>
      <c r="G211" s="1190"/>
      <c r="H211" s="1190"/>
      <c r="I211" s="1190"/>
      <c r="J211" s="1190"/>
      <c r="K211" s="58"/>
      <c r="L211" s="1190"/>
      <c r="M211" s="1191">
        <f t="shared" ref="M211:M223" si="30">SUM(E211:L211)</f>
        <v>0</v>
      </c>
      <c r="N211" s="1190"/>
      <c r="O211" s="1191">
        <f t="shared" ref="O211:O223" si="31">+M211+N211</f>
        <v>0</v>
      </c>
      <c r="P211" s="887">
        <f t="shared" ref="P211:P224" si="32">+IFERROR(O211/D211*10,0)</f>
        <v>0</v>
      </c>
      <c r="Q211" s="58"/>
      <c r="R211" s="58"/>
      <c r="S211" s="19"/>
    </row>
    <row r="212" spans="2:19" x14ac:dyDescent="0.35">
      <c r="B212" s="520" t="s">
        <v>1107</v>
      </c>
      <c r="C212" s="1193"/>
      <c r="D212" s="1190">
        <f>+'F1 SEZ'!I20</f>
        <v>0</v>
      </c>
      <c r="E212" s="1194"/>
      <c r="F212" s="1194"/>
      <c r="G212" s="1194"/>
      <c r="H212" s="1194"/>
      <c r="I212" s="1194"/>
      <c r="J212" s="1190"/>
      <c r="K212" s="58"/>
      <c r="L212" s="1190"/>
      <c r="M212" s="1191">
        <f t="shared" si="30"/>
        <v>0</v>
      </c>
      <c r="N212" s="1194"/>
      <c r="O212" s="1195">
        <f t="shared" si="31"/>
        <v>0</v>
      </c>
      <c r="P212" s="887">
        <f t="shared" si="32"/>
        <v>0</v>
      </c>
      <c r="Q212" s="58"/>
      <c r="R212" s="58"/>
      <c r="S212" s="19"/>
    </row>
    <row r="213" spans="2:19" x14ac:dyDescent="0.35">
      <c r="B213" s="520" t="s">
        <v>1108</v>
      </c>
      <c r="C213" s="1189"/>
      <c r="D213" s="1190">
        <f>+'F1 SEZ'!I21</f>
        <v>0</v>
      </c>
      <c r="E213" s="1190"/>
      <c r="F213" s="1190"/>
      <c r="G213" s="1190"/>
      <c r="H213" s="1190"/>
      <c r="I213" s="1190"/>
      <c r="J213" s="1190"/>
      <c r="K213" s="58"/>
      <c r="L213" s="1190"/>
      <c r="M213" s="1191">
        <f t="shared" si="30"/>
        <v>0</v>
      </c>
      <c r="N213" s="1190"/>
      <c r="O213" s="1191">
        <f t="shared" si="31"/>
        <v>0</v>
      </c>
      <c r="P213" s="887">
        <f t="shared" si="32"/>
        <v>0</v>
      </c>
      <c r="Q213" s="58"/>
      <c r="R213" s="58"/>
      <c r="S213" s="19"/>
    </row>
    <row r="214" spans="2:19" x14ac:dyDescent="0.35">
      <c r="B214" s="520" t="s">
        <v>1109</v>
      </c>
      <c r="C214" s="1189"/>
      <c r="D214" s="1190">
        <f>+'F1 SEZ'!I22</f>
        <v>0</v>
      </c>
      <c r="E214" s="1190"/>
      <c r="F214" s="1190"/>
      <c r="G214" s="1190"/>
      <c r="H214" s="1190"/>
      <c r="I214" s="1190"/>
      <c r="J214" s="1190"/>
      <c r="K214" s="58"/>
      <c r="L214" s="1190"/>
      <c r="M214" s="1191">
        <f t="shared" si="30"/>
        <v>0</v>
      </c>
      <c r="N214" s="1190"/>
      <c r="O214" s="1191">
        <f t="shared" si="31"/>
        <v>0</v>
      </c>
      <c r="P214" s="887">
        <f t="shared" si="32"/>
        <v>0</v>
      </c>
      <c r="Q214" s="58"/>
      <c r="R214" s="58"/>
      <c r="S214" s="19"/>
    </row>
    <row r="215" spans="2:19" x14ac:dyDescent="0.35">
      <c r="B215" s="520" t="s">
        <v>1110</v>
      </c>
      <c r="C215" s="1189"/>
      <c r="D215" s="1190">
        <f>+'F1 SEZ'!I23</f>
        <v>0</v>
      </c>
      <c r="E215" s="1190"/>
      <c r="F215" s="1190"/>
      <c r="G215" s="1190"/>
      <c r="H215" s="1190"/>
      <c r="I215" s="1190"/>
      <c r="J215" s="1190"/>
      <c r="K215" s="58"/>
      <c r="L215" s="1190"/>
      <c r="M215" s="1191">
        <f t="shared" si="30"/>
        <v>0</v>
      </c>
      <c r="N215" s="1190"/>
      <c r="O215" s="1191">
        <f t="shared" si="31"/>
        <v>0</v>
      </c>
      <c r="P215" s="887">
        <f t="shared" si="32"/>
        <v>0</v>
      </c>
      <c r="Q215" s="58"/>
      <c r="R215" s="58"/>
      <c r="S215" s="19"/>
    </row>
    <row r="216" spans="2:19" x14ac:dyDescent="0.35">
      <c r="B216" s="519" t="s">
        <v>1139</v>
      </c>
      <c r="C216" s="1189"/>
      <c r="D216" s="1190">
        <f>+'F1 SEZ'!I24</f>
        <v>0</v>
      </c>
      <c r="E216" s="58"/>
      <c r="F216" s="1190"/>
      <c r="G216" s="58"/>
      <c r="H216" s="58"/>
      <c r="I216" s="58"/>
      <c r="J216" s="58"/>
      <c r="K216" s="58"/>
      <c r="L216" s="1190"/>
      <c r="M216" s="1191">
        <f t="shared" si="30"/>
        <v>0</v>
      </c>
      <c r="N216" s="1190"/>
      <c r="O216" s="1191">
        <f t="shared" si="31"/>
        <v>0</v>
      </c>
      <c r="P216" s="887">
        <f t="shared" si="32"/>
        <v>0</v>
      </c>
      <c r="Q216" s="58"/>
      <c r="R216" s="58"/>
      <c r="S216" s="19"/>
    </row>
    <row r="217" spans="2:19" x14ac:dyDescent="0.35">
      <c r="B217" s="520" t="s">
        <v>1140</v>
      </c>
      <c r="C217" s="1189"/>
      <c r="D217" s="1190">
        <f>+'F1 SEZ'!I25</f>
        <v>0</v>
      </c>
      <c r="E217" s="1190"/>
      <c r="F217" s="1190"/>
      <c r="G217" s="1190"/>
      <c r="H217" s="1190"/>
      <c r="I217" s="1190"/>
      <c r="J217" s="1190"/>
      <c r="K217" s="58"/>
      <c r="L217" s="1190"/>
      <c r="M217" s="1191">
        <f t="shared" si="30"/>
        <v>0</v>
      </c>
      <c r="N217" s="1190"/>
      <c r="O217" s="1191">
        <f t="shared" si="31"/>
        <v>0</v>
      </c>
      <c r="P217" s="887">
        <f t="shared" si="32"/>
        <v>0</v>
      </c>
      <c r="Q217" s="58"/>
      <c r="R217" s="58"/>
      <c r="S217" s="19"/>
    </row>
    <row r="218" spans="2:19" x14ac:dyDescent="0.35">
      <c r="B218" s="520" t="s">
        <v>1144</v>
      </c>
      <c r="C218" s="1196"/>
      <c r="D218" s="1190">
        <f>+'F1 SEZ'!I26</f>
        <v>0</v>
      </c>
      <c r="E218" s="1197"/>
      <c r="F218" s="1197"/>
      <c r="G218" s="1197"/>
      <c r="H218" s="1197"/>
      <c r="I218" s="1197"/>
      <c r="J218" s="1190"/>
      <c r="K218" s="58"/>
      <c r="L218" s="1190"/>
      <c r="M218" s="1191">
        <f t="shared" si="30"/>
        <v>0</v>
      </c>
      <c r="N218" s="1197"/>
      <c r="O218" s="1198">
        <f t="shared" si="31"/>
        <v>0</v>
      </c>
      <c r="P218" s="887">
        <f t="shared" si="32"/>
        <v>0</v>
      </c>
      <c r="Q218" s="58"/>
      <c r="R218" s="58"/>
      <c r="S218" s="19"/>
    </row>
    <row r="219" spans="2:19" x14ac:dyDescent="0.35">
      <c r="B219" s="520" t="s">
        <v>1143</v>
      </c>
      <c r="C219" s="1189"/>
      <c r="D219" s="1190">
        <f>+'F1 SEZ'!I27</f>
        <v>0</v>
      </c>
      <c r="E219" s="1190"/>
      <c r="F219" s="1190"/>
      <c r="G219" s="1190"/>
      <c r="H219" s="1190"/>
      <c r="I219" s="1190"/>
      <c r="J219" s="1190"/>
      <c r="K219" s="58"/>
      <c r="L219" s="1190"/>
      <c r="M219" s="1191">
        <f t="shared" si="30"/>
        <v>0</v>
      </c>
      <c r="N219" s="1190"/>
      <c r="O219" s="1191">
        <f t="shared" si="31"/>
        <v>0</v>
      </c>
      <c r="P219" s="887">
        <f t="shared" si="32"/>
        <v>0</v>
      </c>
      <c r="Q219" s="58"/>
      <c r="R219" s="58"/>
      <c r="S219" s="19"/>
    </row>
    <row r="220" spans="2:19" ht="25.5" x14ac:dyDescent="0.35">
      <c r="B220" s="519" t="s">
        <v>1111</v>
      </c>
      <c r="C220" s="1189"/>
      <c r="D220" s="1190">
        <f>+'F1 SEZ'!I28</f>
        <v>0</v>
      </c>
      <c r="E220" s="1190"/>
      <c r="F220" s="1190"/>
      <c r="G220" s="1190"/>
      <c r="H220" s="1190"/>
      <c r="I220" s="1190"/>
      <c r="J220" s="1190"/>
      <c r="K220" s="58"/>
      <c r="L220" s="1190"/>
      <c r="M220" s="1191">
        <f t="shared" si="30"/>
        <v>0</v>
      </c>
      <c r="N220" s="1190"/>
      <c r="O220" s="1191">
        <f t="shared" si="31"/>
        <v>0</v>
      </c>
      <c r="P220" s="887">
        <f t="shared" si="32"/>
        <v>0</v>
      </c>
      <c r="Q220" s="58"/>
      <c r="R220" s="58"/>
      <c r="S220" s="19"/>
    </row>
    <row r="221" spans="2:19" ht="25.5" x14ac:dyDescent="0.35">
      <c r="B221" s="519" t="s">
        <v>1135</v>
      </c>
      <c r="C221" s="1189">
        <v>1</v>
      </c>
      <c r="D221" s="1190">
        <f>+'F1 SEZ'!I29</f>
        <v>0.15240800000000002</v>
      </c>
      <c r="E221" s="1190">
        <v>6.9960000000000009E-4</v>
      </c>
      <c r="F221" s="1190">
        <v>7.9861792000000001E-2</v>
      </c>
      <c r="G221" s="1190">
        <v>1.7831736000000004E-2</v>
      </c>
      <c r="H221" s="1190"/>
      <c r="I221" s="1190"/>
      <c r="J221" s="1190"/>
      <c r="K221" s="58"/>
      <c r="L221" s="1190"/>
      <c r="M221" s="1191">
        <f t="shared" si="30"/>
        <v>9.8393127999999996E-2</v>
      </c>
      <c r="N221" s="1190"/>
      <c r="O221" s="1191">
        <f t="shared" si="31"/>
        <v>9.8393127999999996E-2</v>
      </c>
      <c r="P221" s="887">
        <f t="shared" si="32"/>
        <v>6.4559031021993585</v>
      </c>
      <c r="Q221" s="58"/>
      <c r="R221" s="58"/>
      <c r="S221" s="19"/>
    </row>
    <row r="222" spans="2:19" ht="25.5" x14ac:dyDescent="0.35">
      <c r="B222" s="519" t="s">
        <v>1136</v>
      </c>
      <c r="C222" s="1189"/>
      <c r="D222" s="1190">
        <f>+'F1 SEZ'!I30</f>
        <v>0</v>
      </c>
      <c r="E222" s="1190"/>
      <c r="F222" s="1190"/>
      <c r="G222" s="1190"/>
      <c r="H222" s="1190"/>
      <c r="I222" s="1190"/>
      <c r="J222" s="1190"/>
      <c r="K222" s="58"/>
      <c r="L222" s="1190"/>
      <c r="M222" s="1191">
        <f t="shared" si="30"/>
        <v>0</v>
      </c>
      <c r="N222" s="1190"/>
      <c r="O222" s="1191">
        <f t="shared" si="31"/>
        <v>0</v>
      </c>
      <c r="P222" s="887">
        <f t="shared" si="32"/>
        <v>0</v>
      </c>
      <c r="Q222" s="58"/>
      <c r="R222" s="58"/>
      <c r="S222" s="19"/>
    </row>
    <row r="223" spans="2:19" x14ac:dyDescent="0.35">
      <c r="B223" s="519" t="s">
        <v>1142</v>
      </c>
      <c r="C223" s="1189"/>
      <c r="D223" s="1190">
        <f>+'F1 SEZ'!I31</f>
        <v>0</v>
      </c>
      <c r="E223" s="1190"/>
      <c r="F223" s="1190"/>
      <c r="G223" s="1190"/>
      <c r="H223" s="1190"/>
      <c r="I223" s="1190"/>
      <c r="J223" s="1190"/>
      <c r="K223" s="58"/>
      <c r="L223" s="1190"/>
      <c r="M223" s="1191">
        <f t="shared" si="30"/>
        <v>0</v>
      </c>
      <c r="N223" s="1190"/>
      <c r="O223" s="1191">
        <f t="shared" si="31"/>
        <v>0</v>
      </c>
      <c r="P223" s="887">
        <f t="shared" si="32"/>
        <v>0</v>
      </c>
      <c r="Q223" s="58"/>
      <c r="R223" s="58"/>
      <c r="S223" s="19"/>
    </row>
    <row r="224" spans="2:19" x14ac:dyDescent="0.35">
      <c r="B224" s="518" t="s">
        <v>162</v>
      </c>
      <c r="C224" s="1192">
        <f>SUM(C211:C223)</f>
        <v>1</v>
      </c>
      <c r="D224" s="1191">
        <f>SUM(D211:D223)</f>
        <v>0.15240800000000002</v>
      </c>
      <c r="E224" s="1191">
        <f t="shared" ref="E224:J224" si="33">SUM(E211:E222)</f>
        <v>6.9960000000000009E-4</v>
      </c>
      <c r="F224" s="1191">
        <f t="shared" si="33"/>
        <v>7.9861792000000001E-2</v>
      </c>
      <c r="G224" s="1191">
        <f t="shared" si="33"/>
        <v>1.7831736000000004E-2</v>
      </c>
      <c r="H224" s="1191">
        <f t="shared" si="33"/>
        <v>0</v>
      </c>
      <c r="I224" s="1191">
        <f t="shared" si="33"/>
        <v>0</v>
      </c>
      <c r="J224" s="1191">
        <f t="shared" si="33"/>
        <v>0</v>
      </c>
      <c r="K224" s="58"/>
      <c r="L224" s="1191">
        <f>SUM(L211:L222)</f>
        <v>0</v>
      </c>
      <c r="M224" s="1191">
        <f>SUM(M211:M222)</f>
        <v>9.8393127999999996E-2</v>
      </c>
      <c r="N224" s="1191">
        <f>SUM(N211:N222)</f>
        <v>0</v>
      </c>
      <c r="O224" s="1191">
        <f>SUM(O211:O222)</f>
        <v>9.8393127999999996E-2</v>
      </c>
      <c r="P224" s="887">
        <f t="shared" si="32"/>
        <v>6.4559031021993585</v>
      </c>
      <c r="Q224" s="58"/>
      <c r="R224" s="58"/>
      <c r="S224" s="19"/>
    </row>
    <row r="225" spans="2:19" x14ac:dyDescent="0.35">
      <c r="B225" s="518"/>
      <c r="C225" s="58"/>
      <c r="D225" s="1190"/>
      <c r="E225" s="1190"/>
      <c r="F225" s="1190"/>
      <c r="G225" s="1190"/>
      <c r="H225" s="1190"/>
      <c r="I225" s="1190"/>
      <c r="J225" s="1190"/>
      <c r="K225" s="58"/>
      <c r="L225" s="1190"/>
      <c r="M225" s="1190"/>
      <c r="N225" s="1190"/>
      <c r="O225" s="1190"/>
      <c r="P225" s="887"/>
      <c r="Q225" s="58"/>
      <c r="R225" s="58"/>
      <c r="S225" s="19"/>
    </row>
    <row r="226" spans="2:19" x14ac:dyDescent="0.35">
      <c r="B226" s="119" t="s">
        <v>164</v>
      </c>
      <c r="C226" s="1192">
        <f t="shared" ref="C226:O226" si="34">+C224+C208</f>
        <v>4</v>
      </c>
      <c r="D226" s="1191">
        <f t="shared" si="34"/>
        <v>73.156904729999994</v>
      </c>
      <c r="E226" s="1191">
        <f t="shared" si="34"/>
        <v>9.0999353999999997</v>
      </c>
      <c r="F226" s="1191">
        <f t="shared" si="34"/>
        <v>52.200002781999991</v>
      </c>
      <c r="G226" s="1191">
        <f t="shared" si="34"/>
        <v>4.415284572</v>
      </c>
      <c r="H226" s="1191">
        <f t="shared" si="34"/>
        <v>-1.4681272259999998</v>
      </c>
      <c r="I226" s="1191">
        <f t="shared" si="34"/>
        <v>0</v>
      </c>
      <c r="J226" s="1191">
        <f t="shared" si="34"/>
        <v>0</v>
      </c>
      <c r="K226" s="1191">
        <f t="shared" si="34"/>
        <v>0</v>
      </c>
      <c r="L226" s="1191">
        <f t="shared" si="34"/>
        <v>0</v>
      </c>
      <c r="M226" s="1191">
        <f t="shared" si="34"/>
        <v>64.247095527999988</v>
      </c>
      <c r="N226" s="1191">
        <f t="shared" si="34"/>
        <v>0</v>
      </c>
      <c r="O226" s="1191">
        <f t="shared" si="34"/>
        <v>64.247095527999988</v>
      </c>
      <c r="P226" s="887">
        <f>+IFERROR(O226/D226*10,0)</f>
        <v>8.7820959299900103</v>
      </c>
      <c r="Q226" s="58"/>
      <c r="R226" s="58"/>
      <c r="S226" s="19"/>
    </row>
    <row r="227" spans="2:19" x14ac:dyDescent="0.35">
      <c r="B227" s="58"/>
      <c r="C227" s="93"/>
      <c r="D227" s="93"/>
      <c r="E227" s="93"/>
      <c r="F227" s="93"/>
      <c r="G227" s="93"/>
      <c r="H227" s="93"/>
      <c r="I227" s="93"/>
      <c r="J227" s="93"/>
      <c r="K227" s="93"/>
      <c r="L227" s="93"/>
      <c r="M227" s="93"/>
      <c r="N227" s="93"/>
      <c r="O227" s="93"/>
      <c r="P227" s="93"/>
      <c r="Q227" s="93"/>
      <c r="R227" s="93"/>
      <c r="S227" s="93"/>
    </row>
    <row r="237" spans="2:19" x14ac:dyDescent="0.35">
      <c r="B237" s="16"/>
    </row>
  </sheetData>
  <mergeCells count="10">
    <mergeCell ref="B110:B111"/>
    <mergeCell ref="B140:B141"/>
    <mergeCell ref="B170:B171"/>
    <mergeCell ref="B201:B202"/>
    <mergeCell ref="B2:S2"/>
    <mergeCell ref="B3:S3"/>
    <mergeCell ref="B4:S4"/>
    <mergeCell ref="B8:B9"/>
    <mergeCell ref="B44:B45"/>
    <mergeCell ref="B80:B81"/>
  </mergeCells>
  <pageMargins left="0.39370078740157483" right="0.47244094488188981" top="0.70866141732283472" bottom="1.8897637795275593" header="0.51181102362204722" footer="0.51181102362204722"/>
  <pageSetup paperSize="9" scale="39" fitToHeight="2" orientation="landscape" r:id="rId1"/>
  <headerFooter alignWithMargins="0"/>
  <rowBreaks count="5" manualBreakCount="5">
    <brk id="41" min="1" max="18" man="1"/>
    <brk id="77" min="1" max="18" man="1"/>
    <brk id="107" min="1" max="18" man="1"/>
    <brk id="137" min="1" max="18" man="1"/>
    <brk id="167" min="1" max="1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7EDB5-85EC-478A-B84E-FDBBF02D9525}">
  <dimension ref="B1:S237"/>
  <sheetViews>
    <sheetView showGridLines="0" view="pageBreakPreview" topLeftCell="A15" zoomScale="60" zoomScaleNormal="80" workbookViewId="0">
      <selection activeCell="C90" sqref="B90:P113"/>
    </sheetView>
  </sheetViews>
  <sheetFormatPr defaultColWidth="9.33203125" defaultRowHeight="13.9" x14ac:dyDescent="0.35"/>
  <cols>
    <col min="1" max="1" width="9.33203125" style="10"/>
    <col min="2" max="2" width="29.46484375" style="10" customWidth="1"/>
    <col min="3" max="3" width="14" style="57" customWidth="1"/>
    <col min="4" max="4" width="11.46484375" style="57" bestFit="1" customWidth="1"/>
    <col min="5" max="5" width="24.796875" style="57" bestFit="1" customWidth="1"/>
    <col min="6" max="6" width="20.33203125" style="57" bestFit="1" customWidth="1"/>
    <col min="7" max="7" width="23.1328125" style="57" bestFit="1" customWidth="1"/>
    <col min="8" max="8" width="17.6640625" style="57" bestFit="1" customWidth="1"/>
    <col min="9" max="10" width="17.86328125" style="57" bestFit="1" customWidth="1"/>
    <col min="11" max="11" width="12.46484375" style="57" customWidth="1"/>
    <col min="12" max="12" width="17.86328125" style="57" bestFit="1" customWidth="1"/>
    <col min="13" max="13" width="17.86328125" style="57" customWidth="1"/>
    <col min="14" max="14" width="19" style="57" customWidth="1"/>
    <col min="15" max="15" width="17.33203125" style="57" bestFit="1" customWidth="1"/>
    <col min="16" max="16" width="19" style="57" bestFit="1" customWidth="1"/>
    <col min="17" max="17" width="27.6640625" style="57" bestFit="1" customWidth="1"/>
    <col min="18" max="18" width="14.86328125" style="57" bestFit="1" customWidth="1"/>
    <col min="19" max="19" width="21.6640625" style="10" customWidth="1"/>
    <col min="20" max="16384" width="9.33203125" style="10"/>
  </cols>
  <sheetData>
    <row r="1" spans="2:19" s="1" customFormat="1" x14ac:dyDescent="0.4">
      <c r="B1" s="42"/>
      <c r="C1" s="108"/>
      <c r="D1" s="108"/>
      <c r="E1" s="108"/>
      <c r="F1" s="108"/>
      <c r="G1" s="108"/>
      <c r="H1" s="108"/>
      <c r="I1" s="108"/>
      <c r="J1" s="108"/>
      <c r="K1" s="108"/>
      <c r="L1" s="108"/>
      <c r="M1" s="108"/>
      <c r="N1" s="108"/>
      <c r="O1" s="108"/>
      <c r="P1" s="108"/>
      <c r="Q1" s="108"/>
      <c r="R1" s="108"/>
    </row>
    <row r="2" spans="2:19" s="1" customFormat="1"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row>
    <row r="3" spans="2:19" s="1" customFormat="1" x14ac:dyDescent="0.4">
      <c r="B3" s="1875" t="s">
        <v>211</v>
      </c>
      <c r="C3" s="1875"/>
      <c r="D3" s="1875"/>
      <c r="E3" s="1875"/>
      <c r="F3" s="1875"/>
      <c r="G3" s="1875"/>
      <c r="H3" s="1875"/>
      <c r="I3" s="1875"/>
      <c r="J3" s="1875"/>
      <c r="K3" s="1875"/>
      <c r="L3" s="1875"/>
      <c r="M3" s="1875"/>
      <c r="N3" s="1875"/>
      <c r="O3" s="1875"/>
      <c r="P3" s="1875"/>
      <c r="Q3" s="1875"/>
      <c r="R3" s="1875"/>
      <c r="S3" s="1875"/>
    </row>
    <row r="4" spans="2:19" s="1" customFormat="1" x14ac:dyDescent="0.4">
      <c r="B4" s="2079" t="s">
        <v>1461</v>
      </c>
      <c r="C4" s="2079"/>
      <c r="D4" s="2079"/>
      <c r="E4" s="2079"/>
      <c r="F4" s="2079"/>
      <c r="G4" s="2079"/>
      <c r="H4" s="2079"/>
      <c r="I4" s="2079"/>
      <c r="J4" s="2079"/>
      <c r="K4" s="2079"/>
      <c r="L4" s="2079"/>
      <c r="M4" s="2079"/>
      <c r="N4" s="2079"/>
      <c r="O4" s="2079"/>
      <c r="P4" s="2079"/>
      <c r="Q4" s="2079"/>
      <c r="R4" s="2079"/>
      <c r="S4" s="2079"/>
    </row>
    <row r="6" spans="2:19" x14ac:dyDescent="0.35">
      <c r="B6" s="40" t="s">
        <v>196</v>
      </c>
      <c r="C6" s="53"/>
      <c r="D6" s="53"/>
      <c r="E6" s="53"/>
      <c r="F6" s="53"/>
      <c r="G6" s="53"/>
      <c r="H6" s="53"/>
      <c r="I6" s="53"/>
      <c r="J6" s="53"/>
      <c r="K6" s="53"/>
      <c r="L6" s="53"/>
      <c r="M6" s="53"/>
      <c r="N6" s="53"/>
      <c r="O6" s="53"/>
    </row>
    <row r="7" spans="2:19" x14ac:dyDescent="0.35">
      <c r="B7" s="49"/>
    </row>
    <row r="8" spans="2:19" ht="40.5" x14ac:dyDescent="0.35">
      <c r="B8" s="1984" t="s">
        <v>699</v>
      </c>
      <c r="C8" s="106" t="s">
        <v>700</v>
      </c>
      <c r="D8" s="106" t="s">
        <v>701</v>
      </c>
      <c r="E8" s="106" t="s">
        <v>702</v>
      </c>
      <c r="F8" s="106" t="s">
        <v>703</v>
      </c>
      <c r="G8" s="106" t="s">
        <v>704</v>
      </c>
      <c r="H8" s="1188" t="s">
        <v>1449</v>
      </c>
      <c r="I8" s="1188" t="s">
        <v>1450</v>
      </c>
      <c r="J8" s="1188" t="s">
        <v>1451</v>
      </c>
      <c r="K8" s="106" t="s">
        <v>1448</v>
      </c>
      <c r="L8" s="106" t="s">
        <v>705</v>
      </c>
      <c r="M8" s="106" t="s">
        <v>706</v>
      </c>
      <c r="N8" s="106" t="s">
        <v>707</v>
      </c>
      <c r="O8" s="106" t="s">
        <v>708</v>
      </c>
      <c r="P8" s="106" t="s">
        <v>709</v>
      </c>
      <c r="Q8" s="106" t="s">
        <v>710</v>
      </c>
      <c r="R8" s="106" t="s">
        <v>711</v>
      </c>
      <c r="S8" s="106" t="s">
        <v>116</v>
      </c>
    </row>
    <row r="9" spans="2:19" ht="39.4" x14ac:dyDescent="0.35">
      <c r="B9" s="1984"/>
      <c r="C9" s="1188" t="s">
        <v>128</v>
      </c>
      <c r="D9" s="1188" t="s">
        <v>129</v>
      </c>
      <c r="E9" s="1188" t="s">
        <v>712</v>
      </c>
      <c r="F9" s="1188" t="s">
        <v>130</v>
      </c>
      <c r="G9" s="1188" t="s">
        <v>131</v>
      </c>
      <c r="H9" s="1188" t="s">
        <v>331</v>
      </c>
      <c r="I9" s="1188" t="s">
        <v>132</v>
      </c>
      <c r="J9" s="1188" t="s">
        <v>133</v>
      </c>
      <c r="K9" s="1188" t="s">
        <v>332</v>
      </c>
      <c r="L9" s="1188" t="s">
        <v>333</v>
      </c>
      <c r="M9" s="1188" t="s">
        <v>1452</v>
      </c>
      <c r="N9" s="1188" t="s">
        <v>529</v>
      </c>
      <c r="O9" s="1188" t="s">
        <v>1453</v>
      </c>
      <c r="P9" s="1188" t="s">
        <v>1454</v>
      </c>
      <c r="Q9" s="1188" t="s">
        <v>531</v>
      </c>
      <c r="R9" s="1188" t="s">
        <v>1455</v>
      </c>
      <c r="S9" s="1188" t="s">
        <v>533</v>
      </c>
    </row>
    <row r="10" spans="2:19" x14ac:dyDescent="0.35">
      <c r="B10" s="517" t="s">
        <v>161</v>
      </c>
      <c r="C10" s="93"/>
      <c r="D10" s="93"/>
      <c r="E10" s="93"/>
      <c r="F10" s="93"/>
      <c r="G10" s="93"/>
      <c r="H10" s="93"/>
      <c r="I10" s="93"/>
      <c r="J10" s="93"/>
      <c r="K10" s="93"/>
      <c r="L10" s="93"/>
      <c r="M10" s="93"/>
      <c r="N10" s="93"/>
      <c r="O10" s="93"/>
      <c r="P10" s="93"/>
      <c r="Q10" s="93"/>
      <c r="R10" s="93"/>
      <c r="S10" s="93"/>
    </row>
    <row r="11" spans="2:19" x14ac:dyDescent="0.35">
      <c r="B11" s="429" t="s">
        <v>1129</v>
      </c>
      <c r="C11" s="1189"/>
      <c r="D11" s="1190"/>
      <c r="E11" s="1190"/>
      <c r="F11" s="1190"/>
      <c r="G11" s="1190"/>
      <c r="H11" s="1190"/>
      <c r="I11" s="1190"/>
      <c r="J11" s="1190"/>
      <c r="K11" s="58"/>
      <c r="L11" s="1190"/>
      <c r="M11" s="1191"/>
      <c r="N11" s="1190"/>
      <c r="O11" s="1191"/>
      <c r="P11" s="887"/>
      <c r="Q11" s="58"/>
      <c r="R11" s="58"/>
      <c r="S11" s="19"/>
    </row>
    <row r="12" spans="2:19" x14ac:dyDescent="0.35">
      <c r="B12" s="429" t="s">
        <v>1130</v>
      </c>
      <c r="C12" s="1189"/>
      <c r="D12" s="1190"/>
      <c r="E12" s="1190"/>
      <c r="F12" s="1190"/>
      <c r="G12" s="1190"/>
      <c r="H12" s="1190"/>
      <c r="I12" s="1190"/>
      <c r="J12" s="1190"/>
      <c r="K12" s="58"/>
      <c r="L12" s="1190"/>
      <c r="M12" s="1191"/>
      <c r="N12" s="1190"/>
      <c r="O12" s="1191"/>
      <c r="P12" s="887"/>
      <c r="Q12" s="58"/>
      <c r="R12" s="58"/>
      <c r="S12" s="19"/>
    </row>
    <row r="13" spans="2:19" x14ac:dyDescent="0.35">
      <c r="B13" s="429" t="s">
        <v>1131</v>
      </c>
      <c r="C13" s="1189"/>
      <c r="D13" s="1190"/>
      <c r="E13" s="1190"/>
      <c r="F13" s="1190"/>
      <c r="G13" s="1190"/>
      <c r="H13" s="1190"/>
      <c r="I13" s="1190"/>
      <c r="J13" s="1190"/>
      <c r="K13" s="58"/>
      <c r="L13" s="1190"/>
      <c r="M13" s="1191"/>
      <c r="N13" s="1190"/>
      <c r="O13" s="1191"/>
      <c r="P13" s="887"/>
      <c r="Q13" s="58"/>
      <c r="R13" s="58"/>
      <c r="S13" s="19"/>
    </row>
    <row r="14" spans="2:19" ht="25.5" x14ac:dyDescent="0.35">
      <c r="B14" s="429" t="s">
        <v>1132</v>
      </c>
      <c r="C14" s="1189"/>
      <c r="D14" s="1190"/>
      <c r="E14" s="1190"/>
      <c r="F14" s="1190"/>
      <c r="G14" s="1190"/>
      <c r="H14" s="1190"/>
      <c r="I14" s="1190"/>
      <c r="J14" s="1190"/>
      <c r="K14" s="58"/>
      <c r="L14" s="1190"/>
      <c r="M14" s="1191"/>
      <c r="N14" s="1190"/>
      <c r="O14" s="1191"/>
      <c r="P14" s="887"/>
      <c r="Q14" s="58"/>
      <c r="R14" s="58"/>
      <c r="S14" s="19"/>
    </row>
    <row r="15" spans="2:19" x14ac:dyDescent="0.35">
      <c r="B15" s="518" t="s">
        <v>162</v>
      </c>
      <c r="C15" s="1192"/>
      <c r="D15" s="1191"/>
      <c r="E15" s="1191"/>
      <c r="F15" s="1191"/>
      <c r="G15" s="1191"/>
      <c r="H15" s="1191"/>
      <c r="I15" s="1191"/>
      <c r="J15" s="1191"/>
      <c r="K15" s="1191"/>
      <c r="L15" s="1191"/>
      <c r="M15" s="1191"/>
      <c r="N15" s="1191"/>
      <c r="O15" s="1191"/>
      <c r="P15" s="887"/>
      <c r="Q15" s="58"/>
      <c r="R15" s="58"/>
      <c r="S15" s="19"/>
    </row>
    <row r="16" spans="2:19" x14ac:dyDescent="0.35">
      <c r="B16" s="517" t="s">
        <v>163</v>
      </c>
      <c r="C16" s="1189"/>
      <c r="D16" s="1190"/>
      <c r="E16" s="1190"/>
      <c r="F16" s="1190"/>
      <c r="G16" s="1190"/>
      <c r="H16" s="1190"/>
      <c r="I16" s="1190"/>
      <c r="J16" s="1190"/>
      <c r="K16" s="58"/>
      <c r="L16" s="1190"/>
      <c r="M16" s="1190"/>
      <c r="N16" s="1190"/>
      <c r="O16" s="1190"/>
      <c r="P16" s="887"/>
      <c r="Q16" s="58"/>
      <c r="R16" s="58"/>
      <c r="S16" s="19"/>
    </row>
    <row r="17" spans="2:19" x14ac:dyDescent="0.35">
      <c r="B17" s="519" t="s">
        <v>1133</v>
      </c>
      <c r="C17" s="1189"/>
      <c r="D17" s="1190"/>
      <c r="E17" s="1190"/>
      <c r="F17" s="1190"/>
      <c r="G17" s="1190"/>
      <c r="H17" s="1190"/>
      <c r="I17" s="1190"/>
      <c r="J17" s="1190"/>
      <c r="K17" s="58"/>
      <c r="L17" s="1190"/>
      <c r="M17" s="1190"/>
      <c r="N17" s="1190"/>
      <c r="O17" s="1190"/>
      <c r="P17" s="887"/>
      <c r="Q17" s="58"/>
      <c r="R17" s="58"/>
      <c r="S17" s="19"/>
    </row>
    <row r="18" spans="2:19" x14ac:dyDescent="0.35">
      <c r="B18" s="520" t="s">
        <v>1106</v>
      </c>
      <c r="C18" s="1189"/>
      <c r="D18" s="1190"/>
      <c r="E18" s="1190"/>
      <c r="F18" s="1190"/>
      <c r="G18" s="1190"/>
      <c r="H18" s="1190"/>
      <c r="I18" s="1190"/>
      <c r="J18" s="1190"/>
      <c r="K18" s="58"/>
      <c r="L18" s="1190"/>
      <c r="M18" s="1191"/>
      <c r="N18" s="1190"/>
      <c r="O18" s="1191"/>
      <c r="P18" s="887"/>
      <c r="Q18" s="58"/>
      <c r="R18" s="58"/>
      <c r="S18" s="19"/>
    </row>
    <row r="19" spans="2:19" x14ac:dyDescent="0.35">
      <c r="B19" s="520" t="s">
        <v>1107</v>
      </c>
      <c r="C19" s="1193"/>
      <c r="D19" s="1194"/>
      <c r="E19" s="1194"/>
      <c r="F19" s="1194"/>
      <c r="G19" s="1194"/>
      <c r="H19" s="1194"/>
      <c r="I19" s="1194"/>
      <c r="J19" s="1190"/>
      <c r="K19" s="58"/>
      <c r="L19" s="1190"/>
      <c r="M19" s="1191"/>
      <c r="N19" s="1194"/>
      <c r="O19" s="1195"/>
      <c r="P19" s="887"/>
      <c r="Q19" s="58"/>
      <c r="R19" s="58"/>
      <c r="S19" s="19"/>
    </row>
    <row r="20" spans="2:19" x14ac:dyDescent="0.35">
      <c r="B20" s="520" t="s">
        <v>1108</v>
      </c>
      <c r="C20" s="1189"/>
      <c r="D20" s="1190"/>
      <c r="E20" s="1190"/>
      <c r="F20" s="1190"/>
      <c r="G20" s="1190"/>
      <c r="H20" s="1190"/>
      <c r="I20" s="1190"/>
      <c r="J20" s="1190"/>
      <c r="K20" s="58"/>
      <c r="L20" s="1190"/>
      <c r="M20" s="1191"/>
      <c r="N20" s="1190"/>
      <c r="O20" s="1191"/>
      <c r="P20" s="887"/>
      <c r="Q20" s="58"/>
      <c r="R20" s="58"/>
      <c r="S20" s="19"/>
    </row>
    <row r="21" spans="2:19" x14ac:dyDescent="0.35">
      <c r="B21" s="520" t="s">
        <v>1109</v>
      </c>
      <c r="C21" s="1189"/>
      <c r="D21" s="1190"/>
      <c r="E21" s="1190"/>
      <c r="F21" s="1190"/>
      <c r="G21" s="1190"/>
      <c r="H21" s="1190"/>
      <c r="I21" s="1190"/>
      <c r="J21" s="1190"/>
      <c r="K21" s="58"/>
      <c r="L21" s="1190"/>
      <c r="M21" s="1191"/>
      <c r="N21" s="1190"/>
      <c r="O21" s="1191"/>
      <c r="P21" s="887"/>
      <c r="Q21" s="58"/>
      <c r="R21" s="58"/>
      <c r="S21" s="19"/>
    </row>
    <row r="22" spans="2:19" x14ac:dyDescent="0.35">
      <c r="B22" s="520" t="s">
        <v>1110</v>
      </c>
      <c r="C22" s="1189"/>
      <c r="D22" s="1190"/>
      <c r="E22" s="1190"/>
      <c r="F22" s="1190"/>
      <c r="G22" s="1190"/>
      <c r="H22" s="1190"/>
      <c r="I22" s="1190"/>
      <c r="J22" s="1190"/>
      <c r="K22" s="58"/>
      <c r="L22" s="1190"/>
      <c r="M22" s="1191"/>
      <c r="N22" s="1190"/>
      <c r="O22" s="1191"/>
      <c r="P22" s="887"/>
      <c r="Q22" s="58"/>
      <c r="R22" s="58"/>
      <c r="S22" s="19"/>
    </row>
    <row r="23" spans="2:19" x14ac:dyDescent="0.35">
      <c r="B23" s="519" t="s">
        <v>1139</v>
      </c>
      <c r="C23" s="1189"/>
      <c r="D23" s="1190"/>
      <c r="E23" s="58"/>
      <c r="F23" s="1190"/>
      <c r="G23" s="58"/>
      <c r="H23" s="58"/>
      <c r="I23" s="58"/>
      <c r="J23" s="58"/>
      <c r="K23" s="58"/>
      <c r="L23" s="1190"/>
      <c r="M23" s="1191"/>
      <c r="N23" s="1190"/>
      <c r="O23" s="1191"/>
      <c r="P23" s="887"/>
      <c r="Q23" s="58"/>
      <c r="R23" s="58"/>
      <c r="S23" s="19"/>
    </row>
    <row r="24" spans="2:19" x14ac:dyDescent="0.35">
      <c r="B24" s="520" t="s">
        <v>1140</v>
      </c>
      <c r="C24" s="1189"/>
      <c r="D24" s="1190"/>
      <c r="E24" s="1190"/>
      <c r="F24" s="1190"/>
      <c r="G24" s="1190"/>
      <c r="H24" s="1190"/>
      <c r="I24" s="1190"/>
      <c r="J24" s="1190"/>
      <c r="K24" s="58"/>
      <c r="L24" s="1190"/>
      <c r="M24" s="1191"/>
      <c r="N24" s="1190"/>
      <c r="O24" s="1191"/>
      <c r="P24" s="887"/>
      <c r="Q24" s="58"/>
      <c r="R24" s="58"/>
      <c r="S24" s="19"/>
    </row>
    <row r="25" spans="2:19" x14ac:dyDescent="0.35">
      <c r="B25" s="520" t="s">
        <v>1144</v>
      </c>
      <c r="C25" s="1196"/>
      <c r="D25" s="1197"/>
      <c r="E25" s="1197"/>
      <c r="F25" s="1197"/>
      <c r="G25" s="1197"/>
      <c r="H25" s="1197"/>
      <c r="I25" s="1197"/>
      <c r="J25" s="1190"/>
      <c r="K25" s="58"/>
      <c r="L25" s="1190"/>
      <c r="M25" s="1191"/>
      <c r="N25" s="1197"/>
      <c r="O25" s="1198"/>
      <c r="P25" s="887"/>
      <c r="Q25" s="58"/>
      <c r="R25" s="58"/>
      <c r="S25" s="19"/>
    </row>
    <row r="26" spans="2:19" x14ac:dyDescent="0.35">
      <c r="B26" s="520" t="s">
        <v>1143</v>
      </c>
      <c r="C26" s="1189"/>
      <c r="D26" s="1190"/>
      <c r="E26" s="1190"/>
      <c r="F26" s="1190"/>
      <c r="G26" s="1190"/>
      <c r="H26" s="1190"/>
      <c r="I26" s="1190"/>
      <c r="J26" s="1190"/>
      <c r="K26" s="58"/>
      <c r="L26" s="1190"/>
      <c r="M26" s="1191"/>
      <c r="N26" s="1190"/>
      <c r="O26" s="1191"/>
      <c r="P26" s="887"/>
      <c r="Q26" s="58"/>
      <c r="R26" s="58"/>
      <c r="S26" s="19"/>
    </row>
    <row r="27" spans="2:19" ht="25.5" x14ac:dyDescent="0.35">
      <c r="B27" s="519" t="s">
        <v>1111</v>
      </c>
      <c r="C27" s="1189"/>
      <c r="D27" s="1190"/>
      <c r="E27" s="1190"/>
      <c r="F27" s="1190"/>
      <c r="G27" s="1190"/>
      <c r="H27" s="1190"/>
      <c r="I27" s="1190"/>
      <c r="J27" s="1190"/>
      <c r="K27" s="58"/>
      <c r="L27" s="1190"/>
      <c r="M27" s="1191"/>
      <c r="N27" s="1190"/>
      <c r="O27" s="1191"/>
      <c r="P27" s="887"/>
      <c r="Q27" s="58"/>
      <c r="R27" s="58"/>
      <c r="S27" s="19"/>
    </row>
    <row r="28" spans="2:19" ht="25.5" x14ac:dyDescent="0.35">
      <c r="B28" s="519" t="s">
        <v>1135</v>
      </c>
      <c r="C28" s="1189"/>
      <c r="D28" s="1190"/>
      <c r="E28" s="1190"/>
      <c r="F28" s="1190"/>
      <c r="G28" s="1190"/>
      <c r="H28" s="1190"/>
      <c r="I28" s="1190"/>
      <c r="J28" s="1190"/>
      <c r="K28" s="58"/>
      <c r="L28" s="1190"/>
      <c r="M28" s="1191"/>
      <c r="N28" s="1190"/>
      <c r="O28" s="1191"/>
      <c r="P28" s="887"/>
      <c r="Q28" s="58"/>
      <c r="R28" s="58"/>
      <c r="S28" s="19"/>
    </row>
    <row r="29" spans="2:19" ht="25.5" x14ac:dyDescent="0.35">
      <c r="B29" s="519" t="s">
        <v>1136</v>
      </c>
      <c r="C29" s="1189"/>
      <c r="D29" s="1190"/>
      <c r="E29" s="1190"/>
      <c r="F29" s="1190"/>
      <c r="G29" s="1190"/>
      <c r="H29" s="1190"/>
      <c r="I29" s="1190"/>
      <c r="J29" s="1190"/>
      <c r="K29" s="58"/>
      <c r="L29" s="1190"/>
      <c r="M29" s="1191"/>
      <c r="N29" s="1190"/>
      <c r="O29" s="1191"/>
      <c r="P29" s="887"/>
      <c r="Q29" s="58"/>
      <c r="R29" s="58"/>
      <c r="S29" s="19"/>
    </row>
    <row r="30" spans="2:19" x14ac:dyDescent="0.35">
      <c r="B30" s="519" t="s">
        <v>1142</v>
      </c>
      <c r="C30" s="1189"/>
      <c r="D30" s="1190"/>
      <c r="E30" s="1190"/>
      <c r="F30" s="1190"/>
      <c r="G30" s="1190"/>
      <c r="H30" s="1190"/>
      <c r="I30" s="1190"/>
      <c r="J30" s="1190"/>
      <c r="K30" s="58"/>
      <c r="L30" s="1190"/>
      <c r="M30" s="1191"/>
      <c r="N30" s="1190"/>
      <c r="O30" s="1191"/>
      <c r="P30" s="887"/>
      <c r="Q30" s="58"/>
      <c r="R30" s="58"/>
      <c r="S30" s="19"/>
    </row>
    <row r="31" spans="2:19" x14ac:dyDescent="0.35">
      <c r="B31" s="518" t="s">
        <v>162</v>
      </c>
      <c r="C31" s="1192"/>
      <c r="D31" s="1191"/>
      <c r="E31" s="1191"/>
      <c r="F31" s="1191"/>
      <c r="G31" s="1191"/>
      <c r="H31" s="1191"/>
      <c r="I31" s="1191"/>
      <c r="J31" s="1191"/>
      <c r="K31" s="58"/>
      <c r="L31" s="1191"/>
      <c r="M31" s="1191"/>
      <c r="N31" s="1191"/>
      <c r="O31" s="1191"/>
      <c r="P31" s="887"/>
      <c r="Q31" s="58"/>
      <c r="R31" s="58"/>
      <c r="S31" s="19"/>
    </row>
    <row r="32" spans="2:19" x14ac:dyDescent="0.35">
      <c r="B32" s="518"/>
      <c r="C32" s="58"/>
      <c r="D32" s="1190"/>
      <c r="E32" s="1190"/>
      <c r="F32" s="1190"/>
      <c r="G32" s="1190"/>
      <c r="H32" s="1190"/>
      <c r="I32" s="1190"/>
      <c r="J32" s="1190"/>
      <c r="K32" s="58"/>
      <c r="L32" s="1190"/>
      <c r="M32" s="1190"/>
      <c r="N32" s="1190"/>
      <c r="O32" s="1190"/>
      <c r="P32" s="887"/>
      <c r="Q32" s="58"/>
      <c r="R32" s="58"/>
      <c r="S32" s="19"/>
    </row>
    <row r="33" spans="2:19" x14ac:dyDescent="0.35">
      <c r="B33" s="119" t="s">
        <v>164</v>
      </c>
      <c r="C33" s="1192"/>
      <c r="D33" s="1191"/>
      <c r="E33" s="1191"/>
      <c r="F33" s="1191"/>
      <c r="G33" s="1191"/>
      <c r="H33" s="1191"/>
      <c r="I33" s="1191"/>
      <c r="J33" s="1191"/>
      <c r="K33" s="1191"/>
      <c r="L33" s="1191"/>
      <c r="M33" s="1191"/>
      <c r="N33" s="1191"/>
      <c r="O33" s="1191"/>
      <c r="P33" s="887"/>
      <c r="Q33" s="58"/>
      <c r="R33" s="58"/>
      <c r="S33" s="19"/>
    </row>
    <row r="34" spans="2:19" x14ac:dyDescent="0.35">
      <c r="B34" s="277"/>
    </row>
    <row r="35" spans="2:19" x14ac:dyDescent="0.35">
      <c r="B35" s="118" t="s">
        <v>165</v>
      </c>
      <c r="C35" s="1199"/>
      <c r="D35" s="1199"/>
      <c r="E35" s="1199"/>
      <c r="F35" s="1199"/>
      <c r="G35" s="1199"/>
      <c r="H35" s="1199"/>
      <c r="I35" s="1199"/>
      <c r="J35" s="1199"/>
      <c r="K35" s="1199"/>
      <c r="L35" s="1199"/>
      <c r="M35" s="1199"/>
      <c r="N35" s="1199"/>
      <c r="O35" s="1199"/>
    </row>
    <row r="36" spans="2:19" x14ac:dyDescent="0.35">
      <c r="B36" s="156" t="s">
        <v>714</v>
      </c>
      <c r="C36" s="1200"/>
      <c r="D36" s="1200"/>
      <c r="E36" s="1200"/>
      <c r="F36" s="1200"/>
      <c r="G36" s="1200"/>
      <c r="H36" s="1200"/>
      <c r="I36" s="1200"/>
      <c r="J36" s="1200"/>
      <c r="K36" s="1200"/>
      <c r="L36" s="1200"/>
      <c r="M36" s="1200"/>
      <c r="N36" s="1200"/>
      <c r="O36" s="1200"/>
    </row>
    <row r="37" spans="2:19" x14ac:dyDescent="0.35">
      <c r="B37" s="10" t="s">
        <v>715</v>
      </c>
    </row>
    <row r="38" spans="2:19" x14ac:dyDescent="0.35">
      <c r="B38" s="10" t="s">
        <v>716</v>
      </c>
    </row>
    <row r="39" spans="2:19" x14ac:dyDescent="0.35">
      <c r="B39" s="10" t="s">
        <v>717</v>
      </c>
    </row>
    <row r="42" spans="2:19" x14ac:dyDescent="0.35">
      <c r="B42" s="40" t="s">
        <v>197</v>
      </c>
      <c r="C42" s="53"/>
      <c r="D42" s="53"/>
      <c r="E42" s="53"/>
      <c r="F42" s="53"/>
      <c r="G42" s="53"/>
      <c r="H42" s="53"/>
      <c r="I42" s="53"/>
      <c r="J42" s="53"/>
      <c r="K42" s="53"/>
      <c r="L42" s="53"/>
      <c r="M42" s="53"/>
      <c r="N42" s="53"/>
      <c r="O42" s="53"/>
    </row>
    <row r="43" spans="2:19" x14ac:dyDescent="0.35">
      <c r="B43" s="49"/>
    </row>
    <row r="44" spans="2:19" ht="40.5" x14ac:dyDescent="0.35">
      <c r="B44" s="1984" t="s">
        <v>699</v>
      </c>
      <c r="C44" s="106" t="s">
        <v>700</v>
      </c>
      <c r="D44" s="106" t="s">
        <v>701</v>
      </c>
      <c r="E44" s="106" t="s">
        <v>702</v>
      </c>
      <c r="F44" s="106" t="s">
        <v>703</v>
      </c>
      <c r="G44" s="106" t="s">
        <v>704</v>
      </c>
      <c r="H44" s="1188" t="s">
        <v>1449</v>
      </c>
      <c r="I44" s="1188" t="s">
        <v>1450</v>
      </c>
      <c r="J44" s="1188" t="s">
        <v>1451</v>
      </c>
      <c r="K44" s="106" t="s">
        <v>1448</v>
      </c>
      <c r="L44" s="106" t="s">
        <v>705</v>
      </c>
      <c r="M44" s="106" t="s">
        <v>706</v>
      </c>
      <c r="N44" s="106" t="s">
        <v>707</v>
      </c>
      <c r="O44" s="106" t="s">
        <v>708</v>
      </c>
      <c r="P44" s="106" t="s">
        <v>709</v>
      </c>
      <c r="Q44" s="106" t="s">
        <v>710</v>
      </c>
      <c r="R44" s="106" t="s">
        <v>711</v>
      </c>
      <c r="S44" s="106" t="s">
        <v>116</v>
      </c>
    </row>
    <row r="45" spans="2:19" ht="39.4" x14ac:dyDescent="0.35">
      <c r="B45" s="1984"/>
      <c r="C45" s="1188" t="s">
        <v>128</v>
      </c>
      <c r="D45" s="1188" t="s">
        <v>129</v>
      </c>
      <c r="E45" s="1188" t="s">
        <v>712</v>
      </c>
      <c r="F45" s="1188" t="s">
        <v>130</v>
      </c>
      <c r="G45" s="1188" t="s">
        <v>131</v>
      </c>
      <c r="H45" s="1188" t="s">
        <v>331</v>
      </c>
      <c r="I45" s="1188" t="s">
        <v>132</v>
      </c>
      <c r="J45" s="1188" t="s">
        <v>133</v>
      </c>
      <c r="K45" s="1188" t="s">
        <v>332</v>
      </c>
      <c r="L45" s="1188" t="s">
        <v>333</v>
      </c>
      <c r="M45" s="1188" t="s">
        <v>1452</v>
      </c>
      <c r="N45" s="1188" t="s">
        <v>529</v>
      </c>
      <c r="O45" s="1188" t="s">
        <v>1453</v>
      </c>
      <c r="P45" s="1188" t="s">
        <v>1454</v>
      </c>
      <c r="Q45" s="1188" t="s">
        <v>531</v>
      </c>
      <c r="R45" s="1188" t="s">
        <v>1455</v>
      </c>
      <c r="S45" s="1188" t="s">
        <v>533</v>
      </c>
    </row>
    <row r="46" spans="2:19" x14ac:dyDescent="0.35">
      <c r="B46" s="517" t="s">
        <v>161</v>
      </c>
      <c r="C46" s="93"/>
      <c r="D46" s="93"/>
      <c r="E46" s="93"/>
      <c r="F46" s="93"/>
      <c r="G46" s="93"/>
      <c r="H46" s="93"/>
      <c r="I46" s="93"/>
      <c r="J46" s="93"/>
      <c r="K46" s="93"/>
      <c r="L46" s="93"/>
      <c r="M46" s="93"/>
      <c r="N46" s="93"/>
      <c r="O46" s="93"/>
      <c r="P46" s="93"/>
      <c r="Q46" s="93"/>
      <c r="R46" s="93"/>
      <c r="S46" s="93"/>
    </row>
    <row r="47" spans="2:19" x14ac:dyDescent="0.35">
      <c r="B47" s="429" t="s">
        <v>1129</v>
      </c>
      <c r="C47" s="1189"/>
      <c r="D47" s="1190">
        <f>+'F1 Non-SEZ'!D12</f>
        <v>0</v>
      </c>
      <c r="E47" s="1190"/>
      <c r="F47" s="1190"/>
      <c r="G47" s="1190"/>
      <c r="H47" s="1190"/>
      <c r="I47" s="1190"/>
      <c r="J47" s="1190"/>
      <c r="K47" s="58"/>
      <c r="L47" s="1190"/>
      <c r="M47" s="1191">
        <f>SUM(E47:L47)</f>
        <v>0</v>
      </c>
      <c r="N47" s="1190"/>
      <c r="O47" s="1191">
        <f>+M47+N47</f>
        <v>0</v>
      </c>
      <c r="P47" s="887">
        <f>+IFERROR(O47/D47*10,0)</f>
        <v>0</v>
      </c>
      <c r="Q47" s="58"/>
      <c r="R47" s="58"/>
      <c r="S47" s="19"/>
    </row>
    <row r="48" spans="2:19" x14ac:dyDescent="0.35">
      <c r="B48" s="429" t="s">
        <v>1130</v>
      </c>
      <c r="C48" s="1189">
        <v>3</v>
      </c>
      <c r="D48" s="1190">
        <f>+'F1 Non-SEZ'!D13</f>
        <v>1.30500858</v>
      </c>
      <c r="E48" s="1190">
        <v>0.36024123299999999</v>
      </c>
      <c r="F48" s="1190">
        <v>1.5155661119999999</v>
      </c>
      <c r="G48" s="1190">
        <v>9.9180659679999991E-2</v>
      </c>
      <c r="H48" s="1190">
        <v>-1.4343324000000001E-2</v>
      </c>
      <c r="I48" s="1190">
        <v>-4.0736475000000008E-2</v>
      </c>
      <c r="J48" s="1190">
        <v>1.0545677E-2</v>
      </c>
      <c r="K48" s="58"/>
      <c r="L48" s="1190"/>
      <c r="M48" s="1191">
        <f>SUM(E48:L48)</f>
        <v>1.93045388268</v>
      </c>
      <c r="N48" s="1190"/>
      <c r="O48" s="1191">
        <f>+M48+N48</f>
        <v>1.93045388268</v>
      </c>
      <c r="P48" s="887">
        <f>+IFERROR(O48/D48*10,0)</f>
        <v>14.792652801409167</v>
      </c>
      <c r="Q48" s="58"/>
      <c r="R48" s="58"/>
      <c r="S48" s="19"/>
    </row>
    <row r="49" spans="2:19" x14ac:dyDescent="0.35">
      <c r="B49" s="429" t="s">
        <v>1131</v>
      </c>
      <c r="C49" s="1189">
        <v>1</v>
      </c>
      <c r="D49" s="1190">
        <f>+'F1 Non-SEZ'!D14</f>
        <v>0.56330367000000003</v>
      </c>
      <c r="E49" s="1190">
        <v>9.551045200000001E-2</v>
      </c>
      <c r="F49" s="1190">
        <v>0.67596460400000014</v>
      </c>
      <c r="G49" s="1190">
        <v>4.281107843999999E-2</v>
      </c>
      <c r="H49" s="1190">
        <v>-3.6103369999999999E-3</v>
      </c>
      <c r="I49" s="1190">
        <v>-6.3923939999999992E-3</v>
      </c>
      <c r="J49" s="1190">
        <v>0</v>
      </c>
      <c r="K49" s="58"/>
      <c r="L49" s="1190"/>
      <c r="M49" s="1191">
        <f>SUM(E49:L49)</f>
        <v>0.80428340344000004</v>
      </c>
      <c r="N49" s="1190"/>
      <c r="O49" s="1191">
        <f>+M49+N49</f>
        <v>0.80428340344000004</v>
      </c>
      <c r="P49" s="887">
        <f>+IFERROR(O49/D49*10,0)</f>
        <v>14.277972011792503</v>
      </c>
      <c r="Q49" s="58"/>
      <c r="R49" s="58"/>
      <c r="S49" s="19"/>
    </row>
    <row r="50" spans="2:19" ht="25.5" x14ac:dyDescent="0.35">
      <c r="B50" s="429" t="s">
        <v>1132</v>
      </c>
      <c r="C50" s="1189"/>
      <c r="D50" s="1190">
        <f>+'F1 Non-SEZ'!D15</f>
        <v>0</v>
      </c>
      <c r="E50" s="1190"/>
      <c r="F50" s="1190"/>
      <c r="G50" s="1190"/>
      <c r="H50" s="1190"/>
      <c r="I50" s="1190"/>
      <c r="J50" s="1190"/>
      <c r="K50" s="58"/>
      <c r="L50" s="1190"/>
      <c r="M50" s="1191">
        <f>SUM(E50:L50)</f>
        <v>0</v>
      </c>
      <c r="N50" s="1190"/>
      <c r="O50" s="1191">
        <f>+M50+N50</f>
        <v>0</v>
      </c>
      <c r="P50" s="887">
        <f>+IFERROR(O50/D50*10,0)</f>
        <v>0</v>
      </c>
      <c r="Q50" s="58"/>
      <c r="R50" s="58"/>
      <c r="S50" s="19"/>
    </row>
    <row r="51" spans="2:19" x14ac:dyDescent="0.35">
      <c r="B51" s="518" t="s">
        <v>162</v>
      </c>
      <c r="C51" s="1192">
        <f>SUM(C47:C50)</f>
        <v>4</v>
      </c>
      <c r="D51" s="1191">
        <f t="shared" ref="D51:O51" si="0">SUM(D47:D50)</f>
        <v>1.86831225</v>
      </c>
      <c r="E51" s="1191">
        <f t="shared" si="0"/>
        <v>0.45575168500000002</v>
      </c>
      <c r="F51" s="1191">
        <f t="shared" si="0"/>
        <v>2.1915307159999999</v>
      </c>
      <c r="G51" s="1191">
        <f t="shared" si="0"/>
        <v>0.14199173811999999</v>
      </c>
      <c r="H51" s="1191">
        <f t="shared" si="0"/>
        <v>-1.7953661000000003E-2</v>
      </c>
      <c r="I51" s="1191">
        <f t="shared" si="0"/>
        <v>-4.7128869000000004E-2</v>
      </c>
      <c r="J51" s="1191">
        <f t="shared" si="0"/>
        <v>1.0545677E-2</v>
      </c>
      <c r="K51" s="1191">
        <f t="shared" si="0"/>
        <v>0</v>
      </c>
      <c r="L51" s="1191">
        <f t="shared" si="0"/>
        <v>0</v>
      </c>
      <c r="M51" s="1191">
        <f t="shared" si="0"/>
        <v>2.7347372861200001</v>
      </c>
      <c r="N51" s="1191">
        <f t="shared" si="0"/>
        <v>0</v>
      </c>
      <c r="O51" s="1191">
        <f t="shared" si="0"/>
        <v>2.7347372861200001</v>
      </c>
      <c r="P51" s="887">
        <f>+IFERROR(O51/D51*10,0)</f>
        <v>14.637474469912618</v>
      </c>
      <c r="Q51" s="58"/>
      <c r="R51" s="58"/>
      <c r="S51" s="19"/>
    </row>
    <row r="52" spans="2:19" x14ac:dyDescent="0.35">
      <c r="B52" s="517" t="s">
        <v>163</v>
      </c>
      <c r="C52" s="1189"/>
      <c r="D52" s="1190"/>
      <c r="E52" s="1190"/>
      <c r="F52" s="1190"/>
      <c r="G52" s="1190"/>
      <c r="H52" s="1190"/>
      <c r="I52" s="1190"/>
      <c r="J52" s="1190"/>
      <c r="K52" s="58"/>
      <c r="L52" s="1190"/>
      <c r="M52" s="1190"/>
      <c r="N52" s="1190"/>
      <c r="O52" s="1190"/>
      <c r="P52" s="887"/>
      <c r="Q52" s="58"/>
      <c r="R52" s="58"/>
      <c r="S52" s="19"/>
    </row>
    <row r="53" spans="2:19" x14ac:dyDescent="0.35">
      <c r="B53" s="519" t="s">
        <v>1133</v>
      </c>
      <c r="C53" s="1189"/>
      <c r="D53" s="1190"/>
      <c r="E53" s="1190"/>
      <c r="F53" s="1190"/>
      <c r="G53" s="1190"/>
      <c r="H53" s="1190"/>
      <c r="I53" s="1190"/>
      <c r="J53" s="1190"/>
      <c r="K53" s="58"/>
      <c r="L53" s="1190"/>
      <c r="M53" s="1190"/>
      <c r="N53" s="1190"/>
      <c r="O53" s="1190"/>
      <c r="P53" s="887"/>
      <c r="Q53" s="58"/>
      <c r="R53" s="58"/>
      <c r="S53" s="19"/>
    </row>
    <row r="54" spans="2:19" x14ac:dyDescent="0.35">
      <c r="B54" s="520" t="s">
        <v>1106</v>
      </c>
      <c r="C54" s="1189">
        <v>365</v>
      </c>
      <c r="D54" s="1190">
        <f>+'F1 Non-SEZ'!D19</f>
        <v>4.5234989999999996E-2</v>
      </c>
      <c r="E54" s="1190">
        <v>6.4414137000000024E-2</v>
      </c>
      <c r="F54" s="1190">
        <v>1.56906627E-2</v>
      </c>
      <c r="G54" s="1190">
        <v>5.7900387200000005E-3</v>
      </c>
      <c r="H54" s="1190"/>
      <c r="I54" s="1190"/>
      <c r="J54" s="1190">
        <v>4.4106099999999986E-4</v>
      </c>
      <c r="K54" s="58"/>
      <c r="L54" s="1190"/>
      <c r="M54" s="1191">
        <f t="shared" ref="M54:M66" si="1">SUM(E54:L54)</f>
        <v>8.6335899420000028E-2</v>
      </c>
      <c r="N54" s="1190"/>
      <c r="O54" s="1191">
        <f t="shared" ref="O54:O66" si="2">+M54+N54</f>
        <v>8.6335899420000028E-2</v>
      </c>
      <c r="P54" s="887">
        <f t="shared" ref="P54:P67" si="3">+IFERROR(O54/D54*10,0)</f>
        <v>19.086087875779356</v>
      </c>
      <c r="Q54" s="58"/>
      <c r="R54" s="58"/>
      <c r="S54" s="19"/>
    </row>
    <row r="55" spans="2:19" x14ac:dyDescent="0.35">
      <c r="B55" s="520" t="s">
        <v>1107</v>
      </c>
      <c r="C55" s="1189">
        <v>41</v>
      </c>
      <c r="D55" s="1190">
        <f>+'F1 Non-SEZ'!D20</f>
        <v>8.3919010000000002E-2</v>
      </c>
      <c r="E55" s="1190">
        <v>1.6427433000000002E-2</v>
      </c>
      <c r="F55" s="1190">
        <v>4.593341799999999E-2</v>
      </c>
      <c r="G55" s="1190">
        <v>1.0741633280000001E-2</v>
      </c>
      <c r="H55" s="1194"/>
      <c r="I55" s="1194"/>
      <c r="J55" s="1190">
        <v>3.3290000000000002E-6</v>
      </c>
      <c r="K55" s="58"/>
      <c r="L55" s="1190"/>
      <c r="M55" s="1191">
        <f t="shared" si="1"/>
        <v>7.3105813279999987E-2</v>
      </c>
      <c r="N55" s="1194"/>
      <c r="O55" s="1195">
        <f t="shared" si="2"/>
        <v>7.3105813279999987E-2</v>
      </c>
      <c r="P55" s="887">
        <f t="shared" si="3"/>
        <v>8.7114723207530673</v>
      </c>
      <c r="Q55" s="58"/>
      <c r="R55" s="58"/>
      <c r="S55" s="19"/>
    </row>
    <row r="56" spans="2:19" x14ac:dyDescent="0.35">
      <c r="B56" s="520" t="s">
        <v>1108</v>
      </c>
      <c r="C56" s="1189">
        <v>8</v>
      </c>
      <c r="D56" s="1190">
        <f>+'F1 Non-SEZ'!D21</f>
        <v>3.5031049999999994E-2</v>
      </c>
      <c r="E56" s="1190">
        <v>2.8544999999999998E-3</v>
      </c>
      <c r="F56" s="1190">
        <v>2.5932493999999993E-2</v>
      </c>
      <c r="G56" s="1190">
        <v>4.4839744000000001E-3</v>
      </c>
      <c r="H56" s="1190"/>
      <c r="I56" s="1190"/>
      <c r="J56" s="1190">
        <v>0</v>
      </c>
      <c r="K56" s="58"/>
      <c r="L56" s="1190"/>
      <c r="M56" s="1191">
        <f t="shared" si="1"/>
        <v>3.3270968399999989E-2</v>
      </c>
      <c r="N56" s="1190"/>
      <c r="O56" s="1191">
        <f t="shared" si="2"/>
        <v>3.3270968399999989E-2</v>
      </c>
      <c r="P56" s="887">
        <f t="shared" si="3"/>
        <v>9.497565274235285</v>
      </c>
      <c r="Q56" s="58"/>
      <c r="R56" s="58"/>
      <c r="S56" s="19"/>
    </row>
    <row r="57" spans="2:19" x14ac:dyDescent="0.35">
      <c r="B57" s="520" t="s">
        <v>1109</v>
      </c>
      <c r="C57" s="1189">
        <v>0</v>
      </c>
      <c r="D57" s="1190">
        <f>+'F1 Non-SEZ'!D22</f>
        <v>3.430271E-2</v>
      </c>
      <c r="E57" s="1190">
        <v>8.6399999999999975E-4</v>
      </c>
      <c r="F57" s="1190">
        <v>3.8740611000000008E-2</v>
      </c>
      <c r="G57" s="1190">
        <v>4.3907468800000009E-3</v>
      </c>
      <c r="H57" s="1190"/>
      <c r="I57" s="1190"/>
      <c r="J57" s="1190">
        <v>0</v>
      </c>
      <c r="K57" s="58"/>
      <c r="L57" s="1190"/>
      <c r="M57" s="1191">
        <f t="shared" si="1"/>
        <v>4.3995357880000002E-2</v>
      </c>
      <c r="N57" s="1190"/>
      <c r="O57" s="1191">
        <f t="shared" si="2"/>
        <v>4.3995357880000002E-2</v>
      </c>
      <c r="P57" s="887">
        <f t="shared" si="3"/>
        <v>12.825621614152352</v>
      </c>
      <c r="Q57" s="58"/>
      <c r="R57" s="58"/>
      <c r="S57" s="19"/>
    </row>
    <row r="58" spans="2:19" x14ac:dyDescent="0.35">
      <c r="B58" s="520" t="s">
        <v>1110</v>
      </c>
      <c r="C58" s="1189">
        <v>7</v>
      </c>
      <c r="D58" s="1190">
        <f>+'F1 Non-SEZ'!D23</f>
        <v>0.30698021999999997</v>
      </c>
      <c r="E58" s="1190">
        <v>1.3237000000000001E-2</v>
      </c>
      <c r="F58" s="1190">
        <v>0.36733366900000008</v>
      </c>
      <c r="G58" s="1190">
        <v>4.0249703159999997E-2</v>
      </c>
      <c r="H58" s="1190"/>
      <c r="I58" s="1190"/>
      <c r="J58" s="1190">
        <v>0</v>
      </c>
      <c r="K58" s="58"/>
      <c r="L58" s="1190"/>
      <c r="M58" s="1191">
        <f t="shared" si="1"/>
        <v>0.42082037216000007</v>
      </c>
      <c r="N58" s="1190"/>
      <c r="O58" s="1191">
        <f t="shared" si="2"/>
        <v>0.42082037216000007</v>
      </c>
      <c r="P58" s="887">
        <f t="shared" si="3"/>
        <v>13.708387210094518</v>
      </c>
      <c r="Q58" s="58"/>
      <c r="R58" s="58"/>
      <c r="S58" s="19"/>
    </row>
    <row r="59" spans="2:19" x14ac:dyDescent="0.35">
      <c r="B59" s="519" t="s">
        <v>1139</v>
      </c>
      <c r="C59" s="1189"/>
      <c r="D59" s="1190">
        <f>+'F1 Non-SEZ'!D24</f>
        <v>0</v>
      </c>
      <c r="E59" s="1190"/>
      <c r="F59" s="1190"/>
      <c r="G59" s="58"/>
      <c r="H59" s="58"/>
      <c r="I59" s="58"/>
      <c r="J59" s="58"/>
      <c r="K59" s="58"/>
      <c r="L59" s="1190"/>
      <c r="M59" s="1191">
        <f t="shared" si="1"/>
        <v>0</v>
      </c>
      <c r="N59" s="1190"/>
      <c r="O59" s="1191">
        <f t="shared" si="2"/>
        <v>0</v>
      </c>
      <c r="P59" s="887">
        <f t="shared" si="3"/>
        <v>0</v>
      </c>
      <c r="Q59" s="58"/>
      <c r="R59" s="58"/>
      <c r="S59" s="19"/>
    </row>
    <row r="60" spans="2:19" x14ac:dyDescent="0.35">
      <c r="B60" s="520" t="s">
        <v>1140</v>
      </c>
      <c r="C60" s="1189">
        <v>11</v>
      </c>
      <c r="D60" s="1190">
        <f>+'F1 Non-SEZ'!D25</f>
        <v>1.8100000000000001E-4</v>
      </c>
      <c r="E60" s="1190">
        <v>8.0676300000000005E-4</v>
      </c>
      <c r="F60" s="1190">
        <v>1.1041000000000001E-4</v>
      </c>
      <c r="G60" s="1190">
        <v>2.3167999999999999E-5</v>
      </c>
      <c r="H60" s="1190"/>
      <c r="I60" s="1190"/>
      <c r="J60" s="1190"/>
      <c r="K60" s="58"/>
      <c r="L60" s="1190"/>
      <c r="M60" s="1191">
        <f t="shared" si="1"/>
        <v>9.4034100000000003E-4</v>
      </c>
      <c r="N60" s="1190"/>
      <c r="O60" s="1191">
        <f t="shared" si="2"/>
        <v>9.4034100000000003E-4</v>
      </c>
      <c r="P60" s="887">
        <f t="shared" si="3"/>
        <v>51.952541436464088</v>
      </c>
      <c r="Q60" s="58"/>
      <c r="R60" s="58"/>
      <c r="S60" s="19"/>
    </row>
    <row r="61" spans="2:19" x14ac:dyDescent="0.35">
      <c r="B61" s="520" t="s">
        <v>1144</v>
      </c>
      <c r="C61" s="1196"/>
      <c r="D61" s="1190">
        <f>+'F1 Non-SEZ'!D26</f>
        <v>0</v>
      </c>
      <c r="E61" s="1197"/>
      <c r="F61" s="1197"/>
      <c r="G61" s="1197"/>
      <c r="H61" s="1197"/>
      <c r="I61" s="1197"/>
      <c r="J61" s="1190"/>
      <c r="K61" s="58"/>
      <c r="L61" s="1190"/>
      <c r="M61" s="1191">
        <f t="shared" si="1"/>
        <v>0</v>
      </c>
      <c r="N61" s="1197"/>
      <c r="O61" s="1198">
        <f t="shared" si="2"/>
        <v>0</v>
      </c>
      <c r="P61" s="887">
        <f t="shared" si="3"/>
        <v>0</v>
      </c>
      <c r="Q61" s="58"/>
      <c r="R61" s="58"/>
      <c r="S61" s="19"/>
    </row>
    <row r="62" spans="2:19" x14ac:dyDescent="0.35">
      <c r="B62" s="520" t="s">
        <v>1143</v>
      </c>
      <c r="C62" s="1189"/>
      <c r="D62" s="1190">
        <f>+'F1 Non-SEZ'!D27</f>
        <v>0</v>
      </c>
      <c r="E62" s="1190"/>
      <c r="F62" s="1190"/>
      <c r="G62" s="1190"/>
      <c r="H62" s="1190"/>
      <c r="I62" s="1190"/>
      <c r="J62" s="1190"/>
      <c r="K62" s="58"/>
      <c r="L62" s="1190"/>
      <c r="M62" s="1191">
        <f t="shared" si="1"/>
        <v>0</v>
      </c>
      <c r="N62" s="1190"/>
      <c r="O62" s="1191">
        <f t="shared" si="2"/>
        <v>0</v>
      </c>
      <c r="P62" s="887">
        <f t="shared" si="3"/>
        <v>0</v>
      </c>
      <c r="Q62" s="58"/>
      <c r="R62" s="58"/>
      <c r="S62" s="19"/>
    </row>
    <row r="63" spans="2:19" ht="25.5" x14ac:dyDescent="0.35">
      <c r="B63" s="519" t="s">
        <v>1111</v>
      </c>
      <c r="C63" s="1189"/>
      <c r="D63" s="1190">
        <f>+'F1 Non-SEZ'!D28</f>
        <v>0</v>
      </c>
      <c r="E63" s="1190"/>
      <c r="F63" s="1190"/>
      <c r="G63" s="1190"/>
      <c r="H63" s="1190"/>
      <c r="I63" s="1190"/>
      <c r="J63" s="1190"/>
      <c r="K63" s="58"/>
      <c r="L63" s="1190"/>
      <c r="M63" s="1191">
        <f t="shared" si="1"/>
        <v>0</v>
      </c>
      <c r="N63" s="1190"/>
      <c r="O63" s="1191">
        <f t="shared" si="2"/>
        <v>0</v>
      </c>
      <c r="P63" s="887">
        <f t="shared" si="3"/>
        <v>0</v>
      </c>
      <c r="Q63" s="58"/>
      <c r="R63" s="58"/>
      <c r="S63" s="19"/>
    </row>
    <row r="64" spans="2:19" ht="25.5" x14ac:dyDescent="0.35">
      <c r="B64" s="519" t="s">
        <v>1135</v>
      </c>
      <c r="C64" s="1189">
        <v>1</v>
      </c>
      <c r="D64" s="1190">
        <f>+'F1 Non-SEZ'!D29</f>
        <v>2.1779999999999994E-2</v>
      </c>
      <c r="E64" s="1190">
        <v>8.3790000000000004E-4</v>
      </c>
      <c r="F64" s="1190">
        <v>1.0476186999999996E-2</v>
      </c>
      <c r="G64" s="1190">
        <v>2.787839999999998E-3</v>
      </c>
      <c r="H64" s="1190"/>
      <c r="I64" s="1190"/>
      <c r="J64" s="1190">
        <v>-3.7911999999999999E-4</v>
      </c>
      <c r="K64" s="58"/>
      <c r="L64" s="1190"/>
      <c r="M64" s="1191">
        <f t="shared" si="1"/>
        <v>1.3722806999999995E-2</v>
      </c>
      <c r="N64" s="1190"/>
      <c r="O64" s="1191">
        <f t="shared" si="2"/>
        <v>1.3722806999999995E-2</v>
      </c>
      <c r="P64" s="887">
        <f t="shared" si="3"/>
        <v>6.3006460055096412</v>
      </c>
      <c r="Q64" s="58"/>
      <c r="R64" s="58"/>
      <c r="S64" s="19"/>
    </row>
    <row r="65" spans="2:19" ht="25.5" x14ac:dyDescent="0.35">
      <c r="B65" s="519" t="s">
        <v>1136</v>
      </c>
      <c r="C65" s="1189">
        <v>1</v>
      </c>
      <c r="D65" s="1190">
        <f>+'F1 Non-SEZ'!D30</f>
        <v>1.318683E-2</v>
      </c>
      <c r="E65" s="1190">
        <v>6.3250199999999998E-3</v>
      </c>
      <c r="F65" s="1190">
        <v>8.9670839999999984E-3</v>
      </c>
      <c r="G65" s="1190">
        <v>1.6879159999999998E-3</v>
      </c>
      <c r="H65" s="1190">
        <v>1.5706199999999999E-4</v>
      </c>
      <c r="I65" s="1190">
        <v>-3.4847200000000001E-4</v>
      </c>
      <c r="J65" s="1190"/>
      <c r="K65" s="58"/>
      <c r="L65" s="1190"/>
      <c r="M65" s="1191">
        <f t="shared" si="1"/>
        <v>1.6788609999999999E-2</v>
      </c>
      <c r="N65" s="1190"/>
      <c r="O65" s="1191">
        <f t="shared" si="2"/>
        <v>1.6788609999999999E-2</v>
      </c>
      <c r="P65" s="887">
        <f t="shared" si="3"/>
        <v>12.731346350866735</v>
      </c>
      <c r="Q65" s="58"/>
      <c r="R65" s="58"/>
      <c r="S65" s="19"/>
    </row>
    <row r="66" spans="2:19" x14ac:dyDescent="0.35">
      <c r="B66" s="519" t="s">
        <v>1142</v>
      </c>
      <c r="C66" s="1189"/>
      <c r="D66" s="1190">
        <f>+'F1 Non-SEZ'!D31</f>
        <v>0</v>
      </c>
      <c r="E66" s="1190"/>
      <c r="F66" s="1190"/>
      <c r="G66" s="1190"/>
      <c r="H66" s="1190"/>
      <c r="I66" s="1190"/>
      <c r="J66" s="1190"/>
      <c r="K66" s="58"/>
      <c r="L66" s="1190"/>
      <c r="M66" s="1191">
        <f t="shared" si="1"/>
        <v>0</v>
      </c>
      <c r="N66" s="1190"/>
      <c r="O66" s="1191">
        <f t="shared" si="2"/>
        <v>0</v>
      </c>
      <c r="P66" s="887">
        <f t="shared" si="3"/>
        <v>0</v>
      </c>
      <c r="Q66" s="58"/>
      <c r="R66" s="58"/>
      <c r="S66" s="19"/>
    </row>
    <row r="67" spans="2:19" x14ac:dyDescent="0.35">
      <c r="B67" s="518" t="s">
        <v>162</v>
      </c>
      <c r="C67" s="1192">
        <f>SUM(C54:C66)</f>
        <v>434</v>
      </c>
      <c r="D67" s="1191">
        <f>SUM(D54:D66)</f>
        <v>0.54061580999999992</v>
      </c>
      <c r="E67" s="1191">
        <f t="shared" ref="E67:J67" si="4">SUM(E54:E65)</f>
        <v>0.10576675300000003</v>
      </c>
      <c r="F67" s="1191">
        <f t="shared" si="4"/>
        <v>0.51318453570000011</v>
      </c>
      <c r="G67" s="1191">
        <f t="shared" si="4"/>
        <v>7.0155020440000007E-2</v>
      </c>
      <c r="H67" s="1191">
        <f t="shared" si="4"/>
        <v>1.5706199999999999E-4</v>
      </c>
      <c r="I67" s="1191">
        <f t="shared" si="4"/>
        <v>-3.4847200000000001E-4</v>
      </c>
      <c r="J67" s="1191">
        <f t="shared" si="4"/>
        <v>6.5269999999999868E-5</v>
      </c>
      <c r="K67" s="58"/>
      <c r="L67" s="1191">
        <f>SUM(L54:L65)</f>
        <v>0</v>
      </c>
      <c r="M67" s="1191">
        <f>SUM(M54:M65)</f>
        <v>0.68898016913999993</v>
      </c>
      <c r="N67" s="1191">
        <f>SUM(N54:N65)</f>
        <v>0</v>
      </c>
      <c r="O67" s="1191">
        <f>SUM(O54:O65)</f>
        <v>0.68898016913999993</v>
      </c>
      <c r="P67" s="887">
        <f t="shared" si="3"/>
        <v>12.74435849628593</v>
      </c>
      <c r="Q67" s="58"/>
      <c r="R67" s="58"/>
      <c r="S67" s="19"/>
    </row>
    <row r="68" spans="2:19" x14ac:dyDescent="0.35">
      <c r="B68" s="518"/>
      <c r="C68" s="58"/>
      <c r="D68" s="1190"/>
      <c r="E68" s="1190"/>
      <c r="F68" s="1190"/>
      <c r="G68" s="1190"/>
      <c r="H68" s="1190"/>
      <c r="I68" s="1190"/>
      <c r="J68" s="1190"/>
      <c r="K68" s="58"/>
      <c r="L68" s="1190"/>
      <c r="M68" s="1190"/>
      <c r="N68" s="1190"/>
      <c r="O68" s="1190"/>
      <c r="P68" s="887"/>
      <c r="Q68" s="58"/>
      <c r="R68" s="58"/>
      <c r="S68" s="19"/>
    </row>
    <row r="69" spans="2:19" x14ac:dyDescent="0.35">
      <c r="B69" s="119" t="s">
        <v>164</v>
      </c>
      <c r="C69" s="1192">
        <f t="shared" ref="C69:O69" si="5">+C67+C51</f>
        <v>438</v>
      </c>
      <c r="D69" s="1191">
        <f t="shared" si="5"/>
        <v>2.40892806</v>
      </c>
      <c r="E69" s="1191">
        <f t="shared" si="5"/>
        <v>0.56151843800000001</v>
      </c>
      <c r="F69" s="1191">
        <f t="shared" si="5"/>
        <v>2.7047152517000002</v>
      </c>
      <c r="G69" s="1191">
        <f t="shared" si="5"/>
        <v>0.21214675855999998</v>
      </c>
      <c r="H69" s="1191">
        <f t="shared" si="5"/>
        <v>-1.7796599000000003E-2</v>
      </c>
      <c r="I69" s="1191">
        <f t="shared" si="5"/>
        <v>-4.7477341000000006E-2</v>
      </c>
      <c r="J69" s="1191">
        <f t="shared" si="5"/>
        <v>1.0610946999999999E-2</v>
      </c>
      <c r="K69" s="1191">
        <f t="shared" si="5"/>
        <v>0</v>
      </c>
      <c r="L69" s="1191">
        <f t="shared" si="5"/>
        <v>0</v>
      </c>
      <c r="M69" s="1191">
        <f t="shared" si="5"/>
        <v>3.4237174552600003</v>
      </c>
      <c r="N69" s="1191">
        <f t="shared" si="5"/>
        <v>0</v>
      </c>
      <c r="O69" s="1191">
        <f t="shared" si="5"/>
        <v>3.4237174552600003</v>
      </c>
      <c r="P69" s="887">
        <f>+IFERROR(O69/D69*10,0)</f>
        <v>14.212618102260805</v>
      </c>
      <c r="Q69" s="58"/>
      <c r="R69" s="58"/>
      <c r="S69" s="19"/>
    </row>
    <row r="70" spans="2:19" x14ac:dyDescent="0.35">
      <c r="B70" s="58"/>
      <c r="C70" s="93"/>
      <c r="D70" s="93"/>
      <c r="E70" s="93"/>
      <c r="F70" s="93"/>
      <c r="G70" s="93"/>
      <c r="H70" s="93"/>
      <c r="I70" s="93"/>
      <c r="J70" s="93"/>
      <c r="K70" s="93"/>
      <c r="L70" s="93"/>
      <c r="M70" s="93"/>
      <c r="N70" s="93"/>
      <c r="O70" s="93"/>
      <c r="P70" s="93"/>
      <c r="Q70" s="93"/>
      <c r="R70" s="93"/>
      <c r="S70" s="93"/>
    </row>
    <row r="71" spans="2:19" x14ac:dyDescent="0.35">
      <c r="B71" s="206"/>
    </row>
    <row r="72" spans="2:19" x14ac:dyDescent="0.35">
      <c r="B72" s="155" t="s">
        <v>713</v>
      </c>
      <c r="C72" s="1199"/>
      <c r="D72" s="1199"/>
      <c r="E72" s="1199"/>
      <c r="F72" s="1199"/>
      <c r="G72" s="1199"/>
      <c r="H72" s="1199"/>
      <c r="I72" s="1199"/>
      <c r="J72" s="1199"/>
      <c r="K72" s="1199"/>
      <c r="L72" s="1199"/>
      <c r="M72" s="1199"/>
      <c r="N72" s="1199"/>
      <c r="O72" s="1199"/>
    </row>
    <row r="73" spans="2:19" x14ac:dyDescent="0.35">
      <c r="B73" s="156" t="s">
        <v>714</v>
      </c>
      <c r="C73" s="1200"/>
      <c r="D73" s="1200"/>
      <c r="E73" s="1200"/>
      <c r="F73" s="1200"/>
      <c r="G73" s="1200"/>
      <c r="H73" s="1200"/>
      <c r="I73" s="1200"/>
      <c r="J73" s="1200"/>
      <c r="K73" s="1200"/>
      <c r="L73" s="1200"/>
      <c r="M73" s="1200"/>
      <c r="N73" s="1200"/>
      <c r="O73" s="1200"/>
    </row>
    <row r="74" spans="2:19" x14ac:dyDescent="0.35">
      <c r="B74" s="10" t="s">
        <v>715</v>
      </c>
    </row>
    <row r="75" spans="2:19" x14ac:dyDescent="0.35">
      <c r="B75" s="10" t="s">
        <v>716</v>
      </c>
    </row>
    <row r="76" spans="2:19" x14ac:dyDescent="0.35">
      <c r="B76" s="10" t="s">
        <v>717</v>
      </c>
    </row>
    <row r="78" spans="2:19" x14ac:dyDescent="0.35">
      <c r="B78" s="40" t="s">
        <v>198</v>
      </c>
      <c r="C78" s="53"/>
      <c r="D78" s="53"/>
      <c r="E78" s="53"/>
      <c r="F78" s="53"/>
      <c r="G78" s="53"/>
      <c r="H78" s="53"/>
      <c r="I78" s="53"/>
      <c r="J78" s="53"/>
      <c r="K78" s="53"/>
      <c r="L78" s="53"/>
      <c r="M78" s="53"/>
      <c r="N78" s="53"/>
      <c r="O78" s="53"/>
    </row>
    <row r="79" spans="2:19" x14ac:dyDescent="0.35">
      <c r="B79" s="49"/>
    </row>
    <row r="80" spans="2:19" ht="40.5" x14ac:dyDescent="0.35">
      <c r="B80" s="1984" t="s">
        <v>699</v>
      </c>
      <c r="C80" s="106" t="s">
        <v>700</v>
      </c>
      <c r="D80" s="106" t="s">
        <v>701</v>
      </c>
      <c r="E80" s="106" t="s">
        <v>702</v>
      </c>
      <c r="F80" s="106" t="s">
        <v>703</v>
      </c>
      <c r="G80" s="106" t="s">
        <v>704</v>
      </c>
      <c r="H80" s="1188" t="s">
        <v>1449</v>
      </c>
      <c r="I80" s="1188" t="s">
        <v>1450</v>
      </c>
      <c r="J80" s="1188" t="s">
        <v>1451</v>
      </c>
      <c r="K80" s="106" t="s">
        <v>1448</v>
      </c>
      <c r="L80" s="106" t="s">
        <v>705</v>
      </c>
      <c r="M80" s="106" t="s">
        <v>706</v>
      </c>
      <c r="N80" s="106" t="s">
        <v>707</v>
      </c>
      <c r="O80" s="106" t="s">
        <v>708</v>
      </c>
      <c r="P80" s="106" t="s">
        <v>709</v>
      </c>
      <c r="Q80" s="106" t="s">
        <v>710</v>
      </c>
      <c r="R80" s="106" t="s">
        <v>711</v>
      </c>
      <c r="S80" s="106" t="s">
        <v>116</v>
      </c>
    </row>
    <row r="81" spans="2:19" ht="39.4" x14ac:dyDescent="0.35">
      <c r="B81" s="1984"/>
      <c r="C81" s="1188" t="s">
        <v>128</v>
      </c>
      <c r="D81" s="1188" t="s">
        <v>129</v>
      </c>
      <c r="E81" s="1188" t="s">
        <v>712</v>
      </c>
      <c r="F81" s="1188" t="s">
        <v>130</v>
      </c>
      <c r="G81" s="1188" t="s">
        <v>131</v>
      </c>
      <c r="H81" s="1188" t="s">
        <v>331</v>
      </c>
      <c r="I81" s="1188" t="s">
        <v>132</v>
      </c>
      <c r="J81" s="1188" t="s">
        <v>133</v>
      </c>
      <c r="K81" s="1188" t="s">
        <v>332</v>
      </c>
      <c r="L81" s="1188" t="s">
        <v>333</v>
      </c>
      <c r="M81" s="1188" t="s">
        <v>1452</v>
      </c>
      <c r="N81" s="1188" t="s">
        <v>529</v>
      </c>
      <c r="O81" s="1188" t="s">
        <v>1453</v>
      </c>
      <c r="P81" s="1188" t="s">
        <v>1454</v>
      </c>
      <c r="Q81" s="1188" t="s">
        <v>531</v>
      </c>
      <c r="R81" s="1188" t="s">
        <v>1455</v>
      </c>
      <c r="S81" s="1188" t="s">
        <v>533</v>
      </c>
    </row>
    <row r="82" spans="2:19" x14ac:dyDescent="0.35">
      <c r="B82" s="517" t="s">
        <v>161</v>
      </c>
      <c r="C82" s="93"/>
      <c r="D82" s="93"/>
      <c r="E82" s="93"/>
      <c r="F82" s="93"/>
      <c r="G82" s="93"/>
      <c r="H82" s="93"/>
      <c r="I82" s="93"/>
      <c r="J82" s="93"/>
      <c r="K82" s="93"/>
      <c r="L82" s="93"/>
      <c r="M82" s="93"/>
      <c r="N82" s="93"/>
      <c r="O82" s="93"/>
      <c r="P82" s="93"/>
      <c r="Q82" s="93"/>
      <c r="R82" s="93"/>
      <c r="S82" s="93"/>
    </row>
    <row r="83" spans="2:19" x14ac:dyDescent="0.35">
      <c r="B83" s="429" t="s">
        <v>1129</v>
      </c>
      <c r="C83" s="1189">
        <v>1</v>
      </c>
      <c r="D83" s="1190">
        <f>+'F1 Non-SEZ'!E12</f>
        <v>1.44E-2</v>
      </c>
      <c r="E83" s="1190">
        <v>4.7696550000000002E-3</v>
      </c>
      <c r="F83" s="1190">
        <v>8.1899999999999994E-3</v>
      </c>
      <c r="G83" s="1190">
        <v>8.8920000000000004E-4</v>
      </c>
      <c r="H83" s="1190">
        <v>-7.1999999999999994E-4</v>
      </c>
      <c r="I83" s="1190"/>
      <c r="J83" s="1190"/>
      <c r="K83" s="58"/>
      <c r="L83" s="1190"/>
      <c r="M83" s="1191">
        <f>SUM(E83:L83)</f>
        <v>1.3128855E-2</v>
      </c>
      <c r="N83" s="1190"/>
      <c r="O83" s="1191">
        <f>+M83+N83</f>
        <v>1.3128855E-2</v>
      </c>
      <c r="P83" s="887">
        <f>+IFERROR(O83/D83*10,0)</f>
        <v>9.1172604166666673</v>
      </c>
      <c r="Q83" s="58"/>
      <c r="R83" s="58"/>
      <c r="S83" s="19"/>
    </row>
    <row r="84" spans="2:19" x14ac:dyDescent="0.35">
      <c r="B84" s="429" t="s">
        <v>1130</v>
      </c>
      <c r="C84" s="1189">
        <v>3</v>
      </c>
      <c r="D84" s="1190">
        <f>+'F1 Non-SEZ'!E13</f>
        <v>1.4610856130000001</v>
      </c>
      <c r="E84" s="1190">
        <v>0.484687906</v>
      </c>
      <c r="F84" s="1190">
        <v>1.7152010609999999</v>
      </c>
      <c r="G84" s="1190">
        <v>8.5337812620000009E-2</v>
      </c>
      <c r="H84" s="1190">
        <v>-1.7198953000000006E-2</v>
      </c>
      <c r="I84" s="1190"/>
      <c r="J84" s="1190">
        <v>0</v>
      </c>
      <c r="K84" s="58"/>
      <c r="L84" s="1190"/>
      <c r="M84" s="1191">
        <f>SUM(E84:L84)</f>
        <v>2.26802782662</v>
      </c>
      <c r="N84" s="1190"/>
      <c r="O84" s="1191">
        <f>+M84+N84</f>
        <v>2.26802782662</v>
      </c>
      <c r="P84" s="887">
        <f>+IFERROR(O84/D84*10,0)</f>
        <v>15.522894801237083</v>
      </c>
      <c r="Q84" s="58"/>
      <c r="R84" s="58"/>
      <c r="S84" s="19"/>
    </row>
    <row r="85" spans="2:19" x14ac:dyDescent="0.35">
      <c r="B85" s="429" t="s">
        <v>1131</v>
      </c>
      <c r="C85" s="1189"/>
      <c r="D85" s="1190">
        <f>+'F1 Non-SEZ'!E14</f>
        <v>0</v>
      </c>
      <c r="E85" s="1190"/>
      <c r="F85" s="1190"/>
      <c r="G85" s="1190"/>
      <c r="H85" s="1190"/>
      <c r="I85" s="1190"/>
      <c r="J85" s="1190"/>
      <c r="K85" s="58"/>
      <c r="L85" s="1190"/>
      <c r="M85" s="1191">
        <f>SUM(E85:L85)</f>
        <v>0</v>
      </c>
      <c r="N85" s="1190"/>
      <c r="O85" s="1191">
        <f>+M85+N85</f>
        <v>0</v>
      </c>
      <c r="P85" s="887">
        <f>+IFERROR(O85/D85*10,0)</f>
        <v>0</v>
      </c>
      <c r="Q85" s="58"/>
      <c r="R85" s="58"/>
      <c r="S85" s="19"/>
    </row>
    <row r="86" spans="2:19" ht="25.5" x14ac:dyDescent="0.35">
      <c r="B86" s="429" t="s">
        <v>1132</v>
      </c>
      <c r="C86" s="1189"/>
      <c r="D86" s="1190">
        <f>+'F1 Non-SEZ'!E15</f>
        <v>0</v>
      </c>
      <c r="E86" s="1190"/>
      <c r="F86" s="1190"/>
      <c r="G86" s="1190"/>
      <c r="H86" s="1190"/>
      <c r="I86" s="1190"/>
      <c r="J86" s="1190"/>
      <c r="K86" s="58"/>
      <c r="L86" s="1190"/>
      <c r="M86" s="1191">
        <f>SUM(E86:L86)</f>
        <v>0</v>
      </c>
      <c r="N86" s="1190"/>
      <c r="O86" s="1191">
        <f>+M86+N86</f>
        <v>0</v>
      </c>
      <c r="P86" s="887">
        <f>+IFERROR(O86/D86*10,0)</f>
        <v>0</v>
      </c>
      <c r="Q86" s="58"/>
      <c r="R86" s="58"/>
      <c r="S86" s="19"/>
    </row>
    <row r="87" spans="2:19" x14ac:dyDescent="0.35">
      <c r="B87" s="518" t="s">
        <v>162</v>
      </c>
      <c r="C87" s="1192">
        <f>SUM(C83:C86)</f>
        <v>4</v>
      </c>
      <c r="D87" s="1191">
        <f t="shared" ref="D87:O87" si="6">SUM(D83:D86)</f>
        <v>1.475485613</v>
      </c>
      <c r="E87" s="1191">
        <f t="shared" si="6"/>
        <v>0.48945756099999999</v>
      </c>
      <c r="F87" s="1191">
        <f t="shared" si="6"/>
        <v>1.7233910609999998</v>
      </c>
      <c r="G87" s="1191">
        <f t="shared" si="6"/>
        <v>8.6227012620000015E-2</v>
      </c>
      <c r="H87" s="1191">
        <f t="shared" si="6"/>
        <v>-1.7918953000000005E-2</v>
      </c>
      <c r="I87" s="1191">
        <f t="shared" si="6"/>
        <v>0</v>
      </c>
      <c r="J87" s="1191">
        <f t="shared" si="6"/>
        <v>0</v>
      </c>
      <c r="K87" s="1191">
        <f t="shared" si="6"/>
        <v>0</v>
      </c>
      <c r="L87" s="1191">
        <f t="shared" si="6"/>
        <v>0</v>
      </c>
      <c r="M87" s="1191">
        <f t="shared" si="6"/>
        <v>2.2811566816200002</v>
      </c>
      <c r="N87" s="1191">
        <f t="shared" si="6"/>
        <v>0</v>
      </c>
      <c r="O87" s="1191">
        <f t="shared" si="6"/>
        <v>2.2811566816200002</v>
      </c>
      <c r="P87" s="887">
        <f>+IFERROR(O87/D87*10,0)</f>
        <v>15.460379020449317</v>
      </c>
      <c r="Q87" s="58"/>
      <c r="R87" s="58"/>
      <c r="S87" s="19"/>
    </row>
    <row r="88" spans="2:19" x14ac:dyDescent="0.35">
      <c r="B88" s="517" t="s">
        <v>163</v>
      </c>
      <c r="C88" s="1189"/>
      <c r="D88" s="1190"/>
      <c r="E88" s="1190"/>
      <c r="F88" s="1190"/>
      <c r="G88" s="1190"/>
      <c r="H88" s="1190"/>
      <c r="I88" s="1190"/>
      <c r="J88" s="1190"/>
      <c r="K88" s="58"/>
      <c r="L88" s="1190"/>
      <c r="M88" s="1190"/>
      <c r="N88" s="1190"/>
      <c r="O88" s="1190"/>
      <c r="P88" s="887"/>
      <c r="Q88" s="58"/>
      <c r="R88" s="58"/>
      <c r="S88" s="19"/>
    </row>
    <row r="89" spans="2:19" x14ac:dyDescent="0.35">
      <c r="B89" s="519" t="s">
        <v>1133</v>
      </c>
      <c r="C89" s="1189"/>
      <c r="D89" s="1190"/>
      <c r="E89" s="1190"/>
      <c r="F89" s="1190"/>
      <c r="G89" s="1190"/>
      <c r="H89" s="1190"/>
      <c r="I89" s="1190"/>
      <c r="J89" s="1190"/>
      <c r="K89" s="58"/>
      <c r="L89" s="1190"/>
      <c r="M89" s="1190"/>
      <c r="N89" s="1190"/>
      <c r="O89" s="1190"/>
      <c r="P89" s="887"/>
      <c r="Q89" s="58"/>
      <c r="R89" s="58"/>
      <c r="S89" s="19"/>
    </row>
    <row r="90" spans="2:19" x14ac:dyDescent="0.35">
      <c r="B90" s="520" t="s">
        <v>1106</v>
      </c>
      <c r="C90" s="1189">
        <v>583</v>
      </c>
      <c r="D90" s="1190">
        <f>+'F1 Non-SEZ'!E19</f>
        <v>0.17605925</v>
      </c>
      <c r="E90" s="1190">
        <v>0.180407767</v>
      </c>
      <c r="F90" s="1190">
        <v>5.3650498599999999E-2</v>
      </c>
      <c r="G90" s="1190">
        <v>2.552859125E-2</v>
      </c>
      <c r="H90" s="1190"/>
      <c r="I90" s="1190"/>
      <c r="J90" s="1190">
        <v>0</v>
      </c>
      <c r="K90" s="58"/>
      <c r="L90" s="1190"/>
      <c r="M90" s="1191">
        <f t="shared" ref="M90:M102" si="7">SUM(E90:L90)</f>
        <v>0.25958685684999999</v>
      </c>
      <c r="N90" s="1190"/>
      <c r="O90" s="1191">
        <f t="shared" ref="O90:O102" si="8">+M90+N90</f>
        <v>0.25958685684999999</v>
      </c>
      <c r="P90" s="887">
        <f t="shared" ref="P90:P103" si="9">+IFERROR(O90/D90*10,0)</f>
        <v>14.74428959853004</v>
      </c>
      <c r="Q90" s="58"/>
      <c r="R90" s="58"/>
      <c r="S90" s="19"/>
    </row>
    <row r="91" spans="2:19" x14ac:dyDescent="0.35">
      <c r="B91" s="520" t="s">
        <v>1107</v>
      </c>
      <c r="C91" s="1189">
        <v>109</v>
      </c>
      <c r="D91" s="1190">
        <f>+'F1 Non-SEZ'!E20</f>
        <v>0.13921244499999999</v>
      </c>
      <c r="E91" s="1190">
        <v>3.5004132999999993E-2</v>
      </c>
      <c r="F91" s="1190">
        <v>0.101153977975</v>
      </c>
      <c r="G91" s="1190">
        <v>2.0185804525000003E-2</v>
      </c>
      <c r="H91" s="1194"/>
      <c r="I91" s="1194"/>
      <c r="J91" s="1190">
        <v>0</v>
      </c>
      <c r="K91" s="58"/>
      <c r="L91" s="1190"/>
      <c r="M91" s="1191">
        <f t="shared" si="7"/>
        <v>0.15634391549999999</v>
      </c>
      <c r="N91" s="1194"/>
      <c r="O91" s="1195">
        <f t="shared" si="8"/>
        <v>0.15634391549999999</v>
      </c>
      <c r="P91" s="887">
        <f t="shared" si="9"/>
        <v>11.23059906748998</v>
      </c>
      <c r="Q91" s="58"/>
      <c r="R91" s="58"/>
      <c r="S91" s="19"/>
    </row>
    <row r="92" spans="2:19" x14ac:dyDescent="0.35">
      <c r="B92" s="520" t="s">
        <v>1108</v>
      </c>
      <c r="C92" s="1189">
        <v>24</v>
      </c>
      <c r="D92" s="1190">
        <f>+'F1 Non-SEZ'!E21</f>
        <v>4.2151488999999993E-2</v>
      </c>
      <c r="E92" s="1190">
        <v>5.2954000000000005E-3</v>
      </c>
      <c r="F92" s="1190">
        <v>4.5309662872000001E-2</v>
      </c>
      <c r="G92" s="1190">
        <v>6.1119659050000007E-3</v>
      </c>
      <c r="H92" s="1190"/>
      <c r="I92" s="1190"/>
      <c r="J92" s="1190">
        <v>0</v>
      </c>
      <c r="K92" s="58"/>
      <c r="L92" s="1190"/>
      <c r="M92" s="1191">
        <f t="shared" si="7"/>
        <v>5.6717028777000002E-2</v>
      </c>
      <c r="N92" s="1190"/>
      <c r="O92" s="1191">
        <f t="shared" si="8"/>
        <v>5.6717028777000002E-2</v>
      </c>
      <c r="P92" s="887">
        <f t="shared" si="9"/>
        <v>13.455522004691225</v>
      </c>
      <c r="Q92" s="58"/>
      <c r="R92" s="58"/>
      <c r="S92" s="19"/>
    </row>
    <row r="93" spans="2:19" x14ac:dyDescent="0.35">
      <c r="B93" s="520" t="s">
        <v>1109</v>
      </c>
      <c r="C93" s="1189">
        <v>28</v>
      </c>
      <c r="D93" s="1190">
        <f>+'F1 Non-SEZ'!E22</f>
        <v>0.49055880999999996</v>
      </c>
      <c r="E93" s="1190">
        <v>2.8284000000000004E-2</v>
      </c>
      <c r="F93" s="1190">
        <v>0.58172340269999989</v>
      </c>
      <c r="G93" s="1190">
        <v>7.1131027449999995E-2</v>
      </c>
      <c r="H93" s="1190"/>
      <c r="I93" s="1190"/>
      <c r="J93" s="1190">
        <v>0</v>
      </c>
      <c r="K93" s="58"/>
      <c r="L93" s="1190"/>
      <c r="M93" s="1191">
        <f t="shared" si="7"/>
        <v>0.68113843014999986</v>
      </c>
      <c r="N93" s="1190"/>
      <c r="O93" s="1191">
        <f t="shared" si="8"/>
        <v>0.68113843014999986</v>
      </c>
      <c r="P93" s="887">
        <f t="shared" si="9"/>
        <v>13.884949495657818</v>
      </c>
      <c r="Q93" s="58"/>
      <c r="R93" s="58"/>
      <c r="S93" s="19"/>
    </row>
    <row r="94" spans="2:19" x14ac:dyDescent="0.35">
      <c r="B94" s="520" t="s">
        <v>1110</v>
      </c>
      <c r="C94" s="1189">
        <v>0</v>
      </c>
      <c r="D94" s="1190">
        <f>+'F1 Non-SEZ'!E23</f>
        <v>0</v>
      </c>
      <c r="E94" s="1190">
        <v>0</v>
      </c>
      <c r="F94" s="1190">
        <v>0</v>
      </c>
      <c r="G94" s="1190">
        <v>0</v>
      </c>
      <c r="H94" s="1190"/>
      <c r="I94" s="1190"/>
      <c r="J94" s="1190">
        <v>0</v>
      </c>
      <c r="K94" s="58"/>
      <c r="L94" s="1190"/>
      <c r="M94" s="1191">
        <f t="shared" si="7"/>
        <v>0</v>
      </c>
      <c r="N94" s="1190"/>
      <c r="O94" s="1191">
        <f t="shared" si="8"/>
        <v>0</v>
      </c>
      <c r="P94" s="887">
        <f t="shared" si="9"/>
        <v>0</v>
      </c>
      <c r="Q94" s="58"/>
      <c r="R94" s="58"/>
      <c r="S94" s="19"/>
    </row>
    <row r="95" spans="2:19" x14ac:dyDescent="0.35">
      <c r="B95" s="519" t="s">
        <v>1139</v>
      </c>
      <c r="C95" s="1189"/>
      <c r="D95" s="1190">
        <f>+'F1 Non-SEZ'!E24</f>
        <v>0</v>
      </c>
      <c r="E95" s="58"/>
      <c r="F95" s="1190"/>
      <c r="G95" s="58"/>
      <c r="H95" s="58"/>
      <c r="I95" s="58"/>
      <c r="J95" s="58"/>
      <c r="K95" s="58"/>
      <c r="L95" s="1190"/>
      <c r="M95" s="1191">
        <f t="shared" si="7"/>
        <v>0</v>
      </c>
      <c r="N95" s="1190"/>
      <c r="O95" s="1191">
        <f t="shared" si="8"/>
        <v>0</v>
      </c>
      <c r="P95" s="887">
        <f t="shared" si="9"/>
        <v>0</v>
      </c>
      <c r="Q95" s="58"/>
      <c r="R95" s="58"/>
      <c r="S95" s="19"/>
    </row>
    <row r="96" spans="2:19" x14ac:dyDescent="0.35">
      <c r="B96" s="520" t="s">
        <v>1140</v>
      </c>
      <c r="C96" s="1189">
        <v>26</v>
      </c>
      <c r="D96" s="1190">
        <f>+'F1 Non-SEZ'!E25</f>
        <v>8.5880000000000001E-3</v>
      </c>
      <c r="E96" s="1190">
        <v>8.0829279999999996E-3</v>
      </c>
      <c r="F96" s="1190">
        <v>6.3207640000000013E-3</v>
      </c>
      <c r="G96" s="1190">
        <v>2.4359999999999997E-5</v>
      </c>
      <c r="H96" s="1190"/>
      <c r="I96" s="1190"/>
      <c r="J96" s="1190">
        <v>0</v>
      </c>
      <c r="K96" s="58"/>
      <c r="L96" s="1190"/>
      <c r="M96" s="1191">
        <f t="shared" si="7"/>
        <v>1.4428052E-2</v>
      </c>
      <c r="N96" s="1190"/>
      <c r="O96" s="1191">
        <f t="shared" si="8"/>
        <v>1.4428052E-2</v>
      </c>
      <c r="P96" s="887">
        <f t="shared" si="9"/>
        <v>16.80024685607825</v>
      </c>
      <c r="Q96" s="58"/>
      <c r="R96" s="58"/>
      <c r="S96" s="19"/>
    </row>
    <row r="97" spans="2:19" x14ac:dyDescent="0.35">
      <c r="B97" s="520" t="s">
        <v>1144</v>
      </c>
      <c r="C97" s="1196">
        <v>1</v>
      </c>
      <c r="D97" s="1190">
        <f>+'F1 Non-SEZ'!E26</f>
        <v>0</v>
      </c>
      <c r="E97" s="1190">
        <v>0</v>
      </c>
      <c r="F97" s="1190">
        <v>0</v>
      </c>
      <c r="G97" s="1190">
        <v>1.1845049999999998E-3</v>
      </c>
      <c r="H97" s="1197">
        <v>0</v>
      </c>
      <c r="I97" s="1197"/>
      <c r="J97" s="1190"/>
      <c r="K97" s="58"/>
      <c r="L97" s="1190"/>
      <c r="M97" s="1191">
        <f t="shared" si="7"/>
        <v>1.1845049999999998E-3</v>
      </c>
      <c r="N97" s="1197"/>
      <c r="O97" s="1198">
        <f t="shared" si="8"/>
        <v>1.1845049999999998E-3</v>
      </c>
      <c r="P97" s="887">
        <f t="shared" si="9"/>
        <v>0</v>
      </c>
      <c r="Q97" s="58"/>
      <c r="R97" s="58"/>
      <c r="S97" s="19"/>
    </row>
    <row r="98" spans="2:19" x14ac:dyDescent="0.35">
      <c r="B98" s="520" t="s">
        <v>1143</v>
      </c>
      <c r="C98" s="1189"/>
      <c r="D98" s="1190">
        <f>+'F1 Non-SEZ'!E27</f>
        <v>0</v>
      </c>
      <c r="E98" s="1190"/>
      <c r="F98" s="1190"/>
      <c r="G98" s="1190"/>
      <c r="H98" s="1190"/>
      <c r="I98" s="1190"/>
      <c r="J98" s="1190"/>
      <c r="K98" s="58"/>
      <c r="L98" s="1190"/>
      <c r="M98" s="1191">
        <f t="shared" si="7"/>
        <v>0</v>
      </c>
      <c r="N98" s="1190"/>
      <c r="O98" s="1191">
        <f t="shared" si="8"/>
        <v>0</v>
      </c>
      <c r="P98" s="887">
        <f t="shared" si="9"/>
        <v>0</v>
      </c>
      <c r="Q98" s="58"/>
      <c r="R98" s="58"/>
      <c r="S98" s="19"/>
    </row>
    <row r="99" spans="2:19" ht="25.5" x14ac:dyDescent="0.35">
      <c r="B99" s="519" t="s">
        <v>1111</v>
      </c>
      <c r="C99" s="1189">
        <v>1</v>
      </c>
      <c r="D99" s="1190">
        <f>+'F1 Non-SEZ'!E28</f>
        <v>7.2580000000000006E-2</v>
      </c>
      <c r="E99" s="1190">
        <v>2.5027600000000001E-3</v>
      </c>
      <c r="F99" s="1190">
        <v>3.7088380000000004E-2</v>
      </c>
      <c r="G99" s="1190">
        <v>1.0524100000000002E-2</v>
      </c>
      <c r="H99" s="1190">
        <v>-9.8917600000000003E-4</v>
      </c>
      <c r="I99" s="1190">
        <v>2.37879E-3</v>
      </c>
      <c r="J99" s="1190"/>
      <c r="K99" s="58"/>
      <c r="L99" s="1190"/>
      <c r="M99" s="1191">
        <f t="shared" si="7"/>
        <v>5.1504854000000003E-2</v>
      </c>
      <c r="N99" s="1190"/>
      <c r="O99" s="1191">
        <f t="shared" si="8"/>
        <v>5.1504854000000003E-2</v>
      </c>
      <c r="P99" s="887">
        <f t="shared" si="9"/>
        <v>7.0962874069991733</v>
      </c>
      <c r="Q99" s="58"/>
      <c r="R99" s="58"/>
      <c r="S99" s="19"/>
    </row>
    <row r="100" spans="2:19" ht="25.5" x14ac:dyDescent="0.35">
      <c r="B100" s="519" t="s">
        <v>1135</v>
      </c>
      <c r="C100" s="1189">
        <v>1</v>
      </c>
      <c r="D100" s="1190">
        <f>+'F1 Non-SEZ'!E29</f>
        <v>1.0022000000000003E-2</v>
      </c>
      <c r="E100" s="1190">
        <v>5.4480000000000012E-4</v>
      </c>
      <c r="F100" s="1190">
        <v>7.2330429999999998E-3</v>
      </c>
      <c r="G100" s="1190">
        <v>1.3208050000000004E-3</v>
      </c>
      <c r="H100" s="1190"/>
      <c r="I100" s="1190"/>
      <c r="J100" s="1190"/>
      <c r="K100" s="58"/>
      <c r="L100" s="1190"/>
      <c r="M100" s="1191">
        <f t="shared" si="7"/>
        <v>9.0986480000000008E-3</v>
      </c>
      <c r="N100" s="1190"/>
      <c r="O100" s="1191">
        <f t="shared" si="8"/>
        <v>9.0986480000000008E-3</v>
      </c>
      <c r="P100" s="887">
        <f t="shared" si="9"/>
        <v>9.0786749151865873</v>
      </c>
      <c r="Q100" s="58"/>
      <c r="R100" s="58"/>
      <c r="S100" s="19"/>
    </row>
    <row r="101" spans="2:19" ht="25.5" x14ac:dyDescent="0.35">
      <c r="B101" s="519" t="s">
        <v>1136</v>
      </c>
      <c r="C101" s="1189">
        <v>1</v>
      </c>
      <c r="D101" s="1190">
        <f>+'F1 Non-SEZ'!E30</f>
        <v>6.4155000000000011E-3</v>
      </c>
      <c r="E101" s="1190">
        <v>6.4439620000000001E-3</v>
      </c>
      <c r="F101" s="1190">
        <v>4.7731309999999999E-3</v>
      </c>
      <c r="G101" s="1190">
        <v>9.3024949999999992E-4</v>
      </c>
      <c r="H101" s="1190">
        <v>1.4804599999999998E-4</v>
      </c>
      <c r="I101" s="1190">
        <v>-4.3033700000000009E-4</v>
      </c>
      <c r="J101" s="1190">
        <v>0</v>
      </c>
      <c r="K101" s="58"/>
      <c r="L101" s="1190"/>
      <c r="M101" s="1191">
        <f t="shared" si="7"/>
        <v>1.1865051500000003E-2</v>
      </c>
      <c r="N101" s="1190"/>
      <c r="O101" s="1191">
        <f t="shared" si="8"/>
        <v>1.1865051500000003E-2</v>
      </c>
      <c r="P101" s="887">
        <f t="shared" si="9"/>
        <v>18.494351960096644</v>
      </c>
      <c r="Q101" s="58"/>
      <c r="R101" s="58"/>
      <c r="S101" s="19"/>
    </row>
    <row r="102" spans="2:19" x14ac:dyDescent="0.35">
      <c r="B102" s="519" t="s">
        <v>1142</v>
      </c>
      <c r="C102" s="1189"/>
      <c r="D102" s="1190">
        <f>+'F1 Non-SEZ'!E31</f>
        <v>0</v>
      </c>
      <c r="E102" s="1190"/>
      <c r="F102" s="1190"/>
      <c r="G102" s="1190"/>
      <c r="H102" s="1190"/>
      <c r="I102" s="1190"/>
      <c r="J102" s="1190"/>
      <c r="K102" s="58"/>
      <c r="L102" s="1190"/>
      <c r="M102" s="1191">
        <f t="shared" si="7"/>
        <v>0</v>
      </c>
      <c r="N102" s="1190"/>
      <c r="O102" s="1191">
        <f t="shared" si="8"/>
        <v>0</v>
      </c>
      <c r="P102" s="887">
        <f t="shared" si="9"/>
        <v>0</v>
      </c>
      <c r="Q102" s="58"/>
      <c r="R102" s="58"/>
      <c r="S102" s="19"/>
    </row>
    <row r="103" spans="2:19" x14ac:dyDescent="0.35">
      <c r="B103" s="518" t="s">
        <v>162</v>
      </c>
      <c r="C103" s="1192">
        <f>SUM(C90:C102)</f>
        <v>774</v>
      </c>
      <c r="D103" s="1191">
        <f>SUM(D90:D102)</f>
        <v>0.94558749399999997</v>
      </c>
      <c r="E103" s="1191">
        <f t="shared" ref="E103:O103" si="10">SUM(E90:E102)</f>
        <v>0.26656575000000005</v>
      </c>
      <c r="F103" s="1191">
        <f t="shared" si="10"/>
        <v>0.83725286014699996</v>
      </c>
      <c r="G103" s="1191">
        <f t="shared" si="10"/>
        <v>0.13694140863000001</v>
      </c>
      <c r="H103" s="1191">
        <f t="shared" si="10"/>
        <v>-8.4113000000000005E-4</v>
      </c>
      <c r="I103" s="1191">
        <f t="shared" si="10"/>
        <v>1.9484529999999999E-3</v>
      </c>
      <c r="J103" s="1191">
        <f t="shared" si="10"/>
        <v>0</v>
      </c>
      <c r="K103" s="1191">
        <f t="shared" si="10"/>
        <v>0</v>
      </c>
      <c r="L103" s="1191">
        <f t="shared" si="10"/>
        <v>0</v>
      </c>
      <c r="M103" s="1191">
        <f t="shared" si="10"/>
        <v>1.2418673417769999</v>
      </c>
      <c r="N103" s="1191">
        <f t="shared" si="10"/>
        <v>0</v>
      </c>
      <c r="O103" s="1191">
        <f t="shared" si="10"/>
        <v>1.2418673417769999</v>
      </c>
      <c r="P103" s="887">
        <f t="shared" si="9"/>
        <v>13.133288560360336</v>
      </c>
      <c r="Q103" s="58"/>
      <c r="R103" s="58"/>
      <c r="S103" s="19"/>
    </row>
    <row r="104" spans="2:19" x14ac:dyDescent="0.35">
      <c r="B104" s="518"/>
      <c r="C104" s="58"/>
      <c r="D104" s="1190"/>
      <c r="E104" s="1190"/>
      <c r="F104" s="1190"/>
      <c r="G104" s="1190"/>
      <c r="H104" s="1190"/>
      <c r="I104" s="1190"/>
      <c r="J104" s="1190"/>
      <c r="K104" s="58"/>
      <c r="L104" s="1190"/>
      <c r="M104" s="1190"/>
      <c r="N104" s="1190"/>
      <c r="O104" s="1190"/>
      <c r="P104" s="887"/>
      <c r="Q104" s="58"/>
      <c r="R104" s="58"/>
      <c r="S104" s="19"/>
    </row>
    <row r="105" spans="2:19" x14ac:dyDescent="0.35">
      <c r="B105" s="119" t="s">
        <v>164</v>
      </c>
      <c r="C105" s="1192">
        <f t="shared" ref="C105:O105" si="11">+C103+C87</f>
        <v>778</v>
      </c>
      <c r="D105" s="1191">
        <f t="shared" si="11"/>
        <v>2.4210731069999998</v>
      </c>
      <c r="E105" s="1191">
        <f t="shared" si="11"/>
        <v>0.75602331100000009</v>
      </c>
      <c r="F105" s="1191">
        <f t="shared" si="11"/>
        <v>2.5606439211469998</v>
      </c>
      <c r="G105" s="1191">
        <f t="shared" si="11"/>
        <v>0.22316842125000003</v>
      </c>
      <c r="H105" s="1191">
        <f t="shared" si="11"/>
        <v>-1.8760083000000004E-2</v>
      </c>
      <c r="I105" s="1191">
        <f t="shared" si="11"/>
        <v>1.9484529999999999E-3</v>
      </c>
      <c r="J105" s="1191">
        <f t="shared" si="11"/>
        <v>0</v>
      </c>
      <c r="K105" s="1191">
        <f t="shared" si="11"/>
        <v>0</v>
      </c>
      <c r="L105" s="1191">
        <f t="shared" si="11"/>
        <v>0</v>
      </c>
      <c r="M105" s="1191">
        <f t="shared" si="11"/>
        <v>3.5230240233970003</v>
      </c>
      <c r="N105" s="1191">
        <f t="shared" si="11"/>
        <v>0</v>
      </c>
      <c r="O105" s="1191">
        <f t="shared" si="11"/>
        <v>3.5230240233970003</v>
      </c>
      <c r="P105" s="887">
        <f>+IFERROR(O105/D105*10,0)</f>
        <v>14.551497900707551</v>
      </c>
      <c r="Q105" s="58"/>
      <c r="R105" s="58"/>
      <c r="S105" s="19"/>
    </row>
    <row r="106" spans="2:19" x14ac:dyDescent="0.35">
      <c r="B106" s="58"/>
      <c r="C106" s="93"/>
      <c r="D106" s="93"/>
      <c r="E106" s="93"/>
      <c r="F106" s="93"/>
      <c r="G106" s="93"/>
      <c r="H106" s="93"/>
      <c r="I106" s="93"/>
      <c r="J106" s="93"/>
      <c r="K106" s="93"/>
      <c r="L106" s="93"/>
      <c r="M106" s="93"/>
      <c r="N106" s="93"/>
      <c r="O106" s="93"/>
      <c r="P106" s="93"/>
      <c r="Q106" s="93"/>
      <c r="R106" s="93"/>
      <c r="S106" s="93"/>
    </row>
    <row r="108" spans="2:19" x14ac:dyDescent="0.35">
      <c r="B108" s="40" t="s">
        <v>199</v>
      </c>
      <c r="C108" s="53"/>
      <c r="D108" s="53"/>
      <c r="E108" s="53"/>
      <c r="F108" s="53"/>
      <c r="G108" s="53"/>
      <c r="H108" s="53"/>
      <c r="I108" s="53"/>
      <c r="J108" s="53"/>
      <c r="K108" s="53"/>
      <c r="L108" s="53"/>
      <c r="M108" s="53"/>
      <c r="N108" s="53"/>
      <c r="O108" s="53"/>
    </row>
    <row r="109" spans="2:19" x14ac:dyDescent="0.35">
      <c r="B109" s="49"/>
    </row>
    <row r="110" spans="2:19" ht="40.5" x14ac:dyDescent="0.35">
      <c r="B110" s="1984" t="s">
        <v>699</v>
      </c>
      <c r="C110" s="106" t="s">
        <v>700</v>
      </c>
      <c r="D110" s="106" t="s">
        <v>701</v>
      </c>
      <c r="E110" s="106" t="s">
        <v>702</v>
      </c>
      <c r="F110" s="106" t="s">
        <v>703</v>
      </c>
      <c r="G110" s="106" t="s">
        <v>704</v>
      </c>
      <c r="H110" s="1188" t="s">
        <v>1449</v>
      </c>
      <c r="I110" s="1188" t="s">
        <v>1450</v>
      </c>
      <c r="J110" s="1188" t="s">
        <v>1451</v>
      </c>
      <c r="K110" s="106" t="s">
        <v>1448</v>
      </c>
      <c r="L110" s="106" t="s">
        <v>705</v>
      </c>
      <c r="M110" s="106" t="s">
        <v>706</v>
      </c>
      <c r="N110" s="106" t="s">
        <v>707</v>
      </c>
      <c r="O110" s="106" t="s">
        <v>708</v>
      </c>
      <c r="P110" s="106" t="s">
        <v>709</v>
      </c>
      <c r="Q110" s="106" t="s">
        <v>710</v>
      </c>
      <c r="R110" s="106" t="s">
        <v>711</v>
      </c>
      <c r="S110" s="106" t="s">
        <v>116</v>
      </c>
    </row>
    <row r="111" spans="2:19" ht="39.4" x14ac:dyDescent="0.35">
      <c r="B111" s="1984"/>
      <c r="C111" s="1188" t="s">
        <v>128</v>
      </c>
      <c r="D111" s="1188" t="s">
        <v>129</v>
      </c>
      <c r="E111" s="1188" t="s">
        <v>712</v>
      </c>
      <c r="F111" s="1188" t="s">
        <v>130</v>
      </c>
      <c r="G111" s="1188" t="s">
        <v>131</v>
      </c>
      <c r="H111" s="1188" t="s">
        <v>331</v>
      </c>
      <c r="I111" s="1188" t="s">
        <v>132</v>
      </c>
      <c r="J111" s="1188" t="s">
        <v>133</v>
      </c>
      <c r="K111" s="1188" t="s">
        <v>332</v>
      </c>
      <c r="L111" s="1188" t="s">
        <v>333</v>
      </c>
      <c r="M111" s="1188" t="s">
        <v>1452</v>
      </c>
      <c r="N111" s="1188" t="s">
        <v>529</v>
      </c>
      <c r="O111" s="1188" t="s">
        <v>1453</v>
      </c>
      <c r="P111" s="1188" t="s">
        <v>1454</v>
      </c>
      <c r="Q111" s="1188" t="s">
        <v>531</v>
      </c>
      <c r="R111" s="1188" t="s">
        <v>1455</v>
      </c>
      <c r="S111" s="1188" t="s">
        <v>533</v>
      </c>
    </row>
    <row r="112" spans="2:19" x14ac:dyDescent="0.35">
      <c r="B112" s="517" t="s">
        <v>161</v>
      </c>
      <c r="C112" s="93"/>
      <c r="D112" s="93"/>
      <c r="E112" s="93"/>
      <c r="F112" s="93"/>
      <c r="G112" s="93"/>
      <c r="H112" s="93"/>
      <c r="I112" s="93"/>
      <c r="J112" s="93"/>
      <c r="K112" s="93"/>
      <c r="L112" s="93"/>
      <c r="M112" s="93"/>
      <c r="N112" s="93"/>
      <c r="O112" s="93"/>
      <c r="P112" s="93"/>
      <c r="Q112" s="93"/>
      <c r="R112" s="93"/>
      <c r="S112" s="93"/>
    </row>
    <row r="113" spans="2:19" x14ac:dyDescent="0.35">
      <c r="B113" s="429" t="s">
        <v>1129</v>
      </c>
      <c r="C113" s="1189">
        <v>1</v>
      </c>
      <c r="D113" s="1190">
        <f>+'F1 Non-SEZ'!F12</f>
        <v>0.2327999999999999</v>
      </c>
      <c r="E113" s="1190">
        <v>5.7916079999999967E-2</v>
      </c>
      <c r="F113" s="1190">
        <v>0.14826240000000004</v>
      </c>
      <c r="G113" s="1190">
        <v>1.39776E-2</v>
      </c>
      <c r="H113" s="1190">
        <v>-6.8639999999999968E-3</v>
      </c>
      <c r="I113" s="1190"/>
      <c r="J113" s="1190">
        <v>7.2575999999999995E-3</v>
      </c>
      <c r="K113" s="58"/>
      <c r="L113" s="1190"/>
      <c r="M113" s="1191">
        <f>SUM(E113:L113)</f>
        <v>0.22054968</v>
      </c>
      <c r="N113" s="1190"/>
      <c r="O113" s="1191">
        <f>+M113+N113</f>
        <v>0.22054968</v>
      </c>
      <c r="P113" s="887">
        <f>+IFERROR(O113/D113*10,0)</f>
        <v>9.4737835051546444</v>
      </c>
      <c r="Q113" s="58"/>
      <c r="R113" s="58"/>
      <c r="S113" s="19"/>
    </row>
    <row r="114" spans="2:19" x14ac:dyDescent="0.35">
      <c r="B114" s="429" t="s">
        <v>1130</v>
      </c>
      <c r="C114" s="1189">
        <v>2</v>
      </c>
      <c r="D114" s="1190">
        <f>+'F1 Non-SEZ'!F13</f>
        <v>1.3284717518999998</v>
      </c>
      <c r="E114" s="1190">
        <v>0.32338051600000006</v>
      </c>
      <c r="F114" s="1190">
        <v>1.5107869059999999</v>
      </c>
      <c r="G114" s="1190">
        <v>7.553935249999999E-2</v>
      </c>
      <c r="H114" s="1190">
        <v>-1.5833635999999998E-2</v>
      </c>
      <c r="I114" s="1190"/>
      <c r="J114" s="1190">
        <v>1.7700000000000001E-7</v>
      </c>
      <c r="K114" s="58"/>
      <c r="L114" s="1190"/>
      <c r="M114" s="1191">
        <f>SUM(E114:L114)</f>
        <v>1.8938733155</v>
      </c>
      <c r="N114" s="1190"/>
      <c r="O114" s="1191">
        <f>+M114+N114</f>
        <v>1.8938733155</v>
      </c>
      <c r="P114" s="887">
        <f>+IFERROR(O114/D114*10,0)</f>
        <v>14.256030004336598</v>
      </c>
      <c r="Q114" s="58"/>
      <c r="R114" s="58"/>
      <c r="S114" s="19"/>
    </row>
    <row r="115" spans="2:19" x14ac:dyDescent="0.35">
      <c r="B115" s="429" t="s">
        <v>1131</v>
      </c>
      <c r="C115" s="1189"/>
      <c r="D115" s="1190">
        <f>+'F1 Non-SEZ'!F14</f>
        <v>0</v>
      </c>
      <c r="E115" s="1190"/>
      <c r="F115" s="1190"/>
      <c r="G115" s="1190"/>
      <c r="H115" s="1190"/>
      <c r="I115" s="1190"/>
      <c r="J115" s="1190"/>
      <c r="K115" s="58"/>
      <c r="L115" s="1190"/>
      <c r="M115" s="1191">
        <f>SUM(E115:L115)</f>
        <v>0</v>
      </c>
      <c r="N115" s="1190"/>
      <c r="O115" s="1191">
        <f>+M115+N115</f>
        <v>0</v>
      </c>
      <c r="P115" s="887">
        <f>+IFERROR(O115/D115*10,0)</f>
        <v>0</v>
      </c>
      <c r="Q115" s="58"/>
      <c r="R115" s="58"/>
      <c r="S115" s="19"/>
    </row>
    <row r="116" spans="2:19" ht="25.5" x14ac:dyDescent="0.35">
      <c r="B116" s="429" t="s">
        <v>1132</v>
      </c>
      <c r="C116" s="1189"/>
      <c r="D116" s="1190">
        <f>+'F1 Non-SEZ'!F15</f>
        <v>0</v>
      </c>
      <c r="E116" s="1190"/>
      <c r="F116" s="1190"/>
      <c r="G116" s="1190"/>
      <c r="H116" s="1190"/>
      <c r="I116" s="1190"/>
      <c r="J116" s="1190"/>
      <c r="K116" s="58"/>
      <c r="L116" s="1190"/>
      <c r="M116" s="1191">
        <f>SUM(E116:L116)</f>
        <v>0</v>
      </c>
      <c r="N116" s="1190"/>
      <c r="O116" s="1191">
        <f>+M116+N116</f>
        <v>0</v>
      </c>
      <c r="P116" s="887">
        <f>+IFERROR(O116/D116*10,0)</f>
        <v>0</v>
      </c>
      <c r="Q116" s="58"/>
      <c r="R116" s="58"/>
      <c r="S116" s="19"/>
    </row>
    <row r="117" spans="2:19" x14ac:dyDescent="0.35">
      <c r="B117" s="518" t="s">
        <v>162</v>
      </c>
      <c r="C117" s="1192">
        <f>SUM(C113:C116)</f>
        <v>3</v>
      </c>
      <c r="D117" s="1191">
        <f t="shared" ref="D117:O117" si="12">SUM(D113:D116)</f>
        <v>1.5612717518999997</v>
      </c>
      <c r="E117" s="1191">
        <f t="shared" si="12"/>
        <v>0.38129659600000004</v>
      </c>
      <c r="F117" s="1191">
        <f t="shared" si="12"/>
        <v>1.659049306</v>
      </c>
      <c r="G117" s="1191">
        <f t="shared" si="12"/>
        <v>8.9516952499999997E-2</v>
      </c>
      <c r="H117" s="1191">
        <f t="shared" si="12"/>
        <v>-2.2697635999999993E-2</v>
      </c>
      <c r="I117" s="1191">
        <f t="shared" si="12"/>
        <v>0</v>
      </c>
      <c r="J117" s="1191">
        <f t="shared" si="12"/>
        <v>7.2577769999999991E-3</v>
      </c>
      <c r="K117" s="1191">
        <f t="shared" si="12"/>
        <v>0</v>
      </c>
      <c r="L117" s="1191">
        <f t="shared" si="12"/>
        <v>0</v>
      </c>
      <c r="M117" s="1191">
        <f t="shared" si="12"/>
        <v>2.1144229955</v>
      </c>
      <c r="N117" s="1191">
        <f t="shared" si="12"/>
        <v>0</v>
      </c>
      <c r="O117" s="1191">
        <f t="shared" si="12"/>
        <v>2.1144229955</v>
      </c>
      <c r="P117" s="887">
        <f>+IFERROR(O117/D117*10,0)</f>
        <v>13.542952999225404</v>
      </c>
      <c r="Q117" s="58"/>
      <c r="R117" s="58"/>
      <c r="S117" s="19"/>
    </row>
    <row r="118" spans="2:19" x14ac:dyDescent="0.35">
      <c r="B118" s="517" t="s">
        <v>163</v>
      </c>
      <c r="C118" s="1189"/>
      <c r="D118" s="1190"/>
      <c r="E118" s="1190"/>
      <c r="F118" s="1190"/>
      <c r="G118" s="1190"/>
      <c r="H118" s="1190"/>
      <c r="I118" s="1190"/>
      <c r="J118" s="1190"/>
      <c r="K118" s="58"/>
      <c r="L118" s="1190"/>
      <c r="M118" s="1190"/>
      <c r="N118" s="1190"/>
      <c r="O118" s="1190"/>
      <c r="P118" s="887"/>
      <c r="Q118" s="58"/>
      <c r="R118" s="58"/>
      <c r="S118" s="19"/>
    </row>
    <row r="119" spans="2:19" x14ac:dyDescent="0.35">
      <c r="B119" s="519" t="s">
        <v>1133</v>
      </c>
      <c r="C119" s="1189"/>
      <c r="D119" s="1190"/>
      <c r="E119" s="1190"/>
      <c r="F119" s="1190"/>
      <c r="G119" s="1190"/>
      <c r="H119" s="1190"/>
      <c r="I119" s="1190"/>
      <c r="J119" s="1190"/>
      <c r="K119" s="58"/>
      <c r="L119" s="1190"/>
      <c r="M119" s="1190"/>
      <c r="N119" s="1190"/>
      <c r="O119" s="1190"/>
      <c r="P119" s="887"/>
      <c r="Q119" s="58"/>
      <c r="R119" s="58"/>
      <c r="S119" s="19"/>
    </row>
    <row r="120" spans="2:19" x14ac:dyDescent="0.35">
      <c r="B120" s="520" t="s">
        <v>1106</v>
      </c>
      <c r="C120" s="1189">
        <v>1055</v>
      </c>
      <c r="D120" s="1190">
        <f>+'F1 Non-SEZ'!F19</f>
        <v>0.34350700000000006</v>
      </c>
      <c r="E120" s="1190">
        <v>0.342257123</v>
      </c>
      <c r="F120" s="1190">
        <v>0.11816640799999999</v>
      </c>
      <c r="G120" s="1190">
        <v>4.7403966000000006E-2</v>
      </c>
      <c r="H120" s="1190"/>
      <c r="I120" s="1190"/>
      <c r="J120" s="1190">
        <v>2.6092109999999997E-3</v>
      </c>
      <c r="K120" s="58"/>
      <c r="L120" s="1190"/>
      <c r="M120" s="1191">
        <f t="shared" ref="M120:M132" si="13">SUM(E120:L120)</f>
        <v>0.51043670799999996</v>
      </c>
      <c r="N120" s="1190"/>
      <c r="O120" s="1191">
        <f t="shared" ref="O120:O132" si="14">+M120+N120</f>
        <v>0.51043670799999996</v>
      </c>
      <c r="P120" s="887">
        <f t="shared" ref="P120:P133" si="15">+IFERROR(O120/D120*10,0)</f>
        <v>14.859572235791408</v>
      </c>
      <c r="Q120" s="58"/>
      <c r="R120" s="58"/>
      <c r="S120" s="19"/>
    </row>
    <row r="121" spans="2:19" x14ac:dyDescent="0.35">
      <c r="B121" s="520" t="s">
        <v>1107</v>
      </c>
      <c r="C121" s="1189">
        <v>203</v>
      </c>
      <c r="D121" s="1190">
        <f>+'F1 Non-SEZ'!F20</f>
        <v>0.29010199999999997</v>
      </c>
      <c r="E121" s="1190">
        <v>7.4099470000000001E-2</v>
      </c>
      <c r="F121" s="1190">
        <v>0.212934868</v>
      </c>
      <c r="G121" s="1190">
        <v>4.0034075999999995E-2</v>
      </c>
      <c r="H121" s="1194"/>
      <c r="I121" s="1194"/>
      <c r="J121" s="1190">
        <v>1.3335E-5</v>
      </c>
      <c r="K121" s="58"/>
      <c r="L121" s="1190"/>
      <c r="M121" s="1191">
        <f t="shared" si="13"/>
        <v>0.32708174899999998</v>
      </c>
      <c r="N121" s="1194"/>
      <c r="O121" s="1195">
        <f t="shared" si="14"/>
        <v>0.32708174899999998</v>
      </c>
      <c r="P121" s="887">
        <f t="shared" si="15"/>
        <v>11.274715410441845</v>
      </c>
      <c r="Q121" s="58"/>
      <c r="R121" s="58"/>
      <c r="S121" s="19"/>
    </row>
    <row r="122" spans="2:19" x14ac:dyDescent="0.35">
      <c r="B122" s="520" t="s">
        <v>1108</v>
      </c>
      <c r="C122" s="1189">
        <v>56</v>
      </c>
      <c r="D122" s="1190">
        <f>+'F1 Non-SEZ'!F21</f>
        <v>9.0147000000000005E-2</v>
      </c>
      <c r="E122" s="1190">
        <v>1.5088599999999999E-2</v>
      </c>
      <c r="F122" s="1190">
        <v>9.3392292000000002E-2</v>
      </c>
      <c r="G122" s="1190">
        <v>1.2440286E-2</v>
      </c>
      <c r="H122" s="1190"/>
      <c r="I122" s="1190"/>
      <c r="J122" s="1190">
        <v>0</v>
      </c>
      <c r="K122" s="58"/>
      <c r="L122" s="1190"/>
      <c r="M122" s="1191">
        <f t="shared" si="13"/>
        <v>0.12092117799999999</v>
      </c>
      <c r="N122" s="1190"/>
      <c r="O122" s="1191">
        <f t="shared" si="14"/>
        <v>0.12092117799999999</v>
      </c>
      <c r="P122" s="887">
        <f t="shared" si="15"/>
        <v>13.413777274895446</v>
      </c>
      <c r="Q122" s="58"/>
      <c r="R122" s="58"/>
      <c r="S122" s="19"/>
    </row>
    <row r="123" spans="2:19" x14ac:dyDescent="0.35">
      <c r="B123" s="520" t="s">
        <v>1109</v>
      </c>
      <c r="C123" s="1189">
        <v>45</v>
      </c>
      <c r="D123" s="1190">
        <f>+'F1 Non-SEZ'!F22</f>
        <v>0.84930899999999998</v>
      </c>
      <c r="E123" s="1190">
        <v>5.4583000000000007E-2</v>
      </c>
      <c r="F123" s="1190">
        <v>1.0038832419999999</v>
      </c>
      <c r="G123" s="1190">
        <v>0.11720464199999997</v>
      </c>
      <c r="H123" s="1190"/>
      <c r="I123" s="1190"/>
      <c r="J123" s="1190">
        <v>0</v>
      </c>
      <c r="K123" s="58"/>
      <c r="L123" s="1190"/>
      <c r="M123" s="1191">
        <f t="shared" si="13"/>
        <v>1.1756708839999999</v>
      </c>
      <c r="N123" s="1190"/>
      <c r="O123" s="1191">
        <f t="shared" si="14"/>
        <v>1.1756708839999999</v>
      </c>
      <c r="P123" s="887">
        <f t="shared" si="15"/>
        <v>13.842675445568101</v>
      </c>
      <c r="Q123" s="58"/>
      <c r="R123" s="58"/>
      <c r="S123" s="19"/>
    </row>
    <row r="124" spans="2:19" x14ac:dyDescent="0.35">
      <c r="B124" s="520" t="s">
        <v>1110</v>
      </c>
      <c r="C124" s="1189">
        <v>0</v>
      </c>
      <c r="D124" s="1190">
        <f>+'F1 Non-SEZ'!F23</f>
        <v>0</v>
      </c>
      <c r="E124" s="1190"/>
      <c r="F124" s="1190">
        <v>0</v>
      </c>
      <c r="G124" s="1190">
        <v>0</v>
      </c>
      <c r="H124" s="1190"/>
      <c r="I124" s="1190"/>
      <c r="J124" s="1190">
        <v>0</v>
      </c>
      <c r="K124" s="58"/>
      <c r="L124" s="1190"/>
      <c r="M124" s="1191">
        <f t="shared" si="13"/>
        <v>0</v>
      </c>
      <c r="N124" s="1190"/>
      <c r="O124" s="1191">
        <f t="shared" si="14"/>
        <v>0</v>
      </c>
      <c r="P124" s="887">
        <f t="shared" si="15"/>
        <v>0</v>
      </c>
      <c r="Q124" s="58"/>
      <c r="R124" s="58"/>
      <c r="S124" s="19"/>
    </row>
    <row r="125" spans="2:19" x14ac:dyDescent="0.35">
      <c r="B125" s="519" t="s">
        <v>1139</v>
      </c>
      <c r="C125" s="1189"/>
      <c r="D125" s="1190">
        <f>+'F1 Non-SEZ'!F24</f>
        <v>0</v>
      </c>
      <c r="E125" s="58"/>
      <c r="F125" s="1190"/>
      <c r="G125" s="58"/>
      <c r="H125" s="58"/>
      <c r="I125" s="58"/>
      <c r="J125" s="58"/>
      <c r="K125" s="58"/>
      <c r="L125" s="1190"/>
      <c r="M125" s="1191">
        <f t="shared" si="13"/>
        <v>0</v>
      </c>
      <c r="N125" s="1190"/>
      <c r="O125" s="1191">
        <f t="shared" si="14"/>
        <v>0</v>
      </c>
      <c r="P125" s="887">
        <f t="shared" si="15"/>
        <v>0</v>
      </c>
      <c r="Q125" s="58"/>
      <c r="R125" s="58"/>
      <c r="S125" s="19"/>
    </row>
    <row r="126" spans="2:19" x14ac:dyDescent="0.35">
      <c r="B126" s="520" t="s">
        <v>1140</v>
      </c>
      <c r="C126" s="1189">
        <v>34</v>
      </c>
      <c r="D126" s="1190">
        <f>+'F1 Non-SEZ'!F25</f>
        <v>4.0542999999999996E-2</v>
      </c>
      <c r="E126" s="1190">
        <v>1.4529147999999999E-2</v>
      </c>
      <c r="F126" s="1190">
        <v>2.9109873999999997E-2</v>
      </c>
      <c r="G126" s="1190">
        <v>5.5949340000000002E-3</v>
      </c>
      <c r="H126" s="1190"/>
      <c r="I126" s="1190"/>
      <c r="J126" s="1190">
        <v>1.1770799999999999E-4</v>
      </c>
      <c r="K126" s="58"/>
      <c r="L126" s="1190"/>
      <c r="M126" s="1191">
        <f t="shared" si="13"/>
        <v>4.9351664000000003E-2</v>
      </c>
      <c r="N126" s="1190"/>
      <c r="O126" s="1191">
        <f t="shared" si="14"/>
        <v>4.9351664000000003E-2</v>
      </c>
      <c r="P126" s="887">
        <f t="shared" si="15"/>
        <v>12.172671977900009</v>
      </c>
      <c r="Q126" s="58"/>
      <c r="R126" s="58"/>
      <c r="S126" s="19"/>
    </row>
    <row r="127" spans="2:19" x14ac:dyDescent="0.35">
      <c r="B127" s="520" t="s">
        <v>1144</v>
      </c>
      <c r="C127" s="1189">
        <v>9</v>
      </c>
      <c r="D127" s="1190">
        <f>+'F1 Non-SEZ'!F26</f>
        <v>0.12834783</v>
      </c>
      <c r="E127" s="1197">
        <v>2.0562835000000002E-2</v>
      </c>
      <c r="F127" s="1190">
        <v>0.13992328562</v>
      </c>
      <c r="G127" s="1190">
        <v>1.7712000539999998E-2</v>
      </c>
      <c r="H127" s="1197">
        <v>-1.0974019999999999E-3</v>
      </c>
      <c r="I127" s="1197">
        <v>-5.2090069999999999E-3</v>
      </c>
      <c r="J127" s="1190"/>
      <c r="K127" s="58"/>
      <c r="L127" s="1190"/>
      <c r="M127" s="1191">
        <f t="shared" si="13"/>
        <v>0.17189171216000002</v>
      </c>
      <c r="N127" s="1197"/>
      <c r="O127" s="1198">
        <f t="shared" si="14"/>
        <v>0.17189171216000002</v>
      </c>
      <c r="P127" s="887">
        <f t="shared" si="15"/>
        <v>13.392646541823108</v>
      </c>
      <c r="Q127" s="58"/>
      <c r="R127" s="58"/>
      <c r="S127" s="19"/>
    </row>
    <row r="128" spans="2:19" x14ac:dyDescent="0.35">
      <c r="B128" s="520" t="s">
        <v>1143</v>
      </c>
      <c r="C128" s="1189"/>
      <c r="D128" s="1190">
        <f>+'F1 Non-SEZ'!F27</f>
        <v>0</v>
      </c>
      <c r="E128" s="1190"/>
      <c r="F128" s="1190"/>
      <c r="G128" s="1190"/>
      <c r="H128" s="1190"/>
      <c r="I128" s="1190">
        <v>7.6859900000000002E-3</v>
      </c>
      <c r="J128" s="1190"/>
      <c r="K128" s="58"/>
      <c r="L128" s="1190"/>
      <c r="M128" s="1191">
        <f t="shared" si="13"/>
        <v>7.6859900000000002E-3</v>
      </c>
      <c r="N128" s="1190"/>
      <c r="O128" s="1191">
        <f t="shared" si="14"/>
        <v>7.6859900000000002E-3</v>
      </c>
      <c r="P128" s="887">
        <f t="shared" si="15"/>
        <v>0</v>
      </c>
      <c r="Q128" s="58"/>
      <c r="R128" s="58"/>
      <c r="S128" s="19"/>
    </row>
    <row r="129" spans="2:19" ht="25.5" x14ac:dyDescent="0.35">
      <c r="B129" s="519" t="s">
        <v>1111</v>
      </c>
      <c r="C129" s="1189">
        <v>1</v>
      </c>
      <c r="D129" s="1190">
        <f>+'F1 Non-SEZ'!F28</f>
        <v>0.26699392</v>
      </c>
      <c r="E129" s="1197">
        <v>7.6476999999999995E-3</v>
      </c>
      <c r="F129" s="1190">
        <v>0.13670088976000003</v>
      </c>
      <c r="G129" s="1190">
        <v>3.6845160719999999E-2</v>
      </c>
      <c r="H129" s="1190">
        <v>-4.5999999999999978E-7</v>
      </c>
      <c r="I129" s="1190"/>
      <c r="J129" s="1190"/>
      <c r="K129" s="58"/>
      <c r="L129" s="1190"/>
      <c r="M129" s="1191">
        <f t="shared" si="13"/>
        <v>0.18119329048000002</v>
      </c>
      <c r="N129" s="1190"/>
      <c r="O129" s="1191">
        <f t="shared" si="14"/>
        <v>0.18119329048000002</v>
      </c>
      <c r="P129" s="887">
        <f t="shared" si="15"/>
        <v>6.7864200982554213</v>
      </c>
      <c r="Q129" s="58"/>
      <c r="R129" s="58"/>
      <c r="S129" s="19"/>
    </row>
    <row r="130" spans="2:19" ht="25.5" x14ac:dyDescent="0.35">
      <c r="B130" s="519" t="s">
        <v>1135</v>
      </c>
      <c r="C130" s="1189">
        <v>1</v>
      </c>
      <c r="D130" s="1190">
        <f>+'F1 Non-SEZ'!F29</f>
        <v>1.2699999999999998E-2</v>
      </c>
      <c r="E130" s="1190">
        <v>5.6160000000000021E-4</v>
      </c>
      <c r="F130" s="1190">
        <v>6.3627000000000024E-3</v>
      </c>
      <c r="G130" s="1190">
        <v>1.7525999999999998E-3</v>
      </c>
      <c r="H130" s="1190"/>
      <c r="I130" s="1190"/>
      <c r="J130" s="1190"/>
      <c r="K130" s="58"/>
      <c r="L130" s="1190"/>
      <c r="M130" s="1191">
        <f t="shared" si="13"/>
        <v>8.676900000000003E-3</v>
      </c>
      <c r="N130" s="1190"/>
      <c r="O130" s="1191">
        <f t="shared" si="14"/>
        <v>8.676900000000003E-3</v>
      </c>
      <c r="P130" s="887">
        <f t="shared" si="15"/>
        <v>6.8322047244094524</v>
      </c>
      <c r="Q130" s="58"/>
      <c r="R130" s="58"/>
      <c r="S130" s="19"/>
    </row>
    <row r="131" spans="2:19" ht="25.5" x14ac:dyDescent="0.35">
      <c r="B131" s="519" t="s">
        <v>1136</v>
      </c>
      <c r="C131" s="1189">
        <v>1</v>
      </c>
      <c r="D131" s="1190">
        <f>+'F1 Non-SEZ'!F30</f>
        <v>3.8269799999999998E-3</v>
      </c>
      <c r="E131" s="1190">
        <v>1.1712199999999999E-3</v>
      </c>
      <c r="F131" s="1190">
        <v>2.7860419999999999E-3</v>
      </c>
      <c r="G131" s="1190">
        <v>5.2812324000000004E-4</v>
      </c>
      <c r="H131" s="1190">
        <v>7.6328000000000005E-5</v>
      </c>
      <c r="I131" s="1190">
        <v>-1.98302E-4</v>
      </c>
      <c r="J131" s="1190"/>
      <c r="K131" s="58"/>
      <c r="L131" s="1190"/>
      <c r="M131" s="1191">
        <f t="shared" si="13"/>
        <v>4.3634112399999992E-3</v>
      </c>
      <c r="N131" s="1190"/>
      <c r="O131" s="1191">
        <f t="shared" si="14"/>
        <v>4.3634112399999992E-3</v>
      </c>
      <c r="P131" s="887">
        <f t="shared" si="15"/>
        <v>11.401709023825575</v>
      </c>
      <c r="Q131" s="58"/>
      <c r="R131" s="58"/>
      <c r="S131" s="19"/>
    </row>
    <row r="132" spans="2:19" x14ac:dyDescent="0.35">
      <c r="B132" s="519" t="s">
        <v>1142</v>
      </c>
      <c r="C132" s="1189">
        <v>1</v>
      </c>
      <c r="D132" s="1190">
        <f>+'F1 Non-SEZ'!F31</f>
        <v>1.8542E-4</v>
      </c>
      <c r="E132" s="1197">
        <v>1.7919999999999999E-4</v>
      </c>
      <c r="F132" s="1190">
        <v>7.6393280000000005E-5</v>
      </c>
      <c r="G132" s="1190">
        <v>2.558796E-5</v>
      </c>
      <c r="H132" s="1190">
        <v>-4.5999999999999978E-7</v>
      </c>
      <c r="I132" s="1190">
        <v>-9.8259999999999988E-6</v>
      </c>
      <c r="J132" s="1190"/>
      <c r="K132" s="58"/>
      <c r="L132" s="1190"/>
      <c r="M132" s="1191">
        <f t="shared" si="13"/>
        <v>2.7089524000000002E-4</v>
      </c>
      <c r="N132" s="1190"/>
      <c r="O132" s="1191">
        <f t="shared" si="14"/>
        <v>2.7089524000000002E-4</v>
      </c>
      <c r="P132" s="887">
        <f t="shared" si="15"/>
        <v>14.609817711142272</v>
      </c>
      <c r="Q132" s="58"/>
      <c r="R132" s="58"/>
      <c r="S132" s="19"/>
    </row>
    <row r="133" spans="2:19" x14ac:dyDescent="0.35">
      <c r="B133" s="518" t="s">
        <v>162</v>
      </c>
      <c r="C133" s="1192">
        <f>SUM(C120:C132)</f>
        <v>1406</v>
      </c>
      <c r="D133" s="1191">
        <f>SUM(D120:D132)</f>
        <v>2.0256621500000005</v>
      </c>
      <c r="E133" s="1191">
        <f>SUM(E120:E132)</f>
        <v>0.53067989600000021</v>
      </c>
      <c r="F133" s="1191">
        <f t="shared" ref="F133:O133" si="16">SUM(F120:F132)</f>
        <v>1.7433359946599998</v>
      </c>
      <c r="G133" s="1191">
        <f t="shared" si="16"/>
        <v>0.27954137645999999</v>
      </c>
      <c r="H133" s="1191">
        <f t="shared" si="16"/>
        <v>-1.021994E-3</v>
      </c>
      <c r="I133" s="1191">
        <f t="shared" si="16"/>
        <v>2.2688550000000002E-3</v>
      </c>
      <c r="J133" s="1191">
        <f t="shared" si="16"/>
        <v>2.7402539999999997E-3</v>
      </c>
      <c r="K133" s="1191">
        <f t="shared" si="16"/>
        <v>0</v>
      </c>
      <c r="L133" s="1191">
        <f t="shared" si="16"/>
        <v>0</v>
      </c>
      <c r="M133" s="1191">
        <f t="shared" si="16"/>
        <v>2.5575443821200001</v>
      </c>
      <c r="N133" s="1191">
        <f t="shared" si="16"/>
        <v>0</v>
      </c>
      <c r="O133" s="1191">
        <f t="shared" si="16"/>
        <v>2.5575443821200001</v>
      </c>
      <c r="P133" s="887">
        <f t="shared" si="15"/>
        <v>12.625720345912567</v>
      </c>
      <c r="Q133" s="58"/>
      <c r="R133" s="58"/>
      <c r="S133" s="19"/>
    </row>
    <row r="134" spans="2:19" x14ac:dyDescent="0.35">
      <c r="B134" s="518"/>
      <c r="C134" s="58"/>
      <c r="D134" s="1190"/>
      <c r="E134" s="1190"/>
      <c r="F134" s="1190"/>
      <c r="G134" s="1190"/>
      <c r="H134" s="1190"/>
      <c r="I134" s="1190"/>
      <c r="J134" s="1190"/>
      <c r="K134" s="58"/>
      <c r="L134" s="1190"/>
      <c r="M134" s="1190"/>
      <c r="N134" s="1190"/>
      <c r="O134" s="1190"/>
      <c r="P134" s="887"/>
      <c r="Q134" s="58"/>
      <c r="R134" s="58"/>
      <c r="S134" s="19"/>
    </row>
    <row r="135" spans="2:19" x14ac:dyDescent="0.35">
      <c r="B135" s="119" t="s">
        <v>164</v>
      </c>
      <c r="C135" s="1192">
        <f t="shared" ref="C135:O135" si="17">+C133+C117</f>
        <v>1409</v>
      </c>
      <c r="D135" s="1191">
        <f t="shared" si="17"/>
        <v>3.5869339019000002</v>
      </c>
      <c r="E135" s="1191">
        <f t="shared" si="17"/>
        <v>0.91197649200000019</v>
      </c>
      <c r="F135" s="1191">
        <f t="shared" si="17"/>
        <v>3.4023853006599998</v>
      </c>
      <c r="G135" s="1191">
        <f t="shared" si="17"/>
        <v>0.36905832896000001</v>
      </c>
      <c r="H135" s="1191">
        <f t="shared" si="17"/>
        <v>-2.3719629999999992E-2</v>
      </c>
      <c r="I135" s="1191">
        <f t="shared" si="17"/>
        <v>2.2688550000000002E-3</v>
      </c>
      <c r="J135" s="1191">
        <f t="shared" si="17"/>
        <v>9.9980309999999992E-3</v>
      </c>
      <c r="K135" s="1191">
        <f t="shared" si="17"/>
        <v>0</v>
      </c>
      <c r="L135" s="1191">
        <f t="shared" si="17"/>
        <v>0</v>
      </c>
      <c r="M135" s="1191">
        <f t="shared" si="17"/>
        <v>4.6719673776199997</v>
      </c>
      <c r="N135" s="1191">
        <f t="shared" si="17"/>
        <v>0</v>
      </c>
      <c r="O135" s="1191">
        <f t="shared" si="17"/>
        <v>4.6719673776199997</v>
      </c>
      <c r="P135" s="887">
        <f>+IFERROR(O135/D135*10,0)</f>
        <v>13.024960886915862</v>
      </c>
      <c r="Q135" s="58"/>
      <c r="R135" s="58"/>
      <c r="S135" s="19"/>
    </row>
    <row r="136" spans="2:19" x14ac:dyDescent="0.35">
      <c r="B136" s="58"/>
      <c r="C136" s="93"/>
      <c r="D136" s="93"/>
      <c r="E136" s="93"/>
      <c r="F136" s="93"/>
      <c r="G136" s="93"/>
      <c r="H136" s="93"/>
      <c r="I136" s="93"/>
      <c r="J136" s="93"/>
      <c r="K136" s="93"/>
      <c r="L136" s="93"/>
      <c r="M136" s="93"/>
      <c r="N136" s="93"/>
      <c r="O136" s="93"/>
      <c r="P136" s="93"/>
      <c r="Q136" s="93"/>
      <c r="R136" s="93"/>
      <c r="S136" s="93"/>
    </row>
    <row r="138" spans="2:19" x14ac:dyDescent="0.35">
      <c r="B138" s="40" t="s">
        <v>112</v>
      </c>
      <c r="C138" s="53"/>
      <c r="D138" s="53"/>
      <c r="E138" s="53"/>
      <c r="F138" s="53"/>
      <c r="G138" s="53"/>
      <c r="H138" s="53"/>
      <c r="I138" s="53"/>
      <c r="J138" s="53"/>
      <c r="K138" s="53"/>
      <c r="L138" s="53"/>
      <c r="M138" s="53"/>
      <c r="N138" s="53"/>
      <c r="O138" s="53"/>
    </row>
    <row r="139" spans="2:19" x14ac:dyDescent="0.35">
      <c r="B139" s="49"/>
    </row>
    <row r="140" spans="2:19" ht="40.5" x14ac:dyDescent="0.35">
      <c r="B140" s="1984" t="s">
        <v>699</v>
      </c>
      <c r="C140" s="106" t="s">
        <v>700</v>
      </c>
      <c r="D140" s="106" t="s">
        <v>701</v>
      </c>
      <c r="E140" s="106" t="s">
        <v>702</v>
      </c>
      <c r="F140" s="106" t="s">
        <v>703</v>
      </c>
      <c r="G140" s="106" t="s">
        <v>704</v>
      </c>
      <c r="H140" s="1188" t="s">
        <v>1449</v>
      </c>
      <c r="I140" s="1188" t="s">
        <v>1450</v>
      </c>
      <c r="J140" s="1188" t="s">
        <v>1451</v>
      </c>
      <c r="K140" s="106" t="s">
        <v>1448</v>
      </c>
      <c r="L140" s="106" t="s">
        <v>705</v>
      </c>
      <c r="M140" s="106" t="s">
        <v>706</v>
      </c>
      <c r="N140" s="106" t="s">
        <v>707</v>
      </c>
      <c r="O140" s="106" t="s">
        <v>708</v>
      </c>
      <c r="P140" s="106" t="s">
        <v>709</v>
      </c>
      <c r="Q140" s="106" t="s">
        <v>710</v>
      </c>
      <c r="R140" s="106" t="s">
        <v>711</v>
      </c>
      <c r="S140" s="106" t="s">
        <v>116</v>
      </c>
    </row>
    <row r="141" spans="2:19" ht="39.4" x14ac:dyDescent="0.35">
      <c r="B141" s="1984"/>
      <c r="C141" s="1188" t="s">
        <v>128</v>
      </c>
      <c r="D141" s="1188" t="s">
        <v>129</v>
      </c>
      <c r="E141" s="1188" t="s">
        <v>712</v>
      </c>
      <c r="F141" s="1188" t="s">
        <v>130</v>
      </c>
      <c r="G141" s="1188" t="s">
        <v>131</v>
      </c>
      <c r="H141" s="1188" t="s">
        <v>331</v>
      </c>
      <c r="I141" s="1188" t="s">
        <v>132</v>
      </c>
      <c r="J141" s="1188" t="s">
        <v>133</v>
      </c>
      <c r="K141" s="1188" t="s">
        <v>332</v>
      </c>
      <c r="L141" s="1188" t="s">
        <v>333</v>
      </c>
      <c r="M141" s="1188" t="s">
        <v>1452</v>
      </c>
      <c r="N141" s="1188" t="s">
        <v>529</v>
      </c>
      <c r="O141" s="1188" t="s">
        <v>1453</v>
      </c>
      <c r="P141" s="1188" t="s">
        <v>1454</v>
      </c>
      <c r="Q141" s="1188" t="s">
        <v>531</v>
      </c>
      <c r="R141" s="1188" t="s">
        <v>1455</v>
      </c>
      <c r="S141" s="1188" t="s">
        <v>533</v>
      </c>
    </row>
    <row r="142" spans="2:19" x14ac:dyDescent="0.35">
      <c r="B142" s="517" t="s">
        <v>161</v>
      </c>
      <c r="C142" s="93"/>
      <c r="D142" s="93"/>
      <c r="E142" s="93"/>
      <c r="F142" s="93"/>
      <c r="G142" s="93"/>
      <c r="H142" s="93"/>
      <c r="I142" s="93"/>
      <c r="J142" s="93"/>
      <c r="K142" s="93"/>
      <c r="L142" s="93"/>
      <c r="M142" s="93"/>
      <c r="N142" s="93"/>
      <c r="O142" s="93"/>
      <c r="P142" s="93"/>
      <c r="Q142" s="93"/>
      <c r="R142" s="93"/>
      <c r="S142" s="93"/>
    </row>
    <row r="143" spans="2:19" x14ac:dyDescent="0.35">
      <c r="B143" s="429" t="s">
        <v>1129</v>
      </c>
      <c r="C143" s="1189">
        <v>1</v>
      </c>
      <c r="D143" s="1190">
        <f>+'F1 Non-SEZ'!G12</f>
        <v>0.23520000000000008</v>
      </c>
      <c r="E143" s="1190">
        <v>7.4719320000000089E-2</v>
      </c>
      <c r="F143" s="1190">
        <v>0.16409513999999945</v>
      </c>
      <c r="G143" s="1190">
        <v>1.4124000000000017E-2</v>
      </c>
      <c r="H143" s="1190">
        <v>-8.1119999999999942E-3</v>
      </c>
      <c r="I143" s="1190"/>
      <c r="J143" s="1190"/>
      <c r="K143" s="58"/>
      <c r="L143" s="1190"/>
      <c r="M143" s="1191">
        <f>SUM(E143:L143)</f>
        <v>0.24482645999999952</v>
      </c>
      <c r="N143" s="1190"/>
      <c r="O143" s="1191">
        <f>+M143+N143</f>
        <v>0.24482645999999952</v>
      </c>
      <c r="P143" s="887">
        <f>+IFERROR(O143/D143*10,0)</f>
        <v>10.409288265306099</v>
      </c>
      <c r="Q143" s="58"/>
      <c r="R143" s="58"/>
      <c r="S143" s="19"/>
    </row>
    <row r="144" spans="2:19" x14ac:dyDescent="0.35">
      <c r="B144" s="429" t="s">
        <v>1130</v>
      </c>
      <c r="C144" s="1189">
        <v>2</v>
      </c>
      <c r="D144" s="1190">
        <f>+'F1 Non-SEZ'!G13</f>
        <v>0.2832694</v>
      </c>
      <c r="E144" s="1190">
        <v>0.10074287300000001</v>
      </c>
      <c r="F144" s="1190">
        <v>0.32092885300000001</v>
      </c>
      <c r="G144" s="1190">
        <v>1.6119682E-2</v>
      </c>
      <c r="H144" s="1190">
        <v>-6.5345060000000007E-3</v>
      </c>
      <c r="I144" s="1190"/>
      <c r="J144" s="1190"/>
      <c r="K144" s="58"/>
      <c r="L144" s="1190"/>
      <c r="M144" s="1191">
        <f>SUM(E144:L144)</f>
        <v>0.43125690200000005</v>
      </c>
      <c r="N144" s="1190"/>
      <c r="O144" s="1191">
        <f>+M144+N144</f>
        <v>0.43125690200000005</v>
      </c>
      <c r="P144" s="887">
        <f>+IFERROR(O144/D144*10,0)</f>
        <v>15.224267146398446</v>
      </c>
      <c r="Q144" s="58"/>
      <c r="R144" s="58"/>
      <c r="S144" s="19"/>
    </row>
    <row r="145" spans="2:19" x14ac:dyDescent="0.35">
      <c r="B145" s="429" t="s">
        <v>1131</v>
      </c>
      <c r="C145" s="1189"/>
      <c r="D145" s="1190">
        <f>+'F1 Non-SEZ'!G14</f>
        <v>0</v>
      </c>
      <c r="E145" s="1190"/>
      <c r="F145" s="1190"/>
      <c r="G145" s="1190"/>
      <c r="H145" s="1190"/>
      <c r="I145" s="1190"/>
      <c r="J145" s="1190"/>
      <c r="K145" s="58"/>
      <c r="L145" s="1190"/>
      <c r="M145" s="1191">
        <f>SUM(E145:L145)</f>
        <v>0</v>
      </c>
      <c r="N145" s="1190"/>
      <c r="O145" s="1191">
        <f>+M145+N145</f>
        <v>0</v>
      </c>
      <c r="P145" s="887">
        <f>+IFERROR(O145/D145*10,0)</f>
        <v>0</v>
      </c>
      <c r="Q145" s="58"/>
      <c r="R145" s="58"/>
      <c r="S145" s="19"/>
    </row>
    <row r="146" spans="2:19" ht="25.5" x14ac:dyDescent="0.35">
      <c r="B146" s="429" t="s">
        <v>1132</v>
      </c>
      <c r="C146" s="1189"/>
      <c r="D146" s="1190">
        <f>+'F1 Non-SEZ'!G15</f>
        <v>0</v>
      </c>
      <c r="E146" s="1190"/>
      <c r="F146" s="1190"/>
      <c r="G146" s="1190"/>
      <c r="H146" s="1190"/>
      <c r="I146" s="1190"/>
      <c r="J146" s="1190"/>
      <c r="K146" s="58"/>
      <c r="L146" s="1190"/>
      <c r="M146" s="1191">
        <f>SUM(E146:L146)</f>
        <v>0</v>
      </c>
      <c r="N146" s="1190"/>
      <c r="O146" s="1191">
        <f>+M146+N146</f>
        <v>0</v>
      </c>
      <c r="P146" s="887">
        <f>+IFERROR(O146/D146*10,0)</f>
        <v>0</v>
      </c>
      <c r="Q146" s="58"/>
      <c r="R146" s="58"/>
      <c r="S146" s="19"/>
    </row>
    <row r="147" spans="2:19" x14ac:dyDescent="0.35">
      <c r="B147" s="518" t="s">
        <v>162</v>
      </c>
      <c r="C147" s="1192">
        <f>SUM(C143:C146)</f>
        <v>3</v>
      </c>
      <c r="D147" s="1191">
        <f t="shared" ref="D147:O147" si="18">SUM(D143:D146)</f>
        <v>0.51846940000000008</v>
      </c>
      <c r="E147" s="1191">
        <f t="shared" si="18"/>
        <v>0.1754621930000001</v>
      </c>
      <c r="F147" s="1191">
        <f t="shared" si="18"/>
        <v>0.48502399299999943</v>
      </c>
      <c r="G147" s="1191">
        <f t="shared" si="18"/>
        <v>3.0243682000000015E-2</v>
      </c>
      <c r="H147" s="1191">
        <f t="shared" si="18"/>
        <v>-1.4646505999999995E-2</v>
      </c>
      <c r="I147" s="1191">
        <f t="shared" si="18"/>
        <v>0</v>
      </c>
      <c r="J147" s="1191">
        <f t="shared" si="18"/>
        <v>0</v>
      </c>
      <c r="K147" s="1191">
        <f t="shared" si="18"/>
        <v>0</v>
      </c>
      <c r="L147" s="1191">
        <f t="shared" si="18"/>
        <v>0</v>
      </c>
      <c r="M147" s="1191">
        <f t="shared" si="18"/>
        <v>0.67608336199999952</v>
      </c>
      <c r="N147" s="1191">
        <f t="shared" si="18"/>
        <v>0</v>
      </c>
      <c r="O147" s="1191">
        <f t="shared" si="18"/>
        <v>0.67608336199999952</v>
      </c>
      <c r="P147" s="887">
        <f>+IFERROR(O147/D147*10,0)</f>
        <v>13.039985812084559</v>
      </c>
      <c r="Q147" s="58"/>
      <c r="R147" s="58"/>
      <c r="S147" s="19"/>
    </row>
    <row r="148" spans="2:19" x14ac:dyDescent="0.35">
      <c r="B148" s="517" t="s">
        <v>163</v>
      </c>
      <c r="C148" s="1189"/>
      <c r="D148" s="1190"/>
      <c r="E148" s="1190"/>
      <c r="F148" s="1190"/>
      <c r="G148" s="1190"/>
      <c r="H148" s="1190"/>
      <c r="I148" s="1190"/>
      <c r="J148" s="1190"/>
      <c r="K148" s="58"/>
      <c r="L148" s="1190"/>
      <c r="M148" s="1190"/>
      <c r="N148" s="1190"/>
      <c r="O148" s="1190"/>
      <c r="P148" s="887"/>
      <c r="Q148" s="58"/>
      <c r="R148" s="58"/>
      <c r="S148" s="19"/>
    </row>
    <row r="149" spans="2:19" x14ac:dyDescent="0.35">
      <c r="B149" s="519" t="s">
        <v>1133</v>
      </c>
      <c r="C149" s="1189"/>
      <c r="D149" s="1190"/>
      <c r="E149" s="1190"/>
      <c r="F149" s="1190"/>
      <c r="G149" s="1190"/>
      <c r="H149" s="1190"/>
      <c r="I149" s="1190"/>
      <c r="J149" s="1190"/>
      <c r="K149" s="58"/>
      <c r="L149" s="1190"/>
      <c r="M149" s="1190"/>
      <c r="N149" s="1190"/>
      <c r="O149" s="1190"/>
      <c r="P149" s="887"/>
      <c r="Q149" s="58"/>
      <c r="R149" s="58"/>
      <c r="S149" s="19"/>
    </row>
    <row r="150" spans="2:19" x14ac:dyDescent="0.35">
      <c r="B150" s="520" t="s">
        <v>1106</v>
      </c>
      <c r="C150" s="1189">
        <v>1448</v>
      </c>
      <c r="D150" s="1190">
        <f>+'F1 Non-SEZ'!G19</f>
        <v>0.60887500000000006</v>
      </c>
      <c r="E150" s="1190">
        <v>0.51065935499999993</v>
      </c>
      <c r="F150" s="1190">
        <v>0.20458200000000001</v>
      </c>
      <c r="G150" s="1190">
        <v>8.2198124999999997E-2</v>
      </c>
      <c r="H150" s="1190"/>
      <c r="I150" s="1190"/>
      <c r="J150" s="1190">
        <v>4.031583E-3</v>
      </c>
      <c r="K150" s="58"/>
      <c r="L150" s="1190"/>
      <c r="M150" s="1191">
        <f t="shared" ref="M150:M162" si="19">SUM(E150:L150)</f>
        <v>0.80147106299999993</v>
      </c>
      <c r="N150" s="1190"/>
      <c r="O150" s="1191">
        <f t="shared" ref="O150:O162" si="20">+M150+N150</f>
        <v>0.80147106299999993</v>
      </c>
      <c r="P150" s="887">
        <f t="shared" ref="P150:P163" si="21">+IFERROR(O150/D150*10,0)</f>
        <v>13.163146179429273</v>
      </c>
      <c r="Q150" s="58"/>
      <c r="R150" s="58"/>
      <c r="S150" s="19"/>
    </row>
    <row r="151" spans="2:19" x14ac:dyDescent="0.35">
      <c r="B151" s="520" t="s">
        <v>1107</v>
      </c>
      <c r="C151" s="1189">
        <v>288</v>
      </c>
      <c r="D151" s="1190">
        <f>+'F1 Non-SEZ'!G20</f>
        <v>0.58151600000000014</v>
      </c>
      <c r="E151" s="1190">
        <v>0.12694033299999999</v>
      </c>
      <c r="F151" s="1190">
        <v>0.4268327440000001</v>
      </c>
      <c r="G151" s="1190">
        <v>7.8504660000000004E-2</v>
      </c>
      <c r="H151" s="1194"/>
      <c r="I151" s="1194"/>
      <c r="J151" s="1190">
        <v>5.1518999999999999E-5</v>
      </c>
      <c r="K151" s="58"/>
      <c r="L151" s="1190"/>
      <c r="M151" s="1191">
        <f t="shared" si="19"/>
        <v>0.63232925600000012</v>
      </c>
      <c r="N151" s="1194"/>
      <c r="O151" s="1195">
        <f t="shared" si="20"/>
        <v>0.63232925600000012</v>
      </c>
      <c r="P151" s="887">
        <f t="shared" si="21"/>
        <v>10.873806670839667</v>
      </c>
      <c r="Q151" s="58"/>
      <c r="R151" s="58"/>
      <c r="S151" s="19"/>
    </row>
    <row r="152" spans="2:19" x14ac:dyDescent="0.35">
      <c r="B152" s="520" t="s">
        <v>1108</v>
      </c>
      <c r="C152" s="1189">
        <v>106</v>
      </c>
      <c r="D152" s="1190">
        <f>+'F1 Non-SEZ'!G21</f>
        <v>0.19316800000000001</v>
      </c>
      <c r="E152" s="1190">
        <v>3.4286833000000003E-2</v>
      </c>
      <c r="F152" s="1190">
        <v>0.20031521600000002</v>
      </c>
      <c r="G152" s="1190">
        <v>2.6077680000000002E-2</v>
      </c>
      <c r="H152" s="1190"/>
      <c r="I152" s="1190"/>
      <c r="J152" s="1190">
        <v>1.7871999999999998E-5</v>
      </c>
      <c r="K152" s="58"/>
      <c r="L152" s="1190"/>
      <c r="M152" s="1191">
        <f t="shared" si="19"/>
        <v>0.260697601</v>
      </c>
      <c r="N152" s="1190"/>
      <c r="O152" s="1191">
        <f t="shared" si="20"/>
        <v>0.260697601</v>
      </c>
      <c r="P152" s="887">
        <f t="shared" si="21"/>
        <v>13.495899993787789</v>
      </c>
      <c r="Q152" s="58"/>
      <c r="R152" s="58"/>
      <c r="S152" s="19"/>
    </row>
    <row r="153" spans="2:19" x14ac:dyDescent="0.35">
      <c r="B153" s="520" t="s">
        <v>1109</v>
      </c>
      <c r="C153" s="1189">
        <v>63</v>
      </c>
      <c r="D153" s="1190">
        <f>+'F1 Non-SEZ'!G22</f>
        <v>1.5647049999999998</v>
      </c>
      <c r="E153" s="1190">
        <v>9.2678999999999997E-2</v>
      </c>
      <c r="F153" s="1190">
        <v>1.85574013</v>
      </c>
      <c r="G153" s="1190">
        <v>0.211235175</v>
      </c>
      <c r="H153" s="1190"/>
      <c r="I153" s="1190"/>
      <c r="J153" s="1190">
        <v>2.3180000000000001E-6</v>
      </c>
      <c r="K153" s="58"/>
      <c r="L153" s="1190"/>
      <c r="M153" s="1191">
        <f t="shared" si="19"/>
        <v>2.1596566230000001</v>
      </c>
      <c r="N153" s="1190"/>
      <c r="O153" s="1191">
        <f t="shared" si="20"/>
        <v>2.1596566230000001</v>
      </c>
      <c r="P153" s="887">
        <f t="shared" si="21"/>
        <v>13.802324546799557</v>
      </c>
      <c r="Q153" s="58"/>
      <c r="R153" s="58"/>
      <c r="S153" s="19"/>
    </row>
    <row r="154" spans="2:19" x14ac:dyDescent="0.35">
      <c r="B154" s="520" t="s">
        <v>1110</v>
      </c>
      <c r="C154" s="1189">
        <v>0</v>
      </c>
      <c r="D154" s="1190">
        <f>+'F1 Non-SEZ'!G23</f>
        <v>0</v>
      </c>
      <c r="E154" s="1190">
        <v>0</v>
      </c>
      <c r="F154" s="1190">
        <v>0</v>
      </c>
      <c r="G154" s="1190">
        <v>0</v>
      </c>
      <c r="H154" s="1190"/>
      <c r="I154" s="1190"/>
      <c r="J154" s="1190"/>
      <c r="K154" s="58"/>
      <c r="L154" s="1190"/>
      <c r="M154" s="1191">
        <f t="shared" si="19"/>
        <v>0</v>
      </c>
      <c r="N154" s="1190"/>
      <c r="O154" s="1191">
        <f t="shared" si="20"/>
        <v>0</v>
      </c>
      <c r="P154" s="887">
        <f t="shared" si="21"/>
        <v>0</v>
      </c>
      <c r="Q154" s="58"/>
      <c r="R154" s="58"/>
      <c r="S154" s="19"/>
    </row>
    <row r="155" spans="2:19" x14ac:dyDescent="0.35">
      <c r="B155" s="519" t="s">
        <v>1139</v>
      </c>
      <c r="C155" s="1189"/>
      <c r="D155" s="1190">
        <f>+'F1 Non-SEZ'!G24</f>
        <v>0</v>
      </c>
      <c r="E155" s="58"/>
      <c r="F155" s="1190"/>
      <c r="G155" s="58"/>
      <c r="H155" s="58"/>
      <c r="I155" s="58"/>
      <c r="J155" s="58"/>
      <c r="K155" s="58"/>
      <c r="L155" s="1190"/>
      <c r="M155" s="1191">
        <f t="shared" si="19"/>
        <v>0</v>
      </c>
      <c r="N155" s="1190"/>
      <c r="O155" s="1191">
        <f t="shared" si="20"/>
        <v>0</v>
      </c>
      <c r="P155" s="887">
        <f t="shared" si="21"/>
        <v>0</v>
      </c>
      <c r="Q155" s="58"/>
      <c r="R155" s="58"/>
      <c r="S155" s="19"/>
    </row>
    <row r="156" spans="2:19" x14ac:dyDescent="0.35">
      <c r="B156" s="520" t="s">
        <v>1140</v>
      </c>
      <c r="C156" s="1189">
        <v>35</v>
      </c>
      <c r="D156" s="1190">
        <f>+'F1 Non-SEZ'!G25</f>
        <v>7.4424000000000004E-2</v>
      </c>
      <c r="E156" s="1190">
        <v>1.8083450000000001E-2</v>
      </c>
      <c r="F156" s="1190">
        <v>5.2720782000000001E-2</v>
      </c>
      <c r="G156" s="1190">
        <v>1.0047240000000001E-2</v>
      </c>
      <c r="H156" s="1190"/>
      <c r="I156" s="1190"/>
      <c r="J156" s="1190">
        <v>3.4378999999999991E-5</v>
      </c>
      <c r="K156" s="58"/>
      <c r="L156" s="1190"/>
      <c r="M156" s="1191">
        <f t="shared" si="19"/>
        <v>8.0885850999999995E-2</v>
      </c>
      <c r="N156" s="1190"/>
      <c r="O156" s="1191">
        <f t="shared" si="20"/>
        <v>8.0885850999999995E-2</v>
      </c>
      <c r="P156" s="887">
        <f t="shared" si="21"/>
        <v>10.868248280124691</v>
      </c>
      <c r="Q156" s="58"/>
      <c r="R156" s="58"/>
      <c r="S156" s="19"/>
    </row>
    <row r="157" spans="2:19" x14ac:dyDescent="0.35">
      <c r="B157" s="520" t="s">
        <v>1144</v>
      </c>
      <c r="C157" s="1189">
        <v>7</v>
      </c>
      <c r="D157" s="1190">
        <f>+'F1 Non-SEZ'!G26</f>
        <v>0.30945506229999997</v>
      </c>
      <c r="E157" s="1190">
        <v>8.6735228999999969E-2</v>
      </c>
      <c r="F157" s="1190">
        <v>0.33390201222170002</v>
      </c>
      <c r="G157" s="1190">
        <v>4.1776433410500004E-2</v>
      </c>
      <c r="H157" s="1197">
        <v>-3.9324707999999998E-3</v>
      </c>
      <c r="I157" s="1197">
        <v>-1.0763587999999999E-2</v>
      </c>
      <c r="J157" s="1190"/>
      <c r="K157" s="58"/>
      <c r="L157" s="1190"/>
      <c r="M157" s="1191">
        <f t="shared" si="19"/>
        <v>0.44771761583220004</v>
      </c>
      <c r="N157" s="1197"/>
      <c r="O157" s="1198">
        <f t="shared" si="20"/>
        <v>0.44771761583220004</v>
      </c>
      <c r="P157" s="887">
        <f t="shared" si="21"/>
        <v>14.467936394530911</v>
      </c>
      <c r="Q157" s="58"/>
      <c r="R157" s="58"/>
      <c r="S157" s="19"/>
    </row>
    <row r="158" spans="2:19" x14ac:dyDescent="0.35">
      <c r="B158" s="520" t="s">
        <v>1143</v>
      </c>
      <c r="C158" s="1189">
        <v>1</v>
      </c>
      <c r="D158" s="1190">
        <f>+'F1 Non-SEZ'!G27</f>
        <v>6.9497249999999997E-2</v>
      </c>
      <c r="E158" s="1190">
        <v>1.5108113999999997E-2</v>
      </c>
      <c r="F158" s="1190">
        <v>8.8678490999999984E-2</v>
      </c>
      <c r="G158" s="1190">
        <v>9.3821287499999996E-3</v>
      </c>
      <c r="H158" s="1197">
        <v>5.4881500000000002E-4</v>
      </c>
      <c r="I158" s="1197">
        <v>-3.357521E-3</v>
      </c>
      <c r="J158" s="1190"/>
      <c r="K158" s="58"/>
      <c r="L158" s="1190"/>
      <c r="M158" s="1191">
        <f t="shared" si="19"/>
        <v>0.11036002774999996</v>
      </c>
      <c r="N158" s="1190"/>
      <c r="O158" s="1191">
        <f t="shared" si="20"/>
        <v>0.11036002774999996</v>
      </c>
      <c r="P158" s="887">
        <f t="shared" si="21"/>
        <v>15.879769019637465</v>
      </c>
      <c r="Q158" s="58"/>
      <c r="R158" s="58"/>
      <c r="S158" s="19"/>
    </row>
    <row r="159" spans="2:19" ht="25.5" x14ac:dyDescent="0.35">
      <c r="B159" s="519" t="s">
        <v>1111</v>
      </c>
      <c r="C159" s="1189">
        <v>2</v>
      </c>
      <c r="D159" s="1190">
        <f>+'F1 Non-SEZ'!G28</f>
        <v>0.34130574200000002</v>
      </c>
      <c r="E159" s="1190">
        <v>1.5557709999999997E-2</v>
      </c>
      <c r="F159" s="1190">
        <v>0.17372462267799998</v>
      </c>
      <c r="G159" s="1190">
        <v>4.607627517E-2</v>
      </c>
      <c r="H159" s="1197">
        <v>-1.2145730000000003E-3</v>
      </c>
      <c r="I159" s="1197">
        <v>4.4627959999999998E-3</v>
      </c>
      <c r="J159" s="1190"/>
      <c r="K159" s="58"/>
      <c r="L159" s="1190"/>
      <c r="M159" s="1191">
        <f t="shared" si="19"/>
        <v>0.238606830848</v>
      </c>
      <c r="N159" s="1190"/>
      <c r="O159" s="1191">
        <f t="shared" si="20"/>
        <v>0.238606830848</v>
      </c>
      <c r="P159" s="887">
        <f t="shared" si="21"/>
        <v>6.990999607853067</v>
      </c>
      <c r="Q159" s="58"/>
      <c r="R159" s="58"/>
      <c r="S159" s="19"/>
    </row>
    <row r="160" spans="2:19" ht="25.5" x14ac:dyDescent="0.35">
      <c r="B160" s="519" t="s">
        <v>1135</v>
      </c>
      <c r="C160" s="1189">
        <v>1</v>
      </c>
      <c r="D160" s="1190">
        <f>+'F1 Non-SEZ'!G29</f>
        <v>1.1190000000000005E-2</v>
      </c>
      <c r="E160" s="1190">
        <v>5.7839999999999986E-4</v>
      </c>
      <c r="F160" s="1190">
        <v>5.7180900000000021E-3</v>
      </c>
      <c r="G160" s="1190">
        <v>1.5106500000000012E-3</v>
      </c>
      <c r="H160" s="1190"/>
      <c r="I160" s="1190"/>
      <c r="J160" s="1190"/>
      <c r="K160" s="58"/>
      <c r="L160" s="1190"/>
      <c r="M160" s="1191">
        <f t="shared" si="19"/>
        <v>7.8071400000000032E-3</v>
      </c>
      <c r="N160" s="1190"/>
      <c r="O160" s="1191">
        <f t="shared" si="20"/>
        <v>7.8071400000000032E-3</v>
      </c>
      <c r="P160" s="887">
        <f t="shared" si="21"/>
        <v>6.9768900804289533</v>
      </c>
      <c r="Q160" s="58"/>
      <c r="R160" s="58"/>
      <c r="S160" s="19"/>
    </row>
    <row r="161" spans="2:19" ht="25.5" x14ac:dyDescent="0.35">
      <c r="B161" s="519" t="s">
        <v>1136</v>
      </c>
      <c r="C161" s="1189"/>
      <c r="D161" s="1190">
        <f>+'F1 Non-SEZ'!G30</f>
        <v>0</v>
      </c>
      <c r="E161" s="1190"/>
      <c r="F161" s="1190"/>
      <c r="G161" s="1190"/>
      <c r="H161" s="1190"/>
      <c r="I161" s="1197">
        <v>1.8075719999999997E-3</v>
      </c>
      <c r="J161" s="1190"/>
      <c r="K161" s="58"/>
      <c r="L161" s="1190"/>
      <c r="M161" s="1191">
        <f t="shared" si="19"/>
        <v>1.8075719999999997E-3</v>
      </c>
      <c r="N161" s="1190"/>
      <c r="O161" s="1191">
        <f t="shared" si="20"/>
        <v>1.8075719999999997E-3</v>
      </c>
      <c r="P161" s="887">
        <f t="shared" si="21"/>
        <v>0</v>
      </c>
      <c r="Q161" s="58"/>
      <c r="R161" s="58"/>
      <c r="S161" s="19"/>
    </row>
    <row r="162" spans="2:19" x14ac:dyDescent="0.35">
      <c r="B162" s="519" t="s">
        <v>1142</v>
      </c>
      <c r="C162" s="1189">
        <v>1</v>
      </c>
      <c r="D162" s="1190">
        <f>+'F1 Non-SEZ'!G31</f>
        <v>1.778895E-3</v>
      </c>
      <c r="E162" s="1190">
        <v>2.7518399999999998E-3</v>
      </c>
      <c r="F162" s="1190">
        <v>7.3824142500000009E-4</v>
      </c>
      <c r="G162" s="1190">
        <v>2.4015082499999999E-4</v>
      </c>
      <c r="H162" s="1197">
        <v>-2.9665599999999996E-4</v>
      </c>
      <c r="I162" s="1190"/>
      <c r="J162" s="1190"/>
      <c r="K162" s="58"/>
      <c r="L162" s="1190"/>
      <c r="M162" s="1191">
        <f t="shared" si="19"/>
        <v>3.4335762499999997E-3</v>
      </c>
      <c r="N162" s="1190"/>
      <c r="O162" s="1191">
        <f t="shared" si="20"/>
        <v>3.4335762499999997E-3</v>
      </c>
      <c r="P162" s="887">
        <f t="shared" si="21"/>
        <v>19.301736471236357</v>
      </c>
      <c r="Q162" s="58"/>
      <c r="R162" s="58"/>
      <c r="S162" s="19"/>
    </row>
    <row r="163" spans="2:19" x14ac:dyDescent="0.35">
      <c r="B163" s="518" t="s">
        <v>162</v>
      </c>
      <c r="C163" s="1192">
        <f>SUM(C150:C162)</f>
        <v>1952</v>
      </c>
      <c r="D163" s="1191">
        <f>SUM(D150:D162)</f>
        <v>3.7559149493000001</v>
      </c>
      <c r="E163" s="1191">
        <f>SUM(E150:E162)</f>
        <v>0.90338026399999971</v>
      </c>
      <c r="F163" s="1191">
        <f>SUM(F150:F162)</f>
        <v>3.3429523293247003</v>
      </c>
      <c r="G163" s="1191">
        <f t="shared" ref="G163:O163" si="22">SUM(G150:G162)</f>
        <v>0.50704851815549989</v>
      </c>
      <c r="H163" s="1191">
        <f t="shared" si="22"/>
        <v>-4.8948847999999998E-3</v>
      </c>
      <c r="I163" s="1191">
        <f t="shared" si="22"/>
        <v>-7.8507409999999996E-3</v>
      </c>
      <c r="J163" s="1191">
        <f t="shared" si="22"/>
        <v>4.1376710000000008E-3</v>
      </c>
      <c r="K163" s="1191">
        <f t="shared" si="22"/>
        <v>0</v>
      </c>
      <c r="L163" s="1191">
        <f t="shared" si="22"/>
        <v>0</v>
      </c>
      <c r="M163" s="1191">
        <f t="shared" si="22"/>
        <v>4.7447731566801989</v>
      </c>
      <c r="N163" s="1191">
        <f t="shared" si="22"/>
        <v>0</v>
      </c>
      <c r="O163" s="1191">
        <f t="shared" si="22"/>
        <v>4.7447731566801989</v>
      </c>
      <c r="P163" s="887">
        <f t="shared" si="21"/>
        <v>12.632802448214369</v>
      </c>
      <c r="Q163" s="58"/>
      <c r="R163" s="58"/>
      <c r="S163" s="19"/>
    </row>
    <row r="164" spans="2:19" x14ac:dyDescent="0.35">
      <c r="B164" s="518"/>
      <c r="C164" s="58"/>
      <c r="D164" s="1190"/>
      <c r="E164" s="1190"/>
      <c r="F164" s="1190"/>
      <c r="G164" s="1190"/>
      <c r="H164" s="1190"/>
      <c r="I164" s="1190"/>
      <c r="J164" s="1190"/>
      <c r="K164" s="58"/>
      <c r="L164" s="1190"/>
      <c r="M164" s="1190"/>
      <c r="N164" s="1190"/>
      <c r="O164" s="1190"/>
      <c r="P164" s="887"/>
      <c r="Q164" s="58"/>
      <c r="R164" s="58"/>
      <c r="S164" s="19"/>
    </row>
    <row r="165" spans="2:19" x14ac:dyDescent="0.35">
      <c r="B165" s="119" t="s">
        <v>164</v>
      </c>
      <c r="C165" s="1192">
        <f t="shared" ref="C165:O165" si="23">+C163+C147</f>
        <v>1955</v>
      </c>
      <c r="D165" s="1191">
        <f t="shared" si="23"/>
        <v>4.2743843493</v>
      </c>
      <c r="E165" s="1191">
        <f t="shared" si="23"/>
        <v>1.0788424569999999</v>
      </c>
      <c r="F165" s="1191">
        <f t="shared" si="23"/>
        <v>3.8279763223246999</v>
      </c>
      <c r="G165" s="1191">
        <f t="shared" si="23"/>
        <v>0.53729220015549994</v>
      </c>
      <c r="H165" s="1191">
        <f t="shared" si="23"/>
        <v>-1.9541390799999996E-2</v>
      </c>
      <c r="I165" s="1191">
        <f t="shared" si="23"/>
        <v>-7.8507409999999996E-3</v>
      </c>
      <c r="J165" s="1191">
        <f t="shared" si="23"/>
        <v>4.1376710000000008E-3</v>
      </c>
      <c r="K165" s="1191">
        <f t="shared" si="23"/>
        <v>0</v>
      </c>
      <c r="L165" s="1191">
        <f t="shared" si="23"/>
        <v>0</v>
      </c>
      <c r="M165" s="1191">
        <f t="shared" si="23"/>
        <v>5.420856518680198</v>
      </c>
      <c r="N165" s="1191">
        <f t="shared" si="23"/>
        <v>0</v>
      </c>
      <c r="O165" s="1191">
        <f t="shared" si="23"/>
        <v>5.420856518680198</v>
      </c>
      <c r="P165" s="887">
        <f>+IFERROR(O165/D165*10,0)</f>
        <v>12.682192511695751</v>
      </c>
      <c r="Q165" s="58"/>
      <c r="R165" s="58"/>
      <c r="S165" s="19"/>
    </row>
    <row r="166" spans="2:19" x14ac:dyDescent="0.35">
      <c r="B166" s="58"/>
      <c r="C166" s="93"/>
      <c r="D166" s="93"/>
      <c r="E166" s="93"/>
      <c r="F166" s="93"/>
      <c r="G166" s="93"/>
      <c r="H166" s="93"/>
      <c r="I166" s="93"/>
      <c r="J166" s="93"/>
      <c r="K166" s="93"/>
      <c r="L166" s="93"/>
      <c r="M166" s="93"/>
      <c r="N166" s="93"/>
      <c r="O166" s="93"/>
      <c r="P166" s="93"/>
      <c r="Q166" s="93"/>
      <c r="R166" s="93"/>
      <c r="S166" s="93"/>
    </row>
    <row r="168" spans="2:19" x14ac:dyDescent="0.35">
      <c r="B168" s="40" t="s">
        <v>113</v>
      </c>
      <c r="C168" s="53"/>
      <c r="D168" s="53"/>
      <c r="E168" s="53"/>
      <c r="F168" s="53"/>
      <c r="G168" s="53"/>
      <c r="H168" s="53"/>
      <c r="I168" s="53"/>
      <c r="J168" s="53"/>
      <c r="K168" s="53"/>
      <c r="L168" s="53"/>
      <c r="M168" s="53"/>
      <c r="N168" s="53"/>
      <c r="O168" s="53"/>
    </row>
    <row r="169" spans="2:19" x14ac:dyDescent="0.35">
      <c r="B169" s="49"/>
    </row>
    <row r="170" spans="2:19" s="57" customFormat="1" ht="40.5" x14ac:dyDescent="0.35">
      <c r="B170" s="1984" t="s">
        <v>699</v>
      </c>
      <c r="C170" s="106" t="s">
        <v>700</v>
      </c>
      <c r="D170" s="106" t="s">
        <v>701</v>
      </c>
      <c r="E170" s="106" t="s">
        <v>702</v>
      </c>
      <c r="F170" s="106" t="s">
        <v>703</v>
      </c>
      <c r="G170" s="106" t="s">
        <v>704</v>
      </c>
      <c r="H170" s="1188" t="s">
        <v>1449</v>
      </c>
      <c r="I170" s="1188" t="s">
        <v>1450</v>
      </c>
      <c r="J170" s="1188" t="s">
        <v>1451</v>
      </c>
      <c r="K170" s="106" t="s">
        <v>1448</v>
      </c>
      <c r="L170" s="106" t="s">
        <v>705</v>
      </c>
      <c r="M170" s="106" t="s">
        <v>706</v>
      </c>
      <c r="N170" s="106" t="s">
        <v>707</v>
      </c>
      <c r="O170" s="106" t="s">
        <v>708</v>
      </c>
      <c r="P170" s="106" t="s">
        <v>709</v>
      </c>
      <c r="Q170" s="106" t="s">
        <v>710</v>
      </c>
      <c r="R170" s="106" t="s">
        <v>711</v>
      </c>
      <c r="S170" s="106" t="s">
        <v>116</v>
      </c>
    </row>
    <row r="171" spans="2:19" s="57" customFormat="1" ht="39.4" x14ac:dyDescent="0.35">
      <c r="B171" s="1984"/>
      <c r="C171" s="1188" t="s">
        <v>128</v>
      </c>
      <c r="D171" s="1188" t="s">
        <v>129</v>
      </c>
      <c r="E171" s="1188" t="s">
        <v>712</v>
      </c>
      <c r="F171" s="1188" t="s">
        <v>130</v>
      </c>
      <c r="G171" s="1188" t="s">
        <v>131</v>
      </c>
      <c r="H171" s="1188" t="s">
        <v>331</v>
      </c>
      <c r="I171" s="1188" t="s">
        <v>132</v>
      </c>
      <c r="J171" s="1188" t="s">
        <v>133</v>
      </c>
      <c r="K171" s="1188" t="s">
        <v>332</v>
      </c>
      <c r="L171" s="1188" t="s">
        <v>333</v>
      </c>
      <c r="M171" s="1188" t="s">
        <v>1452</v>
      </c>
      <c r="N171" s="1188" t="s">
        <v>529</v>
      </c>
      <c r="O171" s="1188" t="s">
        <v>1453</v>
      </c>
      <c r="P171" s="1188" t="s">
        <v>1454</v>
      </c>
      <c r="Q171" s="1188" t="s">
        <v>531</v>
      </c>
      <c r="R171" s="1188" t="s">
        <v>1455</v>
      </c>
      <c r="S171" s="1188" t="s">
        <v>533</v>
      </c>
    </row>
    <row r="172" spans="2:19" x14ac:dyDescent="0.35">
      <c r="B172" s="517" t="s">
        <v>161</v>
      </c>
      <c r="C172" s="93"/>
      <c r="D172" s="93"/>
      <c r="E172" s="93"/>
      <c r="F172" s="93"/>
      <c r="G172" s="93"/>
      <c r="H172" s="93"/>
      <c r="I172" s="93"/>
      <c r="J172" s="93"/>
      <c r="K172" s="93"/>
      <c r="L172" s="93"/>
      <c r="M172" s="93"/>
      <c r="N172" s="93"/>
      <c r="O172" s="93"/>
      <c r="P172" s="93"/>
      <c r="Q172" s="93"/>
      <c r="R172" s="93"/>
      <c r="S172" s="93"/>
    </row>
    <row r="173" spans="2:19" x14ac:dyDescent="0.35">
      <c r="B173" s="429" t="s">
        <v>1129</v>
      </c>
      <c r="C173" s="1189">
        <v>1</v>
      </c>
      <c r="D173" s="1190">
        <f>+'F1 Non-SEZ'!H12</f>
        <v>0.28320001560000035</v>
      </c>
      <c r="E173" s="1190">
        <v>8.844275999999994E-2</v>
      </c>
      <c r="F173" s="1190">
        <v>0.32837285999999977</v>
      </c>
      <c r="G173" s="1190">
        <v>2.4264000000000046E-2</v>
      </c>
      <c r="H173" s="1190">
        <v>-1.2108000000000008E-2</v>
      </c>
      <c r="I173" s="1190"/>
      <c r="J173" s="1190"/>
      <c r="K173" s="58"/>
      <c r="L173" s="1190"/>
      <c r="M173" s="1191">
        <f>SUM(E173:L173)</f>
        <v>0.42897161999999978</v>
      </c>
      <c r="N173" s="1190"/>
      <c r="O173" s="1191">
        <f>+M173+N173</f>
        <v>0.42897161999999978</v>
      </c>
      <c r="P173" s="887">
        <f>+IFERROR(O173/D173*10,0)</f>
        <v>15.14730213171638</v>
      </c>
      <c r="Q173" s="58"/>
      <c r="R173" s="58"/>
      <c r="S173" s="19"/>
    </row>
    <row r="174" spans="2:19" x14ac:dyDescent="0.35">
      <c r="B174" s="429" t="s">
        <v>1130</v>
      </c>
      <c r="C174" s="1189">
        <v>3</v>
      </c>
      <c r="D174" s="1190">
        <f>+'F1 Non-SEZ'!H13</f>
        <v>0.33086001000000004</v>
      </c>
      <c r="E174" s="1190">
        <v>0.21041557500000002</v>
      </c>
      <c r="F174" s="1190">
        <v>0.55457071800000013</v>
      </c>
      <c r="G174" s="1190">
        <v>2.5934723000000003E-2</v>
      </c>
      <c r="H174" s="1190">
        <v>-2.7594229999999996E-3</v>
      </c>
      <c r="I174" s="1190"/>
      <c r="J174" s="1190"/>
      <c r="K174" s="58"/>
      <c r="L174" s="1190"/>
      <c r="M174" s="1191">
        <f>SUM(E174:L174)</f>
        <v>0.78816159300000022</v>
      </c>
      <c r="N174" s="1190"/>
      <c r="O174" s="1191">
        <f>+M174+N174</f>
        <v>0.78816159300000022</v>
      </c>
      <c r="P174" s="887">
        <f>+IFERROR(O174/D174*10,0)</f>
        <v>23.821603372374923</v>
      </c>
      <c r="Q174" s="58"/>
      <c r="R174" s="58"/>
      <c r="S174" s="19"/>
    </row>
    <row r="175" spans="2:19" x14ac:dyDescent="0.35">
      <c r="B175" s="429" t="s">
        <v>1131</v>
      </c>
      <c r="C175" s="1189"/>
      <c r="D175" s="1190">
        <f>+'F1 Non-SEZ'!H14</f>
        <v>0</v>
      </c>
      <c r="E175" s="1190"/>
      <c r="F175" s="1190"/>
      <c r="G175" s="1190"/>
      <c r="H175" s="1190"/>
      <c r="I175" s="1190"/>
      <c r="J175" s="1190"/>
      <c r="K175" s="58"/>
      <c r="L175" s="1190"/>
      <c r="M175" s="1191">
        <f>SUM(E175:L175)</f>
        <v>0</v>
      </c>
      <c r="N175" s="1190"/>
      <c r="O175" s="1191">
        <f>+M175+N175</f>
        <v>0</v>
      </c>
      <c r="P175" s="887">
        <f>+IFERROR(O175/D175*10,0)</f>
        <v>0</v>
      </c>
      <c r="Q175" s="58"/>
      <c r="R175" s="58"/>
      <c r="S175" s="19"/>
    </row>
    <row r="176" spans="2:19" ht="25.5" x14ac:dyDescent="0.35">
      <c r="B176" s="429" t="s">
        <v>1132</v>
      </c>
      <c r="C176" s="1189"/>
      <c r="D176" s="1190">
        <f>+'F1 Non-SEZ'!H15</f>
        <v>0</v>
      </c>
      <c r="E176" s="1190"/>
      <c r="F176" s="1190"/>
      <c r="G176" s="1190"/>
      <c r="H176" s="1190"/>
      <c r="I176" s="1190"/>
      <c r="J176" s="1190"/>
      <c r="K176" s="58"/>
      <c r="L176" s="1190"/>
      <c r="M176" s="1191">
        <f>SUM(E176:L176)</f>
        <v>0</v>
      </c>
      <c r="N176" s="1190"/>
      <c r="O176" s="1191">
        <f>+M176+N176</f>
        <v>0</v>
      </c>
      <c r="P176" s="887">
        <f>+IFERROR(O176/D176*10,0)</f>
        <v>0</v>
      </c>
      <c r="Q176" s="58"/>
      <c r="R176" s="58"/>
      <c r="S176" s="19"/>
    </row>
    <row r="177" spans="2:19" x14ac:dyDescent="0.35">
      <c r="B177" s="518" t="s">
        <v>162</v>
      </c>
      <c r="C177" s="1192">
        <f>SUM(C173:C176)</f>
        <v>4</v>
      </c>
      <c r="D177" s="1191">
        <f t="shared" ref="D177:O177" si="24">SUM(D173:D176)</f>
        <v>0.61406002560000039</v>
      </c>
      <c r="E177" s="1191">
        <f t="shared" si="24"/>
        <v>0.29885833499999997</v>
      </c>
      <c r="F177" s="1191">
        <f t="shared" si="24"/>
        <v>0.8829435779999999</v>
      </c>
      <c r="G177" s="1191">
        <f t="shared" si="24"/>
        <v>5.0198723000000049E-2</v>
      </c>
      <c r="H177" s="1191">
        <f t="shared" si="24"/>
        <v>-1.4867423000000008E-2</v>
      </c>
      <c r="I177" s="1191">
        <f t="shared" si="24"/>
        <v>0</v>
      </c>
      <c r="J177" s="1191">
        <f t="shared" si="24"/>
        <v>0</v>
      </c>
      <c r="K177" s="1191">
        <f t="shared" si="24"/>
        <v>0</v>
      </c>
      <c r="L177" s="1191">
        <f t="shared" si="24"/>
        <v>0</v>
      </c>
      <c r="M177" s="1191">
        <f t="shared" si="24"/>
        <v>1.2171332129999999</v>
      </c>
      <c r="N177" s="1191">
        <f t="shared" si="24"/>
        <v>0</v>
      </c>
      <c r="O177" s="1191">
        <f t="shared" si="24"/>
        <v>1.2171332129999999</v>
      </c>
      <c r="P177" s="887">
        <f>+IFERROR(O177/D177*10,0)</f>
        <v>19.821078758721256</v>
      </c>
      <c r="Q177" s="58"/>
      <c r="R177" s="58"/>
      <c r="S177" s="19"/>
    </row>
    <row r="178" spans="2:19" x14ac:dyDescent="0.35">
      <c r="B178" s="517" t="s">
        <v>163</v>
      </c>
      <c r="C178" s="1189"/>
      <c r="D178" s="1190"/>
      <c r="E178" s="1190"/>
      <c r="F178" s="1190"/>
      <c r="G178" s="1190"/>
      <c r="H178" s="1190"/>
      <c r="I178" s="1190"/>
      <c r="J178" s="1190"/>
      <c r="K178" s="58"/>
      <c r="L178" s="1190"/>
      <c r="M178" s="1190"/>
      <c r="N178" s="1190"/>
      <c r="O178" s="1190"/>
      <c r="P178" s="887"/>
      <c r="Q178" s="58"/>
      <c r="R178" s="58"/>
      <c r="S178" s="19"/>
    </row>
    <row r="179" spans="2:19" x14ac:dyDescent="0.35">
      <c r="B179" s="519" t="s">
        <v>1133</v>
      </c>
      <c r="C179" s="1189"/>
      <c r="D179" s="1190"/>
      <c r="E179" s="1190"/>
      <c r="F179" s="1190"/>
      <c r="G179" s="1190"/>
      <c r="H179" s="1190"/>
      <c r="I179" s="1190"/>
      <c r="J179" s="1190"/>
      <c r="K179" s="58"/>
      <c r="L179" s="1190"/>
      <c r="M179" s="1190"/>
      <c r="N179" s="1190"/>
      <c r="O179" s="1190"/>
      <c r="P179" s="887"/>
      <c r="Q179" s="58"/>
      <c r="R179" s="58"/>
      <c r="S179" s="19"/>
    </row>
    <row r="180" spans="2:19" x14ac:dyDescent="0.35">
      <c r="B180" s="520" t="s">
        <v>1106</v>
      </c>
      <c r="C180" s="1189">
        <v>1492</v>
      </c>
      <c r="D180" s="1190">
        <f>+'F1 Non-SEZ'!H19</f>
        <v>0.93132999999999988</v>
      </c>
      <c r="E180" s="1190">
        <v>0.70727333100000001</v>
      </c>
      <c r="F180" s="1190">
        <v>0.41084322047999999</v>
      </c>
      <c r="G180" s="1190">
        <v>0.10899922175999999</v>
      </c>
      <c r="H180" s="1190"/>
      <c r="I180" s="1190"/>
      <c r="J180" s="1190">
        <v>3.4271100000000006E-3</v>
      </c>
      <c r="K180" s="58"/>
      <c r="L180" s="1190"/>
      <c r="M180" s="1191">
        <f t="shared" ref="M180:M192" si="25">SUM(E180:L180)</f>
        <v>1.2305428832400001</v>
      </c>
      <c r="N180" s="1190"/>
      <c r="O180" s="1191">
        <f t="shared" ref="O180:O192" si="26">+M180+N180</f>
        <v>1.2305428832400001</v>
      </c>
      <c r="P180" s="887">
        <f t="shared" ref="P180:P193" si="27">+IFERROR(O180/D180*10,0)</f>
        <v>13.212748255076077</v>
      </c>
      <c r="Q180" s="58"/>
      <c r="R180" s="58"/>
      <c r="S180" s="19"/>
    </row>
    <row r="181" spans="2:19" x14ac:dyDescent="0.35">
      <c r="B181" s="520" t="s">
        <v>1107</v>
      </c>
      <c r="C181" s="1189">
        <v>488</v>
      </c>
      <c r="D181" s="1190">
        <f>+'F1 Non-SEZ'!H20</f>
        <v>0.90188899999999994</v>
      </c>
      <c r="E181" s="1190">
        <v>0.18909300100000004</v>
      </c>
      <c r="F181" s="1190">
        <v>0.87020073704000001</v>
      </c>
      <c r="G181" s="1190">
        <v>0.10561564961999999</v>
      </c>
      <c r="H181" s="1194"/>
      <c r="I181" s="1194"/>
      <c r="J181" s="1190">
        <v>4.3356199999999991E-4</v>
      </c>
      <c r="K181" s="58"/>
      <c r="L181" s="1190"/>
      <c r="M181" s="1191">
        <f t="shared" si="25"/>
        <v>1.1653429496600001</v>
      </c>
      <c r="N181" s="1194"/>
      <c r="O181" s="1195">
        <f t="shared" si="26"/>
        <v>1.1653429496600001</v>
      </c>
      <c r="P181" s="887">
        <f t="shared" si="27"/>
        <v>12.92113496960269</v>
      </c>
      <c r="Q181" s="58"/>
      <c r="R181" s="58"/>
      <c r="S181" s="19"/>
    </row>
    <row r="182" spans="2:19" x14ac:dyDescent="0.35">
      <c r="B182" s="520" t="s">
        <v>1108</v>
      </c>
      <c r="C182" s="1189">
        <v>141</v>
      </c>
      <c r="D182" s="1190">
        <f>+'F1 Non-SEZ'!H21</f>
        <v>0.31589299999999998</v>
      </c>
      <c r="E182" s="1190">
        <v>6.4320000000000002E-2</v>
      </c>
      <c r="F182" s="1190">
        <v>0.43047477299999998</v>
      </c>
      <c r="G182" s="1190">
        <v>3.7006280999999995E-2</v>
      </c>
      <c r="H182" s="1190"/>
      <c r="I182" s="1190"/>
      <c r="J182" s="1190">
        <v>2.3265300000000004E-4</v>
      </c>
      <c r="K182" s="58"/>
      <c r="L182" s="1190"/>
      <c r="M182" s="1191">
        <f t="shared" si="25"/>
        <v>0.53203370699999997</v>
      </c>
      <c r="N182" s="1190"/>
      <c r="O182" s="1191">
        <f t="shared" si="26"/>
        <v>0.53203370699999997</v>
      </c>
      <c r="P182" s="887">
        <f t="shared" si="27"/>
        <v>16.842212616297289</v>
      </c>
      <c r="Q182" s="58"/>
      <c r="R182" s="58"/>
      <c r="S182" s="19"/>
    </row>
    <row r="183" spans="2:19" x14ac:dyDescent="0.35">
      <c r="B183" s="520" t="s">
        <v>1109</v>
      </c>
      <c r="C183" s="1189">
        <v>66</v>
      </c>
      <c r="D183" s="1190">
        <f>+'F1 Non-SEZ'!H22</f>
        <v>1.8567230000000001</v>
      </c>
      <c r="E183" s="1190">
        <v>0.125021934</v>
      </c>
      <c r="F183" s="1190">
        <v>2.8916946539999997</v>
      </c>
      <c r="G183" s="1190">
        <v>0.217294974</v>
      </c>
      <c r="H183" s="1190"/>
      <c r="I183" s="1190"/>
      <c r="J183" s="1190">
        <v>1.5679999999999999E-5</v>
      </c>
      <c r="K183" s="58"/>
      <c r="L183" s="1190"/>
      <c r="M183" s="1191">
        <f t="shared" si="25"/>
        <v>3.2340272419999998</v>
      </c>
      <c r="N183" s="1190"/>
      <c r="O183" s="1191">
        <f t="shared" si="26"/>
        <v>3.2340272419999998</v>
      </c>
      <c r="P183" s="887">
        <f t="shared" si="27"/>
        <v>17.417930633702493</v>
      </c>
      <c r="Q183" s="58"/>
      <c r="R183" s="58"/>
      <c r="S183" s="19"/>
    </row>
    <row r="184" spans="2:19" x14ac:dyDescent="0.35">
      <c r="B184" s="520" t="s">
        <v>1110</v>
      </c>
      <c r="C184" s="1189">
        <v>0</v>
      </c>
      <c r="D184" s="1190">
        <f>+'F1 Non-SEZ'!H23</f>
        <v>0</v>
      </c>
      <c r="E184" s="1190">
        <v>0</v>
      </c>
      <c r="F184" s="1190">
        <v>0</v>
      </c>
      <c r="G184" s="1190">
        <v>0</v>
      </c>
      <c r="H184" s="1190"/>
      <c r="I184" s="1190"/>
      <c r="J184" s="1190">
        <v>0</v>
      </c>
      <c r="K184" s="58"/>
      <c r="L184" s="1190"/>
      <c r="M184" s="1191">
        <f t="shared" si="25"/>
        <v>0</v>
      </c>
      <c r="N184" s="1190"/>
      <c r="O184" s="1191">
        <f t="shared" si="26"/>
        <v>0</v>
      </c>
      <c r="P184" s="887">
        <f t="shared" si="27"/>
        <v>0</v>
      </c>
      <c r="Q184" s="58"/>
      <c r="R184" s="58"/>
      <c r="S184" s="19"/>
    </row>
    <row r="185" spans="2:19" x14ac:dyDescent="0.35">
      <c r="B185" s="519" t="s">
        <v>1139</v>
      </c>
      <c r="C185" s="1189"/>
      <c r="D185" s="1190">
        <f>+'F1 Non-SEZ'!H24</f>
        <v>0</v>
      </c>
      <c r="E185" s="58"/>
      <c r="F185" s="1190"/>
      <c r="G185" s="58"/>
      <c r="H185" s="58"/>
      <c r="I185" s="58"/>
      <c r="J185" s="58"/>
      <c r="K185" s="58"/>
      <c r="L185" s="1190"/>
      <c r="M185" s="1191">
        <f t="shared" si="25"/>
        <v>0</v>
      </c>
      <c r="N185" s="1190"/>
      <c r="O185" s="1191">
        <f t="shared" si="26"/>
        <v>0</v>
      </c>
      <c r="P185" s="887">
        <f t="shared" si="27"/>
        <v>0</v>
      </c>
      <c r="Q185" s="58"/>
      <c r="R185" s="58"/>
      <c r="S185" s="19"/>
    </row>
    <row r="186" spans="2:19" x14ac:dyDescent="0.35">
      <c r="B186" s="520" t="s">
        <v>1140</v>
      </c>
      <c r="C186" s="1189">
        <v>38</v>
      </c>
      <c r="D186" s="1190">
        <f>+'F1 Non-SEZ'!H25</f>
        <v>0.15646300000000002</v>
      </c>
      <c r="E186" s="1190">
        <v>2.0448134000000003E-2</v>
      </c>
      <c r="F186" s="1190">
        <v>0.12959196500000003</v>
      </c>
      <c r="G186" s="1190">
        <v>1.8306171E-2</v>
      </c>
      <c r="H186" s="1190"/>
      <c r="I186" s="1190"/>
      <c r="J186" s="1190">
        <v>2.7731000000000003E-5</v>
      </c>
      <c r="K186" s="58"/>
      <c r="L186" s="1190"/>
      <c r="M186" s="1191">
        <f t="shared" si="25"/>
        <v>0.16837400100000005</v>
      </c>
      <c r="N186" s="1190"/>
      <c r="O186" s="1191">
        <f t="shared" si="26"/>
        <v>0.16837400100000005</v>
      </c>
      <c r="P186" s="887">
        <f t="shared" si="27"/>
        <v>10.761266305771972</v>
      </c>
      <c r="Q186" s="58"/>
      <c r="R186" s="58"/>
      <c r="S186" s="19"/>
    </row>
    <row r="187" spans="2:19" x14ac:dyDescent="0.35">
      <c r="B187" s="520" t="s">
        <v>1144</v>
      </c>
      <c r="C187" s="1189">
        <v>8</v>
      </c>
      <c r="D187" s="1190">
        <f>+'F1 Non-SEZ'!H26</f>
        <v>0.27486611</v>
      </c>
      <c r="E187" s="1190">
        <v>6.7268750000000002E-2</v>
      </c>
      <c r="F187" s="1190">
        <v>0.34715589692999999</v>
      </c>
      <c r="G187" s="1190">
        <v>3.215933487E-2</v>
      </c>
      <c r="H187" s="1197">
        <v>-1.9263088000000003E-3</v>
      </c>
      <c r="I187" s="1197">
        <v>-1.2379986999999999E-2</v>
      </c>
      <c r="J187" s="1190"/>
      <c r="K187" s="58"/>
      <c r="L187" s="1190"/>
      <c r="M187" s="1191">
        <f t="shared" si="25"/>
        <v>0.43227768599999999</v>
      </c>
      <c r="N187" s="1197"/>
      <c r="O187" s="1198">
        <f t="shared" si="26"/>
        <v>0.43227768599999999</v>
      </c>
      <c r="P187" s="887">
        <f t="shared" si="27"/>
        <v>15.726845554004456</v>
      </c>
      <c r="Q187" s="58"/>
      <c r="R187" s="58"/>
      <c r="S187" s="19"/>
    </row>
    <row r="188" spans="2:19" x14ac:dyDescent="0.35">
      <c r="B188" s="520" t="s">
        <v>1143</v>
      </c>
      <c r="C188" s="1189">
        <v>1</v>
      </c>
      <c r="D188" s="1190">
        <f>+'F1 Non-SEZ'!H27</f>
        <v>8.1854079999999996E-2</v>
      </c>
      <c r="E188" s="1190">
        <v>2.0572369999999996E-2</v>
      </c>
      <c r="F188" s="1190">
        <v>0.12220814144</v>
      </c>
      <c r="G188" s="1190">
        <v>9.5769273599999993E-3</v>
      </c>
      <c r="H188" s="1190"/>
      <c r="I188" s="1197">
        <v>-3.9354729999999984E-3</v>
      </c>
      <c r="J188" s="1190"/>
      <c r="K188" s="58"/>
      <c r="L188" s="1190"/>
      <c r="M188" s="1191">
        <f t="shared" si="25"/>
        <v>0.1484219658</v>
      </c>
      <c r="N188" s="1190"/>
      <c r="O188" s="1191">
        <f t="shared" si="26"/>
        <v>0.1484219658</v>
      </c>
      <c r="P188" s="887">
        <f t="shared" si="27"/>
        <v>18.132506748594572</v>
      </c>
      <c r="Q188" s="58"/>
      <c r="R188" s="58"/>
      <c r="S188" s="19"/>
    </row>
    <row r="189" spans="2:19" ht="25.5" x14ac:dyDescent="0.35">
      <c r="B189" s="519" t="s">
        <v>1111</v>
      </c>
      <c r="C189" s="1189">
        <v>2</v>
      </c>
      <c r="D189" s="1190">
        <f>+'F1 Non-SEZ'!H28</f>
        <v>0.45583488999999999</v>
      </c>
      <c r="E189" s="1190">
        <v>2.2628143999999999E-2</v>
      </c>
      <c r="F189" s="1190">
        <v>0.33184779991999996</v>
      </c>
      <c r="G189" s="1190">
        <v>5.3332682129999996E-2</v>
      </c>
      <c r="H189" s="1190">
        <v>2.8820966999999996E-3</v>
      </c>
      <c r="I189" s="1197">
        <v>4.9265899999999978E-4</v>
      </c>
      <c r="J189" s="1190"/>
      <c r="K189" s="58"/>
      <c r="L189" s="1190"/>
      <c r="M189" s="1191">
        <f t="shared" si="25"/>
        <v>0.41118338174999997</v>
      </c>
      <c r="N189" s="1190"/>
      <c r="O189" s="1191">
        <f t="shared" si="26"/>
        <v>0.41118338174999997</v>
      </c>
      <c r="P189" s="887">
        <f t="shared" si="27"/>
        <v>9.0204455773449013</v>
      </c>
      <c r="Q189" s="58"/>
      <c r="R189" s="58"/>
      <c r="S189" s="19"/>
    </row>
    <row r="190" spans="2:19" ht="25.5" x14ac:dyDescent="0.35">
      <c r="B190" s="519" t="s">
        <v>1135</v>
      </c>
      <c r="C190" s="1189">
        <v>1</v>
      </c>
      <c r="D190" s="1190">
        <f>+'F1 Non-SEZ'!H29</f>
        <v>1.1896999999999998E-2</v>
      </c>
      <c r="E190" s="1190">
        <v>6.3600000000000006E-4</v>
      </c>
      <c r="F190" s="1190">
        <v>7.1144060000000002E-3</v>
      </c>
      <c r="G190" s="1190">
        <v>1.3919489999999997E-3</v>
      </c>
      <c r="H190" s="1190"/>
      <c r="I190" s="1190"/>
      <c r="J190" s="1190"/>
      <c r="K190" s="58"/>
      <c r="L190" s="1190"/>
      <c r="M190" s="1191">
        <f t="shared" si="25"/>
        <v>9.1423549999999996E-3</v>
      </c>
      <c r="N190" s="1190"/>
      <c r="O190" s="1191">
        <f t="shared" si="26"/>
        <v>9.1423549999999996E-3</v>
      </c>
      <c r="P190" s="887">
        <f t="shared" si="27"/>
        <v>7.6845885517357324</v>
      </c>
      <c r="Q190" s="58"/>
      <c r="R190" s="58"/>
      <c r="S190" s="19"/>
    </row>
    <row r="191" spans="2:19" ht="25.5" x14ac:dyDescent="0.35">
      <c r="B191" s="519" t="s">
        <v>1136</v>
      </c>
      <c r="C191" s="1189"/>
      <c r="D191" s="1190">
        <f>+'F1 Non-SEZ'!H30</f>
        <v>0</v>
      </c>
      <c r="E191" s="1190"/>
      <c r="F191" s="1190"/>
      <c r="G191" s="1190"/>
      <c r="H191" s="1190"/>
      <c r="I191" s="1190"/>
      <c r="J191" s="1190"/>
      <c r="K191" s="58"/>
      <c r="L191" s="1190"/>
      <c r="M191" s="1191">
        <f t="shared" si="25"/>
        <v>0</v>
      </c>
      <c r="N191" s="1190"/>
      <c r="O191" s="1191">
        <f t="shared" si="26"/>
        <v>0</v>
      </c>
      <c r="P191" s="887">
        <f t="shared" si="27"/>
        <v>0</v>
      </c>
      <c r="Q191" s="58"/>
      <c r="R191" s="58"/>
      <c r="S191" s="19"/>
    </row>
    <row r="192" spans="2:19" x14ac:dyDescent="0.35">
      <c r="B192" s="519" t="s">
        <v>1142</v>
      </c>
      <c r="C192" s="1189">
        <v>6</v>
      </c>
      <c r="D192" s="1190">
        <f>+'F1 Non-SEZ'!H31</f>
        <v>9.4836839999999992E-3</v>
      </c>
      <c r="E192" s="1190">
        <v>3.0889759999999998E-3</v>
      </c>
      <c r="F192" s="1190">
        <v>5.7660798720000003E-3</v>
      </c>
      <c r="G192" s="1190">
        <v>1.1095910279999999E-3</v>
      </c>
      <c r="H192" s="1190">
        <v>-2.86705E-4</v>
      </c>
      <c r="I192" s="1197">
        <v>-3.3705400000000004E-4</v>
      </c>
      <c r="J192" s="1190"/>
      <c r="K192" s="58"/>
      <c r="L192" s="1190"/>
      <c r="M192" s="1191">
        <f t="shared" si="25"/>
        <v>9.3408879000000007E-3</v>
      </c>
      <c r="N192" s="1190"/>
      <c r="O192" s="1191">
        <f t="shared" si="26"/>
        <v>9.3408879000000007E-3</v>
      </c>
      <c r="P192" s="887">
        <f t="shared" si="27"/>
        <v>9.849429715287858</v>
      </c>
      <c r="Q192" s="58"/>
      <c r="R192" s="58"/>
      <c r="S192" s="19"/>
    </row>
    <row r="193" spans="2:19" x14ac:dyDescent="0.35">
      <c r="B193" s="518" t="s">
        <v>162</v>
      </c>
      <c r="C193" s="1192">
        <f>SUM(C180:C192)</f>
        <v>2243</v>
      </c>
      <c r="D193" s="1191">
        <f>SUM(D180:D192)</f>
        <v>4.9962337640000003</v>
      </c>
      <c r="E193" s="1191">
        <f>SUM(E180:E192)</f>
        <v>1.2203506400000002</v>
      </c>
      <c r="F193" s="1191">
        <f t="shared" ref="F193:O193" si="28">SUM(F180:F192)</f>
        <v>5.5468976736820013</v>
      </c>
      <c r="G193" s="1191">
        <f t="shared" si="28"/>
        <v>0.58479278176799987</v>
      </c>
      <c r="H193" s="1191">
        <f t="shared" si="28"/>
        <v>6.6908289999999932E-4</v>
      </c>
      <c r="I193" s="1191">
        <f t="shared" si="28"/>
        <v>-1.6159854999999997E-2</v>
      </c>
      <c r="J193" s="1191">
        <f t="shared" si="28"/>
        <v>4.1367359999999994E-3</v>
      </c>
      <c r="K193" s="1191">
        <f t="shared" si="28"/>
        <v>0</v>
      </c>
      <c r="L193" s="1191">
        <f t="shared" si="28"/>
        <v>0</v>
      </c>
      <c r="M193" s="1191">
        <f t="shared" si="28"/>
        <v>7.3406870593499995</v>
      </c>
      <c r="N193" s="1191">
        <f t="shared" si="28"/>
        <v>0</v>
      </c>
      <c r="O193" s="1191">
        <f t="shared" si="28"/>
        <v>7.3406870593499995</v>
      </c>
      <c r="P193" s="887">
        <f t="shared" si="27"/>
        <v>14.692441158864078</v>
      </c>
      <c r="Q193" s="58"/>
      <c r="R193" s="58"/>
      <c r="S193" s="19"/>
    </row>
    <row r="194" spans="2:19" x14ac:dyDescent="0.35">
      <c r="B194" s="518"/>
      <c r="C194" s="58"/>
      <c r="D194" s="1190"/>
      <c r="E194" s="1190"/>
      <c r="F194" s="1190"/>
      <c r="G194" s="1190"/>
      <c r="H194" s="1190"/>
      <c r="I194" s="1190"/>
      <c r="J194" s="1190"/>
      <c r="K194" s="58"/>
      <c r="L194" s="1190"/>
      <c r="M194" s="1190"/>
      <c r="N194" s="1190"/>
      <c r="O194" s="1190"/>
      <c r="P194" s="887"/>
      <c r="Q194" s="58"/>
      <c r="R194" s="58"/>
      <c r="S194" s="19"/>
    </row>
    <row r="195" spans="2:19" x14ac:dyDescent="0.35">
      <c r="B195" s="119" t="s">
        <v>164</v>
      </c>
      <c r="C195" s="1192">
        <f t="shared" ref="C195:O195" si="29">+C193+C177</f>
        <v>2247</v>
      </c>
      <c r="D195" s="1191">
        <f t="shared" si="29"/>
        <v>5.6102937896000009</v>
      </c>
      <c r="E195" s="1191">
        <f t="shared" si="29"/>
        <v>1.5192089750000002</v>
      </c>
      <c r="F195" s="1191">
        <f t="shared" si="29"/>
        <v>6.4298412516820012</v>
      </c>
      <c r="G195" s="1191">
        <f t="shared" si="29"/>
        <v>0.63499150476799993</v>
      </c>
      <c r="H195" s="1191">
        <f t="shared" si="29"/>
        <v>-1.4198340100000009E-2</v>
      </c>
      <c r="I195" s="1191">
        <f t="shared" si="29"/>
        <v>-1.6159854999999997E-2</v>
      </c>
      <c r="J195" s="1191">
        <f t="shared" si="29"/>
        <v>4.1367359999999994E-3</v>
      </c>
      <c r="K195" s="1191">
        <f t="shared" si="29"/>
        <v>0</v>
      </c>
      <c r="L195" s="1191">
        <f t="shared" si="29"/>
        <v>0</v>
      </c>
      <c r="M195" s="1191">
        <f t="shared" si="29"/>
        <v>8.5578202723499999</v>
      </c>
      <c r="N195" s="1191">
        <f t="shared" si="29"/>
        <v>0</v>
      </c>
      <c r="O195" s="1191">
        <f t="shared" si="29"/>
        <v>8.5578202723499999</v>
      </c>
      <c r="P195" s="887">
        <f>+IFERROR(O195/D195*10,0)</f>
        <v>15.253782766624331</v>
      </c>
      <c r="Q195" s="58"/>
      <c r="R195" s="58"/>
      <c r="S195" s="19"/>
    </row>
    <row r="196" spans="2:19" x14ac:dyDescent="0.35">
      <c r="B196" s="58"/>
      <c r="C196" s="93"/>
      <c r="D196" s="93"/>
      <c r="E196" s="93"/>
      <c r="F196" s="93"/>
      <c r="G196" s="93"/>
      <c r="H196" s="93"/>
      <c r="I196" s="93"/>
      <c r="J196" s="93"/>
      <c r="K196" s="93"/>
      <c r="L196" s="93"/>
      <c r="M196" s="93"/>
      <c r="N196" s="93"/>
      <c r="O196" s="93"/>
      <c r="P196" s="93"/>
      <c r="Q196" s="93"/>
      <c r="R196" s="93"/>
      <c r="S196" s="93"/>
    </row>
    <row r="199" spans="2:19" x14ac:dyDescent="0.35">
      <c r="B199" s="16" t="s">
        <v>114</v>
      </c>
    </row>
    <row r="200" spans="2:19" x14ac:dyDescent="0.35">
      <c r="B200" s="16" t="s">
        <v>187</v>
      </c>
    </row>
    <row r="201" spans="2:19" ht="40.5" x14ac:dyDescent="0.35">
      <c r="B201" s="1984" t="s">
        <v>699</v>
      </c>
      <c r="C201" s="106" t="s">
        <v>700</v>
      </c>
      <c r="D201" s="106" t="s">
        <v>701</v>
      </c>
      <c r="E201" s="106" t="s">
        <v>702</v>
      </c>
      <c r="F201" s="106" t="s">
        <v>703</v>
      </c>
      <c r="G201" s="106" t="s">
        <v>704</v>
      </c>
      <c r="H201" s="1188" t="s">
        <v>1449</v>
      </c>
      <c r="I201" s="1188" t="s">
        <v>1450</v>
      </c>
      <c r="J201" s="1188" t="s">
        <v>1451</v>
      </c>
      <c r="K201" s="106" t="s">
        <v>1448</v>
      </c>
      <c r="L201" s="106" t="s">
        <v>705</v>
      </c>
      <c r="M201" s="106" t="s">
        <v>706</v>
      </c>
      <c r="N201" s="106" t="s">
        <v>707</v>
      </c>
      <c r="O201" s="106" t="s">
        <v>708</v>
      </c>
      <c r="P201" s="106" t="s">
        <v>709</v>
      </c>
      <c r="Q201" s="106" t="s">
        <v>710</v>
      </c>
      <c r="R201" s="106" t="s">
        <v>711</v>
      </c>
      <c r="S201" s="106" t="s">
        <v>116</v>
      </c>
    </row>
    <row r="202" spans="2:19" ht="39.4" x14ac:dyDescent="0.35">
      <c r="B202" s="1984"/>
      <c r="C202" s="1188" t="s">
        <v>128</v>
      </c>
      <c r="D202" s="1188" t="s">
        <v>129</v>
      </c>
      <c r="E202" s="1188" t="s">
        <v>712</v>
      </c>
      <c r="F202" s="1188" t="s">
        <v>130</v>
      </c>
      <c r="G202" s="1188" t="s">
        <v>131</v>
      </c>
      <c r="H202" s="1188" t="s">
        <v>331</v>
      </c>
      <c r="I202" s="1188" t="s">
        <v>132</v>
      </c>
      <c r="J202" s="1188" t="s">
        <v>133</v>
      </c>
      <c r="K202" s="1188" t="s">
        <v>332</v>
      </c>
      <c r="L202" s="1188" t="s">
        <v>333</v>
      </c>
      <c r="M202" s="1188" t="s">
        <v>1452</v>
      </c>
      <c r="N202" s="1188" t="s">
        <v>529</v>
      </c>
      <c r="O202" s="1188" t="s">
        <v>1453</v>
      </c>
      <c r="P202" s="1188" t="s">
        <v>1454</v>
      </c>
      <c r="Q202" s="1188" t="s">
        <v>531</v>
      </c>
      <c r="R202" s="1188" t="s">
        <v>1455</v>
      </c>
      <c r="S202" s="1188" t="s">
        <v>533</v>
      </c>
    </row>
    <row r="203" spans="2:19" x14ac:dyDescent="0.35">
      <c r="B203" s="517" t="s">
        <v>161</v>
      </c>
      <c r="C203" s="93"/>
      <c r="D203" s="93"/>
      <c r="E203" s="93"/>
      <c r="F203" s="93"/>
      <c r="G203" s="93"/>
      <c r="H203" s="93"/>
      <c r="I203" s="93"/>
      <c r="J203" s="93"/>
      <c r="K203" s="93"/>
      <c r="L203" s="93"/>
      <c r="M203" s="93"/>
      <c r="N203" s="93"/>
      <c r="O203" s="93"/>
      <c r="P203" s="93"/>
      <c r="Q203" s="93"/>
      <c r="R203" s="93"/>
      <c r="S203" s="93"/>
    </row>
    <row r="204" spans="2:19" x14ac:dyDescent="0.35">
      <c r="B204" s="429" t="s">
        <v>1129</v>
      </c>
      <c r="C204" s="1189">
        <v>1</v>
      </c>
      <c r="D204" s="1190">
        <f>+'F1 Non-SEZ'!I12</f>
        <v>0.18479900000000216</v>
      </c>
      <c r="E204" s="1190">
        <v>0.10367595999999978</v>
      </c>
      <c r="F204" s="1190">
        <v>0.15101641999999885</v>
      </c>
      <c r="G204" s="1190">
        <v>1.2744000000000035E-2</v>
      </c>
      <c r="H204" s="1190">
        <v>7.5626640000000023E-2</v>
      </c>
      <c r="I204" s="1190"/>
      <c r="J204" s="1190"/>
      <c r="K204" s="58"/>
      <c r="L204" s="1190"/>
      <c r="M204" s="1191">
        <f>SUM(E204:L204)</f>
        <v>0.34306301999999866</v>
      </c>
      <c r="N204" s="1190"/>
      <c r="O204" s="1191">
        <f>+M204+N204</f>
        <v>0.34306301999999866</v>
      </c>
      <c r="P204" s="887">
        <f>+IFERROR(O204/D204*10,0)</f>
        <v>18.564116688942832</v>
      </c>
      <c r="Q204" s="58"/>
      <c r="R204" s="58"/>
      <c r="S204" s="19"/>
    </row>
    <row r="205" spans="2:19" x14ac:dyDescent="0.35">
      <c r="B205" s="429" t="s">
        <v>1130</v>
      </c>
      <c r="C205" s="1189">
        <v>3</v>
      </c>
      <c r="D205" s="1190">
        <f>+'F1 Non-SEZ'!I13</f>
        <v>0.46751607000000006</v>
      </c>
      <c r="E205" s="1190">
        <v>0.274765443</v>
      </c>
      <c r="F205" s="1190">
        <v>0.56063631300000005</v>
      </c>
      <c r="G205" s="1190">
        <v>2.9953860999999998E-2</v>
      </c>
      <c r="H205" s="1190">
        <v>-8.262112499999999E-2</v>
      </c>
      <c r="I205" s="1190"/>
      <c r="J205" s="1190"/>
      <c r="K205" s="58"/>
      <c r="L205" s="1190"/>
      <c r="M205" s="1191">
        <f>SUM(E205:L205)</f>
        <v>0.782734492</v>
      </c>
      <c r="N205" s="1190"/>
      <c r="O205" s="1191">
        <f>+M205+N205</f>
        <v>0.782734492</v>
      </c>
      <c r="P205" s="887">
        <f>+IFERROR(O205/D205*10,0)</f>
        <v>16.742408277003182</v>
      </c>
      <c r="Q205" s="58"/>
      <c r="R205" s="58"/>
      <c r="S205" s="19"/>
    </row>
    <row r="206" spans="2:19" x14ac:dyDescent="0.35">
      <c r="B206" s="429" t="s">
        <v>1131</v>
      </c>
      <c r="C206" s="1189"/>
      <c r="D206" s="1190">
        <f>+'F1 Non-SEZ'!I14</f>
        <v>0</v>
      </c>
      <c r="E206" s="1190"/>
      <c r="F206" s="1190"/>
      <c r="G206" s="1190"/>
      <c r="H206" s="1190"/>
      <c r="I206" s="1190"/>
      <c r="J206" s="1190"/>
      <c r="K206" s="58"/>
      <c r="L206" s="1190"/>
      <c r="M206" s="1191">
        <f>SUM(E206:L206)</f>
        <v>0</v>
      </c>
      <c r="N206" s="1190"/>
      <c r="O206" s="1191">
        <f>+M206+N206</f>
        <v>0</v>
      </c>
      <c r="P206" s="887">
        <f>+IFERROR(O206/D206*10,0)</f>
        <v>0</v>
      </c>
      <c r="Q206" s="58"/>
      <c r="R206" s="58"/>
      <c r="S206" s="19"/>
    </row>
    <row r="207" spans="2:19" ht="25.5" x14ac:dyDescent="0.35">
      <c r="B207" s="429" t="s">
        <v>1132</v>
      </c>
      <c r="C207" s="1189"/>
      <c r="D207" s="1190">
        <f>+'F1 Non-SEZ'!I15</f>
        <v>0</v>
      </c>
      <c r="E207" s="1190"/>
      <c r="F207" s="1190"/>
      <c r="G207" s="1190"/>
      <c r="H207" s="1190"/>
      <c r="I207" s="1190"/>
      <c r="J207" s="1190"/>
      <c r="K207" s="58"/>
      <c r="L207" s="1190"/>
      <c r="M207" s="1191">
        <f>SUM(E207:L207)</f>
        <v>0</v>
      </c>
      <c r="N207" s="1190"/>
      <c r="O207" s="1191">
        <f>+M207+N207</f>
        <v>0</v>
      </c>
      <c r="P207" s="887">
        <f>+IFERROR(O207/D207*10,0)</f>
        <v>0</v>
      </c>
      <c r="Q207" s="58"/>
      <c r="R207" s="58"/>
      <c r="S207" s="19"/>
    </row>
    <row r="208" spans="2:19" x14ac:dyDescent="0.35">
      <c r="B208" s="518" t="s">
        <v>162</v>
      </c>
      <c r="C208" s="1192">
        <f>SUM(C204:C207)</f>
        <v>4</v>
      </c>
      <c r="D208" s="1191">
        <f t="shared" ref="D208:O208" si="30">SUM(D204:D207)</f>
        <v>0.65231507000000222</v>
      </c>
      <c r="E208" s="1191">
        <f t="shared" si="30"/>
        <v>0.37844140299999979</v>
      </c>
      <c r="F208" s="1191">
        <f t="shared" si="30"/>
        <v>0.71165273299999887</v>
      </c>
      <c r="G208" s="1191">
        <f t="shared" si="30"/>
        <v>4.2697861000000031E-2</v>
      </c>
      <c r="H208" s="1191">
        <f t="shared" si="30"/>
        <v>-6.994484999999967E-3</v>
      </c>
      <c r="I208" s="1191">
        <f t="shared" si="30"/>
        <v>0</v>
      </c>
      <c r="J208" s="1191">
        <f t="shared" si="30"/>
        <v>0</v>
      </c>
      <c r="K208" s="1191">
        <f t="shared" si="30"/>
        <v>0</v>
      </c>
      <c r="L208" s="1191">
        <f t="shared" si="30"/>
        <v>0</v>
      </c>
      <c r="M208" s="1191">
        <f t="shared" si="30"/>
        <v>1.1257975119999988</v>
      </c>
      <c r="N208" s="1191">
        <f t="shared" si="30"/>
        <v>0</v>
      </c>
      <c r="O208" s="1191">
        <f t="shared" si="30"/>
        <v>1.1257975119999988</v>
      </c>
      <c r="P208" s="887">
        <f>+IFERROR(O208/D208*10,0)</f>
        <v>17.258493077585882</v>
      </c>
      <c r="Q208" s="58"/>
      <c r="R208" s="58"/>
      <c r="S208" s="19"/>
    </row>
    <row r="209" spans="2:19" x14ac:dyDescent="0.35">
      <c r="B209" s="517" t="s">
        <v>163</v>
      </c>
      <c r="C209" s="1189"/>
      <c r="D209" s="1190"/>
      <c r="E209" s="1190"/>
      <c r="F209" s="1190"/>
      <c r="G209" s="1190"/>
      <c r="H209" s="1190"/>
      <c r="I209" s="1190"/>
      <c r="J209" s="1190"/>
      <c r="K209" s="58"/>
      <c r="L209" s="1190"/>
      <c r="M209" s="1190"/>
      <c r="N209" s="1190"/>
      <c r="O209" s="1190"/>
      <c r="P209" s="887"/>
      <c r="Q209" s="58"/>
      <c r="R209" s="58"/>
      <c r="S209" s="19"/>
    </row>
    <row r="210" spans="2:19" x14ac:dyDescent="0.35">
      <c r="B210" s="519" t="s">
        <v>1133</v>
      </c>
      <c r="C210" s="1189"/>
      <c r="D210" s="1190"/>
      <c r="E210" s="1190"/>
      <c r="F210" s="1190"/>
      <c r="G210" s="1190"/>
      <c r="H210" s="1190"/>
      <c r="I210" s="1190"/>
      <c r="J210" s="1190"/>
      <c r="K210" s="58"/>
      <c r="L210" s="1190"/>
      <c r="M210" s="1190"/>
      <c r="N210" s="1190"/>
      <c r="O210" s="1190"/>
      <c r="P210" s="887"/>
      <c r="Q210" s="58"/>
      <c r="R210" s="58"/>
      <c r="S210" s="19"/>
    </row>
    <row r="211" spans="2:19" x14ac:dyDescent="0.35">
      <c r="B211" s="520" t="s">
        <v>1106</v>
      </c>
      <c r="C211" s="1189">
        <v>1303</v>
      </c>
      <c r="D211" s="1190">
        <f>+'F1 Non-SEZ'!I19</f>
        <v>1.2685139999999999</v>
      </c>
      <c r="E211" s="1190">
        <v>0.73835305299999987</v>
      </c>
      <c r="F211" s="1190">
        <v>0.5074055999999999</v>
      </c>
      <c r="G211" s="1190">
        <v>0.14841613799999998</v>
      </c>
      <c r="H211" s="1190"/>
      <c r="I211" s="1190"/>
      <c r="J211" s="1190">
        <v>0</v>
      </c>
      <c r="K211" s="58"/>
      <c r="L211" s="1190"/>
      <c r="M211" s="1191">
        <f t="shared" ref="M211:M223" si="31">SUM(E211:L211)</f>
        <v>1.3941747909999997</v>
      </c>
      <c r="N211" s="1190"/>
      <c r="O211" s="1191">
        <f t="shared" ref="O211:O223" si="32">+M211+N211</f>
        <v>1.3941747909999997</v>
      </c>
      <c r="P211" s="887">
        <f t="shared" ref="P211:P224" si="33">+IFERROR(O211/D211*10,0)</f>
        <v>10.990614143793444</v>
      </c>
      <c r="Q211" s="58"/>
      <c r="R211" s="58"/>
      <c r="S211" s="19"/>
    </row>
    <row r="212" spans="2:19" x14ac:dyDescent="0.35">
      <c r="B212" s="520" t="s">
        <v>1107</v>
      </c>
      <c r="C212" s="1189">
        <v>507</v>
      </c>
      <c r="D212" s="1190">
        <f>+'F1 Non-SEZ'!I20</f>
        <v>1.3396719999999998</v>
      </c>
      <c r="E212" s="1190">
        <v>0.27858770099999997</v>
      </c>
      <c r="F212" s="1190">
        <v>1.1722129999999999</v>
      </c>
      <c r="G212" s="1190">
        <v>0.156741624</v>
      </c>
      <c r="H212" s="1194"/>
      <c r="I212" s="1194"/>
      <c r="J212" s="1190">
        <v>0</v>
      </c>
      <c r="K212" s="58"/>
      <c r="L212" s="1190"/>
      <c r="M212" s="1191">
        <f t="shared" si="31"/>
        <v>1.6075423249999998</v>
      </c>
      <c r="N212" s="1194"/>
      <c r="O212" s="1195">
        <f t="shared" si="32"/>
        <v>1.6075423249999998</v>
      </c>
      <c r="P212" s="887">
        <f t="shared" si="33"/>
        <v>11.999521711284553</v>
      </c>
      <c r="Q212" s="58"/>
      <c r="R212" s="58"/>
      <c r="S212" s="19"/>
    </row>
    <row r="213" spans="2:19" x14ac:dyDescent="0.35">
      <c r="B213" s="520" t="s">
        <v>1108</v>
      </c>
      <c r="C213" s="1189">
        <v>269</v>
      </c>
      <c r="D213" s="1190">
        <f>+'F1 Non-SEZ'!I21</f>
        <v>0.51790599999999987</v>
      </c>
      <c r="E213" s="1190">
        <v>0.1087336</v>
      </c>
      <c r="F213" s="1190">
        <v>0.64064972199999981</v>
      </c>
      <c r="G213" s="1190">
        <v>6.0595001999999995E-2</v>
      </c>
      <c r="H213" s="1190"/>
      <c r="I213" s="1190"/>
      <c r="J213" s="1190">
        <v>0</v>
      </c>
      <c r="K213" s="58"/>
      <c r="L213" s="1190"/>
      <c r="M213" s="1191">
        <f t="shared" si="31"/>
        <v>0.80997832399999981</v>
      </c>
      <c r="N213" s="1190"/>
      <c r="O213" s="1191">
        <f t="shared" si="32"/>
        <v>0.80997832399999981</v>
      </c>
      <c r="P213" s="887">
        <f t="shared" si="33"/>
        <v>15.639485234772334</v>
      </c>
      <c r="Q213" s="58"/>
      <c r="R213" s="58"/>
      <c r="S213" s="19"/>
    </row>
    <row r="214" spans="2:19" x14ac:dyDescent="0.35">
      <c r="B214" s="520" t="s">
        <v>1109</v>
      </c>
      <c r="C214" s="1189">
        <v>193</v>
      </c>
      <c r="D214" s="1190">
        <f>+'F1 Non-SEZ'!I22</f>
        <v>1.9953139999999996</v>
      </c>
      <c r="E214" s="1190">
        <v>0.14582812699999997</v>
      </c>
      <c r="F214" s="1190">
        <v>2.8213739959999997</v>
      </c>
      <c r="G214" s="1190">
        <v>0.23345173799999996</v>
      </c>
      <c r="H214" s="1190"/>
      <c r="I214" s="1190"/>
      <c r="J214" s="1190">
        <v>0</v>
      </c>
      <c r="K214" s="58"/>
      <c r="L214" s="1190"/>
      <c r="M214" s="1191">
        <f t="shared" si="31"/>
        <v>3.2006538609999997</v>
      </c>
      <c r="N214" s="1190"/>
      <c r="O214" s="1191">
        <f t="shared" si="32"/>
        <v>3.2006538609999997</v>
      </c>
      <c r="P214" s="887">
        <f t="shared" si="33"/>
        <v>16.040853023634376</v>
      </c>
      <c r="Q214" s="58"/>
      <c r="R214" s="58"/>
      <c r="S214" s="19"/>
    </row>
    <row r="215" spans="2:19" x14ac:dyDescent="0.35">
      <c r="B215" s="520" t="s">
        <v>1110</v>
      </c>
      <c r="C215" s="1189">
        <v>0</v>
      </c>
      <c r="D215" s="1190">
        <f>+'F1 Non-SEZ'!I23</f>
        <v>0</v>
      </c>
      <c r="E215" s="1190">
        <v>0</v>
      </c>
      <c r="F215" s="1190">
        <v>0</v>
      </c>
      <c r="G215" s="1190"/>
      <c r="H215" s="1190"/>
      <c r="I215" s="1190"/>
      <c r="J215" s="1190">
        <v>0</v>
      </c>
      <c r="K215" s="58"/>
      <c r="L215" s="1190"/>
      <c r="M215" s="1191">
        <f t="shared" si="31"/>
        <v>0</v>
      </c>
      <c r="N215" s="1190"/>
      <c r="O215" s="1191">
        <f t="shared" si="32"/>
        <v>0</v>
      </c>
      <c r="P215" s="887">
        <f t="shared" si="33"/>
        <v>0</v>
      </c>
      <c r="Q215" s="58"/>
      <c r="R215" s="58"/>
      <c r="S215" s="19"/>
    </row>
    <row r="216" spans="2:19" x14ac:dyDescent="0.35">
      <c r="B216" s="519" t="s">
        <v>1139</v>
      </c>
      <c r="C216" s="1189"/>
      <c r="D216" s="1190">
        <f>+'F1 Non-SEZ'!I24</f>
        <v>0</v>
      </c>
      <c r="E216" s="58"/>
      <c r="F216" s="1190"/>
      <c r="G216" s="58"/>
      <c r="H216" s="58"/>
      <c r="I216" s="58"/>
      <c r="J216" s="58"/>
      <c r="K216" s="58"/>
      <c r="L216" s="1190"/>
      <c r="M216" s="1191">
        <f t="shared" si="31"/>
        <v>0</v>
      </c>
      <c r="N216" s="1190"/>
      <c r="O216" s="1191">
        <f t="shared" si="32"/>
        <v>0</v>
      </c>
      <c r="P216" s="887">
        <f t="shared" si="33"/>
        <v>0</v>
      </c>
      <c r="Q216" s="58"/>
      <c r="R216" s="58"/>
      <c r="S216" s="19"/>
    </row>
    <row r="217" spans="2:19" x14ac:dyDescent="0.35">
      <c r="B217" s="520" t="s">
        <v>1140</v>
      </c>
      <c r="C217" s="1189">
        <v>42</v>
      </c>
      <c r="D217" s="1190">
        <f>+'F1 Non-SEZ'!I25</f>
        <v>0.25776300000000002</v>
      </c>
      <c r="E217" s="1190">
        <v>2.5501888000000004E-2</v>
      </c>
      <c r="F217" s="1190">
        <v>0.18721427300000004</v>
      </c>
      <c r="G217" s="1190">
        <v>3.0158270999999997E-2</v>
      </c>
      <c r="H217" s="1190"/>
      <c r="I217" s="1190"/>
      <c r="J217" s="1190"/>
      <c r="K217" s="58"/>
      <c r="L217" s="1190"/>
      <c r="M217" s="1191">
        <f t="shared" si="31"/>
        <v>0.24287443200000003</v>
      </c>
      <c r="N217" s="1190"/>
      <c r="O217" s="1191">
        <f t="shared" si="32"/>
        <v>0.24287443200000003</v>
      </c>
      <c r="P217" s="887">
        <f t="shared" si="33"/>
        <v>9.4223931285715956</v>
      </c>
      <c r="Q217" s="58"/>
      <c r="R217" s="58"/>
      <c r="S217" s="19"/>
    </row>
    <row r="218" spans="2:19" x14ac:dyDescent="0.35">
      <c r="B218" s="520" t="s">
        <v>1144</v>
      </c>
      <c r="C218" s="1189">
        <v>9</v>
      </c>
      <c r="D218" s="1190">
        <f>+'F1 Non-SEZ'!I26</f>
        <v>0.48194874999999998</v>
      </c>
      <c r="E218" s="1190">
        <v>0.118468462</v>
      </c>
      <c r="F218" s="1190">
        <v>0.53303531749999999</v>
      </c>
      <c r="G218" s="1190">
        <v>5.6388003749999992E-2</v>
      </c>
      <c r="H218" s="1197">
        <v>4.2870180000000001E-3</v>
      </c>
      <c r="I218" s="1197">
        <v>-2.0423569000000003E-2</v>
      </c>
      <c r="J218" s="1190">
        <v>0</v>
      </c>
      <c r="K218" s="58"/>
      <c r="L218" s="1190"/>
      <c r="M218" s="1191">
        <f t="shared" si="31"/>
        <v>0.69175523225000002</v>
      </c>
      <c r="N218" s="1197"/>
      <c r="O218" s="1198">
        <f t="shared" si="32"/>
        <v>0.69175523225000002</v>
      </c>
      <c r="P218" s="887">
        <f t="shared" si="33"/>
        <v>14.353294458176311</v>
      </c>
      <c r="Q218" s="58"/>
      <c r="R218" s="58"/>
      <c r="S218" s="19"/>
    </row>
    <row r="219" spans="2:19" x14ac:dyDescent="0.35">
      <c r="B219" s="520" t="s">
        <v>1143</v>
      </c>
      <c r="C219" s="1189">
        <v>1</v>
      </c>
      <c r="D219" s="1190">
        <f>+'F1 Non-SEZ'!I27</f>
        <v>8.7541799999999989E-2</v>
      </c>
      <c r="E219" s="1190">
        <v>2.0920405E-2</v>
      </c>
      <c r="F219" s="1190">
        <v>0.11441713259999998</v>
      </c>
      <c r="G219" s="1190">
        <v>1.0242390599999998E-2</v>
      </c>
      <c r="H219" s="1197">
        <v>1.1625070000000001E-3</v>
      </c>
      <c r="I219" s="1197">
        <v>-3.8721350000000005E-3</v>
      </c>
      <c r="J219" s="1190">
        <v>0</v>
      </c>
      <c r="K219" s="58"/>
      <c r="L219" s="1190"/>
      <c r="M219" s="1191">
        <f t="shared" si="31"/>
        <v>0.14287030019999999</v>
      </c>
      <c r="N219" s="1190"/>
      <c r="O219" s="1191">
        <f t="shared" si="32"/>
        <v>0.14287030019999999</v>
      </c>
      <c r="P219" s="887">
        <f t="shared" si="33"/>
        <v>16.320237897781404</v>
      </c>
      <c r="Q219" s="58"/>
      <c r="R219" s="58"/>
      <c r="S219" s="19"/>
    </row>
    <row r="220" spans="2:19" ht="25.5" x14ac:dyDescent="0.35">
      <c r="B220" s="519" t="s">
        <v>1111</v>
      </c>
      <c r="C220" s="1189">
        <v>2</v>
      </c>
      <c r="D220" s="1190">
        <f>+'F1 Non-SEZ'!I28</f>
        <v>0.56095090999999997</v>
      </c>
      <c r="E220" s="1190">
        <v>2.0725408000000001E-2</v>
      </c>
      <c r="F220" s="1190">
        <v>0.40051894974000007</v>
      </c>
      <c r="G220" s="1458">
        <v>6.5631256469999996E-2</v>
      </c>
      <c r="H220" s="1190">
        <v>-7.6215700000000011E-3</v>
      </c>
      <c r="I220" s="1190">
        <v>-2.644094E-3</v>
      </c>
      <c r="J220" s="1190"/>
      <c r="K220" s="58"/>
      <c r="L220" s="1190"/>
      <c r="M220" s="1191">
        <f t="shared" si="31"/>
        <v>0.47660995021000008</v>
      </c>
      <c r="N220" s="1190"/>
      <c r="O220" s="1191">
        <f t="shared" si="32"/>
        <v>0.47660995021000008</v>
      </c>
      <c r="P220" s="887">
        <f t="shared" si="33"/>
        <v>8.4964645161196035</v>
      </c>
      <c r="Q220" s="58"/>
      <c r="R220" s="58"/>
      <c r="S220" s="19"/>
    </row>
    <row r="221" spans="2:19" ht="25.5" x14ac:dyDescent="0.35">
      <c r="B221" s="519" t="s">
        <v>1135</v>
      </c>
      <c r="C221" s="1189">
        <v>1</v>
      </c>
      <c r="D221" s="1190">
        <f>+'F1 Non-SEZ'!I29</f>
        <v>1.0749E-2</v>
      </c>
      <c r="E221" s="1190">
        <v>6.9960000000000009E-4</v>
      </c>
      <c r="F221" s="1190">
        <v>5.6324759999999974E-3</v>
      </c>
      <c r="G221" s="1190">
        <v>1.2576329999999985E-3</v>
      </c>
      <c r="H221" s="1190"/>
      <c r="I221" s="1190"/>
      <c r="J221" s="1190"/>
      <c r="K221" s="58"/>
      <c r="L221" s="1190"/>
      <c r="M221" s="1191">
        <f t="shared" si="31"/>
        <v>7.5897089999999957E-3</v>
      </c>
      <c r="N221" s="1190"/>
      <c r="O221" s="1191">
        <f t="shared" si="32"/>
        <v>7.5897089999999957E-3</v>
      </c>
      <c r="P221" s="887">
        <f t="shared" si="33"/>
        <v>7.0608512419759943</v>
      </c>
      <c r="Q221" s="58"/>
      <c r="R221" s="58"/>
      <c r="S221" s="19"/>
    </row>
    <row r="222" spans="2:19" ht="25.5" x14ac:dyDescent="0.35">
      <c r="B222" s="519" t="s">
        <v>1136</v>
      </c>
      <c r="C222" s="1189"/>
      <c r="D222" s="1190">
        <f>+'F1 Non-SEZ'!I30</f>
        <v>0</v>
      </c>
      <c r="E222" s="1190"/>
      <c r="F222" s="1190"/>
      <c r="G222" s="1190"/>
      <c r="H222" s="1190"/>
      <c r="I222" s="1190"/>
      <c r="J222" s="1190"/>
      <c r="K222" s="58"/>
      <c r="L222" s="1190"/>
      <c r="M222" s="1191">
        <f t="shared" si="31"/>
        <v>0</v>
      </c>
      <c r="N222" s="1190"/>
      <c r="O222" s="1191">
        <f t="shared" si="32"/>
        <v>0</v>
      </c>
      <c r="P222" s="887">
        <f t="shared" si="33"/>
        <v>0</v>
      </c>
      <c r="Q222" s="58"/>
      <c r="R222" s="58"/>
      <c r="S222" s="19"/>
    </row>
    <row r="223" spans="2:19" x14ac:dyDescent="0.35">
      <c r="B223" s="519" t="s">
        <v>1142</v>
      </c>
      <c r="C223" s="1189">
        <v>10</v>
      </c>
      <c r="D223" s="1190">
        <f>+'F1 Non-SEZ'!I31</f>
        <v>3.2286402999999991E-2</v>
      </c>
      <c r="E223" s="1190">
        <v>6.510199999999999E-3</v>
      </c>
      <c r="F223" s="1190">
        <v>1.8048099277000001E-2</v>
      </c>
      <c r="G223" s="1457">
        <v>3.7775091509999999E-3</v>
      </c>
      <c r="H223" s="1190">
        <v>-2.2802140299999999E-3</v>
      </c>
      <c r="I223" s="1190">
        <v>-9.1071999999999985E-4</v>
      </c>
      <c r="J223" s="1190"/>
      <c r="K223" s="58"/>
      <c r="L223" s="1190"/>
      <c r="M223" s="1191">
        <f t="shared" si="31"/>
        <v>2.5144874397999995E-2</v>
      </c>
      <c r="N223" s="1190"/>
      <c r="O223" s="1191">
        <f t="shared" si="32"/>
        <v>2.5144874397999995E-2</v>
      </c>
      <c r="P223" s="887">
        <f t="shared" si="33"/>
        <v>7.7880692990172999</v>
      </c>
      <c r="Q223" s="58"/>
      <c r="R223" s="58"/>
      <c r="S223" s="19"/>
    </row>
    <row r="224" spans="2:19" x14ac:dyDescent="0.35">
      <c r="B224" s="518" t="s">
        <v>162</v>
      </c>
      <c r="C224" s="1192">
        <f>SUM(C211:C223)</f>
        <v>2337</v>
      </c>
      <c r="D224" s="1191">
        <f>SUM(D211:D223)</f>
        <v>6.5526458629999986</v>
      </c>
      <c r="E224" s="1191">
        <f>SUM(E211:E223)</f>
        <v>1.4643284439999997</v>
      </c>
      <c r="F224" s="1191">
        <f>SUM(F211:F223)</f>
        <v>6.4005085661169989</v>
      </c>
      <c r="G224" s="1191">
        <f t="shared" ref="G224:O224" si="34">SUM(G211:G223)</f>
        <v>0.76665956597099993</v>
      </c>
      <c r="H224" s="1191">
        <f t="shared" si="34"/>
        <v>-4.4522590300000008E-3</v>
      </c>
      <c r="I224" s="1191">
        <f t="shared" si="34"/>
        <v>-2.7850518000000001E-2</v>
      </c>
      <c r="J224" s="1191">
        <f t="shared" si="34"/>
        <v>0</v>
      </c>
      <c r="K224" s="1191">
        <f t="shared" si="34"/>
        <v>0</v>
      </c>
      <c r="L224" s="1191">
        <f t="shared" si="34"/>
        <v>0</v>
      </c>
      <c r="M224" s="1191">
        <f t="shared" si="34"/>
        <v>8.5991937990579981</v>
      </c>
      <c r="N224" s="1191">
        <f t="shared" si="34"/>
        <v>0</v>
      </c>
      <c r="O224" s="1191">
        <f t="shared" si="34"/>
        <v>8.5991937990579981</v>
      </c>
      <c r="P224" s="887">
        <f t="shared" si="33"/>
        <v>13.12323903785795</v>
      </c>
      <c r="Q224" s="58"/>
      <c r="R224" s="58"/>
      <c r="S224" s="19"/>
    </row>
    <row r="225" spans="2:19" x14ac:dyDescent="0.35">
      <c r="B225" s="518"/>
      <c r="C225" s="58"/>
      <c r="D225" s="1190"/>
      <c r="E225" s="1190"/>
      <c r="F225" s="1190"/>
      <c r="G225" s="1190"/>
      <c r="H225" s="1190"/>
      <c r="I225" s="1190"/>
      <c r="J225" s="1190"/>
      <c r="K225" s="58"/>
      <c r="L225" s="1190"/>
      <c r="M225" s="1190"/>
      <c r="N225" s="1190"/>
      <c r="O225" s="1190"/>
      <c r="P225" s="887"/>
      <c r="Q225" s="58"/>
      <c r="R225" s="58"/>
      <c r="S225" s="19"/>
    </row>
    <row r="226" spans="2:19" x14ac:dyDescent="0.35">
      <c r="B226" s="119" t="s">
        <v>164</v>
      </c>
      <c r="C226" s="1192">
        <f t="shared" ref="C226:O226" si="35">+C224+C208</f>
        <v>2341</v>
      </c>
      <c r="D226" s="1191">
        <f t="shared" si="35"/>
        <v>7.2049609330000006</v>
      </c>
      <c r="E226" s="1191">
        <f t="shared" si="35"/>
        <v>1.8427698469999996</v>
      </c>
      <c r="F226" s="1191">
        <f t="shared" si="35"/>
        <v>7.1121612991169982</v>
      </c>
      <c r="G226" s="1191">
        <f t="shared" si="35"/>
        <v>0.80935742697099999</v>
      </c>
      <c r="H226" s="1191">
        <f t="shared" si="35"/>
        <v>-1.1446744029999968E-2</v>
      </c>
      <c r="I226" s="1191">
        <f t="shared" si="35"/>
        <v>-2.7850518000000001E-2</v>
      </c>
      <c r="J226" s="1191">
        <f t="shared" si="35"/>
        <v>0</v>
      </c>
      <c r="K226" s="1191">
        <f t="shared" si="35"/>
        <v>0</v>
      </c>
      <c r="L226" s="1191">
        <f t="shared" si="35"/>
        <v>0</v>
      </c>
      <c r="M226" s="1191">
        <f t="shared" si="35"/>
        <v>9.7249913110579964</v>
      </c>
      <c r="N226" s="1191">
        <f t="shared" si="35"/>
        <v>0</v>
      </c>
      <c r="O226" s="1191">
        <f t="shared" si="35"/>
        <v>9.7249913110579964</v>
      </c>
      <c r="P226" s="887">
        <f>+IFERROR(O226/D226*10,0)</f>
        <v>13.497632258512059</v>
      </c>
      <c r="Q226" s="58"/>
      <c r="R226" s="58"/>
      <c r="S226" s="19"/>
    </row>
    <row r="227" spans="2:19" x14ac:dyDescent="0.35">
      <c r="B227" s="58"/>
      <c r="C227" s="93"/>
      <c r="D227" s="93"/>
      <c r="E227" s="93"/>
      <c r="F227" s="93"/>
      <c r="G227" s="93"/>
      <c r="H227" s="93"/>
      <c r="I227" s="93"/>
      <c r="J227" s="93"/>
      <c r="K227" s="93"/>
      <c r="L227" s="93"/>
      <c r="M227" s="93"/>
      <c r="N227" s="93"/>
      <c r="O227" s="93"/>
      <c r="P227" s="93"/>
      <c r="Q227" s="93"/>
      <c r="R227" s="93"/>
      <c r="S227" s="93"/>
    </row>
    <row r="237" spans="2:19" x14ac:dyDescent="0.35">
      <c r="B237" s="16"/>
    </row>
  </sheetData>
  <mergeCells count="10">
    <mergeCell ref="B110:B111"/>
    <mergeCell ref="B140:B141"/>
    <mergeCell ref="B170:B171"/>
    <mergeCell ref="B201:B202"/>
    <mergeCell ref="B2:S2"/>
    <mergeCell ref="B3:S3"/>
    <mergeCell ref="B4:S4"/>
    <mergeCell ref="B8:B9"/>
    <mergeCell ref="B44:B45"/>
    <mergeCell ref="B80:B81"/>
  </mergeCells>
  <pageMargins left="0.39370078740157483" right="0.47244094488188981" top="0.70866141732283472" bottom="1.8897637795275593" header="0.51181102362204722" footer="0.51181102362204722"/>
  <pageSetup paperSize="9" scale="39" fitToHeight="2" orientation="landscape" r:id="rId1"/>
  <headerFooter alignWithMargins="0"/>
  <rowBreaks count="5" manualBreakCount="5">
    <brk id="41" min="1" max="18" man="1"/>
    <brk id="77" min="1" max="18" man="1"/>
    <brk id="107" min="1" max="18" man="1"/>
    <brk id="137" min="1" max="18" man="1"/>
    <brk id="167" min="1" max="1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C4EB7-7A83-4FAC-B685-5AC497DFDB0A}">
  <dimension ref="C3:V35"/>
  <sheetViews>
    <sheetView showGridLines="0" workbookViewId="0">
      <selection activeCell="C90" sqref="B90:P113"/>
    </sheetView>
  </sheetViews>
  <sheetFormatPr defaultColWidth="8.86328125" defaultRowHeight="13.15" x14ac:dyDescent="0.35"/>
  <cols>
    <col min="1" max="2" width="8.86328125" style="729"/>
    <col min="3" max="3" width="30.6640625" style="729" customWidth="1"/>
    <col min="4" max="4" width="8.86328125" style="729"/>
    <col min="5" max="11" width="11.53125" style="729" customWidth="1"/>
    <col min="12" max="13" width="8.86328125" style="729"/>
    <col min="14" max="14" width="29" style="729" customWidth="1"/>
    <col min="15" max="15" width="8.86328125" style="729"/>
    <col min="16" max="22" width="11.53125" style="729" customWidth="1"/>
    <col min="23" max="16384" width="8.86328125" style="729"/>
  </cols>
  <sheetData>
    <row r="3" spans="3:22" x14ac:dyDescent="0.35">
      <c r="C3" s="2081" t="s">
        <v>1025</v>
      </c>
      <c r="D3" s="2081"/>
      <c r="E3" s="2081"/>
      <c r="F3" s="2081"/>
      <c r="G3" s="2081"/>
      <c r="H3" s="2081"/>
      <c r="I3" s="2081"/>
      <c r="J3" s="2081"/>
      <c r="K3" s="2081"/>
      <c r="N3" s="2081" t="s">
        <v>1026</v>
      </c>
      <c r="O3" s="2081"/>
      <c r="P3" s="2081"/>
      <c r="Q3" s="2081"/>
      <c r="R3" s="2081"/>
      <c r="S3" s="2081"/>
      <c r="T3" s="2081"/>
      <c r="U3" s="2081"/>
      <c r="V3" s="2081"/>
    </row>
    <row r="4" spans="3:22" x14ac:dyDescent="0.35">
      <c r="C4" s="2080" t="s">
        <v>1562</v>
      </c>
      <c r="D4" s="2080"/>
      <c r="E4" s="2080"/>
      <c r="F4" s="2080"/>
      <c r="G4" s="2080"/>
      <c r="H4" s="2080"/>
      <c r="I4" s="2080"/>
      <c r="J4" s="2080"/>
      <c r="K4" s="2080"/>
      <c r="N4" s="2080" t="s">
        <v>1562</v>
      </c>
      <c r="O4" s="2080"/>
      <c r="P4" s="2080"/>
      <c r="Q4" s="2080"/>
      <c r="R4" s="2080"/>
      <c r="S4" s="2080"/>
      <c r="T4" s="2080"/>
      <c r="U4" s="2080"/>
      <c r="V4" s="2080"/>
    </row>
    <row r="5" spans="3:22" ht="38.25" x14ac:dyDescent="0.35">
      <c r="C5" s="1343" t="s">
        <v>1551</v>
      </c>
      <c r="D5" s="1343" t="s">
        <v>1563</v>
      </c>
      <c r="E5" s="1343" t="s">
        <v>1552</v>
      </c>
      <c r="F5" s="1344" t="s">
        <v>1553</v>
      </c>
      <c r="G5" s="1343" t="s">
        <v>1554</v>
      </c>
      <c r="H5" s="1343" t="s">
        <v>1556</v>
      </c>
      <c r="I5" s="1343" t="s">
        <v>1555</v>
      </c>
      <c r="J5" s="1343" t="s">
        <v>1557</v>
      </c>
      <c r="K5" s="1343" t="s">
        <v>1558</v>
      </c>
      <c r="N5" s="1343" t="s">
        <v>1551</v>
      </c>
      <c r="O5" s="1343" t="s">
        <v>1563</v>
      </c>
      <c r="P5" s="1343" t="s">
        <v>1552</v>
      </c>
      <c r="Q5" s="1344" t="s">
        <v>1553</v>
      </c>
      <c r="R5" s="1343" t="s">
        <v>1554</v>
      </c>
      <c r="S5" s="1343" t="s">
        <v>1556</v>
      </c>
      <c r="T5" s="1343" t="s">
        <v>1555</v>
      </c>
      <c r="U5" s="1343" t="s">
        <v>1557</v>
      </c>
      <c r="V5" s="1343" t="s">
        <v>1558</v>
      </c>
    </row>
    <row r="6" spans="3:22" x14ac:dyDescent="0.35">
      <c r="C6" s="1345" t="s">
        <v>1561</v>
      </c>
      <c r="D6" s="1351" t="s">
        <v>236</v>
      </c>
      <c r="E6" s="1350">
        <f>SUM('F1 SEZ'!C261:E261)</f>
        <v>27.773928000000002</v>
      </c>
      <c r="F6" s="1349">
        <f>SUM('F1 SEZ'!C262:E262)</f>
        <v>4.4582494611142848E-3</v>
      </c>
      <c r="G6" s="1345"/>
      <c r="H6" s="1345"/>
      <c r="I6" s="1345"/>
      <c r="J6" s="1345"/>
      <c r="K6" s="1345"/>
      <c r="N6" s="1345" t="s">
        <v>1561</v>
      </c>
      <c r="O6" s="1351" t="s">
        <v>236</v>
      </c>
      <c r="P6" s="1350">
        <f>SUM('F1 Non-SEZ'!C261:E261)</f>
        <v>6.5999000000000141E-2</v>
      </c>
      <c r="Q6" s="1349">
        <f>SUM('F1 Non-SEZ'!C262:E262)</f>
        <v>0.14208760699278444</v>
      </c>
      <c r="R6" s="1349">
        <f>SUM('F1 Non-SEZ'!C268:E271)</f>
        <v>2.0836691365220315</v>
      </c>
      <c r="S6" s="1349">
        <f>SUM('F1 Non-SEZ'!C275:E275)</f>
        <v>0.12156443532235853</v>
      </c>
      <c r="T6" s="1349">
        <f>SUM('F1 Non-SEZ'!C276:E276)</f>
        <v>4.103448528709272E-2</v>
      </c>
      <c r="U6" s="1349">
        <f>SUM('F1 Non-SEZ'!C277:E277)</f>
        <v>0.1974294734896252</v>
      </c>
      <c r="V6" s="1349">
        <f>SUM('F1 Non-SEZ'!C280:E280)</f>
        <v>3.627569767379513E-3</v>
      </c>
    </row>
    <row r="7" spans="3:22" ht="13.9" x14ac:dyDescent="0.35">
      <c r="C7" s="1325" t="s">
        <v>1540</v>
      </c>
      <c r="D7" s="1352" t="s">
        <v>236</v>
      </c>
      <c r="E7" s="741">
        <f>+E$6*Assum!E119</f>
        <v>9.0674395168592827</v>
      </c>
      <c r="F7" s="741">
        <f>+F$6*Assum!F119</f>
        <v>8.37197039632988E-4</v>
      </c>
      <c r="G7" s="724"/>
      <c r="H7" s="733"/>
      <c r="I7" s="733"/>
      <c r="J7" s="733"/>
      <c r="K7" s="733"/>
      <c r="N7" s="1325" t="s">
        <v>1540</v>
      </c>
      <c r="O7" s="1352" t="s">
        <v>236</v>
      </c>
      <c r="P7" s="741">
        <f>+P$6*Assum!E119</f>
        <v>2.1546896091658229E-2</v>
      </c>
      <c r="Q7" s="741">
        <f>+Q$6*Assum!F119</f>
        <v>2.6682069942574087E-2</v>
      </c>
      <c r="R7" s="741">
        <f>+R$6*Assum!G119</f>
        <v>0</v>
      </c>
      <c r="S7" s="741">
        <f>+S$6*Assum!H119</f>
        <v>2.1739790011713937E-2</v>
      </c>
      <c r="T7" s="741">
        <f>+T$6*Assum!I119</f>
        <v>3.9365149972746547E-3</v>
      </c>
      <c r="U7" s="741">
        <f>+U$6*Assum!J119</f>
        <v>5.7696579762673318E-2</v>
      </c>
      <c r="V7" s="741">
        <f>+V$6*Assum!K119</f>
        <v>1.9515069495386281E-3</v>
      </c>
    </row>
    <row r="8" spans="3:22" ht="27.75" x14ac:dyDescent="0.35">
      <c r="C8" s="1325" t="s">
        <v>1541</v>
      </c>
      <c r="D8" s="1352" t="s">
        <v>236</v>
      </c>
      <c r="E8" s="741">
        <f>+E$6*Assum!E120</f>
        <v>10.517713658352639</v>
      </c>
      <c r="F8" s="741">
        <f>+F$6*Assum!F120</f>
        <v>1.9000636015495712E-3</v>
      </c>
      <c r="G8" s="724"/>
      <c r="H8" s="733"/>
      <c r="I8" s="733"/>
      <c r="J8" s="733"/>
      <c r="K8" s="733"/>
      <c r="N8" s="1325" t="s">
        <v>1541</v>
      </c>
      <c r="O8" s="1352" t="s">
        <v>236</v>
      </c>
      <c r="P8" s="741">
        <f>+P$6*Assum!E120</f>
        <v>2.4993172868368396E-2</v>
      </c>
      <c r="Q8" s="741">
        <f>+Q$6*Assum!F120</f>
        <v>6.055638937054747E-2</v>
      </c>
      <c r="R8" s="741">
        <f>+R$6*Assum!G120</f>
        <v>0</v>
      </c>
      <c r="S8" s="741">
        <f>+S$6*Assum!H120</f>
        <v>5.697540386582698E-2</v>
      </c>
      <c r="T8" s="741">
        <f>+T$6*Assum!I120</f>
        <v>2.3719456948830372E-2</v>
      </c>
      <c r="U8" s="741">
        <f>+U$6*Assum!J120</f>
        <v>7.7831982190579671E-2</v>
      </c>
      <c r="V8" s="741">
        <f>+V$6*Assum!K120</f>
        <v>8.3580858873951065E-4</v>
      </c>
    </row>
    <row r="9" spans="3:22" ht="13.9" x14ac:dyDescent="0.35">
      <c r="C9" s="1325" t="s">
        <v>1542</v>
      </c>
      <c r="D9" s="1352" t="s">
        <v>236</v>
      </c>
      <c r="E9" s="741">
        <f>+E$6*Assum!E121</f>
        <v>3.4939298745865108</v>
      </c>
      <c r="F9" s="741">
        <f>+F$6*Assum!F121</f>
        <v>8.5583393678897968E-4</v>
      </c>
      <c r="G9" s="724"/>
      <c r="H9" s="733"/>
      <c r="I9" s="733"/>
      <c r="J9" s="733"/>
      <c r="K9" s="733"/>
      <c r="N9" s="1325" t="s">
        <v>1542</v>
      </c>
      <c r="O9" s="1352" t="s">
        <v>236</v>
      </c>
      <c r="P9" s="741">
        <f>+P$6*Assum!E121</f>
        <v>8.302602274796551E-3</v>
      </c>
      <c r="Q9" s="741">
        <f>+Q$6*Assum!F121</f>
        <v>2.7276041218018066E-2</v>
      </c>
      <c r="R9" s="741">
        <f>+R$6*Assum!G121</f>
        <v>0</v>
      </c>
      <c r="S9" s="741">
        <f>+S$6*Assum!H121</f>
        <v>2.4101335731115611E-2</v>
      </c>
      <c r="T9" s="741">
        <f>+T$6*Assum!I121</f>
        <v>1.1208130686725534E-2</v>
      </c>
      <c r="U9" s="741">
        <f>+U$6*Assum!J121</f>
        <v>2.7902090931342296E-2</v>
      </c>
      <c r="V9" s="741">
        <f>+V$6*Assum!K121</f>
        <v>3.587720654616187E-4</v>
      </c>
    </row>
    <row r="10" spans="3:22" ht="13.9" x14ac:dyDescent="0.35">
      <c r="C10" s="1325" t="s">
        <v>1543</v>
      </c>
      <c r="D10" s="1352" t="s">
        <v>236</v>
      </c>
      <c r="E10" s="741">
        <f>+E$6*Assum!E122</f>
        <v>4.6948449502015706</v>
      </c>
      <c r="F10" s="741">
        <f>+F$6*Assum!F122</f>
        <v>8.6515488314274625E-4</v>
      </c>
      <c r="G10" s="724"/>
      <c r="H10" s="733"/>
      <c r="I10" s="733"/>
      <c r="J10" s="733"/>
      <c r="K10" s="733"/>
      <c r="N10" s="1325" t="s">
        <v>1543</v>
      </c>
      <c r="O10" s="1352" t="s">
        <v>236</v>
      </c>
      <c r="P10" s="741">
        <f>+P$6*Assum!E122</f>
        <v>1.1156328765176972E-2</v>
      </c>
      <c r="Q10" s="741">
        <f>+Q$6*Assum!F122</f>
        <v>2.7573106461644833E-2</v>
      </c>
      <c r="R10" s="741">
        <f>+R$6*Assum!G122</f>
        <v>0</v>
      </c>
      <c r="S10" s="741">
        <f>+S$6*Assum!H122</f>
        <v>1.8747905713702016E-2</v>
      </c>
      <c r="T10" s="741">
        <f>+T$6*Assum!I122</f>
        <v>2.1703826542621594E-3</v>
      </c>
      <c r="U10" s="741">
        <f>+U$6*Assum!J122</f>
        <v>3.3998820605029914E-2</v>
      </c>
      <c r="V10" s="741">
        <f>+V$6*Assum!K122</f>
        <v>4.8148216363975554E-4</v>
      </c>
    </row>
    <row r="11" spans="3:22" x14ac:dyDescent="0.35">
      <c r="D11" s="728"/>
      <c r="O11" s="728"/>
    </row>
    <row r="12" spans="3:22" ht="38.25" x14ac:dyDescent="0.35">
      <c r="C12" s="1343" t="s">
        <v>1559</v>
      </c>
      <c r="D12" s="1343" t="s">
        <v>1563</v>
      </c>
      <c r="E12" s="1343" t="s">
        <v>1552</v>
      </c>
      <c r="F12" s="1344" t="s">
        <v>1553</v>
      </c>
      <c r="G12" s="1343" t="s">
        <v>1554</v>
      </c>
      <c r="H12" s="1343" t="s">
        <v>1556</v>
      </c>
      <c r="I12" s="1343" t="s">
        <v>1555</v>
      </c>
      <c r="J12" s="1343" t="s">
        <v>1557</v>
      </c>
      <c r="K12" s="1343" t="s">
        <v>1558</v>
      </c>
      <c r="N12" s="1343" t="s">
        <v>1559</v>
      </c>
      <c r="O12" s="1343" t="s">
        <v>1563</v>
      </c>
      <c r="P12" s="1343" t="s">
        <v>1552</v>
      </c>
      <c r="Q12" s="1344" t="s">
        <v>1553</v>
      </c>
      <c r="R12" s="1343" t="s">
        <v>1554</v>
      </c>
      <c r="S12" s="1343" t="s">
        <v>1556</v>
      </c>
      <c r="T12" s="1343" t="s">
        <v>1555</v>
      </c>
      <c r="U12" s="1343" t="s">
        <v>1557</v>
      </c>
      <c r="V12" s="1343" t="s">
        <v>1558</v>
      </c>
    </row>
    <row r="13" spans="3:22" x14ac:dyDescent="0.35">
      <c r="C13" s="1345" t="s">
        <v>818</v>
      </c>
      <c r="D13" s="1352" t="s">
        <v>236</v>
      </c>
      <c r="E13" s="1350">
        <f>SUM('F1 SEZ'!F261:N261)</f>
        <v>102.61900800000001</v>
      </c>
      <c r="F13" s="1349">
        <f>SUM('F1 SEZ'!F262:N262)</f>
        <v>2.5420055943707671E-2</v>
      </c>
      <c r="G13" s="1345"/>
      <c r="H13" s="1345"/>
      <c r="I13" s="1345"/>
      <c r="J13" s="1345"/>
      <c r="K13" s="1345"/>
      <c r="N13" s="1345" t="s">
        <v>818</v>
      </c>
      <c r="O13" s="1352" t="s">
        <v>236</v>
      </c>
      <c r="P13" s="1350">
        <f>SUM('F1 Non-SEZ'!F261:N261)</f>
        <v>0.11880000000000202</v>
      </c>
      <c r="Q13" s="1349">
        <f>SUM('F1 SEZ'!F262:N262)</f>
        <v>2.5420055943707671E-2</v>
      </c>
      <c r="R13" s="1349">
        <f>SUM('F1 Non-SEZ'!F268:N271)</f>
        <v>5.092885347481344</v>
      </c>
      <c r="S13" s="1349">
        <f>SUM('F1 Non-SEZ'!F275:N275)</f>
        <v>0.37086513659487347</v>
      </c>
      <c r="T13" s="1349">
        <f>SUM('F1 Non-SEZ'!F276:N276)</f>
        <v>0.10560916450326835</v>
      </c>
      <c r="U13" s="1349">
        <f>SUM('F1 Non-SEZ'!F277:N277)</f>
        <v>0.6192102342853294</v>
      </c>
      <c r="V13" s="1349">
        <f>SUM('F1 Non-SEZ'!C280:E280)</f>
        <v>3.627569767379513E-3</v>
      </c>
    </row>
    <row r="14" spans="3:22" ht="13.9" x14ac:dyDescent="0.35">
      <c r="C14" s="1314" t="s">
        <v>1544</v>
      </c>
      <c r="D14" s="1352" t="s">
        <v>236</v>
      </c>
      <c r="E14" s="1348">
        <f>+E$13*Assum!E125</f>
        <v>25.126756872131089</v>
      </c>
      <c r="F14" s="1348">
        <f>+F$13*Assum!F125</f>
        <v>3.5801488514156507E-3</v>
      </c>
      <c r="G14" s="724"/>
      <c r="H14" s="733"/>
      <c r="I14" s="733"/>
      <c r="J14" s="733"/>
      <c r="K14" s="733"/>
      <c r="N14" s="1314" t="s">
        <v>1544</v>
      </c>
      <c r="O14" s="1352" t="s">
        <v>236</v>
      </c>
      <c r="P14" s="1348">
        <f>+P$13*Assum!E125</f>
        <v>2.9088750462382407E-2</v>
      </c>
      <c r="Q14" s="1348">
        <f>+Q$13*Assum!F125</f>
        <v>3.5801488514156507E-3</v>
      </c>
      <c r="R14" s="1348">
        <f>+R$13*Assum!G125</f>
        <v>0</v>
      </c>
      <c r="S14" s="1348">
        <f>+S$13*Assum!H125</f>
        <v>4.9742324950087194E-2</v>
      </c>
      <c r="T14" s="1348">
        <f>+T$13*Assum!I125</f>
        <v>7.5984636521235225E-3</v>
      </c>
      <c r="U14" s="1348">
        <f>+U$13*Assum!J125</f>
        <v>0.1357180061853247</v>
      </c>
      <c r="V14" s="1348">
        <f>+V$13*Assum!K125</f>
        <v>1.4636302121539711E-3</v>
      </c>
    </row>
    <row r="15" spans="3:22" ht="13.9" x14ac:dyDescent="0.35">
      <c r="C15" s="1314" t="s">
        <v>1545</v>
      </c>
      <c r="D15" s="1352" t="s">
        <v>236</v>
      </c>
      <c r="E15" s="1348">
        <f>+E$13*Assum!E126</f>
        <v>12.95360337037669</v>
      </c>
      <c r="F15" s="1348">
        <f>+F$13*Assum!F126</f>
        <v>3.6112621833055266E-3</v>
      </c>
      <c r="G15" s="724"/>
      <c r="H15" s="733"/>
      <c r="I15" s="733"/>
      <c r="J15" s="733"/>
      <c r="K15" s="733"/>
      <c r="N15" s="1314" t="s">
        <v>1545</v>
      </c>
      <c r="O15" s="1352" t="s">
        <v>236</v>
      </c>
      <c r="P15" s="1348">
        <f>+P$13*Assum!E126</f>
        <v>1.4996130935126334E-2</v>
      </c>
      <c r="Q15" s="1348">
        <f>+Q$13*Assum!F126</f>
        <v>3.6112621833055266E-3</v>
      </c>
      <c r="R15" s="1348">
        <f>+R$13*Assum!G126</f>
        <v>0</v>
      </c>
      <c r="S15" s="1348">
        <f>+S$13*Assum!H126</f>
        <v>5.7939618280670159E-2</v>
      </c>
      <c r="T15" s="1348">
        <f>+T$13*Assum!I126</f>
        <v>2.0348673506453172E-2</v>
      </c>
      <c r="U15" s="1348">
        <f>+U$13*Assum!J126</f>
        <v>8.1369748692652358E-2</v>
      </c>
      <c r="V15" s="1348">
        <f>+V$13*Assum!K126</f>
        <v>2.7860286291317025E-4</v>
      </c>
    </row>
    <row r="16" spans="3:22" ht="13.9" x14ac:dyDescent="0.35">
      <c r="C16" s="1314" t="s">
        <v>1546</v>
      </c>
      <c r="D16" s="1352" t="s">
        <v>236</v>
      </c>
      <c r="E16" s="1348">
        <f>+E$13*Assum!E127</f>
        <v>34.498698323620793</v>
      </c>
      <c r="F16" s="1348">
        <f>+F$13*Assum!F127</f>
        <v>1.089856600591893E-2</v>
      </c>
      <c r="G16" s="724"/>
      <c r="H16" s="733"/>
      <c r="I16" s="733"/>
      <c r="J16" s="733"/>
      <c r="K16" s="733"/>
      <c r="N16" s="1314" t="s">
        <v>1546</v>
      </c>
      <c r="O16" s="1352" t="s">
        <v>236</v>
      </c>
      <c r="P16" s="1348">
        <f>+P$13*Assum!E127</f>
        <v>3.9938462091216279E-2</v>
      </c>
      <c r="Q16" s="1348">
        <f>+Q$13*Assum!F127</f>
        <v>1.089856600591893E-2</v>
      </c>
      <c r="R16" s="1348">
        <f>+R$13*Assum!G127</f>
        <v>1.0185770694962688</v>
      </c>
      <c r="S16" s="1348">
        <f>+S$13*Assum!H127</f>
        <v>0.1700936633181056</v>
      </c>
      <c r="T16" s="1348">
        <f>+T$13*Assum!I127</f>
        <v>6.2760469366301613E-2</v>
      </c>
      <c r="U16" s="1348">
        <f>+U$13*Assum!J127</f>
        <v>0.22312729648705526</v>
      </c>
      <c r="V16" s="1348">
        <f>+V$13*Assum!K127</f>
        <v>8.2311017031690234E-4</v>
      </c>
    </row>
    <row r="17" spans="3:22" ht="13.9" x14ac:dyDescent="0.35">
      <c r="C17" s="1314" t="s">
        <v>1549</v>
      </c>
      <c r="D17" s="1352" t="s">
        <v>236</v>
      </c>
      <c r="E17" s="1348">
        <f>+E$13*Assum!E128</f>
        <v>30.039949433871428</v>
      </c>
      <c r="F17" s="1348">
        <f>+F$13*Assum!F128</f>
        <v>7.3300789030675629E-3</v>
      </c>
      <c r="G17" s="724"/>
      <c r="H17" s="733"/>
      <c r="I17" s="733"/>
      <c r="J17" s="733"/>
      <c r="K17" s="733"/>
      <c r="N17" s="1314" t="s">
        <v>1549</v>
      </c>
      <c r="O17" s="1352" t="s">
        <v>236</v>
      </c>
      <c r="P17" s="1348">
        <f>+P$13*Assum!E128</f>
        <v>3.4776656511276989E-2</v>
      </c>
      <c r="Q17" s="1348">
        <f>+Q$13*Assum!F128</f>
        <v>7.3300789030675629E-3</v>
      </c>
      <c r="R17" s="1348">
        <f>+R$13*Assum!G128</f>
        <v>0</v>
      </c>
      <c r="S17" s="1348">
        <f>+S$13*Assum!H128</f>
        <v>9.308953004601056E-2</v>
      </c>
      <c r="T17" s="1348">
        <f>+T$13*Assum!I128</f>
        <v>1.4901557978390037E-2</v>
      </c>
      <c r="U17" s="1348">
        <f>+U$13*Assum!J128</f>
        <v>0.17899518292029704</v>
      </c>
      <c r="V17" s="1348">
        <f>+V$13*Assum!K128</f>
        <v>1.0622265219954693E-3</v>
      </c>
    </row>
    <row r="19" spans="3:22" x14ac:dyDescent="0.35">
      <c r="C19" s="2080" t="s">
        <v>1564</v>
      </c>
      <c r="D19" s="2080"/>
      <c r="E19" s="2080"/>
      <c r="F19" s="2080"/>
      <c r="G19" s="2080"/>
      <c r="H19" s="2080"/>
      <c r="I19" s="2080"/>
      <c r="J19" s="2080"/>
      <c r="K19" s="2080"/>
      <c r="N19" s="2080" t="s">
        <v>1564</v>
      </c>
      <c r="O19" s="2080"/>
      <c r="P19" s="2080"/>
      <c r="Q19" s="2080"/>
      <c r="R19" s="2080"/>
      <c r="S19" s="2080"/>
      <c r="T19" s="2080"/>
      <c r="U19" s="2080"/>
      <c r="V19" s="2080"/>
    </row>
    <row r="20" spans="3:22" ht="38.25" x14ac:dyDescent="0.35">
      <c r="C20" s="1343" t="s">
        <v>1551</v>
      </c>
      <c r="D20" s="1343" t="s">
        <v>1563</v>
      </c>
      <c r="E20" s="1343" t="s">
        <v>1552</v>
      </c>
      <c r="F20" s="1344" t="s">
        <v>1553</v>
      </c>
      <c r="G20" s="1343" t="s">
        <v>1554</v>
      </c>
      <c r="H20" s="1343" t="s">
        <v>1556</v>
      </c>
      <c r="I20" s="1343" t="s">
        <v>1555</v>
      </c>
      <c r="J20" s="1343" t="s">
        <v>1557</v>
      </c>
      <c r="K20" s="1343" t="s">
        <v>1558</v>
      </c>
      <c r="N20" s="1343" t="s">
        <v>1551</v>
      </c>
      <c r="O20" s="1343" t="s">
        <v>1563</v>
      </c>
      <c r="P20" s="1343" t="s">
        <v>1552</v>
      </c>
      <c r="Q20" s="1344" t="s">
        <v>1553</v>
      </c>
      <c r="R20" s="1343" t="s">
        <v>1554</v>
      </c>
      <c r="S20" s="1343" t="s">
        <v>1556</v>
      </c>
      <c r="T20" s="1343" t="s">
        <v>1555</v>
      </c>
      <c r="U20" s="1343" t="s">
        <v>1557</v>
      </c>
      <c r="V20" s="1343" t="s">
        <v>1558</v>
      </c>
    </row>
    <row r="21" spans="3:22" ht="13.9" x14ac:dyDescent="0.35">
      <c r="C21" s="1325" t="s">
        <v>1540</v>
      </c>
      <c r="D21" s="1352" t="s">
        <v>1218</v>
      </c>
      <c r="E21" s="741">
        <f>+E7*'Tariff Schedule'!$E42/10</f>
        <v>-1.3601159275288925</v>
      </c>
      <c r="F21" s="741">
        <f>+F7*'Tariff Schedule'!$E42/10</f>
        <v>-1.2557955594494821E-4</v>
      </c>
      <c r="G21" s="724"/>
      <c r="H21" s="733"/>
      <c r="I21" s="733"/>
      <c r="J21" s="733"/>
      <c r="K21" s="733"/>
      <c r="N21" s="1314" t="s">
        <v>1544</v>
      </c>
      <c r="O21" s="1352" t="s">
        <v>1218</v>
      </c>
      <c r="P21" s="741">
        <f>+P7*'Tariff Schedule'!$E42/10</f>
        <v>-3.232034413748734E-3</v>
      </c>
      <c r="Q21" s="741">
        <f>+Q7*'Tariff Schedule'!$E42/10</f>
        <v>-4.0023104913861126E-3</v>
      </c>
      <c r="R21" s="741"/>
      <c r="S21" s="741">
        <f>+S7*'Tariff Schedule'!$E42/10</f>
        <v>-3.2609685017570902E-3</v>
      </c>
      <c r="T21" s="741">
        <f>+T7*'Tariff Schedule'!$E42/10</f>
        <v>-5.9047724959119825E-4</v>
      </c>
      <c r="U21" s="741">
        <f>+U7*'Tariff Schedule'!$E42/10</f>
        <v>-8.6544869644009977E-3</v>
      </c>
      <c r="V21" s="741">
        <f>+V7*'Tariff Schedule'!$E42/10</f>
        <v>-2.9272604243079422E-4</v>
      </c>
    </row>
    <row r="22" spans="3:22" ht="27.75" x14ac:dyDescent="0.35">
      <c r="C22" s="1325" t="s">
        <v>1541</v>
      </c>
      <c r="D22" s="1352" t="s">
        <v>1218</v>
      </c>
      <c r="E22" s="741">
        <f>+E8*'Tariff Schedule'!$E43/10</f>
        <v>0</v>
      </c>
      <c r="F22" s="741">
        <f>+F8*'Tariff Schedule'!$E43/10</f>
        <v>0</v>
      </c>
      <c r="G22" s="724"/>
      <c r="H22" s="733"/>
      <c r="I22" s="733"/>
      <c r="J22" s="733"/>
      <c r="K22" s="733"/>
      <c r="N22" s="1314" t="s">
        <v>1545</v>
      </c>
      <c r="O22" s="1352" t="s">
        <v>1218</v>
      </c>
      <c r="P22" s="741">
        <f>+P8*'Tariff Schedule'!$E43/10</f>
        <v>0</v>
      </c>
      <c r="Q22" s="741">
        <f>+Q8*'Tariff Schedule'!$E43/10</f>
        <v>0</v>
      </c>
      <c r="R22" s="741"/>
      <c r="S22" s="741">
        <f>+S8*'Tariff Schedule'!$E43/10</f>
        <v>0</v>
      </c>
      <c r="T22" s="741">
        <f>+T8*'Tariff Schedule'!$E43/10</f>
        <v>0</v>
      </c>
      <c r="U22" s="741">
        <f>+U8*'Tariff Schedule'!$E43/10</f>
        <v>0</v>
      </c>
      <c r="V22" s="741">
        <f>+V8*'Tariff Schedule'!$E43/10</f>
        <v>0</v>
      </c>
    </row>
    <row r="23" spans="3:22" ht="13.9" x14ac:dyDescent="0.35">
      <c r="C23" s="1325" t="s">
        <v>1542</v>
      </c>
      <c r="D23" s="1352" t="s">
        <v>1218</v>
      </c>
      <c r="E23" s="741">
        <f>+E9*'Tariff Schedule'!$E44/10</f>
        <v>0.27951438996692091</v>
      </c>
      <c r="F23" s="741">
        <f>+F9*'Tariff Schedule'!$E44/10</f>
        <v>6.8466714943118384E-5</v>
      </c>
      <c r="G23" s="724"/>
      <c r="H23" s="733"/>
      <c r="I23" s="733"/>
      <c r="J23" s="733"/>
      <c r="K23" s="733"/>
      <c r="N23" s="1314" t="s">
        <v>1546</v>
      </c>
      <c r="O23" s="1352" t="s">
        <v>1218</v>
      </c>
      <c r="P23" s="741">
        <f>+P9*'Tariff Schedule'!$E44/10</f>
        <v>6.642081819837241E-4</v>
      </c>
      <c r="Q23" s="741">
        <f>+Q9*'Tariff Schedule'!$E44/10</f>
        <v>2.1820832974414452E-3</v>
      </c>
      <c r="R23" s="741"/>
      <c r="S23" s="741">
        <f>+S9*'Tariff Schedule'!$E44/10</f>
        <v>1.9281068584892491E-3</v>
      </c>
      <c r="T23" s="741">
        <f>+T9*'Tariff Schedule'!$E44/10</f>
        <v>8.9665045493804289E-4</v>
      </c>
      <c r="U23" s="741">
        <f>+U9*'Tariff Schedule'!$E44/10</f>
        <v>2.2321672745073836E-3</v>
      </c>
      <c r="V23" s="741">
        <f>+V9*'Tariff Schedule'!$E44/10</f>
        <v>2.8701765236929496E-5</v>
      </c>
    </row>
    <row r="24" spans="3:22" ht="13.9" x14ac:dyDescent="0.35">
      <c r="C24" s="1325" t="s">
        <v>1543</v>
      </c>
      <c r="D24" s="1352" t="s">
        <v>1218</v>
      </c>
      <c r="E24" s="741">
        <f>+E10*'Tariff Schedule'!$E45/10</f>
        <v>0.51643294452217281</v>
      </c>
      <c r="F24" s="741">
        <f>+F10*'Tariff Schedule'!$E45/10</f>
        <v>9.5167037145702088E-5</v>
      </c>
      <c r="G24" s="724"/>
      <c r="H24" s="733"/>
      <c r="I24" s="733"/>
      <c r="J24" s="733"/>
      <c r="K24" s="733"/>
      <c r="N24" s="1314" t="s">
        <v>1549</v>
      </c>
      <c r="O24" s="1352" t="s">
        <v>1218</v>
      </c>
      <c r="P24" s="741">
        <f>+P10*'Tariff Schedule'!$E45/10</f>
        <v>1.2271961641694671E-3</v>
      </c>
      <c r="Q24" s="741">
        <f>+Q10*'Tariff Schedule'!$E45/10</f>
        <v>3.0330417107809317E-3</v>
      </c>
      <c r="R24" s="741"/>
      <c r="S24" s="741">
        <f>+S10*'Tariff Schedule'!$E45/10</f>
        <v>2.0622696285072218E-3</v>
      </c>
      <c r="T24" s="741">
        <f>+T10*'Tariff Schedule'!$E45/10</f>
        <v>2.3874209196883756E-4</v>
      </c>
      <c r="U24" s="741">
        <f>+U10*'Tariff Schedule'!$E45/10</f>
        <v>3.7398702665532905E-3</v>
      </c>
      <c r="V24" s="741">
        <f>+V10*'Tariff Schedule'!$E45/10</f>
        <v>5.296303800037312E-5</v>
      </c>
    </row>
    <row r="25" spans="3:22" x14ac:dyDescent="0.35">
      <c r="C25" s="740" t="s">
        <v>164</v>
      </c>
      <c r="D25" s="1352" t="s">
        <v>1218</v>
      </c>
      <c r="E25" s="1353">
        <f>SUM(E21:E24)</f>
        <v>-0.56416859303979872</v>
      </c>
      <c r="F25" s="1353">
        <f t="shared" ref="F25:K25" si="0">SUM(F21:F24)</f>
        <v>3.8054196143872261E-5</v>
      </c>
      <c r="G25" s="1353">
        <f t="shared" si="0"/>
        <v>0</v>
      </c>
      <c r="H25" s="1353">
        <f t="shared" si="0"/>
        <v>0</v>
      </c>
      <c r="I25" s="1353">
        <f t="shared" si="0"/>
        <v>0</v>
      </c>
      <c r="J25" s="1353">
        <f t="shared" si="0"/>
        <v>0</v>
      </c>
      <c r="K25" s="1353">
        <f t="shared" si="0"/>
        <v>0</v>
      </c>
      <c r="N25" s="740" t="s">
        <v>164</v>
      </c>
      <c r="O25" s="724"/>
      <c r="P25" s="1353">
        <f t="shared" ref="P25:V25" si="1">SUM(P21:P24)</f>
        <v>-1.3406300675955429E-3</v>
      </c>
      <c r="Q25" s="1353">
        <f t="shared" si="1"/>
        <v>1.2128145168362643E-3</v>
      </c>
      <c r="R25" s="1353">
        <f t="shared" si="1"/>
        <v>0</v>
      </c>
      <c r="S25" s="1353">
        <f t="shared" si="1"/>
        <v>7.2940798523938059E-4</v>
      </c>
      <c r="T25" s="1353">
        <f t="shared" si="1"/>
        <v>5.4491529731568226E-4</v>
      </c>
      <c r="U25" s="1353">
        <f t="shared" si="1"/>
        <v>-2.6824494233403232E-3</v>
      </c>
      <c r="V25" s="1353">
        <f t="shared" si="1"/>
        <v>-2.1106123919349161E-4</v>
      </c>
    </row>
    <row r="27" spans="3:22" ht="38.25" x14ac:dyDescent="0.35">
      <c r="C27" s="1343" t="s">
        <v>1559</v>
      </c>
      <c r="D27" s="1343" t="s">
        <v>1563</v>
      </c>
      <c r="E27" s="1343" t="s">
        <v>1552</v>
      </c>
      <c r="F27" s="1344" t="s">
        <v>1553</v>
      </c>
      <c r="G27" s="1343" t="s">
        <v>1554</v>
      </c>
      <c r="H27" s="1343" t="s">
        <v>1556</v>
      </c>
      <c r="I27" s="1343" t="s">
        <v>1555</v>
      </c>
      <c r="J27" s="1343" t="s">
        <v>1557</v>
      </c>
      <c r="K27" s="1343" t="s">
        <v>1558</v>
      </c>
      <c r="N27" s="1343" t="s">
        <v>1559</v>
      </c>
      <c r="O27" s="1343" t="s">
        <v>1563</v>
      </c>
      <c r="P27" s="1343" t="s">
        <v>1552</v>
      </c>
      <c r="Q27" s="1344" t="s">
        <v>1553</v>
      </c>
      <c r="R27" s="1343" t="s">
        <v>1554</v>
      </c>
      <c r="S27" s="1343" t="s">
        <v>1556</v>
      </c>
      <c r="T27" s="1343" t="s">
        <v>1555</v>
      </c>
      <c r="U27" s="1343" t="s">
        <v>1557</v>
      </c>
      <c r="V27" s="1343" t="s">
        <v>1558</v>
      </c>
    </row>
    <row r="28" spans="3:22" x14ac:dyDescent="0.35">
      <c r="C28" s="1345" t="s">
        <v>1515</v>
      </c>
      <c r="D28" s="1345" t="s">
        <v>1521</v>
      </c>
      <c r="E28" s="1347">
        <f>+'Tariff Schedule'!M14</f>
        <v>7.38</v>
      </c>
      <c r="F28" s="1346">
        <f>+'Tariff Schedule'!M15</f>
        <v>11.93</v>
      </c>
      <c r="G28" s="1345"/>
      <c r="H28" s="1345"/>
      <c r="I28" s="1345"/>
      <c r="J28" s="1345"/>
      <c r="K28" s="1345"/>
      <c r="N28" s="1345" t="s">
        <v>1515</v>
      </c>
      <c r="O28" s="1345" t="s">
        <v>1521</v>
      </c>
      <c r="P28" s="1349">
        <f>+'Tariff Schedule'!M14</f>
        <v>7.38</v>
      </c>
      <c r="Q28" s="1349">
        <f>+'Tariff Schedule'!M15</f>
        <v>11.93</v>
      </c>
      <c r="R28" s="1349"/>
      <c r="S28" s="1349">
        <f>+'Tariff Schedule'!M23</f>
        <v>10.91</v>
      </c>
      <c r="T28" s="1349">
        <f>+'Tariff Schedule'!M24</f>
        <v>12.94</v>
      </c>
      <c r="U28" s="1349">
        <f>+'Tariff Schedule'!M31</f>
        <v>6.94</v>
      </c>
      <c r="V28" s="1349">
        <f>+'Tariff Schedule'!M36</f>
        <v>6.48</v>
      </c>
    </row>
    <row r="29" spans="3:22" ht="13.9" x14ac:dyDescent="0.35">
      <c r="C29" s="1325" t="s">
        <v>1540</v>
      </c>
      <c r="D29" s="1352" t="s">
        <v>1218</v>
      </c>
      <c r="E29" s="741">
        <f>+E14*'Tariff Schedule'!$E50/'F13.1'!Y13/10*E$28</f>
        <v>0</v>
      </c>
      <c r="F29" s="741">
        <f>+F14*'Tariff Schedule'!$E50/10*F$28</f>
        <v>0</v>
      </c>
      <c r="G29" s="724"/>
      <c r="H29" s="733"/>
      <c r="I29" s="733"/>
      <c r="J29" s="733"/>
      <c r="K29" s="733"/>
      <c r="N29" s="1314" t="s">
        <v>1544</v>
      </c>
      <c r="O29" s="1352" t="s">
        <v>1218</v>
      </c>
      <c r="P29" s="741">
        <f>+P14*'Tariff Schedule'!$E50/10*P$28</f>
        <v>0</v>
      </c>
      <c r="Q29" s="741">
        <f>+Q14*'Tariff Schedule'!$E50/10*Q$28</f>
        <v>0</v>
      </c>
      <c r="R29" s="741"/>
      <c r="S29" s="741">
        <f>+S14*'Tariff Schedule'!$E50/10*S$28</f>
        <v>0</v>
      </c>
      <c r="T29" s="741">
        <f>+T14*'Tariff Schedule'!$E50/10*T$28</f>
        <v>0</v>
      </c>
      <c r="U29" s="741">
        <f>+U14*'Tariff Schedule'!$E50/10*U$28</f>
        <v>0</v>
      </c>
      <c r="V29" s="741">
        <f>+V14*'Tariff Schedule'!$E50/10*V$28</f>
        <v>0</v>
      </c>
    </row>
    <row r="30" spans="3:22" ht="27.75" x14ac:dyDescent="0.35">
      <c r="C30" s="1325" t="s">
        <v>1541</v>
      </c>
      <c r="D30" s="1352" t="s">
        <v>1218</v>
      </c>
      <c r="E30" s="741">
        <f>+E15*'Tariff Schedule'!$E51/10*E$28</f>
        <v>0</v>
      </c>
      <c r="F30" s="741">
        <f>+F15*'Tariff Schedule'!$E51/10*F$28</f>
        <v>0</v>
      </c>
      <c r="G30" s="724"/>
      <c r="H30" s="733"/>
      <c r="I30" s="733"/>
      <c r="J30" s="733"/>
      <c r="K30" s="733"/>
      <c r="N30" s="1314" t="s">
        <v>1545</v>
      </c>
      <c r="O30" s="1352" t="s">
        <v>1218</v>
      </c>
      <c r="P30" s="741">
        <f>+P15*'Tariff Schedule'!$E51/10*P$28</f>
        <v>0</v>
      </c>
      <c r="Q30" s="741">
        <f>+Q15*'Tariff Schedule'!$E51/10*Q$28</f>
        <v>0</v>
      </c>
      <c r="R30" s="741">
        <f>+R16*'Tariff Schedule'!D52/10</f>
        <v>-8.1486165559701507E-2</v>
      </c>
      <c r="S30" s="741">
        <f>+S15*'Tariff Schedule'!$E51/10*S$28</f>
        <v>0</v>
      </c>
      <c r="T30" s="741">
        <f>+T15*'Tariff Schedule'!$E51/10*T$28</f>
        <v>0</v>
      </c>
      <c r="U30" s="741">
        <f>+U15*'Tariff Schedule'!$E51/10*U$28</f>
        <v>0</v>
      </c>
      <c r="V30" s="741">
        <f>+V15*'Tariff Schedule'!$E51/10*V$28</f>
        <v>0</v>
      </c>
    </row>
    <row r="31" spans="3:22" ht="13.9" x14ac:dyDescent="0.35">
      <c r="C31" s="1325" t="s">
        <v>1542</v>
      </c>
      <c r="D31" s="1352" t="s">
        <v>1218</v>
      </c>
      <c r="E31" s="741">
        <f>+E16*'Tariff Schedule'!$E54/10*E$28</f>
        <v>-6.3650098407080362</v>
      </c>
      <c r="F31" s="741">
        <f>+F16*'Tariff Schedule'!$E52/10*F$28</f>
        <v>-2.8170976697632784E-3</v>
      </c>
      <c r="G31" s="724"/>
      <c r="H31" s="733"/>
      <c r="I31" s="733"/>
      <c r="J31" s="733"/>
      <c r="K31" s="733"/>
      <c r="N31" s="1314" t="s">
        <v>1546</v>
      </c>
      <c r="O31" s="1352" t="s">
        <v>1218</v>
      </c>
      <c r="P31" s="741">
        <f>+P16*'Tariff Schedule'!$E54/10*P$28</f>
        <v>-7.3686462558294032E-3</v>
      </c>
      <c r="Q31" s="741">
        <f>+Q16*'Tariff Schedule'!$E52/10*Q$28</f>
        <v>-2.8170976697632784E-3</v>
      </c>
      <c r="R31" s="741"/>
      <c r="S31" s="741">
        <f>+S16*'Tariff Schedule'!$E52/10*S$28</f>
        <v>-4.0207307114011527E-2</v>
      </c>
      <c r="T31" s="741">
        <f>+T16*'Tariff Schedule'!$E52/10*T$28</f>
        <v>-1.7595943594665427E-2</v>
      </c>
      <c r="U31" s="741">
        <f>+U16*'Tariff Schedule'!$E52/10*U$28</f>
        <v>-3.3550907815103545E-2</v>
      </c>
      <c r="V31" s="741">
        <f>+V16*'Tariff Schedule'!$E52/10*V$28</f>
        <v>-1.1556466791249312E-4</v>
      </c>
    </row>
    <row r="32" spans="3:22" ht="13.9" x14ac:dyDescent="0.35">
      <c r="C32" s="1325" t="s">
        <v>1543</v>
      </c>
      <c r="D32" s="1352" t="s">
        <v>1218</v>
      </c>
      <c r="E32" s="741">
        <f>+E17*'Tariff Schedule'!$E55/10*E$28</f>
        <v>4.4338965364394234</v>
      </c>
      <c r="F32" s="741">
        <f>+F17*'Tariff Schedule'!$E55/10*F$28</f>
        <v>1.7489568262719205E-3</v>
      </c>
      <c r="G32" s="724"/>
      <c r="H32" s="733"/>
      <c r="I32" s="733"/>
      <c r="J32" s="733"/>
      <c r="K32" s="733"/>
      <c r="N32" s="1314" t="s">
        <v>1549</v>
      </c>
      <c r="O32" s="1352" t="s">
        <v>1218</v>
      </c>
      <c r="P32" s="741">
        <f>+P17*'Tariff Schedule'!$E55/10*P$28</f>
        <v>5.133034501064484E-3</v>
      </c>
      <c r="Q32" s="741">
        <f>+Q17*'Tariff Schedule'!$E55/10*Q$28</f>
        <v>1.7489568262719205E-3</v>
      </c>
      <c r="R32" s="741"/>
      <c r="S32" s="741">
        <f>+S17*'Tariff Schedule'!$E55/10*S$28</f>
        <v>2.0312135456039503E-2</v>
      </c>
      <c r="T32" s="741">
        <f>+T17*'Tariff Schedule'!$E55/10*T$28</f>
        <v>3.8565232048073414E-3</v>
      </c>
      <c r="U32" s="741">
        <f>+U17*'Tariff Schedule'!$E55/10*U$28</f>
        <v>2.4844531389337232E-2</v>
      </c>
      <c r="V32" s="741">
        <f>+V17*'Tariff Schedule'!$E55/10*V$28</f>
        <v>1.3766455725061283E-4</v>
      </c>
    </row>
    <row r="33" spans="3:22" x14ac:dyDescent="0.35">
      <c r="C33" s="740" t="s">
        <v>164</v>
      </c>
      <c r="D33" s="1352" t="s">
        <v>1218</v>
      </c>
      <c r="E33" s="1353">
        <f t="shared" ref="E33:K33" si="2">SUM(E29:E32)</f>
        <v>-1.9311133042686128</v>
      </c>
      <c r="F33" s="1353">
        <f t="shared" si="2"/>
        <v>-1.0681408434913579E-3</v>
      </c>
      <c r="G33" s="1353">
        <f t="shared" si="2"/>
        <v>0</v>
      </c>
      <c r="H33" s="1353">
        <f t="shared" si="2"/>
        <v>0</v>
      </c>
      <c r="I33" s="1353">
        <f t="shared" si="2"/>
        <v>0</v>
      </c>
      <c r="J33" s="1353">
        <f t="shared" si="2"/>
        <v>0</v>
      </c>
      <c r="K33" s="1353">
        <f t="shared" si="2"/>
        <v>0</v>
      </c>
      <c r="N33" s="740" t="s">
        <v>164</v>
      </c>
      <c r="O33" s="724"/>
      <c r="P33" s="1356">
        <f t="shared" ref="P33:V33" si="3">SUM(P29:P32)</f>
        <v>-2.2356117547649192E-3</v>
      </c>
      <c r="Q33" s="1356">
        <f t="shared" si="3"/>
        <v>-1.0681408434913579E-3</v>
      </c>
      <c r="R33" s="1356">
        <f t="shared" si="3"/>
        <v>-8.1486165559701507E-2</v>
      </c>
      <c r="S33" s="1356">
        <f t="shared" si="3"/>
        <v>-1.9895171657972024E-2</v>
      </c>
      <c r="T33" s="1356">
        <f t="shared" si="3"/>
        <v>-1.3739420389858086E-2</v>
      </c>
      <c r="U33" s="1356">
        <f t="shared" si="3"/>
        <v>-8.7063764257663129E-3</v>
      </c>
      <c r="V33" s="1356">
        <f t="shared" si="3"/>
        <v>2.2099889338119715E-5</v>
      </c>
    </row>
    <row r="34" spans="3:22" x14ac:dyDescent="0.35">
      <c r="P34" s="1357"/>
      <c r="Q34" s="1357"/>
      <c r="R34" s="1357"/>
      <c r="S34" s="1357"/>
      <c r="T34" s="1357"/>
      <c r="U34" s="1357"/>
      <c r="V34" s="1357"/>
    </row>
    <row r="35" spans="3:22" x14ac:dyDescent="0.35">
      <c r="C35" s="740" t="s">
        <v>1565</v>
      </c>
      <c r="D35" s="1351" t="s">
        <v>1218</v>
      </c>
      <c r="E35" s="735">
        <f>+E33+E25</f>
        <v>-2.4952818973084114</v>
      </c>
      <c r="F35" s="735">
        <f t="shared" ref="F35:K35" si="4">+F33+F25</f>
        <v>-1.0300866473474857E-3</v>
      </c>
      <c r="G35" s="735">
        <f t="shared" si="4"/>
        <v>0</v>
      </c>
      <c r="H35" s="735">
        <f t="shared" si="4"/>
        <v>0</v>
      </c>
      <c r="I35" s="735">
        <f t="shared" si="4"/>
        <v>0</v>
      </c>
      <c r="J35" s="735">
        <f t="shared" si="4"/>
        <v>0</v>
      </c>
      <c r="K35" s="735">
        <f t="shared" si="4"/>
        <v>0</v>
      </c>
      <c r="N35" s="740" t="s">
        <v>1565</v>
      </c>
      <c r="O35" s="1351" t="s">
        <v>1218</v>
      </c>
      <c r="P35" s="1356">
        <f>+P33+P25</f>
        <v>-3.5762418223604618E-3</v>
      </c>
      <c r="Q35" s="1356">
        <f t="shared" ref="Q35:V35" si="5">+Q33+Q25</f>
        <v>1.4467367334490642E-4</v>
      </c>
      <c r="R35" s="1356">
        <f t="shared" si="5"/>
        <v>-8.1486165559701507E-2</v>
      </c>
      <c r="S35" s="1356">
        <f t="shared" si="5"/>
        <v>-1.9165763672732643E-2</v>
      </c>
      <c r="T35" s="1356">
        <f t="shared" si="5"/>
        <v>-1.3194505092542403E-2</v>
      </c>
      <c r="U35" s="1356">
        <f t="shared" si="5"/>
        <v>-1.1388825849106636E-2</v>
      </c>
      <c r="V35" s="1356">
        <f t="shared" si="5"/>
        <v>-1.8896134985537191E-4</v>
      </c>
    </row>
  </sheetData>
  <mergeCells count="6">
    <mergeCell ref="C4:K4"/>
    <mergeCell ref="C3:K3"/>
    <mergeCell ref="N3:V3"/>
    <mergeCell ref="N4:V4"/>
    <mergeCell ref="C19:K19"/>
    <mergeCell ref="N19:V1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E101"/>
  <sheetViews>
    <sheetView showGridLines="0" view="pageBreakPreview" topLeftCell="A62" zoomScale="60" zoomScaleNormal="80" zoomScaleSheetLayoutView="70" workbookViewId="0">
      <selection activeCell="AE17" sqref="AC17:AE17"/>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3" width="11.53125" style="561" customWidth="1"/>
    <col min="14" max="16" width="11.53125" style="1" customWidth="1"/>
    <col min="17" max="17" width="14.33203125" style="1" customWidth="1"/>
    <col min="18" max="18" width="14.33203125" style="1" hidden="1" customWidth="1"/>
    <col min="19" max="19" width="14" style="1" hidden="1" customWidth="1"/>
    <col min="20" max="20" width="11.53125" style="1" customWidth="1"/>
    <col min="21" max="21" width="13.33203125" style="1" customWidth="1"/>
    <col min="22" max="22" width="11.53125" style="561" customWidth="1"/>
    <col min="23" max="23" width="12.33203125" style="1" customWidth="1"/>
    <col min="24" max="24" width="13.6640625" style="1" customWidth="1"/>
    <col min="25" max="25" width="8.6640625" style="1"/>
    <col min="26" max="26" width="11.6640625" style="1" customWidth="1"/>
    <col min="27" max="27" width="12.46484375" style="1" customWidth="1"/>
    <col min="28" max="28" width="8.6640625" style="1"/>
    <col min="29" max="29" width="13.46484375" style="1" bestFit="1" customWidth="1"/>
    <col min="30" max="16384" width="8.6640625" style="1"/>
  </cols>
  <sheetData>
    <row r="2" spans="1:31"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row>
    <row r="3" spans="1:31"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row>
    <row r="4" spans="1:31" x14ac:dyDescent="0.4">
      <c r="B4" s="2079" t="s">
        <v>718</v>
      </c>
      <c r="C4" s="2079"/>
      <c r="D4" s="2079"/>
      <c r="E4" s="2079"/>
      <c r="F4" s="2079"/>
      <c r="G4" s="2079"/>
      <c r="H4" s="2079"/>
      <c r="I4" s="2079"/>
      <c r="J4" s="2079"/>
      <c r="K4" s="2079"/>
      <c r="L4" s="2079"/>
      <c r="M4" s="2079"/>
      <c r="N4" s="2079"/>
      <c r="O4" s="2079"/>
      <c r="P4" s="2079"/>
      <c r="Q4" s="2079"/>
      <c r="R4" s="2079"/>
      <c r="S4" s="2079"/>
      <c r="T4" s="2079"/>
      <c r="U4" s="2079"/>
      <c r="V4" s="2079"/>
      <c r="W4" s="2079"/>
      <c r="X4" s="2079"/>
    </row>
    <row r="5" spans="1:31" x14ac:dyDescent="0.4">
      <c r="B5" s="123"/>
      <c r="C5" s="123"/>
      <c r="D5" s="123"/>
      <c r="E5" s="123"/>
      <c r="F5" s="123"/>
      <c r="G5" s="123"/>
      <c r="H5" s="123"/>
      <c r="I5" s="123"/>
      <c r="J5" s="123"/>
      <c r="K5" s="1332"/>
      <c r="L5" s="1327"/>
      <c r="M5" s="1327"/>
      <c r="N5" s="123"/>
      <c r="O5" s="123"/>
      <c r="P5" s="123"/>
      <c r="Q5" s="123"/>
      <c r="R5" s="123"/>
      <c r="S5" s="123"/>
    </row>
    <row r="6" spans="1:31" x14ac:dyDescent="0.4">
      <c r="B6" s="123"/>
      <c r="C6" s="123"/>
      <c r="D6" s="123"/>
      <c r="E6" s="123"/>
      <c r="F6" s="123"/>
      <c r="G6" s="123"/>
      <c r="H6" s="123"/>
      <c r="I6" s="123"/>
      <c r="J6" s="123"/>
      <c r="K6" s="1332"/>
      <c r="L6" s="1327"/>
      <c r="M6" s="1327"/>
      <c r="N6" s="123"/>
      <c r="O6" s="123"/>
      <c r="P6" s="123"/>
      <c r="Q6" s="123"/>
      <c r="R6" s="123"/>
      <c r="S6" s="123"/>
    </row>
    <row r="7" spans="1:31" x14ac:dyDescent="0.4">
      <c r="B7" s="131" t="s">
        <v>719</v>
      </c>
      <c r="C7" s="103"/>
      <c r="D7" s="103"/>
      <c r="E7" s="103"/>
      <c r="F7" s="103"/>
      <c r="G7" s="103"/>
      <c r="H7" s="103"/>
      <c r="I7" s="103"/>
      <c r="J7" s="103"/>
      <c r="K7" s="1333"/>
      <c r="L7" s="1328"/>
      <c r="M7" s="1328"/>
      <c r="N7" s="103"/>
      <c r="O7" s="103"/>
      <c r="P7" s="103"/>
      <c r="Q7" s="103"/>
      <c r="R7" s="103"/>
      <c r="S7" s="103"/>
      <c r="T7" s="103"/>
      <c r="U7" s="103"/>
      <c r="V7" s="1328"/>
      <c r="W7" s="103"/>
      <c r="X7" s="103"/>
    </row>
    <row r="8" spans="1:31" x14ac:dyDescent="0.4">
      <c r="B8" s="131" t="s">
        <v>1511</v>
      </c>
      <c r="C8" s="103"/>
      <c r="D8" s="103"/>
      <c r="E8" s="103"/>
      <c r="F8" s="103"/>
      <c r="G8" s="103"/>
      <c r="H8" s="103"/>
      <c r="I8" s="103"/>
      <c r="J8" s="103"/>
      <c r="K8" s="1333"/>
      <c r="L8" s="1328"/>
      <c r="M8" s="1328"/>
      <c r="N8" s="103"/>
      <c r="O8" s="103"/>
      <c r="P8" s="103"/>
      <c r="Q8" s="103"/>
      <c r="R8" s="103"/>
      <c r="S8" s="103"/>
      <c r="T8" s="103"/>
      <c r="U8" s="103"/>
      <c r="V8" s="1328"/>
      <c r="W8" s="103"/>
      <c r="X8" s="103"/>
    </row>
    <row r="9" spans="1:31" x14ac:dyDescent="0.4">
      <c r="B9" s="103"/>
      <c r="C9" s="103"/>
      <c r="D9" s="103"/>
      <c r="E9" s="103"/>
      <c r="F9" s="103"/>
      <c r="G9" s="103"/>
      <c r="H9" s="103"/>
      <c r="I9" s="103"/>
      <c r="J9" s="103"/>
      <c r="K9" s="1333"/>
      <c r="L9" s="1328"/>
      <c r="M9" s="1328"/>
      <c r="N9" s="103"/>
      <c r="O9" s="103"/>
      <c r="P9" s="103"/>
      <c r="Q9" s="103"/>
      <c r="R9" s="103"/>
      <c r="S9" s="103"/>
      <c r="T9" s="103"/>
      <c r="U9" s="103"/>
      <c r="V9" s="1328"/>
      <c r="W9" s="103"/>
      <c r="X9" s="103"/>
    </row>
    <row r="10" spans="1:31" x14ac:dyDescent="0.4">
      <c r="B10" s="1984" t="s">
        <v>699</v>
      </c>
      <c r="C10" s="1947" t="s">
        <v>700</v>
      </c>
      <c r="D10" s="1945" t="s">
        <v>720</v>
      </c>
      <c r="E10" s="1945"/>
      <c r="F10" s="1945"/>
      <c r="G10" s="1945"/>
      <c r="H10" s="1945"/>
      <c r="I10" s="1945"/>
      <c r="J10" s="1947" t="s">
        <v>721</v>
      </c>
      <c r="K10" s="1947"/>
      <c r="L10" s="1947"/>
      <c r="M10" s="2082" t="s">
        <v>722</v>
      </c>
      <c r="N10" s="2082"/>
      <c r="O10" s="2082"/>
      <c r="P10" s="2082"/>
      <c r="Q10" s="2082"/>
      <c r="R10" s="2082"/>
      <c r="S10" s="2082"/>
      <c r="T10" s="2082"/>
      <c r="U10" s="1947" t="s">
        <v>707</v>
      </c>
      <c r="V10" s="2083" t="s">
        <v>723</v>
      </c>
      <c r="W10" s="1947" t="s">
        <v>724</v>
      </c>
      <c r="X10" s="1947" t="s">
        <v>725</v>
      </c>
      <c r="Y10" s="1947" t="s">
        <v>1570</v>
      </c>
    </row>
    <row r="11" spans="1:31"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749" t="s">
        <v>734</v>
      </c>
      <c r="N11" s="106" t="s">
        <v>735</v>
      </c>
      <c r="O11" s="106" t="s">
        <v>736</v>
      </c>
      <c r="P11" s="106" t="s">
        <v>737</v>
      </c>
      <c r="Q11" s="106" t="s">
        <v>738</v>
      </c>
      <c r="R11" s="106" t="s">
        <v>1512</v>
      </c>
      <c r="S11" s="106" t="s">
        <v>739</v>
      </c>
      <c r="T11" s="121" t="s">
        <v>164</v>
      </c>
      <c r="U11" s="1947"/>
      <c r="V11" s="2083"/>
      <c r="W11" s="1947"/>
      <c r="X11" s="1947"/>
      <c r="Y11" s="1947"/>
    </row>
    <row r="12" spans="1:31" x14ac:dyDescent="0.4">
      <c r="A12" s="1984"/>
      <c r="B12" s="517" t="s">
        <v>161</v>
      </c>
      <c r="C12" s="80"/>
      <c r="D12" s="80"/>
      <c r="E12" s="80"/>
      <c r="F12" s="80"/>
      <c r="G12" s="80"/>
      <c r="H12" s="80"/>
      <c r="I12" s="80"/>
      <c r="J12" s="80"/>
      <c r="K12" s="1335"/>
      <c r="L12" s="1329"/>
      <c r="M12" s="1329"/>
      <c r="N12" s="80"/>
      <c r="O12" s="80"/>
      <c r="P12" s="80"/>
      <c r="Q12" s="80"/>
      <c r="R12" s="80"/>
      <c r="S12" s="80"/>
      <c r="T12" s="81"/>
      <c r="U12" s="80"/>
      <c r="V12" s="1329"/>
      <c r="W12" s="80"/>
      <c r="X12" s="80"/>
      <c r="Y12" s="2"/>
    </row>
    <row r="13" spans="1:31" x14ac:dyDescent="0.4">
      <c r="A13" s="1339">
        <v>0.9</v>
      </c>
      <c r="B13" s="429" t="s">
        <v>1129</v>
      </c>
      <c r="C13" s="75">
        <f>+'F13 SEZ'!C204</f>
        <v>2</v>
      </c>
      <c r="D13" s="75"/>
      <c r="E13" s="75"/>
      <c r="F13" s="75"/>
      <c r="G13" s="75"/>
      <c r="H13" s="75"/>
      <c r="I13" s="75"/>
      <c r="J13" s="75"/>
      <c r="K13" s="1306">
        <f>AVERAGE('Sales Proj'!C4:N4)</f>
        <v>21000</v>
      </c>
      <c r="L13" s="628">
        <f>+'F1 SEZ'!J12</f>
        <v>130.39293599999999</v>
      </c>
      <c r="M13" s="628"/>
      <c r="N13" s="628">
        <f>(SUM('Sales Proj'!C4:E4)*'Tariff Schedule'!E14+SUM('Sales Proj'!F4:N4)*'Tariff Schedule'!F14)/10^7*A13</f>
        <v>13.360139999999999</v>
      </c>
      <c r="O13" s="628">
        <f>(SUM('F1 SEZ'!C261:E261)*'Tariff Schedule'!L14/Y13+SUM('F1 SEZ'!F261:N261)*'Tariff Schedule'!M14/Y13)/10</f>
        <v>96.444536072727288</v>
      </c>
      <c r="P13" s="628">
        <f>+'ToD 25-26'!E35/Y13</f>
        <v>-2.5204867649579912</v>
      </c>
      <c r="Q13" s="628">
        <f>(SUM('F1 SEZ'!C261:E261)*'Tariff Schedule'!R14/Y13+SUM('F1 SEZ'!F261:N261)*'Tariff Schedule'!S14/Y13)/10</f>
        <v>9.3537800727272717</v>
      </c>
      <c r="R13" s="628"/>
      <c r="S13" s="628"/>
      <c r="T13" s="628">
        <f>SUM(M13:S13)</f>
        <v>116.63796938049657</v>
      </c>
      <c r="U13" s="75"/>
      <c r="V13" s="628">
        <f>+T13+U13</f>
        <v>116.63796938049657</v>
      </c>
      <c r="W13" s="1221">
        <f>IFERROR(V13/L13*10,0)</f>
        <v>8.9451141264659135</v>
      </c>
      <c r="X13" s="75"/>
      <c r="Y13" s="1358">
        <f>+'Tariff Schedule'!X14</f>
        <v>0.99</v>
      </c>
    </row>
    <row r="14" spans="1:31" x14ac:dyDescent="0.4">
      <c r="A14" s="1339">
        <v>0.75</v>
      </c>
      <c r="B14" s="429" t="s">
        <v>1130</v>
      </c>
      <c r="C14" s="75">
        <f>+'F13 SEZ'!C205</f>
        <v>1</v>
      </c>
      <c r="D14" s="75"/>
      <c r="E14" s="75"/>
      <c r="F14" s="75"/>
      <c r="G14" s="75"/>
      <c r="H14" s="75"/>
      <c r="I14" s="75"/>
      <c r="J14" s="75"/>
      <c r="K14" s="1306">
        <v>40</v>
      </c>
      <c r="L14" s="628">
        <f>+'F1 SEZ'!J13</f>
        <v>2.9878305404821962E-2</v>
      </c>
      <c r="M14" s="628"/>
      <c r="N14" s="628">
        <f>(+K14*'Tariff Schedule'!E15*3+'F13.1'!K14*'Tariff Schedule'!F15*9)/10^7*'F13.1'!A14</f>
        <v>2.1141E-2</v>
      </c>
      <c r="O14" s="628">
        <f>(SUM('F1 SEZ'!C262:E262)*'Tariff Schedule'!L15/Y14+SUM('F1 SEZ'!F262:N262)*'Tariff Schedule'!M15/Y14)/10</f>
        <v>3.6053817230280193E-2</v>
      </c>
      <c r="P14" s="628">
        <f>+'ToD 25-26'!F35/Y14</f>
        <v>-1.051108823823965E-3</v>
      </c>
      <c r="Q14" s="628">
        <f>(SUM('F1 SEZ'!C262:E262)*'Tariff Schedule'!R15/Y14+SUM('F1 SEZ'!F262:N262)*'Tariff Schedule'!S15/Y14)/10</f>
        <v>2.1924276607155355E-3</v>
      </c>
      <c r="R14" s="628"/>
      <c r="S14" s="628"/>
      <c r="T14" s="628">
        <f>SUM(M14:S14)</f>
        <v>5.8336136067171765E-2</v>
      </c>
      <c r="U14" s="75"/>
      <c r="V14" s="628">
        <f>+T14+U14</f>
        <v>5.8336136067171765E-2</v>
      </c>
      <c r="W14" s="1221">
        <f>IFERROR(V14/L14*10,0)</f>
        <v>19.524579883890297</v>
      </c>
      <c r="X14" s="75"/>
      <c r="Y14" s="1358">
        <f>+'Tariff Schedule'!X15</f>
        <v>0.98</v>
      </c>
    </row>
    <row r="15" spans="1:31" hidden="1" x14ac:dyDescent="0.4">
      <c r="B15" s="429" t="s">
        <v>1131</v>
      </c>
      <c r="C15" s="75"/>
      <c r="D15" s="75"/>
      <c r="E15" s="75"/>
      <c r="F15" s="75"/>
      <c r="G15" s="75"/>
      <c r="H15" s="75"/>
      <c r="I15" s="75"/>
      <c r="J15" s="75"/>
      <c r="K15" s="1306"/>
      <c r="L15" s="628"/>
      <c r="M15" s="628"/>
      <c r="N15" s="628"/>
      <c r="O15" s="628"/>
      <c r="P15" s="628"/>
      <c r="Q15" s="628"/>
      <c r="R15" s="628"/>
      <c r="S15" s="628"/>
      <c r="T15" s="628"/>
      <c r="U15" s="75"/>
      <c r="V15" s="628"/>
      <c r="W15" s="75"/>
      <c r="X15" s="75"/>
      <c r="Y15" s="2"/>
      <c r="AC15" s="1" t="s">
        <v>1571</v>
      </c>
      <c r="AD15" s="1" t="s">
        <v>821</v>
      </c>
    </row>
    <row r="16" spans="1:31" ht="25.5" hidden="1" x14ac:dyDescent="0.4">
      <c r="B16" s="429" t="s">
        <v>1132</v>
      </c>
      <c r="C16" s="75"/>
      <c r="D16" s="75"/>
      <c r="E16" s="75"/>
      <c r="F16" s="75"/>
      <c r="G16" s="75"/>
      <c r="H16" s="75"/>
      <c r="I16" s="75"/>
      <c r="J16" s="75"/>
      <c r="K16" s="1306"/>
      <c r="L16" s="628"/>
      <c r="M16" s="628"/>
      <c r="N16" s="628"/>
      <c r="O16" s="628"/>
      <c r="P16" s="628"/>
      <c r="Q16" s="628"/>
      <c r="R16" s="628"/>
      <c r="S16" s="628"/>
      <c r="T16" s="628"/>
      <c r="U16" s="75"/>
      <c r="V16" s="628"/>
      <c r="W16" s="75"/>
      <c r="X16" s="75"/>
      <c r="Y16" s="2"/>
      <c r="AB16" s="617">
        <f>+Y13</f>
        <v>0.99</v>
      </c>
      <c r="AC16" s="560">
        <f>+L13</f>
        <v>130.39293599999999</v>
      </c>
      <c r="AD16" s="560">
        <f>+AD17/AB16</f>
        <v>0</v>
      </c>
      <c r="AE16" s="617">
        <f>+AC16*AD16</f>
        <v>0</v>
      </c>
    </row>
    <row r="17" spans="2:31" x14ac:dyDescent="0.4">
      <c r="B17" s="518" t="s">
        <v>162</v>
      </c>
      <c r="C17" s="128">
        <f t="shared" ref="C17:V17" si="0">SUM(C13:C16)</f>
        <v>3</v>
      </c>
      <c r="D17" s="1309">
        <f t="shared" si="0"/>
        <v>0</v>
      </c>
      <c r="E17" s="1309">
        <f t="shared" si="0"/>
        <v>0</v>
      </c>
      <c r="F17" s="1309">
        <f t="shared" si="0"/>
        <v>0</v>
      </c>
      <c r="G17" s="1309">
        <f t="shared" si="0"/>
        <v>0</v>
      </c>
      <c r="H17" s="1309">
        <f t="shared" si="0"/>
        <v>0</v>
      </c>
      <c r="I17" s="1309">
        <f t="shared" si="0"/>
        <v>0</v>
      </c>
      <c r="J17" s="1309">
        <f t="shared" si="0"/>
        <v>0</v>
      </c>
      <c r="K17" s="1336">
        <f t="shared" si="0"/>
        <v>21040</v>
      </c>
      <c r="L17" s="630">
        <f t="shared" si="0"/>
        <v>130.42281430540481</v>
      </c>
      <c r="M17" s="630">
        <f t="shared" si="0"/>
        <v>0</v>
      </c>
      <c r="N17" s="630">
        <f t="shared" si="0"/>
        <v>13.381281</v>
      </c>
      <c r="O17" s="630">
        <f t="shared" si="0"/>
        <v>96.480589889957571</v>
      </c>
      <c r="P17" s="630">
        <f t="shared" si="0"/>
        <v>-2.5215378737818153</v>
      </c>
      <c r="Q17" s="630">
        <f t="shared" si="0"/>
        <v>9.3559725003879866</v>
      </c>
      <c r="R17" s="630">
        <f t="shared" si="0"/>
        <v>0</v>
      </c>
      <c r="S17" s="630">
        <f t="shared" si="0"/>
        <v>0</v>
      </c>
      <c r="T17" s="630">
        <f t="shared" si="0"/>
        <v>116.69630551656374</v>
      </c>
      <c r="U17" s="1309">
        <f t="shared" si="0"/>
        <v>0</v>
      </c>
      <c r="V17" s="630">
        <f t="shared" si="0"/>
        <v>116.69630551656374</v>
      </c>
      <c r="W17" s="1221">
        <f>IFERROR(V17/L17*10,0)</f>
        <v>8.9475377554192033</v>
      </c>
      <c r="X17" s="75"/>
      <c r="Y17" s="2"/>
      <c r="AC17" s="560"/>
      <c r="AD17" s="617"/>
      <c r="AE17" s="617"/>
    </row>
    <row r="18" spans="2:31" x14ac:dyDescent="0.4">
      <c r="B18" s="517" t="s">
        <v>163</v>
      </c>
      <c r="C18" s="75"/>
      <c r="D18" s="75"/>
      <c r="E18" s="75"/>
      <c r="F18" s="75"/>
      <c r="G18" s="75"/>
      <c r="H18" s="75"/>
      <c r="I18" s="75"/>
      <c r="J18" s="75"/>
      <c r="K18" s="1306"/>
      <c r="L18" s="628"/>
      <c r="M18" s="628"/>
      <c r="N18" s="628"/>
      <c r="O18" s="628"/>
      <c r="P18" s="628"/>
      <c r="Q18" s="628"/>
      <c r="R18" s="628"/>
      <c r="S18" s="628"/>
      <c r="T18" s="628"/>
      <c r="U18" s="75"/>
      <c r="V18" s="628"/>
      <c r="W18" s="75"/>
      <c r="X18" s="75"/>
      <c r="Y18" s="2"/>
    </row>
    <row r="19" spans="2:31" hidden="1" x14ac:dyDescent="0.4">
      <c r="B19" s="519" t="s">
        <v>1133</v>
      </c>
      <c r="C19" s="75"/>
      <c r="D19" s="75"/>
      <c r="E19" s="75"/>
      <c r="F19" s="75"/>
      <c r="G19" s="75"/>
      <c r="H19" s="75"/>
      <c r="I19" s="75"/>
      <c r="J19" s="75"/>
      <c r="K19" s="1306"/>
      <c r="L19" s="628"/>
      <c r="M19" s="628"/>
      <c r="N19" s="628"/>
      <c r="O19" s="628"/>
      <c r="P19" s="628"/>
      <c r="Q19" s="628"/>
      <c r="R19" s="628"/>
      <c r="S19" s="628"/>
      <c r="T19" s="628"/>
      <c r="U19" s="75"/>
      <c r="V19" s="628"/>
      <c r="W19" s="75"/>
      <c r="X19" s="75"/>
      <c r="Y19" s="2"/>
    </row>
    <row r="20" spans="2:31" hidden="1" x14ac:dyDescent="0.4">
      <c r="B20" s="520" t="s">
        <v>1106</v>
      </c>
      <c r="C20" s="1306">
        <f>+'F13 SEZ'!C211</f>
        <v>0</v>
      </c>
      <c r="D20" s="75"/>
      <c r="E20" s="75"/>
      <c r="F20" s="75"/>
      <c r="G20" s="75"/>
      <c r="H20" s="75"/>
      <c r="I20" s="75"/>
      <c r="J20" s="75"/>
      <c r="K20" s="1306"/>
      <c r="L20" s="628">
        <f>+'F1 SEZ'!J19</f>
        <v>0</v>
      </c>
      <c r="M20" s="628"/>
      <c r="N20" s="628"/>
      <c r="O20" s="628"/>
      <c r="P20" s="628"/>
      <c r="Q20" s="628"/>
      <c r="R20" s="628"/>
      <c r="S20" s="628"/>
      <c r="T20" s="628">
        <f t="shared" ref="T20:T32" si="1">SUM(M20:S20)</f>
        <v>0</v>
      </c>
      <c r="U20" s="75"/>
      <c r="V20" s="628">
        <f t="shared" ref="V20:V33" si="2">+T20+U20</f>
        <v>0</v>
      </c>
      <c r="W20" s="75"/>
      <c r="X20" s="75"/>
      <c r="Y20" s="2"/>
    </row>
    <row r="21" spans="2:31" hidden="1" x14ac:dyDescent="0.4">
      <c r="B21" s="520" t="s">
        <v>1107</v>
      </c>
      <c r="C21" s="1306">
        <f>+'F13 SEZ'!C212</f>
        <v>0</v>
      </c>
      <c r="D21" s="75"/>
      <c r="E21" s="75"/>
      <c r="F21" s="75"/>
      <c r="G21" s="75"/>
      <c r="H21" s="75"/>
      <c r="I21" s="75"/>
      <c r="J21" s="75"/>
      <c r="K21" s="1306"/>
      <c r="L21" s="628">
        <f>+'F1 SEZ'!J20</f>
        <v>0</v>
      </c>
      <c r="M21" s="628"/>
      <c r="N21" s="628"/>
      <c r="O21" s="628"/>
      <c r="P21" s="628"/>
      <c r="Q21" s="628"/>
      <c r="R21" s="628"/>
      <c r="S21" s="628"/>
      <c r="T21" s="628">
        <f t="shared" si="1"/>
        <v>0</v>
      </c>
      <c r="U21" s="75"/>
      <c r="V21" s="628">
        <f t="shared" si="2"/>
        <v>0</v>
      </c>
      <c r="W21" s="75"/>
      <c r="X21" s="75"/>
      <c r="Y21" s="2"/>
    </row>
    <row r="22" spans="2:31" hidden="1" x14ac:dyDescent="0.4">
      <c r="B22" s="520" t="s">
        <v>1108</v>
      </c>
      <c r="C22" s="1306">
        <f>+'F13 SEZ'!C213</f>
        <v>0</v>
      </c>
      <c r="D22" s="75"/>
      <c r="E22" s="75"/>
      <c r="F22" s="75"/>
      <c r="G22" s="75"/>
      <c r="H22" s="75"/>
      <c r="I22" s="75"/>
      <c r="J22" s="75"/>
      <c r="K22" s="1306"/>
      <c r="L22" s="628">
        <f>+'F1 SEZ'!J21</f>
        <v>0</v>
      </c>
      <c r="M22" s="628"/>
      <c r="N22" s="628"/>
      <c r="O22" s="628"/>
      <c r="P22" s="628"/>
      <c r="Q22" s="628"/>
      <c r="R22" s="628"/>
      <c r="S22" s="628"/>
      <c r="T22" s="628">
        <f t="shared" si="1"/>
        <v>0</v>
      </c>
      <c r="U22" s="75"/>
      <c r="V22" s="628">
        <f t="shared" si="2"/>
        <v>0</v>
      </c>
      <c r="W22" s="75"/>
      <c r="X22" s="75"/>
      <c r="Y22" s="2"/>
    </row>
    <row r="23" spans="2:31" hidden="1" x14ac:dyDescent="0.4">
      <c r="B23" s="520" t="s">
        <v>1109</v>
      </c>
      <c r="C23" s="1306">
        <f>+'F13 SEZ'!C214</f>
        <v>0</v>
      </c>
      <c r="D23" s="75"/>
      <c r="E23" s="75"/>
      <c r="F23" s="75"/>
      <c r="G23" s="75"/>
      <c r="H23" s="75"/>
      <c r="I23" s="75"/>
      <c r="J23" s="75"/>
      <c r="K23" s="1306"/>
      <c r="L23" s="628">
        <f>+'F1 SEZ'!J22</f>
        <v>0</v>
      </c>
      <c r="M23" s="628"/>
      <c r="N23" s="628"/>
      <c r="O23" s="628"/>
      <c r="P23" s="628"/>
      <c r="Q23" s="628"/>
      <c r="R23" s="628"/>
      <c r="S23" s="628"/>
      <c r="T23" s="628">
        <f t="shared" si="1"/>
        <v>0</v>
      </c>
      <c r="U23" s="75"/>
      <c r="V23" s="628">
        <f t="shared" si="2"/>
        <v>0</v>
      </c>
      <c r="W23" s="75"/>
      <c r="X23" s="75"/>
      <c r="Y23" s="2"/>
    </row>
    <row r="24" spans="2:31" hidden="1" x14ac:dyDescent="0.4">
      <c r="B24" s="520" t="s">
        <v>1110</v>
      </c>
      <c r="C24" s="1306">
        <f>+'F13 SEZ'!C215</f>
        <v>0</v>
      </c>
      <c r="D24" s="75"/>
      <c r="E24" s="75"/>
      <c r="F24" s="75"/>
      <c r="G24" s="75"/>
      <c r="H24" s="75"/>
      <c r="I24" s="75"/>
      <c r="J24" s="75"/>
      <c r="K24" s="1306"/>
      <c r="L24" s="628">
        <f>+'F1 SEZ'!J23</f>
        <v>0</v>
      </c>
      <c r="M24" s="628"/>
      <c r="N24" s="628"/>
      <c r="O24" s="628"/>
      <c r="P24" s="628"/>
      <c r="Q24" s="628"/>
      <c r="R24" s="628"/>
      <c r="S24" s="628"/>
      <c r="T24" s="628">
        <f t="shared" si="1"/>
        <v>0</v>
      </c>
      <c r="U24" s="75"/>
      <c r="V24" s="628">
        <f t="shared" si="2"/>
        <v>0</v>
      </c>
      <c r="W24" s="75"/>
      <c r="X24" s="75"/>
      <c r="Y24" s="2"/>
    </row>
    <row r="25" spans="2:31" hidden="1" x14ac:dyDescent="0.4">
      <c r="B25" s="519" t="s">
        <v>1139</v>
      </c>
      <c r="C25" s="1306">
        <f>+'F13 SEZ'!C216</f>
        <v>0</v>
      </c>
      <c r="D25" s="75"/>
      <c r="E25" s="75"/>
      <c r="F25" s="75"/>
      <c r="G25" s="75"/>
      <c r="H25" s="75"/>
      <c r="I25" s="75"/>
      <c r="J25" s="75"/>
      <c r="K25" s="1306"/>
      <c r="L25" s="628">
        <f>+'F1 SEZ'!J24</f>
        <v>0</v>
      </c>
      <c r="M25" s="628"/>
      <c r="N25" s="628"/>
      <c r="O25" s="628"/>
      <c r="P25" s="628"/>
      <c r="Q25" s="628"/>
      <c r="R25" s="628"/>
      <c r="S25" s="628"/>
      <c r="T25" s="628">
        <f t="shared" si="1"/>
        <v>0</v>
      </c>
      <c r="U25" s="75"/>
      <c r="V25" s="628">
        <f t="shared" si="2"/>
        <v>0</v>
      </c>
      <c r="W25" s="75"/>
      <c r="X25" s="75"/>
      <c r="Y25" s="2"/>
    </row>
    <row r="26" spans="2:31" hidden="1" x14ac:dyDescent="0.4">
      <c r="B26" s="520" t="s">
        <v>1140</v>
      </c>
      <c r="C26" s="1306">
        <f>+'F13 SEZ'!C217</f>
        <v>0</v>
      </c>
      <c r="D26" s="75"/>
      <c r="E26" s="75"/>
      <c r="F26" s="75"/>
      <c r="G26" s="75"/>
      <c r="H26" s="75"/>
      <c r="I26" s="75"/>
      <c r="J26" s="75"/>
      <c r="K26" s="1306"/>
      <c r="L26" s="628">
        <f>+'F1 SEZ'!J25</f>
        <v>0</v>
      </c>
      <c r="M26" s="628"/>
      <c r="N26" s="628"/>
      <c r="O26" s="628"/>
      <c r="P26" s="628"/>
      <c r="Q26" s="628"/>
      <c r="R26" s="628"/>
      <c r="S26" s="628"/>
      <c r="T26" s="628">
        <f t="shared" si="1"/>
        <v>0</v>
      </c>
      <c r="U26" s="75"/>
      <c r="V26" s="628">
        <f t="shared" si="2"/>
        <v>0</v>
      </c>
      <c r="W26" s="75"/>
      <c r="X26" s="75"/>
      <c r="Y26" s="2"/>
    </row>
    <row r="27" spans="2:31" hidden="1" x14ac:dyDescent="0.4">
      <c r="B27" s="520" t="s">
        <v>1144</v>
      </c>
      <c r="C27" s="1306">
        <f>+'F13 SEZ'!C218</f>
        <v>0</v>
      </c>
      <c r="D27" s="75"/>
      <c r="E27" s="75"/>
      <c r="F27" s="75"/>
      <c r="G27" s="75"/>
      <c r="H27" s="75"/>
      <c r="I27" s="75"/>
      <c r="J27" s="75"/>
      <c r="K27" s="1306"/>
      <c r="L27" s="628">
        <f>+'F1 SEZ'!J26</f>
        <v>0</v>
      </c>
      <c r="M27" s="628"/>
      <c r="N27" s="628"/>
      <c r="O27" s="628"/>
      <c r="P27" s="628"/>
      <c r="Q27" s="628"/>
      <c r="R27" s="628"/>
      <c r="S27" s="628"/>
      <c r="T27" s="628">
        <f t="shared" si="1"/>
        <v>0</v>
      </c>
      <c r="U27" s="75"/>
      <c r="V27" s="628">
        <f t="shared" si="2"/>
        <v>0</v>
      </c>
      <c r="W27" s="75"/>
      <c r="X27" s="75"/>
      <c r="Y27" s="2"/>
    </row>
    <row r="28" spans="2:31" hidden="1" x14ac:dyDescent="0.4">
      <c r="B28" s="520" t="s">
        <v>1143</v>
      </c>
      <c r="C28" s="1306">
        <f>+'F13 SEZ'!C219</f>
        <v>0</v>
      </c>
      <c r="D28" s="75"/>
      <c r="E28" s="75"/>
      <c r="F28" s="75"/>
      <c r="G28" s="75"/>
      <c r="H28" s="75"/>
      <c r="I28" s="75"/>
      <c r="J28" s="75"/>
      <c r="K28" s="1306"/>
      <c r="L28" s="628">
        <f>+'F1 SEZ'!J27</f>
        <v>0</v>
      </c>
      <c r="M28" s="628"/>
      <c r="N28" s="628"/>
      <c r="O28" s="628"/>
      <c r="P28" s="628"/>
      <c r="Q28" s="628"/>
      <c r="R28" s="628"/>
      <c r="S28" s="628"/>
      <c r="T28" s="628">
        <f t="shared" si="1"/>
        <v>0</v>
      </c>
      <c r="U28" s="75"/>
      <c r="V28" s="628">
        <f t="shared" si="2"/>
        <v>0</v>
      </c>
      <c r="W28" s="75"/>
      <c r="X28" s="75"/>
      <c r="Y28" s="2"/>
    </row>
    <row r="29" spans="2:31" ht="25.5" hidden="1" x14ac:dyDescent="0.4">
      <c r="B29" s="519" t="s">
        <v>1111</v>
      </c>
      <c r="C29" s="1306">
        <f>+'F13 SEZ'!C220</f>
        <v>0</v>
      </c>
      <c r="D29" s="75"/>
      <c r="E29" s="75"/>
      <c r="F29" s="75"/>
      <c r="G29" s="75"/>
      <c r="H29" s="75"/>
      <c r="I29" s="75"/>
      <c r="J29" s="75"/>
      <c r="K29" s="1306"/>
      <c r="L29" s="628">
        <f>+'F1 SEZ'!J28</f>
        <v>0</v>
      </c>
      <c r="M29" s="628"/>
      <c r="N29" s="628"/>
      <c r="O29" s="628"/>
      <c r="P29" s="628"/>
      <c r="Q29" s="628"/>
      <c r="R29" s="628"/>
      <c r="S29" s="628"/>
      <c r="T29" s="628">
        <f t="shared" si="1"/>
        <v>0</v>
      </c>
      <c r="U29" s="75"/>
      <c r="V29" s="628">
        <f t="shared" si="2"/>
        <v>0</v>
      </c>
      <c r="W29" s="75"/>
      <c r="X29" s="75"/>
      <c r="Y29" s="2"/>
    </row>
    <row r="30" spans="2:31" ht="25.5" x14ac:dyDescent="0.4">
      <c r="B30" s="519" t="s">
        <v>1135</v>
      </c>
      <c r="C30" s="1306">
        <f>+'F13 SEZ'!C221</f>
        <v>1</v>
      </c>
      <c r="D30" s="75"/>
      <c r="E30" s="75"/>
      <c r="F30" s="75"/>
      <c r="G30" s="75"/>
      <c r="H30" s="75"/>
      <c r="I30" s="75"/>
      <c r="J30" s="75"/>
      <c r="K30" s="1306">
        <v>19</v>
      </c>
      <c r="L30" s="628">
        <f>+'F1 SEZ'!J29</f>
        <v>0.28149877689981789</v>
      </c>
      <c r="M30" s="628">
        <f>+(C30*'Tariff Schedule'!E26*3+C30*'Tariff Schedule'!F26*9)/10^7</f>
        <v>7.1489999999999998E-4</v>
      </c>
      <c r="N30" s="628"/>
      <c r="O30" s="628">
        <f>(SUM('F1 SEZ'!C278:E278)*'Tariff Schedule'!L26+SUM('F1 SEZ'!F278:N278)*'Tariff Schedule'!M26)/10</f>
        <v>0.15148464152749147</v>
      </c>
      <c r="P30" s="628"/>
      <c r="Q30" s="628">
        <f>(SUM('F1 SEZ'!C278:E278)*'Tariff Schedule'!R26+SUM('F1 SEZ'!F278:N278)*'Tariff Schedule'!S26)/10</f>
        <v>3.921843442146853E-2</v>
      </c>
      <c r="R30" s="628"/>
      <c r="S30" s="628"/>
      <c r="T30" s="628">
        <f t="shared" si="1"/>
        <v>0.19141797594895998</v>
      </c>
      <c r="U30" s="75"/>
      <c r="V30" s="628">
        <f t="shared" si="2"/>
        <v>0.19141797594895998</v>
      </c>
      <c r="W30" s="1221">
        <f>IFERROR(V30/L30*10,0)</f>
        <v>6.7999576430516218</v>
      </c>
      <c r="X30" s="75"/>
      <c r="Y30" s="2"/>
    </row>
    <row r="31" spans="2:31" ht="38.25" hidden="1" x14ac:dyDescent="0.4">
      <c r="B31" s="519" t="s">
        <v>1136</v>
      </c>
      <c r="C31" s="1306">
        <f>+'F13 SEZ'!C222</f>
        <v>0</v>
      </c>
      <c r="D31" s="75"/>
      <c r="E31" s="75"/>
      <c r="F31" s="75"/>
      <c r="G31" s="75"/>
      <c r="H31" s="75"/>
      <c r="I31" s="75"/>
      <c r="J31" s="75"/>
      <c r="K31" s="1306"/>
      <c r="L31" s="628">
        <f>+'F1 SEZ'!J30</f>
        <v>0</v>
      </c>
      <c r="M31" s="628"/>
      <c r="N31" s="628"/>
      <c r="O31" s="628"/>
      <c r="P31" s="628"/>
      <c r="Q31" s="628"/>
      <c r="R31" s="628"/>
      <c r="S31" s="628"/>
      <c r="T31" s="628">
        <f t="shared" si="1"/>
        <v>0</v>
      </c>
      <c r="U31" s="75"/>
      <c r="V31" s="628">
        <f t="shared" si="2"/>
        <v>0</v>
      </c>
      <c r="W31" s="75"/>
      <c r="X31" s="75"/>
      <c r="Y31" s="2"/>
    </row>
    <row r="32" spans="2:31" ht="25.5" hidden="1" x14ac:dyDescent="0.4">
      <c r="B32" s="519" t="s">
        <v>1142</v>
      </c>
      <c r="C32" s="1306">
        <f>+'F13 SEZ'!C223</f>
        <v>0</v>
      </c>
      <c r="D32" s="75"/>
      <c r="E32" s="75"/>
      <c r="F32" s="75"/>
      <c r="G32" s="75"/>
      <c r="H32" s="75"/>
      <c r="I32" s="75"/>
      <c r="J32" s="75"/>
      <c r="K32" s="1306"/>
      <c r="L32" s="628">
        <f>+'F1 SEZ'!J31</f>
        <v>0</v>
      </c>
      <c r="M32" s="628"/>
      <c r="N32" s="628"/>
      <c r="O32" s="628"/>
      <c r="P32" s="628"/>
      <c r="Q32" s="628"/>
      <c r="R32" s="628"/>
      <c r="S32" s="628"/>
      <c r="T32" s="628">
        <f t="shared" si="1"/>
        <v>0</v>
      </c>
      <c r="U32" s="75"/>
      <c r="V32" s="628">
        <f t="shared" si="2"/>
        <v>0</v>
      </c>
      <c r="W32" s="75"/>
      <c r="X32" s="75"/>
      <c r="Y32" s="2"/>
    </row>
    <row r="33" spans="1:25" x14ac:dyDescent="0.4">
      <c r="B33" s="518" t="s">
        <v>162</v>
      </c>
      <c r="C33" s="1308">
        <f>SUM(C20:C32)</f>
        <v>1</v>
      </c>
      <c r="D33" s="1310">
        <f t="shared" ref="D33:U33" si="3">SUM(D20:D32)</f>
        <v>0</v>
      </c>
      <c r="E33" s="1310">
        <f t="shared" si="3"/>
        <v>0</v>
      </c>
      <c r="F33" s="1310">
        <f t="shared" si="3"/>
        <v>0</v>
      </c>
      <c r="G33" s="1310">
        <f t="shared" si="3"/>
        <v>0</v>
      </c>
      <c r="H33" s="1310">
        <f t="shared" si="3"/>
        <v>0</v>
      </c>
      <c r="I33" s="1310">
        <f t="shared" si="3"/>
        <v>0</v>
      </c>
      <c r="J33" s="1310">
        <f t="shared" si="3"/>
        <v>0</v>
      </c>
      <c r="K33" s="1336">
        <f t="shared" si="3"/>
        <v>19</v>
      </c>
      <c r="L33" s="630">
        <f t="shared" si="3"/>
        <v>0.28149877689981789</v>
      </c>
      <c r="M33" s="630">
        <f t="shared" si="3"/>
        <v>7.1489999999999998E-4</v>
      </c>
      <c r="N33" s="630">
        <f t="shared" si="3"/>
        <v>0</v>
      </c>
      <c r="O33" s="630">
        <f t="shared" si="3"/>
        <v>0.15148464152749147</v>
      </c>
      <c r="P33" s="630">
        <f t="shared" si="3"/>
        <v>0</v>
      </c>
      <c r="Q33" s="630">
        <f t="shared" si="3"/>
        <v>3.921843442146853E-2</v>
      </c>
      <c r="R33" s="630">
        <f t="shared" si="3"/>
        <v>0</v>
      </c>
      <c r="S33" s="630">
        <f t="shared" si="3"/>
        <v>0</v>
      </c>
      <c r="T33" s="630">
        <f t="shared" si="3"/>
        <v>0.19141797594895998</v>
      </c>
      <c r="U33" s="1310">
        <f t="shared" si="3"/>
        <v>0</v>
      </c>
      <c r="V33" s="630">
        <f t="shared" si="2"/>
        <v>0.19141797594895998</v>
      </c>
      <c r="W33" s="1222">
        <f>IFERROR(V33/L33*10,0)</f>
        <v>6.7999576430516218</v>
      </c>
      <c r="X33" s="75"/>
      <c r="Y33" s="2"/>
    </row>
    <row r="34" spans="1:25" x14ac:dyDescent="0.4">
      <c r="B34" s="518"/>
      <c r="C34" s="75"/>
      <c r="D34" s="75"/>
      <c r="E34" s="75"/>
      <c r="F34" s="75"/>
      <c r="G34" s="75"/>
      <c r="H34" s="75"/>
      <c r="I34" s="75"/>
      <c r="J34" s="75"/>
      <c r="K34" s="1306"/>
      <c r="L34" s="628"/>
      <c r="M34" s="628"/>
      <c r="N34" s="628"/>
      <c r="O34" s="628"/>
      <c r="P34" s="628"/>
      <c r="Q34" s="628"/>
      <c r="R34" s="628"/>
      <c r="S34" s="628"/>
      <c r="T34" s="628"/>
      <c r="U34" s="75"/>
      <c r="V34" s="628"/>
      <c r="W34" s="75"/>
      <c r="X34" s="75"/>
      <c r="Y34" s="2"/>
    </row>
    <row r="35" spans="1:25" x14ac:dyDescent="0.4">
      <c r="B35" s="119" t="s">
        <v>164</v>
      </c>
      <c r="C35" s="1308">
        <f>+C33+C17</f>
        <v>4</v>
      </c>
      <c r="D35" s="1309">
        <f t="shared" ref="D35:V35" si="4">+D33+D17</f>
        <v>0</v>
      </c>
      <c r="E35" s="1309">
        <f t="shared" si="4"/>
        <v>0</v>
      </c>
      <c r="F35" s="1309">
        <f t="shared" si="4"/>
        <v>0</v>
      </c>
      <c r="G35" s="1309">
        <f t="shared" si="4"/>
        <v>0</v>
      </c>
      <c r="H35" s="1309">
        <f t="shared" si="4"/>
        <v>0</v>
      </c>
      <c r="I35" s="1309">
        <f t="shared" si="4"/>
        <v>0</v>
      </c>
      <c r="J35" s="1309">
        <f t="shared" si="4"/>
        <v>0</v>
      </c>
      <c r="K35" s="1336">
        <f t="shared" si="4"/>
        <v>21059</v>
      </c>
      <c r="L35" s="630">
        <f t="shared" si="4"/>
        <v>130.70431308230462</v>
      </c>
      <c r="M35" s="630">
        <f t="shared" si="4"/>
        <v>7.1489999999999998E-4</v>
      </c>
      <c r="N35" s="630">
        <f t="shared" si="4"/>
        <v>13.381281</v>
      </c>
      <c r="O35" s="630">
        <f t="shared" si="4"/>
        <v>96.63207453148506</v>
      </c>
      <c r="P35" s="630">
        <f t="shared" si="4"/>
        <v>-2.5215378737818153</v>
      </c>
      <c r="Q35" s="630">
        <f t="shared" si="4"/>
        <v>9.3951909348094542</v>
      </c>
      <c r="R35" s="630">
        <f t="shared" si="4"/>
        <v>0</v>
      </c>
      <c r="S35" s="630">
        <f t="shared" si="4"/>
        <v>0</v>
      </c>
      <c r="T35" s="630">
        <f t="shared" si="4"/>
        <v>116.88772349251271</v>
      </c>
      <c r="U35" s="1309">
        <f t="shared" si="4"/>
        <v>0</v>
      </c>
      <c r="V35" s="630">
        <f t="shared" si="4"/>
        <v>116.88772349251271</v>
      </c>
      <c r="W35" s="1222">
        <f>IFERROR(V35/L35*10,0)</f>
        <v>8.9429124973793641</v>
      </c>
      <c r="X35" s="75"/>
      <c r="Y35" s="2"/>
    </row>
    <row r="36" spans="1:25" x14ac:dyDescent="0.4">
      <c r="B36" s="58"/>
      <c r="C36" s="75"/>
      <c r="D36" s="75"/>
      <c r="E36" s="75"/>
      <c r="F36" s="75"/>
      <c r="G36" s="75"/>
      <c r="H36" s="75"/>
      <c r="I36" s="75"/>
      <c r="J36" s="75"/>
      <c r="K36" s="1306"/>
      <c r="L36" s="628"/>
      <c r="M36" s="628"/>
      <c r="N36" s="628"/>
      <c r="O36" s="628"/>
      <c r="P36" s="628"/>
      <c r="Q36" s="628"/>
      <c r="R36" s="628"/>
      <c r="S36" s="628"/>
      <c r="T36" s="628"/>
      <c r="U36" s="75"/>
      <c r="V36" s="628"/>
      <c r="W36" s="75"/>
      <c r="X36" s="75"/>
      <c r="Y36" s="2"/>
    </row>
    <row r="37" spans="1:25" x14ac:dyDescent="0.4">
      <c r="B37" s="118"/>
      <c r="C37" s="103"/>
      <c r="D37" s="103"/>
      <c r="E37" s="103"/>
      <c r="F37" s="103"/>
      <c r="G37" s="103"/>
      <c r="H37" s="103"/>
      <c r="I37" s="103"/>
      <c r="J37" s="103"/>
      <c r="K37" s="1333"/>
      <c r="L37" s="1328"/>
      <c r="M37" s="1328"/>
      <c r="N37" s="103"/>
      <c r="O37" s="103"/>
      <c r="P37" s="103"/>
      <c r="Q37" s="103"/>
      <c r="R37" s="103"/>
      <c r="S37" s="103"/>
      <c r="T37" s="103"/>
      <c r="U37" s="103"/>
      <c r="V37" s="1328"/>
      <c r="W37" s="103"/>
      <c r="X37" s="103"/>
    </row>
    <row r="38" spans="1:25" x14ac:dyDescent="0.4">
      <c r="B38" s="7" t="s">
        <v>740</v>
      </c>
      <c r="C38" s="7"/>
      <c r="D38" s="7"/>
      <c r="E38" s="7"/>
      <c r="F38" s="7"/>
      <c r="G38" s="7"/>
      <c r="H38" s="7"/>
      <c r="I38" s="7"/>
      <c r="J38" s="7"/>
      <c r="K38" s="1337"/>
      <c r="L38" s="1330"/>
      <c r="M38" s="1330"/>
      <c r="N38" s="7"/>
      <c r="O38" s="7"/>
      <c r="P38" s="7"/>
      <c r="Q38" s="7"/>
      <c r="R38" s="7"/>
      <c r="S38" s="7"/>
      <c r="T38" s="7"/>
      <c r="U38" s="7"/>
      <c r="V38" s="1330"/>
      <c r="W38" s="7"/>
      <c r="X38" s="7"/>
    </row>
    <row r="39" spans="1:25" x14ac:dyDescent="0.4">
      <c r="B39" s="156" t="s">
        <v>741</v>
      </c>
      <c r="C39" s="7"/>
      <c r="D39" s="7"/>
      <c r="E39" s="7"/>
      <c r="F39" s="7"/>
      <c r="G39" s="7"/>
      <c r="H39" s="7"/>
      <c r="I39" s="7"/>
      <c r="J39" s="7"/>
      <c r="K39" s="1337"/>
      <c r="L39" s="1330"/>
      <c r="M39" s="1330"/>
      <c r="N39" s="7"/>
      <c r="O39" s="7"/>
      <c r="P39" s="7"/>
      <c r="Q39" s="7"/>
      <c r="R39" s="7"/>
      <c r="S39" s="7"/>
      <c r="T39" s="7"/>
      <c r="U39" s="7"/>
      <c r="V39" s="1330"/>
      <c r="W39" s="7"/>
      <c r="X39" s="7"/>
    </row>
    <row r="40" spans="1:25" x14ac:dyDescent="0.4">
      <c r="B40" s="10" t="s">
        <v>742</v>
      </c>
      <c r="C40" s="7"/>
      <c r="D40" s="7"/>
      <c r="E40" s="7"/>
      <c r="F40" s="7"/>
      <c r="G40" s="7"/>
      <c r="H40" s="7"/>
      <c r="I40" s="7"/>
      <c r="J40" s="7"/>
      <c r="K40" s="1337"/>
      <c r="L40" s="1330"/>
      <c r="M40" s="1330"/>
      <c r="N40" s="7"/>
      <c r="O40" s="7"/>
      <c r="P40" s="7"/>
      <c r="Q40" s="7"/>
      <c r="R40" s="7"/>
      <c r="S40" s="7"/>
      <c r="T40" s="7"/>
      <c r="U40" s="7"/>
      <c r="V40" s="1330"/>
      <c r="W40" s="7"/>
      <c r="X40" s="7"/>
    </row>
    <row r="42" spans="1:25" x14ac:dyDescent="0.4">
      <c r="B42" s="131" t="s">
        <v>719</v>
      </c>
      <c r="C42" s="103"/>
      <c r="D42" s="103"/>
      <c r="E42" s="103"/>
      <c r="F42" s="103"/>
      <c r="G42" s="103"/>
      <c r="H42" s="103"/>
      <c r="I42" s="103"/>
      <c r="J42" s="103"/>
      <c r="K42" s="1333"/>
      <c r="L42" s="1328"/>
      <c r="M42" s="1328"/>
      <c r="N42" s="103"/>
      <c r="O42" s="103"/>
      <c r="P42" s="103"/>
      <c r="Q42" s="103"/>
      <c r="R42" s="103"/>
      <c r="S42" s="103"/>
      <c r="T42" s="103"/>
      <c r="U42" s="103"/>
      <c r="V42" s="1328"/>
      <c r="W42" s="103"/>
      <c r="X42" s="103"/>
    </row>
    <row r="43" spans="1:25" x14ac:dyDescent="0.4">
      <c r="B43" s="131" t="s">
        <v>1560</v>
      </c>
      <c r="C43" s="103"/>
      <c r="D43" s="103"/>
      <c r="E43" s="103"/>
      <c r="F43" s="103"/>
      <c r="G43" s="103"/>
      <c r="H43" s="103"/>
      <c r="I43" s="103"/>
      <c r="J43" s="103"/>
      <c r="K43" s="1333"/>
      <c r="L43" s="1328"/>
      <c r="M43" s="1328"/>
      <c r="N43" s="103"/>
      <c r="O43" s="103"/>
      <c r="P43" s="103"/>
      <c r="Q43" s="103"/>
      <c r="R43" s="103"/>
      <c r="S43" s="103"/>
      <c r="T43" s="103"/>
      <c r="U43" s="103"/>
      <c r="V43" s="1328"/>
      <c r="W43" s="103"/>
      <c r="X43" s="103"/>
    </row>
    <row r="44" spans="1:25" x14ac:dyDescent="0.4">
      <c r="B44" s="103"/>
      <c r="C44" s="103"/>
      <c r="D44" s="103"/>
      <c r="E44" s="103"/>
      <c r="F44" s="103"/>
      <c r="G44" s="103"/>
      <c r="H44" s="103"/>
      <c r="I44" s="103"/>
      <c r="J44" s="103"/>
      <c r="K44" s="1333"/>
      <c r="L44" s="1328"/>
      <c r="M44" s="1328"/>
      <c r="N44" s="103"/>
      <c r="O44" s="103"/>
      <c r="P44" s="103"/>
      <c r="Q44" s="103"/>
      <c r="R44" s="103"/>
      <c r="S44" s="103"/>
      <c r="T44" s="103"/>
      <c r="U44" s="103"/>
      <c r="V44" s="1328"/>
      <c r="W44" s="103"/>
      <c r="X44" s="103"/>
    </row>
    <row r="45" spans="1:25" x14ac:dyDescent="0.4">
      <c r="B45" s="1984" t="s">
        <v>699</v>
      </c>
      <c r="C45" s="1947" t="s">
        <v>700</v>
      </c>
      <c r="D45" s="1945" t="s">
        <v>720</v>
      </c>
      <c r="E45" s="1945"/>
      <c r="F45" s="1945"/>
      <c r="G45" s="1945"/>
      <c r="H45" s="1945"/>
      <c r="I45" s="1945"/>
      <c r="J45" s="1947" t="s">
        <v>721</v>
      </c>
      <c r="K45" s="1947"/>
      <c r="L45" s="1947"/>
      <c r="M45" s="2082" t="s">
        <v>722</v>
      </c>
      <c r="N45" s="2082"/>
      <c r="O45" s="2082"/>
      <c r="P45" s="2082"/>
      <c r="Q45" s="2082"/>
      <c r="R45" s="2082"/>
      <c r="S45" s="2082"/>
      <c r="T45" s="2082"/>
      <c r="U45" s="1947" t="s">
        <v>707</v>
      </c>
      <c r="V45" s="2083" t="s">
        <v>723</v>
      </c>
      <c r="W45" s="1947" t="s">
        <v>724</v>
      </c>
      <c r="X45" s="1947" t="s">
        <v>725</v>
      </c>
      <c r="Y45" s="1947" t="s">
        <v>1570</v>
      </c>
    </row>
    <row r="46" spans="1:25" ht="67.5" x14ac:dyDescent="0.4">
      <c r="A46" s="1984" t="s">
        <v>1166</v>
      </c>
      <c r="B46" s="1984"/>
      <c r="C46" s="1947"/>
      <c r="D46" s="106" t="s">
        <v>726</v>
      </c>
      <c r="E46" s="106" t="s">
        <v>727</v>
      </c>
      <c r="F46" s="106" t="s">
        <v>728</v>
      </c>
      <c r="G46" s="106" t="s">
        <v>729</v>
      </c>
      <c r="H46" s="106" t="s">
        <v>730</v>
      </c>
      <c r="I46" s="106" t="s">
        <v>731</v>
      </c>
      <c r="J46" s="106" t="s">
        <v>732</v>
      </c>
      <c r="K46" s="1334" t="s">
        <v>733</v>
      </c>
      <c r="L46" s="1331" t="s">
        <v>701</v>
      </c>
      <c r="M46" s="749" t="s">
        <v>734</v>
      </c>
      <c r="N46" s="106" t="s">
        <v>735</v>
      </c>
      <c r="O46" s="106" t="s">
        <v>736</v>
      </c>
      <c r="P46" s="106" t="s">
        <v>737</v>
      </c>
      <c r="Q46" s="106" t="s">
        <v>738</v>
      </c>
      <c r="R46" s="106" t="s">
        <v>1512</v>
      </c>
      <c r="S46" s="106" t="s">
        <v>739</v>
      </c>
      <c r="T46" s="121" t="s">
        <v>164</v>
      </c>
      <c r="U46" s="1947"/>
      <c r="V46" s="2083"/>
      <c r="W46" s="1947"/>
      <c r="X46" s="1947"/>
      <c r="Y46" s="1947"/>
    </row>
    <row r="47" spans="1:25" x14ac:dyDescent="0.4">
      <c r="A47" s="1984"/>
      <c r="B47" s="517" t="s">
        <v>161</v>
      </c>
      <c r="C47" s="80"/>
      <c r="D47" s="80"/>
      <c r="E47" s="80"/>
      <c r="F47" s="80"/>
      <c r="G47" s="80"/>
      <c r="H47" s="80"/>
      <c r="I47" s="80"/>
      <c r="J47" s="80"/>
      <c r="K47" s="1335"/>
      <c r="L47" s="1329"/>
      <c r="M47" s="1329"/>
      <c r="N47" s="80"/>
      <c r="O47" s="80"/>
      <c r="P47" s="80"/>
      <c r="Q47" s="80"/>
      <c r="R47" s="80"/>
      <c r="S47" s="80"/>
      <c r="T47" s="81"/>
      <c r="U47" s="80"/>
      <c r="V47" s="1329"/>
      <c r="W47" s="80"/>
      <c r="X47" s="80"/>
      <c r="Y47" s="2"/>
    </row>
    <row r="48" spans="1:25" x14ac:dyDescent="0.4">
      <c r="A48" s="1339">
        <v>0.9</v>
      </c>
      <c r="B48" s="429" t="s">
        <v>1129</v>
      </c>
      <c r="C48" s="75">
        <f>+'F13 Non SEZ'!C204</f>
        <v>1</v>
      </c>
      <c r="D48" s="75"/>
      <c r="E48" s="75"/>
      <c r="F48" s="75"/>
      <c r="G48" s="75"/>
      <c r="H48" s="75"/>
      <c r="I48" s="75"/>
      <c r="J48" s="75"/>
      <c r="K48" s="1306">
        <v>211</v>
      </c>
      <c r="L48" s="628">
        <f>+'F1 Non-SEZ'!J12</f>
        <v>0.18479900000000216</v>
      </c>
      <c r="M48" s="628"/>
      <c r="N48" s="628">
        <f>(+K48*'Tariff Schedule'!E14*3+K48*'Tariff Schedule'!F14*9)/10^7</f>
        <v>0.14869170000000001</v>
      </c>
      <c r="O48" s="628">
        <f>(SUM('F1 Non-SEZ'!C261:E261)*'Tariff Schedule'!L14/Y48+SUM('F1 Non-SEZ'!F261:N261)*'Tariff Schedule'!M14/Y48)/10</f>
        <v>0.13595928181818343</v>
      </c>
      <c r="P48" s="628">
        <f>+'ToD 25-26'!P35/Y48</f>
        <v>-3.6123654771317796E-3</v>
      </c>
      <c r="Q48" s="628">
        <f>(SUM('F1 Non-SEZ'!C261:E261)*'Tariff Schedule'!R14/Y48+SUM('F1 Non-SEZ'!F261:N261)*'Tariff Schedule'!S14/Y48)/10</f>
        <v>1.2879939393939551E-2</v>
      </c>
      <c r="R48" s="628"/>
      <c r="S48" s="628"/>
      <c r="T48" s="628">
        <f>SUM(M48:S48)</f>
        <v>0.2939185557349912</v>
      </c>
      <c r="U48" s="75"/>
      <c r="V48" s="628">
        <f>+T48+U48</f>
        <v>0.2939185557349912</v>
      </c>
      <c r="W48" s="1221">
        <f>IFERROR(V48/L48*10,0)</f>
        <v>15.904769816665015</v>
      </c>
      <c r="X48" s="75"/>
      <c r="Y48" s="1358">
        <f>+'Tariff Schedule'!X14</f>
        <v>0.99</v>
      </c>
    </row>
    <row r="49" spans="1:25" x14ac:dyDescent="0.4">
      <c r="A49" s="1339">
        <v>0.75</v>
      </c>
      <c r="B49" s="429" t="s">
        <v>1130</v>
      </c>
      <c r="C49" s="75">
        <f>+'F13 Non SEZ'!C205</f>
        <v>3</v>
      </c>
      <c r="D49" s="75"/>
      <c r="E49" s="75"/>
      <c r="F49" s="75"/>
      <c r="G49" s="75"/>
      <c r="H49" s="75"/>
      <c r="I49" s="75"/>
      <c r="J49" s="75"/>
      <c r="K49" s="1306">
        <v>475</v>
      </c>
      <c r="L49" s="628">
        <f>+'F1 Non-SEZ'!J13</f>
        <v>0.59274405669302432</v>
      </c>
      <c r="M49" s="628"/>
      <c r="N49" s="628">
        <f>(+K49*'Tariff Schedule'!E15*3+K49*'Tariff Schedule'!F15*9)/10^7*'F13.1'!A49</f>
        <v>0.25104937500000002</v>
      </c>
      <c r="O49" s="628">
        <f>(SUM('F1 Non-SEZ'!C262:E262)*'Tariff Schedule'!L15/Y49+SUM('F1 Non-SEZ'!F262:N262)*'Tariff Schedule'!M15/Y49)/10</f>
        <v>0.71142604810743171</v>
      </c>
      <c r="P49" s="628">
        <f>+'ToD 25-26'!Q35/Y49</f>
        <v>1.4762619729072083E-4</v>
      </c>
      <c r="Q49" s="628">
        <f>(SUM('F1 Non-SEZ'!C262:E262)*'Tariff Schedule'!R15/Y49+SUM('F1 Non-SEZ'!F262:N262)*'Tariff Schedule'!S15/Y49)/10</f>
        <v>4.2728401732025321E-2</v>
      </c>
      <c r="R49" s="628"/>
      <c r="S49" s="628"/>
      <c r="T49" s="628">
        <f>SUM(M49:S49)</f>
        <v>1.0053514510367478</v>
      </c>
      <c r="U49" s="75"/>
      <c r="V49" s="628">
        <f>+T49+U49</f>
        <v>1.0053514510367478</v>
      </c>
      <c r="W49" s="1221">
        <f>IFERROR(V49/L49*10,0)</f>
        <v>16.960970585613286</v>
      </c>
      <c r="X49" s="75"/>
      <c r="Y49" s="1358">
        <f>+'Tariff Schedule'!X15</f>
        <v>0.98</v>
      </c>
    </row>
    <row r="50" spans="1:25" x14ac:dyDescent="0.4">
      <c r="B50" s="429" t="s">
        <v>1131</v>
      </c>
      <c r="C50" s="75"/>
      <c r="D50" s="75"/>
      <c r="E50" s="75"/>
      <c r="F50" s="75"/>
      <c r="G50" s="75"/>
      <c r="H50" s="75"/>
      <c r="I50" s="75"/>
      <c r="J50" s="75"/>
      <c r="K50" s="1306"/>
      <c r="L50" s="628"/>
      <c r="M50" s="628"/>
      <c r="N50" s="628"/>
      <c r="O50" s="628"/>
      <c r="P50" s="628"/>
      <c r="Q50" s="628"/>
      <c r="R50" s="628"/>
      <c r="S50" s="628"/>
      <c r="T50" s="628"/>
      <c r="U50" s="75"/>
      <c r="V50" s="628"/>
      <c r="W50" s="75"/>
      <c r="X50" s="75"/>
      <c r="Y50" s="2"/>
    </row>
    <row r="51" spans="1:25" ht="25.5" x14ac:dyDescent="0.4">
      <c r="B51" s="429" t="s">
        <v>1132</v>
      </c>
      <c r="C51" s="75"/>
      <c r="D51" s="75"/>
      <c r="E51" s="75"/>
      <c r="F51" s="75"/>
      <c r="G51" s="75"/>
      <c r="H51" s="75"/>
      <c r="I51" s="75"/>
      <c r="J51" s="75"/>
      <c r="K51" s="1306"/>
      <c r="L51" s="628"/>
      <c r="M51" s="628"/>
      <c r="N51" s="628"/>
      <c r="O51" s="628"/>
      <c r="P51" s="628"/>
      <c r="Q51" s="628"/>
      <c r="R51" s="628"/>
      <c r="S51" s="628"/>
      <c r="T51" s="628"/>
      <c r="U51" s="75"/>
      <c r="V51" s="628"/>
      <c r="W51" s="75"/>
      <c r="X51" s="75"/>
      <c r="Y51" s="2"/>
    </row>
    <row r="52" spans="1:25" x14ac:dyDescent="0.4">
      <c r="B52" s="518" t="s">
        <v>162</v>
      </c>
      <c r="C52" s="128">
        <f t="shared" ref="C52:V52" si="5">SUM(C48:C51)</f>
        <v>4</v>
      </c>
      <c r="D52" s="1309">
        <f t="shared" si="5"/>
        <v>0</v>
      </c>
      <c r="E52" s="1309">
        <f t="shared" si="5"/>
        <v>0</v>
      </c>
      <c r="F52" s="1309">
        <f t="shared" si="5"/>
        <v>0</v>
      </c>
      <c r="G52" s="1309">
        <f t="shared" si="5"/>
        <v>0</v>
      </c>
      <c r="H52" s="1309">
        <f t="shared" si="5"/>
        <v>0</v>
      </c>
      <c r="I52" s="1309">
        <f t="shared" si="5"/>
        <v>0</v>
      </c>
      <c r="J52" s="1309">
        <f t="shared" si="5"/>
        <v>0</v>
      </c>
      <c r="K52" s="1336">
        <f t="shared" si="5"/>
        <v>686</v>
      </c>
      <c r="L52" s="630">
        <f t="shared" si="5"/>
        <v>0.77754305669302648</v>
      </c>
      <c r="M52" s="630">
        <f t="shared" si="5"/>
        <v>0</v>
      </c>
      <c r="N52" s="630">
        <f t="shared" si="5"/>
        <v>0.399741075</v>
      </c>
      <c r="O52" s="630">
        <f t="shared" si="5"/>
        <v>0.84738532992561511</v>
      </c>
      <c r="P52" s="630">
        <f t="shared" si="5"/>
        <v>-3.4647392798410588E-3</v>
      </c>
      <c r="Q52" s="630">
        <f t="shared" si="5"/>
        <v>5.5608341125964869E-2</v>
      </c>
      <c r="R52" s="630">
        <f t="shared" si="5"/>
        <v>0</v>
      </c>
      <c r="S52" s="630">
        <f t="shared" si="5"/>
        <v>0</v>
      </c>
      <c r="T52" s="630">
        <f t="shared" si="5"/>
        <v>1.2992700067717391</v>
      </c>
      <c r="U52" s="1309">
        <f t="shared" si="5"/>
        <v>0</v>
      </c>
      <c r="V52" s="630">
        <f t="shared" si="5"/>
        <v>1.2992700067717391</v>
      </c>
      <c r="W52" s="1221">
        <f>IFERROR(V52/L52*10,0)</f>
        <v>16.709942884676675</v>
      </c>
      <c r="X52" s="75"/>
      <c r="Y52" s="2"/>
    </row>
    <row r="53" spans="1:25" x14ac:dyDescent="0.4">
      <c r="B53" s="517" t="s">
        <v>163</v>
      </c>
      <c r="C53" s="75"/>
      <c r="D53" s="75"/>
      <c r="E53" s="75"/>
      <c r="F53" s="75"/>
      <c r="G53" s="75"/>
      <c r="H53" s="75"/>
      <c r="I53" s="75"/>
      <c r="J53" s="75"/>
      <c r="K53" s="1306"/>
      <c r="L53" s="628"/>
      <c r="M53" s="628"/>
      <c r="N53" s="628"/>
      <c r="O53" s="628"/>
      <c r="P53" s="628"/>
      <c r="Q53" s="628"/>
      <c r="R53" s="628"/>
      <c r="S53" s="628"/>
      <c r="T53" s="628"/>
      <c r="U53" s="75"/>
      <c r="V53" s="628"/>
      <c r="W53" s="75"/>
      <c r="X53" s="75"/>
      <c r="Y53" s="2"/>
    </row>
    <row r="54" spans="1:25" x14ac:dyDescent="0.4">
      <c r="B54" s="519" t="s">
        <v>1133</v>
      </c>
      <c r="C54" s="75"/>
      <c r="D54" s="75"/>
      <c r="E54" s="75"/>
      <c r="F54" s="75"/>
      <c r="G54" s="75"/>
      <c r="H54" s="75"/>
      <c r="I54" s="75"/>
      <c r="J54" s="75"/>
      <c r="K54" s="1306"/>
      <c r="L54" s="628"/>
      <c r="M54" s="628"/>
      <c r="N54" s="628"/>
      <c r="O54" s="628"/>
      <c r="P54" s="628"/>
      <c r="Q54" s="628"/>
      <c r="R54" s="628"/>
      <c r="S54" s="628"/>
      <c r="T54" s="628"/>
      <c r="U54" s="75"/>
      <c r="V54" s="628"/>
      <c r="W54" s="75"/>
      <c r="X54" s="75"/>
      <c r="Y54" s="2"/>
    </row>
    <row r="55" spans="1:25" x14ac:dyDescent="0.4">
      <c r="B55" s="520" t="s">
        <v>1106</v>
      </c>
      <c r="C55" s="19">
        <f>+Assum!E173</f>
        <v>1338</v>
      </c>
      <c r="D55" s="75"/>
      <c r="E55" s="75"/>
      <c r="F55" s="75"/>
      <c r="G55" s="75"/>
      <c r="H55" s="75"/>
      <c r="I55" s="75"/>
      <c r="J55" s="75"/>
      <c r="K55" s="1306"/>
      <c r="L55" s="628">
        <f>+'F1 Non-SEZ'!J19</f>
        <v>1.6685011957773752</v>
      </c>
      <c r="M55" s="628">
        <f>(+C55*'Tariff Schedule'!$E$16*3+C55*'Tariff Schedule'!$F$16*9)/10^7</f>
        <v>0.68799960000000004</v>
      </c>
      <c r="N55" s="628"/>
      <c r="O55" s="628">
        <f>(SUM('F1 Non-SEZ'!C268:E268)*'Tariff Schedule'!L17+SUM('F1 Non-SEZ'!F268:N268)*'Tariff Schedule'!M17)/10</f>
        <v>0.62162838578211721</v>
      </c>
      <c r="P55" s="628">
        <f>+'ToD 25-26'!$R$35*L55/SUM($L$55:$L$58)</f>
        <v>-1.894499163612999E-2</v>
      </c>
      <c r="Q55" s="628">
        <f>(SUM('F1 Non-SEZ'!C268:E268)*'Tariff Schedule'!R17+SUM('F1 Non-SEZ'!F268:N268)*'Tariff Schedule'!S17)/10</f>
        <v>0.23335805034664697</v>
      </c>
      <c r="R55" s="628"/>
      <c r="S55" s="628"/>
      <c r="T55" s="628">
        <f t="shared" ref="T55:T67" si="6">SUM(M55:S55)</f>
        <v>1.5240410444926342</v>
      </c>
      <c r="U55" s="75"/>
      <c r="V55" s="628">
        <f t="shared" ref="V55:V68" si="7">+T55+U55</f>
        <v>1.5240410444926342</v>
      </c>
      <c r="W55" s="1221">
        <f>IFERROR(V55/L55*10,0)</f>
        <v>9.1341921021672672</v>
      </c>
      <c r="X55" s="75"/>
      <c r="Y55" s="2"/>
    </row>
    <row r="56" spans="1:25" x14ac:dyDescent="0.4">
      <c r="B56" s="520" t="s">
        <v>1107</v>
      </c>
      <c r="C56" s="19">
        <f>+Assum!E174</f>
        <v>520</v>
      </c>
      <c r="D56" s="75"/>
      <c r="E56" s="75"/>
      <c r="F56" s="75"/>
      <c r="G56" s="75"/>
      <c r="H56" s="75"/>
      <c r="I56" s="75"/>
      <c r="J56" s="75"/>
      <c r="K56" s="1306"/>
      <c r="L56" s="628">
        <f>+'F1 Non-SEZ'!J20</f>
        <v>1.6157569013759479</v>
      </c>
      <c r="M56" s="628">
        <f>(+C56*'Tariff Schedule'!$E$16*3+C56*'Tariff Schedule'!$F$16*9)/10^7</f>
        <v>0.26738400000000001</v>
      </c>
      <c r="N56" s="628"/>
      <c r="O56" s="628">
        <f>(SUM('F1 Non-SEZ'!C269:E269)*'Tariff Schedule'!L18+SUM('F1 Non-SEZ'!F269:N269)*'Tariff Schedule'!M18)/10</f>
        <v>1.4931152246276045</v>
      </c>
      <c r="P56" s="628">
        <f>+'ToD 25-26'!$R$35*L56/SUM($L$55:$L$58)</f>
        <v>-1.8346106709455988E-2</v>
      </c>
      <c r="Q56" s="628">
        <f>(SUM('F1 Non-SEZ'!C269:E269)*'Tariff Schedule'!R18+SUM('F1 Non-SEZ'!F269:N269)*'Tariff Schedule'!S18)/10</f>
        <v>0.22353396438431195</v>
      </c>
      <c r="R56" s="628"/>
      <c r="S56" s="628"/>
      <c r="T56" s="628">
        <f t="shared" si="6"/>
        <v>1.9656870823024606</v>
      </c>
      <c r="U56" s="75"/>
      <c r="V56" s="628">
        <f t="shared" si="7"/>
        <v>1.9656870823024606</v>
      </c>
      <c r="W56" s="1221">
        <f>IFERROR(V56/L56*10,0)</f>
        <v>12.165735332020052</v>
      </c>
      <c r="X56" s="75"/>
      <c r="Y56" s="2"/>
    </row>
    <row r="57" spans="1:25" x14ac:dyDescent="0.4">
      <c r="B57" s="520" t="s">
        <v>1108</v>
      </c>
      <c r="C57" s="19">
        <f>+Assum!E175</f>
        <v>276</v>
      </c>
      <c r="D57" s="75"/>
      <c r="E57" s="75"/>
      <c r="F57" s="75"/>
      <c r="G57" s="75"/>
      <c r="H57" s="75"/>
      <c r="I57" s="75"/>
      <c r="J57" s="75"/>
      <c r="K57" s="1306"/>
      <c r="L57" s="628">
        <f>+'F1 Non-SEZ'!J21</f>
        <v>0.56593028060698414</v>
      </c>
      <c r="M57" s="628">
        <f>(+C57*'Tariff Schedule'!$E$16*3+C57*'Tariff Schedule'!$F$16*9)/10^7</f>
        <v>0.1419192</v>
      </c>
      <c r="N57" s="628"/>
      <c r="O57" s="628">
        <f>(SUM('F1 Non-SEZ'!C270:E270)*'Tariff Schedule'!L19+SUM('F1 Non-SEZ'!F270:N270)*'Tariff Schedule'!M19)/10</f>
        <v>0.72386700600370524</v>
      </c>
      <c r="P57" s="628">
        <f>+'ToD 25-26'!$R$35*L57/SUM($L$55:$L$58)</f>
        <v>-6.4258536103336227E-3</v>
      </c>
      <c r="Q57" s="628">
        <f>(SUM('F1 Non-SEZ'!C270:E270)*'Tariff Schedule'!R19+SUM('F1 Non-SEZ'!F270:N270)*'Tariff Schedule'!S19)/10</f>
        <v>7.6418663785102509E-2</v>
      </c>
      <c r="R57" s="628"/>
      <c r="S57" s="628"/>
      <c r="T57" s="628">
        <f t="shared" si="6"/>
        <v>0.93577901617847414</v>
      </c>
      <c r="U57" s="75"/>
      <c r="V57" s="628">
        <f t="shared" si="7"/>
        <v>0.93577901617847414</v>
      </c>
      <c r="W57" s="1221">
        <f>IFERROR(V57/L57*10,0)</f>
        <v>16.535234961713158</v>
      </c>
      <c r="X57" s="75"/>
      <c r="Y57" s="2"/>
    </row>
    <row r="58" spans="1:25" x14ac:dyDescent="0.4">
      <c r="B58" s="520" t="s">
        <v>1109</v>
      </c>
      <c r="C58" s="19">
        <f>+Assum!E176</f>
        <v>198</v>
      </c>
      <c r="D58" s="75"/>
      <c r="E58" s="75"/>
      <c r="F58" s="75"/>
      <c r="G58" s="75"/>
      <c r="H58" s="75"/>
      <c r="I58" s="75"/>
      <c r="J58" s="75"/>
      <c r="K58" s="1306"/>
      <c r="L58" s="628">
        <f>+'F1 Non-SEZ'!J22</f>
        <v>3.3263661062430678</v>
      </c>
      <c r="M58" s="628">
        <f>(+C58*'Tariff Schedule'!$E$16*3+C58*'Tariff Schedule'!$F$16*9)/10^7</f>
        <v>0.1018116</v>
      </c>
      <c r="N58" s="628"/>
      <c r="O58" s="628">
        <f>(SUM('F1 Non-SEZ'!C271:E271)*'Tariff Schedule'!L20+SUM('F1 Non-SEZ'!F271:N271)*'Tariff Schedule'!M20)/10</f>
        <v>4.9109938431431583</v>
      </c>
      <c r="P58" s="628">
        <f>+'ToD 25-26'!$R$35*L58/SUM($L$55:$L$58)</f>
        <v>-3.7769213603781902E-2</v>
      </c>
      <c r="Q58" s="628">
        <f>(SUM('F1 Non-SEZ'!C271:E271)*'Tariff Schedule'!R20+SUM('F1 Non-SEZ'!F271:N271)*'Tariff Schedule'!S20)/10</f>
        <v>0.45913275653677382</v>
      </c>
      <c r="R58" s="628"/>
      <c r="S58" s="628"/>
      <c r="T58" s="628">
        <f t="shared" si="6"/>
        <v>5.4341689860761502</v>
      </c>
      <c r="U58" s="75"/>
      <c r="V58" s="628">
        <f t="shared" si="7"/>
        <v>5.4341689860761502</v>
      </c>
      <c r="W58" s="1221">
        <f>IFERROR(V58/L58*10,0)</f>
        <v>16.336653310280749</v>
      </c>
      <c r="X58" s="75"/>
      <c r="Y58" s="2"/>
    </row>
    <row r="59" spans="1:25" x14ac:dyDescent="0.4">
      <c r="B59" s="520" t="s">
        <v>1110</v>
      </c>
      <c r="C59" s="75"/>
      <c r="D59" s="75"/>
      <c r="E59" s="75"/>
      <c r="F59" s="75"/>
      <c r="G59" s="75"/>
      <c r="H59" s="75"/>
      <c r="I59" s="75"/>
      <c r="J59" s="75"/>
      <c r="K59" s="1306"/>
      <c r="L59" s="628"/>
      <c r="M59" s="628"/>
      <c r="N59" s="628"/>
      <c r="O59" s="628"/>
      <c r="P59" s="628"/>
      <c r="Q59" s="628"/>
      <c r="R59" s="628"/>
      <c r="S59" s="628"/>
      <c r="T59" s="628"/>
      <c r="U59" s="75"/>
      <c r="V59" s="628"/>
      <c r="W59" s="75"/>
      <c r="X59" s="75"/>
      <c r="Y59" s="2"/>
    </row>
    <row r="60" spans="1:25" x14ac:dyDescent="0.4">
      <c r="B60" s="519" t="s">
        <v>1139</v>
      </c>
      <c r="C60" s="75"/>
      <c r="D60" s="75"/>
      <c r="E60" s="75"/>
      <c r="F60" s="75"/>
      <c r="G60" s="75"/>
      <c r="H60" s="75"/>
      <c r="I60" s="75"/>
      <c r="J60" s="75"/>
      <c r="K60" s="1306"/>
      <c r="L60" s="628"/>
      <c r="M60" s="628"/>
      <c r="N60" s="628"/>
      <c r="O60" s="628"/>
      <c r="P60" s="628"/>
      <c r="Q60" s="628"/>
      <c r="R60" s="628"/>
      <c r="S60" s="628"/>
      <c r="T60" s="628"/>
      <c r="U60" s="75"/>
      <c r="V60" s="628"/>
      <c r="W60" s="75"/>
      <c r="X60" s="75"/>
      <c r="Y60" s="2"/>
    </row>
    <row r="61" spans="1:25" x14ac:dyDescent="0.4">
      <c r="B61" s="520" t="s">
        <v>1140</v>
      </c>
      <c r="C61" s="75">
        <f>+Assum!E186</f>
        <v>42</v>
      </c>
      <c r="D61" s="75"/>
      <c r="E61" s="75"/>
      <c r="F61" s="75"/>
      <c r="G61" s="75"/>
      <c r="H61" s="75"/>
      <c r="I61" s="75"/>
      <c r="J61" s="75"/>
      <c r="K61" s="1306"/>
      <c r="L61" s="628">
        <f>+'F1 Non-SEZ'!J25</f>
        <v>0.28030741261949632</v>
      </c>
      <c r="M61" s="628">
        <f>(+C61*'Tariff Schedule'!$E22*3+C61*'Tariff Schedule'!$F22*9)/10^7</f>
        <v>2.6170200000000001E-2</v>
      </c>
      <c r="N61" s="628"/>
      <c r="O61" s="628">
        <f>(SUM('F1 Non-SEZ'!C274:E274)*'Tariff Schedule'!L22+SUM('F1 Non-SEZ'!F274:N274)*'Tariff Schedule'!M22)/10</f>
        <v>0.20960420104958435</v>
      </c>
      <c r="P61" s="628"/>
      <c r="Q61" s="628">
        <f>(SUM('F1 Non-SEZ'!C274:E274)*'Tariff Schedule'!R22+SUM('F1 Non-SEZ'!F274:N274)*'Tariff Schedule'!S22)/10</f>
        <v>3.8851998470180199E-2</v>
      </c>
      <c r="R61" s="628"/>
      <c r="S61" s="628"/>
      <c r="T61" s="628">
        <f t="shared" si="6"/>
        <v>0.27462639951976453</v>
      </c>
      <c r="U61" s="75"/>
      <c r="V61" s="628">
        <f t="shared" si="7"/>
        <v>0.27462639951976453</v>
      </c>
      <c r="W61" s="1221">
        <f t="shared" ref="W61:W67" si="8">IFERROR(V61/L61*10,0)</f>
        <v>9.7973291877427631</v>
      </c>
      <c r="X61" s="75"/>
      <c r="Y61" s="1358">
        <f>+'Tariff Schedule'!X22</f>
        <v>0.98</v>
      </c>
    </row>
    <row r="62" spans="1:25" x14ac:dyDescent="0.4">
      <c r="A62" s="1339">
        <v>0.4</v>
      </c>
      <c r="B62" s="520" t="s">
        <v>1144</v>
      </c>
      <c r="C62" s="75">
        <f>+Assum!E187</f>
        <v>9</v>
      </c>
      <c r="D62" s="75"/>
      <c r="E62" s="75"/>
      <c r="F62" s="75"/>
      <c r="G62" s="75"/>
      <c r="H62" s="75"/>
      <c r="I62" s="75"/>
      <c r="J62" s="75"/>
      <c r="K62" s="1306">
        <v>383</v>
      </c>
      <c r="L62" s="628">
        <f>+'F1 Non-SEZ'!J26</f>
        <v>0.49242957191723197</v>
      </c>
      <c r="M62" s="628"/>
      <c r="N62" s="628">
        <f>(+K62*'Tariff Schedule'!E23*3+K62*'Tariff Schedule'!F23*9)/10^7*A62</f>
        <v>9.6148320000000009E-2</v>
      </c>
      <c r="O62" s="628">
        <f>(SUM('F1 Non-SEZ'!C275:E275)*'Tariff Schedule'!L23/Y62+SUM('F1 Non-SEZ'!F275:N275)*'Tariff Schedule'!M23/Y62)/10</f>
        <v>0.54528441091980606</v>
      </c>
      <c r="P62" s="628">
        <f>+'ToD 25-26'!S35/Y62</f>
        <v>-1.9386918146402719E-2</v>
      </c>
      <c r="Q62" s="628">
        <f>(SUM('F1 Non-SEZ'!C275:E275)*'Tariff Schedule'!R23/Y62+SUM('F1 Non-SEZ'!F275:N275)*'Tariff Schedule'!S23/Y62)/10</f>
        <v>6.6532253440127781E-2</v>
      </c>
      <c r="R62" s="628"/>
      <c r="S62" s="628"/>
      <c r="T62" s="628">
        <f t="shared" si="6"/>
        <v>0.68857806621353113</v>
      </c>
      <c r="U62" s="75"/>
      <c r="V62" s="628">
        <f t="shared" si="7"/>
        <v>0.68857806621353113</v>
      </c>
      <c r="W62" s="1221">
        <f t="shared" si="8"/>
        <v>13.983280157863225</v>
      </c>
      <c r="X62" s="75"/>
      <c r="Y62" s="1358">
        <f>+'Tariff Schedule'!X23</f>
        <v>0.98859259259259247</v>
      </c>
    </row>
    <row r="63" spans="1:25" x14ac:dyDescent="0.4">
      <c r="A63" s="1339">
        <v>0.4</v>
      </c>
      <c r="B63" s="520" t="s">
        <v>1143</v>
      </c>
      <c r="C63" s="75">
        <f>+Assum!E188</f>
        <v>1</v>
      </c>
      <c r="D63" s="75"/>
      <c r="E63" s="75"/>
      <c r="F63" s="75"/>
      <c r="G63" s="75"/>
      <c r="H63" s="75"/>
      <c r="I63" s="75"/>
      <c r="J63" s="75"/>
      <c r="K63" s="1306">
        <v>70</v>
      </c>
      <c r="L63" s="628">
        <f>+'F1 Non-SEZ'!J27</f>
        <v>0.14664364979036104</v>
      </c>
      <c r="M63" s="628"/>
      <c r="N63" s="628">
        <f>(+K63*'Tariff Schedule'!E24*3+K63*'Tariff Schedule'!F24*9)/10^7*A63</f>
        <v>1.75728E-2</v>
      </c>
      <c r="O63" s="628">
        <f>(SUM('F1 Non-SEZ'!C276:E276)*'Tariff Schedule'!L24/Y63+SUM('F1 Non-SEZ'!F276:N276)*'Tariff Schedule'!M24/Y63)/10</f>
        <v>0.19218010214185433</v>
      </c>
      <c r="P63" s="628">
        <f>+'ToD 25-26'!T35/Y63</f>
        <v>-1.3325539564930889E-2</v>
      </c>
      <c r="Q63" s="628">
        <f>(SUM('F1 Non-SEZ'!C276:E276)*'Tariff Schedule'!R24/Y63+SUM('F1 Non-SEZ'!F276:N276)*'Tariff Schedule'!S24/Y63)/10</f>
        <v>1.9674171329282085E-2</v>
      </c>
      <c r="R63" s="628"/>
      <c r="S63" s="628"/>
      <c r="T63" s="628">
        <f t="shared" si="6"/>
        <v>0.21610153390620554</v>
      </c>
      <c r="U63" s="75"/>
      <c r="V63" s="628">
        <f t="shared" si="7"/>
        <v>0.21610153390620554</v>
      </c>
      <c r="W63" s="1221">
        <f t="shared" si="8"/>
        <v>14.736508141684974</v>
      </c>
      <c r="X63" s="75"/>
      <c r="Y63" s="1358">
        <f>+'Tariff Schedule'!X24</f>
        <v>0.99016666666666675</v>
      </c>
    </row>
    <row r="64" spans="1:25" ht="25.5" x14ac:dyDescent="0.4">
      <c r="A64" s="1339">
        <v>0.4</v>
      </c>
      <c r="B64" s="519" t="s">
        <v>1111</v>
      </c>
      <c r="C64" s="75">
        <f>+'F13 Non SEZ'!C220</f>
        <v>2</v>
      </c>
      <c r="D64" s="75"/>
      <c r="E64" s="75"/>
      <c r="F64" s="75"/>
      <c r="G64" s="75"/>
      <c r="H64" s="75"/>
      <c r="I64" s="75"/>
      <c r="J64" s="75"/>
      <c r="K64" s="1306">
        <v>160</v>
      </c>
      <c r="L64" s="628">
        <f>+'F1 Non-SEZ'!J28</f>
        <v>0.81663970777495454</v>
      </c>
      <c r="M64" s="628"/>
      <c r="N64" s="628">
        <f>(+K64*'Tariff Schedule'!E31*3+K64*'Tariff Schedule'!F31*9)/10^7*A64</f>
        <v>1.5244800000000001E-2</v>
      </c>
      <c r="O64" s="628">
        <f>(SUM('F1 Non-SEZ'!C277:E277)*'Tariff Schedule'!L31/Y64+SUM('F1 Non-SEZ'!F277:N277)*'Tariff Schedule'!M31/Y64)/10</f>
        <v>0.60060149616201119</v>
      </c>
      <c r="P64" s="628">
        <f>+'ToD 25-26'!U35/Y64</f>
        <v>-1.1985609312806808E-2</v>
      </c>
      <c r="Q64" s="628">
        <f>(SUM('F1 Non-SEZ'!C277:E277)*'Tariff Schedule'!R31/Y64+SUM('F1 Non-SEZ'!F277:N277)*'Tariff Schedule'!S31/Y64)/10</f>
        <v>0.1148900374099858</v>
      </c>
      <c r="R64" s="628"/>
      <c r="S64" s="628"/>
      <c r="T64" s="628">
        <f t="shared" si="6"/>
        <v>0.71875072425919018</v>
      </c>
      <c r="U64" s="75"/>
      <c r="V64" s="628">
        <f t="shared" si="7"/>
        <v>0.71875072425919018</v>
      </c>
      <c r="W64" s="1221">
        <f t="shared" si="8"/>
        <v>8.8013198160241792</v>
      </c>
      <c r="X64" s="75"/>
      <c r="Y64" s="1358">
        <f>+'Tariff Schedule'!X31</f>
        <v>0.95020833333333332</v>
      </c>
    </row>
    <row r="65" spans="1:25" ht="25.5" x14ac:dyDescent="0.4">
      <c r="B65" s="519" t="s">
        <v>1135</v>
      </c>
      <c r="C65" s="75">
        <f>+'F13 Non SEZ'!C221</f>
        <v>1</v>
      </c>
      <c r="D65" s="75"/>
      <c r="E65" s="75"/>
      <c r="F65" s="75"/>
      <c r="G65" s="75"/>
      <c r="H65" s="75"/>
      <c r="I65" s="75"/>
      <c r="J65" s="75"/>
      <c r="K65" s="1306">
        <v>19</v>
      </c>
      <c r="L65" s="628">
        <f>+'F1 Non-SEZ'!J29</f>
        <v>2.1313775703739202E-2</v>
      </c>
      <c r="M65" s="628">
        <f>+(C65*'Tariff Schedule'!E26*3+C65*'Tariff Schedule'!F26*9)/10^7</f>
        <v>7.1489999999999998E-4</v>
      </c>
      <c r="N65" s="628"/>
      <c r="O65" s="628">
        <f>(SUM('F1 Non-SEZ'!C278:E278)*'Tariff Schedule'!L26+SUM('F1 Non-SEZ'!F278:N278)*'Tariff Schedule'!M26)/10</f>
        <v>1.145285991677324E-2</v>
      </c>
      <c r="P65" s="628"/>
      <c r="Q65" s="628">
        <f>(SUM('F1 Non-SEZ'!C278:E278)*'Tariff Schedule'!R26+SUM('F1 Non-SEZ'!F278:N278)*'Tariff Schedule'!S26)/10</f>
        <v>2.9428298331489041E-3</v>
      </c>
      <c r="R65" s="628"/>
      <c r="S65" s="628"/>
      <c r="T65" s="628">
        <f t="shared" si="6"/>
        <v>1.5110589749922142E-2</v>
      </c>
      <c r="U65" s="75"/>
      <c r="V65" s="628">
        <f t="shared" si="7"/>
        <v>1.5110589749922142E-2</v>
      </c>
      <c r="W65" s="1221">
        <f t="shared" si="8"/>
        <v>7.0895884239183404</v>
      </c>
      <c r="X65" s="75"/>
      <c r="Y65" s="2"/>
    </row>
    <row r="66" spans="1:25" ht="38.25" x14ac:dyDescent="0.4">
      <c r="B66" s="519" t="s">
        <v>1136</v>
      </c>
      <c r="C66" s="75"/>
      <c r="D66" s="75"/>
      <c r="E66" s="75"/>
      <c r="F66" s="75"/>
      <c r="G66" s="75"/>
      <c r="H66" s="75"/>
      <c r="I66" s="75"/>
      <c r="J66" s="75"/>
      <c r="K66" s="1306"/>
      <c r="L66" s="628">
        <f>+'F1 Non-SEZ'!J30</f>
        <v>0</v>
      </c>
      <c r="M66" s="628"/>
      <c r="N66" s="628"/>
      <c r="O66" s="628"/>
      <c r="P66" s="628"/>
      <c r="Q66" s="628"/>
      <c r="R66" s="628"/>
      <c r="S66" s="628"/>
      <c r="T66" s="628">
        <f t="shared" si="6"/>
        <v>0</v>
      </c>
      <c r="U66" s="75"/>
      <c r="V66" s="628">
        <f t="shared" si="7"/>
        <v>0</v>
      </c>
      <c r="W66" s="1221">
        <f t="shared" si="8"/>
        <v>0</v>
      </c>
      <c r="X66" s="75"/>
      <c r="Y66" s="2"/>
    </row>
    <row r="67" spans="1:25" ht="25.5" x14ac:dyDescent="0.4">
      <c r="A67" s="1339">
        <v>0.4</v>
      </c>
      <c r="B67" s="519" t="s">
        <v>1142</v>
      </c>
      <c r="C67" s="75">
        <f>+'F13 Non SEZ'!C223</f>
        <v>10</v>
      </c>
      <c r="D67" s="75"/>
      <c r="E67" s="75"/>
      <c r="F67" s="75"/>
      <c r="G67" s="75"/>
      <c r="H67" s="75"/>
      <c r="I67" s="75"/>
      <c r="J67" s="75"/>
      <c r="K67" s="1306">
        <v>105</v>
      </c>
      <c r="L67" s="628">
        <f>+'F1 Non-SEZ'!J31</f>
        <v>1.6990259193169731E-2</v>
      </c>
      <c r="M67" s="628"/>
      <c r="N67" s="628">
        <f>(+K67*'Tariff Schedule'!E36*3+K67*'Tariff Schedule'!F36*9)/10^7*A67</f>
        <v>1.008E-3</v>
      </c>
      <c r="O67" s="628">
        <f>(SUM('F1 Non-SEZ'!C280:E280)*'Tariff Schedule'!L36/Y67+SUM('F1 Non-SEZ'!F280:N280)*'Tariff Schedule'!M36/Y67)/10</f>
        <v>1.0776639577691306E-2</v>
      </c>
      <c r="P67" s="628">
        <f>+'ToD 25-26'!V35/Y67</f>
        <v>-1.9054926035835825E-4</v>
      </c>
      <c r="Q67" s="628">
        <f>(SUM('F1 Non-SEZ'!C280:E280)*'Tariff Schedule'!R36/Y67+SUM('F1 Non-SEZ'!F280:N280)*'Tariff Schedule'!S36/Y67)/10</f>
        <v>2.3010146147578923E-3</v>
      </c>
      <c r="R67" s="628"/>
      <c r="S67" s="628"/>
      <c r="T67" s="628">
        <f t="shared" si="6"/>
        <v>1.389510493209084E-2</v>
      </c>
      <c r="U67" s="75"/>
      <c r="V67" s="628">
        <f t="shared" si="7"/>
        <v>1.389510493209084E-2</v>
      </c>
      <c r="W67" s="1221">
        <f t="shared" si="8"/>
        <v>8.1782771964284233</v>
      </c>
      <c r="X67" s="75"/>
      <c r="Y67" s="1358">
        <f>+'Tariff Schedule'!X36</f>
        <v>0.99166666666666659</v>
      </c>
    </row>
    <row r="68" spans="1:25" x14ac:dyDescent="0.4">
      <c r="B68" s="518" t="s">
        <v>162</v>
      </c>
      <c r="C68" s="1308">
        <f t="shared" ref="C68:U68" si="9">SUM(C55:C67)</f>
        <v>2397</v>
      </c>
      <c r="D68" s="1310">
        <f t="shared" si="9"/>
        <v>0</v>
      </c>
      <c r="E68" s="1310">
        <f t="shared" si="9"/>
        <v>0</v>
      </c>
      <c r="F68" s="1310">
        <f t="shared" si="9"/>
        <v>0</v>
      </c>
      <c r="G68" s="1310">
        <f t="shared" si="9"/>
        <v>0</v>
      </c>
      <c r="H68" s="1310">
        <f t="shared" si="9"/>
        <v>0</v>
      </c>
      <c r="I68" s="1310">
        <f t="shared" si="9"/>
        <v>0</v>
      </c>
      <c r="J68" s="1310">
        <f t="shared" si="9"/>
        <v>0</v>
      </c>
      <c r="K68" s="1336">
        <f t="shared" si="9"/>
        <v>737</v>
      </c>
      <c r="L68" s="630">
        <f t="shared" si="9"/>
        <v>8.9508788610023284</v>
      </c>
      <c r="M68" s="630">
        <f t="shared" si="9"/>
        <v>1.2259994999999999</v>
      </c>
      <c r="N68" s="630">
        <f t="shared" si="9"/>
        <v>0.12997392000000002</v>
      </c>
      <c r="O68" s="630">
        <f t="shared" si="9"/>
        <v>9.3195041693243077</v>
      </c>
      <c r="P68" s="630">
        <f t="shared" si="9"/>
        <v>-0.12637478184420028</v>
      </c>
      <c r="Q68" s="630">
        <f t="shared" si="9"/>
        <v>1.237635740150318</v>
      </c>
      <c r="R68" s="630">
        <f t="shared" si="9"/>
        <v>0</v>
      </c>
      <c r="S68" s="630">
        <f t="shared" si="9"/>
        <v>0</v>
      </c>
      <c r="T68" s="630">
        <f t="shared" si="9"/>
        <v>11.786738547630421</v>
      </c>
      <c r="U68" s="1310">
        <f t="shared" si="9"/>
        <v>0</v>
      </c>
      <c r="V68" s="630">
        <f t="shared" si="7"/>
        <v>11.786738547630421</v>
      </c>
      <c r="W68" s="1222">
        <f>IFERROR(V68/L68*10,0)</f>
        <v>13.168247197471882</v>
      </c>
      <c r="X68" s="75"/>
      <c r="Y68" s="2"/>
    </row>
    <row r="69" spans="1:25" x14ac:dyDescent="0.4">
      <c r="B69" s="518"/>
      <c r="C69" s="75"/>
      <c r="D69" s="75"/>
      <c r="E69" s="75"/>
      <c r="F69" s="75"/>
      <c r="G69" s="75"/>
      <c r="H69" s="75"/>
      <c r="I69" s="75"/>
      <c r="J69" s="75"/>
      <c r="K69" s="1306"/>
      <c r="L69" s="628"/>
      <c r="M69" s="628"/>
      <c r="N69" s="628"/>
      <c r="O69" s="628"/>
      <c r="P69" s="628"/>
      <c r="Q69" s="628"/>
      <c r="R69" s="628"/>
      <c r="S69" s="628"/>
      <c r="T69" s="628"/>
      <c r="U69" s="75"/>
      <c r="V69" s="628"/>
      <c r="W69" s="75"/>
      <c r="X69" s="75"/>
      <c r="Y69" s="2"/>
    </row>
    <row r="70" spans="1:25" x14ac:dyDescent="0.4">
      <c r="B70" s="119" t="s">
        <v>164</v>
      </c>
      <c r="C70" s="1308">
        <f>+C68+C52</f>
        <v>2401</v>
      </c>
      <c r="D70" s="1309">
        <f t="shared" ref="D70:V70" si="10">+D68+D52</f>
        <v>0</v>
      </c>
      <c r="E70" s="1309">
        <f t="shared" si="10"/>
        <v>0</v>
      </c>
      <c r="F70" s="1309">
        <f t="shared" si="10"/>
        <v>0</v>
      </c>
      <c r="G70" s="1309">
        <f t="shared" si="10"/>
        <v>0</v>
      </c>
      <c r="H70" s="1309">
        <f t="shared" si="10"/>
        <v>0</v>
      </c>
      <c r="I70" s="1309">
        <f t="shared" si="10"/>
        <v>0</v>
      </c>
      <c r="J70" s="1309">
        <f t="shared" si="10"/>
        <v>0</v>
      </c>
      <c r="K70" s="1336">
        <f t="shared" si="10"/>
        <v>1423</v>
      </c>
      <c r="L70" s="630">
        <f t="shared" si="10"/>
        <v>9.7284219176953552</v>
      </c>
      <c r="M70" s="630">
        <f t="shared" si="10"/>
        <v>1.2259994999999999</v>
      </c>
      <c r="N70" s="630">
        <f t="shared" si="10"/>
        <v>0.52971499499999997</v>
      </c>
      <c r="O70" s="630">
        <f t="shared" si="10"/>
        <v>10.166889499249923</v>
      </c>
      <c r="P70" s="630">
        <f t="shared" si="10"/>
        <v>-0.12983952112404135</v>
      </c>
      <c r="Q70" s="630">
        <f t="shared" si="10"/>
        <v>1.2932440812762829</v>
      </c>
      <c r="R70" s="630">
        <f t="shared" si="10"/>
        <v>0</v>
      </c>
      <c r="S70" s="630">
        <f t="shared" si="10"/>
        <v>0</v>
      </c>
      <c r="T70" s="630">
        <f t="shared" si="10"/>
        <v>13.086008554402159</v>
      </c>
      <c r="U70" s="1309">
        <f t="shared" si="10"/>
        <v>0</v>
      </c>
      <c r="V70" s="630">
        <f t="shared" si="10"/>
        <v>13.086008554402159</v>
      </c>
      <c r="W70" s="1222">
        <f>IFERROR(V70/L70*10,0)</f>
        <v>13.451316837522821</v>
      </c>
      <c r="X70" s="75"/>
      <c r="Y70" s="2"/>
    </row>
    <row r="71" spans="1:25" x14ac:dyDescent="0.4">
      <c r="Y71" s="2"/>
    </row>
    <row r="72" spans="1:25" x14ac:dyDescent="0.4">
      <c r="B72" s="131" t="s">
        <v>719</v>
      </c>
      <c r="C72" s="103"/>
      <c r="D72" s="103"/>
      <c r="E72" s="103"/>
      <c r="F72" s="103"/>
      <c r="G72" s="103"/>
      <c r="H72" s="103"/>
      <c r="I72" s="103"/>
      <c r="J72" s="103"/>
      <c r="K72" s="1333"/>
      <c r="L72" s="1328"/>
      <c r="M72" s="1328"/>
      <c r="N72" s="103"/>
      <c r="O72" s="103"/>
      <c r="P72" s="103"/>
      <c r="Q72" s="103"/>
      <c r="R72" s="103"/>
      <c r="S72" s="103"/>
      <c r="T72" s="103"/>
      <c r="U72" s="103"/>
      <c r="V72" s="1328"/>
      <c r="W72" s="103"/>
      <c r="X72" s="103"/>
    </row>
    <row r="73" spans="1:25" x14ac:dyDescent="0.4">
      <c r="B73" s="131" t="s">
        <v>1566</v>
      </c>
      <c r="C73" s="103"/>
      <c r="D73" s="103"/>
      <c r="E73" s="103"/>
      <c r="F73" s="103"/>
      <c r="G73" s="103"/>
      <c r="H73" s="103"/>
      <c r="I73" s="103"/>
      <c r="J73" s="103"/>
      <c r="K73" s="1333"/>
      <c r="L73" s="1328"/>
      <c r="M73" s="1328"/>
      <c r="N73" s="103"/>
      <c r="O73" s="103"/>
      <c r="P73" s="103"/>
      <c r="Q73" s="103"/>
      <c r="R73" s="103"/>
      <c r="S73" s="103"/>
      <c r="T73" s="103"/>
      <c r="U73" s="103"/>
      <c r="V73" s="1328"/>
      <c r="W73" s="103"/>
      <c r="X73" s="103"/>
    </row>
    <row r="74" spans="1:25" x14ac:dyDescent="0.4">
      <c r="B74" s="103"/>
      <c r="C74" s="103"/>
      <c r="D74" s="103"/>
      <c r="E74" s="103"/>
      <c r="F74" s="103"/>
      <c r="G74" s="103"/>
      <c r="H74" s="103"/>
      <c r="I74" s="103"/>
      <c r="J74" s="103"/>
      <c r="K74" s="1333"/>
      <c r="L74" s="1328"/>
      <c r="M74" s="1328"/>
      <c r="N74" s="103"/>
      <c r="O74" s="103"/>
      <c r="P74" s="103"/>
      <c r="Q74" s="103"/>
      <c r="R74" s="103"/>
      <c r="S74" s="103"/>
      <c r="T74" s="103"/>
      <c r="U74" s="103"/>
      <c r="V74" s="1328"/>
      <c r="W74" s="103"/>
      <c r="X74" s="103"/>
    </row>
    <row r="75" spans="1:25" x14ac:dyDescent="0.4">
      <c r="B75" s="1984" t="s">
        <v>699</v>
      </c>
      <c r="C75" s="1947" t="s">
        <v>700</v>
      </c>
      <c r="D75" s="1945" t="s">
        <v>720</v>
      </c>
      <c r="E75" s="1945"/>
      <c r="F75" s="1945"/>
      <c r="G75" s="1945"/>
      <c r="H75" s="1945"/>
      <c r="I75" s="1945"/>
      <c r="J75" s="1947" t="s">
        <v>721</v>
      </c>
      <c r="K75" s="1947"/>
      <c r="L75" s="1947"/>
      <c r="M75" s="2082" t="s">
        <v>722</v>
      </c>
      <c r="N75" s="2082"/>
      <c r="O75" s="2082"/>
      <c r="P75" s="2082"/>
      <c r="Q75" s="2082"/>
      <c r="R75" s="2082"/>
      <c r="S75" s="2082"/>
      <c r="T75" s="2082"/>
      <c r="U75" s="1947" t="s">
        <v>707</v>
      </c>
      <c r="V75" s="2083" t="s">
        <v>723</v>
      </c>
      <c r="W75" s="1947" t="s">
        <v>724</v>
      </c>
      <c r="X75" s="1947" t="s">
        <v>725</v>
      </c>
      <c r="Y75" s="1947" t="s">
        <v>1570</v>
      </c>
    </row>
    <row r="76" spans="1:25" ht="67.5" x14ac:dyDescent="0.4">
      <c r="B76" s="1984"/>
      <c r="C76" s="1947"/>
      <c r="D76" s="106" t="s">
        <v>726</v>
      </c>
      <c r="E76" s="106" t="s">
        <v>727</v>
      </c>
      <c r="F76" s="106" t="s">
        <v>728</v>
      </c>
      <c r="G76" s="106" t="s">
        <v>729</v>
      </c>
      <c r="H76" s="106" t="s">
        <v>730</v>
      </c>
      <c r="I76" s="106" t="s">
        <v>731</v>
      </c>
      <c r="J76" s="106" t="s">
        <v>732</v>
      </c>
      <c r="K76" s="1334" t="s">
        <v>733</v>
      </c>
      <c r="L76" s="1331" t="s">
        <v>701</v>
      </c>
      <c r="M76" s="749" t="s">
        <v>734</v>
      </c>
      <c r="N76" s="106" t="s">
        <v>735</v>
      </c>
      <c r="O76" s="106" t="s">
        <v>736</v>
      </c>
      <c r="P76" s="106" t="s">
        <v>737</v>
      </c>
      <c r="Q76" s="106" t="s">
        <v>738</v>
      </c>
      <c r="R76" s="106" t="s">
        <v>1512</v>
      </c>
      <c r="S76" s="106" t="s">
        <v>739</v>
      </c>
      <c r="T76" s="121" t="s">
        <v>164</v>
      </c>
      <c r="U76" s="1947"/>
      <c r="V76" s="2083"/>
      <c r="W76" s="1947"/>
      <c r="X76" s="1947"/>
      <c r="Y76" s="1947"/>
    </row>
    <row r="77" spans="1:25" x14ac:dyDescent="0.4">
      <c r="B77" s="517" t="s">
        <v>161</v>
      </c>
      <c r="C77" s="80"/>
      <c r="D77" s="80"/>
      <c r="E77" s="80"/>
      <c r="F77" s="80"/>
      <c r="G77" s="80"/>
      <c r="H77" s="80"/>
      <c r="I77" s="80"/>
      <c r="J77" s="80"/>
      <c r="K77" s="1335"/>
      <c r="L77" s="1329"/>
      <c r="M77" s="1329"/>
      <c r="N77" s="80"/>
      <c r="O77" s="80"/>
      <c r="P77" s="80"/>
      <c r="Q77" s="80"/>
      <c r="R77" s="80"/>
      <c r="S77" s="80"/>
      <c r="T77" s="81"/>
      <c r="U77" s="80"/>
      <c r="V77" s="1329"/>
      <c r="W77" s="80"/>
      <c r="X77" s="80"/>
      <c r="Y77" s="2"/>
    </row>
    <row r="78" spans="1:25" x14ac:dyDescent="0.4">
      <c r="B78" s="429" t="s">
        <v>1129</v>
      </c>
      <c r="C78" s="75">
        <f>+C13+C48</f>
        <v>3</v>
      </c>
      <c r="D78" s="75"/>
      <c r="E78" s="75"/>
      <c r="F78" s="75"/>
      <c r="G78" s="75"/>
      <c r="H78" s="75"/>
      <c r="I78" s="75"/>
      <c r="J78" s="75"/>
      <c r="K78" s="1306">
        <f t="shared" ref="K78:S78" si="11">+K13+K48</f>
        <v>21211</v>
      </c>
      <c r="L78" s="628">
        <f t="shared" si="11"/>
        <v>130.57773499999999</v>
      </c>
      <c r="M78" s="628">
        <f t="shared" si="11"/>
        <v>0</v>
      </c>
      <c r="N78" s="628">
        <f t="shared" si="11"/>
        <v>13.5088317</v>
      </c>
      <c r="O78" s="628">
        <f t="shared" si="11"/>
        <v>96.580495354545477</v>
      </c>
      <c r="P78" s="628">
        <f t="shared" si="11"/>
        <v>-2.5240991304351228</v>
      </c>
      <c r="Q78" s="628">
        <f t="shared" si="11"/>
        <v>9.366660012121212</v>
      </c>
      <c r="R78" s="628">
        <f t="shared" si="11"/>
        <v>0</v>
      </c>
      <c r="S78" s="628">
        <f t="shared" si="11"/>
        <v>0</v>
      </c>
      <c r="T78" s="628">
        <f>SUM(M78:S78)</f>
        <v>116.93188793623158</v>
      </c>
      <c r="U78" s="75"/>
      <c r="V78" s="628">
        <f>+T78+U78</f>
        <v>116.93188793623158</v>
      </c>
      <c r="W78" s="1221">
        <f>IFERROR(V78/L78*10,0)</f>
        <v>8.9549637184495197</v>
      </c>
      <c r="X78" s="75"/>
      <c r="Y78" s="2"/>
    </row>
    <row r="79" spans="1:25" x14ac:dyDescent="0.4">
      <c r="B79" s="429" t="s">
        <v>1130</v>
      </c>
      <c r="C79" s="75">
        <f>+C14+C49</f>
        <v>4</v>
      </c>
      <c r="D79" s="75"/>
      <c r="E79" s="75"/>
      <c r="F79" s="75"/>
      <c r="G79" s="75"/>
      <c r="H79" s="75"/>
      <c r="I79" s="75"/>
      <c r="J79" s="75"/>
      <c r="K79" s="1306">
        <f t="shared" ref="K79:S79" si="12">+K14+K49</f>
        <v>515</v>
      </c>
      <c r="L79" s="628">
        <f t="shared" si="12"/>
        <v>0.62262236209784627</v>
      </c>
      <c r="M79" s="628">
        <f t="shared" si="12"/>
        <v>0</v>
      </c>
      <c r="N79" s="628">
        <f t="shared" si="12"/>
        <v>0.27219037500000004</v>
      </c>
      <c r="O79" s="628">
        <f t="shared" si="12"/>
        <v>0.74747986533771194</v>
      </c>
      <c r="P79" s="628">
        <f t="shared" si="12"/>
        <v>-9.0348262653324417E-4</v>
      </c>
      <c r="Q79" s="628">
        <f t="shared" si="12"/>
        <v>4.4920829392740856E-2</v>
      </c>
      <c r="R79" s="628">
        <f t="shared" si="12"/>
        <v>0</v>
      </c>
      <c r="S79" s="628">
        <f t="shared" si="12"/>
        <v>0</v>
      </c>
      <c r="T79" s="628">
        <f>SUM(M79:S79)</f>
        <v>1.0636875871039195</v>
      </c>
      <c r="U79" s="75"/>
      <c r="V79" s="628">
        <f>+T79+U79</f>
        <v>1.0636875871039195</v>
      </c>
      <c r="W79" s="1221">
        <f>IFERROR(V79/L79*10,0)</f>
        <v>17.083992671255182</v>
      </c>
      <c r="X79" s="75"/>
      <c r="Y79" s="2"/>
    </row>
    <row r="80" spans="1:25" x14ac:dyDescent="0.4">
      <c r="B80" s="429" t="s">
        <v>1131</v>
      </c>
      <c r="C80" s="75">
        <f>+C15+C50</f>
        <v>0</v>
      </c>
      <c r="D80" s="75"/>
      <c r="E80" s="75"/>
      <c r="F80" s="75"/>
      <c r="G80" s="75"/>
      <c r="H80" s="75"/>
      <c r="I80" s="75"/>
      <c r="J80" s="75"/>
      <c r="K80" s="1306"/>
      <c r="L80" s="628"/>
      <c r="M80" s="628"/>
      <c r="N80" s="628"/>
      <c r="O80" s="628"/>
      <c r="P80" s="628"/>
      <c r="Q80" s="628"/>
      <c r="R80" s="628"/>
      <c r="S80" s="628"/>
      <c r="T80" s="628"/>
      <c r="U80" s="75"/>
      <c r="V80" s="628"/>
      <c r="W80" s="75"/>
      <c r="X80" s="75"/>
      <c r="Y80" s="2"/>
    </row>
    <row r="81" spans="2:25" ht="25.5" x14ac:dyDescent="0.4">
      <c r="B81" s="429" t="s">
        <v>1132</v>
      </c>
      <c r="C81" s="75">
        <f>+C16+C51</f>
        <v>0</v>
      </c>
      <c r="D81" s="75"/>
      <c r="E81" s="75"/>
      <c r="F81" s="75"/>
      <c r="G81" s="75"/>
      <c r="H81" s="75"/>
      <c r="I81" s="75"/>
      <c r="J81" s="75"/>
      <c r="K81" s="1306"/>
      <c r="L81" s="628"/>
      <c r="M81" s="628"/>
      <c r="N81" s="628"/>
      <c r="O81" s="628"/>
      <c r="P81" s="628"/>
      <c r="Q81" s="628"/>
      <c r="R81" s="628"/>
      <c r="S81" s="628"/>
      <c r="T81" s="628"/>
      <c r="U81" s="75"/>
      <c r="V81" s="628"/>
      <c r="W81" s="75"/>
      <c r="X81" s="75"/>
      <c r="Y81" s="2"/>
    </row>
    <row r="82" spans="2:25" x14ac:dyDescent="0.4">
      <c r="B82" s="518" t="s">
        <v>162</v>
      </c>
      <c r="C82" s="128">
        <f t="shared" ref="C82:V82" si="13">SUM(C78:C81)</f>
        <v>7</v>
      </c>
      <c r="D82" s="1309">
        <f t="shared" si="13"/>
        <v>0</v>
      </c>
      <c r="E82" s="1309">
        <f t="shared" si="13"/>
        <v>0</v>
      </c>
      <c r="F82" s="1309">
        <f t="shared" si="13"/>
        <v>0</v>
      </c>
      <c r="G82" s="1309">
        <f t="shared" si="13"/>
        <v>0</v>
      </c>
      <c r="H82" s="1309">
        <f t="shared" si="13"/>
        <v>0</v>
      </c>
      <c r="I82" s="1309">
        <f t="shared" si="13"/>
        <v>0</v>
      </c>
      <c r="J82" s="1309">
        <f t="shared" si="13"/>
        <v>0</v>
      </c>
      <c r="K82" s="1336">
        <f t="shared" si="13"/>
        <v>21726</v>
      </c>
      <c r="L82" s="630">
        <f t="shared" si="13"/>
        <v>131.20035736209783</v>
      </c>
      <c r="M82" s="630">
        <f t="shared" si="13"/>
        <v>0</v>
      </c>
      <c r="N82" s="630">
        <f t="shared" si="13"/>
        <v>13.781022074999999</v>
      </c>
      <c r="O82" s="630">
        <f t="shared" si="13"/>
        <v>97.327975219883186</v>
      </c>
      <c r="P82" s="630">
        <f t="shared" si="13"/>
        <v>-2.5250026130616559</v>
      </c>
      <c r="Q82" s="630">
        <f t="shared" si="13"/>
        <v>9.4115808415139526</v>
      </c>
      <c r="R82" s="630">
        <f t="shared" si="13"/>
        <v>0</v>
      </c>
      <c r="S82" s="630">
        <f t="shared" si="13"/>
        <v>0</v>
      </c>
      <c r="T82" s="630">
        <f t="shared" si="13"/>
        <v>117.99557552333549</v>
      </c>
      <c r="U82" s="1309">
        <f t="shared" si="13"/>
        <v>0</v>
      </c>
      <c r="V82" s="630">
        <f t="shared" si="13"/>
        <v>117.99557552333549</v>
      </c>
      <c r="W82" s="1221">
        <f>IFERROR(V82/L82*10,0)</f>
        <v>8.9935407109967951</v>
      </c>
      <c r="X82" s="75"/>
      <c r="Y82" s="2"/>
    </row>
    <row r="83" spans="2:25" x14ac:dyDescent="0.4">
      <c r="B83" s="517" t="s">
        <v>163</v>
      </c>
      <c r="C83" s="75"/>
      <c r="D83" s="75"/>
      <c r="E83" s="75"/>
      <c r="F83" s="75"/>
      <c r="G83" s="75"/>
      <c r="H83" s="75"/>
      <c r="I83" s="75"/>
      <c r="J83" s="75"/>
      <c r="K83" s="1306"/>
      <c r="L83" s="628"/>
      <c r="M83" s="628"/>
      <c r="N83" s="628"/>
      <c r="O83" s="628"/>
      <c r="P83" s="628"/>
      <c r="Q83" s="628"/>
      <c r="R83" s="628"/>
      <c r="S83" s="628"/>
      <c r="T83" s="628"/>
      <c r="U83" s="75"/>
      <c r="V83" s="628"/>
      <c r="W83" s="75"/>
      <c r="X83" s="75"/>
      <c r="Y83" s="2"/>
    </row>
    <row r="84" spans="2:25" x14ac:dyDescent="0.4">
      <c r="B84" s="519" t="s">
        <v>1133</v>
      </c>
      <c r="C84" s="75"/>
      <c r="D84" s="75"/>
      <c r="E84" s="75"/>
      <c r="F84" s="75"/>
      <c r="G84" s="75"/>
      <c r="H84" s="75"/>
      <c r="I84" s="75"/>
      <c r="J84" s="75"/>
      <c r="K84" s="1306"/>
      <c r="L84" s="628"/>
      <c r="M84" s="628"/>
      <c r="N84" s="628"/>
      <c r="O84" s="628"/>
      <c r="P84" s="628"/>
      <c r="Q84" s="628"/>
      <c r="R84" s="628"/>
      <c r="S84" s="628"/>
      <c r="T84" s="628"/>
      <c r="U84" s="75"/>
      <c r="V84" s="628"/>
      <c r="W84" s="75"/>
      <c r="X84" s="75"/>
      <c r="Y84" s="2"/>
    </row>
    <row r="85" spans="2:25" x14ac:dyDescent="0.4">
      <c r="B85" s="520" t="s">
        <v>1106</v>
      </c>
      <c r="C85" s="75">
        <f>+C20+C55</f>
        <v>1338</v>
      </c>
      <c r="D85" s="75"/>
      <c r="E85" s="75"/>
      <c r="F85" s="75"/>
      <c r="G85" s="75"/>
      <c r="H85" s="75"/>
      <c r="I85" s="75"/>
      <c r="J85" s="75"/>
      <c r="K85" s="1306">
        <f t="shared" ref="K85:L97" si="14">+K20+K55</f>
        <v>0</v>
      </c>
      <c r="L85" s="628">
        <f t="shared" si="14"/>
        <v>1.6685011957773752</v>
      </c>
      <c r="M85" s="628">
        <f t="shared" ref="M85:S85" si="15">+M20+M55</f>
        <v>0.68799960000000004</v>
      </c>
      <c r="N85" s="628">
        <f t="shared" si="15"/>
        <v>0</v>
      </c>
      <c r="O85" s="628">
        <f t="shared" si="15"/>
        <v>0.62162838578211721</v>
      </c>
      <c r="P85" s="628">
        <f t="shared" si="15"/>
        <v>-1.894499163612999E-2</v>
      </c>
      <c r="Q85" s="628">
        <f t="shared" si="15"/>
        <v>0.23335805034664697</v>
      </c>
      <c r="R85" s="628">
        <f t="shared" si="15"/>
        <v>0</v>
      </c>
      <c r="S85" s="628">
        <f t="shared" si="15"/>
        <v>0</v>
      </c>
      <c r="T85" s="628">
        <f>SUM(M85:S85)</f>
        <v>1.5240410444926342</v>
      </c>
      <c r="U85" s="75"/>
      <c r="V85" s="628">
        <f>+T85+U85</f>
        <v>1.5240410444926342</v>
      </c>
      <c r="W85" s="1221">
        <f>IFERROR(V85/L85*10,0)</f>
        <v>9.1341921021672672</v>
      </c>
      <c r="X85" s="75"/>
      <c r="Y85" s="2"/>
    </row>
    <row r="86" spans="2:25" x14ac:dyDescent="0.4">
      <c r="B86" s="520" t="s">
        <v>1107</v>
      </c>
      <c r="C86" s="75">
        <f>+C21+C56</f>
        <v>520</v>
      </c>
      <c r="D86" s="75"/>
      <c r="E86" s="75"/>
      <c r="F86" s="75"/>
      <c r="G86" s="75"/>
      <c r="H86" s="75"/>
      <c r="I86" s="75"/>
      <c r="J86" s="75"/>
      <c r="K86" s="1306">
        <f t="shared" si="14"/>
        <v>0</v>
      </c>
      <c r="L86" s="628">
        <f t="shared" si="14"/>
        <v>1.6157569013759479</v>
      </c>
      <c r="M86" s="628">
        <f t="shared" ref="M86:S86" si="16">+M21+M56</f>
        <v>0.26738400000000001</v>
      </c>
      <c r="N86" s="628">
        <f t="shared" si="16"/>
        <v>0</v>
      </c>
      <c r="O86" s="628">
        <f t="shared" si="16"/>
        <v>1.4931152246276045</v>
      </c>
      <c r="P86" s="628">
        <f t="shared" si="16"/>
        <v>-1.8346106709455988E-2</v>
      </c>
      <c r="Q86" s="628">
        <f t="shared" si="16"/>
        <v>0.22353396438431195</v>
      </c>
      <c r="R86" s="628">
        <f t="shared" si="16"/>
        <v>0</v>
      </c>
      <c r="S86" s="628">
        <f t="shared" si="16"/>
        <v>0</v>
      </c>
      <c r="T86" s="628">
        <f>SUM(M86:S86)</f>
        <v>1.9656870823024606</v>
      </c>
      <c r="U86" s="75"/>
      <c r="V86" s="628">
        <f>+T86+U86</f>
        <v>1.9656870823024606</v>
      </c>
      <c r="W86" s="1221">
        <f>IFERROR(V86/L86*10,0)</f>
        <v>12.165735332020052</v>
      </c>
      <c r="X86" s="75"/>
      <c r="Y86" s="2"/>
    </row>
    <row r="87" spans="2:25" x14ac:dyDescent="0.4">
      <c r="B87" s="520" t="s">
        <v>1108</v>
      </c>
      <c r="C87" s="75">
        <f>+C22+C57</f>
        <v>276</v>
      </c>
      <c r="D87" s="75"/>
      <c r="E87" s="75"/>
      <c r="F87" s="75"/>
      <c r="G87" s="75"/>
      <c r="H87" s="75"/>
      <c r="I87" s="75"/>
      <c r="J87" s="75"/>
      <c r="K87" s="1306">
        <f t="shared" si="14"/>
        <v>0</v>
      </c>
      <c r="L87" s="628">
        <f t="shared" si="14"/>
        <v>0.56593028060698414</v>
      </c>
      <c r="M87" s="628">
        <f t="shared" ref="M87:S87" si="17">+M22+M57</f>
        <v>0.1419192</v>
      </c>
      <c r="N87" s="628">
        <f t="shared" si="17"/>
        <v>0</v>
      </c>
      <c r="O87" s="628">
        <f t="shared" si="17"/>
        <v>0.72386700600370524</v>
      </c>
      <c r="P87" s="628">
        <f t="shared" si="17"/>
        <v>-6.4258536103336227E-3</v>
      </c>
      <c r="Q87" s="628">
        <f t="shared" si="17"/>
        <v>7.6418663785102509E-2</v>
      </c>
      <c r="R87" s="628">
        <f t="shared" si="17"/>
        <v>0</v>
      </c>
      <c r="S87" s="628">
        <f t="shared" si="17"/>
        <v>0</v>
      </c>
      <c r="T87" s="628">
        <f>SUM(M87:S87)</f>
        <v>0.93577901617847414</v>
      </c>
      <c r="U87" s="75"/>
      <c r="V87" s="628">
        <f>+T87+U87</f>
        <v>0.93577901617847414</v>
      </c>
      <c r="W87" s="1221">
        <f>IFERROR(V87/L87*10,0)</f>
        <v>16.535234961713158</v>
      </c>
      <c r="X87" s="75"/>
      <c r="Y87" s="2"/>
    </row>
    <row r="88" spans="2:25" x14ac:dyDescent="0.4">
      <c r="B88" s="520" t="s">
        <v>1109</v>
      </c>
      <c r="C88" s="75">
        <f>+C23+C58</f>
        <v>198</v>
      </c>
      <c r="D88" s="75"/>
      <c r="E88" s="75"/>
      <c r="F88" s="75"/>
      <c r="G88" s="75"/>
      <c r="H88" s="75"/>
      <c r="I88" s="75"/>
      <c r="J88" s="75"/>
      <c r="K88" s="1306">
        <f t="shared" si="14"/>
        <v>0</v>
      </c>
      <c r="L88" s="628">
        <f t="shared" si="14"/>
        <v>3.3263661062430678</v>
      </c>
      <c r="M88" s="628">
        <f t="shared" ref="M88:S88" si="18">+M23+M58</f>
        <v>0.1018116</v>
      </c>
      <c r="N88" s="628">
        <f t="shared" si="18"/>
        <v>0</v>
      </c>
      <c r="O88" s="628">
        <f t="shared" si="18"/>
        <v>4.9109938431431583</v>
      </c>
      <c r="P88" s="628">
        <f t="shared" si="18"/>
        <v>-3.7769213603781902E-2</v>
      </c>
      <c r="Q88" s="628">
        <f t="shared" si="18"/>
        <v>0.45913275653677382</v>
      </c>
      <c r="R88" s="628">
        <f t="shared" si="18"/>
        <v>0</v>
      </c>
      <c r="S88" s="628">
        <f t="shared" si="18"/>
        <v>0</v>
      </c>
      <c r="T88" s="628">
        <f>SUM(M88:S88)</f>
        <v>5.4341689860761502</v>
      </c>
      <c r="U88" s="75"/>
      <c r="V88" s="628">
        <f>+T88+U88</f>
        <v>5.4341689860761502</v>
      </c>
      <c r="W88" s="1221">
        <f>IFERROR(V88/L88*10,0)</f>
        <v>16.336653310280749</v>
      </c>
      <c r="X88" s="75"/>
      <c r="Y88" s="2"/>
    </row>
    <row r="89" spans="2:25" x14ac:dyDescent="0.4">
      <c r="B89" s="520" t="s">
        <v>1110</v>
      </c>
      <c r="C89" s="75"/>
      <c r="D89" s="75"/>
      <c r="E89" s="75"/>
      <c r="F89" s="75"/>
      <c r="G89" s="75"/>
      <c r="H89" s="75"/>
      <c r="I89" s="75"/>
      <c r="J89" s="75"/>
      <c r="K89" s="1306">
        <f t="shared" si="14"/>
        <v>0</v>
      </c>
      <c r="L89" s="628">
        <f t="shared" si="14"/>
        <v>0</v>
      </c>
      <c r="M89" s="628">
        <f t="shared" ref="M89:S89" si="19">+M24+M59</f>
        <v>0</v>
      </c>
      <c r="N89" s="628">
        <f t="shared" si="19"/>
        <v>0</v>
      </c>
      <c r="O89" s="628">
        <f t="shared" si="19"/>
        <v>0</v>
      </c>
      <c r="P89" s="628">
        <f t="shared" si="19"/>
        <v>0</v>
      </c>
      <c r="Q89" s="628">
        <f t="shared" si="19"/>
        <v>0</v>
      </c>
      <c r="R89" s="628">
        <f t="shared" si="19"/>
        <v>0</v>
      </c>
      <c r="S89" s="628">
        <f t="shared" si="19"/>
        <v>0</v>
      </c>
      <c r="T89" s="628"/>
      <c r="U89" s="75"/>
      <c r="V89" s="628"/>
      <c r="W89" s="75"/>
      <c r="X89" s="75"/>
      <c r="Y89" s="2"/>
    </row>
    <row r="90" spans="2:25" x14ac:dyDescent="0.4">
      <c r="B90" s="519" t="s">
        <v>1139</v>
      </c>
      <c r="C90" s="75"/>
      <c r="D90" s="75"/>
      <c r="E90" s="75"/>
      <c r="F90" s="75"/>
      <c r="G90" s="75"/>
      <c r="H90" s="75"/>
      <c r="I90" s="75"/>
      <c r="J90" s="75"/>
      <c r="K90" s="1306"/>
      <c r="L90" s="628"/>
      <c r="M90" s="628"/>
      <c r="N90" s="628"/>
      <c r="O90" s="628"/>
      <c r="P90" s="628"/>
      <c r="Q90" s="628"/>
      <c r="R90" s="628"/>
      <c r="S90" s="628"/>
      <c r="T90" s="628"/>
      <c r="U90" s="75"/>
      <c r="V90" s="628"/>
      <c r="W90" s="75"/>
      <c r="X90" s="75"/>
      <c r="Y90" s="2"/>
    </row>
    <row r="91" spans="2:25" x14ac:dyDescent="0.4">
      <c r="B91" s="520" t="s">
        <v>1140</v>
      </c>
      <c r="C91" s="75">
        <f t="shared" ref="C91:C97" si="20">+C26+C61</f>
        <v>42</v>
      </c>
      <c r="D91" s="75"/>
      <c r="E91" s="75"/>
      <c r="F91" s="75"/>
      <c r="G91" s="75"/>
      <c r="H91" s="75"/>
      <c r="I91" s="75"/>
      <c r="J91" s="75"/>
      <c r="K91" s="1306">
        <f t="shared" si="14"/>
        <v>0</v>
      </c>
      <c r="L91" s="628">
        <f t="shared" si="14"/>
        <v>0.28030741261949632</v>
      </c>
      <c r="M91" s="628">
        <f t="shared" ref="M91:S91" si="21">+M26+M61</f>
        <v>2.6170200000000001E-2</v>
      </c>
      <c r="N91" s="628">
        <f t="shared" si="21"/>
        <v>0</v>
      </c>
      <c r="O91" s="628">
        <f t="shared" si="21"/>
        <v>0.20960420104958435</v>
      </c>
      <c r="P91" s="628">
        <f t="shared" si="21"/>
        <v>0</v>
      </c>
      <c r="Q91" s="628">
        <f t="shared" si="21"/>
        <v>3.8851998470180199E-2</v>
      </c>
      <c r="R91" s="628">
        <f t="shared" si="21"/>
        <v>0</v>
      </c>
      <c r="S91" s="628">
        <f t="shared" si="21"/>
        <v>0</v>
      </c>
      <c r="T91" s="628">
        <f t="shared" ref="T91:T97" si="22">SUM(M91:S91)</f>
        <v>0.27462639951976453</v>
      </c>
      <c r="U91" s="75"/>
      <c r="V91" s="628">
        <f t="shared" ref="V91:V98" si="23">+T91+U91</f>
        <v>0.27462639951976453</v>
      </c>
      <c r="W91" s="1221">
        <f t="shared" ref="W91:W97" si="24">IFERROR(V91/L91*10,0)</f>
        <v>9.7973291877427631</v>
      </c>
      <c r="X91" s="75"/>
      <c r="Y91" s="2"/>
    </row>
    <row r="92" spans="2:25" x14ac:dyDescent="0.4">
      <c r="B92" s="520" t="s">
        <v>1144</v>
      </c>
      <c r="C92" s="75">
        <f t="shared" si="20"/>
        <v>9</v>
      </c>
      <c r="D92" s="75"/>
      <c r="E92" s="75"/>
      <c r="F92" s="75"/>
      <c r="G92" s="75"/>
      <c r="H92" s="75"/>
      <c r="I92" s="75"/>
      <c r="J92" s="75"/>
      <c r="K92" s="1306">
        <f t="shared" si="14"/>
        <v>383</v>
      </c>
      <c r="L92" s="628">
        <f t="shared" si="14"/>
        <v>0.49242957191723197</v>
      </c>
      <c r="M92" s="628">
        <f t="shared" ref="M92:S92" si="25">+M27+M62</f>
        <v>0</v>
      </c>
      <c r="N92" s="628">
        <f t="shared" si="25"/>
        <v>9.6148320000000009E-2</v>
      </c>
      <c r="O92" s="628">
        <f t="shared" si="25"/>
        <v>0.54528441091980606</v>
      </c>
      <c r="P92" s="628">
        <f t="shared" si="25"/>
        <v>-1.9386918146402719E-2</v>
      </c>
      <c r="Q92" s="628">
        <f t="shared" si="25"/>
        <v>6.6532253440127781E-2</v>
      </c>
      <c r="R92" s="628">
        <f t="shared" si="25"/>
        <v>0</v>
      </c>
      <c r="S92" s="628">
        <f t="shared" si="25"/>
        <v>0</v>
      </c>
      <c r="T92" s="628">
        <f t="shared" si="22"/>
        <v>0.68857806621353113</v>
      </c>
      <c r="U92" s="75"/>
      <c r="V92" s="628">
        <f t="shared" si="23"/>
        <v>0.68857806621353113</v>
      </c>
      <c r="W92" s="1221">
        <f t="shared" si="24"/>
        <v>13.983280157863225</v>
      </c>
      <c r="X92" s="75"/>
      <c r="Y92" s="2"/>
    </row>
    <row r="93" spans="2:25" x14ac:dyDescent="0.4">
      <c r="B93" s="520" t="s">
        <v>1143</v>
      </c>
      <c r="C93" s="75">
        <f t="shared" si="20"/>
        <v>1</v>
      </c>
      <c r="D93" s="75"/>
      <c r="E93" s="75"/>
      <c r="F93" s="75"/>
      <c r="G93" s="75"/>
      <c r="H93" s="75"/>
      <c r="I93" s="75"/>
      <c r="J93" s="75"/>
      <c r="K93" s="1306">
        <f t="shared" si="14"/>
        <v>70</v>
      </c>
      <c r="L93" s="628">
        <f t="shared" si="14"/>
        <v>0.14664364979036104</v>
      </c>
      <c r="M93" s="628">
        <f t="shared" ref="M93:S93" si="26">+M28+M63</f>
        <v>0</v>
      </c>
      <c r="N93" s="628">
        <f t="shared" si="26"/>
        <v>1.75728E-2</v>
      </c>
      <c r="O93" s="628">
        <f t="shared" si="26"/>
        <v>0.19218010214185433</v>
      </c>
      <c r="P93" s="628">
        <f t="shared" si="26"/>
        <v>-1.3325539564930889E-2</v>
      </c>
      <c r="Q93" s="628">
        <f t="shared" si="26"/>
        <v>1.9674171329282085E-2</v>
      </c>
      <c r="R93" s="628">
        <f t="shared" si="26"/>
        <v>0</v>
      </c>
      <c r="S93" s="628">
        <f t="shared" si="26"/>
        <v>0</v>
      </c>
      <c r="T93" s="628">
        <f t="shared" si="22"/>
        <v>0.21610153390620554</v>
      </c>
      <c r="U93" s="75"/>
      <c r="V93" s="628">
        <f t="shared" si="23"/>
        <v>0.21610153390620554</v>
      </c>
      <c r="W93" s="1221">
        <f t="shared" si="24"/>
        <v>14.736508141684974</v>
      </c>
      <c r="X93" s="75"/>
      <c r="Y93" s="2"/>
    </row>
    <row r="94" spans="2:25" ht="25.5" x14ac:dyDescent="0.4">
      <c r="B94" s="519" t="s">
        <v>1111</v>
      </c>
      <c r="C94" s="75">
        <f t="shared" si="20"/>
        <v>2</v>
      </c>
      <c r="D94" s="75"/>
      <c r="E94" s="75"/>
      <c r="F94" s="75"/>
      <c r="G94" s="75"/>
      <c r="H94" s="75"/>
      <c r="I94" s="75"/>
      <c r="J94" s="75"/>
      <c r="K94" s="1306">
        <f t="shared" si="14"/>
        <v>160</v>
      </c>
      <c r="L94" s="628">
        <f t="shared" si="14"/>
        <v>0.81663970777495454</v>
      </c>
      <c r="M94" s="628">
        <f t="shared" ref="M94:S94" si="27">+M29+M64</f>
        <v>0</v>
      </c>
      <c r="N94" s="628">
        <f t="shared" si="27"/>
        <v>1.5244800000000001E-2</v>
      </c>
      <c r="O94" s="628">
        <f t="shared" si="27"/>
        <v>0.60060149616201119</v>
      </c>
      <c r="P94" s="628">
        <f t="shared" si="27"/>
        <v>-1.1985609312806808E-2</v>
      </c>
      <c r="Q94" s="628">
        <f t="shared" si="27"/>
        <v>0.1148900374099858</v>
      </c>
      <c r="R94" s="628">
        <f t="shared" si="27"/>
        <v>0</v>
      </c>
      <c r="S94" s="628">
        <f t="shared" si="27"/>
        <v>0</v>
      </c>
      <c r="T94" s="628">
        <f t="shared" si="22"/>
        <v>0.71875072425919018</v>
      </c>
      <c r="U94" s="75"/>
      <c r="V94" s="628">
        <f t="shared" si="23"/>
        <v>0.71875072425919018</v>
      </c>
      <c r="W94" s="1221">
        <f t="shared" si="24"/>
        <v>8.8013198160241792</v>
      </c>
      <c r="X94" s="75"/>
      <c r="Y94" s="2"/>
    </row>
    <row r="95" spans="2:25" ht="25.5" x14ac:dyDescent="0.4">
      <c r="B95" s="519" t="s">
        <v>1135</v>
      </c>
      <c r="C95" s="75">
        <f t="shared" si="20"/>
        <v>2</v>
      </c>
      <c r="D95" s="75"/>
      <c r="E95" s="75"/>
      <c r="F95" s="75"/>
      <c r="G95" s="75"/>
      <c r="H95" s="75"/>
      <c r="I95" s="75"/>
      <c r="J95" s="75"/>
      <c r="K95" s="1306">
        <f t="shared" si="14"/>
        <v>38</v>
      </c>
      <c r="L95" s="628">
        <f t="shared" si="14"/>
        <v>0.30281255260355711</v>
      </c>
      <c r="M95" s="628">
        <f t="shared" ref="M95:S95" si="28">+M30+M65</f>
        <v>1.4298E-3</v>
      </c>
      <c r="N95" s="628">
        <f t="shared" si="28"/>
        <v>0</v>
      </c>
      <c r="O95" s="628">
        <f t="shared" si="28"/>
        <v>0.16293750144426472</v>
      </c>
      <c r="P95" s="628">
        <f t="shared" si="28"/>
        <v>0</v>
      </c>
      <c r="Q95" s="628">
        <f t="shared" si="28"/>
        <v>4.2161264254617435E-2</v>
      </c>
      <c r="R95" s="628">
        <f t="shared" si="28"/>
        <v>0</v>
      </c>
      <c r="S95" s="628">
        <f t="shared" si="28"/>
        <v>0</v>
      </c>
      <c r="T95" s="628">
        <f t="shared" si="22"/>
        <v>0.20652856569888217</v>
      </c>
      <c r="U95" s="75"/>
      <c r="V95" s="628">
        <f t="shared" si="23"/>
        <v>0.20652856569888217</v>
      </c>
      <c r="W95" s="1221">
        <f t="shared" si="24"/>
        <v>6.8203436060746743</v>
      </c>
      <c r="X95" s="75"/>
      <c r="Y95" s="2"/>
    </row>
    <row r="96" spans="2:25" ht="38.25" x14ac:dyDescent="0.4">
      <c r="B96" s="519" t="s">
        <v>1136</v>
      </c>
      <c r="C96" s="75">
        <f t="shared" si="20"/>
        <v>0</v>
      </c>
      <c r="D96" s="75"/>
      <c r="E96" s="75"/>
      <c r="F96" s="75"/>
      <c r="G96" s="75"/>
      <c r="H96" s="75"/>
      <c r="I96" s="75"/>
      <c r="J96" s="75"/>
      <c r="K96" s="1306">
        <f t="shared" si="14"/>
        <v>0</v>
      </c>
      <c r="L96" s="628">
        <f t="shared" si="14"/>
        <v>0</v>
      </c>
      <c r="M96" s="628">
        <f t="shared" ref="M96:S96" si="29">+M31+M66</f>
        <v>0</v>
      </c>
      <c r="N96" s="628">
        <f t="shared" si="29"/>
        <v>0</v>
      </c>
      <c r="O96" s="628">
        <f t="shared" si="29"/>
        <v>0</v>
      </c>
      <c r="P96" s="628">
        <f t="shared" si="29"/>
        <v>0</v>
      </c>
      <c r="Q96" s="628">
        <f t="shared" si="29"/>
        <v>0</v>
      </c>
      <c r="R96" s="628">
        <f t="shared" si="29"/>
        <v>0</v>
      </c>
      <c r="S96" s="628">
        <f t="shared" si="29"/>
        <v>0</v>
      </c>
      <c r="T96" s="628">
        <f t="shared" si="22"/>
        <v>0</v>
      </c>
      <c r="U96" s="75"/>
      <c r="V96" s="628">
        <f t="shared" si="23"/>
        <v>0</v>
      </c>
      <c r="W96" s="1221">
        <f t="shared" si="24"/>
        <v>0</v>
      </c>
      <c r="X96" s="75"/>
      <c r="Y96" s="2"/>
    </row>
    <row r="97" spans="2:25" ht="25.5" x14ac:dyDescent="0.4">
      <c r="B97" s="519" t="s">
        <v>1142</v>
      </c>
      <c r="C97" s="75">
        <f t="shared" si="20"/>
        <v>10</v>
      </c>
      <c r="D97" s="75"/>
      <c r="E97" s="75"/>
      <c r="F97" s="75"/>
      <c r="G97" s="75"/>
      <c r="H97" s="75"/>
      <c r="I97" s="75"/>
      <c r="J97" s="75"/>
      <c r="K97" s="1306">
        <f t="shared" si="14"/>
        <v>105</v>
      </c>
      <c r="L97" s="628">
        <f t="shared" si="14"/>
        <v>1.6990259193169731E-2</v>
      </c>
      <c r="M97" s="628">
        <f t="shared" ref="M97:S97" si="30">+M32+M67</f>
        <v>0</v>
      </c>
      <c r="N97" s="628">
        <f t="shared" si="30"/>
        <v>1.008E-3</v>
      </c>
      <c r="O97" s="628">
        <f t="shared" si="30"/>
        <v>1.0776639577691306E-2</v>
      </c>
      <c r="P97" s="628">
        <f t="shared" si="30"/>
        <v>-1.9054926035835825E-4</v>
      </c>
      <c r="Q97" s="628">
        <f t="shared" si="30"/>
        <v>2.3010146147578923E-3</v>
      </c>
      <c r="R97" s="628">
        <f t="shared" si="30"/>
        <v>0</v>
      </c>
      <c r="S97" s="628">
        <f t="shared" si="30"/>
        <v>0</v>
      </c>
      <c r="T97" s="628">
        <f t="shared" si="22"/>
        <v>1.389510493209084E-2</v>
      </c>
      <c r="U97" s="75"/>
      <c r="V97" s="628">
        <f t="shared" si="23"/>
        <v>1.389510493209084E-2</v>
      </c>
      <c r="W97" s="1221">
        <f t="shared" si="24"/>
        <v>8.1782771964284233</v>
      </c>
      <c r="X97" s="75"/>
      <c r="Y97" s="2"/>
    </row>
    <row r="98" spans="2:25" x14ac:dyDescent="0.4">
      <c r="B98" s="518" t="s">
        <v>162</v>
      </c>
      <c r="C98" s="1308">
        <f t="shared" ref="C98:J98" si="31">SUM(C85:C97)</f>
        <v>2398</v>
      </c>
      <c r="D98" s="1310">
        <f t="shared" si="31"/>
        <v>0</v>
      </c>
      <c r="E98" s="1310">
        <f t="shared" si="31"/>
        <v>0</v>
      </c>
      <c r="F98" s="1310">
        <f t="shared" si="31"/>
        <v>0</v>
      </c>
      <c r="G98" s="1310">
        <f t="shared" si="31"/>
        <v>0</v>
      </c>
      <c r="H98" s="1310">
        <f t="shared" si="31"/>
        <v>0</v>
      </c>
      <c r="I98" s="1310">
        <f t="shared" si="31"/>
        <v>0</v>
      </c>
      <c r="J98" s="1310">
        <f t="shared" si="31"/>
        <v>0</v>
      </c>
      <c r="K98" s="1336">
        <f t="shared" ref="K98:S98" si="32">SUM(K85:K97)</f>
        <v>756</v>
      </c>
      <c r="L98" s="630">
        <f t="shared" si="32"/>
        <v>9.2323776379021467</v>
      </c>
      <c r="M98" s="630">
        <f t="shared" si="32"/>
        <v>1.2267143999999999</v>
      </c>
      <c r="N98" s="630">
        <f t="shared" si="32"/>
        <v>0.12997392000000002</v>
      </c>
      <c r="O98" s="630">
        <f t="shared" si="32"/>
        <v>9.4709888108518001</v>
      </c>
      <c r="P98" s="630">
        <f t="shared" si="32"/>
        <v>-0.12637478184420028</v>
      </c>
      <c r="Q98" s="630">
        <f t="shared" si="32"/>
        <v>1.2768541745717865</v>
      </c>
      <c r="R98" s="630">
        <f t="shared" si="32"/>
        <v>0</v>
      </c>
      <c r="S98" s="630">
        <f t="shared" si="32"/>
        <v>0</v>
      </c>
      <c r="T98" s="630">
        <f>SUM(T85:T97)</f>
        <v>11.978156523579381</v>
      </c>
      <c r="U98" s="1310">
        <f>SUM(U85:U97)</f>
        <v>0</v>
      </c>
      <c r="V98" s="630">
        <f t="shared" si="23"/>
        <v>11.978156523579381</v>
      </c>
      <c r="W98" s="1222">
        <f>IFERROR(V98/L98*10,0)</f>
        <v>12.974075577676597</v>
      </c>
      <c r="X98" s="75"/>
      <c r="Y98" s="2"/>
    </row>
    <row r="99" spans="2:25" x14ac:dyDescent="0.4">
      <c r="B99" s="518"/>
      <c r="C99" s="75"/>
      <c r="D99" s="75"/>
      <c r="E99" s="75"/>
      <c r="F99" s="75"/>
      <c r="G99" s="75"/>
      <c r="H99" s="75"/>
      <c r="I99" s="75"/>
      <c r="J99" s="75"/>
      <c r="K99" s="1306"/>
      <c r="L99" s="628"/>
      <c r="M99" s="628"/>
      <c r="N99" s="628"/>
      <c r="O99" s="628"/>
      <c r="P99" s="628"/>
      <c r="Q99" s="628"/>
      <c r="R99" s="628"/>
      <c r="S99" s="628"/>
      <c r="T99" s="628"/>
      <c r="U99" s="75"/>
      <c r="V99" s="628"/>
      <c r="W99" s="75"/>
      <c r="X99" s="75"/>
      <c r="Y99" s="2"/>
    </row>
    <row r="100" spans="2:25" x14ac:dyDescent="0.4">
      <c r="B100" s="119" t="s">
        <v>164</v>
      </c>
      <c r="C100" s="1308">
        <f>+C98+C82</f>
        <v>2405</v>
      </c>
      <c r="D100" s="1309">
        <f t="shared" ref="D100:V100" si="33">+D98+D82</f>
        <v>0</v>
      </c>
      <c r="E100" s="1309">
        <f t="shared" si="33"/>
        <v>0</v>
      </c>
      <c r="F100" s="1309">
        <f t="shared" si="33"/>
        <v>0</v>
      </c>
      <c r="G100" s="1309">
        <f t="shared" si="33"/>
        <v>0</v>
      </c>
      <c r="H100" s="1309">
        <f t="shared" si="33"/>
        <v>0</v>
      </c>
      <c r="I100" s="1309">
        <f t="shared" si="33"/>
        <v>0</v>
      </c>
      <c r="J100" s="1309">
        <f t="shared" si="33"/>
        <v>0</v>
      </c>
      <c r="K100" s="1336">
        <f t="shared" si="33"/>
        <v>22482</v>
      </c>
      <c r="L100" s="630">
        <f>+L98+L82</f>
        <v>140.43273499999998</v>
      </c>
      <c r="M100" s="630">
        <f>+M98+M82</f>
        <v>1.2267143999999999</v>
      </c>
      <c r="N100" s="630">
        <f t="shared" ref="N100:S100" si="34">+N98+N82</f>
        <v>13.910995994999999</v>
      </c>
      <c r="O100" s="630">
        <f t="shared" si="34"/>
        <v>106.79896403073499</v>
      </c>
      <c r="P100" s="630">
        <f t="shared" si="34"/>
        <v>-2.6513773949058561</v>
      </c>
      <c r="Q100" s="630">
        <f t="shared" si="34"/>
        <v>10.688435016085739</v>
      </c>
      <c r="R100" s="630">
        <f t="shared" si="34"/>
        <v>0</v>
      </c>
      <c r="S100" s="630">
        <f t="shared" si="34"/>
        <v>0</v>
      </c>
      <c r="T100" s="630">
        <f t="shared" si="33"/>
        <v>129.97373204691488</v>
      </c>
      <c r="U100" s="1309">
        <f t="shared" si="33"/>
        <v>0</v>
      </c>
      <c r="V100" s="630">
        <f t="shared" si="33"/>
        <v>129.97373204691488</v>
      </c>
      <c r="W100" s="1222">
        <f>IFERROR(V100/L100*10,0)</f>
        <v>9.2552304166770583</v>
      </c>
      <c r="X100" s="75"/>
      <c r="Y100" s="2"/>
    </row>
    <row r="101" spans="2:25" x14ac:dyDescent="0.4">
      <c r="L101" s="561">
        <f>+'F1'!J34-L100</f>
        <v>0</v>
      </c>
      <c r="M101" s="561">
        <f>+M35+M70-M100</f>
        <v>0</v>
      </c>
      <c r="N101" s="561">
        <f t="shared" ref="N101:V101" si="35">+N35+N70-N100</f>
        <v>0</v>
      </c>
      <c r="O101" s="561">
        <f t="shared" si="35"/>
        <v>0</v>
      </c>
      <c r="P101" s="561">
        <f t="shared" si="35"/>
        <v>0</v>
      </c>
      <c r="Q101" s="561">
        <f t="shared" si="35"/>
        <v>0</v>
      </c>
      <c r="R101" s="561">
        <f t="shared" si="35"/>
        <v>0</v>
      </c>
      <c r="S101" s="561">
        <f t="shared" si="35"/>
        <v>0</v>
      </c>
      <c r="T101" s="561">
        <f t="shared" si="35"/>
        <v>0</v>
      </c>
      <c r="U101" s="561">
        <f t="shared" si="35"/>
        <v>0</v>
      </c>
      <c r="V101" s="561">
        <f t="shared" si="35"/>
        <v>0</v>
      </c>
      <c r="W101" s="561"/>
      <c r="Y101" s="2"/>
    </row>
  </sheetData>
  <mergeCells count="35">
    <mergeCell ref="U75:U76"/>
    <mergeCell ref="V75:V76"/>
    <mergeCell ref="W75:W76"/>
    <mergeCell ref="X75:X76"/>
    <mergeCell ref="Y10:Y11"/>
    <mergeCell ref="Y45:Y46"/>
    <mergeCell ref="Y75:Y76"/>
    <mergeCell ref="U45:U46"/>
    <mergeCell ref="V45:V46"/>
    <mergeCell ref="W45:W46"/>
    <mergeCell ref="X45:X46"/>
    <mergeCell ref="B75:B76"/>
    <mergeCell ref="C75:C76"/>
    <mergeCell ref="D75:I75"/>
    <mergeCell ref="J75:L75"/>
    <mergeCell ref="M75:T75"/>
    <mergeCell ref="A46:A47"/>
    <mergeCell ref="B45:B46"/>
    <mergeCell ref="C45:C46"/>
    <mergeCell ref="D45:I45"/>
    <mergeCell ref="J45:L45"/>
    <mergeCell ref="M45:T45"/>
    <mergeCell ref="B2:X2"/>
    <mergeCell ref="B3:X3"/>
    <mergeCell ref="B4:X4"/>
    <mergeCell ref="A11:A12"/>
    <mergeCell ref="U10:U11"/>
    <mergeCell ref="V10:V11"/>
    <mergeCell ref="W10:W11"/>
    <mergeCell ref="X10:X11"/>
    <mergeCell ref="B10:B11"/>
    <mergeCell ref="C10:C11"/>
    <mergeCell ref="D10:I10"/>
    <mergeCell ref="J10:L10"/>
    <mergeCell ref="M10:T10"/>
  </mergeCells>
  <pageMargins left="0.7" right="0.7" top="0.75" bottom="0.75" header="0.3" footer="0.3"/>
  <pageSetup scale="39" orientation="landscape" r:id="rId1"/>
  <rowBreaks count="1" manualBreakCount="1">
    <brk id="71" min="1"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256BF-5CD5-42CC-B7F3-73D783A17D4D}">
  <dimension ref="A3:Z190"/>
  <sheetViews>
    <sheetView showGridLines="0" topLeftCell="A103" zoomScaleNormal="100" workbookViewId="0">
      <selection activeCell="F114" sqref="F114"/>
    </sheetView>
  </sheetViews>
  <sheetFormatPr defaultColWidth="8.86328125" defaultRowHeight="13.15" x14ac:dyDescent="0.35"/>
  <cols>
    <col min="1" max="1" width="8.86328125" style="729"/>
    <col min="2" max="2" width="8.86328125" style="728"/>
    <col min="3" max="3" width="44" style="729" customWidth="1"/>
    <col min="4" max="4" width="10.86328125" style="728" customWidth="1"/>
    <col min="5" max="5" width="11.46484375" style="729" customWidth="1"/>
    <col min="6" max="6" width="12.796875" style="729" customWidth="1"/>
    <col min="7" max="7" width="11.6640625" style="729" customWidth="1"/>
    <col min="8" max="8" width="14.19921875" style="729" bestFit="1" customWidth="1"/>
    <col min="9" max="9" width="12.19921875" style="729" customWidth="1"/>
    <col min="10" max="16" width="11.796875" style="729" customWidth="1"/>
    <col min="17" max="26" width="10.6640625" style="729" bestFit="1" customWidth="1"/>
    <col min="27" max="16384" width="8.86328125" style="729"/>
  </cols>
  <sheetData>
    <row r="3" spans="3:11" x14ac:dyDescent="0.35">
      <c r="C3" s="724" t="s">
        <v>1126</v>
      </c>
      <c r="D3" s="1223">
        <v>43482</v>
      </c>
    </row>
    <row r="4" spans="3:11" x14ac:dyDescent="0.35">
      <c r="C4" s="724" t="s">
        <v>1127</v>
      </c>
      <c r="D4" s="1223">
        <v>43556</v>
      </c>
    </row>
    <row r="6" spans="3:11" x14ac:dyDescent="0.35">
      <c r="C6" s="730" t="s">
        <v>1146</v>
      </c>
      <c r="E6" s="576" t="s">
        <v>1147</v>
      </c>
      <c r="F6" s="576" t="s">
        <v>1148</v>
      </c>
      <c r="G6" s="576" t="s">
        <v>827</v>
      </c>
      <c r="H6" s="1908" t="s">
        <v>1150</v>
      </c>
      <c r="I6" s="576" t="s">
        <v>1147</v>
      </c>
      <c r="J6" s="576" t="s">
        <v>1148</v>
      </c>
      <c r="K6" s="576" t="s">
        <v>827</v>
      </c>
    </row>
    <row r="7" spans="3:11" x14ac:dyDescent="0.35">
      <c r="C7" s="731"/>
      <c r="E7" s="1907" t="s">
        <v>1151</v>
      </c>
      <c r="F7" s="1907"/>
      <c r="G7" s="1907"/>
      <c r="H7" s="1909"/>
      <c r="I7" s="1907" t="s">
        <v>1152</v>
      </c>
      <c r="J7" s="1907"/>
      <c r="K7" s="1907"/>
    </row>
    <row r="8" spans="3:11" x14ac:dyDescent="0.35">
      <c r="C8" s="569" t="s">
        <v>161</v>
      </c>
      <c r="E8" s="724"/>
      <c r="F8" s="724"/>
      <c r="G8" s="724"/>
      <c r="H8" s="724"/>
      <c r="I8" s="724"/>
      <c r="J8" s="724"/>
      <c r="K8" s="724"/>
    </row>
    <row r="9" spans="3:11" x14ac:dyDescent="0.35">
      <c r="C9" s="570" t="s">
        <v>1129</v>
      </c>
      <c r="E9" s="725">
        <f>+'F1 SEZ'!H12</f>
        <v>33.574559999999998</v>
      </c>
      <c r="F9" s="725">
        <f>+'F1 Non-SEZ'!H12</f>
        <v>0.28320001560000035</v>
      </c>
      <c r="G9" s="732">
        <f>+E9+F9</f>
        <v>33.8577600156</v>
      </c>
      <c r="H9" s="732"/>
      <c r="I9" s="733">
        <f>+E9/G9</f>
        <v>0.99163559504617205</v>
      </c>
      <c r="J9" s="733">
        <f>+F9/G9</f>
        <v>8.3644049538278854E-3</v>
      </c>
      <c r="K9" s="734">
        <f>+I9+J9</f>
        <v>0.99999999999999989</v>
      </c>
    </row>
    <row r="10" spans="3:11" x14ac:dyDescent="0.35">
      <c r="C10" s="570" t="s">
        <v>1130</v>
      </c>
      <c r="E10" s="725">
        <f>+'F1 SEZ'!H13</f>
        <v>1.6677579999999997E-2</v>
      </c>
      <c r="F10" s="725">
        <f>+'F1 Non-SEZ'!H13</f>
        <v>0.33086001000000004</v>
      </c>
      <c r="G10" s="732">
        <f>+E10+F10</f>
        <v>0.34753759000000006</v>
      </c>
      <c r="H10" s="733">
        <f>+G10/($G$31-$G$9)</f>
        <v>6.3178321877001162E-2</v>
      </c>
      <c r="I10" s="733">
        <f>+E10/G10</f>
        <v>4.798784499829211E-2</v>
      </c>
      <c r="J10" s="733">
        <f>+F10/G10</f>
        <v>0.95201215500170777</v>
      </c>
      <c r="K10" s="734">
        <f>+I10+J10</f>
        <v>0.99999999999999989</v>
      </c>
    </row>
    <row r="11" spans="3:11" x14ac:dyDescent="0.35">
      <c r="C11" s="570" t="s">
        <v>1131</v>
      </c>
      <c r="E11" s="725">
        <f>+'F1 SEZ'!H14</f>
        <v>0</v>
      </c>
      <c r="F11" s="725">
        <f>+'F1 Non-SEZ'!H14</f>
        <v>0</v>
      </c>
      <c r="G11" s="732">
        <f>+E11+F11</f>
        <v>0</v>
      </c>
      <c r="H11" s="732"/>
      <c r="I11" s="724"/>
      <c r="J11" s="724"/>
      <c r="K11" s="724"/>
    </row>
    <row r="12" spans="3:11" x14ac:dyDescent="0.35">
      <c r="C12" s="570" t="s">
        <v>1132</v>
      </c>
      <c r="E12" s="725">
        <f>+'F1 SEZ'!H15</f>
        <v>0</v>
      </c>
      <c r="F12" s="725">
        <f>+'F1 Non-SEZ'!H15</f>
        <v>0</v>
      </c>
      <c r="G12" s="732">
        <f>+E12+F12</f>
        <v>0</v>
      </c>
      <c r="H12" s="732"/>
      <c r="I12" s="724"/>
      <c r="J12" s="724"/>
      <c r="K12" s="724"/>
    </row>
    <row r="13" spans="3:11" x14ac:dyDescent="0.35">
      <c r="C13" s="571" t="s">
        <v>162</v>
      </c>
      <c r="E13" s="735">
        <f>SUM(E9:E12)</f>
        <v>33.591237579999998</v>
      </c>
      <c r="F13" s="735">
        <f>SUM(F9:F12)</f>
        <v>0.61406002560000039</v>
      </c>
      <c r="G13" s="735">
        <f>SUM(G9:G12)</f>
        <v>34.205297605600002</v>
      </c>
      <c r="H13" s="735"/>
      <c r="I13" s="733">
        <f>+E13/G13</f>
        <v>0.98204780929900548</v>
      </c>
      <c r="J13" s="733">
        <f>+F13/G13</f>
        <v>1.795219070099446E-2</v>
      </c>
      <c r="K13" s="734">
        <f>+I13+J13</f>
        <v>0.99999999999999989</v>
      </c>
    </row>
    <row r="14" spans="3:11" x14ac:dyDescent="0.35">
      <c r="C14" s="569" t="s">
        <v>163</v>
      </c>
      <c r="E14" s="724"/>
      <c r="F14" s="724"/>
      <c r="G14" s="724"/>
      <c r="H14" s="724"/>
      <c r="I14" s="724"/>
      <c r="J14" s="724"/>
      <c r="K14" s="724"/>
    </row>
    <row r="15" spans="3:11" x14ac:dyDescent="0.35">
      <c r="C15" s="572" t="s">
        <v>1133</v>
      </c>
      <c r="E15" s="724"/>
      <c r="F15" s="724"/>
      <c r="G15" s="724"/>
      <c r="H15" s="724"/>
      <c r="I15" s="724"/>
      <c r="J15" s="724"/>
      <c r="K15" s="724"/>
    </row>
    <row r="16" spans="3:11" x14ac:dyDescent="0.35">
      <c r="C16" s="736" t="s">
        <v>1106</v>
      </c>
      <c r="E16" s="725">
        <f>+'F1 SEZ'!H19</f>
        <v>0</v>
      </c>
      <c r="F16" s="725">
        <f>+'F1 Non-SEZ'!H19</f>
        <v>0.93132999999999988</v>
      </c>
      <c r="G16" s="732">
        <f t="shared" ref="G16:G28" si="0">+E16+F16</f>
        <v>0.93132999999999988</v>
      </c>
      <c r="H16" s="733">
        <f>+G16/($G$31-$G$9)</f>
        <v>0.16930504269684171</v>
      </c>
      <c r="I16" s="733">
        <f>+E16/G16</f>
        <v>0</v>
      </c>
      <c r="J16" s="733">
        <f>+F16/G16</f>
        <v>1</v>
      </c>
      <c r="K16" s="734">
        <f t="shared" ref="K16:K31" si="1">+I16+J16</f>
        <v>1</v>
      </c>
    </row>
    <row r="17" spans="3:11" x14ac:dyDescent="0.35">
      <c r="C17" s="736" t="s">
        <v>1107</v>
      </c>
      <c r="E17" s="725">
        <f>+'F1 SEZ'!H20</f>
        <v>0</v>
      </c>
      <c r="F17" s="725">
        <f>+'F1 Non-SEZ'!H20</f>
        <v>0.90188899999999994</v>
      </c>
      <c r="G17" s="732">
        <f t="shared" si="0"/>
        <v>0.90188899999999994</v>
      </c>
      <c r="H17" s="733">
        <f>+G17/($G$31-$G$9)</f>
        <v>0.16395300876468266</v>
      </c>
      <c r="I17" s="733">
        <f>+E17/G17</f>
        <v>0</v>
      </c>
      <c r="J17" s="733">
        <f>+F17/G17</f>
        <v>1</v>
      </c>
      <c r="K17" s="734">
        <f t="shared" si="1"/>
        <v>1</v>
      </c>
    </row>
    <row r="18" spans="3:11" x14ac:dyDescent="0.35">
      <c r="C18" s="736" t="s">
        <v>1108</v>
      </c>
      <c r="E18" s="725">
        <f>+'F1 SEZ'!H21</f>
        <v>0</v>
      </c>
      <c r="F18" s="725">
        <f>+'F1 Non-SEZ'!H21</f>
        <v>0.31589299999999998</v>
      </c>
      <c r="G18" s="732">
        <f t="shared" si="0"/>
        <v>0.31589299999999998</v>
      </c>
      <c r="H18" s="733">
        <f>+G18/($G$31-$G$9)</f>
        <v>5.7425700721155153E-2</v>
      </c>
      <c r="I18" s="733">
        <f>+E18/G18</f>
        <v>0</v>
      </c>
      <c r="J18" s="733">
        <f>+F18/G18</f>
        <v>1</v>
      </c>
      <c r="K18" s="734">
        <f t="shared" si="1"/>
        <v>1</v>
      </c>
    </row>
    <row r="19" spans="3:11" x14ac:dyDescent="0.35">
      <c r="C19" s="736" t="s">
        <v>1109</v>
      </c>
      <c r="E19" s="725">
        <f>+'F1 SEZ'!H22</f>
        <v>0</v>
      </c>
      <c r="F19" s="725">
        <f>+'F1 Non-SEZ'!H22</f>
        <v>1.8567230000000001</v>
      </c>
      <c r="G19" s="732">
        <f t="shared" si="0"/>
        <v>1.8567230000000001</v>
      </c>
      <c r="H19" s="733">
        <f>+G19/($G$31-$G$9)</f>
        <v>0.33753080733060042</v>
      </c>
      <c r="I19" s="733">
        <f>+E19/G19</f>
        <v>0</v>
      </c>
      <c r="J19" s="733">
        <f>+F19/G19</f>
        <v>1</v>
      </c>
      <c r="K19" s="734">
        <f t="shared" si="1"/>
        <v>1</v>
      </c>
    </row>
    <row r="20" spans="3:11" x14ac:dyDescent="0.35">
      <c r="C20" s="736" t="s">
        <v>1110</v>
      </c>
      <c r="E20" s="725"/>
      <c r="F20" s="725"/>
      <c r="G20" s="732"/>
      <c r="H20" s="732"/>
      <c r="I20" s="733"/>
      <c r="J20" s="733"/>
      <c r="K20" s="734"/>
    </row>
    <row r="21" spans="3:11" x14ac:dyDescent="0.35">
      <c r="C21" s="572" t="s">
        <v>1139</v>
      </c>
      <c r="E21" s="725"/>
      <c r="F21" s="725"/>
      <c r="G21" s="732"/>
      <c r="H21" s="732"/>
      <c r="I21" s="733"/>
      <c r="J21" s="733"/>
      <c r="K21" s="734"/>
    </row>
    <row r="22" spans="3:11" x14ac:dyDescent="0.35">
      <c r="C22" s="736" t="s">
        <v>1140</v>
      </c>
      <c r="E22" s="725">
        <f>+'F1 SEZ'!H25</f>
        <v>0</v>
      </c>
      <c r="F22" s="725">
        <f>+'F1 Non-SEZ'!H25</f>
        <v>0.15646300000000002</v>
      </c>
      <c r="G22" s="732">
        <f t="shared" si="0"/>
        <v>0.15646300000000002</v>
      </c>
      <c r="H22" s="733">
        <f t="shared" ref="H22:H28" si="2">+G22/($G$31-$G$9)</f>
        <v>2.8443167186148789E-2</v>
      </c>
      <c r="I22" s="733">
        <f>+E22/G22</f>
        <v>0</v>
      </c>
      <c r="J22" s="733">
        <f>+F22/G22</f>
        <v>1</v>
      </c>
      <c r="K22" s="734">
        <f t="shared" si="1"/>
        <v>1</v>
      </c>
    </row>
    <row r="23" spans="3:11" x14ac:dyDescent="0.35">
      <c r="C23" s="736" t="s">
        <v>1144</v>
      </c>
      <c r="E23" s="725">
        <f>+'F1 SEZ'!H26</f>
        <v>0</v>
      </c>
      <c r="F23" s="725">
        <f>+'F1 Non-SEZ'!H26</f>
        <v>0.27486611</v>
      </c>
      <c r="G23" s="732">
        <f t="shared" si="0"/>
        <v>0.27486611</v>
      </c>
      <c r="H23" s="733">
        <f t="shared" si="2"/>
        <v>4.9967485734878934E-2</v>
      </c>
      <c r="I23" s="733">
        <f>+E23/G23</f>
        <v>0</v>
      </c>
      <c r="J23" s="733">
        <f>+F23/G23</f>
        <v>1</v>
      </c>
      <c r="K23" s="734">
        <f t="shared" si="1"/>
        <v>1</v>
      </c>
    </row>
    <row r="24" spans="3:11" x14ac:dyDescent="0.35">
      <c r="C24" s="736" t="s">
        <v>1143</v>
      </c>
      <c r="E24" s="725">
        <f>+'F1 SEZ'!H27</f>
        <v>0</v>
      </c>
      <c r="F24" s="725">
        <f>+'F1 Non-SEZ'!H27</f>
        <v>8.1854079999999996E-2</v>
      </c>
      <c r="G24" s="732">
        <f t="shared" si="0"/>
        <v>8.1854079999999996E-2</v>
      </c>
      <c r="H24" s="733">
        <f t="shared" si="2"/>
        <v>1.488012681789559E-2</v>
      </c>
      <c r="I24" s="733">
        <f>+E24/G24</f>
        <v>0</v>
      </c>
      <c r="J24" s="733">
        <f>+F24/G24</f>
        <v>1</v>
      </c>
      <c r="K24" s="734">
        <f t="shared" si="1"/>
        <v>1</v>
      </c>
    </row>
    <row r="25" spans="3:11" x14ac:dyDescent="0.35">
      <c r="C25" s="572" t="s">
        <v>1111</v>
      </c>
      <c r="E25" s="725">
        <f>+'F1 SEZ'!H28</f>
        <v>0</v>
      </c>
      <c r="F25" s="725">
        <f>+'F1 Non-SEZ'!H28</f>
        <v>0.45583488999999999</v>
      </c>
      <c r="G25" s="732">
        <f t="shared" si="0"/>
        <v>0.45583488999999999</v>
      </c>
      <c r="H25" s="733">
        <f t="shared" si="2"/>
        <v>8.2865520829523545E-2</v>
      </c>
      <c r="I25" s="733">
        <f>+E25/G25</f>
        <v>0</v>
      </c>
      <c r="J25" s="733">
        <f>+F25/G25</f>
        <v>1</v>
      </c>
      <c r="K25" s="734">
        <f t="shared" si="1"/>
        <v>1</v>
      </c>
    </row>
    <row r="26" spans="3:11" x14ac:dyDescent="0.35">
      <c r="C26" s="572" t="s">
        <v>1135</v>
      </c>
      <c r="E26" s="725">
        <f>+'F1 SEZ'!H29</f>
        <v>0.15712800000000002</v>
      </c>
      <c r="F26" s="725">
        <f>+'F1 Non-SEZ'!H29</f>
        <v>1.1896999999999998E-2</v>
      </c>
      <c r="G26" s="732">
        <f t="shared" si="0"/>
        <v>0.16902500000000001</v>
      </c>
      <c r="H26" s="733">
        <f t="shared" si="2"/>
        <v>3.0726793770021021E-2</v>
      </c>
      <c r="I26" s="733">
        <f>+E26/G26</f>
        <v>0.929613962431593</v>
      </c>
      <c r="J26" s="733">
        <f>+F26/G26</f>
        <v>7.0386037568407028E-2</v>
      </c>
      <c r="K26" s="734">
        <f t="shared" si="1"/>
        <v>1</v>
      </c>
    </row>
    <row r="27" spans="3:11" x14ac:dyDescent="0.35">
      <c r="C27" s="572" t="s">
        <v>1136</v>
      </c>
      <c r="E27" s="725"/>
      <c r="F27" s="725"/>
      <c r="G27" s="732"/>
      <c r="H27" s="732"/>
      <c r="I27" s="733"/>
      <c r="J27" s="733"/>
      <c r="K27" s="734"/>
    </row>
    <row r="28" spans="3:11" x14ac:dyDescent="0.35">
      <c r="C28" s="572" t="s">
        <v>1142</v>
      </c>
      <c r="E28" s="725">
        <f>+'F1 SEZ'!H31</f>
        <v>0</v>
      </c>
      <c r="F28" s="725">
        <f>+'F1 Non-SEZ'!H31</f>
        <v>9.4836839999999992E-3</v>
      </c>
      <c r="G28" s="732">
        <f t="shared" si="0"/>
        <v>9.4836839999999992E-3</v>
      </c>
      <c r="H28" s="733">
        <f t="shared" si="2"/>
        <v>1.724024271250099E-3</v>
      </c>
      <c r="I28" s="733">
        <f>+E28/G28</f>
        <v>0</v>
      </c>
      <c r="J28" s="733">
        <f>+F28/G28</f>
        <v>1</v>
      </c>
      <c r="K28" s="734">
        <f t="shared" si="1"/>
        <v>1</v>
      </c>
    </row>
    <row r="29" spans="3:11" x14ac:dyDescent="0.35">
      <c r="C29" s="571" t="s">
        <v>162</v>
      </c>
      <c r="E29" s="737">
        <f>SUM(E16:E28)</f>
        <v>0.15712800000000002</v>
      </c>
      <c r="F29" s="737">
        <f>SUM(F16:F28)</f>
        <v>4.9962337640000003</v>
      </c>
      <c r="G29" s="737">
        <f>SUM(G16:G28)</f>
        <v>5.1533617640000005</v>
      </c>
      <c r="H29" s="737"/>
      <c r="I29" s="738">
        <f>+E29/G29</f>
        <v>3.049038806040243E-2</v>
      </c>
      <c r="J29" s="738">
        <f>+F29/G29</f>
        <v>0.9695096119395975</v>
      </c>
      <c r="K29" s="739">
        <f>+I29+J29</f>
        <v>0.99999999999999989</v>
      </c>
    </row>
    <row r="30" spans="3:11" x14ac:dyDescent="0.35">
      <c r="C30" s="575"/>
      <c r="E30" s="725"/>
      <c r="F30" s="725"/>
      <c r="G30" s="732"/>
      <c r="H30" s="732"/>
      <c r="I30" s="733"/>
      <c r="J30" s="733"/>
      <c r="K30" s="734"/>
    </row>
    <row r="31" spans="3:11" x14ac:dyDescent="0.35">
      <c r="C31" s="1587" t="s">
        <v>164</v>
      </c>
      <c r="E31" s="737">
        <f>+E13+E29</f>
        <v>33.748365579999998</v>
      </c>
      <c r="F31" s="737">
        <f>+F13+F29</f>
        <v>5.6102937896000009</v>
      </c>
      <c r="G31" s="737">
        <f>+G13+G29</f>
        <v>39.358659369600005</v>
      </c>
      <c r="H31" s="735"/>
      <c r="I31" s="738">
        <f>+E31/G31</f>
        <v>0.85745719291614619</v>
      </c>
      <c r="J31" s="738">
        <f>+F31/G31</f>
        <v>0.14254280708385361</v>
      </c>
      <c r="K31" s="739">
        <f t="shared" si="1"/>
        <v>0.99999999999999978</v>
      </c>
    </row>
    <row r="34" spans="3:16" x14ac:dyDescent="0.35">
      <c r="C34" s="740" t="s">
        <v>1184</v>
      </c>
      <c r="D34" s="723"/>
      <c r="E34" s="1588" t="s">
        <v>196</v>
      </c>
      <c r="F34" s="1588" t="s">
        <v>197</v>
      </c>
      <c r="G34" s="1588" t="s">
        <v>198</v>
      </c>
      <c r="H34" s="1588" t="s">
        <v>199</v>
      </c>
      <c r="I34" s="1446" t="s">
        <v>112</v>
      </c>
      <c r="J34" s="1446" t="s">
        <v>113</v>
      </c>
      <c r="K34" s="1446" t="s">
        <v>114</v>
      </c>
    </row>
    <row r="35" spans="3:16" x14ac:dyDescent="0.35">
      <c r="C35" s="724" t="s">
        <v>1025</v>
      </c>
      <c r="D35" s="723" t="s">
        <v>236</v>
      </c>
      <c r="E35" s="724"/>
      <c r="F35" s="724"/>
      <c r="G35" s="724"/>
      <c r="H35" s="724"/>
      <c r="I35" s="724"/>
      <c r="J35" s="724"/>
      <c r="K35" s="724"/>
    </row>
    <row r="36" spans="3:16" x14ac:dyDescent="0.35">
      <c r="C36" s="724" t="s">
        <v>1026</v>
      </c>
      <c r="D36" s="723" t="s">
        <v>236</v>
      </c>
      <c r="E36" s="724"/>
      <c r="F36" s="724"/>
      <c r="G36" s="724"/>
      <c r="H36" s="724"/>
      <c r="I36" s="724"/>
      <c r="J36" s="724"/>
      <c r="K36" s="724"/>
    </row>
    <row r="37" spans="3:16" x14ac:dyDescent="0.35">
      <c r="C37" s="740" t="s">
        <v>1185</v>
      </c>
      <c r="D37" s="723" t="s">
        <v>236</v>
      </c>
      <c r="E37" s="724">
        <f>+'F2.1'!Q17</f>
        <v>1.2759</v>
      </c>
      <c r="F37" s="741">
        <f>+'F2.1'!Q42</f>
        <v>3.2793270899999998</v>
      </c>
      <c r="G37" s="742">
        <f>+'F2.1'!Q68</f>
        <v>8.0162399999999998</v>
      </c>
      <c r="H37" s="741">
        <f>+'F2.1'!Q94</f>
        <v>17.105747000000001</v>
      </c>
      <c r="I37" s="741">
        <f>+'F2.1'!Q120</f>
        <v>25.710919000000001</v>
      </c>
      <c r="J37" s="741">
        <f>+'F2.1'!Q147</f>
        <v>39.459913</v>
      </c>
      <c r="K37" s="741">
        <f>+'F2.1'!Q173</f>
        <v>80.588481000000002</v>
      </c>
    </row>
    <row r="39" spans="3:16" x14ac:dyDescent="0.35">
      <c r="E39" s="1588" t="s">
        <v>196</v>
      </c>
      <c r="F39" s="1588" t="s">
        <v>197</v>
      </c>
      <c r="G39" s="1588" t="s">
        <v>198</v>
      </c>
      <c r="H39" s="1588" t="s">
        <v>199</v>
      </c>
      <c r="I39" s="1446" t="s">
        <v>112</v>
      </c>
      <c r="J39" s="1446" t="s">
        <v>113</v>
      </c>
      <c r="K39" s="1446" t="s">
        <v>114</v>
      </c>
      <c r="L39" s="1446" t="s">
        <v>123</v>
      </c>
      <c r="M39" s="1446" t="s">
        <v>124</v>
      </c>
      <c r="N39" s="1446" t="s">
        <v>125</v>
      </c>
      <c r="O39" s="1446" t="s">
        <v>126</v>
      </c>
      <c r="P39" s="1446" t="s">
        <v>127</v>
      </c>
    </row>
    <row r="40" spans="3:16" x14ac:dyDescent="0.35">
      <c r="C40" s="740" t="s">
        <v>1206</v>
      </c>
      <c r="D40" s="723" t="s">
        <v>243</v>
      </c>
      <c r="E40" s="734">
        <f>+'F1.4'!D43</f>
        <v>7.3713613919586168E-2</v>
      </c>
      <c r="F40" s="734">
        <f>+'F1.4'!E43</f>
        <v>6.2693099638316319E-2</v>
      </c>
      <c r="G40" s="734">
        <f>+'F1.4'!F43</f>
        <v>3.0780186970449788E-2</v>
      </c>
      <c r="H40" s="734">
        <f>+'F1.4'!G43</f>
        <v>2.8201490884905586E-2</v>
      </c>
      <c r="I40" s="734">
        <f>+'F1.4'!H43</f>
        <v>1.1336331101194809E-2</v>
      </c>
      <c r="J40" s="734">
        <f>+'F1.4'!I43</f>
        <v>9.2326541723495009E-3</v>
      </c>
      <c r="K40" s="734">
        <f>+'F1.4'!J43</f>
        <v>4.3526500642195069E-3</v>
      </c>
      <c r="L40" s="734">
        <f>+K40</f>
        <v>4.3526500642195069E-3</v>
      </c>
      <c r="M40" s="734">
        <f>+L40</f>
        <v>4.3526500642195069E-3</v>
      </c>
      <c r="N40" s="734">
        <f>+M40</f>
        <v>4.3526500642195069E-3</v>
      </c>
      <c r="O40" s="734">
        <f>+N40</f>
        <v>4.3526500642195069E-3</v>
      </c>
      <c r="P40" s="734">
        <f>+O40</f>
        <v>4.3526500642195069E-3</v>
      </c>
    </row>
    <row r="41" spans="3:16" x14ac:dyDescent="0.35">
      <c r="C41" s="740" t="s">
        <v>1241</v>
      </c>
      <c r="D41" s="723" t="s">
        <v>243</v>
      </c>
      <c r="E41" s="734"/>
      <c r="F41" s="734"/>
      <c r="G41" s="734"/>
      <c r="H41" s="734"/>
      <c r="I41" s="734"/>
      <c r="J41" s="734"/>
      <c r="K41" s="734"/>
      <c r="L41" s="734">
        <v>1</v>
      </c>
      <c r="M41" s="734">
        <v>1</v>
      </c>
      <c r="N41" s="734">
        <v>1</v>
      </c>
      <c r="O41" s="734">
        <v>1</v>
      </c>
      <c r="P41" s="734">
        <v>1</v>
      </c>
    </row>
    <row r="42" spans="3:16" x14ac:dyDescent="0.35">
      <c r="C42" s="740" t="s">
        <v>1234</v>
      </c>
      <c r="D42" s="723" t="s">
        <v>243</v>
      </c>
      <c r="E42" s="724"/>
      <c r="F42" s="724"/>
      <c r="G42" s="724"/>
      <c r="H42" s="724"/>
      <c r="I42" s="724"/>
      <c r="J42" s="724"/>
      <c r="K42" s="724"/>
      <c r="L42" s="734">
        <v>3.2800000000000003E-2</v>
      </c>
      <c r="M42" s="734">
        <v>3.2599999999999997E-2</v>
      </c>
      <c r="N42" s="734">
        <v>3.2399999999999998E-2</v>
      </c>
      <c r="O42" s="734">
        <v>3.2199999999999999E-2</v>
      </c>
      <c r="P42" s="734">
        <v>3.2000000000000001E-2</v>
      </c>
    </row>
    <row r="43" spans="3:16" x14ac:dyDescent="0.35">
      <c r="C43" s="740" t="s">
        <v>1235</v>
      </c>
      <c r="D43" s="723" t="s">
        <v>1238</v>
      </c>
      <c r="E43" s="724"/>
      <c r="F43" s="724"/>
      <c r="G43" s="724"/>
      <c r="H43" s="724"/>
      <c r="I43" s="724"/>
      <c r="J43" s="724"/>
      <c r="K43" s="724"/>
      <c r="L43" s="1736">
        <v>3.42</v>
      </c>
      <c r="M43" s="1736">
        <v>4.55</v>
      </c>
      <c r="N43" s="1736">
        <v>5.51</v>
      </c>
      <c r="O43" s="1736">
        <v>6.4</v>
      </c>
      <c r="P43" s="1736">
        <v>7.33</v>
      </c>
    </row>
    <row r="44" spans="3:16" x14ac:dyDescent="0.35">
      <c r="C44" s="740" t="s">
        <v>1236</v>
      </c>
      <c r="D44" s="723" t="s">
        <v>1238</v>
      </c>
      <c r="E44" s="724"/>
      <c r="F44" s="724"/>
      <c r="G44" s="724"/>
      <c r="H44" s="724"/>
      <c r="I44" s="724"/>
      <c r="J44" s="724"/>
      <c r="K44" s="724"/>
      <c r="L44" s="1736">
        <v>1.24</v>
      </c>
      <c r="M44" s="1736">
        <v>1.42</v>
      </c>
      <c r="N44" s="1736">
        <v>1.82</v>
      </c>
      <c r="O44" s="1736">
        <v>2.25</v>
      </c>
      <c r="P44" s="1736">
        <v>2.73</v>
      </c>
    </row>
    <row r="45" spans="3:16" x14ac:dyDescent="0.35">
      <c r="C45" s="740" t="s">
        <v>1237</v>
      </c>
      <c r="D45" s="723" t="s">
        <v>1238</v>
      </c>
      <c r="E45" s="724"/>
      <c r="F45" s="724"/>
      <c r="G45" s="724"/>
      <c r="H45" s="724"/>
      <c r="I45" s="724"/>
      <c r="J45" s="724"/>
      <c r="K45" s="724"/>
      <c r="L45" s="1736">
        <v>0.35</v>
      </c>
      <c r="M45" s="1736">
        <v>0.42</v>
      </c>
      <c r="N45" s="1736">
        <v>0.48</v>
      </c>
      <c r="O45" s="1736">
        <v>0.52</v>
      </c>
      <c r="P45" s="1736">
        <v>0.56000000000000005</v>
      </c>
    </row>
    <row r="46" spans="3:16" x14ac:dyDescent="0.4">
      <c r="C46" s="740" t="s">
        <v>1465</v>
      </c>
      <c r="D46" s="723" t="s">
        <v>1795</v>
      </c>
      <c r="E46" s="724"/>
      <c r="F46" s="724"/>
      <c r="G46" s="724"/>
      <c r="H46" s="724"/>
      <c r="I46" s="724"/>
      <c r="J46" s="724"/>
      <c r="K46" s="724"/>
      <c r="L46" s="1737">
        <f>0.58*1.25</f>
        <v>0.72499999999999998</v>
      </c>
      <c r="M46" s="1737">
        <f>0.52*1.25</f>
        <v>0.65</v>
      </c>
      <c r="N46" s="1737">
        <f>0.53*1.25</f>
        <v>0.66250000000000009</v>
      </c>
      <c r="O46" s="1737">
        <f>0.52*1.25</f>
        <v>0.65</v>
      </c>
      <c r="P46" s="1737">
        <f>0.5*1.25</f>
        <v>0.625</v>
      </c>
    </row>
    <row r="47" spans="3:16" x14ac:dyDescent="0.35">
      <c r="C47" s="740" t="s">
        <v>1356</v>
      </c>
      <c r="D47" s="723"/>
      <c r="E47" s="724"/>
      <c r="F47" s="724"/>
      <c r="G47" s="724"/>
      <c r="H47" s="724"/>
      <c r="I47" s="724"/>
      <c r="J47" s="724"/>
      <c r="K47" s="724"/>
      <c r="L47" s="1736"/>
      <c r="M47" s="1736"/>
      <c r="N47" s="1736"/>
      <c r="O47" s="1736"/>
      <c r="P47" s="1736"/>
    </row>
    <row r="48" spans="3:16" x14ac:dyDescent="0.35">
      <c r="C48" s="1589" t="s">
        <v>348</v>
      </c>
      <c r="D48" s="723" t="s">
        <v>243</v>
      </c>
      <c r="E48" s="724"/>
      <c r="F48" s="724"/>
      <c r="G48" s="724"/>
      <c r="H48" s="724"/>
      <c r="I48" s="724"/>
      <c r="J48" s="724"/>
      <c r="K48" s="724"/>
      <c r="L48" s="1738">
        <v>0.1</v>
      </c>
      <c r="M48" s="1738">
        <v>0.1</v>
      </c>
      <c r="N48" s="1738">
        <v>0.1</v>
      </c>
      <c r="O48" s="1738">
        <v>0.1</v>
      </c>
      <c r="P48" s="1738">
        <v>0.1</v>
      </c>
    </row>
    <row r="49" spans="3:16" x14ac:dyDescent="0.35">
      <c r="C49" s="1590" t="s">
        <v>349</v>
      </c>
      <c r="D49" s="723" t="s">
        <v>243</v>
      </c>
      <c r="E49" s="724"/>
      <c r="F49" s="724"/>
      <c r="G49" s="724"/>
      <c r="H49" s="724"/>
      <c r="I49" s="724"/>
      <c r="J49" s="724"/>
      <c r="K49" s="724"/>
      <c r="L49" s="1739">
        <f>+'CPI WPI'!$G$75</f>
        <v>5.0204984323040561E-2</v>
      </c>
      <c r="M49" s="1739">
        <f>+'CPI WPI'!$G$75</f>
        <v>5.0204984323040561E-2</v>
      </c>
      <c r="N49" s="1739">
        <f>+'CPI WPI'!$G$75</f>
        <v>5.0204984323040561E-2</v>
      </c>
      <c r="O49" s="1739">
        <f>+'CPI WPI'!$G$75</f>
        <v>5.0204984323040561E-2</v>
      </c>
      <c r="P49" s="1739">
        <f>+'CPI WPI'!$G$75</f>
        <v>5.0204984323040561E-2</v>
      </c>
    </row>
    <row r="50" spans="3:16" x14ac:dyDescent="0.35">
      <c r="C50" s="1589" t="s">
        <v>350</v>
      </c>
      <c r="D50" s="723" t="s">
        <v>243</v>
      </c>
      <c r="E50" s="724"/>
      <c r="F50" s="724"/>
      <c r="G50" s="724"/>
      <c r="H50" s="724"/>
      <c r="I50" s="724"/>
      <c r="J50" s="724"/>
      <c r="K50" s="724"/>
      <c r="L50" s="1739">
        <f>+'CPI WPI'!$G$75</f>
        <v>5.0204984323040561E-2</v>
      </c>
      <c r="M50" s="1739">
        <f>+'CPI WPI'!$G$75</f>
        <v>5.0204984323040561E-2</v>
      </c>
      <c r="N50" s="1739">
        <f>+'CPI WPI'!$G$75</f>
        <v>5.0204984323040561E-2</v>
      </c>
      <c r="O50" s="1739">
        <f>+'CPI WPI'!$G$75</f>
        <v>5.0204984323040561E-2</v>
      </c>
      <c r="P50" s="1739">
        <f>+'CPI WPI'!$G$75</f>
        <v>5.0204984323040561E-2</v>
      </c>
    </row>
    <row r="51" spans="3:16" x14ac:dyDescent="0.35">
      <c r="C51" s="740" t="s">
        <v>1354</v>
      </c>
      <c r="D51" s="723" t="s">
        <v>243</v>
      </c>
      <c r="E51" s="724"/>
      <c r="F51" s="724"/>
      <c r="G51" s="724"/>
      <c r="H51" s="724"/>
      <c r="I51" s="724"/>
      <c r="J51" s="724"/>
      <c r="K51" s="724"/>
      <c r="L51" s="1739">
        <f>+'ARR-Summary'!K60/'F13'!O226</f>
        <v>1.4225537023032577E-3</v>
      </c>
      <c r="M51" s="1739">
        <f>+L51</f>
        <v>1.4225537023032577E-3</v>
      </c>
      <c r="N51" s="1739">
        <f>+M51</f>
        <v>1.4225537023032577E-3</v>
      </c>
      <c r="O51" s="1739">
        <f>+N51</f>
        <v>1.4225537023032577E-3</v>
      </c>
      <c r="P51" s="1739">
        <f>+O51</f>
        <v>1.4225537023032577E-3</v>
      </c>
    </row>
    <row r="52" spans="3:16" x14ac:dyDescent="0.35">
      <c r="C52" s="740" t="s">
        <v>1437</v>
      </c>
      <c r="D52" s="723" t="s">
        <v>243</v>
      </c>
      <c r="E52" s="724"/>
      <c r="F52" s="724"/>
      <c r="G52" s="724"/>
      <c r="H52" s="724"/>
      <c r="I52" s="724"/>
      <c r="J52" s="724"/>
      <c r="K52" s="724"/>
      <c r="L52" s="1739"/>
      <c r="M52" s="1739"/>
      <c r="N52" s="1739"/>
      <c r="O52" s="1739"/>
      <c r="P52" s="1739"/>
    </row>
    <row r="53" spans="3:16" x14ac:dyDescent="0.35">
      <c r="C53" s="1561" t="s">
        <v>1466</v>
      </c>
      <c r="D53" s="1352" t="s">
        <v>243</v>
      </c>
      <c r="E53" s="734">
        <f>+'F6'!G236</f>
        <v>0.11164835164835164</v>
      </c>
      <c r="F53" s="734">
        <f>+'F6'!G239</f>
        <v>0.11071857923497269</v>
      </c>
      <c r="G53" s="734">
        <f>+'F6'!G243</f>
        <v>0.10450547945205479</v>
      </c>
      <c r="H53" s="734">
        <f>+'F6'!G247</f>
        <v>9.9056164383561657E-2</v>
      </c>
      <c r="I53" s="734">
        <f>+'F6'!G247</f>
        <v>9.9056164383561657E-2</v>
      </c>
      <c r="J53" s="734">
        <f t="shared" ref="J53:P53" si="3">+I53</f>
        <v>9.9056164383561657E-2</v>
      </c>
      <c r="K53" s="734">
        <f t="shared" si="3"/>
        <v>9.9056164383561657E-2</v>
      </c>
      <c r="L53" s="734">
        <f t="shared" si="3"/>
        <v>9.9056164383561657E-2</v>
      </c>
      <c r="M53" s="734">
        <f t="shared" si="3"/>
        <v>9.9056164383561657E-2</v>
      </c>
      <c r="N53" s="734">
        <f t="shared" si="3"/>
        <v>9.9056164383561657E-2</v>
      </c>
      <c r="O53" s="734">
        <f t="shared" si="3"/>
        <v>9.9056164383561657E-2</v>
      </c>
      <c r="P53" s="734">
        <f t="shared" si="3"/>
        <v>9.9056164383561657E-2</v>
      </c>
    </row>
    <row r="54" spans="3:16" x14ac:dyDescent="0.35">
      <c r="C54" s="1561" t="s">
        <v>1467</v>
      </c>
      <c r="D54" s="1562" t="s">
        <v>243</v>
      </c>
      <c r="E54" s="734">
        <f>+'SBI MCLR'!F18+1.5%</f>
        <v>9.8897260273972623E-2</v>
      </c>
      <c r="F54" s="1739">
        <f>+'SBI MCLR'!F32+1.5%</f>
        <v>9.657240437158468E-2</v>
      </c>
      <c r="G54" s="1739">
        <f>+'SBI MCLR'!F46+1.5%</f>
        <v>8.5726027397260277E-2</v>
      </c>
      <c r="H54" s="1739">
        <f>+'SBI MCLR'!F61+1.5%</f>
        <v>8.5000000000000006E-2</v>
      </c>
      <c r="I54" s="1739">
        <f>+'SBI MCLR'!F75+1.5%</f>
        <v>9.2987671232876712E-2</v>
      </c>
      <c r="J54" s="1739">
        <f>+'SBI MCLR'!F89+1.5%</f>
        <v>0.10035655737704921</v>
      </c>
      <c r="K54" s="1739">
        <f>+'SBI MCLR'!F102+1.5%</f>
        <v>0.1028219178082192</v>
      </c>
      <c r="L54" s="1739">
        <f>8.8%+1.5%</f>
        <v>0.10300000000000001</v>
      </c>
      <c r="M54" s="1739">
        <f>+L54</f>
        <v>0.10300000000000001</v>
      </c>
      <c r="N54" s="1739">
        <f>+M54</f>
        <v>0.10300000000000001</v>
      </c>
      <c r="O54" s="1739">
        <f>+N54</f>
        <v>0.10300000000000001</v>
      </c>
      <c r="P54" s="1739">
        <f>+O54</f>
        <v>0.10300000000000001</v>
      </c>
    </row>
    <row r="55" spans="3:16" x14ac:dyDescent="0.35">
      <c r="C55" s="1561" t="s">
        <v>1468</v>
      </c>
      <c r="D55" s="1562" t="s">
        <v>243</v>
      </c>
      <c r="E55" s="734">
        <f>+E54</f>
        <v>9.8897260273972623E-2</v>
      </c>
      <c r="F55" s="734">
        <f t="shared" ref="F55:P55" si="4">+F54</f>
        <v>9.657240437158468E-2</v>
      </c>
      <c r="G55" s="734">
        <f t="shared" si="4"/>
        <v>8.5726027397260277E-2</v>
      </c>
      <c r="H55" s="734">
        <f t="shared" si="4"/>
        <v>8.5000000000000006E-2</v>
      </c>
      <c r="I55" s="734">
        <f t="shared" si="4"/>
        <v>9.2987671232876712E-2</v>
      </c>
      <c r="J55" s="734">
        <f t="shared" si="4"/>
        <v>0.10035655737704921</v>
      </c>
      <c r="K55" s="734">
        <f t="shared" si="4"/>
        <v>0.1028219178082192</v>
      </c>
      <c r="L55" s="734">
        <f t="shared" si="4"/>
        <v>0.10300000000000001</v>
      </c>
      <c r="M55" s="734">
        <f t="shared" si="4"/>
        <v>0.10300000000000001</v>
      </c>
      <c r="N55" s="734">
        <f t="shared" si="4"/>
        <v>0.10300000000000001</v>
      </c>
      <c r="O55" s="734">
        <f t="shared" si="4"/>
        <v>0.10300000000000001</v>
      </c>
      <c r="P55" s="734">
        <f t="shared" si="4"/>
        <v>0.10300000000000001</v>
      </c>
    </row>
    <row r="56" spans="3:16" x14ac:dyDescent="0.35">
      <c r="C56" s="1561" t="s">
        <v>1469</v>
      </c>
      <c r="D56" s="1562" t="s">
        <v>243</v>
      </c>
      <c r="E56" s="724"/>
      <c r="F56" s="724"/>
      <c r="G56" s="724"/>
      <c r="H56" s="724"/>
      <c r="I56" s="724"/>
      <c r="J56" s="724"/>
      <c r="K56" s="724"/>
      <c r="L56" s="1738">
        <v>5.7500000000000002E-2</v>
      </c>
      <c r="M56" s="1738">
        <v>5.7500000000000002E-2</v>
      </c>
      <c r="N56" s="1738">
        <v>5.7500000000000002E-2</v>
      </c>
      <c r="O56" s="1738">
        <v>5.7500000000000002E-2</v>
      </c>
      <c r="P56" s="1738">
        <v>5.7500000000000002E-2</v>
      </c>
    </row>
    <row r="57" spans="3:16" x14ac:dyDescent="0.35">
      <c r="C57" s="1563" t="s">
        <v>1471</v>
      </c>
      <c r="D57" s="1562"/>
      <c r="E57" s="724"/>
      <c r="F57" s="724"/>
      <c r="G57" s="724"/>
      <c r="H57" s="724"/>
      <c r="I57" s="724"/>
      <c r="J57" s="724"/>
      <c r="K57" s="724"/>
      <c r="L57" s="1738"/>
      <c r="M57" s="1738"/>
      <c r="N57" s="1738"/>
      <c r="O57" s="1738"/>
      <c r="P57" s="1738"/>
    </row>
    <row r="58" spans="3:16" x14ac:dyDescent="0.35">
      <c r="C58" s="1561" t="s">
        <v>1472</v>
      </c>
      <c r="D58" s="1562" t="s">
        <v>243</v>
      </c>
      <c r="E58" s="734">
        <v>0.155</v>
      </c>
      <c r="F58" s="734">
        <v>0.155</v>
      </c>
      <c r="G58" s="734">
        <v>0.14000000000000001</v>
      </c>
      <c r="H58" s="734">
        <f>+G58</f>
        <v>0.14000000000000001</v>
      </c>
      <c r="I58" s="734">
        <f t="shared" ref="I58:K59" si="5">+H58</f>
        <v>0.14000000000000001</v>
      </c>
      <c r="J58" s="734">
        <f t="shared" si="5"/>
        <v>0.14000000000000001</v>
      </c>
      <c r="K58" s="734">
        <f t="shared" si="5"/>
        <v>0.14000000000000001</v>
      </c>
      <c r="L58" s="734">
        <v>0.155</v>
      </c>
      <c r="M58" s="734">
        <f>+L58</f>
        <v>0.155</v>
      </c>
      <c r="N58" s="734">
        <f>+M58</f>
        <v>0.155</v>
      </c>
      <c r="O58" s="734">
        <f>+N58</f>
        <v>0.155</v>
      </c>
      <c r="P58" s="734">
        <f>+O58</f>
        <v>0.155</v>
      </c>
    </row>
    <row r="59" spans="3:16" x14ac:dyDescent="0.35">
      <c r="C59" s="1561" t="s">
        <v>1473</v>
      </c>
      <c r="D59" s="1562" t="s">
        <v>243</v>
      </c>
      <c r="E59" s="734">
        <v>0.17499999999999999</v>
      </c>
      <c r="F59" s="734">
        <v>0.17499999999999999</v>
      </c>
      <c r="G59" s="734">
        <v>0.155</v>
      </c>
      <c r="H59" s="734">
        <f>+G59</f>
        <v>0.155</v>
      </c>
      <c r="I59" s="734">
        <f t="shared" si="5"/>
        <v>0.155</v>
      </c>
      <c r="J59" s="734">
        <f t="shared" si="5"/>
        <v>0.155</v>
      </c>
      <c r="K59" s="734">
        <f t="shared" si="5"/>
        <v>0.155</v>
      </c>
      <c r="L59" s="734">
        <v>0.17499999999999999</v>
      </c>
      <c r="M59" s="734">
        <v>0.17499999999999999</v>
      </c>
      <c r="N59" s="734">
        <v>0.17499999999999999</v>
      </c>
      <c r="O59" s="734">
        <v>0.17499999999999999</v>
      </c>
      <c r="P59" s="734">
        <v>0.17499999999999999</v>
      </c>
    </row>
    <row r="60" spans="3:16" x14ac:dyDescent="0.35">
      <c r="C60" s="1561" t="s">
        <v>625</v>
      </c>
      <c r="D60" s="1562" t="s">
        <v>243</v>
      </c>
      <c r="E60" s="734"/>
      <c r="F60" s="734"/>
      <c r="G60" s="734">
        <f>(1-(58/8760))</f>
        <v>0.99337899543378994</v>
      </c>
      <c r="H60" s="734">
        <f>(1-(19.8/8760))</f>
        <v>0.99773972602739724</v>
      </c>
      <c r="I60" s="734">
        <f>(1-(22/8760))</f>
        <v>0.99748858447488586</v>
      </c>
      <c r="J60" s="734">
        <f>(1-(109.14/8760))</f>
        <v>0.98754109589041095</v>
      </c>
      <c r="K60" s="734">
        <f>(1-(45.332/8760))</f>
        <v>0.9948251141552511</v>
      </c>
      <c r="L60" s="734"/>
      <c r="M60" s="734"/>
      <c r="N60" s="734"/>
      <c r="O60" s="734"/>
      <c r="P60" s="734"/>
    </row>
    <row r="61" spans="3:16" ht="26.25" x14ac:dyDescent="0.35">
      <c r="C61" s="1561" t="s">
        <v>633</v>
      </c>
      <c r="D61" s="1562" t="s">
        <v>243</v>
      </c>
      <c r="E61" s="724"/>
      <c r="F61" s="724"/>
      <c r="G61" s="734">
        <f>+'F8'!D147</f>
        <v>0</v>
      </c>
      <c r="H61" s="734">
        <f>+'F8'!E147</f>
        <v>0</v>
      </c>
      <c r="I61" s="734">
        <f>+'F8'!F147</f>
        <v>0</v>
      </c>
      <c r="J61" s="734">
        <f>+'F8'!G147</f>
        <v>0</v>
      </c>
      <c r="K61" s="734">
        <f>+'F8'!H147</f>
        <v>0</v>
      </c>
      <c r="L61" s="724"/>
      <c r="M61" s="724"/>
      <c r="N61" s="724"/>
      <c r="O61" s="724"/>
      <c r="P61" s="724"/>
    </row>
    <row r="62" spans="3:16" x14ac:dyDescent="0.35">
      <c r="C62" s="1561" t="s">
        <v>635</v>
      </c>
      <c r="D62" s="1562" t="s">
        <v>243</v>
      </c>
      <c r="E62" s="724"/>
      <c r="F62" s="724"/>
      <c r="G62" s="734">
        <v>1.0277000000000001</v>
      </c>
      <c r="H62" s="1739">
        <v>0.9879</v>
      </c>
      <c r="I62" s="1739">
        <v>0.98340000000000005</v>
      </c>
      <c r="J62" s="1739">
        <v>0.77739999999999998</v>
      </c>
      <c r="K62" s="1739">
        <v>1.0989</v>
      </c>
      <c r="L62" s="724"/>
      <c r="M62" s="724"/>
      <c r="N62" s="724"/>
      <c r="O62" s="724"/>
      <c r="P62" s="724"/>
    </row>
    <row r="63" spans="3:16" x14ac:dyDescent="0.35">
      <c r="C63" s="1564" t="s">
        <v>1474</v>
      </c>
      <c r="D63" s="1565" t="s">
        <v>243</v>
      </c>
      <c r="E63" s="1740">
        <v>0</v>
      </c>
      <c r="F63" s="1740">
        <v>0</v>
      </c>
      <c r="G63" s="1740">
        <v>0</v>
      </c>
      <c r="H63" s="1740">
        <v>0</v>
      </c>
      <c r="I63" s="1740">
        <v>0</v>
      </c>
      <c r="J63" s="1740">
        <v>0</v>
      </c>
      <c r="K63" s="1740">
        <v>0</v>
      </c>
      <c r="L63" s="1740">
        <v>0</v>
      </c>
      <c r="M63" s="1740">
        <v>0</v>
      </c>
      <c r="N63" s="1740">
        <v>0</v>
      </c>
      <c r="O63" s="1740">
        <v>0</v>
      </c>
      <c r="P63" s="1740">
        <v>0</v>
      </c>
    </row>
    <row r="64" spans="3:16" x14ac:dyDescent="0.35">
      <c r="C64" s="1564"/>
      <c r="D64" s="1566"/>
      <c r="E64" s="734"/>
      <c r="F64" s="734"/>
      <c r="G64" s="734"/>
      <c r="H64" s="734"/>
      <c r="I64" s="734"/>
      <c r="J64" s="734"/>
      <c r="K64" s="734"/>
      <c r="L64" s="734"/>
      <c r="M64" s="734"/>
      <c r="N64" s="734"/>
      <c r="O64" s="734"/>
      <c r="P64" s="734"/>
    </row>
    <row r="65" spans="1:17" s="728" customFormat="1" x14ac:dyDescent="0.35">
      <c r="B65" s="1588" t="s">
        <v>1170</v>
      </c>
      <c r="C65" s="1588" t="s">
        <v>1214</v>
      </c>
      <c r="D65" s="1588"/>
      <c r="E65" s="1588" t="s">
        <v>196</v>
      </c>
      <c r="F65" s="1588" t="s">
        <v>197</v>
      </c>
      <c r="G65" s="1588" t="s">
        <v>198</v>
      </c>
      <c r="H65" s="1588" t="s">
        <v>199</v>
      </c>
      <c r="I65" s="1446" t="s">
        <v>112</v>
      </c>
      <c r="J65" s="1446" t="s">
        <v>113</v>
      </c>
      <c r="K65" s="1446" t="s">
        <v>114</v>
      </c>
      <c r="L65" s="1446" t="s">
        <v>123</v>
      </c>
      <c r="M65" s="1446" t="s">
        <v>124</v>
      </c>
      <c r="N65" s="1446" t="s">
        <v>125</v>
      </c>
      <c r="O65" s="1446" t="s">
        <v>126</v>
      </c>
      <c r="P65" s="1446" t="s">
        <v>127</v>
      </c>
      <c r="Q65" s="1446" t="s">
        <v>1247</v>
      </c>
    </row>
    <row r="66" spans="1:17" x14ac:dyDescent="0.35">
      <c r="B66" s="723"/>
      <c r="C66" s="724" t="s">
        <v>1215</v>
      </c>
      <c r="D66" s="723"/>
      <c r="E66" s="725"/>
      <c r="F66" s="725"/>
      <c r="G66" s="725"/>
      <c r="H66" s="725"/>
      <c r="I66" s="725"/>
      <c r="J66" s="725"/>
      <c r="K66" s="725"/>
      <c r="L66" s="725"/>
      <c r="M66" s="725"/>
      <c r="N66" s="725"/>
      <c r="O66" s="725"/>
      <c r="P66" s="725"/>
      <c r="Q66" s="724"/>
    </row>
    <row r="67" spans="1:17" x14ac:dyDescent="0.35">
      <c r="B67" s="723"/>
      <c r="C67" s="726" t="s">
        <v>1216</v>
      </c>
      <c r="D67" s="723" t="s">
        <v>821</v>
      </c>
      <c r="E67" s="725">
        <f>+'F2'!M13</f>
        <v>4.0630478340513463</v>
      </c>
      <c r="F67" s="725">
        <f>+'F2'!M29</f>
        <v>3.5474494919557262</v>
      </c>
      <c r="G67" s="725">
        <f>+'F2'!M44</f>
        <v>3.3629077762361486</v>
      </c>
      <c r="H67" s="725">
        <f>+'F2'!M59</f>
        <v>4.5188760086383688</v>
      </c>
      <c r="I67" s="725"/>
      <c r="J67" s="725"/>
      <c r="K67" s="725"/>
      <c r="L67" s="725"/>
      <c r="M67" s="725"/>
      <c r="N67" s="725"/>
      <c r="O67" s="725"/>
      <c r="P67" s="725"/>
      <c r="Q67" s="724"/>
    </row>
    <row r="68" spans="1:17" x14ac:dyDescent="0.35">
      <c r="B68" s="723"/>
      <c r="C68" s="726" t="s">
        <v>1217</v>
      </c>
      <c r="D68" s="723" t="s">
        <v>1218</v>
      </c>
      <c r="E68" s="725">
        <f>+'F2'!L13</f>
        <v>0.22445689999999999</v>
      </c>
      <c r="F68" s="725">
        <f>+'F2'!L29</f>
        <v>0.50919539999999996</v>
      </c>
      <c r="G68" s="725">
        <f>+'F2'!L44</f>
        <v>1.2535798</v>
      </c>
      <c r="H68" s="725">
        <f>+'F2'!L59</f>
        <v>1.1296794999999999</v>
      </c>
      <c r="I68" s="725"/>
      <c r="J68" s="725"/>
      <c r="K68" s="725"/>
      <c r="L68" s="725"/>
      <c r="M68" s="725"/>
      <c r="N68" s="725"/>
      <c r="O68" s="725"/>
      <c r="P68" s="725"/>
      <c r="Q68" s="724"/>
    </row>
    <row r="69" spans="1:17" x14ac:dyDescent="0.35">
      <c r="B69" s="723" t="s">
        <v>1228</v>
      </c>
      <c r="C69" s="724" t="s">
        <v>1219</v>
      </c>
      <c r="D69" s="723" t="s">
        <v>821</v>
      </c>
      <c r="E69" s="725"/>
      <c r="F69" s="725"/>
      <c r="G69" s="725"/>
      <c r="H69" s="725">
        <v>3.59</v>
      </c>
      <c r="I69" s="725">
        <v>3.59</v>
      </c>
      <c r="J69" s="725"/>
      <c r="K69" s="725"/>
      <c r="L69" s="725"/>
      <c r="M69" s="725"/>
      <c r="N69" s="725"/>
      <c r="O69" s="725"/>
      <c r="P69" s="725"/>
      <c r="Q69" s="724"/>
    </row>
    <row r="70" spans="1:17" x14ac:dyDescent="0.35">
      <c r="B70" s="723">
        <v>3</v>
      </c>
      <c r="C70" s="724" t="s">
        <v>1220</v>
      </c>
      <c r="D70" s="723" t="s">
        <v>821</v>
      </c>
      <c r="E70" s="725"/>
      <c r="F70" s="725"/>
      <c r="G70" s="725"/>
      <c r="H70" s="725"/>
      <c r="I70" s="725">
        <v>4.57</v>
      </c>
      <c r="J70" s="725">
        <v>4.57</v>
      </c>
      <c r="K70" s="725"/>
      <c r="L70" s="725"/>
      <c r="M70" s="725"/>
      <c r="N70" s="725"/>
      <c r="O70" s="725"/>
      <c r="P70" s="725"/>
      <c r="Q70" s="724"/>
    </row>
    <row r="71" spans="1:17" ht="26.25" x14ac:dyDescent="0.35">
      <c r="B71" s="723">
        <v>3</v>
      </c>
      <c r="C71" s="727" t="s">
        <v>1221</v>
      </c>
      <c r="D71" s="723" t="s">
        <v>821</v>
      </c>
      <c r="E71" s="725"/>
      <c r="F71" s="725"/>
      <c r="G71" s="725"/>
      <c r="H71" s="725"/>
      <c r="I71" s="725">
        <v>5</v>
      </c>
      <c r="J71" s="725">
        <v>5</v>
      </c>
      <c r="K71" s="725"/>
      <c r="L71" s="725"/>
      <c r="M71" s="725"/>
      <c r="N71" s="725"/>
      <c r="O71" s="725"/>
      <c r="P71" s="725"/>
      <c r="Q71" s="724"/>
    </row>
    <row r="72" spans="1:17" x14ac:dyDescent="0.35">
      <c r="B72" s="723">
        <v>3</v>
      </c>
      <c r="C72" s="727" t="s">
        <v>1222</v>
      </c>
      <c r="D72" s="723" t="s">
        <v>821</v>
      </c>
      <c r="E72" s="725"/>
      <c r="F72" s="725"/>
      <c r="G72" s="725"/>
      <c r="H72" s="725"/>
      <c r="I72" s="725"/>
      <c r="J72" s="725">
        <v>5.4</v>
      </c>
      <c r="K72" s="725">
        <v>5.4</v>
      </c>
      <c r="L72" s="725"/>
      <c r="M72" s="725"/>
      <c r="N72" s="725"/>
      <c r="O72" s="725"/>
      <c r="P72" s="725"/>
      <c r="Q72" s="724"/>
    </row>
    <row r="73" spans="1:17" ht="26.25" x14ac:dyDescent="0.35">
      <c r="B73" s="723">
        <v>3</v>
      </c>
      <c r="C73" s="727" t="s">
        <v>1223</v>
      </c>
      <c r="D73" s="723" t="s">
        <v>821</v>
      </c>
      <c r="E73" s="725"/>
      <c r="F73" s="725"/>
      <c r="G73" s="725"/>
      <c r="H73" s="725"/>
      <c r="I73" s="725"/>
      <c r="J73" s="725">
        <v>5</v>
      </c>
      <c r="K73" s="725">
        <v>5</v>
      </c>
      <c r="L73" s="725"/>
      <c r="M73" s="725"/>
      <c r="N73" s="725"/>
      <c r="O73" s="725"/>
      <c r="P73" s="725"/>
      <c r="Q73" s="724"/>
    </row>
    <row r="74" spans="1:17" ht="26.25" x14ac:dyDescent="0.35">
      <c r="B74" s="723">
        <v>7</v>
      </c>
      <c r="C74" s="727" t="s">
        <v>1224</v>
      </c>
      <c r="D74" s="723" t="s">
        <v>821</v>
      </c>
      <c r="E74" s="725"/>
      <c r="F74" s="725"/>
      <c r="G74" s="725"/>
      <c r="H74" s="725"/>
      <c r="I74" s="725"/>
      <c r="J74" s="725"/>
      <c r="K74" s="725">
        <v>6.15</v>
      </c>
      <c r="L74" s="725"/>
      <c r="M74" s="725"/>
      <c r="N74" s="725"/>
      <c r="O74" s="725"/>
      <c r="P74" s="725"/>
      <c r="Q74" s="724"/>
    </row>
    <row r="75" spans="1:17" ht="26.25" x14ac:dyDescent="0.35">
      <c r="A75" s="1506"/>
      <c r="B75" s="723">
        <v>7</v>
      </c>
      <c r="C75" s="727" t="s">
        <v>1225</v>
      </c>
      <c r="D75" s="723" t="s">
        <v>821</v>
      </c>
      <c r="E75" s="725"/>
      <c r="F75" s="725"/>
      <c r="G75" s="725"/>
      <c r="H75" s="725"/>
      <c r="I75" s="725"/>
      <c r="J75" s="725"/>
      <c r="K75" s="725">
        <v>6.6</v>
      </c>
      <c r="L75" s="725">
        <v>6.6</v>
      </c>
      <c r="M75" s="725"/>
      <c r="N75" s="725"/>
      <c r="O75" s="725"/>
      <c r="P75" s="725"/>
      <c r="Q75" s="771">
        <v>1</v>
      </c>
    </row>
    <row r="76" spans="1:17" ht="26.25" x14ac:dyDescent="0.35">
      <c r="A76" s="1187"/>
      <c r="B76" s="723">
        <v>1</v>
      </c>
      <c r="C76" s="727" t="s">
        <v>1226</v>
      </c>
      <c r="D76" s="723" t="s">
        <v>821</v>
      </c>
      <c r="E76" s="725"/>
      <c r="F76" s="725"/>
      <c r="G76" s="725"/>
      <c r="H76" s="725"/>
      <c r="I76" s="725"/>
      <c r="J76" s="725"/>
      <c r="K76" s="725">
        <v>5.65</v>
      </c>
      <c r="L76" s="724"/>
      <c r="M76" s="725"/>
      <c r="N76" s="725"/>
      <c r="O76" s="725"/>
      <c r="P76" s="725"/>
      <c r="Q76" s="724"/>
    </row>
    <row r="77" spans="1:17" ht="26.25" x14ac:dyDescent="0.35">
      <c r="B77" s="723">
        <v>2</v>
      </c>
      <c r="C77" s="727" t="s">
        <v>1227</v>
      </c>
      <c r="D77" s="723" t="s">
        <v>821</v>
      </c>
      <c r="E77" s="724"/>
      <c r="F77" s="724"/>
      <c r="G77" s="724"/>
      <c r="H77" s="724"/>
      <c r="I77" s="724"/>
      <c r="J77" s="724"/>
      <c r="K77" s="724"/>
      <c r="L77" s="725">
        <v>5.65</v>
      </c>
      <c r="M77" s="724"/>
      <c r="N77" s="724"/>
      <c r="O77" s="724"/>
      <c r="P77" s="724"/>
      <c r="Q77" s="771">
        <v>0.85</v>
      </c>
    </row>
    <row r="78" spans="1:17" ht="26.25" x14ac:dyDescent="0.35">
      <c r="B78" s="723">
        <v>3</v>
      </c>
      <c r="C78" s="727" t="s">
        <v>1229</v>
      </c>
      <c r="D78" s="723" t="s">
        <v>821</v>
      </c>
      <c r="E78" s="724"/>
      <c r="F78" s="724"/>
      <c r="G78" s="724"/>
      <c r="H78" s="724"/>
      <c r="I78" s="724"/>
      <c r="J78" s="724"/>
      <c r="K78" s="724"/>
      <c r="L78" s="724">
        <v>5.25</v>
      </c>
      <c r="M78" s="724">
        <v>5.25</v>
      </c>
      <c r="N78" s="724">
        <v>5.25</v>
      </c>
      <c r="O78" s="724">
        <v>5.25</v>
      </c>
      <c r="P78" s="724"/>
      <c r="Q78" s="771">
        <v>0.55000000000000004</v>
      </c>
    </row>
    <row r="79" spans="1:17" ht="26.25" x14ac:dyDescent="0.35">
      <c r="B79" s="723">
        <v>3</v>
      </c>
      <c r="C79" s="727" t="s">
        <v>1572</v>
      </c>
      <c r="D79" s="723" t="s">
        <v>821</v>
      </c>
      <c r="E79" s="724"/>
      <c r="F79" s="724"/>
      <c r="G79" s="724"/>
      <c r="H79" s="724"/>
      <c r="I79" s="724"/>
      <c r="J79" s="724"/>
      <c r="K79" s="724"/>
      <c r="L79" s="724">
        <v>5.35</v>
      </c>
      <c r="M79" s="724">
        <v>5.35</v>
      </c>
      <c r="N79" s="724"/>
      <c r="O79" s="724"/>
      <c r="P79" s="724"/>
      <c r="Q79" s="771">
        <v>0.9</v>
      </c>
    </row>
    <row r="80" spans="1:17" ht="26.25" x14ac:dyDescent="0.35">
      <c r="B80" s="723">
        <v>2</v>
      </c>
      <c r="C80" s="727" t="s">
        <v>1573</v>
      </c>
      <c r="D80" s="723" t="s">
        <v>821</v>
      </c>
      <c r="E80" s="724"/>
      <c r="F80" s="724"/>
      <c r="G80" s="724"/>
      <c r="H80" s="724"/>
      <c r="I80" s="724"/>
      <c r="J80" s="724"/>
      <c r="K80" s="724"/>
      <c r="L80" s="724">
        <v>5.35</v>
      </c>
      <c r="M80" s="724">
        <v>5.35</v>
      </c>
      <c r="N80" s="724"/>
      <c r="O80" s="724"/>
      <c r="P80" s="724"/>
      <c r="Q80" s="771">
        <v>0.9</v>
      </c>
    </row>
    <row r="81" spans="2:17" ht="26.25" x14ac:dyDescent="0.35">
      <c r="B81" s="723">
        <v>7</v>
      </c>
      <c r="C81" s="727" t="s">
        <v>1574</v>
      </c>
      <c r="D81" s="723" t="s">
        <v>821</v>
      </c>
      <c r="E81" s="724"/>
      <c r="F81" s="724"/>
      <c r="G81" s="724"/>
      <c r="H81" s="724"/>
      <c r="I81" s="724"/>
      <c r="J81" s="724"/>
      <c r="K81" s="724"/>
      <c r="L81" s="725">
        <v>5.8</v>
      </c>
      <c r="M81" s="725">
        <v>5.8</v>
      </c>
      <c r="N81" s="724"/>
      <c r="O81" s="724"/>
      <c r="P81" s="724"/>
      <c r="Q81" s="771">
        <v>0.85</v>
      </c>
    </row>
    <row r="82" spans="2:17" x14ac:dyDescent="0.35">
      <c r="B82" s="723"/>
      <c r="C82" s="724" t="s">
        <v>1242</v>
      </c>
      <c r="D82" s="723" t="s">
        <v>821</v>
      </c>
      <c r="E82" s="724"/>
      <c r="F82" s="724"/>
      <c r="G82" s="724"/>
      <c r="H82" s="724"/>
      <c r="I82" s="724"/>
      <c r="J82" s="724"/>
      <c r="K82" s="724"/>
      <c r="L82" s="725">
        <v>6</v>
      </c>
      <c r="M82" s="725">
        <f>+L82+0.05</f>
        <v>6.05</v>
      </c>
      <c r="N82" s="725">
        <f>+M82+0.05</f>
        <v>6.1</v>
      </c>
      <c r="O82" s="725">
        <f>+N82+0.05</f>
        <v>6.1499999999999995</v>
      </c>
      <c r="P82" s="725">
        <f>+O82+0.05</f>
        <v>6.1999999999999993</v>
      </c>
      <c r="Q82" s="724"/>
    </row>
    <row r="85" spans="2:17" x14ac:dyDescent="0.35">
      <c r="C85" s="1910" t="s">
        <v>111</v>
      </c>
      <c r="D85" s="1910" t="s">
        <v>624</v>
      </c>
      <c r="E85" s="1911" t="s">
        <v>1274</v>
      </c>
      <c r="F85" s="1912"/>
      <c r="G85" s="1912"/>
    </row>
    <row r="86" spans="2:17" ht="25.5" x14ac:dyDescent="0.35">
      <c r="C86" s="1910"/>
      <c r="D86" s="1910"/>
      <c r="E86" s="1567" t="s">
        <v>1271</v>
      </c>
      <c r="F86" s="1568" t="s">
        <v>1272</v>
      </c>
      <c r="G86" s="1567" t="s">
        <v>1273</v>
      </c>
    </row>
    <row r="87" spans="2:17" x14ac:dyDescent="0.35">
      <c r="C87" s="1569" t="s">
        <v>1257</v>
      </c>
      <c r="D87" s="1570"/>
      <c r="E87" s="1571"/>
      <c r="F87" s="1571"/>
      <c r="G87" s="1571"/>
    </row>
    <row r="88" spans="2:17" x14ac:dyDescent="0.35">
      <c r="C88" s="1572" t="s">
        <v>16</v>
      </c>
      <c r="D88" s="1573" t="s">
        <v>243</v>
      </c>
      <c r="E88" s="1574">
        <v>0</v>
      </c>
      <c r="F88" s="1574">
        <v>0</v>
      </c>
      <c r="G88" s="1574">
        <v>0</v>
      </c>
    </row>
    <row r="89" spans="2:17" x14ac:dyDescent="0.35">
      <c r="C89" s="1572" t="s">
        <v>1258</v>
      </c>
      <c r="D89" s="1573" t="s">
        <v>243</v>
      </c>
      <c r="E89" s="1574">
        <v>0</v>
      </c>
      <c r="F89" s="1574">
        <v>0</v>
      </c>
      <c r="G89" s="1574">
        <v>0</v>
      </c>
    </row>
    <row r="90" spans="2:17" x14ac:dyDescent="0.35">
      <c r="C90" s="1572" t="s">
        <v>154</v>
      </c>
      <c r="D90" s="1573" t="s">
        <v>243</v>
      </c>
      <c r="E90" s="1574">
        <v>0</v>
      </c>
      <c r="F90" s="1574">
        <v>0</v>
      </c>
      <c r="G90" s="1574">
        <v>0</v>
      </c>
    </row>
    <row r="91" spans="2:17" x14ac:dyDescent="0.35">
      <c r="C91" s="1572" t="s">
        <v>136</v>
      </c>
      <c r="D91" s="1573" t="s">
        <v>243</v>
      </c>
      <c r="E91" s="1574">
        <v>0.65</v>
      </c>
      <c r="F91" s="1574">
        <v>0.65</v>
      </c>
      <c r="G91" s="1574">
        <v>0.65</v>
      </c>
    </row>
    <row r="92" spans="2:17" x14ac:dyDescent="0.35">
      <c r="C92" s="1572" t="s">
        <v>1259</v>
      </c>
      <c r="D92" s="1573" t="s">
        <v>243</v>
      </c>
      <c r="E92" s="1574"/>
      <c r="F92" s="1574"/>
      <c r="G92" s="1574"/>
    </row>
    <row r="93" spans="2:17" x14ac:dyDescent="0.35">
      <c r="C93" s="1572" t="s">
        <v>1260</v>
      </c>
      <c r="D93" s="1573" t="s">
        <v>243</v>
      </c>
      <c r="E93" s="1574"/>
      <c r="F93" s="1574"/>
      <c r="G93" s="1574"/>
    </row>
    <row r="94" spans="2:17" x14ac:dyDescent="0.35">
      <c r="C94" s="1572" t="s">
        <v>139</v>
      </c>
      <c r="D94" s="1573" t="s">
        <v>243</v>
      </c>
      <c r="E94" s="1574">
        <v>0.1</v>
      </c>
      <c r="F94" s="1574">
        <v>0.1</v>
      </c>
      <c r="G94" s="1574">
        <v>0.1</v>
      </c>
    </row>
    <row r="95" spans="2:17" x14ac:dyDescent="0.35">
      <c r="C95" s="1572" t="s">
        <v>1261</v>
      </c>
      <c r="D95" s="1573" t="s">
        <v>243</v>
      </c>
      <c r="E95" s="1574">
        <v>0.1</v>
      </c>
      <c r="F95" s="1574">
        <v>0.1</v>
      </c>
      <c r="G95" s="1574">
        <v>0.1</v>
      </c>
    </row>
    <row r="96" spans="2:17" x14ac:dyDescent="0.35">
      <c r="C96" s="1572" t="s">
        <v>1262</v>
      </c>
      <c r="D96" s="1573" t="s">
        <v>243</v>
      </c>
      <c r="E96" s="1574">
        <v>0.1</v>
      </c>
      <c r="F96" s="1574">
        <v>0.1</v>
      </c>
      <c r="G96" s="1574">
        <v>0.1</v>
      </c>
    </row>
    <row r="97" spans="3:9" x14ac:dyDescent="0.35">
      <c r="C97" s="1572" t="s">
        <v>64</v>
      </c>
      <c r="D97" s="1573" t="s">
        <v>243</v>
      </c>
      <c r="E97" s="1574">
        <v>0.9</v>
      </c>
      <c r="F97" s="1574">
        <v>0.9</v>
      </c>
      <c r="G97" s="1574">
        <v>0.9</v>
      </c>
    </row>
    <row r="98" spans="3:9" x14ac:dyDescent="0.35">
      <c r="C98" s="1572" t="s">
        <v>62</v>
      </c>
      <c r="D98" s="1573" t="s">
        <v>243</v>
      </c>
      <c r="E98" s="1574">
        <v>0.9</v>
      </c>
      <c r="F98" s="1574">
        <v>0.9</v>
      </c>
      <c r="G98" s="1574">
        <v>0.9</v>
      </c>
    </row>
    <row r="99" spans="3:9" x14ac:dyDescent="0.35">
      <c r="C99" s="1572" t="s">
        <v>1263</v>
      </c>
      <c r="D99" s="1573" t="s">
        <v>243</v>
      </c>
      <c r="E99" s="1574"/>
      <c r="F99" s="1574"/>
      <c r="G99" s="1574"/>
    </row>
    <row r="100" spans="3:9" x14ac:dyDescent="0.35">
      <c r="C100" s="1572" t="s">
        <v>58</v>
      </c>
      <c r="D100" s="1573" t="s">
        <v>243</v>
      </c>
      <c r="E100" s="1574">
        <v>0.1</v>
      </c>
      <c r="F100" s="1574">
        <v>0.1</v>
      </c>
      <c r="G100" s="1574">
        <v>0.1</v>
      </c>
    </row>
    <row r="101" spans="3:9" x14ac:dyDescent="0.35">
      <c r="C101" s="1575" t="s">
        <v>1764</v>
      </c>
      <c r="D101" s="1570"/>
      <c r="E101" s="1571"/>
      <c r="F101" s="1571"/>
      <c r="G101" s="1571"/>
    </row>
    <row r="102" spans="3:9" x14ac:dyDescent="0.35">
      <c r="C102" s="1569"/>
      <c r="D102" s="1570"/>
      <c r="E102" s="1571"/>
      <c r="F102" s="1571"/>
      <c r="G102" s="1571"/>
    </row>
    <row r="103" spans="3:9" x14ac:dyDescent="0.4">
      <c r="C103" s="1576" t="s">
        <v>1264</v>
      </c>
      <c r="D103" s="1577"/>
      <c r="E103" s="1578"/>
      <c r="F103" s="1578"/>
      <c r="G103" s="1579"/>
    </row>
    <row r="104" spans="3:9" x14ac:dyDescent="0.35">
      <c r="C104" s="1580" t="s">
        <v>486</v>
      </c>
      <c r="D104" s="1577" t="s">
        <v>243</v>
      </c>
      <c r="E104" s="1581">
        <v>0.7</v>
      </c>
      <c r="F104" s="1581">
        <v>0.7</v>
      </c>
      <c r="G104" s="1581">
        <v>0.7</v>
      </c>
    </row>
    <row r="105" spans="3:9" x14ac:dyDescent="0.35">
      <c r="C105" s="1580" t="s">
        <v>485</v>
      </c>
      <c r="D105" s="1577" t="s">
        <v>243</v>
      </c>
      <c r="E105" s="1581">
        <v>0.3</v>
      </c>
      <c r="F105" s="1581">
        <v>0.3</v>
      </c>
      <c r="G105" s="1581">
        <v>0.3</v>
      </c>
    </row>
    <row r="106" spans="3:9" x14ac:dyDescent="0.4">
      <c r="C106" s="1580"/>
      <c r="D106" s="1582"/>
      <c r="E106" s="1578"/>
      <c r="F106" s="1578"/>
      <c r="G106" s="1579"/>
    </row>
    <row r="107" spans="3:9" x14ac:dyDescent="0.35">
      <c r="C107" s="1563" t="s">
        <v>1265</v>
      </c>
      <c r="D107" s="1582"/>
      <c r="E107" s="1916" t="s">
        <v>1446</v>
      </c>
      <c r="F107" s="1913" t="s">
        <v>1435</v>
      </c>
      <c r="G107" s="1914"/>
      <c r="H107" s="1915" t="s">
        <v>1436</v>
      </c>
      <c r="I107" s="1915"/>
    </row>
    <row r="108" spans="3:9" x14ac:dyDescent="0.35">
      <c r="C108" s="1563"/>
      <c r="D108" s="1582"/>
      <c r="E108" s="1917"/>
      <c r="F108" s="1584" t="s">
        <v>1445</v>
      </c>
      <c r="G108" s="1583" t="s">
        <v>1447</v>
      </c>
      <c r="H108" s="1584" t="s">
        <v>1445</v>
      </c>
      <c r="I108" s="1583" t="s">
        <v>1447</v>
      </c>
    </row>
    <row r="109" spans="3:9" x14ac:dyDescent="0.4">
      <c r="C109" s="1578" t="s">
        <v>1266</v>
      </c>
      <c r="D109" s="1582" t="s">
        <v>243</v>
      </c>
      <c r="E109" s="1585">
        <v>35</v>
      </c>
      <c r="F109" s="1586">
        <v>3.3399999999999999E-2</v>
      </c>
      <c r="G109" s="733">
        <f>20%/(E109-ROUND(70%/F109,0))</f>
        <v>1.4285714285714287E-2</v>
      </c>
      <c r="H109" s="1586">
        <v>3.3399999999999999E-2</v>
      </c>
      <c r="I109" s="733">
        <f>20%/(E109-ROUND(70%/H109,0))</f>
        <v>1.4285714285714287E-2</v>
      </c>
    </row>
    <row r="110" spans="3:9" x14ac:dyDescent="0.4">
      <c r="C110" s="1578" t="s">
        <v>1267</v>
      </c>
      <c r="D110" s="1582" t="s">
        <v>243</v>
      </c>
      <c r="E110" s="1585">
        <v>35</v>
      </c>
      <c r="F110" s="1586">
        <v>3.3399999999999999E-2</v>
      </c>
      <c r="G110" s="733">
        <f t="shared" ref="G110:G116" si="6">20%/(E110-ROUND(70%/F110,0))</f>
        <v>1.4285714285714287E-2</v>
      </c>
      <c r="H110" s="1586">
        <v>3.3399999999999999E-2</v>
      </c>
      <c r="I110" s="733">
        <f t="shared" ref="I110:I116" si="7">20%/(E110-ROUND(70%/H110,0))</f>
        <v>1.4285714285714287E-2</v>
      </c>
    </row>
    <row r="111" spans="3:9" x14ac:dyDescent="0.4">
      <c r="C111" s="1578" t="s">
        <v>1268</v>
      </c>
      <c r="D111" s="1582" t="s">
        <v>243</v>
      </c>
      <c r="E111" s="1585">
        <v>35</v>
      </c>
      <c r="F111" s="1586">
        <v>5.28E-2</v>
      </c>
      <c r="G111" s="733">
        <f t="shared" si="6"/>
        <v>9.0909090909090922E-3</v>
      </c>
      <c r="H111" s="1531">
        <v>4.2200000000000001E-2</v>
      </c>
      <c r="I111" s="733">
        <f t="shared" si="7"/>
        <v>1.1111111111111112E-2</v>
      </c>
    </row>
    <row r="112" spans="3:9" x14ac:dyDescent="0.4">
      <c r="C112" s="1580" t="s">
        <v>915</v>
      </c>
      <c r="D112" s="1582" t="s">
        <v>243</v>
      </c>
      <c r="E112" s="1585">
        <v>25</v>
      </c>
      <c r="F112" s="1586">
        <v>5.28E-2</v>
      </c>
      <c r="G112" s="733">
        <f t="shared" si="6"/>
        <v>1.6666666666666666E-2</v>
      </c>
      <c r="H112" s="1531">
        <v>4.2200000000000001E-2</v>
      </c>
      <c r="I112" s="733">
        <f t="shared" si="7"/>
        <v>2.5000000000000001E-2</v>
      </c>
    </row>
    <row r="113" spans="3:13" x14ac:dyDescent="0.4">
      <c r="C113" s="1578" t="s">
        <v>917</v>
      </c>
      <c r="D113" s="1582" t="s">
        <v>243</v>
      </c>
      <c r="E113" s="1585">
        <v>15</v>
      </c>
      <c r="F113" s="1586">
        <v>6.3299999999999995E-2</v>
      </c>
      <c r="G113" s="733">
        <f t="shared" si="6"/>
        <v>0.05</v>
      </c>
      <c r="H113" s="1531">
        <v>6.3299999999999995E-2</v>
      </c>
      <c r="I113" s="733">
        <f t="shared" si="7"/>
        <v>0.05</v>
      </c>
    </row>
    <row r="114" spans="3:13" x14ac:dyDescent="0.4">
      <c r="C114" s="1578" t="s">
        <v>445</v>
      </c>
      <c r="D114" s="1582" t="s">
        <v>243</v>
      </c>
      <c r="E114" s="1585">
        <v>10</v>
      </c>
      <c r="F114" s="1586">
        <v>9.5000000000000001E-2</v>
      </c>
      <c r="G114" s="733">
        <f t="shared" si="6"/>
        <v>6.6666666666666666E-2</v>
      </c>
      <c r="H114" s="1531">
        <v>9.5000000000000001E-2</v>
      </c>
      <c r="I114" s="733">
        <f t="shared" si="7"/>
        <v>6.6666666666666666E-2</v>
      </c>
    </row>
    <row r="115" spans="3:13" x14ac:dyDescent="0.4">
      <c r="C115" s="1578" t="s">
        <v>1269</v>
      </c>
      <c r="D115" s="1582" t="s">
        <v>243</v>
      </c>
      <c r="E115" s="1585">
        <v>7</v>
      </c>
      <c r="F115" s="1586">
        <v>0.15</v>
      </c>
      <c r="G115" s="733">
        <f t="shared" si="6"/>
        <v>0.1</v>
      </c>
      <c r="H115" s="1531">
        <v>0.15</v>
      </c>
      <c r="I115" s="733">
        <f t="shared" si="7"/>
        <v>0.1</v>
      </c>
    </row>
    <row r="116" spans="3:13" x14ac:dyDescent="0.4">
      <c r="C116" s="1578" t="s">
        <v>1270</v>
      </c>
      <c r="D116" s="1582" t="s">
        <v>243</v>
      </c>
      <c r="E116" s="1585">
        <v>7</v>
      </c>
      <c r="F116" s="1586">
        <v>0.3</v>
      </c>
      <c r="G116" s="733">
        <f t="shared" si="6"/>
        <v>0.04</v>
      </c>
      <c r="H116" s="1531">
        <v>0.15</v>
      </c>
      <c r="I116" s="733">
        <f t="shared" si="7"/>
        <v>0.1</v>
      </c>
    </row>
    <row r="118" spans="3:13" s="728" customFormat="1" ht="38.25" x14ac:dyDescent="0.35">
      <c r="C118" s="1343" t="s">
        <v>1551</v>
      </c>
      <c r="D118" s="723"/>
      <c r="E118" s="1343" t="s">
        <v>1552</v>
      </c>
      <c r="F118" s="1344" t="s">
        <v>1553</v>
      </c>
      <c r="G118" s="1343" t="s">
        <v>1554</v>
      </c>
      <c r="H118" s="1343" t="s">
        <v>1556</v>
      </c>
      <c r="I118" s="1343" t="s">
        <v>1555</v>
      </c>
      <c r="J118" s="1343" t="s">
        <v>1557</v>
      </c>
      <c r="K118" s="1343" t="s">
        <v>1558</v>
      </c>
      <c r="L118" s="729"/>
      <c r="M118" s="729"/>
    </row>
    <row r="119" spans="3:13" x14ac:dyDescent="0.4">
      <c r="C119" s="1591" t="s">
        <v>1540</v>
      </c>
      <c r="D119" s="1352" t="s">
        <v>243</v>
      </c>
      <c r="E119" s="733">
        <v>0.32647306916253555</v>
      </c>
      <c r="F119" s="733">
        <v>0.1877860462800888</v>
      </c>
      <c r="G119" s="724"/>
      <c r="H119" s="733">
        <v>0.17883347176388753</v>
      </c>
      <c r="I119" s="733">
        <v>9.5931872173692756E-2</v>
      </c>
      <c r="J119" s="733">
        <v>0.29223893850735128</v>
      </c>
      <c r="K119" s="733">
        <v>0.53796538031806329</v>
      </c>
    </row>
    <row r="120" spans="3:13" x14ac:dyDescent="0.4">
      <c r="C120" s="1591" t="s">
        <v>1541</v>
      </c>
      <c r="D120" s="1352" t="s">
        <v>243</v>
      </c>
      <c r="E120" s="733">
        <v>0.37869017512944653</v>
      </c>
      <c r="F120" s="733">
        <v>0.42619050775922118</v>
      </c>
      <c r="G120" s="724"/>
      <c r="H120" s="733">
        <v>0.46868480666029039</v>
      </c>
      <c r="I120" s="733">
        <v>0.57803715053034332</v>
      </c>
      <c r="J120" s="733">
        <v>0.3942267626756838</v>
      </c>
      <c r="K120" s="733">
        <v>0.23040455245145644</v>
      </c>
    </row>
    <row r="121" spans="3:13" x14ac:dyDescent="0.4">
      <c r="C121" s="1591" t="s">
        <v>1542</v>
      </c>
      <c r="D121" s="1352" t="s">
        <v>243</v>
      </c>
      <c r="E121" s="733">
        <v>0.12579891020767789</v>
      </c>
      <c r="F121" s="733">
        <v>0.19196636353656946</v>
      </c>
      <c r="G121" s="724"/>
      <c r="H121" s="733">
        <v>0.1982597596674133</v>
      </c>
      <c r="I121" s="733">
        <v>0.27313930242597728</v>
      </c>
      <c r="J121" s="733">
        <v>0.14132687707749236</v>
      </c>
      <c r="K121" s="733">
        <v>9.8901492863854357E-2</v>
      </c>
    </row>
    <row r="122" spans="3:13" x14ac:dyDescent="0.4">
      <c r="C122" s="1591" t="s">
        <v>1543</v>
      </c>
      <c r="D122" s="1352" t="s">
        <v>243</v>
      </c>
      <c r="E122" s="733">
        <v>0.16903784550034012</v>
      </c>
      <c r="F122" s="733">
        <v>0.19405708242412065</v>
      </c>
      <c r="G122" s="724"/>
      <c r="H122" s="733">
        <v>0.15422196190840892</v>
      </c>
      <c r="I122" s="733">
        <v>5.2891674869986659E-2</v>
      </c>
      <c r="J122" s="733">
        <v>0.17220742173947262</v>
      </c>
      <c r="K122" s="733">
        <v>0.13272857436662591</v>
      </c>
    </row>
    <row r="124" spans="3:13" ht="38.25" x14ac:dyDescent="0.35">
      <c r="C124" s="1343" t="s">
        <v>1559</v>
      </c>
      <c r="D124" s="723"/>
      <c r="E124" s="1343" t="s">
        <v>1552</v>
      </c>
      <c r="F124" s="1344" t="s">
        <v>1553</v>
      </c>
      <c r="G124" s="1343" t="s">
        <v>1554</v>
      </c>
      <c r="H124" s="1343" t="s">
        <v>1556</v>
      </c>
      <c r="I124" s="1343" t="s">
        <v>1555</v>
      </c>
      <c r="J124" s="1343" t="s">
        <v>1557</v>
      </c>
      <c r="K124" s="1343" t="s">
        <v>1558</v>
      </c>
    </row>
    <row r="125" spans="3:13" x14ac:dyDescent="0.4">
      <c r="C125" s="1592" t="s">
        <v>1544</v>
      </c>
      <c r="D125" s="1352" t="s">
        <v>243</v>
      </c>
      <c r="E125" s="733">
        <v>0.24485480187190162</v>
      </c>
      <c r="F125" s="733">
        <v>0.14083953471006658</v>
      </c>
      <c r="G125" s="724"/>
      <c r="H125" s="733">
        <v>0.13412510382291565</v>
      </c>
      <c r="I125" s="733">
        <v>7.1948904130269567E-2</v>
      </c>
      <c r="J125" s="733">
        <v>0.21917920388051343</v>
      </c>
      <c r="K125" s="733">
        <v>0.40347403523854747</v>
      </c>
    </row>
    <row r="126" spans="3:13" x14ac:dyDescent="0.4">
      <c r="C126" s="1592" t="s">
        <v>1545</v>
      </c>
      <c r="D126" s="1352" t="s">
        <v>243</v>
      </c>
      <c r="E126" s="733">
        <v>0.12623005837648216</v>
      </c>
      <c r="F126" s="733">
        <v>0.14206350258640704</v>
      </c>
      <c r="G126" s="724"/>
      <c r="H126" s="733">
        <v>0.15622826888676347</v>
      </c>
      <c r="I126" s="733">
        <v>0.19267905017678111</v>
      </c>
      <c r="J126" s="733">
        <v>0.13140892089189457</v>
      </c>
      <c r="K126" s="733">
        <v>7.6801517483818818E-2</v>
      </c>
    </row>
    <row r="127" spans="3:13" x14ac:dyDescent="0.4">
      <c r="C127" s="1592" t="s">
        <v>1546</v>
      </c>
      <c r="D127" s="1352" t="s">
        <v>243</v>
      </c>
      <c r="E127" s="733">
        <v>0.33618234083514814</v>
      </c>
      <c r="F127" s="733">
        <v>0.42873886784724785</v>
      </c>
      <c r="G127" s="771">
        <v>0.2</v>
      </c>
      <c r="H127" s="733">
        <v>0.45864020781201903</v>
      </c>
      <c r="I127" s="733">
        <v>0.59427105272061242</v>
      </c>
      <c r="J127" s="733">
        <v>0.36034174523064999</v>
      </c>
      <c r="K127" s="733">
        <v>0.22690402200355236</v>
      </c>
    </row>
    <row r="128" spans="3:13" x14ac:dyDescent="0.4">
      <c r="C128" s="1592" t="s">
        <v>1549</v>
      </c>
      <c r="D128" s="1352" t="s">
        <v>243</v>
      </c>
      <c r="E128" s="733">
        <v>0.29273279891646803</v>
      </c>
      <c r="F128" s="733">
        <v>0.2883580948562785</v>
      </c>
      <c r="G128" s="724"/>
      <c r="H128" s="733">
        <v>0.25100641947830193</v>
      </c>
      <c r="I128" s="733">
        <v>0.14110099297233689</v>
      </c>
      <c r="J128" s="733">
        <v>0.28907012999694193</v>
      </c>
      <c r="K128" s="733">
        <v>0.29282042527408136</v>
      </c>
    </row>
    <row r="130" spans="3:26" x14ac:dyDescent="0.35">
      <c r="C130" s="724"/>
      <c r="D130" s="723"/>
      <c r="E130" s="1907" t="s">
        <v>1641</v>
      </c>
      <c r="F130" s="1907"/>
      <c r="G130" s="1907"/>
      <c r="H130" s="1907"/>
      <c r="I130" s="1907"/>
      <c r="J130" s="1907"/>
      <c r="K130" s="1907"/>
      <c r="L130" s="1907"/>
      <c r="M130" s="1907"/>
      <c r="N130" s="1907"/>
      <c r="O130" s="1907"/>
      <c r="P130" s="1907" t="s">
        <v>1642</v>
      </c>
      <c r="Q130" s="1907"/>
      <c r="R130" s="1907"/>
      <c r="S130" s="1907"/>
      <c r="T130" s="1907"/>
      <c r="U130" s="1907"/>
      <c r="V130" s="1907"/>
      <c r="W130" s="1907"/>
      <c r="X130" s="1907"/>
      <c r="Y130" s="1907"/>
      <c r="Z130" s="1907"/>
    </row>
    <row r="131" spans="3:26" x14ac:dyDescent="0.35">
      <c r="C131" s="1343" t="s">
        <v>1638</v>
      </c>
      <c r="D131" s="1588" t="s">
        <v>1639</v>
      </c>
      <c r="E131" s="1588" t="s">
        <v>197</v>
      </c>
      <c r="F131" s="1588" t="s">
        <v>198</v>
      </c>
      <c r="G131" s="1588" t="s">
        <v>199</v>
      </c>
      <c r="H131" s="1446" t="s">
        <v>112</v>
      </c>
      <c r="I131" s="1446" t="s">
        <v>113</v>
      </c>
      <c r="J131" s="1446" t="s">
        <v>114</v>
      </c>
      <c r="K131" s="1446" t="s">
        <v>123</v>
      </c>
      <c r="L131" s="1446" t="s">
        <v>124</v>
      </c>
      <c r="M131" s="1446" t="s">
        <v>125</v>
      </c>
      <c r="N131" s="1446" t="s">
        <v>126</v>
      </c>
      <c r="O131" s="1446" t="s">
        <v>127</v>
      </c>
      <c r="P131" s="1588" t="s">
        <v>197</v>
      </c>
      <c r="Q131" s="1588" t="s">
        <v>198</v>
      </c>
      <c r="R131" s="1588" t="s">
        <v>199</v>
      </c>
      <c r="S131" s="1446" t="s">
        <v>112</v>
      </c>
      <c r="T131" s="1446" t="s">
        <v>113</v>
      </c>
      <c r="U131" s="1446" t="s">
        <v>114</v>
      </c>
      <c r="V131" s="1446" t="s">
        <v>123</v>
      </c>
      <c r="W131" s="1446" t="s">
        <v>124</v>
      </c>
      <c r="X131" s="1446" t="s">
        <v>125</v>
      </c>
      <c r="Y131" s="1446" t="s">
        <v>126</v>
      </c>
      <c r="Z131" s="1446" t="s">
        <v>127</v>
      </c>
    </row>
    <row r="132" spans="3:26" ht="26.25" x14ac:dyDescent="0.35">
      <c r="C132" s="1593" t="s">
        <v>150</v>
      </c>
      <c r="D132" s="723" t="s">
        <v>1640</v>
      </c>
      <c r="E132" s="732">
        <f>+'F1.4'!E73</f>
        <v>0.21628658722342875</v>
      </c>
      <c r="F132" s="732">
        <f>+'F1.4'!F73</f>
        <v>0.69388315628925712</v>
      </c>
      <c r="G132" s="732">
        <f>+'F1.4'!G73</f>
        <v>0.78765599875066816</v>
      </c>
      <c r="H132" s="732">
        <f>+'F1.4'!H73</f>
        <v>0.83328715751810034</v>
      </c>
      <c r="I132" s="732">
        <f>+'F1.4'!I73</f>
        <v>0.85745719291614619</v>
      </c>
      <c r="J132" s="732">
        <f>+'F1.4'!J73</f>
        <v>0.91034353329707107</v>
      </c>
      <c r="K132" s="732">
        <f>+'F1.4'!K73</f>
        <v>0.93072539733919313</v>
      </c>
      <c r="L132" s="732">
        <f>+'F1.4'!L73</f>
        <v>0.93333730561743888</v>
      </c>
      <c r="M132" s="732">
        <f>+'F1.4'!M73</f>
        <v>0.94590931101440667</v>
      </c>
      <c r="N132" s="732">
        <f>+'F1.4'!N73</f>
        <v>0.94049397366719711</v>
      </c>
      <c r="O132" s="732">
        <f>+'F1.4'!O73</f>
        <v>0.94495026792391279</v>
      </c>
      <c r="P132" s="732">
        <f>+'F1.4'!E74</f>
        <v>0.78371341277657136</v>
      </c>
      <c r="Q132" s="732">
        <f>+'F1.4'!F74</f>
        <v>0.30611684371074266</v>
      </c>
      <c r="R132" s="732">
        <f>+'F1.4'!G74</f>
        <v>0.21234400124933192</v>
      </c>
      <c r="S132" s="732">
        <f>+'F1.4'!H74</f>
        <v>0.16671284248189971</v>
      </c>
      <c r="T132" s="732">
        <f>+'F1.4'!I74</f>
        <v>0.14254280708385361</v>
      </c>
      <c r="U132" s="732">
        <f>+'F1.4'!J74</f>
        <v>8.9656466702928844E-2</v>
      </c>
      <c r="V132" s="732">
        <f>+'F1.4'!K74</f>
        <v>6.927460266080665E-2</v>
      </c>
      <c r="W132" s="732">
        <f>+'F1.4'!L74</f>
        <v>6.6662694382560811E-2</v>
      </c>
      <c r="X132" s="732">
        <f>+'F1.4'!M74</f>
        <v>5.4090688985593278E-2</v>
      </c>
      <c r="Y132" s="732">
        <f>+'F1.4'!N74</f>
        <v>5.9506026332802706E-2</v>
      </c>
      <c r="Z132" s="732">
        <f>+'F1.4'!O74</f>
        <v>5.5049732076087446E-2</v>
      </c>
    </row>
    <row r="133" spans="3:26" x14ac:dyDescent="0.35">
      <c r="C133" s="1593" t="s">
        <v>136</v>
      </c>
      <c r="D133" s="723"/>
      <c r="E133" s="724"/>
      <c r="F133" s="724"/>
      <c r="G133" s="724"/>
      <c r="H133" s="724"/>
      <c r="I133" s="724"/>
      <c r="J133" s="724"/>
      <c r="K133" s="724"/>
      <c r="L133" s="724"/>
      <c r="M133" s="724"/>
      <c r="N133" s="724"/>
      <c r="O133" s="724"/>
      <c r="P133" s="724"/>
      <c r="Q133" s="724"/>
      <c r="R133" s="724"/>
      <c r="S133" s="724"/>
      <c r="T133" s="724"/>
      <c r="U133" s="724"/>
      <c r="V133" s="724"/>
      <c r="W133" s="724"/>
      <c r="X133" s="724"/>
      <c r="Y133" s="724"/>
      <c r="Z133" s="724"/>
    </row>
    <row r="134" spans="3:26" ht="26.25" x14ac:dyDescent="0.35">
      <c r="C134" s="1594" t="s">
        <v>28</v>
      </c>
      <c r="D134" s="1416" t="s">
        <v>1644</v>
      </c>
      <c r="E134" s="732">
        <f>+'F3.2'!E159</f>
        <v>0.13694136941369414</v>
      </c>
      <c r="F134" s="732">
        <f>+'F3.2'!F159</f>
        <v>0.19786659193016695</v>
      </c>
      <c r="G134" s="732">
        <f>+'F3.2'!G159</f>
        <v>0.16744395834679496</v>
      </c>
      <c r="H134" s="732">
        <f>+'F3.2'!H159</f>
        <v>0.18758801811072673</v>
      </c>
      <c r="I134" s="732">
        <f>+'F3.2'!I159</f>
        <v>0.16698913191347856</v>
      </c>
      <c r="J134" s="732">
        <f>+'F3.2'!J159</f>
        <v>0.31983011130638545</v>
      </c>
      <c r="K134" s="732">
        <f>+'F3.2'!K159</f>
        <v>0.47558717253839206</v>
      </c>
      <c r="L134" s="732">
        <f>+'F3.2'!L159</f>
        <v>0.52396473964739643</v>
      </c>
      <c r="M134" s="732">
        <f>+'F3.2'!M159</f>
        <v>0.56417042042042043</v>
      </c>
      <c r="N134" s="732">
        <f>+'F3.2'!N159</f>
        <v>0.59298215511324637</v>
      </c>
      <c r="O134" s="732">
        <f>+'F3.2'!O159</f>
        <v>0.59298215511324637</v>
      </c>
      <c r="P134" s="732">
        <f>+'F3.2'!E160</f>
        <v>0.86305863058630583</v>
      </c>
      <c r="Q134" s="732">
        <f>+'F3.2'!F160</f>
        <v>0.80213340806983302</v>
      </c>
      <c r="R134" s="732">
        <f>+'F3.2'!G160</f>
        <v>0.83255604165320507</v>
      </c>
      <c r="S134" s="732">
        <f>+'F3.2'!H160</f>
        <v>0.81241198188927333</v>
      </c>
      <c r="T134" s="732">
        <f>+'F3.2'!I160</f>
        <v>0.83301086808652147</v>
      </c>
      <c r="U134" s="732">
        <f>+'F3.2'!J160</f>
        <v>0.6801698886936145</v>
      </c>
      <c r="V134" s="732">
        <f>+'F3.2'!K160</f>
        <v>0.524412827461608</v>
      </c>
      <c r="W134" s="732">
        <f>+'F3.2'!L160</f>
        <v>0.47603526035260352</v>
      </c>
      <c r="X134" s="732">
        <f>+'F3.2'!M160</f>
        <v>0.43582957957957957</v>
      </c>
      <c r="Y134" s="732">
        <f>+'F3.2'!N160</f>
        <v>0.40701784488675358</v>
      </c>
      <c r="Z134" s="732">
        <f>+'F3.2'!O160</f>
        <v>0.40701784488675358</v>
      </c>
    </row>
    <row r="135" spans="3:26" ht="26.25" x14ac:dyDescent="0.35">
      <c r="C135" s="1594" t="s">
        <v>349</v>
      </c>
      <c r="D135" s="1416" t="s">
        <v>1644</v>
      </c>
      <c r="E135" s="732">
        <f>+E134</f>
        <v>0.13694136941369414</v>
      </c>
      <c r="F135" s="732">
        <f t="shared" ref="F135:Z135" si="8">+F134</f>
        <v>0.19786659193016695</v>
      </c>
      <c r="G135" s="732">
        <f t="shared" si="8"/>
        <v>0.16744395834679496</v>
      </c>
      <c r="H135" s="732">
        <f t="shared" si="8"/>
        <v>0.18758801811072673</v>
      </c>
      <c r="I135" s="732">
        <f t="shared" si="8"/>
        <v>0.16698913191347856</v>
      </c>
      <c r="J135" s="732">
        <f t="shared" si="8"/>
        <v>0.31983011130638545</v>
      </c>
      <c r="K135" s="732">
        <f t="shared" si="8"/>
        <v>0.47558717253839206</v>
      </c>
      <c r="L135" s="732">
        <f t="shared" si="8"/>
        <v>0.52396473964739643</v>
      </c>
      <c r="M135" s="732">
        <f t="shared" si="8"/>
        <v>0.56417042042042043</v>
      </c>
      <c r="N135" s="732">
        <f t="shared" si="8"/>
        <v>0.59298215511324637</v>
      </c>
      <c r="O135" s="732">
        <f t="shared" si="8"/>
        <v>0.59298215511324637</v>
      </c>
      <c r="P135" s="732">
        <f t="shared" si="8"/>
        <v>0.86305863058630583</v>
      </c>
      <c r="Q135" s="732">
        <f t="shared" si="8"/>
        <v>0.80213340806983302</v>
      </c>
      <c r="R135" s="732">
        <f t="shared" si="8"/>
        <v>0.83255604165320507</v>
      </c>
      <c r="S135" s="732">
        <f t="shared" si="8"/>
        <v>0.81241198188927333</v>
      </c>
      <c r="T135" s="732">
        <f t="shared" si="8"/>
        <v>0.83301086808652147</v>
      </c>
      <c r="U135" s="732">
        <f t="shared" si="8"/>
        <v>0.6801698886936145</v>
      </c>
      <c r="V135" s="732">
        <f t="shared" si="8"/>
        <v>0.524412827461608</v>
      </c>
      <c r="W135" s="732">
        <f t="shared" si="8"/>
        <v>0.47603526035260352</v>
      </c>
      <c r="X135" s="732">
        <f t="shared" si="8"/>
        <v>0.43582957957957957</v>
      </c>
      <c r="Y135" s="732">
        <f t="shared" si="8"/>
        <v>0.40701784488675358</v>
      </c>
      <c r="Z135" s="732">
        <f t="shared" si="8"/>
        <v>0.40701784488675358</v>
      </c>
    </row>
    <row r="136" spans="3:26" x14ac:dyDescent="0.35">
      <c r="C136" s="1594" t="s">
        <v>945</v>
      </c>
      <c r="D136" s="723"/>
      <c r="E136" s="724"/>
      <c r="F136" s="724"/>
      <c r="G136" s="724"/>
      <c r="H136" s="724"/>
      <c r="I136" s="724"/>
      <c r="J136" s="724"/>
      <c r="K136" s="724"/>
      <c r="L136" s="724"/>
      <c r="M136" s="724"/>
      <c r="N136" s="724"/>
      <c r="O136" s="724"/>
      <c r="P136" s="724"/>
      <c r="Q136" s="724"/>
      <c r="R136" s="724"/>
      <c r="S136" s="724"/>
      <c r="T136" s="724"/>
      <c r="U136" s="724"/>
      <c r="V136" s="724"/>
      <c r="W136" s="724"/>
      <c r="X136" s="724"/>
      <c r="Y136" s="724"/>
      <c r="Z136" s="724"/>
    </row>
    <row r="137" spans="3:26" x14ac:dyDescent="0.35">
      <c r="C137" s="1594" t="s">
        <v>1510</v>
      </c>
      <c r="D137" s="723" t="s">
        <v>1643</v>
      </c>
      <c r="E137" s="732">
        <f>+'FA Bifrucation'!D158</f>
        <v>0.62165859375576393</v>
      </c>
      <c r="F137" s="732">
        <f>+'FA Bifrucation'!E158</f>
        <v>0.58073509166597193</v>
      </c>
      <c r="G137" s="732">
        <f>+'FA Bifrucation'!F158</f>
        <v>0.58043905349901237</v>
      </c>
      <c r="H137" s="732">
        <f>+'FA Bifrucation'!G158</f>
        <v>0.58045520153661223</v>
      </c>
      <c r="I137" s="732">
        <f>+'FA Bifrucation'!H158</f>
        <v>0.58087108376748664</v>
      </c>
      <c r="J137" s="732">
        <f>+'FA Bifrucation'!I158</f>
        <v>0.58091333348900021</v>
      </c>
      <c r="K137" s="732">
        <f>+'FA Bifrucation'!J158</f>
        <v>0.58091333348900021</v>
      </c>
      <c r="L137" s="732">
        <f>+'FA Bifrucation'!K158</f>
        <v>0.58091333348900021</v>
      </c>
      <c r="M137" s="732">
        <f>+'FA Bifrucation'!L158</f>
        <v>0.58091333348900021</v>
      </c>
      <c r="N137" s="732">
        <f>+'FA Bifrucation'!M158</f>
        <v>0.58091333348900021</v>
      </c>
      <c r="O137" s="732">
        <f>+'FA Bifrucation'!N158</f>
        <v>0.58091333348900021</v>
      </c>
      <c r="P137" s="732">
        <f>+'FA Bifrucation'!O158</f>
        <v>0.37834140624423596</v>
      </c>
      <c r="Q137" s="732">
        <f>+'FA Bifrucation'!P158</f>
        <v>0.41926490833402824</v>
      </c>
      <c r="R137" s="732">
        <f>+'FA Bifrucation'!Q158</f>
        <v>0.41956094650098763</v>
      </c>
      <c r="S137" s="732">
        <f>+'FA Bifrucation'!R158</f>
        <v>0.41954479846338771</v>
      </c>
      <c r="T137" s="732">
        <f>+'FA Bifrucation'!S158</f>
        <v>0.41912891623251319</v>
      </c>
      <c r="U137" s="732">
        <f>+'FA Bifrucation'!T158</f>
        <v>0.41908666651099974</v>
      </c>
      <c r="V137" s="732">
        <f>+'FA Bifrucation'!U158</f>
        <v>0.41908666651099974</v>
      </c>
      <c r="W137" s="732">
        <f>+'FA Bifrucation'!V158</f>
        <v>0.41908666651099974</v>
      </c>
      <c r="X137" s="732">
        <f>+'FA Bifrucation'!W158</f>
        <v>0.41908666651099974</v>
      </c>
      <c r="Y137" s="732">
        <f>+'FA Bifrucation'!X158</f>
        <v>0.41908666651099974</v>
      </c>
      <c r="Z137" s="732">
        <f>+'FA Bifrucation'!Y158</f>
        <v>0.41908666651099974</v>
      </c>
    </row>
    <row r="138" spans="3:26" x14ac:dyDescent="0.35">
      <c r="C138" s="1594" t="s">
        <v>986</v>
      </c>
      <c r="D138" s="723" t="s">
        <v>1643</v>
      </c>
      <c r="E138" s="732">
        <f>+'FA Bifrucation'!D159</f>
        <v>0.16941551605327762</v>
      </c>
      <c r="F138" s="732">
        <f>+'FA Bifrucation'!E159</f>
        <v>0.17268163306178691</v>
      </c>
      <c r="G138" s="732">
        <f>+'FA Bifrucation'!F159</f>
        <v>0.15530980885699266</v>
      </c>
      <c r="H138" s="732">
        <f>+'FA Bifrucation'!G159</f>
        <v>0.10967302204378636</v>
      </c>
      <c r="I138" s="732">
        <f>+'FA Bifrucation'!H159</f>
        <v>0.11884358070736921</v>
      </c>
      <c r="J138" s="732">
        <f>+'FA Bifrucation'!I159</f>
        <v>0.12134813821851946</v>
      </c>
      <c r="K138" s="732">
        <f>+'FA Bifrucation'!J159</f>
        <v>0.12134813821851946</v>
      </c>
      <c r="L138" s="732">
        <f>+'FA Bifrucation'!K159</f>
        <v>0.12134813821851946</v>
      </c>
      <c r="M138" s="732">
        <f>+'FA Bifrucation'!L159</f>
        <v>0.12134813821851946</v>
      </c>
      <c r="N138" s="732">
        <f>+'FA Bifrucation'!M159</f>
        <v>0.12134813821851946</v>
      </c>
      <c r="O138" s="732">
        <f>+'FA Bifrucation'!N159</f>
        <v>0.12134813821851946</v>
      </c>
      <c r="P138" s="732">
        <f>+'FA Bifrucation'!O159</f>
        <v>0.83058448394672246</v>
      </c>
      <c r="Q138" s="732">
        <f>+'FA Bifrucation'!P159</f>
        <v>0.82731836693821303</v>
      </c>
      <c r="R138" s="732">
        <f>+'FA Bifrucation'!Q159</f>
        <v>0.84469019114300725</v>
      </c>
      <c r="S138" s="732">
        <f>+'FA Bifrucation'!R159</f>
        <v>0.89032697795621341</v>
      </c>
      <c r="T138" s="732">
        <f>+'FA Bifrucation'!S159</f>
        <v>0.88115641929263067</v>
      </c>
      <c r="U138" s="732">
        <f>+'FA Bifrucation'!T159</f>
        <v>0.87865186178148069</v>
      </c>
      <c r="V138" s="732">
        <f>+'FA Bifrucation'!U159</f>
        <v>0.87865186178148069</v>
      </c>
      <c r="W138" s="732">
        <f>+'FA Bifrucation'!V159</f>
        <v>0.87865186178148069</v>
      </c>
      <c r="X138" s="732">
        <f>+'FA Bifrucation'!W159</f>
        <v>0.87865186178148069</v>
      </c>
      <c r="Y138" s="732">
        <f>+'FA Bifrucation'!X159</f>
        <v>0.87865186178148069</v>
      </c>
      <c r="Z138" s="732">
        <f>+'FA Bifrucation'!Y159</f>
        <v>0.87865186178148069</v>
      </c>
    </row>
    <row r="139" spans="3:26" x14ac:dyDescent="0.35">
      <c r="C139" s="1595" t="s">
        <v>137</v>
      </c>
      <c r="D139" s="723"/>
      <c r="E139" s="724"/>
      <c r="F139" s="724"/>
      <c r="G139" s="724"/>
      <c r="H139" s="724"/>
      <c r="I139" s="724"/>
      <c r="J139" s="724"/>
      <c r="K139" s="724"/>
      <c r="L139" s="724"/>
      <c r="M139" s="724"/>
      <c r="N139" s="724"/>
      <c r="O139" s="724"/>
      <c r="P139" s="724"/>
      <c r="Q139" s="724"/>
      <c r="R139" s="724"/>
      <c r="S139" s="724"/>
      <c r="T139" s="724"/>
      <c r="U139" s="724"/>
      <c r="V139" s="724"/>
      <c r="W139" s="724"/>
      <c r="X139" s="724"/>
      <c r="Y139" s="724"/>
      <c r="Z139" s="724"/>
    </row>
    <row r="140" spans="3:26" x14ac:dyDescent="0.35">
      <c r="C140" s="1594" t="s">
        <v>1510</v>
      </c>
      <c r="D140" s="723" t="s">
        <v>1643</v>
      </c>
      <c r="E140" s="732">
        <f>+E137</f>
        <v>0.62165859375576393</v>
      </c>
      <c r="F140" s="732">
        <f t="shared" ref="F140:Z140" si="9">+F137</f>
        <v>0.58073509166597193</v>
      </c>
      <c r="G140" s="732">
        <f t="shared" si="9"/>
        <v>0.58043905349901237</v>
      </c>
      <c r="H140" s="732">
        <f t="shared" si="9"/>
        <v>0.58045520153661223</v>
      </c>
      <c r="I140" s="732">
        <f t="shared" si="9"/>
        <v>0.58087108376748664</v>
      </c>
      <c r="J140" s="732">
        <f t="shared" si="9"/>
        <v>0.58091333348900021</v>
      </c>
      <c r="K140" s="732">
        <f t="shared" si="9"/>
        <v>0.58091333348900021</v>
      </c>
      <c r="L140" s="732">
        <f t="shared" si="9"/>
        <v>0.58091333348900021</v>
      </c>
      <c r="M140" s="732">
        <f t="shared" si="9"/>
        <v>0.58091333348900021</v>
      </c>
      <c r="N140" s="732">
        <f t="shared" si="9"/>
        <v>0.58091333348900021</v>
      </c>
      <c r="O140" s="732">
        <f t="shared" si="9"/>
        <v>0.58091333348900021</v>
      </c>
      <c r="P140" s="732">
        <f t="shared" si="9"/>
        <v>0.37834140624423596</v>
      </c>
      <c r="Q140" s="732">
        <f t="shared" si="9"/>
        <v>0.41926490833402824</v>
      </c>
      <c r="R140" s="732">
        <f t="shared" si="9"/>
        <v>0.41956094650098763</v>
      </c>
      <c r="S140" s="732">
        <f t="shared" si="9"/>
        <v>0.41954479846338771</v>
      </c>
      <c r="T140" s="732">
        <f t="shared" si="9"/>
        <v>0.41912891623251319</v>
      </c>
      <c r="U140" s="732">
        <f t="shared" si="9"/>
        <v>0.41908666651099974</v>
      </c>
      <c r="V140" s="732">
        <f t="shared" si="9"/>
        <v>0.41908666651099974</v>
      </c>
      <c r="W140" s="732">
        <f t="shared" si="9"/>
        <v>0.41908666651099974</v>
      </c>
      <c r="X140" s="732">
        <f t="shared" si="9"/>
        <v>0.41908666651099974</v>
      </c>
      <c r="Y140" s="732">
        <f t="shared" si="9"/>
        <v>0.41908666651099974</v>
      </c>
      <c r="Z140" s="732">
        <f t="shared" si="9"/>
        <v>0.41908666651099974</v>
      </c>
    </row>
    <row r="141" spans="3:26" x14ac:dyDescent="0.35">
      <c r="C141" s="1594" t="s">
        <v>986</v>
      </c>
      <c r="D141" s="723" t="s">
        <v>1643</v>
      </c>
      <c r="E141" s="732">
        <f t="shared" ref="E141:Z141" si="10">+E138</f>
        <v>0.16941551605327762</v>
      </c>
      <c r="F141" s="732">
        <f t="shared" si="10"/>
        <v>0.17268163306178691</v>
      </c>
      <c r="G141" s="732">
        <f t="shared" si="10"/>
        <v>0.15530980885699266</v>
      </c>
      <c r="H141" s="732">
        <f t="shared" si="10"/>
        <v>0.10967302204378636</v>
      </c>
      <c r="I141" s="732">
        <f t="shared" si="10"/>
        <v>0.11884358070736921</v>
      </c>
      <c r="J141" s="732">
        <f t="shared" si="10"/>
        <v>0.12134813821851946</v>
      </c>
      <c r="K141" s="732">
        <f t="shared" si="10"/>
        <v>0.12134813821851946</v>
      </c>
      <c r="L141" s="732">
        <f t="shared" si="10"/>
        <v>0.12134813821851946</v>
      </c>
      <c r="M141" s="732">
        <f t="shared" si="10"/>
        <v>0.12134813821851946</v>
      </c>
      <c r="N141" s="732">
        <f t="shared" si="10"/>
        <v>0.12134813821851946</v>
      </c>
      <c r="O141" s="732">
        <f t="shared" si="10"/>
        <v>0.12134813821851946</v>
      </c>
      <c r="P141" s="732">
        <f t="shared" si="10"/>
        <v>0.83058448394672246</v>
      </c>
      <c r="Q141" s="732">
        <f t="shared" si="10"/>
        <v>0.82731836693821303</v>
      </c>
      <c r="R141" s="732">
        <f t="shared" si="10"/>
        <v>0.84469019114300725</v>
      </c>
      <c r="S141" s="732">
        <f t="shared" si="10"/>
        <v>0.89032697795621341</v>
      </c>
      <c r="T141" s="732">
        <f t="shared" si="10"/>
        <v>0.88115641929263067</v>
      </c>
      <c r="U141" s="732">
        <f t="shared" si="10"/>
        <v>0.87865186178148069</v>
      </c>
      <c r="V141" s="732">
        <f t="shared" si="10"/>
        <v>0.87865186178148069</v>
      </c>
      <c r="W141" s="732">
        <f t="shared" si="10"/>
        <v>0.87865186178148069</v>
      </c>
      <c r="X141" s="732">
        <f t="shared" si="10"/>
        <v>0.87865186178148069</v>
      </c>
      <c r="Y141" s="732">
        <f t="shared" si="10"/>
        <v>0.87865186178148069</v>
      </c>
      <c r="Z141" s="732">
        <f t="shared" si="10"/>
        <v>0.87865186178148069</v>
      </c>
    </row>
    <row r="142" spans="3:26" x14ac:dyDescent="0.35">
      <c r="C142" s="1593" t="s">
        <v>52</v>
      </c>
      <c r="D142" s="723"/>
      <c r="E142" s="724"/>
      <c r="F142" s="724"/>
      <c r="G142" s="724"/>
      <c r="H142" s="724"/>
      <c r="I142" s="724"/>
      <c r="J142" s="724"/>
      <c r="K142" s="724"/>
      <c r="L142" s="724"/>
      <c r="M142" s="724"/>
      <c r="N142" s="724"/>
      <c r="O142" s="724"/>
      <c r="P142" s="724"/>
      <c r="Q142" s="724"/>
      <c r="R142" s="724"/>
      <c r="S142" s="724"/>
      <c r="T142" s="724"/>
      <c r="U142" s="724"/>
      <c r="V142" s="724"/>
      <c r="W142" s="724"/>
      <c r="X142" s="724"/>
      <c r="Y142" s="724"/>
      <c r="Z142" s="724"/>
    </row>
    <row r="143" spans="3:26" x14ac:dyDescent="0.35">
      <c r="C143" s="1594" t="s">
        <v>1510</v>
      </c>
      <c r="D143" s="723" t="s">
        <v>1643</v>
      </c>
      <c r="E143" s="732">
        <f>+E140</f>
        <v>0.62165859375576393</v>
      </c>
      <c r="F143" s="732">
        <f t="shared" ref="F143:Z143" si="11">+F140</f>
        <v>0.58073509166597193</v>
      </c>
      <c r="G143" s="732">
        <f t="shared" si="11"/>
        <v>0.58043905349901237</v>
      </c>
      <c r="H143" s="732">
        <f t="shared" si="11"/>
        <v>0.58045520153661223</v>
      </c>
      <c r="I143" s="732">
        <f t="shared" si="11"/>
        <v>0.58087108376748664</v>
      </c>
      <c r="J143" s="732">
        <f t="shared" si="11"/>
        <v>0.58091333348900021</v>
      </c>
      <c r="K143" s="732">
        <f t="shared" si="11"/>
        <v>0.58091333348900021</v>
      </c>
      <c r="L143" s="732">
        <f t="shared" si="11"/>
        <v>0.58091333348900021</v>
      </c>
      <c r="M143" s="732">
        <f t="shared" si="11"/>
        <v>0.58091333348900021</v>
      </c>
      <c r="N143" s="732">
        <f t="shared" si="11"/>
        <v>0.58091333348900021</v>
      </c>
      <c r="O143" s="732">
        <f t="shared" si="11"/>
        <v>0.58091333348900021</v>
      </c>
      <c r="P143" s="732">
        <f t="shared" si="11"/>
        <v>0.37834140624423596</v>
      </c>
      <c r="Q143" s="732">
        <f t="shared" si="11"/>
        <v>0.41926490833402824</v>
      </c>
      <c r="R143" s="732">
        <f t="shared" si="11"/>
        <v>0.41956094650098763</v>
      </c>
      <c r="S143" s="732">
        <f t="shared" si="11"/>
        <v>0.41954479846338771</v>
      </c>
      <c r="T143" s="732">
        <f t="shared" si="11"/>
        <v>0.41912891623251319</v>
      </c>
      <c r="U143" s="732">
        <f t="shared" si="11"/>
        <v>0.41908666651099974</v>
      </c>
      <c r="V143" s="732">
        <f t="shared" si="11"/>
        <v>0.41908666651099974</v>
      </c>
      <c r="W143" s="732">
        <f t="shared" si="11"/>
        <v>0.41908666651099974</v>
      </c>
      <c r="X143" s="732">
        <f t="shared" si="11"/>
        <v>0.41908666651099974</v>
      </c>
      <c r="Y143" s="732">
        <f t="shared" si="11"/>
        <v>0.41908666651099974</v>
      </c>
      <c r="Z143" s="732">
        <f t="shared" si="11"/>
        <v>0.41908666651099974</v>
      </c>
    </row>
    <row r="144" spans="3:26" x14ac:dyDescent="0.35">
      <c r="C144" s="1594" t="s">
        <v>986</v>
      </c>
      <c r="D144" s="723" t="s">
        <v>1643</v>
      </c>
      <c r="E144" s="732">
        <f t="shared" ref="E144:Z144" si="12">+E141</f>
        <v>0.16941551605327762</v>
      </c>
      <c r="F144" s="732">
        <f t="shared" si="12"/>
        <v>0.17268163306178691</v>
      </c>
      <c r="G144" s="732">
        <f t="shared" si="12"/>
        <v>0.15530980885699266</v>
      </c>
      <c r="H144" s="732">
        <f t="shared" si="12"/>
        <v>0.10967302204378636</v>
      </c>
      <c r="I144" s="732">
        <f t="shared" si="12"/>
        <v>0.11884358070736921</v>
      </c>
      <c r="J144" s="732">
        <f t="shared" si="12"/>
        <v>0.12134813821851946</v>
      </c>
      <c r="K144" s="732">
        <f t="shared" si="12"/>
        <v>0.12134813821851946</v>
      </c>
      <c r="L144" s="732">
        <f t="shared" si="12"/>
        <v>0.12134813821851946</v>
      </c>
      <c r="M144" s="732">
        <f t="shared" si="12"/>
        <v>0.12134813821851946</v>
      </c>
      <c r="N144" s="732">
        <f t="shared" si="12"/>
        <v>0.12134813821851946</v>
      </c>
      <c r="O144" s="732">
        <f t="shared" si="12"/>
        <v>0.12134813821851946</v>
      </c>
      <c r="P144" s="732">
        <f t="shared" si="12"/>
        <v>0.83058448394672246</v>
      </c>
      <c r="Q144" s="732">
        <f t="shared" si="12"/>
        <v>0.82731836693821303</v>
      </c>
      <c r="R144" s="732">
        <f t="shared" si="12"/>
        <v>0.84469019114300725</v>
      </c>
      <c r="S144" s="732">
        <f t="shared" si="12"/>
        <v>0.89032697795621341</v>
      </c>
      <c r="T144" s="732">
        <f t="shared" si="12"/>
        <v>0.88115641929263067</v>
      </c>
      <c r="U144" s="732">
        <f t="shared" si="12"/>
        <v>0.87865186178148069</v>
      </c>
      <c r="V144" s="732">
        <f t="shared" si="12"/>
        <v>0.87865186178148069</v>
      </c>
      <c r="W144" s="732">
        <f t="shared" si="12"/>
        <v>0.87865186178148069</v>
      </c>
      <c r="X144" s="732">
        <f t="shared" si="12"/>
        <v>0.87865186178148069</v>
      </c>
      <c r="Y144" s="732">
        <f t="shared" si="12"/>
        <v>0.87865186178148069</v>
      </c>
      <c r="Z144" s="732">
        <f t="shared" si="12"/>
        <v>0.87865186178148069</v>
      </c>
    </row>
    <row r="145" spans="3:26" x14ac:dyDescent="0.35">
      <c r="C145" s="1595" t="s">
        <v>139</v>
      </c>
      <c r="D145" s="723" t="s">
        <v>818</v>
      </c>
      <c r="E145" s="732">
        <f>+'F1.4'!E77</f>
        <v>0.21628658722342875</v>
      </c>
      <c r="F145" s="732">
        <f>+'F1.4'!F77</f>
        <v>0.69388315628925712</v>
      </c>
      <c r="G145" s="732">
        <f>+'F1.4'!G77</f>
        <v>0.78765599875066816</v>
      </c>
      <c r="H145" s="732">
        <f>+'F1.4'!H77</f>
        <v>0.83328715751810034</v>
      </c>
      <c r="I145" s="732">
        <f>+'F1.4'!I77</f>
        <v>0.85745719291614619</v>
      </c>
      <c r="J145" s="732">
        <f>+'F1.4'!J77</f>
        <v>0.91034353329707107</v>
      </c>
      <c r="K145" s="732">
        <f>+'F1.4'!K77</f>
        <v>0.93072539733919313</v>
      </c>
      <c r="L145" s="732">
        <f>+'F1.4'!L77</f>
        <v>0.93333730561743899</v>
      </c>
      <c r="M145" s="732">
        <f>+'F1.4'!M77</f>
        <v>0.94590931101440667</v>
      </c>
      <c r="N145" s="732">
        <f>+'F1.4'!N77</f>
        <v>0.94049397366719711</v>
      </c>
      <c r="O145" s="732">
        <f>+'F1.4'!O77</f>
        <v>0.94495026792391279</v>
      </c>
      <c r="P145" s="732">
        <f>+'F1.4'!E78</f>
        <v>0.78371341277657136</v>
      </c>
      <c r="Q145" s="732">
        <f>+'F1.4'!F78</f>
        <v>0.30611684371074266</v>
      </c>
      <c r="R145" s="732">
        <f>+'F1.4'!G78</f>
        <v>0.21234400124933192</v>
      </c>
      <c r="S145" s="732">
        <f>+'F1.4'!H78</f>
        <v>0.16671284248189971</v>
      </c>
      <c r="T145" s="732">
        <f>+'F1.4'!I78</f>
        <v>0.14254280708385361</v>
      </c>
      <c r="U145" s="732">
        <f>+'F1.4'!J78</f>
        <v>8.9656466702928844E-2</v>
      </c>
      <c r="V145" s="732">
        <f>+'F1.4'!K78</f>
        <v>6.927460266080665E-2</v>
      </c>
      <c r="W145" s="732">
        <f>+'F1.4'!L78</f>
        <v>6.6662694382560811E-2</v>
      </c>
      <c r="X145" s="732">
        <f>+'F1.4'!M78</f>
        <v>5.4090688985593278E-2</v>
      </c>
      <c r="Y145" s="732">
        <f>+'F1.4'!N78</f>
        <v>5.9506026332802706E-2</v>
      </c>
      <c r="Z145" s="732">
        <f>+'F1.4'!O78</f>
        <v>5.5049732076087446E-2</v>
      </c>
    </row>
    <row r="146" spans="3:26" x14ac:dyDescent="0.35">
      <c r="C146" s="1595" t="s">
        <v>152</v>
      </c>
      <c r="D146" s="723" t="s">
        <v>818</v>
      </c>
      <c r="E146" s="732">
        <f>+E145</f>
        <v>0.21628658722342875</v>
      </c>
      <c r="F146" s="732">
        <f t="shared" ref="F146:Z147" si="13">+F145</f>
        <v>0.69388315628925712</v>
      </c>
      <c r="G146" s="732">
        <f t="shared" si="13"/>
        <v>0.78765599875066816</v>
      </c>
      <c r="H146" s="732">
        <f t="shared" si="13"/>
        <v>0.83328715751810034</v>
      </c>
      <c r="I146" s="732">
        <f t="shared" si="13"/>
        <v>0.85745719291614619</v>
      </c>
      <c r="J146" s="732">
        <f t="shared" si="13"/>
        <v>0.91034353329707107</v>
      </c>
      <c r="K146" s="732">
        <f t="shared" si="13"/>
        <v>0.93072539733919313</v>
      </c>
      <c r="L146" s="732">
        <f t="shared" si="13"/>
        <v>0.93333730561743899</v>
      </c>
      <c r="M146" s="732">
        <f t="shared" si="13"/>
        <v>0.94590931101440667</v>
      </c>
      <c r="N146" s="732">
        <f t="shared" si="13"/>
        <v>0.94049397366719711</v>
      </c>
      <c r="O146" s="732">
        <f t="shared" si="13"/>
        <v>0.94495026792391279</v>
      </c>
      <c r="P146" s="732">
        <f t="shared" si="13"/>
        <v>0.78371341277657136</v>
      </c>
      <c r="Q146" s="732">
        <f t="shared" si="13"/>
        <v>0.30611684371074266</v>
      </c>
      <c r="R146" s="732">
        <f t="shared" si="13"/>
        <v>0.21234400124933192</v>
      </c>
      <c r="S146" s="732">
        <f t="shared" si="13"/>
        <v>0.16671284248189971</v>
      </c>
      <c r="T146" s="732">
        <f t="shared" si="13"/>
        <v>0.14254280708385361</v>
      </c>
      <c r="U146" s="732">
        <f t="shared" si="13"/>
        <v>8.9656466702928844E-2</v>
      </c>
      <c r="V146" s="732">
        <f t="shared" si="13"/>
        <v>6.927460266080665E-2</v>
      </c>
      <c r="W146" s="732">
        <f t="shared" si="13"/>
        <v>6.6662694382560811E-2</v>
      </c>
      <c r="X146" s="732">
        <f t="shared" si="13"/>
        <v>5.4090688985593278E-2</v>
      </c>
      <c r="Y146" s="732">
        <f t="shared" si="13"/>
        <v>5.9506026332802706E-2</v>
      </c>
      <c r="Z146" s="732">
        <f t="shared" si="13"/>
        <v>5.5049732076087446E-2</v>
      </c>
    </row>
    <row r="147" spans="3:26" x14ac:dyDescent="0.35">
      <c r="C147" s="1595" t="s">
        <v>153</v>
      </c>
      <c r="D147" s="723" t="s">
        <v>818</v>
      </c>
      <c r="E147" s="732">
        <f>+E146</f>
        <v>0.21628658722342875</v>
      </c>
      <c r="F147" s="732">
        <f t="shared" si="13"/>
        <v>0.69388315628925712</v>
      </c>
      <c r="G147" s="732">
        <f t="shared" si="13"/>
        <v>0.78765599875066816</v>
      </c>
      <c r="H147" s="732">
        <f t="shared" si="13"/>
        <v>0.83328715751810034</v>
      </c>
      <c r="I147" s="732">
        <f t="shared" si="13"/>
        <v>0.85745719291614619</v>
      </c>
      <c r="J147" s="732">
        <f t="shared" si="13"/>
        <v>0.91034353329707107</v>
      </c>
      <c r="K147" s="732">
        <f t="shared" si="13"/>
        <v>0.93072539733919313</v>
      </c>
      <c r="L147" s="732">
        <f t="shared" si="13"/>
        <v>0.93333730561743899</v>
      </c>
      <c r="M147" s="732">
        <f t="shared" si="13"/>
        <v>0.94590931101440667</v>
      </c>
      <c r="N147" s="732">
        <f t="shared" si="13"/>
        <v>0.94049397366719711</v>
      </c>
      <c r="O147" s="732">
        <f t="shared" si="13"/>
        <v>0.94495026792391279</v>
      </c>
      <c r="P147" s="732">
        <f t="shared" si="13"/>
        <v>0.78371341277657136</v>
      </c>
      <c r="Q147" s="732">
        <f t="shared" si="13"/>
        <v>0.30611684371074266</v>
      </c>
      <c r="R147" s="732">
        <f t="shared" si="13"/>
        <v>0.21234400124933192</v>
      </c>
      <c r="S147" s="732">
        <f t="shared" si="13"/>
        <v>0.16671284248189971</v>
      </c>
      <c r="T147" s="732">
        <f t="shared" si="13"/>
        <v>0.14254280708385361</v>
      </c>
      <c r="U147" s="732">
        <f t="shared" si="13"/>
        <v>8.9656466702928844E-2</v>
      </c>
      <c r="V147" s="732">
        <f t="shared" si="13"/>
        <v>6.927460266080665E-2</v>
      </c>
      <c r="W147" s="732">
        <f t="shared" si="13"/>
        <v>6.6662694382560811E-2</v>
      </c>
      <c r="X147" s="732">
        <f t="shared" si="13"/>
        <v>5.4090688985593278E-2</v>
      </c>
      <c r="Y147" s="732">
        <f t="shared" si="13"/>
        <v>5.9506026332802706E-2</v>
      </c>
      <c r="Z147" s="732">
        <f t="shared" si="13"/>
        <v>5.5049732076087446E-2</v>
      </c>
    </row>
    <row r="148" spans="3:26" x14ac:dyDescent="0.35">
      <c r="C148" s="1595" t="s">
        <v>141</v>
      </c>
      <c r="D148" s="723" t="s">
        <v>1643</v>
      </c>
      <c r="E148" s="724"/>
      <c r="F148" s="724"/>
      <c r="G148" s="724"/>
      <c r="H148" s="724"/>
      <c r="I148" s="724"/>
      <c r="J148" s="724"/>
      <c r="K148" s="724"/>
      <c r="L148" s="724"/>
      <c r="M148" s="724"/>
      <c r="N148" s="724"/>
      <c r="O148" s="724"/>
      <c r="P148" s="724"/>
      <c r="Q148" s="724"/>
      <c r="R148" s="724"/>
      <c r="S148" s="724"/>
      <c r="T148" s="724"/>
      <c r="U148" s="724"/>
      <c r="V148" s="724"/>
      <c r="W148" s="724"/>
      <c r="X148" s="724"/>
      <c r="Y148" s="724"/>
      <c r="Z148" s="724"/>
    </row>
    <row r="149" spans="3:26" x14ac:dyDescent="0.35">
      <c r="C149" s="1595" t="s">
        <v>154</v>
      </c>
      <c r="D149" s="723" t="s">
        <v>1640</v>
      </c>
      <c r="E149" s="732">
        <f>+E132</f>
        <v>0.21628658722342875</v>
      </c>
      <c r="F149" s="732">
        <f t="shared" ref="F149:Z149" si="14">+F132</f>
        <v>0.69388315628925712</v>
      </c>
      <c r="G149" s="732">
        <f t="shared" si="14"/>
        <v>0.78765599875066816</v>
      </c>
      <c r="H149" s="732">
        <f t="shared" si="14"/>
        <v>0.83328715751810034</v>
      </c>
      <c r="I149" s="732">
        <f t="shared" si="14"/>
        <v>0.85745719291614619</v>
      </c>
      <c r="J149" s="732">
        <f t="shared" si="14"/>
        <v>0.91034353329707107</v>
      </c>
      <c r="K149" s="732">
        <f t="shared" si="14"/>
        <v>0.93072539733919313</v>
      </c>
      <c r="L149" s="732">
        <f t="shared" si="14"/>
        <v>0.93333730561743888</v>
      </c>
      <c r="M149" s="732">
        <f t="shared" si="14"/>
        <v>0.94590931101440667</v>
      </c>
      <c r="N149" s="732">
        <f t="shared" si="14"/>
        <v>0.94049397366719711</v>
      </c>
      <c r="O149" s="732">
        <f t="shared" si="14"/>
        <v>0.94495026792391279</v>
      </c>
      <c r="P149" s="732">
        <f t="shared" si="14"/>
        <v>0.78371341277657136</v>
      </c>
      <c r="Q149" s="732">
        <f t="shared" si="14"/>
        <v>0.30611684371074266</v>
      </c>
      <c r="R149" s="732">
        <f t="shared" si="14"/>
        <v>0.21234400124933192</v>
      </c>
      <c r="S149" s="732">
        <f t="shared" si="14"/>
        <v>0.16671284248189971</v>
      </c>
      <c r="T149" s="732">
        <f t="shared" si="14"/>
        <v>0.14254280708385361</v>
      </c>
      <c r="U149" s="732">
        <f t="shared" si="14"/>
        <v>8.9656466702928844E-2</v>
      </c>
      <c r="V149" s="732">
        <f t="shared" si="14"/>
        <v>6.927460266080665E-2</v>
      </c>
      <c r="W149" s="732">
        <f t="shared" si="14"/>
        <v>6.6662694382560811E-2</v>
      </c>
      <c r="X149" s="732">
        <f t="shared" si="14"/>
        <v>5.4090688985593278E-2</v>
      </c>
      <c r="Y149" s="732">
        <f t="shared" si="14"/>
        <v>5.9506026332802706E-2</v>
      </c>
      <c r="Z149" s="732">
        <f t="shared" si="14"/>
        <v>5.5049732076087446E-2</v>
      </c>
    </row>
    <row r="150" spans="3:26" x14ac:dyDescent="0.35">
      <c r="C150" s="1595" t="s">
        <v>155</v>
      </c>
      <c r="D150" s="723" t="s">
        <v>1640</v>
      </c>
      <c r="E150" s="732">
        <f>+E149</f>
        <v>0.21628658722342875</v>
      </c>
      <c r="F150" s="732">
        <f t="shared" ref="F150:Z151" si="15">+F149</f>
        <v>0.69388315628925712</v>
      </c>
      <c r="G150" s="732">
        <f t="shared" si="15"/>
        <v>0.78765599875066816</v>
      </c>
      <c r="H150" s="732">
        <f t="shared" si="15"/>
        <v>0.83328715751810034</v>
      </c>
      <c r="I150" s="732">
        <f t="shared" si="15"/>
        <v>0.85745719291614619</v>
      </c>
      <c r="J150" s="732">
        <f t="shared" si="15"/>
        <v>0.91034353329707107</v>
      </c>
      <c r="K150" s="732">
        <f t="shared" si="15"/>
        <v>0.93072539733919313</v>
      </c>
      <c r="L150" s="732">
        <f t="shared" si="15"/>
        <v>0.93333730561743888</v>
      </c>
      <c r="M150" s="732">
        <f t="shared" si="15"/>
        <v>0.94590931101440667</v>
      </c>
      <c r="N150" s="732">
        <f t="shared" si="15"/>
        <v>0.94049397366719711</v>
      </c>
      <c r="O150" s="732">
        <f t="shared" si="15"/>
        <v>0.94495026792391279</v>
      </c>
      <c r="P150" s="732">
        <f t="shared" si="15"/>
        <v>0.78371341277657136</v>
      </c>
      <c r="Q150" s="732">
        <f t="shared" si="15"/>
        <v>0.30611684371074266</v>
      </c>
      <c r="R150" s="732">
        <f t="shared" si="15"/>
        <v>0.21234400124933192</v>
      </c>
      <c r="S150" s="732">
        <f t="shared" si="15"/>
        <v>0.16671284248189971</v>
      </c>
      <c r="T150" s="732">
        <f t="shared" si="15"/>
        <v>0.14254280708385361</v>
      </c>
      <c r="U150" s="732">
        <f t="shared" si="15"/>
        <v>8.9656466702928844E-2</v>
      </c>
      <c r="V150" s="732">
        <f t="shared" si="15"/>
        <v>6.927460266080665E-2</v>
      </c>
      <c r="W150" s="732">
        <f t="shared" si="15"/>
        <v>6.6662694382560811E-2</v>
      </c>
      <c r="X150" s="732">
        <f t="shared" si="15"/>
        <v>5.4090688985593278E-2</v>
      </c>
      <c r="Y150" s="732">
        <f t="shared" si="15"/>
        <v>5.9506026332802706E-2</v>
      </c>
      <c r="Z150" s="732">
        <f t="shared" si="15"/>
        <v>5.5049732076087446E-2</v>
      </c>
    </row>
    <row r="151" spans="3:26" x14ac:dyDescent="0.35">
      <c r="C151" s="1595" t="s">
        <v>1239</v>
      </c>
      <c r="D151" s="723" t="s">
        <v>1640</v>
      </c>
      <c r="E151" s="732">
        <f>+E150</f>
        <v>0.21628658722342875</v>
      </c>
      <c r="F151" s="732">
        <f t="shared" si="15"/>
        <v>0.69388315628925712</v>
      </c>
      <c r="G151" s="732">
        <f t="shared" si="15"/>
        <v>0.78765599875066816</v>
      </c>
      <c r="H151" s="732">
        <f t="shared" si="15"/>
        <v>0.83328715751810034</v>
      </c>
      <c r="I151" s="732">
        <f t="shared" si="15"/>
        <v>0.85745719291614619</v>
      </c>
      <c r="J151" s="732">
        <f t="shared" si="15"/>
        <v>0.91034353329707107</v>
      </c>
      <c r="K151" s="732">
        <f t="shared" si="15"/>
        <v>0.93072539733919313</v>
      </c>
      <c r="L151" s="732">
        <f t="shared" si="15"/>
        <v>0.93333730561743888</v>
      </c>
      <c r="M151" s="732">
        <f t="shared" si="15"/>
        <v>0.94590931101440667</v>
      </c>
      <c r="N151" s="732">
        <f t="shared" si="15"/>
        <v>0.94049397366719711</v>
      </c>
      <c r="O151" s="732">
        <f t="shared" si="15"/>
        <v>0.94495026792391279</v>
      </c>
      <c r="P151" s="732">
        <f t="shared" si="15"/>
        <v>0.78371341277657136</v>
      </c>
      <c r="Q151" s="732">
        <f t="shared" si="15"/>
        <v>0.30611684371074266</v>
      </c>
      <c r="R151" s="732">
        <f t="shared" si="15"/>
        <v>0.21234400124933192</v>
      </c>
      <c r="S151" s="732">
        <f t="shared" si="15"/>
        <v>0.16671284248189971</v>
      </c>
      <c r="T151" s="732">
        <f t="shared" si="15"/>
        <v>0.14254280708385361</v>
      </c>
      <c r="U151" s="732">
        <f t="shared" si="15"/>
        <v>8.9656466702928844E-2</v>
      </c>
      <c r="V151" s="732">
        <f t="shared" si="15"/>
        <v>6.927460266080665E-2</v>
      </c>
      <c r="W151" s="732">
        <f t="shared" si="15"/>
        <v>6.6662694382560811E-2</v>
      </c>
      <c r="X151" s="732">
        <f t="shared" si="15"/>
        <v>5.4090688985593278E-2</v>
      </c>
      <c r="Y151" s="732">
        <f t="shared" si="15"/>
        <v>5.9506026332802706E-2</v>
      </c>
      <c r="Z151" s="732">
        <f t="shared" si="15"/>
        <v>5.5049732076087446E-2</v>
      </c>
    </row>
    <row r="152" spans="3:26" x14ac:dyDescent="0.35">
      <c r="C152" s="1595" t="s">
        <v>1354</v>
      </c>
      <c r="D152" s="723" t="s">
        <v>834</v>
      </c>
      <c r="E152" s="732">
        <f>+'F1.4'!E85</f>
        <v>0.20203203868178332</v>
      </c>
      <c r="F152" s="732">
        <f>+'F1.4'!F85</f>
        <v>0.69093605050433571</v>
      </c>
      <c r="G152" s="732">
        <f>+'F1.4'!G85</f>
        <v>0.67983896377445663</v>
      </c>
      <c r="H152" s="732">
        <f>+'F1.4'!H85</f>
        <v>0.75116076602492199</v>
      </c>
      <c r="I152" s="732">
        <f>+'F1.4'!I85</f>
        <v>0.79061119423535753</v>
      </c>
      <c r="J152" s="732">
        <f>+'F1.4'!J85</f>
        <v>0.868531607980497</v>
      </c>
      <c r="K152" s="732">
        <f>+'F1.4'!K85</f>
        <v>0.89931805182235836</v>
      </c>
      <c r="L152" s="732">
        <f ca="1">+'F1.4'!L85</f>
        <v>0.89554479431020839</v>
      </c>
      <c r="M152" s="732">
        <f ca="1">+'F1.4'!M85</f>
        <v>0.91159557536819869</v>
      </c>
      <c r="N152" s="732">
        <f ca="1">+'F1.4'!N85</f>
        <v>0.90867933184654837</v>
      </c>
      <c r="O152" s="732">
        <f ca="1">+'F1.4'!O85</f>
        <v>0.91378156591917514</v>
      </c>
      <c r="P152" s="732">
        <f>+'F1.4'!E86</f>
        <v>0.79796796131821679</v>
      </c>
      <c r="Q152" s="732">
        <f>+'F1.4'!F86</f>
        <v>0.30906394949566435</v>
      </c>
      <c r="R152" s="732">
        <f>+'F1.4'!G86</f>
        <v>0.32016103622554337</v>
      </c>
      <c r="S152" s="732">
        <f>+'F1.4'!H86</f>
        <v>0.24883923397507793</v>
      </c>
      <c r="T152" s="732">
        <f>+'F1.4'!I86</f>
        <v>0.20938880576464247</v>
      </c>
      <c r="U152" s="732">
        <f>+'F1.4'!J86</f>
        <v>0.13146839201950306</v>
      </c>
      <c r="V152" s="732">
        <f>+'F1.4'!K86</f>
        <v>0.1006819481776416</v>
      </c>
      <c r="W152" s="732">
        <f ca="1">+'F1.4'!L86</f>
        <v>0.10445520568979162</v>
      </c>
      <c r="X152" s="732">
        <f ca="1">+'F1.4'!M86</f>
        <v>8.8404424631801398E-2</v>
      </c>
      <c r="Y152" s="732">
        <f ca="1">+'F1.4'!N86</f>
        <v>9.1320668153451551E-2</v>
      </c>
      <c r="Z152" s="732">
        <f ca="1">+'F1.4'!O86</f>
        <v>8.6218434080824843E-2</v>
      </c>
    </row>
    <row r="153" spans="3:26" x14ac:dyDescent="0.35">
      <c r="C153" s="1595" t="s">
        <v>64</v>
      </c>
      <c r="D153" s="723"/>
      <c r="E153" s="724"/>
      <c r="F153" s="724"/>
      <c r="G153" s="724"/>
      <c r="H153" s="724"/>
      <c r="I153" s="724"/>
      <c r="J153" s="724"/>
      <c r="K153" s="724"/>
      <c r="L153" s="724"/>
      <c r="M153" s="724"/>
      <c r="N153" s="724"/>
      <c r="O153" s="724"/>
      <c r="P153" s="724"/>
      <c r="Q153" s="724"/>
      <c r="R153" s="724"/>
      <c r="S153" s="724"/>
      <c r="T153" s="724"/>
      <c r="U153" s="724"/>
      <c r="V153" s="724"/>
      <c r="W153" s="724"/>
      <c r="X153" s="724"/>
      <c r="Y153" s="724"/>
      <c r="Z153" s="724"/>
    </row>
    <row r="154" spans="3:26" x14ac:dyDescent="0.35">
      <c r="C154" s="1593" t="s">
        <v>143</v>
      </c>
      <c r="D154" s="723" t="s">
        <v>1643</v>
      </c>
      <c r="E154" s="724"/>
      <c r="F154" s="724"/>
      <c r="G154" s="724"/>
      <c r="H154" s="724"/>
      <c r="I154" s="724"/>
      <c r="J154" s="724"/>
      <c r="K154" s="724"/>
      <c r="L154" s="724"/>
      <c r="M154" s="724"/>
      <c r="N154" s="724"/>
      <c r="O154" s="724"/>
      <c r="P154" s="724"/>
      <c r="Q154" s="724"/>
      <c r="R154" s="724"/>
      <c r="S154" s="724"/>
      <c r="T154" s="724"/>
      <c r="U154" s="724"/>
      <c r="V154" s="724"/>
      <c r="W154" s="724"/>
      <c r="X154" s="724"/>
      <c r="Y154" s="724"/>
      <c r="Z154" s="724"/>
    </row>
    <row r="155" spans="3:26" x14ac:dyDescent="0.35">
      <c r="C155" s="1594" t="s">
        <v>1510</v>
      </c>
      <c r="D155" s="723" t="s">
        <v>1643</v>
      </c>
      <c r="E155" s="732">
        <f>+E143</f>
        <v>0.62165859375576393</v>
      </c>
      <c r="F155" s="732">
        <f t="shared" ref="F155:Z155" si="16">+F143</f>
        <v>0.58073509166597193</v>
      </c>
      <c r="G155" s="732">
        <f t="shared" si="16"/>
        <v>0.58043905349901237</v>
      </c>
      <c r="H155" s="732">
        <f t="shared" si="16"/>
        <v>0.58045520153661223</v>
      </c>
      <c r="I155" s="732">
        <f t="shared" si="16"/>
        <v>0.58087108376748664</v>
      </c>
      <c r="J155" s="732">
        <f t="shared" si="16"/>
        <v>0.58091333348900021</v>
      </c>
      <c r="K155" s="732">
        <f t="shared" si="16"/>
        <v>0.58091333348900021</v>
      </c>
      <c r="L155" s="732">
        <f t="shared" si="16"/>
        <v>0.58091333348900021</v>
      </c>
      <c r="M155" s="732">
        <f t="shared" si="16"/>
        <v>0.58091333348900021</v>
      </c>
      <c r="N155" s="732">
        <f t="shared" si="16"/>
        <v>0.58091333348900021</v>
      </c>
      <c r="O155" s="732">
        <f t="shared" si="16"/>
        <v>0.58091333348900021</v>
      </c>
      <c r="P155" s="732">
        <f t="shared" si="16"/>
        <v>0.37834140624423596</v>
      </c>
      <c r="Q155" s="732">
        <f t="shared" si="16"/>
        <v>0.41926490833402824</v>
      </c>
      <c r="R155" s="732">
        <f t="shared" si="16"/>
        <v>0.41956094650098763</v>
      </c>
      <c r="S155" s="732">
        <f t="shared" si="16"/>
        <v>0.41954479846338771</v>
      </c>
      <c r="T155" s="732">
        <f t="shared" si="16"/>
        <v>0.41912891623251319</v>
      </c>
      <c r="U155" s="732">
        <f t="shared" si="16"/>
        <v>0.41908666651099974</v>
      </c>
      <c r="V155" s="732">
        <f t="shared" si="16"/>
        <v>0.41908666651099974</v>
      </c>
      <c r="W155" s="732">
        <f t="shared" si="16"/>
        <v>0.41908666651099974</v>
      </c>
      <c r="X155" s="732">
        <f t="shared" si="16"/>
        <v>0.41908666651099974</v>
      </c>
      <c r="Y155" s="732">
        <f t="shared" si="16"/>
        <v>0.41908666651099974</v>
      </c>
      <c r="Z155" s="732">
        <f t="shared" si="16"/>
        <v>0.41908666651099974</v>
      </c>
    </row>
    <row r="156" spans="3:26" x14ac:dyDescent="0.35">
      <c r="C156" s="1594" t="s">
        <v>986</v>
      </c>
      <c r="D156" s="723" t="s">
        <v>1643</v>
      </c>
      <c r="E156" s="732">
        <f t="shared" ref="E156:Z156" si="17">+E144</f>
        <v>0.16941551605327762</v>
      </c>
      <c r="F156" s="732">
        <f t="shared" si="17"/>
        <v>0.17268163306178691</v>
      </c>
      <c r="G156" s="732">
        <f t="shared" si="17"/>
        <v>0.15530980885699266</v>
      </c>
      <c r="H156" s="732">
        <f t="shared" si="17"/>
        <v>0.10967302204378636</v>
      </c>
      <c r="I156" s="732">
        <f t="shared" si="17"/>
        <v>0.11884358070736921</v>
      </c>
      <c r="J156" s="732">
        <f t="shared" si="17"/>
        <v>0.12134813821851946</v>
      </c>
      <c r="K156" s="732">
        <f t="shared" si="17"/>
        <v>0.12134813821851946</v>
      </c>
      <c r="L156" s="732">
        <f t="shared" si="17"/>
        <v>0.12134813821851946</v>
      </c>
      <c r="M156" s="732">
        <f t="shared" si="17"/>
        <v>0.12134813821851946</v>
      </c>
      <c r="N156" s="732">
        <f t="shared" si="17"/>
        <v>0.12134813821851946</v>
      </c>
      <c r="O156" s="732">
        <f t="shared" si="17"/>
        <v>0.12134813821851946</v>
      </c>
      <c r="P156" s="732">
        <f t="shared" si="17"/>
        <v>0.83058448394672246</v>
      </c>
      <c r="Q156" s="732">
        <f t="shared" si="17"/>
        <v>0.82731836693821303</v>
      </c>
      <c r="R156" s="732">
        <f t="shared" si="17"/>
        <v>0.84469019114300725</v>
      </c>
      <c r="S156" s="732">
        <f t="shared" si="17"/>
        <v>0.89032697795621341</v>
      </c>
      <c r="T156" s="732">
        <f t="shared" si="17"/>
        <v>0.88115641929263067</v>
      </c>
      <c r="U156" s="732">
        <f t="shared" si="17"/>
        <v>0.87865186178148069</v>
      </c>
      <c r="V156" s="732">
        <f t="shared" si="17"/>
        <v>0.87865186178148069</v>
      </c>
      <c r="W156" s="732">
        <f t="shared" si="17"/>
        <v>0.87865186178148069</v>
      </c>
      <c r="X156" s="732">
        <f t="shared" si="17"/>
        <v>0.87865186178148069</v>
      </c>
      <c r="Y156" s="732">
        <f t="shared" si="17"/>
        <v>0.87865186178148069</v>
      </c>
      <c r="Z156" s="732">
        <f t="shared" si="17"/>
        <v>0.87865186178148069</v>
      </c>
    </row>
    <row r="157" spans="3:26" x14ac:dyDescent="0.35">
      <c r="C157" s="1593" t="s">
        <v>145</v>
      </c>
      <c r="D157" s="723" t="s">
        <v>818</v>
      </c>
      <c r="E157" s="732">
        <f>+E149</f>
        <v>0.21628658722342875</v>
      </c>
      <c r="F157" s="732">
        <f t="shared" ref="F157:Z157" si="18">+F149</f>
        <v>0.69388315628925712</v>
      </c>
      <c r="G157" s="732">
        <f t="shared" si="18"/>
        <v>0.78765599875066816</v>
      </c>
      <c r="H157" s="732">
        <f t="shared" si="18"/>
        <v>0.83328715751810034</v>
      </c>
      <c r="I157" s="732">
        <f t="shared" si="18"/>
        <v>0.85745719291614619</v>
      </c>
      <c r="J157" s="732">
        <f t="shared" si="18"/>
        <v>0.91034353329707107</v>
      </c>
      <c r="K157" s="732">
        <f t="shared" si="18"/>
        <v>0.93072539733919313</v>
      </c>
      <c r="L157" s="732">
        <f t="shared" si="18"/>
        <v>0.93333730561743888</v>
      </c>
      <c r="M157" s="732">
        <f t="shared" si="18"/>
        <v>0.94590931101440667</v>
      </c>
      <c r="N157" s="732">
        <f t="shared" si="18"/>
        <v>0.94049397366719711</v>
      </c>
      <c r="O157" s="732">
        <f t="shared" si="18"/>
        <v>0.94495026792391279</v>
      </c>
      <c r="P157" s="732">
        <f t="shared" si="18"/>
        <v>0.78371341277657136</v>
      </c>
      <c r="Q157" s="732">
        <f t="shared" si="18"/>
        <v>0.30611684371074266</v>
      </c>
      <c r="R157" s="732">
        <f t="shared" si="18"/>
        <v>0.21234400124933192</v>
      </c>
      <c r="S157" s="732">
        <f t="shared" si="18"/>
        <v>0.16671284248189971</v>
      </c>
      <c r="T157" s="732">
        <f t="shared" si="18"/>
        <v>0.14254280708385361</v>
      </c>
      <c r="U157" s="732">
        <f t="shared" si="18"/>
        <v>8.9656466702928844E-2</v>
      </c>
      <c r="V157" s="732">
        <f t="shared" si="18"/>
        <v>6.927460266080665E-2</v>
      </c>
      <c r="W157" s="732">
        <f t="shared" si="18"/>
        <v>6.6662694382560811E-2</v>
      </c>
      <c r="X157" s="732">
        <f t="shared" si="18"/>
        <v>5.4090688985593278E-2</v>
      </c>
      <c r="Y157" s="732">
        <f t="shared" si="18"/>
        <v>5.9506026332802706E-2</v>
      </c>
      <c r="Z157" s="732">
        <f t="shared" si="18"/>
        <v>5.5049732076087446E-2</v>
      </c>
    </row>
    <row r="158" spans="3:26" x14ac:dyDescent="0.35">
      <c r="C158" s="1596"/>
      <c r="D158" s="723"/>
      <c r="E158" s="724"/>
      <c r="F158" s="724"/>
      <c r="G158" s="724"/>
      <c r="H158" s="724"/>
      <c r="I158" s="724"/>
      <c r="J158" s="724"/>
      <c r="K158" s="724"/>
      <c r="L158" s="724"/>
      <c r="M158" s="724"/>
      <c r="N158" s="724"/>
      <c r="O158" s="724"/>
      <c r="P158" s="724"/>
      <c r="Q158" s="724"/>
      <c r="R158" s="724"/>
      <c r="S158" s="724"/>
      <c r="T158" s="724"/>
      <c r="U158" s="724"/>
      <c r="V158" s="724"/>
      <c r="W158" s="724"/>
      <c r="X158" s="724"/>
      <c r="Y158" s="724"/>
      <c r="Z158" s="724"/>
    </row>
    <row r="159" spans="3:26" ht="26.25" x14ac:dyDescent="0.35">
      <c r="C159" s="724" t="s">
        <v>1645</v>
      </c>
      <c r="D159" s="1416" t="s">
        <v>1665</v>
      </c>
      <c r="E159" s="724"/>
      <c r="F159" s="724"/>
      <c r="G159" s="724"/>
      <c r="H159" s="724"/>
      <c r="I159" s="724"/>
      <c r="J159" s="724"/>
      <c r="K159" s="724"/>
      <c r="L159" s="724"/>
      <c r="M159" s="724"/>
      <c r="N159" s="724"/>
      <c r="O159" s="724"/>
      <c r="P159" s="724"/>
      <c r="Q159" s="724"/>
      <c r="R159" s="724"/>
      <c r="S159" s="724"/>
      <c r="T159" s="724"/>
      <c r="U159" s="724"/>
      <c r="V159" s="724"/>
      <c r="W159" s="724"/>
      <c r="X159" s="724"/>
      <c r="Y159" s="724"/>
      <c r="Z159" s="724"/>
    </row>
    <row r="163" spans="2:9" x14ac:dyDescent="0.35">
      <c r="C163" s="1588" t="s">
        <v>1758</v>
      </c>
      <c r="D163" s="1588"/>
      <c r="E163" s="1588" t="s">
        <v>123</v>
      </c>
      <c r="F163" s="1588" t="s">
        <v>124</v>
      </c>
      <c r="G163" s="1588" t="s">
        <v>125</v>
      </c>
      <c r="H163" s="1588" t="s">
        <v>126</v>
      </c>
      <c r="I163" s="1588" t="s">
        <v>127</v>
      </c>
    </row>
    <row r="164" spans="2:9" x14ac:dyDescent="0.35">
      <c r="C164" s="740" t="s">
        <v>1763</v>
      </c>
      <c r="D164" s="723"/>
      <c r="E164" s="724"/>
      <c r="F164" s="724"/>
      <c r="G164" s="724"/>
      <c r="H164" s="724"/>
      <c r="I164" s="724"/>
    </row>
    <row r="165" spans="2:9" x14ac:dyDescent="0.4">
      <c r="C165" s="1438" t="s">
        <v>1759</v>
      </c>
      <c r="D165" s="723"/>
      <c r="E165" s="724">
        <v>60</v>
      </c>
      <c r="F165" s="724">
        <v>0</v>
      </c>
      <c r="G165" s="724">
        <f>394-60-100-50</f>
        <v>184</v>
      </c>
      <c r="H165" s="724">
        <f>316-100+25</f>
        <v>241</v>
      </c>
      <c r="I165" s="724">
        <f>710-SUM(E165:H165)</f>
        <v>225</v>
      </c>
    </row>
    <row r="166" spans="2:9" x14ac:dyDescent="0.4">
      <c r="C166" s="1438" t="s">
        <v>1760</v>
      </c>
      <c r="D166" s="723"/>
      <c r="E166" s="724"/>
      <c r="F166" s="724"/>
      <c r="G166" s="724"/>
      <c r="H166" s="724"/>
      <c r="I166" s="724"/>
    </row>
    <row r="167" spans="2:9" x14ac:dyDescent="0.4">
      <c r="C167" s="1438" t="s">
        <v>1761</v>
      </c>
      <c r="D167" s="723"/>
      <c r="E167" s="724"/>
      <c r="F167" s="724"/>
      <c r="G167" s="724"/>
      <c r="H167" s="724"/>
      <c r="I167" s="724"/>
    </row>
    <row r="168" spans="2:9" x14ac:dyDescent="0.4">
      <c r="C168" s="1438" t="s">
        <v>1762</v>
      </c>
      <c r="D168" s="723"/>
      <c r="E168" s="724"/>
      <c r="F168" s="724"/>
      <c r="G168" s="724"/>
      <c r="H168" s="724"/>
      <c r="I168" s="724">
        <v>0</v>
      </c>
    </row>
    <row r="169" spans="2:9" x14ac:dyDescent="0.4">
      <c r="C169" s="1438" t="s">
        <v>1836</v>
      </c>
      <c r="D169" s="723"/>
      <c r="E169" s="724"/>
      <c r="F169" s="724">
        <v>150</v>
      </c>
      <c r="G169" s="724">
        <v>50</v>
      </c>
      <c r="H169" s="724">
        <v>50</v>
      </c>
      <c r="I169" s="724">
        <v>50</v>
      </c>
    </row>
    <row r="170" spans="2:9" x14ac:dyDescent="0.35">
      <c r="C170" s="1441" t="s">
        <v>164</v>
      </c>
      <c r="D170" s="723"/>
      <c r="E170" s="740">
        <f>SUM(E165:E169)</f>
        <v>60</v>
      </c>
      <c r="F170" s="740">
        <f>SUM(F165:F169)</f>
        <v>150</v>
      </c>
      <c r="G170" s="740">
        <f>SUM(G165:G169)</f>
        <v>234</v>
      </c>
      <c r="H170" s="740">
        <f>SUM(H165:H169)</f>
        <v>291</v>
      </c>
      <c r="I170" s="740">
        <f>SUM(I165:I169)</f>
        <v>275</v>
      </c>
    </row>
    <row r="172" spans="2:9" x14ac:dyDescent="0.35">
      <c r="C172" s="731" t="s">
        <v>1765</v>
      </c>
    </row>
    <row r="173" spans="2:9" x14ac:dyDescent="0.35">
      <c r="B173" s="1597">
        <f>+D173/$D$177</f>
        <v>0.57350352112676062</v>
      </c>
      <c r="C173" s="573" t="s">
        <v>1106</v>
      </c>
      <c r="D173" s="723">
        <f>+'F13 Non SEZ'!C211</f>
        <v>1303</v>
      </c>
      <c r="E173" s="724">
        <f>+D173+ROUND(E$170*$B173,0)+1</f>
        <v>1338</v>
      </c>
      <c r="F173" s="724">
        <f>+E173+ROUND(F$170*$B173,0)</f>
        <v>1424</v>
      </c>
      <c r="G173" s="724">
        <f>+F173+ROUND(G$170*$B173,0)</f>
        <v>1558</v>
      </c>
      <c r="H173" s="724">
        <f>+G173+ROUND(H$170*$B173,0)</f>
        <v>1725</v>
      </c>
      <c r="I173" s="724">
        <f>+H173+ROUND(I$170*$B173,0)</f>
        <v>1883</v>
      </c>
    </row>
    <row r="174" spans="2:9" x14ac:dyDescent="0.35">
      <c r="B174" s="1597">
        <f>+D174/$D$177</f>
        <v>0.22315140845070422</v>
      </c>
      <c r="C174" s="573" t="s">
        <v>1107</v>
      </c>
      <c r="D174" s="723">
        <f>+'F13 Non SEZ'!C212</f>
        <v>507</v>
      </c>
      <c r="E174" s="724">
        <f t="shared" ref="E174:I176" si="19">+D174+ROUND(E$170*$B174,0)</f>
        <v>520</v>
      </c>
      <c r="F174" s="724">
        <f t="shared" si="19"/>
        <v>553</v>
      </c>
      <c r="G174" s="724">
        <f t="shared" si="19"/>
        <v>605</v>
      </c>
      <c r="H174" s="724">
        <f t="shared" si="19"/>
        <v>670</v>
      </c>
      <c r="I174" s="724">
        <f t="shared" si="19"/>
        <v>731</v>
      </c>
    </row>
    <row r="175" spans="2:9" x14ac:dyDescent="0.35">
      <c r="B175" s="1597">
        <f>+D175/$D$177</f>
        <v>0.11839788732394366</v>
      </c>
      <c r="C175" s="573" t="s">
        <v>1108</v>
      </c>
      <c r="D175" s="723">
        <f>+'F13 Non SEZ'!C213</f>
        <v>269</v>
      </c>
      <c r="E175" s="724">
        <f t="shared" si="19"/>
        <v>276</v>
      </c>
      <c r="F175" s="724">
        <f t="shared" si="19"/>
        <v>294</v>
      </c>
      <c r="G175" s="724">
        <f t="shared" si="19"/>
        <v>322</v>
      </c>
      <c r="H175" s="724">
        <f t="shared" si="19"/>
        <v>356</v>
      </c>
      <c r="I175" s="724">
        <f t="shared" si="19"/>
        <v>389</v>
      </c>
    </row>
    <row r="176" spans="2:9" x14ac:dyDescent="0.35">
      <c r="B176" s="1597">
        <f>+D176/$D$177</f>
        <v>8.4947183098591547E-2</v>
      </c>
      <c r="C176" s="573" t="s">
        <v>1109</v>
      </c>
      <c r="D176" s="723">
        <f>+'F13 Non SEZ'!C214</f>
        <v>193</v>
      </c>
      <c r="E176" s="724">
        <f t="shared" si="19"/>
        <v>198</v>
      </c>
      <c r="F176" s="724">
        <f t="shared" si="19"/>
        <v>211</v>
      </c>
      <c r="G176" s="724">
        <f t="shared" si="19"/>
        <v>231</v>
      </c>
      <c r="H176" s="724">
        <f t="shared" si="19"/>
        <v>256</v>
      </c>
      <c r="I176" s="724">
        <f t="shared" si="19"/>
        <v>279</v>
      </c>
    </row>
    <row r="177" spans="2:9" x14ac:dyDescent="0.35">
      <c r="C177" s="740" t="s">
        <v>164</v>
      </c>
      <c r="D177" s="1598">
        <f t="shared" ref="D177:I177" si="20">SUM(D173:D176)</f>
        <v>2272</v>
      </c>
      <c r="E177" s="1598">
        <f t="shared" si="20"/>
        <v>2332</v>
      </c>
      <c r="F177" s="1598">
        <f t="shared" si="20"/>
        <v>2482</v>
      </c>
      <c r="G177" s="1598">
        <f t="shared" si="20"/>
        <v>2716</v>
      </c>
      <c r="H177" s="1598">
        <f t="shared" si="20"/>
        <v>3007</v>
      </c>
      <c r="I177" s="1598">
        <f t="shared" si="20"/>
        <v>3282</v>
      </c>
    </row>
    <row r="179" spans="2:9" x14ac:dyDescent="0.35">
      <c r="C179" s="1588" t="s">
        <v>1758</v>
      </c>
      <c r="D179" s="1588"/>
      <c r="E179" s="1588" t="s">
        <v>123</v>
      </c>
      <c r="F179" s="1588" t="s">
        <v>124</v>
      </c>
      <c r="G179" s="1588" t="s">
        <v>125</v>
      </c>
      <c r="H179" s="1588" t="s">
        <v>126</v>
      </c>
      <c r="I179" s="1588" t="s">
        <v>127</v>
      </c>
    </row>
    <row r="180" spans="2:9" x14ac:dyDescent="0.35">
      <c r="C180" s="740" t="s">
        <v>1766</v>
      </c>
      <c r="D180" s="723"/>
      <c r="E180" s="724"/>
      <c r="F180" s="724"/>
      <c r="G180" s="724"/>
      <c r="H180" s="724"/>
      <c r="I180" s="724"/>
    </row>
    <row r="181" spans="2:9" x14ac:dyDescent="0.4">
      <c r="C181" s="1438" t="s">
        <v>1767</v>
      </c>
      <c r="D181" s="723"/>
      <c r="E181" s="724"/>
      <c r="F181" s="724"/>
      <c r="G181" s="724"/>
      <c r="H181" s="1434">
        <v>25</v>
      </c>
      <c r="I181" s="1434">
        <v>25</v>
      </c>
    </row>
    <row r="182" spans="2:9" x14ac:dyDescent="0.4">
      <c r="C182" s="1438" t="s">
        <v>1768</v>
      </c>
      <c r="D182" s="723"/>
      <c r="E182" s="724"/>
      <c r="F182" s="724"/>
      <c r="G182" s="724"/>
      <c r="H182" s="1434">
        <v>25</v>
      </c>
      <c r="I182" s="1434">
        <v>25</v>
      </c>
    </row>
    <row r="183" spans="2:9" x14ac:dyDescent="0.35">
      <c r="C183" s="1441" t="s">
        <v>164</v>
      </c>
      <c r="D183" s="723"/>
      <c r="E183" s="740">
        <f>SUM(E181:E182)</f>
        <v>0</v>
      </c>
      <c r="F183" s="740">
        <f>SUM(F181:F182)</f>
        <v>0</v>
      </c>
      <c r="G183" s="740">
        <f>SUM(G181:G182)</f>
        <v>0</v>
      </c>
      <c r="H183" s="740">
        <f>SUM(H181:H182)</f>
        <v>50</v>
      </c>
      <c r="I183" s="740">
        <f>SUM(I181:I182)</f>
        <v>50</v>
      </c>
    </row>
    <row r="185" spans="2:9" x14ac:dyDescent="0.35">
      <c r="C185" s="731" t="s">
        <v>1765</v>
      </c>
    </row>
    <row r="186" spans="2:9" x14ac:dyDescent="0.35">
      <c r="B186" s="1597">
        <v>1</v>
      </c>
      <c r="C186" s="573" t="s">
        <v>1769</v>
      </c>
      <c r="D186" s="723">
        <f>+'F13 Non SEZ'!C217</f>
        <v>42</v>
      </c>
      <c r="E186" s="724">
        <f t="shared" ref="E186:I188" si="21">+D186+ROUND(E$183*$B186,0)</f>
        <v>42</v>
      </c>
      <c r="F186" s="724">
        <f t="shared" si="21"/>
        <v>42</v>
      </c>
      <c r="G186" s="724">
        <f t="shared" si="21"/>
        <v>42</v>
      </c>
      <c r="H186" s="724">
        <f t="shared" si="21"/>
        <v>92</v>
      </c>
      <c r="I186" s="724">
        <f t="shared" si="21"/>
        <v>142</v>
      </c>
    </row>
    <row r="187" spans="2:9" x14ac:dyDescent="0.35">
      <c r="B187" s="1597">
        <v>0</v>
      </c>
      <c r="C187" s="573" t="s">
        <v>1144</v>
      </c>
      <c r="D187" s="723">
        <f>+'F13 Non SEZ'!C218</f>
        <v>9</v>
      </c>
      <c r="E187" s="724">
        <f t="shared" si="21"/>
        <v>9</v>
      </c>
      <c r="F187" s="724">
        <f t="shared" si="21"/>
        <v>9</v>
      </c>
      <c r="G187" s="724">
        <f t="shared" si="21"/>
        <v>9</v>
      </c>
      <c r="H187" s="724">
        <f t="shared" si="21"/>
        <v>9</v>
      </c>
      <c r="I187" s="724">
        <f t="shared" si="21"/>
        <v>9</v>
      </c>
    </row>
    <row r="188" spans="2:9" x14ac:dyDescent="0.35">
      <c r="B188" s="1597">
        <v>0</v>
      </c>
      <c r="C188" s="573" t="s">
        <v>1143</v>
      </c>
      <c r="D188" s="723">
        <f>+'F13 Non SEZ'!C219</f>
        <v>1</v>
      </c>
      <c r="E188" s="724">
        <f t="shared" si="21"/>
        <v>1</v>
      </c>
      <c r="F188" s="724">
        <f t="shared" si="21"/>
        <v>1</v>
      </c>
      <c r="G188" s="724">
        <f t="shared" si="21"/>
        <v>1</v>
      </c>
      <c r="H188" s="724">
        <f t="shared" si="21"/>
        <v>1</v>
      </c>
      <c r="I188" s="724">
        <f t="shared" si="21"/>
        <v>1</v>
      </c>
    </row>
    <row r="189" spans="2:9" x14ac:dyDescent="0.35">
      <c r="C189" s="740" t="s">
        <v>164</v>
      </c>
      <c r="D189" s="1598">
        <f t="shared" ref="D189:I189" si="22">SUM(D186:D188)</f>
        <v>52</v>
      </c>
      <c r="E189" s="1598">
        <f t="shared" si="22"/>
        <v>52</v>
      </c>
      <c r="F189" s="1598">
        <f t="shared" si="22"/>
        <v>52</v>
      </c>
      <c r="G189" s="1598">
        <f t="shared" si="22"/>
        <v>52</v>
      </c>
      <c r="H189" s="1598">
        <f t="shared" si="22"/>
        <v>102</v>
      </c>
      <c r="I189" s="1598">
        <f t="shared" si="22"/>
        <v>152</v>
      </c>
    </row>
    <row r="190" spans="2:9" x14ac:dyDescent="0.35">
      <c r="E190" s="1187">
        <f>+E189-D189</f>
        <v>0</v>
      </c>
      <c r="F190" s="1187">
        <f>+F189-E189</f>
        <v>0</v>
      </c>
      <c r="G190" s="1187">
        <f>+G189-F189</f>
        <v>0</v>
      </c>
      <c r="H190" s="1187">
        <f>+H189-G189</f>
        <v>50</v>
      </c>
      <c r="I190" s="1187">
        <f>+I189-H189</f>
        <v>50</v>
      </c>
    </row>
  </sheetData>
  <mergeCells count="11">
    <mergeCell ref="C85:C86"/>
    <mergeCell ref="D85:D86"/>
    <mergeCell ref="E85:G85"/>
    <mergeCell ref="F107:G107"/>
    <mergeCell ref="H107:I107"/>
    <mergeCell ref="E107:E108"/>
    <mergeCell ref="E7:G7"/>
    <mergeCell ref="I7:K7"/>
    <mergeCell ref="H6:H7"/>
    <mergeCell ref="E130:O130"/>
    <mergeCell ref="P130:Z130"/>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CA06-8B1C-452A-9C72-EB9F8C6EB0E7}">
  <dimension ref="A2:Z155"/>
  <sheetViews>
    <sheetView showGridLines="0" view="pageBreakPreview" topLeftCell="A76" zoomScale="60" zoomScaleNormal="80" workbookViewId="0">
      <selection activeCell="H78" sqref="H78"/>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5" width="13.6640625" style="1" customWidth="1"/>
    <col min="26" max="26" width="8.6640625" style="1"/>
    <col min="27" max="27" width="11.6640625" style="1" customWidth="1"/>
    <col min="28" max="28" width="12.46484375" style="1" customWidth="1"/>
    <col min="29" max="16384" width="8.6640625" style="1"/>
  </cols>
  <sheetData>
    <row r="2" spans="1:26"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row>
    <row r="3" spans="1:26"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row>
    <row r="4" spans="1:26" x14ac:dyDescent="0.4">
      <c r="B4" s="2079" t="s">
        <v>743</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row>
    <row r="5" spans="1:26" x14ac:dyDescent="0.4">
      <c r="B5" s="123"/>
      <c r="C5" s="123"/>
      <c r="D5" s="123"/>
      <c r="E5" s="123"/>
      <c r="F5" s="123"/>
      <c r="G5" s="123"/>
      <c r="H5" s="123"/>
      <c r="I5" s="123"/>
      <c r="J5" s="123"/>
      <c r="K5" s="1332"/>
      <c r="L5" s="1327"/>
      <c r="M5" s="1327"/>
      <c r="N5" s="1327"/>
      <c r="O5" s="123"/>
      <c r="P5" s="123"/>
      <c r="Q5" s="123"/>
      <c r="R5" s="123"/>
      <c r="S5" s="123"/>
      <c r="T5" s="123"/>
    </row>
    <row r="6" spans="1:26" x14ac:dyDescent="0.4">
      <c r="B6" s="123"/>
      <c r="C6" s="123"/>
      <c r="D6" s="123"/>
      <c r="E6" s="123"/>
      <c r="F6" s="123"/>
      <c r="G6" s="123"/>
      <c r="H6" s="123"/>
      <c r="I6" s="123"/>
      <c r="J6" s="123"/>
      <c r="K6" s="1332"/>
      <c r="L6" s="1327"/>
      <c r="M6" s="1327"/>
      <c r="N6" s="1327"/>
      <c r="O6" s="123"/>
      <c r="P6" s="123"/>
      <c r="Q6" s="123"/>
      <c r="R6" s="123"/>
      <c r="S6" s="123"/>
      <c r="T6" s="123"/>
    </row>
    <row r="7" spans="1:26" x14ac:dyDescent="0.4">
      <c r="B7" s="131" t="s">
        <v>744</v>
      </c>
      <c r="C7" s="103"/>
      <c r="D7" s="103"/>
      <c r="E7" s="103"/>
      <c r="F7" s="103"/>
      <c r="G7" s="103"/>
      <c r="H7" s="103"/>
      <c r="I7" s="103"/>
      <c r="J7" s="103"/>
      <c r="K7" s="1333"/>
      <c r="L7" s="1328"/>
      <c r="M7" s="1328"/>
      <c r="N7" s="1328"/>
      <c r="O7" s="103"/>
      <c r="P7" s="103"/>
      <c r="Q7" s="103"/>
      <c r="R7" s="103"/>
      <c r="S7" s="103"/>
      <c r="T7" s="103"/>
      <c r="U7" s="103"/>
      <c r="V7" s="103"/>
      <c r="W7" s="1328"/>
      <c r="X7" s="103"/>
      <c r="Y7" s="103"/>
    </row>
    <row r="8" spans="1:26" x14ac:dyDescent="0.4">
      <c r="B8" s="131" t="s">
        <v>1511</v>
      </c>
      <c r="C8" s="103"/>
      <c r="D8" s="103"/>
      <c r="E8" s="103"/>
      <c r="F8" s="103"/>
      <c r="G8" s="103"/>
      <c r="H8" s="103"/>
      <c r="I8" s="103"/>
      <c r="J8" s="103"/>
      <c r="K8" s="1333"/>
      <c r="L8" s="1328"/>
      <c r="M8" s="1328"/>
      <c r="N8" s="1328"/>
      <c r="O8" s="103"/>
      <c r="P8" s="103"/>
      <c r="Q8" s="103"/>
      <c r="R8" s="103"/>
      <c r="S8" s="103"/>
      <c r="T8" s="103"/>
      <c r="U8" s="103"/>
      <c r="V8" s="103"/>
      <c r="W8" s="1328"/>
      <c r="X8" s="103"/>
      <c r="Y8" s="103"/>
    </row>
    <row r="9" spans="1:26"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row>
    <row r="10" spans="1:26"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1570</v>
      </c>
    </row>
    <row r="11" spans="1:26"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row>
    <row r="12" spans="1:26"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2"/>
    </row>
    <row r="13" spans="1:26" s="6" customFormat="1" ht="13.5" x14ac:dyDescent="0.35">
      <c r="A13" s="1364">
        <f>+'F13.1'!A13</f>
        <v>0.9</v>
      </c>
      <c r="B13" s="517" t="s">
        <v>1129</v>
      </c>
      <c r="C13" s="128">
        <f>+'F13 SEZ'!C204+1</f>
        <v>3</v>
      </c>
      <c r="D13" s="128"/>
      <c r="E13" s="128">
        <f>+'Tariff Schedule'!F14</f>
        <v>600</v>
      </c>
      <c r="F13" s="1365">
        <f>+'Tariff Schedule'!M14</f>
        <v>7.38</v>
      </c>
      <c r="G13" s="128"/>
      <c r="H13" s="1365">
        <f>+'Tariff Schedule'!S14</f>
        <v>0.74</v>
      </c>
      <c r="I13" s="128"/>
      <c r="J13" s="128"/>
      <c r="K13" s="1336">
        <f>AVERAGE('Sales Proj'!C16:N16)+AVERAGE('Sales Proj'!C19:N19)*1000</f>
        <v>25500</v>
      </c>
      <c r="L13" s="630">
        <f>+'F1 SEZ'!K12</f>
        <v>162.55679999999998</v>
      </c>
      <c r="M13" s="630">
        <f>+L13/Z13</f>
        <v>164.19878787878787</v>
      </c>
      <c r="N13" s="630"/>
      <c r="O13" s="630">
        <f>(K13*E13)*12/10^7*A13</f>
        <v>16.524000000000001</v>
      </c>
      <c r="P13" s="630">
        <f>(M13*F13)/10</f>
        <v>121.17870545454544</v>
      </c>
      <c r="Q13" s="630">
        <f>SUM(Q14:Q17)</f>
        <v>-1.7320008627777677</v>
      </c>
      <c r="R13" s="630">
        <f>(M13*H13)/10</f>
        <v>12.150710303030301</v>
      </c>
      <c r="S13" s="630"/>
      <c r="T13" s="630"/>
      <c r="U13" s="630">
        <f>SUM(N13:T13)</f>
        <v>148.12141489479797</v>
      </c>
      <c r="V13" s="128"/>
      <c r="W13" s="630">
        <f>+U13+V13</f>
        <v>148.12141489479797</v>
      </c>
      <c r="X13" s="1222">
        <f>IFERROR(W13/L13*10,0)</f>
        <v>9.1119790064025601</v>
      </c>
      <c r="Y13" s="128"/>
      <c r="Z13" s="1366">
        <f>+'Tariff Schedule'!X14</f>
        <v>0.99</v>
      </c>
    </row>
    <row r="14" spans="1:26" x14ac:dyDescent="0.4">
      <c r="A14" s="1339"/>
      <c r="B14" s="1360" t="s">
        <v>1544</v>
      </c>
      <c r="C14" s="75"/>
      <c r="D14" s="75"/>
      <c r="E14" s="75"/>
      <c r="F14" s="75"/>
      <c r="G14" s="1221">
        <f>+$F13*'Tariff Schedule'!E$50</f>
        <v>0</v>
      </c>
      <c r="H14" s="75"/>
      <c r="I14" s="75"/>
      <c r="J14" s="75"/>
      <c r="K14" s="1306"/>
      <c r="L14" s="628"/>
      <c r="M14" s="628">
        <f>+$M$13*Assum!E125</f>
        <v>40.204861673667004</v>
      </c>
      <c r="N14" s="628"/>
      <c r="O14" s="628"/>
      <c r="P14" s="628"/>
      <c r="Q14" s="628">
        <f>+G14*M14/10</f>
        <v>0</v>
      </c>
      <c r="R14" s="628"/>
      <c r="S14" s="628"/>
      <c r="T14" s="628"/>
      <c r="U14" s="628"/>
      <c r="V14" s="75"/>
      <c r="W14" s="628"/>
      <c r="X14" s="1221"/>
      <c r="Y14" s="75"/>
      <c r="Z14" s="1358"/>
    </row>
    <row r="15" spans="1:26" x14ac:dyDescent="0.4">
      <c r="A15" s="1339"/>
      <c r="B15" s="1360" t="s">
        <v>1545</v>
      </c>
      <c r="C15" s="75"/>
      <c r="D15" s="75"/>
      <c r="E15" s="75"/>
      <c r="F15" s="75"/>
      <c r="G15" s="1221">
        <f>+$F13*'Tariff Schedule'!E$51</f>
        <v>0</v>
      </c>
      <c r="H15" s="75"/>
      <c r="I15" s="75"/>
      <c r="J15" s="75"/>
      <c r="K15" s="1306"/>
      <c r="L15" s="628"/>
      <c r="M15" s="628">
        <f>+$M$13*Assum!E126</f>
        <v>20.726822579287003</v>
      </c>
      <c r="N15" s="628"/>
      <c r="O15" s="628"/>
      <c r="P15" s="628"/>
      <c r="Q15" s="628">
        <f>+G15*M15/10</f>
        <v>0</v>
      </c>
      <c r="R15" s="628"/>
      <c r="S15" s="628"/>
      <c r="T15" s="628"/>
      <c r="U15" s="628"/>
      <c r="V15" s="75"/>
      <c r="W15" s="628"/>
      <c r="X15" s="1221"/>
      <c r="Y15" s="75"/>
      <c r="Z15" s="1358"/>
    </row>
    <row r="16" spans="1:26" x14ac:dyDescent="0.4">
      <c r="A16" s="1339"/>
      <c r="B16" s="1360" t="s">
        <v>1546</v>
      </c>
      <c r="C16" s="75"/>
      <c r="D16" s="75"/>
      <c r="E16" s="75"/>
      <c r="F16" s="75"/>
      <c r="G16" s="1221">
        <f>+$F13*'Tariff Schedule'!E$52</f>
        <v>-1.599</v>
      </c>
      <c r="H16" s="75"/>
      <c r="I16" s="75"/>
      <c r="J16" s="75"/>
      <c r="K16" s="1306"/>
      <c r="L16" s="628"/>
      <c r="M16" s="628">
        <f>+$M$13*Assum!E127</f>
        <v>55.200732871384858</v>
      </c>
      <c r="N16" s="628"/>
      <c r="O16" s="628"/>
      <c r="P16" s="628"/>
      <c r="Q16" s="628">
        <f>+G16*M16/10</f>
        <v>-8.826597186134439</v>
      </c>
      <c r="R16" s="628"/>
      <c r="S16" s="628"/>
      <c r="T16" s="628"/>
      <c r="U16" s="628"/>
      <c r="V16" s="75"/>
      <c r="W16" s="628"/>
      <c r="X16" s="1221"/>
      <c r="Y16" s="75"/>
      <c r="Z16" s="1358"/>
    </row>
    <row r="17" spans="1:26" x14ac:dyDescent="0.4">
      <c r="A17" s="1339"/>
      <c r="B17" s="1360" t="s">
        <v>1549</v>
      </c>
      <c r="C17" s="75"/>
      <c r="D17" s="75"/>
      <c r="E17" s="75"/>
      <c r="F17" s="75"/>
      <c r="G17" s="1221">
        <f>+$F13*'Tariff Schedule'!E$55</f>
        <v>1.476</v>
      </c>
      <c r="H17" s="75"/>
      <c r="I17" s="75"/>
      <c r="J17" s="75"/>
      <c r="K17" s="1306"/>
      <c r="L17" s="628"/>
      <c r="M17" s="628">
        <f>+$M$13*Assum!E128</f>
        <v>48.066370754448997</v>
      </c>
      <c r="N17" s="628"/>
      <c r="O17" s="628"/>
      <c r="P17" s="628"/>
      <c r="Q17" s="628">
        <f>+G17*M17/10</f>
        <v>7.0945963233566713</v>
      </c>
      <c r="R17" s="628"/>
      <c r="S17" s="628"/>
      <c r="T17" s="628"/>
      <c r="U17" s="628"/>
      <c r="V17" s="75"/>
      <c r="W17" s="628"/>
      <c r="X17" s="1221"/>
      <c r="Y17" s="75"/>
      <c r="Z17" s="1358"/>
    </row>
    <row r="18" spans="1:26" s="6" customFormat="1" ht="13.5" x14ac:dyDescent="0.35">
      <c r="A18" s="1364">
        <f>+'F13.1'!A14</f>
        <v>0.75</v>
      </c>
      <c r="B18" s="517" t="s">
        <v>1130</v>
      </c>
      <c r="C18" s="128">
        <f>+'F13 SEZ'!C205</f>
        <v>1</v>
      </c>
      <c r="D18" s="128"/>
      <c r="E18" s="128">
        <f>+'Tariff Schedule'!F15</f>
        <v>600</v>
      </c>
      <c r="F18" s="1365">
        <f>+'Tariff Schedule'!M15</f>
        <v>11.93</v>
      </c>
      <c r="G18" s="128"/>
      <c r="H18" s="1365">
        <f>+'Tariff Schedule'!S15</f>
        <v>0.74</v>
      </c>
      <c r="I18" s="128"/>
      <c r="J18" s="128"/>
      <c r="K18" s="1336">
        <v>40</v>
      </c>
      <c r="L18" s="630">
        <f>+'F1 SEZ'!K13</f>
        <v>3.5853966485786364E-2</v>
      </c>
      <c r="M18" s="630">
        <f>+L18/Z18</f>
        <v>3.6585680087537105E-2</v>
      </c>
      <c r="N18" s="630"/>
      <c r="O18" s="630">
        <f>(K18*E18)*12/10^7*A18</f>
        <v>2.1600000000000001E-2</v>
      </c>
      <c r="P18" s="630">
        <f>(M18*F18)/10</f>
        <v>4.3646716344431763E-2</v>
      </c>
      <c r="Q18" s="630">
        <f>SUM(Q19:Q22)</f>
        <v>-1.5373160183024754E-3</v>
      </c>
      <c r="R18" s="630">
        <f>(M18*H18)/10</f>
        <v>2.7073403264777458E-3</v>
      </c>
      <c r="S18" s="630"/>
      <c r="T18" s="630"/>
      <c r="U18" s="630">
        <f>SUM(N18:T18)</f>
        <v>6.641674065260704E-2</v>
      </c>
      <c r="V18" s="128"/>
      <c r="W18" s="630">
        <f>+U18+V18</f>
        <v>6.641674065260704E-2</v>
      </c>
      <c r="X18" s="1222">
        <f>IFERROR(W18/L18*10,0)</f>
        <v>18.524237946988855</v>
      </c>
      <c r="Y18" s="128"/>
      <c r="Z18" s="1366">
        <f>+'Tariff Schedule'!X15</f>
        <v>0.98</v>
      </c>
    </row>
    <row r="19" spans="1:26" x14ac:dyDescent="0.4">
      <c r="A19" s="1339"/>
      <c r="B19" s="1360" t="s">
        <v>1544</v>
      </c>
      <c r="C19" s="75"/>
      <c r="D19" s="75"/>
      <c r="E19" s="75"/>
      <c r="F19" s="75"/>
      <c r="G19" s="1221">
        <f>+$F18*'Tariff Schedule'!E$50</f>
        <v>0</v>
      </c>
      <c r="H19" s="75"/>
      <c r="I19" s="75"/>
      <c r="J19" s="75"/>
      <c r="K19" s="1306"/>
      <c r="L19" s="628"/>
      <c r="M19" s="628">
        <f>+$M$18*Assum!F125</f>
        <v>5.152710160580074E-3</v>
      </c>
      <c r="N19" s="628"/>
      <c r="O19" s="628"/>
      <c r="P19" s="628"/>
      <c r="Q19" s="628">
        <f>+G19*M19/10</f>
        <v>0</v>
      </c>
      <c r="R19" s="628"/>
      <c r="S19" s="628"/>
      <c r="T19" s="628"/>
      <c r="U19" s="628"/>
      <c r="V19" s="75"/>
      <c r="W19" s="628"/>
      <c r="X19" s="1221"/>
      <c r="Y19" s="75"/>
      <c r="Z19" s="1358"/>
    </row>
    <row r="20" spans="1:26" x14ac:dyDescent="0.4">
      <c r="A20" s="1339"/>
      <c r="B20" s="1360" t="s">
        <v>1545</v>
      </c>
      <c r="C20" s="75"/>
      <c r="D20" s="75"/>
      <c r="E20" s="75"/>
      <c r="F20" s="75"/>
      <c r="G20" s="1221">
        <f>+$F18*'Tariff Schedule'!E$51</f>
        <v>0</v>
      </c>
      <c r="H20" s="75"/>
      <c r="I20" s="75"/>
      <c r="J20" s="75"/>
      <c r="K20" s="1306"/>
      <c r="L20" s="628"/>
      <c r="M20" s="628">
        <f>+$M$18*Assum!F126</f>
        <v>5.1974898577412882E-3</v>
      </c>
      <c r="N20" s="628"/>
      <c r="O20" s="628"/>
      <c r="P20" s="628"/>
      <c r="Q20" s="628">
        <f>+G20*M20/10</f>
        <v>0</v>
      </c>
      <c r="R20" s="628"/>
      <c r="S20" s="628"/>
      <c r="T20" s="628"/>
      <c r="U20" s="628"/>
      <c r="V20" s="75"/>
      <c r="W20" s="628"/>
      <c r="X20" s="1221"/>
      <c r="Y20" s="75"/>
      <c r="Z20" s="1358"/>
    </row>
    <row r="21" spans="1:26" x14ac:dyDescent="0.4">
      <c r="A21" s="1339"/>
      <c r="B21" s="1360" t="s">
        <v>1546</v>
      </c>
      <c r="C21" s="75"/>
      <c r="D21" s="75"/>
      <c r="E21" s="75"/>
      <c r="F21" s="75"/>
      <c r="G21" s="1221">
        <f>+$F18*'Tariff Schedule'!E$52</f>
        <v>-2.5848333333333335</v>
      </c>
      <c r="H21" s="75"/>
      <c r="I21" s="75"/>
      <c r="J21" s="75"/>
      <c r="K21" s="1306"/>
      <c r="L21" s="628"/>
      <c r="M21" s="628">
        <f>+$M$18*Assum!F127</f>
        <v>1.5685703060152257E-2</v>
      </c>
      <c r="N21" s="628"/>
      <c r="O21" s="628"/>
      <c r="P21" s="628"/>
      <c r="Q21" s="628">
        <f>+G21*M21/10</f>
        <v>-4.0544928126650228E-3</v>
      </c>
      <c r="R21" s="628"/>
      <c r="S21" s="628"/>
      <c r="T21" s="628"/>
      <c r="U21" s="628"/>
      <c r="V21" s="75"/>
      <c r="W21" s="628"/>
      <c r="X21" s="1221"/>
      <c r="Y21" s="75"/>
      <c r="Z21" s="1358"/>
    </row>
    <row r="22" spans="1:26" x14ac:dyDescent="0.4">
      <c r="A22" s="1339"/>
      <c r="B22" s="1360" t="s">
        <v>1549</v>
      </c>
      <c r="C22" s="75"/>
      <c r="D22" s="75"/>
      <c r="E22" s="75"/>
      <c r="F22" s="75"/>
      <c r="G22" s="1221">
        <f>+$F18*'Tariff Schedule'!E$55</f>
        <v>2.3860000000000001</v>
      </c>
      <c r="H22" s="75"/>
      <c r="I22" s="75"/>
      <c r="J22" s="75"/>
      <c r="K22" s="1306"/>
      <c r="L22" s="628"/>
      <c r="M22" s="628">
        <f>+$M$18*Assum!F128</f>
        <v>1.0549777009063484E-2</v>
      </c>
      <c r="N22" s="628"/>
      <c r="O22" s="628"/>
      <c r="P22" s="628"/>
      <c r="Q22" s="628">
        <f>+G22*M22/10</f>
        <v>2.5171767943625474E-3</v>
      </c>
      <c r="R22" s="628"/>
      <c r="S22" s="628"/>
      <c r="T22" s="628"/>
      <c r="U22" s="628"/>
      <c r="V22" s="75"/>
      <c r="W22" s="628"/>
      <c r="X22" s="1221"/>
      <c r="Y22" s="75"/>
      <c r="Z22" s="1358"/>
    </row>
    <row r="23" spans="1:26" hidden="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2"/>
    </row>
    <row r="24" spans="1:26" ht="25.5" hidden="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2"/>
    </row>
    <row r="25" spans="1:26" x14ac:dyDescent="0.4">
      <c r="B25" s="518" t="s">
        <v>162</v>
      </c>
      <c r="C25" s="128">
        <f>SUM(C13:C24)</f>
        <v>4</v>
      </c>
      <c r="D25" s="1309">
        <f>SUM(D13:D24)</f>
        <v>0</v>
      </c>
      <c r="E25" s="1309"/>
      <c r="F25" s="1309"/>
      <c r="G25" s="1309"/>
      <c r="H25" s="1309"/>
      <c r="I25" s="1309">
        <f>SUM(I13:I24)</f>
        <v>0</v>
      </c>
      <c r="J25" s="1309">
        <f>SUM(J13:J24)</f>
        <v>0</v>
      </c>
      <c r="K25" s="1336">
        <f>SUM(K13:K24)</f>
        <v>25540</v>
      </c>
      <c r="L25" s="630">
        <f>+L13+L18</f>
        <v>162.59265396648576</v>
      </c>
      <c r="M25" s="630">
        <f>+M13+M18</f>
        <v>164.23537355887541</v>
      </c>
      <c r="N25" s="630">
        <f t="shared" ref="N25:W25" si="0">+N13+N18</f>
        <v>0</v>
      </c>
      <c r="O25" s="630">
        <f t="shared" si="0"/>
        <v>16.5456</v>
      </c>
      <c r="P25" s="630">
        <f t="shared" si="0"/>
        <v>121.22235217088986</v>
      </c>
      <c r="Q25" s="630">
        <f t="shared" si="0"/>
        <v>-1.7335381787960702</v>
      </c>
      <c r="R25" s="630">
        <f t="shared" si="0"/>
        <v>12.153417643356779</v>
      </c>
      <c r="S25" s="630">
        <f t="shared" si="0"/>
        <v>0</v>
      </c>
      <c r="T25" s="630">
        <f t="shared" si="0"/>
        <v>0</v>
      </c>
      <c r="U25" s="630">
        <f t="shared" si="0"/>
        <v>148.18783163545058</v>
      </c>
      <c r="V25" s="630">
        <f t="shared" si="0"/>
        <v>0</v>
      </c>
      <c r="W25" s="630">
        <f t="shared" si="0"/>
        <v>148.18783163545058</v>
      </c>
      <c r="X25" s="1221">
        <f>IFERROR(W25/L25*10,0)</f>
        <v>9.1140545418488372</v>
      </c>
      <c r="Y25" s="75"/>
      <c r="Z25" s="2"/>
    </row>
    <row r="26" spans="1:26"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2"/>
    </row>
    <row r="27" spans="1:26" hidden="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2"/>
    </row>
    <row r="28" spans="1:26" hidden="1" x14ac:dyDescent="0.4">
      <c r="B28" s="520" t="s">
        <v>1106</v>
      </c>
      <c r="C28" s="1306">
        <f>+'F13 SEZ'!C211</f>
        <v>0</v>
      </c>
      <c r="D28" s="75"/>
      <c r="E28" s="75"/>
      <c r="F28" s="1359"/>
      <c r="G28" s="75"/>
      <c r="H28" s="75"/>
      <c r="I28" s="75"/>
      <c r="J28" s="75"/>
      <c r="K28" s="1306"/>
      <c r="L28" s="628">
        <f>+'F1 SEZ'!K19</f>
        <v>0</v>
      </c>
      <c r="M28" s="628"/>
      <c r="N28" s="628"/>
      <c r="O28" s="628"/>
      <c r="P28" s="628"/>
      <c r="Q28" s="628"/>
      <c r="R28" s="628"/>
      <c r="S28" s="628"/>
      <c r="T28" s="628"/>
      <c r="U28" s="628">
        <f>SUM(N28:T28)</f>
        <v>0</v>
      </c>
      <c r="V28" s="75"/>
      <c r="W28" s="628">
        <f>+U28+V28</f>
        <v>0</v>
      </c>
      <c r="X28" s="75"/>
      <c r="Y28" s="75"/>
      <c r="Z28" s="2"/>
    </row>
    <row r="29" spans="1:26" hidden="1" x14ac:dyDescent="0.4">
      <c r="B29" s="520" t="s">
        <v>1107</v>
      </c>
      <c r="C29" s="1306">
        <f>+'F13 SEZ'!C212</f>
        <v>0</v>
      </c>
      <c r="D29" s="75"/>
      <c r="E29" s="75"/>
      <c r="F29" s="1359"/>
      <c r="G29" s="75"/>
      <c r="H29" s="75"/>
      <c r="I29" s="75"/>
      <c r="J29" s="75"/>
      <c r="K29" s="1306"/>
      <c r="L29" s="628">
        <f>+'F1 SEZ'!K20</f>
        <v>0</v>
      </c>
      <c r="M29" s="628"/>
      <c r="N29" s="628"/>
      <c r="O29" s="628"/>
      <c r="P29" s="628"/>
      <c r="Q29" s="628"/>
      <c r="R29" s="628"/>
      <c r="S29" s="628"/>
      <c r="T29" s="628"/>
      <c r="U29" s="628">
        <f>SUM(N29:T29)</f>
        <v>0</v>
      </c>
      <c r="V29" s="75"/>
      <c r="W29" s="628">
        <f>+U29+V29</f>
        <v>0</v>
      </c>
      <c r="X29" s="75"/>
      <c r="Y29" s="75"/>
      <c r="Z29" s="2"/>
    </row>
    <row r="30" spans="1:26" hidden="1" x14ac:dyDescent="0.4">
      <c r="B30" s="520" t="s">
        <v>1108</v>
      </c>
      <c r="C30" s="1306">
        <f>+'F13 SEZ'!C213</f>
        <v>0</v>
      </c>
      <c r="D30" s="75"/>
      <c r="E30" s="75"/>
      <c r="F30" s="1359"/>
      <c r="G30" s="75"/>
      <c r="H30" s="75"/>
      <c r="I30" s="75"/>
      <c r="J30" s="75"/>
      <c r="K30" s="1306"/>
      <c r="L30" s="628">
        <f>+'F1 SEZ'!K21</f>
        <v>0</v>
      </c>
      <c r="M30" s="628"/>
      <c r="N30" s="628"/>
      <c r="O30" s="628"/>
      <c r="P30" s="628"/>
      <c r="Q30" s="628"/>
      <c r="R30" s="628"/>
      <c r="S30" s="628"/>
      <c r="T30" s="628"/>
      <c r="U30" s="628">
        <f>SUM(N30:T30)</f>
        <v>0</v>
      </c>
      <c r="V30" s="75"/>
      <c r="W30" s="628">
        <f>+U30+V30</f>
        <v>0</v>
      </c>
      <c r="X30" s="75"/>
      <c r="Y30" s="75"/>
      <c r="Z30" s="2"/>
    </row>
    <row r="31" spans="1:26" hidden="1" x14ac:dyDescent="0.4">
      <c r="B31" s="520" t="s">
        <v>1109</v>
      </c>
      <c r="C31" s="1306">
        <f>+'F13 SEZ'!C214</f>
        <v>0</v>
      </c>
      <c r="D31" s="75"/>
      <c r="E31" s="75"/>
      <c r="F31" s="1359"/>
      <c r="G31" s="75"/>
      <c r="H31" s="75"/>
      <c r="I31" s="75"/>
      <c r="J31" s="75"/>
      <c r="K31" s="1306"/>
      <c r="L31" s="628">
        <f>+'F1 SEZ'!K22</f>
        <v>0</v>
      </c>
      <c r="M31" s="628"/>
      <c r="N31" s="628"/>
      <c r="O31" s="628"/>
      <c r="P31" s="628"/>
      <c r="Q31" s="628"/>
      <c r="R31" s="628"/>
      <c r="S31" s="628"/>
      <c r="T31" s="628"/>
      <c r="U31" s="628">
        <f>SUM(N31:T31)</f>
        <v>0</v>
      </c>
      <c r="V31" s="75"/>
      <c r="W31" s="628">
        <f>+U31+V31</f>
        <v>0</v>
      </c>
      <c r="X31" s="75"/>
      <c r="Y31" s="75"/>
      <c r="Z31" s="2"/>
    </row>
    <row r="32" spans="1:26" hidden="1" x14ac:dyDescent="0.4">
      <c r="B32" s="520" t="s">
        <v>1110</v>
      </c>
      <c r="C32" s="1306">
        <f>+'F13 SEZ'!C215</f>
        <v>0</v>
      </c>
      <c r="D32" s="75"/>
      <c r="E32" s="75"/>
      <c r="F32" s="75"/>
      <c r="G32" s="75"/>
      <c r="H32" s="75"/>
      <c r="I32" s="75"/>
      <c r="J32" s="75"/>
      <c r="K32" s="1306"/>
      <c r="L32" s="628">
        <f>+'F1 SEZ'!K23</f>
        <v>0</v>
      </c>
      <c r="M32" s="628"/>
      <c r="N32" s="628"/>
      <c r="O32" s="628"/>
      <c r="P32" s="628"/>
      <c r="Q32" s="628"/>
      <c r="R32" s="628"/>
      <c r="S32" s="628"/>
      <c r="T32" s="628"/>
      <c r="U32" s="628">
        <f>SUM(N32:T32)</f>
        <v>0</v>
      </c>
      <c r="V32" s="75"/>
      <c r="W32" s="628">
        <f>+U32+V32</f>
        <v>0</v>
      </c>
      <c r="X32" s="75"/>
      <c r="Y32" s="75"/>
      <c r="Z32" s="2"/>
    </row>
    <row r="33" spans="1:26" hidden="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2"/>
    </row>
    <row r="34" spans="1:26" ht="25.5" hidden="1" x14ac:dyDescent="0.4">
      <c r="B34" s="1363" t="s">
        <v>1139</v>
      </c>
      <c r="C34" s="1307">
        <f>SUM(C35:C41)</f>
        <v>0</v>
      </c>
      <c r="D34" s="75"/>
      <c r="E34" s="75"/>
      <c r="F34" s="75"/>
      <c r="G34" s="75"/>
      <c r="H34" s="75"/>
      <c r="I34" s="75"/>
      <c r="J34" s="75"/>
      <c r="K34" s="1306"/>
      <c r="L34" s="628">
        <f>+'F1 SEZ'!K24</f>
        <v>0</v>
      </c>
      <c r="M34" s="628"/>
      <c r="N34" s="628"/>
      <c r="O34" s="628"/>
      <c r="P34" s="628"/>
      <c r="Q34" s="628"/>
      <c r="R34" s="628"/>
      <c r="S34" s="628"/>
      <c r="T34" s="628"/>
      <c r="U34" s="628">
        <f>SUM(N34:T34)</f>
        <v>0</v>
      </c>
      <c r="V34" s="75"/>
      <c r="W34" s="628">
        <f>+U34+V34</f>
        <v>0</v>
      </c>
      <c r="X34" s="75"/>
      <c r="Y34" s="75"/>
      <c r="Z34" s="2"/>
    </row>
    <row r="35" spans="1:26" hidden="1" x14ac:dyDescent="0.4">
      <c r="B35" s="1362" t="s">
        <v>1140</v>
      </c>
      <c r="C35" s="1306">
        <f>+'F13 SEZ'!C217</f>
        <v>0</v>
      </c>
      <c r="D35" s="75"/>
      <c r="E35" s="75"/>
      <c r="F35" s="75"/>
      <c r="G35" s="75"/>
      <c r="H35" s="75"/>
      <c r="I35" s="75"/>
      <c r="J35" s="75"/>
      <c r="K35" s="1306"/>
      <c r="L35" s="628">
        <f>+'F1 SEZ'!K25</f>
        <v>0</v>
      </c>
      <c r="M35" s="628"/>
      <c r="N35" s="628"/>
      <c r="O35" s="628"/>
      <c r="P35" s="628"/>
      <c r="Q35" s="628"/>
      <c r="R35" s="628"/>
      <c r="S35" s="628"/>
      <c r="T35" s="628"/>
      <c r="U35" s="628">
        <f>SUM(N35:T35)</f>
        <v>0</v>
      </c>
      <c r="V35" s="75"/>
      <c r="W35" s="628">
        <f>+U35+V35</f>
        <v>0</v>
      </c>
      <c r="X35" s="75"/>
      <c r="Y35" s="75"/>
      <c r="Z35" s="2"/>
    </row>
    <row r="36" spans="1:26" hidden="1" x14ac:dyDescent="0.4">
      <c r="B36" s="1362" t="s">
        <v>1144</v>
      </c>
      <c r="C36" s="1306">
        <f>+'F13 SEZ'!C218</f>
        <v>0</v>
      </c>
      <c r="D36" s="75"/>
      <c r="E36" s="75"/>
      <c r="F36" s="75"/>
      <c r="G36" s="75"/>
      <c r="H36" s="75"/>
      <c r="I36" s="75"/>
      <c r="J36" s="75"/>
      <c r="K36" s="1306"/>
      <c r="L36" s="628">
        <f>+'F1 SEZ'!K26</f>
        <v>0</v>
      </c>
      <c r="M36" s="628"/>
      <c r="N36" s="628"/>
      <c r="O36" s="628"/>
      <c r="P36" s="628"/>
      <c r="Q36" s="628"/>
      <c r="R36" s="628"/>
      <c r="S36" s="628"/>
      <c r="T36" s="628"/>
      <c r="U36" s="628">
        <f>SUM(N36:T36)</f>
        <v>0</v>
      </c>
      <c r="V36" s="75"/>
      <c r="W36" s="628">
        <f>+U36+V36</f>
        <v>0</v>
      </c>
      <c r="X36" s="75"/>
      <c r="Y36" s="75"/>
      <c r="Z36" s="2"/>
    </row>
    <row r="37" spans="1:26" hidden="1" x14ac:dyDescent="0.4">
      <c r="A37" s="1339"/>
      <c r="B37" s="1360" t="s">
        <v>1544</v>
      </c>
      <c r="C37" s="75"/>
      <c r="D37" s="75"/>
      <c r="E37" s="75"/>
      <c r="F37" s="75"/>
      <c r="G37" s="1221">
        <f>+$F36*'Tariff Schedule'!E$50</f>
        <v>0</v>
      </c>
      <c r="H37" s="75"/>
      <c r="I37" s="75"/>
      <c r="J37" s="75"/>
      <c r="K37" s="1306"/>
      <c r="L37" s="628"/>
      <c r="M37" s="628"/>
      <c r="N37" s="628"/>
      <c r="O37" s="628"/>
      <c r="P37" s="628"/>
      <c r="Q37" s="628">
        <f>+G37*M37/10</f>
        <v>0</v>
      </c>
      <c r="R37" s="628"/>
      <c r="S37" s="628"/>
      <c r="T37" s="628"/>
      <c r="U37" s="628"/>
      <c r="V37" s="75"/>
      <c r="W37" s="628"/>
      <c r="X37" s="1221"/>
      <c r="Y37" s="75"/>
      <c r="Z37" s="1358"/>
    </row>
    <row r="38" spans="1:26" hidden="1" x14ac:dyDescent="0.4">
      <c r="A38" s="1339"/>
      <c r="B38" s="1360" t="s">
        <v>1545</v>
      </c>
      <c r="C38" s="75"/>
      <c r="D38" s="75"/>
      <c r="E38" s="75"/>
      <c r="F38" s="75"/>
      <c r="G38" s="1221">
        <f>+$F36*'Tariff Schedule'!E$51</f>
        <v>0</v>
      </c>
      <c r="H38" s="75"/>
      <c r="I38" s="75"/>
      <c r="J38" s="75"/>
      <c r="K38" s="1306"/>
      <c r="L38" s="628"/>
      <c r="M38" s="628"/>
      <c r="N38" s="628"/>
      <c r="O38" s="628"/>
      <c r="P38" s="628"/>
      <c r="Q38" s="628">
        <f>+G38*M38/10</f>
        <v>0</v>
      </c>
      <c r="R38" s="628"/>
      <c r="S38" s="628"/>
      <c r="T38" s="628"/>
      <c r="U38" s="628"/>
      <c r="V38" s="75"/>
      <c r="W38" s="628"/>
      <c r="X38" s="1221"/>
      <c r="Y38" s="75"/>
      <c r="Z38" s="1358"/>
    </row>
    <row r="39" spans="1:26" hidden="1" x14ac:dyDescent="0.4">
      <c r="A39" s="1339"/>
      <c r="B39" s="1360" t="s">
        <v>1546</v>
      </c>
      <c r="C39" s="75"/>
      <c r="D39" s="75"/>
      <c r="E39" s="75"/>
      <c r="F39" s="75"/>
      <c r="G39" s="1221">
        <f>+$F36*'Tariff Schedule'!E$52</f>
        <v>0</v>
      </c>
      <c r="H39" s="75"/>
      <c r="I39" s="75"/>
      <c r="J39" s="75"/>
      <c r="K39" s="1306"/>
      <c r="L39" s="628"/>
      <c r="M39" s="628"/>
      <c r="N39" s="628"/>
      <c r="O39" s="628"/>
      <c r="P39" s="628"/>
      <c r="Q39" s="628">
        <f>+G39*M39/10</f>
        <v>0</v>
      </c>
      <c r="R39" s="628"/>
      <c r="S39" s="628"/>
      <c r="T39" s="628"/>
      <c r="U39" s="628"/>
      <c r="V39" s="75"/>
      <c r="W39" s="628"/>
      <c r="X39" s="1221"/>
      <c r="Y39" s="75"/>
      <c r="Z39" s="1358"/>
    </row>
    <row r="40" spans="1:26" hidden="1" x14ac:dyDescent="0.4">
      <c r="A40" s="1339"/>
      <c r="B40" s="1360" t="s">
        <v>1549</v>
      </c>
      <c r="C40" s="75"/>
      <c r="D40" s="75"/>
      <c r="E40" s="75"/>
      <c r="F40" s="75"/>
      <c r="G40" s="1221">
        <f>+$F36*'Tariff Schedule'!E$55</f>
        <v>0</v>
      </c>
      <c r="H40" s="75"/>
      <c r="I40" s="75"/>
      <c r="J40" s="75"/>
      <c r="K40" s="1306"/>
      <c r="L40" s="628"/>
      <c r="M40" s="628"/>
      <c r="N40" s="628"/>
      <c r="O40" s="628"/>
      <c r="P40" s="628"/>
      <c r="Q40" s="628">
        <f>+G40*M40/10</f>
        <v>0</v>
      </c>
      <c r="R40" s="628"/>
      <c r="S40" s="628"/>
      <c r="T40" s="628"/>
      <c r="U40" s="628"/>
      <c r="V40" s="75"/>
      <c r="W40" s="628"/>
      <c r="X40" s="1221"/>
      <c r="Y40" s="75"/>
      <c r="Z40" s="1358"/>
    </row>
    <row r="41" spans="1:26" hidden="1" x14ac:dyDescent="0.4">
      <c r="B41" s="1362" t="s">
        <v>1143</v>
      </c>
      <c r="C41" s="1306">
        <f>+'F13 SEZ'!C219</f>
        <v>0</v>
      </c>
      <c r="D41" s="75"/>
      <c r="E41" s="75"/>
      <c r="F41" s="75"/>
      <c r="G41" s="75"/>
      <c r="H41" s="75"/>
      <c r="I41" s="75"/>
      <c r="J41" s="75"/>
      <c r="K41" s="1306"/>
      <c r="L41" s="628">
        <f>+'F1 SEZ'!K27</f>
        <v>0</v>
      </c>
      <c r="M41" s="628"/>
      <c r="N41" s="628"/>
      <c r="O41" s="628"/>
      <c r="P41" s="628"/>
      <c r="Q41" s="628"/>
      <c r="R41" s="628"/>
      <c r="S41" s="628"/>
      <c r="T41" s="628"/>
      <c r="U41" s="628">
        <f>SUM(N41:T41)</f>
        <v>0</v>
      </c>
      <c r="V41" s="75"/>
      <c r="W41" s="628">
        <f>+U41+V41</f>
        <v>0</v>
      </c>
      <c r="X41" s="75"/>
      <c r="Y41" s="75"/>
      <c r="Z41" s="2"/>
    </row>
    <row r="42" spans="1:26" hidden="1" x14ac:dyDescent="0.4">
      <c r="A42" s="1339"/>
      <c r="B42" s="1360" t="s">
        <v>1544</v>
      </c>
      <c r="C42" s="75"/>
      <c r="D42" s="75"/>
      <c r="E42" s="75"/>
      <c r="F42" s="75"/>
      <c r="G42" s="1221">
        <f>+$F41*'Tariff Schedule'!E$50</f>
        <v>0</v>
      </c>
      <c r="H42" s="75"/>
      <c r="I42" s="75"/>
      <c r="J42" s="75"/>
      <c r="K42" s="1306"/>
      <c r="L42" s="628"/>
      <c r="M42" s="628"/>
      <c r="N42" s="628"/>
      <c r="O42" s="628"/>
      <c r="P42" s="628"/>
      <c r="Q42" s="628">
        <f>+G42*M42/10</f>
        <v>0</v>
      </c>
      <c r="R42" s="628"/>
      <c r="S42" s="628"/>
      <c r="T42" s="628"/>
      <c r="U42" s="628"/>
      <c r="V42" s="75"/>
      <c r="W42" s="628"/>
      <c r="X42" s="1221"/>
      <c r="Y42" s="75"/>
      <c r="Z42" s="1358"/>
    </row>
    <row r="43" spans="1:26" hidden="1" x14ac:dyDescent="0.4">
      <c r="A43" s="1339"/>
      <c r="B43" s="1360" t="s">
        <v>1545</v>
      </c>
      <c r="C43" s="75"/>
      <c r="D43" s="75"/>
      <c r="E43" s="75"/>
      <c r="F43" s="75"/>
      <c r="G43" s="1221">
        <f>+$F41*'Tariff Schedule'!E$51</f>
        <v>0</v>
      </c>
      <c r="H43" s="75"/>
      <c r="I43" s="75"/>
      <c r="J43" s="75"/>
      <c r="K43" s="1306"/>
      <c r="L43" s="628"/>
      <c r="M43" s="628"/>
      <c r="N43" s="628"/>
      <c r="O43" s="628"/>
      <c r="P43" s="628"/>
      <c r="Q43" s="628">
        <f>+G43*M43/10</f>
        <v>0</v>
      </c>
      <c r="R43" s="628"/>
      <c r="S43" s="628"/>
      <c r="T43" s="628"/>
      <c r="U43" s="628"/>
      <c r="V43" s="75"/>
      <c r="W43" s="628"/>
      <c r="X43" s="1221"/>
      <c r="Y43" s="75"/>
      <c r="Z43" s="1358"/>
    </row>
    <row r="44" spans="1:26" hidden="1" x14ac:dyDescent="0.4">
      <c r="A44" s="1339"/>
      <c r="B44" s="1360" t="s">
        <v>1546</v>
      </c>
      <c r="C44" s="75"/>
      <c r="D44" s="75"/>
      <c r="E44" s="75"/>
      <c r="F44" s="75"/>
      <c r="G44" s="1221">
        <f>+$F41*'Tariff Schedule'!E$52</f>
        <v>0</v>
      </c>
      <c r="H44" s="75"/>
      <c r="I44" s="75"/>
      <c r="J44" s="75"/>
      <c r="K44" s="1306"/>
      <c r="L44" s="628"/>
      <c r="M44" s="628"/>
      <c r="N44" s="628"/>
      <c r="O44" s="628"/>
      <c r="P44" s="628"/>
      <c r="Q44" s="628">
        <f>+G44*M44/10</f>
        <v>0</v>
      </c>
      <c r="R44" s="628"/>
      <c r="S44" s="628"/>
      <c r="T44" s="628"/>
      <c r="U44" s="628"/>
      <c r="V44" s="75"/>
      <c r="W44" s="628"/>
      <c r="X44" s="1221"/>
      <c r="Y44" s="75"/>
      <c r="Z44" s="1358"/>
    </row>
    <row r="45" spans="1:26" hidden="1" x14ac:dyDescent="0.4">
      <c r="A45" s="1339"/>
      <c r="B45" s="1360" t="s">
        <v>1549</v>
      </c>
      <c r="C45" s="75"/>
      <c r="D45" s="75"/>
      <c r="E45" s="75"/>
      <c r="F45" s="75"/>
      <c r="G45" s="1221">
        <f>+$F41*'Tariff Schedule'!E$55</f>
        <v>0</v>
      </c>
      <c r="H45" s="75"/>
      <c r="I45" s="75"/>
      <c r="J45" s="75"/>
      <c r="K45" s="1306"/>
      <c r="L45" s="628"/>
      <c r="M45" s="628"/>
      <c r="N45" s="628"/>
      <c r="O45" s="628"/>
      <c r="P45" s="628"/>
      <c r="Q45" s="628">
        <f>+G45*M45/10</f>
        <v>0</v>
      </c>
      <c r="R45" s="628"/>
      <c r="S45" s="628"/>
      <c r="T45" s="628"/>
      <c r="U45" s="628"/>
      <c r="V45" s="75"/>
      <c r="W45" s="628"/>
      <c r="X45" s="1221"/>
      <c r="Y45" s="75"/>
      <c r="Z45" s="1358"/>
    </row>
    <row r="46" spans="1:26" ht="25.5" hidden="1" x14ac:dyDescent="0.4">
      <c r="B46" s="519" t="s">
        <v>1111</v>
      </c>
      <c r="C46" s="1306">
        <f>+'F13 SEZ'!C220</f>
        <v>0</v>
      </c>
      <c r="D46" s="75"/>
      <c r="E46" s="75"/>
      <c r="F46" s="75"/>
      <c r="G46" s="75"/>
      <c r="H46" s="75"/>
      <c r="I46" s="75"/>
      <c r="J46" s="75"/>
      <c r="K46" s="1306"/>
      <c r="L46" s="628">
        <f>+'F1 SEZ'!K28</f>
        <v>0</v>
      </c>
      <c r="M46" s="628"/>
      <c r="N46" s="628"/>
      <c r="O46" s="628"/>
      <c r="P46" s="628"/>
      <c r="Q46" s="628"/>
      <c r="R46" s="628"/>
      <c r="S46" s="628"/>
      <c r="T46" s="628"/>
      <c r="U46" s="628">
        <f>SUM(N46:T46)</f>
        <v>0</v>
      </c>
      <c r="V46" s="75"/>
      <c r="W46" s="628">
        <f>+U46+V46</f>
        <v>0</v>
      </c>
      <c r="X46" s="75"/>
      <c r="Y46" s="75"/>
      <c r="Z46" s="2"/>
    </row>
    <row r="47" spans="1:26" hidden="1" x14ac:dyDescent="0.4">
      <c r="A47" s="1339"/>
      <c r="B47" s="1360" t="s">
        <v>1544</v>
      </c>
      <c r="C47" s="75"/>
      <c r="D47" s="75"/>
      <c r="E47" s="75"/>
      <c r="F47" s="75"/>
      <c r="G47" s="1221">
        <f>+$F46*'Tariff Schedule'!E$50</f>
        <v>0</v>
      </c>
      <c r="H47" s="75"/>
      <c r="I47" s="75"/>
      <c r="J47" s="75"/>
      <c r="K47" s="1306"/>
      <c r="L47" s="628"/>
      <c r="M47" s="628"/>
      <c r="N47" s="628"/>
      <c r="O47" s="628"/>
      <c r="P47" s="628"/>
      <c r="Q47" s="628">
        <f>+G47*M47/10</f>
        <v>0</v>
      </c>
      <c r="R47" s="628"/>
      <c r="S47" s="628"/>
      <c r="T47" s="628"/>
      <c r="U47" s="628"/>
      <c r="V47" s="75"/>
      <c r="W47" s="628"/>
      <c r="X47" s="1221"/>
      <c r="Y47" s="75"/>
      <c r="Z47" s="1358"/>
    </row>
    <row r="48" spans="1:26" hidden="1" x14ac:dyDescent="0.4">
      <c r="A48" s="1339"/>
      <c r="B48" s="1360" t="s">
        <v>1545</v>
      </c>
      <c r="C48" s="75"/>
      <c r="D48" s="75"/>
      <c r="E48" s="75"/>
      <c r="F48" s="75"/>
      <c r="G48" s="1221">
        <f>+$F46*'Tariff Schedule'!E$51</f>
        <v>0</v>
      </c>
      <c r="H48" s="75"/>
      <c r="I48" s="75"/>
      <c r="J48" s="75"/>
      <c r="K48" s="1306"/>
      <c r="L48" s="628"/>
      <c r="M48" s="628"/>
      <c r="N48" s="628"/>
      <c r="O48" s="628"/>
      <c r="P48" s="628"/>
      <c r="Q48" s="628">
        <f>+G48*M48/10</f>
        <v>0</v>
      </c>
      <c r="R48" s="628"/>
      <c r="S48" s="628"/>
      <c r="T48" s="628"/>
      <c r="U48" s="628"/>
      <c r="V48" s="75"/>
      <c r="W48" s="628"/>
      <c r="X48" s="1221"/>
      <c r="Y48" s="75"/>
      <c r="Z48" s="1358"/>
    </row>
    <row r="49" spans="1:26" hidden="1" x14ac:dyDescent="0.4">
      <c r="A49" s="1339"/>
      <c r="B49" s="1360" t="s">
        <v>1546</v>
      </c>
      <c r="C49" s="75"/>
      <c r="D49" s="75"/>
      <c r="E49" s="75"/>
      <c r="F49" s="75"/>
      <c r="G49" s="1221">
        <f>+$F46*'Tariff Schedule'!E$52</f>
        <v>0</v>
      </c>
      <c r="H49" s="75"/>
      <c r="I49" s="75"/>
      <c r="J49" s="75"/>
      <c r="K49" s="1306"/>
      <c r="L49" s="628"/>
      <c r="M49" s="628"/>
      <c r="N49" s="628"/>
      <c r="O49" s="628"/>
      <c r="P49" s="628"/>
      <c r="Q49" s="628">
        <f>+G49*M49/10</f>
        <v>0</v>
      </c>
      <c r="R49" s="628"/>
      <c r="S49" s="628"/>
      <c r="T49" s="628"/>
      <c r="U49" s="628"/>
      <c r="V49" s="75"/>
      <c r="W49" s="628"/>
      <c r="X49" s="1221"/>
      <c r="Y49" s="75"/>
      <c r="Z49" s="1358"/>
    </row>
    <row r="50" spans="1:26" hidden="1" x14ac:dyDescent="0.4">
      <c r="A50" s="1339"/>
      <c r="B50" s="1360" t="s">
        <v>1549</v>
      </c>
      <c r="C50" s="75"/>
      <c r="D50" s="75"/>
      <c r="E50" s="75"/>
      <c r="F50" s="75"/>
      <c r="G50" s="1221">
        <f>+$F46*'Tariff Schedule'!E$55</f>
        <v>0</v>
      </c>
      <c r="H50" s="75"/>
      <c r="I50" s="75"/>
      <c r="J50" s="75"/>
      <c r="K50" s="1306"/>
      <c r="L50" s="628"/>
      <c r="M50" s="628"/>
      <c r="N50" s="628"/>
      <c r="O50" s="628"/>
      <c r="P50" s="628"/>
      <c r="Q50" s="628">
        <f>+G50*M50/10</f>
        <v>0</v>
      </c>
      <c r="R50" s="628"/>
      <c r="S50" s="628"/>
      <c r="T50" s="628"/>
      <c r="U50" s="628"/>
      <c r="V50" s="75"/>
      <c r="W50" s="628"/>
      <c r="X50" s="1221"/>
      <c r="Y50" s="75"/>
      <c r="Z50" s="1358"/>
    </row>
    <row r="51" spans="1:26" s="6" customFormat="1" ht="25.5" x14ac:dyDescent="0.35">
      <c r="B51" s="1363" t="s">
        <v>1135</v>
      </c>
      <c r="C51" s="1336">
        <f>+'F13 SEZ'!C221</f>
        <v>1</v>
      </c>
      <c r="D51" s="128">
        <f>+'Tariff Schedule'!F26</f>
        <v>600</v>
      </c>
      <c r="E51" s="128"/>
      <c r="F51" s="1365">
        <f>+'Tariff Schedule'!M26</f>
        <v>5.43</v>
      </c>
      <c r="G51" s="128"/>
      <c r="H51" s="1365">
        <f>+'Tariff Schedule'!R26</f>
        <v>1.17</v>
      </c>
      <c r="I51" s="128"/>
      <c r="J51" s="128"/>
      <c r="K51" s="1336">
        <v>19</v>
      </c>
      <c r="L51" s="630">
        <f>+'F1 SEZ'!K29</f>
        <v>0.33779853227978168</v>
      </c>
      <c r="M51" s="630">
        <f>+L51/Z51</f>
        <v>0.34469237987732826</v>
      </c>
      <c r="N51" s="630">
        <f>+C51*D51*12/10^7</f>
        <v>7.2000000000000005E-4</v>
      </c>
      <c r="O51" s="630"/>
      <c r="P51" s="630">
        <f>(L51*F51)/10</f>
        <v>0.18342460302792146</v>
      </c>
      <c r="Q51" s="630"/>
      <c r="R51" s="630">
        <f>(L51*H51)/10</f>
        <v>3.9522428276734453E-2</v>
      </c>
      <c r="S51" s="630"/>
      <c r="T51" s="630"/>
      <c r="U51" s="630">
        <f>SUM(N51:T51)</f>
        <v>0.22366703130465593</v>
      </c>
      <c r="V51" s="128"/>
      <c r="W51" s="630">
        <f>+U51+V51</f>
        <v>0.22366703130465593</v>
      </c>
      <c r="X51" s="1222">
        <f>IFERROR(W51/L51*10,0)</f>
        <v>6.6213144798214714</v>
      </c>
      <c r="Y51" s="128"/>
      <c r="Z51" s="1366">
        <f>+'Tariff Schedule'!X26</f>
        <v>0.98</v>
      </c>
    </row>
    <row r="52" spans="1:26" ht="38.25" hidden="1" x14ac:dyDescent="0.4">
      <c r="B52" s="519" t="s">
        <v>1136</v>
      </c>
      <c r="C52" s="1306">
        <f>+'F13 SEZ'!C222</f>
        <v>0</v>
      </c>
      <c r="D52" s="75"/>
      <c r="E52" s="75"/>
      <c r="F52" s="75"/>
      <c r="G52" s="75"/>
      <c r="H52" s="75"/>
      <c r="I52" s="75"/>
      <c r="J52" s="75"/>
      <c r="K52" s="1306"/>
      <c r="L52" s="628">
        <f>+'F1 SEZ'!K30</f>
        <v>0</v>
      </c>
      <c r="M52" s="628"/>
      <c r="N52" s="628"/>
      <c r="O52" s="628"/>
      <c r="P52" s="628"/>
      <c r="Q52" s="628"/>
      <c r="R52" s="628"/>
      <c r="S52" s="628"/>
      <c r="T52" s="628"/>
      <c r="U52" s="628">
        <f>SUM(N52:T52)</f>
        <v>0</v>
      </c>
      <c r="V52" s="75"/>
      <c r="W52" s="628">
        <f>+U52+V52</f>
        <v>0</v>
      </c>
      <c r="X52" s="75"/>
      <c r="Y52" s="75"/>
      <c r="Z52" s="2"/>
    </row>
    <row r="53" spans="1:26" hidden="1" x14ac:dyDescent="0.4">
      <c r="A53" s="1339"/>
      <c r="B53" s="1360" t="s">
        <v>1544</v>
      </c>
      <c r="C53" s="75"/>
      <c r="D53" s="75"/>
      <c r="E53" s="75"/>
      <c r="F53" s="75"/>
      <c r="G53" s="1221">
        <f>+$F52*'Tariff Schedule'!E$50</f>
        <v>0</v>
      </c>
      <c r="H53" s="75"/>
      <c r="I53" s="75"/>
      <c r="J53" s="75"/>
      <c r="K53" s="1306"/>
      <c r="L53" s="628"/>
      <c r="M53" s="628"/>
      <c r="N53" s="628"/>
      <c r="O53" s="628"/>
      <c r="P53" s="628"/>
      <c r="Q53" s="628">
        <f>+G53*M53/10</f>
        <v>0</v>
      </c>
      <c r="R53" s="628"/>
      <c r="S53" s="628"/>
      <c r="T53" s="628"/>
      <c r="U53" s="628"/>
      <c r="V53" s="75"/>
      <c r="W53" s="628"/>
      <c r="X53" s="1221"/>
      <c r="Y53" s="75"/>
      <c r="Z53" s="1358"/>
    </row>
    <row r="54" spans="1:26" hidden="1" x14ac:dyDescent="0.4">
      <c r="A54" s="1339"/>
      <c r="B54" s="1360" t="s">
        <v>1545</v>
      </c>
      <c r="C54" s="75"/>
      <c r="D54" s="75"/>
      <c r="E54" s="75"/>
      <c r="F54" s="75"/>
      <c r="G54" s="1221">
        <f>+$F52*'Tariff Schedule'!E$51</f>
        <v>0</v>
      </c>
      <c r="H54" s="75"/>
      <c r="I54" s="75"/>
      <c r="J54" s="75"/>
      <c r="K54" s="1306"/>
      <c r="L54" s="628"/>
      <c r="M54" s="628"/>
      <c r="N54" s="628"/>
      <c r="O54" s="628"/>
      <c r="P54" s="628"/>
      <c r="Q54" s="628">
        <f>+G54*M54/10</f>
        <v>0</v>
      </c>
      <c r="R54" s="628"/>
      <c r="S54" s="628"/>
      <c r="T54" s="628"/>
      <c r="U54" s="628"/>
      <c r="V54" s="75"/>
      <c r="W54" s="628"/>
      <c r="X54" s="1221"/>
      <c r="Y54" s="75"/>
      <c r="Z54" s="1358"/>
    </row>
    <row r="55" spans="1:26" hidden="1" x14ac:dyDescent="0.4">
      <c r="A55" s="1339"/>
      <c r="B55" s="1360" t="s">
        <v>1546</v>
      </c>
      <c r="C55" s="75"/>
      <c r="D55" s="75"/>
      <c r="E55" s="75"/>
      <c r="F55" s="75"/>
      <c r="G55" s="1221">
        <f>+$F52*'Tariff Schedule'!E$52</f>
        <v>0</v>
      </c>
      <c r="H55" s="75"/>
      <c r="I55" s="75"/>
      <c r="J55" s="75"/>
      <c r="K55" s="1306"/>
      <c r="L55" s="628"/>
      <c r="M55" s="628"/>
      <c r="N55" s="628"/>
      <c r="O55" s="628"/>
      <c r="P55" s="628"/>
      <c r="Q55" s="628">
        <f>+G55*M55/10</f>
        <v>0</v>
      </c>
      <c r="R55" s="628"/>
      <c r="S55" s="628"/>
      <c r="T55" s="628"/>
      <c r="U55" s="628"/>
      <c r="V55" s="75"/>
      <c r="W55" s="628"/>
      <c r="X55" s="1221"/>
      <c r="Y55" s="75"/>
      <c r="Z55" s="1358"/>
    </row>
    <row r="56" spans="1:26" hidden="1" x14ac:dyDescent="0.4">
      <c r="A56" s="1339"/>
      <c r="B56" s="1360" t="s">
        <v>1549</v>
      </c>
      <c r="C56" s="75"/>
      <c r="D56" s="75"/>
      <c r="E56" s="75"/>
      <c r="F56" s="75"/>
      <c r="G56" s="1221">
        <f>+$F52*'Tariff Schedule'!E$55</f>
        <v>0</v>
      </c>
      <c r="H56" s="75"/>
      <c r="I56" s="75"/>
      <c r="J56" s="75"/>
      <c r="K56" s="1306"/>
      <c r="L56" s="628"/>
      <c r="M56" s="628"/>
      <c r="N56" s="628"/>
      <c r="O56" s="628"/>
      <c r="P56" s="628"/>
      <c r="Q56" s="628">
        <f>+G56*M56/10</f>
        <v>0</v>
      </c>
      <c r="R56" s="628"/>
      <c r="S56" s="628"/>
      <c r="T56" s="628"/>
      <c r="U56" s="628"/>
      <c r="V56" s="75"/>
      <c r="W56" s="628"/>
      <c r="X56" s="1221"/>
      <c r="Y56" s="75"/>
      <c r="Z56" s="1358"/>
    </row>
    <row r="57" spans="1:26" hidden="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2"/>
    </row>
    <row r="58" spans="1:26" ht="25.5" hidden="1" x14ac:dyDescent="0.4">
      <c r="B58" s="519" t="s">
        <v>1142</v>
      </c>
      <c r="C58" s="1306">
        <f>+'F13 SEZ'!C223</f>
        <v>0</v>
      </c>
      <c r="D58" s="75"/>
      <c r="E58" s="75"/>
      <c r="F58" s="75"/>
      <c r="G58" s="75"/>
      <c r="H58" s="75"/>
      <c r="I58" s="75"/>
      <c r="J58" s="75"/>
      <c r="K58" s="1306"/>
      <c r="L58" s="628">
        <f>+'F1 SEZ'!K31</f>
        <v>0</v>
      </c>
      <c r="M58" s="628"/>
      <c r="N58" s="628"/>
      <c r="O58" s="628"/>
      <c r="P58" s="628"/>
      <c r="Q58" s="628"/>
      <c r="R58" s="628"/>
      <c r="S58" s="628"/>
      <c r="T58" s="628"/>
      <c r="U58" s="628">
        <f>SUM(N58:T58)</f>
        <v>0</v>
      </c>
      <c r="V58" s="75"/>
      <c r="W58" s="628">
        <f>+U58+V58</f>
        <v>0</v>
      </c>
      <c r="X58" s="75"/>
      <c r="Y58" s="75"/>
      <c r="Z58" s="2"/>
    </row>
    <row r="59" spans="1:26" hidden="1" x14ac:dyDescent="0.4">
      <c r="A59" s="1339"/>
      <c r="B59" s="1360" t="s">
        <v>1544</v>
      </c>
      <c r="C59" s="75"/>
      <c r="D59" s="75"/>
      <c r="E59" s="75"/>
      <c r="F59" s="75"/>
      <c r="G59" s="1221">
        <f>+$F58*'Tariff Schedule'!E$50</f>
        <v>0</v>
      </c>
      <c r="H59" s="75"/>
      <c r="I59" s="75"/>
      <c r="J59" s="75"/>
      <c r="K59" s="1306"/>
      <c r="L59" s="628"/>
      <c r="M59" s="628"/>
      <c r="N59" s="628"/>
      <c r="O59" s="628"/>
      <c r="P59" s="628"/>
      <c r="Q59" s="628">
        <f>+G59*M59/10</f>
        <v>0</v>
      </c>
      <c r="R59" s="628"/>
      <c r="S59" s="628"/>
      <c r="T59" s="628"/>
      <c r="U59" s="628"/>
      <c r="V59" s="75"/>
      <c r="W59" s="628"/>
      <c r="X59" s="1221"/>
      <c r="Y59" s="75"/>
      <c r="Z59" s="1358"/>
    </row>
    <row r="60" spans="1:26" hidden="1" x14ac:dyDescent="0.4">
      <c r="A60" s="1339"/>
      <c r="B60" s="1360" t="s">
        <v>1545</v>
      </c>
      <c r="C60" s="75"/>
      <c r="D60" s="75"/>
      <c r="E60" s="75"/>
      <c r="F60" s="75"/>
      <c r="G60" s="1221">
        <f>+$F58*'Tariff Schedule'!E$51</f>
        <v>0</v>
      </c>
      <c r="H60" s="75"/>
      <c r="I60" s="75"/>
      <c r="J60" s="75"/>
      <c r="K60" s="1306"/>
      <c r="L60" s="628"/>
      <c r="M60" s="628"/>
      <c r="N60" s="628"/>
      <c r="O60" s="628"/>
      <c r="P60" s="628"/>
      <c r="Q60" s="628">
        <f>+G60*M60/10</f>
        <v>0</v>
      </c>
      <c r="R60" s="628"/>
      <c r="S60" s="628"/>
      <c r="T60" s="628"/>
      <c r="U60" s="628"/>
      <c r="V60" s="75"/>
      <c r="W60" s="628"/>
      <c r="X60" s="1221"/>
      <c r="Y60" s="75"/>
      <c r="Z60" s="1358"/>
    </row>
    <row r="61" spans="1:26" hidden="1" x14ac:dyDescent="0.4">
      <c r="A61" s="1339"/>
      <c r="B61" s="1360" t="s">
        <v>1546</v>
      </c>
      <c r="C61" s="75"/>
      <c r="D61" s="75"/>
      <c r="E61" s="75"/>
      <c r="F61" s="75"/>
      <c r="G61" s="1221">
        <f>+$F58*'Tariff Schedule'!E$52</f>
        <v>0</v>
      </c>
      <c r="H61" s="75"/>
      <c r="I61" s="75"/>
      <c r="J61" s="75"/>
      <c r="K61" s="1306"/>
      <c r="L61" s="628"/>
      <c r="M61" s="628"/>
      <c r="N61" s="628"/>
      <c r="O61" s="628"/>
      <c r="P61" s="628"/>
      <c r="Q61" s="628">
        <f>+G61*M61/10</f>
        <v>0</v>
      </c>
      <c r="R61" s="628"/>
      <c r="S61" s="628"/>
      <c r="T61" s="628"/>
      <c r="U61" s="628"/>
      <c r="V61" s="75"/>
      <c r="W61" s="628"/>
      <c r="X61" s="1221"/>
      <c r="Y61" s="75"/>
      <c r="Z61" s="1358"/>
    </row>
    <row r="62" spans="1:26" hidden="1" x14ac:dyDescent="0.4">
      <c r="A62" s="1339"/>
      <c r="B62" s="1360" t="s">
        <v>1549</v>
      </c>
      <c r="C62" s="75"/>
      <c r="D62" s="75"/>
      <c r="E62" s="75"/>
      <c r="F62" s="75"/>
      <c r="G62" s="1221">
        <f>+$F58*'Tariff Schedule'!E$55</f>
        <v>0</v>
      </c>
      <c r="H62" s="75"/>
      <c r="I62" s="75"/>
      <c r="J62" s="75"/>
      <c r="K62" s="1306"/>
      <c r="L62" s="628"/>
      <c r="M62" s="628"/>
      <c r="N62" s="628"/>
      <c r="O62" s="628"/>
      <c r="P62" s="628"/>
      <c r="Q62" s="628">
        <f>+G62*M62/10</f>
        <v>0</v>
      </c>
      <c r="R62" s="628"/>
      <c r="S62" s="628"/>
      <c r="T62" s="628"/>
      <c r="U62" s="628"/>
      <c r="V62" s="75"/>
      <c r="W62" s="628"/>
      <c r="X62" s="1221"/>
      <c r="Y62" s="75"/>
      <c r="Z62" s="1358"/>
    </row>
    <row r="63" spans="1:26" x14ac:dyDescent="0.4">
      <c r="B63" s="518" t="s">
        <v>162</v>
      </c>
      <c r="C63" s="1308">
        <f>+C27+C34+C46+C51+C52+C58</f>
        <v>1</v>
      </c>
      <c r="D63" s="1308"/>
      <c r="E63" s="1310"/>
      <c r="F63" s="1310"/>
      <c r="G63" s="1310"/>
      <c r="H63" s="1310"/>
      <c r="I63" s="1310"/>
      <c r="J63" s="1310"/>
      <c r="K63" s="1308">
        <f>+K27+K34+K46+K51+K52+K58</f>
        <v>19</v>
      </c>
      <c r="L63" s="630">
        <f>+L27+L34+L46+L51+L52+L58</f>
        <v>0.33779853227978168</v>
      </c>
      <c r="M63" s="630">
        <f t="shared" ref="M63:W63" si="1">+M27+M34+M46+M51+M52+M58</f>
        <v>0.34469237987732826</v>
      </c>
      <c r="N63" s="630">
        <f t="shared" si="1"/>
        <v>7.2000000000000005E-4</v>
      </c>
      <c r="O63" s="630">
        <f t="shared" si="1"/>
        <v>0</v>
      </c>
      <c r="P63" s="630">
        <f t="shared" si="1"/>
        <v>0.18342460302792146</v>
      </c>
      <c r="Q63" s="630">
        <f t="shared" si="1"/>
        <v>0</v>
      </c>
      <c r="R63" s="630">
        <f t="shared" si="1"/>
        <v>3.9522428276734453E-2</v>
      </c>
      <c r="S63" s="630">
        <f t="shared" si="1"/>
        <v>0</v>
      </c>
      <c r="T63" s="630">
        <f t="shared" si="1"/>
        <v>0</v>
      </c>
      <c r="U63" s="630">
        <f t="shared" si="1"/>
        <v>0.22366703130465593</v>
      </c>
      <c r="V63" s="630">
        <f t="shared" si="1"/>
        <v>0</v>
      </c>
      <c r="W63" s="630">
        <f t="shared" si="1"/>
        <v>0.22366703130465593</v>
      </c>
      <c r="X63" s="1222">
        <f>IFERROR(W63/L63*10,0)</f>
        <v>6.6213144798214714</v>
      </c>
      <c r="Y63" s="75"/>
      <c r="Z63" s="2"/>
    </row>
    <row r="64" spans="1:26"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75"/>
      <c r="Z64" s="2"/>
    </row>
    <row r="65" spans="1:26" x14ac:dyDescent="0.4">
      <c r="B65" s="119" t="s">
        <v>164</v>
      </c>
      <c r="C65" s="1308">
        <f t="shared" ref="C65:W65" si="2">+C63+C25</f>
        <v>5</v>
      </c>
      <c r="D65" s="1309">
        <f t="shared" si="2"/>
        <v>0</v>
      </c>
      <c r="E65" s="1309">
        <f t="shared" si="2"/>
        <v>0</v>
      </c>
      <c r="F65" s="1309">
        <f t="shared" si="2"/>
        <v>0</v>
      </c>
      <c r="G65" s="1309">
        <f t="shared" si="2"/>
        <v>0</v>
      </c>
      <c r="H65" s="1309">
        <f t="shared" si="2"/>
        <v>0</v>
      </c>
      <c r="I65" s="1309">
        <f t="shared" si="2"/>
        <v>0</v>
      </c>
      <c r="J65" s="1309">
        <f t="shared" si="2"/>
        <v>0</v>
      </c>
      <c r="K65" s="1336">
        <f t="shared" si="2"/>
        <v>25559</v>
      </c>
      <c r="L65" s="630">
        <f t="shared" si="2"/>
        <v>162.93045249876553</v>
      </c>
      <c r="M65" s="630">
        <f t="shared" si="2"/>
        <v>164.58006593875274</v>
      </c>
      <c r="N65" s="630">
        <f t="shared" si="2"/>
        <v>7.2000000000000005E-4</v>
      </c>
      <c r="O65" s="630">
        <f t="shared" si="2"/>
        <v>16.5456</v>
      </c>
      <c r="P65" s="630">
        <f t="shared" si="2"/>
        <v>121.40577677391778</v>
      </c>
      <c r="Q65" s="630">
        <f t="shared" si="2"/>
        <v>-1.7335381787960702</v>
      </c>
      <c r="R65" s="630">
        <f t="shared" si="2"/>
        <v>12.192940071633513</v>
      </c>
      <c r="S65" s="630">
        <f t="shared" si="2"/>
        <v>0</v>
      </c>
      <c r="T65" s="630">
        <f t="shared" si="2"/>
        <v>0</v>
      </c>
      <c r="U65" s="630">
        <f t="shared" si="2"/>
        <v>148.41149866675522</v>
      </c>
      <c r="V65" s="1309">
        <f t="shared" si="2"/>
        <v>0</v>
      </c>
      <c r="W65" s="630">
        <f t="shared" si="2"/>
        <v>148.41149866675522</v>
      </c>
      <c r="X65" s="1222">
        <f>IFERROR(W65/L65*10,0)</f>
        <v>9.1088864230509454</v>
      </c>
      <c r="Y65" s="75"/>
      <c r="Z65" s="2"/>
    </row>
    <row r="66" spans="1:26"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2"/>
    </row>
    <row r="67" spans="1:26" x14ac:dyDescent="0.4">
      <c r="B67" s="118"/>
      <c r="C67" s="103"/>
      <c r="D67" s="103"/>
      <c r="E67" s="103"/>
      <c r="F67" s="103"/>
      <c r="G67" s="103"/>
      <c r="H67" s="103"/>
      <c r="I67" s="103"/>
      <c r="J67" s="103"/>
      <c r="K67" s="1333"/>
      <c r="L67" s="1328"/>
      <c r="M67" s="1328"/>
      <c r="N67" s="1328"/>
      <c r="O67" s="103"/>
      <c r="P67" s="103"/>
      <c r="Q67" s="103"/>
      <c r="R67" s="103"/>
      <c r="S67" s="103"/>
      <c r="T67" s="103"/>
      <c r="U67" s="103"/>
      <c r="V67" s="103"/>
      <c r="W67" s="1328"/>
      <c r="X67" s="103"/>
      <c r="Y67" s="103"/>
    </row>
    <row r="68" spans="1:26" x14ac:dyDescent="0.4">
      <c r="B68" s="7" t="s">
        <v>740</v>
      </c>
      <c r="C68" s="7"/>
      <c r="D68" s="7"/>
      <c r="E68" s="7"/>
      <c r="F68" s="7"/>
      <c r="G68" s="7"/>
      <c r="H68" s="7"/>
      <c r="I68" s="7"/>
      <c r="J68" s="7"/>
      <c r="K68" s="1337"/>
      <c r="L68" s="1330"/>
      <c r="M68" s="1330"/>
      <c r="N68" s="1330"/>
      <c r="O68" s="7"/>
      <c r="P68" s="7"/>
      <c r="Q68" s="7"/>
      <c r="R68" s="7"/>
      <c r="S68" s="7"/>
      <c r="T68" s="7"/>
      <c r="U68" s="7"/>
      <c r="V68" s="7"/>
      <c r="W68" s="1330"/>
      <c r="X68" s="7"/>
      <c r="Y68" s="7"/>
    </row>
    <row r="69" spans="1:26"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row>
    <row r="70" spans="1:26"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row>
    <row r="72" spans="1:26" x14ac:dyDescent="0.4">
      <c r="B72" s="131" t="s">
        <v>744</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row>
    <row r="73" spans="1:26" x14ac:dyDescent="0.4">
      <c r="B73" s="131" t="s">
        <v>1560</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row>
    <row r="74" spans="1:26"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row>
    <row r="75" spans="1:26"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947" t="s">
        <v>1570</v>
      </c>
    </row>
    <row r="76" spans="1:26"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947"/>
    </row>
    <row r="77" spans="1:26"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2"/>
    </row>
    <row r="78" spans="1:26" s="6" customFormat="1" ht="13.5" x14ac:dyDescent="0.35">
      <c r="A78" s="1364">
        <f>+'F13.1'!A48</f>
        <v>0.9</v>
      </c>
      <c r="B78" s="517" t="s">
        <v>1129</v>
      </c>
      <c r="C78" s="128">
        <f>+'F13 Non SEZ'!C204</f>
        <v>1</v>
      </c>
      <c r="D78" s="128"/>
      <c r="E78" s="128">
        <f>+'Tariff Schedule'!F14</f>
        <v>600</v>
      </c>
      <c r="F78" s="1365">
        <f>+'Tariff Schedule'!M14</f>
        <v>7.38</v>
      </c>
      <c r="G78" s="128"/>
      <c r="H78" s="1365">
        <f>+'Tariff Schedule'!S14</f>
        <v>0.74</v>
      </c>
      <c r="I78" s="128"/>
      <c r="J78" s="128"/>
      <c r="K78" s="1336">
        <v>211</v>
      </c>
      <c r="L78" s="630">
        <f>+'F1 Non-SEZ'!K12</f>
        <v>0.18479900000000216</v>
      </c>
      <c r="M78" s="630">
        <f>+L78/Z78</f>
        <v>0.18666565656565876</v>
      </c>
      <c r="N78" s="630"/>
      <c r="O78" s="630">
        <f>(K78*E78)*12/10^7*A78</f>
        <v>0.13672800000000002</v>
      </c>
      <c r="P78" s="630">
        <f>(M78*F78)/10</f>
        <v>0.13775925454545618</v>
      </c>
      <c r="Q78" s="630">
        <f>SUM(Q79:Q82)</f>
        <v>-1.9689857787583906E-3</v>
      </c>
      <c r="R78" s="630">
        <f>(M78*H78)/10</f>
        <v>1.3813258585858749E-2</v>
      </c>
      <c r="S78" s="630"/>
      <c r="T78" s="630"/>
      <c r="U78" s="630">
        <f>SUM(N78:T78)</f>
        <v>0.28633152735255657</v>
      </c>
      <c r="V78" s="128"/>
      <c r="W78" s="630">
        <f>+U78+V78</f>
        <v>0.28633152735255657</v>
      </c>
      <c r="X78" s="1222">
        <f>IFERROR(W78/L78*10,0)</f>
        <v>15.494214111145258</v>
      </c>
      <c r="Y78" s="128"/>
      <c r="Z78" s="1366">
        <f>+'Tariff Schedule'!X14</f>
        <v>0.99</v>
      </c>
    </row>
    <row r="79" spans="1:26" x14ac:dyDescent="0.4">
      <c r="A79" s="1339"/>
      <c r="B79" s="1360" t="s">
        <v>1544</v>
      </c>
      <c r="C79" s="75"/>
      <c r="D79" s="75"/>
      <c r="E79" s="75"/>
      <c r="F79" s="75"/>
      <c r="G79" s="1221">
        <f>+$F78*'Tariff Schedule'!E$50</f>
        <v>0</v>
      </c>
      <c r="H79" s="75"/>
      <c r="I79" s="75"/>
      <c r="J79" s="75"/>
      <c r="K79" s="1306"/>
      <c r="L79" s="628"/>
      <c r="M79" s="628">
        <f>+$M$78*Assum!E125</f>
        <v>4.5705982354672804E-2</v>
      </c>
      <c r="N79" s="628"/>
      <c r="O79" s="628"/>
      <c r="P79" s="628"/>
      <c r="Q79" s="628">
        <f>+G79*M79/10</f>
        <v>0</v>
      </c>
      <c r="R79" s="628"/>
      <c r="S79" s="628"/>
      <c r="T79" s="628"/>
      <c r="U79" s="628"/>
      <c r="V79" s="75"/>
      <c r="W79" s="628"/>
      <c r="X79" s="1221"/>
      <c r="Y79" s="75"/>
      <c r="Z79" s="1358"/>
    </row>
    <row r="80" spans="1:26" x14ac:dyDescent="0.4">
      <c r="A80" s="1339"/>
      <c r="B80" s="1360" t="s">
        <v>1545</v>
      </c>
      <c r="C80" s="75"/>
      <c r="D80" s="75"/>
      <c r="E80" s="75"/>
      <c r="F80" s="75"/>
      <c r="G80" s="1221">
        <f>+$F78*'Tariff Schedule'!E$51</f>
        <v>0</v>
      </c>
      <c r="H80" s="75"/>
      <c r="I80" s="75"/>
      <c r="J80" s="75"/>
      <c r="K80" s="1306"/>
      <c r="L80" s="628"/>
      <c r="M80" s="628">
        <f>+$M$78*Assum!E126</f>
        <v>2.3562816725167475E-2</v>
      </c>
      <c r="N80" s="628"/>
      <c r="O80" s="628"/>
      <c r="P80" s="628"/>
      <c r="Q80" s="628">
        <f>+G80*M80/10</f>
        <v>0</v>
      </c>
      <c r="R80" s="628"/>
      <c r="S80" s="628"/>
      <c r="T80" s="628"/>
      <c r="U80" s="628"/>
      <c r="V80" s="75"/>
      <c r="W80" s="628"/>
      <c r="X80" s="1221"/>
      <c r="Y80" s="75"/>
      <c r="Z80" s="1358"/>
    </row>
    <row r="81" spans="1:26" x14ac:dyDescent="0.4">
      <c r="A81" s="1339"/>
      <c r="B81" s="1360" t="s">
        <v>1546</v>
      </c>
      <c r="C81" s="75"/>
      <c r="D81" s="75"/>
      <c r="E81" s="75"/>
      <c r="F81" s="75"/>
      <c r="G81" s="1221">
        <f>+$F78*'Tariff Schedule'!E$52</f>
        <v>-1.599</v>
      </c>
      <c r="H81" s="75"/>
      <c r="I81" s="75"/>
      <c r="J81" s="75"/>
      <c r="K81" s="1306"/>
      <c r="L81" s="628"/>
      <c r="M81" s="628">
        <f>+$M$78*Assum!E127</f>
        <v>6.2753697377773004E-2</v>
      </c>
      <c r="N81" s="628"/>
      <c r="O81" s="628"/>
      <c r="P81" s="628"/>
      <c r="Q81" s="628">
        <f>+G81*M81/10</f>
        <v>-1.0034316210705902E-2</v>
      </c>
      <c r="R81" s="628"/>
      <c r="S81" s="628"/>
      <c r="T81" s="628"/>
      <c r="U81" s="628"/>
      <c r="V81" s="75"/>
      <c r="W81" s="628"/>
      <c r="X81" s="1221"/>
      <c r="Y81" s="75"/>
      <c r="Z81" s="1358"/>
    </row>
    <row r="82" spans="1:26" x14ac:dyDescent="0.4">
      <c r="A82" s="1339"/>
      <c r="B82" s="1360" t="s">
        <v>1549</v>
      </c>
      <c r="C82" s="75"/>
      <c r="D82" s="75"/>
      <c r="E82" s="75"/>
      <c r="F82" s="75"/>
      <c r="G82" s="1221">
        <f>+$F78*'Tariff Schedule'!E$55</f>
        <v>1.476</v>
      </c>
      <c r="H82" s="75"/>
      <c r="I82" s="75"/>
      <c r="J82" s="75"/>
      <c r="K82" s="1306"/>
      <c r="L82" s="628"/>
      <c r="M82" s="628">
        <f>+$M$78*Assum!E128</f>
        <v>5.4643160108045465E-2</v>
      </c>
      <c r="N82" s="628"/>
      <c r="O82" s="628"/>
      <c r="P82" s="628"/>
      <c r="Q82" s="628">
        <f>+G82*M82/10</f>
        <v>8.0653304319475115E-3</v>
      </c>
      <c r="R82" s="628"/>
      <c r="S82" s="628"/>
      <c r="T82" s="628"/>
      <c r="U82" s="628"/>
      <c r="V82" s="75"/>
      <c r="W82" s="628"/>
      <c r="X82" s="1221"/>
      <c r="Y82" s="75"/>
      <c r="Z82" s="1358"/>
    </row>
    <row r="83" spans="1:26" s="6" customFormat="1" ht="13.5" x14ac:dyDescent="0.35">
      <c r="A83" s="1364">
        <f>+'F13.1'!A49</f>
        <v>0.75</v>
      </c>
      <c r="B83" s="517" t="s">
        <v>1130</v>
      </c>
      <c r="C83" s="128">
        <f>+'F13 Non SEZ'!C205</f>
        <v>3</v>
      </c>
      <c r="D83" s="128"/>
      <c r="E83" s="128">
        <f>+'Tariff Schedule'!F15</f>
        <v>600</v>
      </c>
      <c r="F83" s="1365">
        <f>+'Tariff Schedule'!M15</f>
        <v>11.93</v>
      </c>
      <c r="G83" s="128"/>
      <c r="H83" s="1365">
        <f>+'Tariff Schedule'!S15</f>
        <v>0.74</v>
      </c>
      <c r="I83" s="128"/>
      <c r="J83" s="128"/>
      <c r="K83" s="1336">
        <v>475</v>
      </c>
      <c r="L83" s="630">
        <f>+'F1 Non-SEZ'!K13</f>
        <v>0.71129286803162961</v>
      </c>
      <c r="M83" s="630">
        <f>+L83/Z83</f>
        <v>0.72580904901186694</v>
      </c>
      <c r="N83" s="630"/>
      <c r="O83" s="630">
        <f>(K83*E83)*12/10^7*A83</f>
        <v>0.25650000000000001</v>
      </c>
      <c r="P83" s="630">
        <f>(M83*F83)/10</f>
        <v>0.8658901954711572</v>
      </c>
      <c r="Q83" s="630">
        <f>SUM(Q84:Q87)</f>
        <v>-3.0498213361214131E-2</v>
      </c>
      <c r="R83" s="630">
        <f>(M83*H83)/10</f>
        <v>5.3709869626878147E-2</v>
      </c>
      <c r="S83" s="630"/>
      <c r="T83" s="630"/>
      <c r="U83" s="630">
        <f>SUM(N83:T83)</f>
        <v>1.1456018517368212</v>
      </c>
      <c r="V83" s="128"/>
      <c r="W83" s="630">
        <f>+U83+V83</f>
        <v>1.1456018517368212</v>
      </c>
      <c r="X83" s="1222">
        <f>IFERROR(W83/L83*10,0)</f>
        <v>16.105909439343328</v>
      </c>
      <c r="Y83" s="128"/>
      <c r="Z83" s="1366">
        <f>+'Tariff Schedule'!X15</f>
        <v>0.98</v>
      </c>
    </row>
    <row r="84" spans="1:26" x14ac:dyDescent="0.4">
      <c r="A84" s="1339"/>
      <c r="B84" s="1360" t="s">
        <v>1544</v>
      </c>
      <c r="C84" s="75"/>
      <c r="D84" s="75"/>
      <c r="E84" s="75"/>
      <c r="F84" s="75"/>
      <c r="G84" s="1221">
        <f>+$F83*'Tariff Schedule'!E$50</f>
        <v>0</v>
      </c>
      <c r="H84" s="75"/>
      <c r="I84" s="75"/>
      <c r="J84" s="75"/>
      <c r="K84" s="1306"/>
      <c r="L84" s="628"/>
      <c r="M84" s="628">
        <f>+$M$83*Assum!F125</f>
        <v>0.10222260875118724</v>
      </c>
      <c r="N84" s="628"/>
      <c r="O84" s="628"/>
      <c r="P84" s="628"/>
      <c r="Q84" s="628">
        <f>+G84*M84/10</f>
        <v>0</v>
      </c>
      <c r="R84" s="628"/>
      <c r="S84" s="628"/>
      <c r="T84" s="628"/>
      <c r="U84" s="628"/>
      <c r="V84" s="75"/>
      <c r="W84" s="628"/>
      <c r="X84" s="1221"/>
      <c r="Y84" s="75"/>
      <c r="Z84" s="1358"/>
    </row>
    <row r="85" spans="1:26" x14ac:dyDescent="0.4">
      <c r="A85" s="1339"/>
      <c r="B85" s="1360" t="s">
        <v>1545</v>
      </c>
      <c r="C85" s="75"/>
      <c r="D85" s="75"/>
      <c r="E85" s="75"/>
      <c r="F85" s="75"/>
      <c r="G85" s="1221">
        <f>+$F83*'Tariff Schedule'!E$51</f>
        <v>0</v>
      </c>
      <c r="H85" s="75"/>
      <c r="I85" s="75"/>
      <c r="J85" s="75"/>
      <c r="K85" s="1306"/>
      <c r="L85" s="628"/>
      <c r="M85" s="628">
        <f>+$M$83*Assum!F126</f>
        <v>0.10311097571153499</v>
      </c>
      <c r="N85" s="628"/>
      <c r="O85" s="628"/>
      <c r="P85" s="628"/>
      <c r="Q85" s="628">
        <f>+G85*M85/10</f>
        <v>0</v>
      </c>
      <c r="R85" s="628"/>
      <c r="S85" s="628"/>
      <c r="T85" s="628"/>
      <c r="U85" s="628"/>
      <c r="V85" s="75"/>
      <c r="W85" s="628"/>
      <c r="X85" s="1221"/>
      <c r="Y85" s="75"/>
      <c r="Z85" s="1358"/>
    </row>
    <row r="86" spans="1:26" x14ac:dyDescent="0.4">
      <c r="A86" s="1339"/>
      <c r="B86" s="1360" t="s">
        <v>1546</v>
      </c>
      <c r="C86" s="75"/>
      <c r="D86" s="75"/>
      <c r="E86" s="75"/>
      <c r="F86" s="75"/>
      <c r="G86" s="1221">
        <f>+$F83*'Tariff Schedule'!E$52</f>
        <v>-2.5848333333333335</v>
      </c>
      <c r="H86" s="75"/>
      <c r="I86" s="75"/>
      <c r="J86" s="75"/>
      <c r="K86" s="1306"/>
      <c r="L86" s="628"/>
      <c r="M86" s="628">
        <f>+$M$83*Assum!F127</f>
        <v>0.31118254994663547</v>
      </c>
      <c r="N86" s="628"/>
      <c r="O86" s="628"/>
      <c r="P86" s="628"/>
      <c r="Q86" s="628">
        <f>+G86*M86/10</f>
        <v>-8.0435502785372828E-2</v>
      </c>
      <c r="R86" s="628"/>
      <c r="S86" s="628"/>
      <c r="T86" s="628"/>
      <c r="U86" s="628"/>
      <c r="V86" s="75"/>
      <c r="W86" s="628"/>
      <c r="X86" s="1221"/>
      <c r="Y86" s="75"/>
      <c r="Z86" s="1358"/>
    </row>
    <row r="87" spans="1:26" x14ac:dyDescent="0.4">
      <c r="A87" s="1339"/>
      <c r="B87" s="1360" t="s">
        <v>1549</v>
      </c>
      <c r="C87" s="75"/>
      <c r="D87" s="75"/>
      <c r="E87" s="75"/>
      <c r="F87" s="75"/>
      <c r="G87" s="1221">
        <f>+$F83*'Tariff Schedule'!E$55</f>
        <v>2.3860000000000001</v>
      </c>
      <c r="H87" s="75"/>
      <c r="I87" s="75"/>
      <c r="J87" s="75"/>
      <c r="K87" s="1306"/>
      <c r="L87" s="628"/>
      <c r="M87" s="628">
        <f>+$M$83*Assum!F128</f>
        <v>0.20929291460250921</v>
      </c>
      <c r="N87" s="628"/>
      <c r="O87" s="628"/>
      <c r="P87" s="628"/>
      <c r="Q87" s="628">
        <f>+G87*M87/10</f>
        <v>4.9937289424158697E-2</v>
      </c>
      <c r="R87" s="628"/>
      <c r="S87" s="628"/>
      <c r="T87" s="628"/>
      <c r="U87" s="628"/>
      <c r="V87" s="75"/>
      <c r="W87" s="628"/>
      <c r="X87" s="1221"/>
      <c r="Y87" s="75"/>
      <c r="Z87" s="1358"/>
    </row>
    <row r="88" spans="1:26"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2"/>
    </row>
    <row r="89" spans="1:26"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2"/>
    </row>
    <row r="90" spans="1:26" x14ac:dyDescent="0.4">
      <c r="B90" s="518" t="s">
        <v>162</v>
      </c>
      <c r="C90" s="128">
        <f>SUM(C78:C89)</f>
        <v>4</v>
      </c>
      <c r="D90" s="1309"/>
      <c r="E90" s="1309"/>
      <c r="F90" s="1309"/>
      <c r="G90" s="1309"/>
      <c r="H90" s="1309"/>
      <c r="I90" s="1309"/>
      <c r="J90" s="1309"/>
      <c r="K90" s="1336">
        <f>SUM(K78:K89)</f>
        <v>686</v>
      </c>
      <c r="L90" s="630">
        <f>SUM(L78:L89)</f>
        <v>0.89609186803163177</v>
      </c>
      <c r="M90" s="630">
        <f>SUM(M78:M89)</f>
        <v>1.8249494111550515</v>
      </c>
      <c r="N90" s="630">
        <f t="shared" ref="N90:W90" si="3">+N78+N83</f>
        <v>0</v>
      </c>
      <c r="O90" s="630">
        <f t="shared" si="3"/>
        <v>0.39322800000000002</v>
      </c>
      <c r="P90" s="630">
        <f t="shared" si="3"/>
        <v>1.0036494500166133</v>
      </c>
      <c r="Q90" s="630">
        <f t="shared" si="3"/>
        <v>-3.2467199139972522E-2</v>
      </c>
      <c r="R90" s="630">
        <f t="shared" si="3"/>
        <v>6.7523128212736899E-2</v>
      </c>
      <c r="S90" s="630">
        <f t="shared" si="3"/>
        <v>0</v>
      </c>
      <c r="T90" s="630">
        <f t="shared" si="3"/>
        <v>0</v>
      </c>
      <c r="U90" s="630">
        <f t="shared" si="3"/>
        <v>1.4319333790893778</v>
      </c>
      <c r="V90" s="630">
        <f t="shared" si="3"/>
        <v>0</v>
      </c>
      <c r="W90" s="630">
        <f t="shared" si="3"/>
        <v>1.4319333790893778</v>
      </c>
      <c r="X90" s="1222">
        <f>IFERROR(W90/L90*10,0)</f>
        <v>15.979760894770568</v>
      </c>
      <c r="Y90" s="75"/>
      <c r="Z90" s="2"/>
    </row>
    <row r="91" spans="1:26"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2"/>
    </row>
    <row r="92" spans="1:26" s="6" customFormat="1" ht="13.5" x14ac:dyDescent="0.35">
      <c r="B92" s="1363" t="s">
        <v>1133</v>
      </c>
      <c r="C92" s="128"/>
      <c r="D92" s="128">
        <f>+'Tariff Schedule'!F16</f>
        <v>430</v>
      </c>
      <c r="E92" s="128"/>
      <c r="F92" s="128"/>
      <c r="G92" s="128"/>
      <c r="H92" s="128"/>
      <c r="I92" s="128"/>
      <c r="J92" s="128"/>
      <c r="K92" s="1336"/>
      <c r="L92" s="630">
        <f>SUM(L93:L96)</f>
        <v>8.6118653808040513</v>
      </c>
      <c r="M92" s="630">
        <f t="shared" ref="M92:W92" si="4">SUM(M93:M96)</f>
        <v>8.6118653808040513</v>
      </c>
      <c r="N92" s="630">
        <f t="shared" si="4"/>
        <v>1.2807120000000001</v>
      </c>
      <c r="O92" s="630">
        <f t="shared" si="4"/>
        <v>0</v>
      </c>
      <c r="P92" s="630">
        <f t="shared" si="4"/>
        <v>9.4461697015182242</v>
      </c>
      <c r="Q92" s="630">
        <f t="shared" si="4"/>
        <v>-0.13778984609286485</v>
      </c>
      <c r="R92" s="630">
        <f t="shared" si="4"/>
        <v>1.2659442109781955</v>
      </c>
      <c r="S92" s="630">
        <f t="shared" si="4"/>
        <v>0</v>
      </c>
      <c r="T92" s="630">
        <f t="shared" si="4"/>
        <v>0</v>
      </c>
      <c r="U92" s="630">
        <f t="shared" si="4"/>
        <v>11.855036066403555</v>
      </c>
      <c r="V92" s="630">
        <f t="shared" si="4"/>
        <v>0</v>
      </c>
      <c r="W92" s="630">
        <f t="shared" si="4"/>
        <v>11.855036066403555</v>
      </c>
      <c r="X92" s="1222">
        <f>IFERROR(W92/L92*10,0)</f>
        <v>13.765932863777188</v>
      </c>
      <c r="Y92" s="128"/>
      <c r="Z92" s="3"/>
    </row>
    <row r="93" spans="1:26" x14ac:dyDescent="0.4">
      <c r="B93" s="520" t="s">
        <v>1106</v>
      </c>
      <c r="C93" s="19">
        <f>+Assum!F173</f>
        <v>1424</v>
      </c>
      <c r="D93" s="75"/>
      <c r="E93" s="75"/>
      <c r="F93" s="1359">
        <f>+'Tariff Schedule'!M17</f>
        <v>3.64</v>
      </c>
      <c r="G93" s="1359">
        <f>+'Tariff Schedule'!$D$52</f>
        <v>-0.8</v>
      </c>
      <c r="H93" s="1359">
        <f>+'Tariff Schedule'!S17</f>
        <v>1.47</v>
      </c>
      <c r="I93" s="75"/>
      <c r="J93" s="75"/>
      <c r="K93" s="1306"/>
      <c r="L93" s="628">
        <f>+'F1 Non-SEZ'!K19</f>
        <v>2.0022014349328505</v>
      </c>
      <c r="M93" s="628">
        <f>+L93/Z93</f>
        <v>2.0022014349328505</v>
      </c>
      <c r="N93" s="628">
        <f>+C93*$D$92*12/10^7</f>
        <v>0.73478399999999999</v>
      </c>
      <c r="O93" s="628"/>
      <c r="P93" s="628">
        <f>+L93*F93/10</f>
        <v>0.72880132231555761</v>
      </c>
      <c r="Q93" s="628">
        <f>+L93*Assum!$G$127*G93/10</f>
        <v>-3.2035222958925615E-2</v>
      </c>
      <c r="R93" s="628">
        <f>(L93*H93)/10</f>
        <v>0.29432361093512904</v>
      </c>
      <c r="S93" s="628"/>
      <c r="T93" s="628"/>
      <c r="U93" s="628">
        <f>SUM(N93:T93)</f>
        <v>1.725873710291761</v>
      </c>
      <c r="V93" s="75"/>
      <c r="W93" s="628">
        <f>+U93+V93</f>
        <v>1.725873710291761</v>
      </c>
      <c r="X93" s="1221">
        <f>IFERROR(W93/L93*10,0)</f>
        <v>8.6198804984356787</v>
      </c>
      <c r="Y93" s="75"/>
      <c r="Z93" s="1358">
        <f>+'Tariff Schedule'!X17</f>
        <v>1</v>
      </c>
    </row>
    <row r="94" spans="1:26" x14ac:dyDescent="0.4">
      <c r="B94" s="520" t="s">
        <v>1107</v>
      </c>
      <c r="C94" s="19">
        <f>+Assum!F174</f>
        <v>553</v>
      </c>
      <c r="D94" s="75"/>
      <c r="E94" s="75"/>
      <c r="F94" s="1359">
        <f>+'Tariff Schedule'!M18</f>
        <v>9.44</v>
      </c>
      <c r="G94" s="1359">
        <f>+'Tariff Schedule'!$D$52</f>
        <v>-0.8</v>
      </c>
      <c r="H94" s="1359">
        <f>+'Tariff Schedule'!S18</f>
        <v>1.47</v>
      </c>
      <c r="I94" s="75"/>
      <c r="J94" s="75"/>
      <c r="K94" s="1306"/>
      <c r="L94" s="628">
        <f>+'F1 Non-SEZ'!K20</f>
        <v>1.9389082816511378</v>
      </c>
      <c r="M94" s="628">
        <f>+L94/Z94</f>
        <v>1.9389082816511378</v>
      </c>
      <c r="N94" s="628">
        <f>+C94*$D$92*12/10^7</f>
        <v>0.28534799999999999</v>
      </c>
      <c r="O94" s="628"/>
      <c r="P94" s="628">
        <f>+L94*F94/10</f>
        <v>1.830329417878674</v>
      </c>
      <c r="Q94" s="628">
        <f>+L94*Assum!$G$127*G94/10</f>
        <v>-3.1022532506418211E-2</v>
      </c>
      <c r="R94" s="628">
        <f>(L94*H94)/10</f>
        <v>0.28501951740271725</v>
      </c>
      <c r="S94" s="628"/>
      <c r="T94" s="628"/>
      <c r="U94" s="628">
        <f>SUM(N94:T94)</f>
        <v>2.3696744027749732</v>
      </c>
      <c r="V94" s="75"/>
      <c r="W94" s="628">
        <f>+U94+V94</f>
        <v>2.3696744027749732</v>
      </c>
      <c r="X94" s="1221">
        <f>IFERROR(W94/L94*10,0)</f>
        <v>12.221694162639828</v>
      </c>
      <c r="Y94" s="75"/>
      <c r="Z94" s="1358">
        <f>+'Tariff Schedule'!X18</f>
        <v>1</v>
      </c>
    </row>
    <row r="95" spans="1:26" x14ac:dyDescent="0.4">
      <c r="B95" s="520" t="s">
        <v>1108</v>
      </c>
      <c r="C95" s="19">
        <f>+Assum!F175</f>
        <v>294</v>
      </c>
      <c r="D95" s="75"/>
      <c r="E95" s="75"/>
      <c r="F95" s="1359">
        <f>+'Tariff Schedule'!M19</f>
        <v>13.07</v>
      </c>
      <c r="G95" s="1359">
        <f>+'Tariff Schedule'!$D$52</f>
        <v>-0.8</v>
      </c>
      <c r="H95" s="1359">
        <f>+'Tariff Schedule'!S19</f>
        <v>1.47</v>
      </c>
      <c r="I95" s="75"/>
      <c r="J95" s="75"/>
      <c r="K95" s="1306"/>
      <c r="L95" s="628">
        <f>+'F1 Non-SEZ'!K21</f>
        <v>0.67911633672838101</v>
      </c>
      <c r="M95" s="628">
        <f>+L95/Z95</f>
        <v>0.67911633672838101</v>
      </c>
      <c r="N95" s="628">
        <f>+C95*$D$92*12/10^7</f>
        <v>0.15170400000000001</v>
      </c>
      <c r="O95" s="628"/>
      <c r="P95" s="628">
        <f>+L95*F95/10</f>
        <v>0.88760505210399399</v>
      </c>
      <c r="Q95" s="628">
        <f>+L95*Assum!$G$127*G95/10</f>
        <v>-1.0865861387654097E-2</v>
      </c>
      <c r="R95" s="628">
        <f>(L95*H95)/10</f>
        <v>9.983010149907201E-2</v>
      </c>
      <c r="S95" s="628"/>
      <c r="T95" s="628"/>
      <c r="U95" s="628">
        <f>SUM(N95:T95)</f>
        <v>1.1282732922154119</v>
      </c>
      <c r="V95" s="75"/>
      <c r="W95" s="628">
        <f>+U95+V95</f>
        <v>1.1282732922154119</v>
      </c>
      <c r="X95" s="1221">
        <f>IFERROR(W95/L95*10,0)</f>
        <v>16.613844067583894</v>
      </c>
      <c r="Y95" s="75"/>
      <c r="Z95" s="1358">
        <f>+'Tariff Schedule'!X19</f>
        <v>1</v>
      </c>
    </row>
    <row r="96" spans="1:26" x14ac:dyDescent="0.4">
      <c r="B96" s="520" t="s">
        <v>1109</v>
      </c>
      <c r="C96" s="19">
        <f>+Assum!F176</f>
        <v>211</v>
      </c>
      <c r="D96" s="75"/>
      <c r="E96" s="75"/>
      <c r="F96" s="1359">
        <f>+'Tariff Schedule'!M20</f>
        <v>15.03</v>
      </c>
      <c r="G96" s="1359">
        <f>+'Tariff Schedule'!$D$52</f>
        <v>-0.8</v>
      </c>
      <c r="H96" s="1359">
        <f>+'Tariff Schedule'!S20</f>
        <v>1.47</v>
      </c>
      <c r="I96" s="75"/>
      <c r="J96" s="75"/>
      <c r="K96" s="1306"/>
      <c r="L96" s="628">
        <f>+'F1 Non-SEZ'!K22</f>
        <v>3.9916393274916824</v>
      </c>
      <c r="M96" s="628">
        <f>+L96/Z96</f>
        <v>3.9916393274916824</v>
      </c>
      <c r="N96" s="628">
        <f>+C96*$D$92*12/10^7</f>
        <v>0.108876</v>
      </c>
      <c r="O96" s="628"/>
      <c r="P96" s="628">
        <f>+L96*F96/10</f>
        <v>5.9994339092199986</v>
      </c>
      <c r="Q96" s="628">
        <f>+L96*Assum!$G$127*G96/10</f>
        <v>-6.3866229239866928E-2</v>
      </c>
      <c r="R96" s="628">
        <f>(L96*H96)/10</f>
        <v>0.58677098114127735</v>
      </c>
      <c r="S96" s="628"/>
      <c r="T96" s="628"/>
      <c r="U96" s="628">
        <f>SUM(N96:T96)</f>
        <v>6.6312146611214091</v>
      </c>
      <c r="V96" s="75"/>
      <c r="W96" s="628">
        <f>+U96+V96</f>
        <v>6.6312146611214091</v>
      </c>
      <c r="X96" s="1221">
        <f>IFERROR(W96/L96*10,0)</f>
        <v>16.612760114497661</v>
      </c>
      <c r="Y96" s="75"/>
      <c r="Z96" s="1358">
        <f>+'Tariff Schedule'!X20</f>
        <v>1</v>
      </c>
    </row>
    <row r="97" spans="1:26" x14ac:dyDescent="0.4">
      <c r="B97" s="520" t="s">
        <v>1110</v>
      </c>
      <c r="C97" s="75"/>
      <c r="D97" s="75"/>
      <c r="E97" s="75"/>
      <c r="F97" s="75"/>
      <c r="G97" s="75"/>
      <c r="H97" s="75"/>
      <c r="I97" s="75"/>
      <c r="J97" s="75"/>
      <c r="K97" s="1306"/>
      <c r="L97" s="628"/>
      <c r="M97" s="628"/>
      <c r="N97" s="628"/>
      <c r="O97" s="628"/>
      <c r="P97" s="628"/>
      <c r="Q97" s="628"/>
      <c r="R97" s="628"/>
      <c r="S97" s="628"/>
      <c r="T97" s="628"/>
      <c r="U97" s="628"/>
      <c r="V97" s="75"/>
      <c r="W97" s="628"/>
      <c r="X97" s="75"/>
      <c r="Y97" s="75"/>
      <c r="Z97" s="2"/>
    </row>
    <row r="98" spans="1:26" s="6" customFormat="1" ht="25.5" x14ac:dyDescent="0.35">
      <c r="B98" s="1363" t="s">
        <v>1139</v>
      </c>
      <c r="C98" s="75"/>
      <c r="D98" s="128"/>
      <c r="E98" s="128"/>
      <c r="F98" s="128"/>
      <c r="G98" s="128"/>
      <c r="H98" s="128"/>
      <c r="I98" s="128"/>
      <c r="J98" s="128"/>
      <c r="K98" s="1336"/>
      <c r="L98" s="630">
        <f t="shared" ref="L98:R98" si="5">+L99+L100+L105</f>
        <v>1.1032567611925073</v>
      </c>
      <c r="M98" s="630">
        <f t="shared" si="5"/>
        <v>1.1186876083226089</v>
      </c>
      <c r="N98" s="630">
        <f t="shared" si="5"/>
        <v>2.6207999999999999E-2</v>
      </c>
      <c r="O98" s="630">
        <f t="shared" si="5"/>
        <v>0.11415600000000001</v>
      </c>
      <c r="P98" s="630">
        <f t="shared" si="5"/>
        <v>1.1367287650294198</v>
      </c>
      <c r="Q98" s="630">
        <f t="shared" si="5"/>
        <v>-5.518643257801116E-2</v>
      </c>
      <c r="R98" s="630">
        <f t="shared" si="5"/>
        <v>0.15723433940319526</v>
      </c>
      <c r="S98" s="630"/>
      <c r="T98" s="630"/>
      <c r="U98" s="630">
        <f>+U99+U100+U105</f>
        <v>1.379140671854604</v>
      </c>
      <c r="V98" s="128"/>
      <c r="W98" s="630">
        <f>+W99+W100+W105</f>
        <v>1.379140671854604</v>
      </c>
      <c r="X98" s="1222">
        <f>IFERROR(W98/L98*10,0)</f>
        <v>12.50063195047991</v>
      </c>
      <c r="Y98" s="128"/>
      <c r="Z98" s="3"/>
    </row>
    <row r="99" spans="1:26" s="6" customFormat="1" x14ac:dyDescent="0.35">
      <c r="B99" s="1361" t="s">
        <v>1140</v>
      </c>
      <c r="C99" s="75">
        <f>+Assum!F186</f>
        <v>42</v>
      </c>
      <c r="D99" s="128">
        <f>+'Tariff Schedule'!F22</f>
        <v>520</v>
      </c>
      <c r="E99" s="128"/>
      <c r="F99" s="1365">
        <f>+'Tariff Schedule'!M22</f>
        <v>7.57</v>
      </c>
      <c r="G99" s="128"/>
      <c r="H99" s="1365">
        <f>+'Tariff Schedule'!S22</f>
        <v>1.47</v>
      </c>
      <c r="I99" s="128"/>
      <c r="J99" s="128"/>
      <c r="K99" s="1336"/>
      <c r="L99" s="630">
        <f>+'F1 Non-SEZ'!K25</f>
        <v>0.33636889514339563</v>
      </c>
      <c r="M99" s="630">
        <f>+L99/Z99</f>
        <v>0.34323356647285269</v>
      </c>
      <c r="N99" s="630">
        <f>+C99*D99*12/10^7</f>
        <v>2.6207999999999999E-2</v>
      </c>
      <c r="O99" s="630"/>
      <c r="P99" s="630">
        <f>+L99*F99/10</f>
        <v>0.25463125362355049</v>
      </c>
      <c r="Q99" s="630"/>
      <c r="R99" s="630">
        <f>(L99*H99)/10</f>
        <v>4.9446227586079153E-2</v>
      </c>
      <c r="S99" s="630"/>
      <c r="T99" s="630"/>
      <c r="U99" s="630">
        <f>SUM(N99:T99)</f>
        <v>0.33028548120962964</v>
      </c>
      <c r="V99" s="128"/>
      <c r="W99" s="630">
        <f>+U99+V99</f>
        <v>0.33028548120962964</v>
      </c>
      <c r="X99" s="1222">
        <f>IFERROR(W99/L99*10,0)</f>
        <v>9.8191445754467708</v>
      </c>
      <c r="Y99" s="128"/>
      <c r="Z99" s="1366">
        <f>+'Tariff Schedule'!X22</f>
        <v>0.98</v>
      </c>
    </row>
    <row r="100" spans="1:26" s="6" customFormat="1" x14ac:dyDescent="0.35">
      <c r="A100" s="1364">
        <f>+'F13.1'!A62</f>
        <v>0.4</v>
      </c>
      <c r="B100" s="1361" t="s">
        <v>1144</v>
      </c>
      <c r="C100" s="75">
        <f>+Assum!F187</f>
        <v>9</v>
      </c>
      <c r="D100" s="128"/>
      <c r="E100" s="128">
        <f>+'Tariff Schedule'!F23</f>
        <v>525</v>
      </c>
      <c r="F100" s="1365">
        <f>+'Tariff Schedule'!M23</f>
        <v>10.91</v>
      </c>
      <c r="G100" s="128"/>
      <c r="H100" s="1365">
        <f>+'Tariff Schedule'!S23</f>
        <v>1.39</v>
      </c>
      <c r="I100" s="128"/>
      <c r="J100" s="128"/>
      <c r="K100" s="1336">
        <v>383</v>
      </c>
      <c r="L100" s="630">
        <f>+'F1 Non-SEZ'!K26</f>
        <v>0.59091548630067836</v>
      </c>
      <c r="M100" s="630">
        <f>+L100/Z100</f>
        <v>0.59773408250106086</v>
      </c>
      <c r="N100" s="630"/>
      <c r="O100" s="630">
        <f>(K100*E100)*12/10^7*A100</f>
        <v>9.6516000000000005E-2</v>
      </c>
      <c r="P100" s="630">
        <f>+M100*F100/10</f>
        <v>0.6521278840086574</v>
      </c>
      <c r="Q100" s="630">
        <f>SUM(Q101:Q104)</f>
        <v>-3.2065624410982728E-2</v>
      </c>
      <c r="R100" s="630">
        <f>(M100*H100)/10</f>
        <v>8.3085037467647449E-2</v>
      </c>
      <c r="S100" s="630"/>
      <c r="T100" s="630"/>
      <c r="U100" s="630">
        <f>SUM(N100:T100)</f>
        <v>0.79966329706532213</v>
      </c>
      <c r="V100" s="128"/>
      <c r="W100" s="630">
        <f>+U100+V100</f>
        <v>0.79966329706532213</v>
      </c>
      <c r="X100" s="1222">
        <f>IFERROR(W100/L100*10,0)</f>
        <v>13.532617025684544</v>
      </c>
      <c r="Y100" s="128"/>
      <c r="Z100" s="1366">
        <f>+'Tariff Schedule'!X23</f>
        <v>0.98859259259259247</v>
      </c>
    </row>
    <row r="101" spans="1:26" x14ac:dyDescent="0.4">
      <c r="A101" s="1339"/>
      <c r="B101" s="1360" t="s">
        <v>1544</v>
      </c>
      <c r="C101" s="75"/>
      <c r="D101" s="75"/>
      <c r="E101" s="75"/>
      <c r="F101" s="75"/>
      <c r="G101" s="1221">
        <f>+$F100*'Tariff Schedule'!E$50</f>
        <v>0</v>
      </c>
      <c r="H101" s="75"/>
      <c r="I101" s="75"/>
      <c r="J101" s="75"/>
      <c r="K101" s="1306"/>
      <c r="L101" s="628"/>
      <c r="M101" s="628">
        <f>+$M$100*Assum!H125</f>
        <v>8.0171145873950009E-2</v>
      </c>
      <c r="N101" s="628"/>
      <c r="O101" s="628"/>
      <c r="P101" s="628"/>
      <c r="Q101" s="628">
        <f>+G101*M101/10</f>
        <v>0</v>
      </c>
      <c r="R101" s="628"/>
      <c r="S101" s="628"/>
      <c r="T101" s="628"/>
      <c r="U101" s="628"/>
      <c r="V101" s="75"/>
      <c r="W101" s="628"/>
      <c r="X101" s="1221"/>
      <c r="Y101" s="75"/>
      <c r="Z101" s="1358"/>
    </row>
    <row r="102" spans="1:26" x14ac:dyDescent="0.4">
      <c r="A102" s="1339"/>
      <c r="B102" s="1360" t="s">
        <v>1545</v>
      </c>
      <c r="C102" s="75"/>
      <c r="D102" s="75"/>
      <c r="E102" s="75"/>
      <c r="F102" s="75"/>
      <c r="G102" s="1221">
        <f>+$F100*'Tariff Schedule'!E$51</f>
        <v>0</v>
      </c>
      <c r="H102" s="75"/>
      <c r="I102" s="75"/>
      <c r="J102" s="75"/>
      <c r="K102" s="1306"/>
      <c r="L102" s="628"/>
      <c r="M102" s="628">
        <f>+$M$100*Assum!H126</f>
        <v>9.3382960963758602E-2</v>
      </c>
      <c r="N102" s="628"/>
      <c r="O102" s="628"/>
      <c r="P102" s="628"/>
      <c r="Q102" s="628">
        <f>+G102*M102/10</f>
        <v>0</v>
      </c>
      <c r="R102" s="628"/>
      <c r="S102" s="628"/>
      <c r="T102" s="628"/>
      <c r="U102" s="628"/>
      <c r="V102" s="75"/>
      <c r="W102" s="628"/>
      <c r="X102" s="1221"/>
      <c r="Y102" s="75"/>
      <c r="Z102" s="1358"/>
    </row>
    <row r="103" spans="1:26" x14ac:dyDescent="0.4">
      <c r="A103" s="1339"/>
      <c r="B103" s="1360" t="s">
        <v>1546</v>
      </c>
      <c r="C103" s="75"/>
      <c r="D103" s="75"/>
      <c r="E103" s="75"/>
      <c r="F103" s="75"/>
      <c r="G103" s="1221">
        <f>+$F100*'Tariff Schedule'!E$52</f>
        <v>-2.3638333333333335</v>
      </c>
      <c r="H103" s="75"/>
      <c r="I103" s="75"/>
      <c r="J103" s="75"/>
      <c r="K103" s="1306"/>
      <c r="L103" s="628"/>
      <c r="M103" s="628">
        <f>+$M$100*Assum!H127</f>
        <v>0.27414488381461311</v>
      </c>
      <c r="N103" s="628"/>
      <c r="O103" s="628"/>
      <c r="P103" s="628"/>
      <c r="Q103" s="628">
        <f>+G103*M103/10</f>
        <v>-6.4803281452377626E-2</v>
      </c>
      <c r="R103" s="628"/>
      <c r="S103" s="628"/>
      <c r="T103" s="628"/>
      <c r="U103" s="628"/>
      <c r="V103" s="75"/>
      <c r="W103" s="628"/>
      <c r="X103" s="1221"/>
      <c r="Y103" s="75"/>
      <c r="Z103" s="1358"/>
    </row>
    <row r="104" spans="1:26" x14ac:dyDescent="0.4">
      <c r="A104" s="1339"/>
      <c r="B104" s="1360" t="s">
        <v>1549</v>
      </c>
      <c r="C104" s="75"/>
      <c r="D104" s="75"/>
      <c r="E104" s="75"/>
      <c r="F104" s="75"/>
      <c r="G104" s="1221">
        <f>+$F100*'Tariff Schedule'!E$55</f>
        <v>2.1819999999999999</v>
      </c>
      <c r="H104" s="75"/>
      <c r="I104" s="75"/>
      <c r="J104" s="75"/>
      <c r="K104" s="1306"/>
      <c r="L104" s="628"/>
      <c r="M104" s="628">
        <f>+$M$100*Assum!H128</f>
        <v>0.15003509184873923</v>
      </c>
      <c r="N104" s="628"/>
      <c r="O104" s="628"/>
      <c r="P104" s="628"/>
      <c r="Q104" s="628">
        <f>+G104*M104/10</f>
        <v>3.2737657041394898E-2</v>
      </c>
      <c r="R104" s="628"/>
      <c r="S104" s="628"/>
      <c r="T104" s="628"/>
      <c r="U104" s="628"/>
      <c r="V104" s="75"/>
      <c r="W104" s="628"/>
      <c r="X104" s="1221"/>
      <c r="Y104" s="75"/>
      <c r="Z104" s="1358"/>
    </row>
    <row r="105" spans="1:26" s="6" customFormat="1" ht="13.5" x14ac:dyDescent="0.35">
      <c r="A105" s="1364">
        <f>+'F13.1'!A63</f>
        <v>0.4</v>
      </c>
      <c r="B105" s="1361" t="s">
        <v>1143</v>
      </c>
      <c r="C105" s="128">
        <f>+Assum!F188</f>
        <v>1</v>
      </c>
      <c r="D105" s="128"/>
      <c r="E105" s="128">
        <f>+'Tariff Schedule'!F24</f>
        <v>525</v>
      </c>
      <c r="F105" s="1365">
        <f>+'Tariff Schedule'!M24</f>
        <v>12.94</v>
      </c>
      <c r="G105" s="128"/>
      <c r="H105" s="1365">
        <f>+'Tariff Schedule'!S24</f>
        <v>1.39</v>
      </c>
      <c r="I105" s="128"/>
      <c r="J105" s="128"/>
      <c r="K105" s="1336">
        <v>70</v>
      </c>
      <c r="L105" s="630">
        <f>+'F1 Non-SEZ'!K27</f>
        <v>0.17597237974843327</v>
      </c>
      <c r="M105" s="630">
        <f>+L105/Z105</f>
        <v>0.17771995934869542</v>
      </c>
      <c r="N105" s="630"/>
      <c r="O105" s="630">
        <f>(K105*E105)*12/10^7*A105</f>
        <v>1.7639999999999999E-2</v>
      </c>
      <c r="P105" s="630">
        <f>+M105*F105/10</f>
        <v>0.22996962739721188</v>
      </c>
      <c r="Q105" s="630">
        <f>SUM(Q106:Q109)</f>
        <v>-2.3120808167028432E-2</v>
      </c>
      <c r="R105" s="630">
        <f>(M105*H105)/10</f>
        <v>2.4703074349468661E-2</v>
      </c>
      <c r="S105" s="630"/>
      <c r="T105" s="630"/>
      <c r="U105" s="630">
        <f>SUM(N105:T105)</f>
        <v>0.2491918935796521</v>
      </c>
      <c r="V105" s="128"/>
      <c r="W105" s="630">
        <f>+U105+V105</f>
        <v>0.2491918935796521</v>
      </c>
      <c r="X105" s="1222">
        <f>IFERROR(W105/L105*10,0)</f>
        <v>14.160852625616137</v>
      </c>
      <c r="Y105" s="128"/>
      <c r="Z105" s="1366">
        <f>+'Tariff Schedule'!X24</f>
        <v>0.99016666666666675</v>
      </c>
    </row>
    <row r="106" spans="1:26" x14ac:dyDescent="0.4">
      <c r="A106" s="1339"/>
      <c r="B106" s="1360" t="s">
        <v>1544</v>
      </c>
      <c r="C106" s="75"/>
      <c r="D106" s="75"/>
      <c r="E106" s="75"/>
      <c r="F106" s="75"/>
      <c r="G106" s="1221">
        <f>+$F105*'Tariff Schedule'!E$50</f>
        <v>0</v>
      </c>
      <c r="H106" s="75"/>
      <c r="I106" s="75"/>
      <c r="J106" s="75"/>
      <c r="K106" s="1306"/>
      <c r="L106" s="628"/>
      <c r="M106" s="628">
        <f>+$M$105*Assum!I125</f>
        <v>1.2786756317214692E-2</v>
      </c>
      <c r="N106" s="628"/>
      <c r="O106" s="628"/>
      <c r="P106" s="628"/>
      <c r="Q106" s="628">
        <f>+G106*M106/10</f>
        <v>0</v>
      </c>
      <c r="R106" s="628"/>
      <c r="S106" s="628"/>
      <c r="T106" s="628"/>
      <c r="U106" s="628"/>
      <c r="V106" s="75"/>
      <c r="W106" s="628"/>
      <c r="X106" s="1221"/>
      <c r="Y106" s="75"/>
      <c r="Z106" s="1358"/>
    </row>
    <row r="107" spans="1:26" x14ac:dyDescent="0.4">
      <c r="A107" s="1339"/>
      <c r="B107" s="1360" t="s">
        <v>1545</v>
      </c>
      <c r="C107" s="75"/>
      <c r="D107" s="75"/>
      <c r="E107" s="75"/>
      <c r="F107" s="75"/>
      <c r="G107" s="1221">
        <f>+$F105*'Tariff Schedule'!E$51</f>
        <v>0</v>
      </c>
      <c r="H107" s="75"/>
      <c r="I107" s="75"/>
      <c r="J107" s="75"/>
      <c r="K107" s="1306"/>
      <c r="L107" s="628"/>
      <c r="M107" s="628">
        <f>+$M$105*Assum!I126</f>
        <v>3.4242912964762784E-2</v>
      </c>
      <c r="N107" s="628"/>
      <c r="O107" s="628"/>
      <c r="P107" s="628"/>
      <c r="Q107" s="628">
        <f>+G107*M107/10</f>
        <v>0</v>
      </c>
      <c r="R107" s="628"/>
      <c r="S107" s="628"/>
      <c r="T107" s="628"/>
      <c r="U107" s="628"/>
      <c r="V107" s="75"/>
      <c r="W107" s="628"/>
      <c r="X107" s="1221"/>
      <c r="Y107" s="75"/>
      <c r="Z107" s="1358"/>
    </row>
    <row r="108" spans="1:26" x14ac:dyDescent="0.4">
      <c r="A108" s="1339"/>
      <c r="B108" s="1360" t="s">
        <v>1546</v>
      </c>
      <c r="C108" s="75"/>
      <c r="D108" s="75"/>
      <c r="E108" s="75"/>
      <c r="F108" s="75"/>
      <c r="G108" s="1221">
        <f>+$F105*'Tariff Schedule'!E$52</f>
        <v>-2.8036666666666665</v>
      </c>
      <c r="H108" s="75"/>
      <c r="I108" s="75"/>
      <c r="J108" s="75"/>
      <c r="K108" s="1306"/>
      <c r="L108" s="628"/>
      <c r="M108" s="628">
        <f>+$M$105*Assum!I127</f>
        <v>0.10561382733161367</v>
      </c>
      <c r="N108" s="628"/>
      <c r="O108" s="628"/>
      <c r="P108" s="628"/>
      <c r="Q108" s="628">
        <f>+G108*M108/10</f>
        <v>-2.9610596722873417E-2</v>
      </c>
      <c r="R108" s="628"/>
      <c r="S108" s="628"/>
      <c r="T108" s="628"/>
      <c r="U108" s="628"/>
      <c r="V108" s="75"/>
      <c r="W108" s="628"/>
      <c r="X108" s="1221"/>
      <c r="Y108" s="75"/>
      <c r="Z108" s="1358"/>
    </row>
    <row r="109" spans="1:26" x14ac:dyDescent="0.4">
      <c r="A109" s="1339"/>
      <c r="B109" s="1360" t="s">
        <v>1549</v>
      </c>
      <c r="C109" s="75"/>
      <c r="D109" s="75"/>
      <c r="E109" s="75"/>
      <c r="F109" s="75"/>
      <c r="G109" s="1221">
        <f>+$F105*'Tariff Schedule'!E$55</f>
        <v>2.5880000000000001</v>
      </c>
      <c r="H109" s="75"/>
      <c r="I109" s="75"/>
      <c r="J109" s="75"/>
      <c r="K109" s="1306"/>
      <c r="L109" s="628"/>
      <c r="M109" s="628">
        <f>+$M$105*Assum!I128</f>
        <v>2.507646273510427E-2</v>
      </c>
      <c r="N109" s="628"/>
      <c r="O109" s="628"/>
      <c r="P109" s="628"/>
      <c r="Q109" s="628">
        <f>+G109*M109/10</f>
        <v>6.4897885558449862E-3</v>
      </c>
      <c r="R109" s="628"/>
      <c r="S109" s="628"/>
      <c r="T109" s="628"/>
      <c r="U109" s="628"/>
      <c r="V109" s="75"/>
      <c r="W109" s="628"/>
      <c r="X109" s="1221"/>
      <c r="Y109" s="75"/>
      <c r="Z109" s="1358"/>
    </row>
    <row r="110" spans="1:26" s="6" customFormat="1" ht="38.25" x14ac:dyDescent="0.35">
      <c r="A110" s="1364">
        <f>+'F13.1'!A64</f>
        <v>0.4</v>
      </c>
      <c r="B110" s="1363" t="s">
        <v>1111</v>
      </c>
      <c r="C110" s="128">
        <f>+'F13 Non SEZ'!C220</f>
        <v>2</v>
      </c>
      <c r="D110" s="128"/>
      <c r="E110" s="128">
        <f>+'Tariff Schedule'!F31</f>
        <v>200</v>
      </c>
      <c r="F110" s="1365">
        <f>+'Tariff Schedule'!M31</f>
        <v>6.94</v>
      </c>
      <c r="G110" s="128"/>
      <c r="H110" s="1365">
        <f>+'Tariff Schedule'!S31</f>
        <v>1.39</v>
      </c>
      <c r="I110" s="128"/>
      <c r="J110" s="128"/>
      <c r="K110" s="1336">
        <v>160</v>
      </c>
      <c r="L110" s="630">
        <f>+'F1 Non-SEZ'!K28</f>
        <v>0.97996764932994562</v>
      </c>
      <c r="M110" s="630">
        <f>+L110/Z110</f>
        <v>0.9999669891121894</v>
      </c>
      <c r="N110" s="630"/>
      <c r="O110" s="630">
        <f>(K110*E110)*12/10^7*A110</f>
        <v>1.5359999999999999E-2</v>
      </c>
      <c r="P110" s="630">
        <f>+M110*F110/10</f>
        <v>0.69397709044385947</v>
      </c>
      <c r="Q110" s="630">
        <f>SUM(Q111:Q114)</f>
        <v>-1.4059988899568415E-2</v>
      </c>
      <c r="R110" s="630">
        <f>(M110*H110)/10</f>
        <v>0.13899541148659431</v>
      </c>
      <c r="S110" s="630"/>
      <c r="T110" s="630"/>
      <c r="U110" s="630">
        <f>SUM(N110:T110)</f>
        <v>0.83427251303088545</v>
      </c>
      <c r="V110" s="128"/>
      <c r="W110" s="630">
        <f>+U110+V110</f>
        <v>0.83427251303088545</v>
      </c>
      <c r="X110" s="1222">
        <f>IFERROR(W110/L110*10,0)</f>
        <v>8.5132658573098876</v>
      </c>
      <c r="Y110" s="128"/>
      <c r="Z110" s="1366">
        <f>+'Tariff Schedule'!X35</f>
        <v>0.98</v>
      </c>
    </row>
    <row r="111" spans="1:26" x14ac:dyDescent="0.4">
      <c r="A111" s="1339"/>
      <c r="B111" s="1360" t="s">
        <v>1544</v>
      </c>
      <c r="C111" s="75"/>
      <c r="D111" s="75"/>
      <c r="E111" s="75"/>
      <c r="F111" s="75"/>
      <c r="G111" s="1221">
        <f>+$F110*'Tariff Schedule'!E$50</f>
        <v>0</v>
      </c>
      <c r="H111" s="75"/>
      <c r="I111" s="75"/>
      <c r="J111" s="75"/>
      <c r="K111" s="1306"/>
      <c r="L111" s="628"/>
      <c r="M111" s="628">
        <f>+$M$110*Assum!J125</f>
        <v>0.21917196858040372</v>
      </c>
      <c r="N111" s="628"/>
      <c r="O111" s="628"/>
      <c r="P111" s="628"/>
      <c r="Q111" s="628">
        <f>+G111*M111/10</f>
        <v>0</v>
      </c>
      <c r="R111" s="628"/>
      <c r="S111" s="628"/>
      <c r="T111" s="628"/>
      <c r="U111" s="628"/>
      <c r="V111" s="75"/>
      <c r="W111" s="628"/>
      <c r="X111" s="1221"/>
      <c r="Y111" s="75"/>
      <c r="Z111" s="1358"/>
    </row>
    <row r="112" spans="1:26" x14ac:dyDescent="0.4">
      <c r="A112" s="1339"/>
      <c r="B112" s="1360" t="s">
        <v>1545</v>
      </c>
      <c r="C112" s="75"/>
      <c r="D112" s="75"/>
      <c r="E112" s="75"/>
      <c r="F112" s="75"/>
      <c r="G112" s="1221">
        <f>+$F110*'Tariff Schedule'!E$51</f>
        <v>0</v>
      </c>
      <c r="H112" s="75"/>
      <c r="I112" s="75"/>
      <c r="J112" s="75"/>
      <c r="K112" s="1306"/>
      <c r="L112" s="628"/>
      <c r="M112" s="628">
        <f>+$M$110*Assum!J126</f>
        <v>0.1314045829667497</v>
      </c>
      <c r="N112" s="628"/>
      <c r="O112" s="628"/>
      <c r="P112" s="628"/>
      <c r="Q112" s="628">
        <f>+G112*M112/10</f>
        <v>0</v>
      </c>
      <c r="R112" s="628"/>
      <c r="S112" s="628"/>
      <c r="T112" s="628"/>
      <c r="U112" s="628"/>
      <c r="V112" s="75"/>
      <c r="W112" s="628"/>
      <c r="X112" s="1221"/>
      <c r="Y112" s="75"/>
      <c r="Z112" s="1358"/>
    </row>
    <row r="113" spans="1:26" x14ac:dyDescent="0.4">
      <c r="A113" s="1339"/>
      <c r="B113" s="1360" t="s">
        <v>1546</v>
      </c>
      <c r="C113" s="75"/>
      <c r="D113" s="75"/>
      <c r="E113" s="75"/>
      <c r="F113" s="75"/>
      <c r="G113" s="1221">
        <f>+$F110*'Tariff Schedule'!E$52</f>
        <v>-1.5036666666666667</v>
      </c>
      <c r="H113" s="75"/>
      <c r="I113" s="75"/>
      <c r="J113" s="75"/>
      <c r="K113" s="1306"/>
      <c r="L113" s="628"/>
      <c r="M113" s="628">
        <f>+$M$110*Assum!J127</f>
        <v>0.36032985002972473</v>
      </c>
      <c r="N113" s="628"/>
      <c r="O113" s="628"/>
      <c r="P113" s="628"/>
      <c r="Q113" s="628">
        <f>+G113*M113/10</f>
        <v>-5.4181598449469612E-2</v>
      </c>
      <c r="R113" s="628"/>
      <c r="S113" s="628"/>
      <c r="T113" s="628"/>
      <c r="U113" s="628"/>
      <c r="V113" s="75"/>
      <c r="W113" s="628"/>
      <c r="X113" s="1221"/>
      <c r="Y113" s="75"/>
      <c r="Z113" s="1358"/>
    </row>
    <row r="114" spans="1:26" x14ac:dyDescent="0.4">
      <c r="A114" s="1339"/>
      <c r="B114" s="1360" t="s">
        <v>1549</v>
      </c>
      <c r="C114" s="75"/>
      <c r="D114" s="75"/>
      <c r="E114" s="75"/>
      <c r="F114" s="75"/>
      <c r="G114" s="1221">
        <f>+$F110*'Tariff Schedule'!E$55</f>
        <v>1.3880000000000001</v>
      </c>
      <c r="H114" s="75"/>
      <c r="I114" s="75"/>
      <c r="J114" s="75"/>
      <c r="K114" s="1306"/>
      <c r="L114" s="628"/>
      <c r="M114" s="628">
        <f>+$M$110*Assum!J128</f>
        <v>0.28906058753531122</v>
      </c>
      <c r="N114" s="628"/>
      <c r="O114" s="628"/>
      <c r="P114" s="628"/>
      <c r="Q114" s="628">
        <f>+G114*M114/10</f>
        <v>4.0121609549901197E-2</v>
      </c>
      <c r="R114" s="628"/>
      <c r="S114" s="628"/>
      <c r="T114" s="628"/>
      <c r="U114" s="628"/>
      <c r="V114" s="75"/>
      <c r="W114" s="628"/>
      <c r="X114" s="1221"/>
      <c r="Y114" s="75"/>
      <c r="Z114" s="1358"/>
    </row>
    <row r="115" spans="1:26" s="6" customFormat="1" ht="25.5" x14ac:dyDescent="0.35">
      <c r="B115" s="1363" t="s">
        <v>1135</v>
      </c>
      <c r="C115" s="128">
        <f>+'F13 Non SEZ'!C221</f>
        <v>1</v>
      </c>
      <c r="D115" s="128">
        <f>+'Tariff Schedule'!F26</f>
        <v>600</v>
      </c>
      <c r="E115" s="128"/>
      <c r="F115" s="1365">
        <f>+'Tariff Schedule'!M26</f>
        <v>5.43</v>
      </c>
      <c r="G115" s="128"/>
      <c r="H115" s="1365">
        <f>+'Tariff Schedule'!S26</f>
        <v>1.47</v>
      </c>
      <c r="I115" s="128"/>
      <c r="J115" s="128"/>
      <c r="K115" s="1336">
        <v>19</v>
      </c>
      <c r="L115" s="630">
        <f>+'F1 Non-SEZ'!K29</f>
        <v>2.5576530844487053E-2</v>
      </c>
      <c r="M115" s="630">
        <f>+L115/Z115</f>
        <v>2.6098500861721483E-2</v>
      </c>
      <c r="N115" s="630">
        <f>+C115*D115*12/10^7</f>
        <v>7.2000000000000005E-4</v>
      </c>
      <c r="O115" s="630"/>
      <c r="P115" s="630">
        <f>+L115*F115/10</f>
        <v>1.3888056248556468E-2</v>
      </c>
      <c r="Q115" s="630"/>
      <c r="R115" s="630">
        <f>(L115*H115)/10</f>
        <v>3.7597500341395966E-3</v>
      </c>
      <c r="S115" s="630"/>
      <c r="T115" s="630"/>
      <c r="U115" s="630">
        <f>SUM(N115:T115)</f>
        <v>1.8367806282696065E-2</v>
      </c>
      <c r="V115" s="128"/>
      <c r="W115" s="630">
        <f>+U115+V115</f>
        <v>1.8367806282696065E-2</v>
      </c>
      <c r="X115" s="1222">
        <f>IFERROR(W115/L115*10,0)</f>
        <v>7.1815080764384396</v>
      </c>
      <c r="Y115" s="128"/>
      <c r="Z115" s="1366">
        <f>+'Tariff Schedule'!X26</f>
        <v>0.98</v>
      </c>
    </row>
    <row r="116" spans="1:26"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3"/>
    </row>
    <row r="117" spans="1:26" s="6" customFormat="1" ht="25.5" x14ac:dyDescent="0.35">
      <c r="A117" s="1364">
        <f>+'F13.1'!A67</f>
        <v>0.4</v>
      </c>
      <c r="B117" s="1363" t="s">
        <v>1142</v>
      </c>
      <c r="C117" s="128">
        <f>+'F13 Non SEZ'!C223</f>
        <v>10</v>
      </c>
      <c r="D117" s="128"/>
      <c r="E117" s="128">
        <f>+'Tariff Schedule'!E36</f>
        <v>80</v>
      </c>
      <c r="F117" s="1365">
        <f>+'Tariff Schedule'!M36</f>
        <v>6.48</v>
      </c>
      <c r="G117" s="128"/>
      <c r="H117" s="1365">
        <f>+'Tariff Schedule'!S36</f>
        <v>1.39</v>
      </c>
      <c r="I117" s="128"/>
      <c r="J117" s="128"/>
      <c r="K117" s="1336">
        <v>105</v>
      </c>
      <c r="L117" s="630">
        <f>+'F1 Non-SEZ'!K31</f>
        <v>2.0388311031803674E-2</v>
      </c>
      <c r="M117" s="630">
        <f>+L117/Z117</f>
        <v>2.0559641376608748E-2</v>
      </c>
      <c r="N117" s="630"/>
      <c r="O117" s="630">
        <f>(K117*E117)*12/10^7*A117</f>
        <v>4.032E-3</v>
      </c>
      <c r="P117" s="630">
        <f>+M117*F117/10</f>
        <v>1.3322647612042469E-2</v>
      </c>
      <c r="Q117" s="630">
        <f>SUM(Q118:Q121)</f>
        <v>1.252534970768341E-4</v>
      </c>
      <c r="R117" s="630">
        <f>(M117*H117)/10</f>
        <v>2.8577901513486157E-3</v>
      </c>
      <c r="S117" s="630"/>
      <c r="T117" s="630"/>
      <c r="U117" s="630">
        <f>SUM(N117:T117)</f>
        <v>2.033769126046792E-2</v>
      </c>
      <c r="V117" s="128"/>
      <c r="W117" s="630">
        <f>+U117+V117</f>
        <v>2.033769126046792E-2</v>
      </c>
      <c r="X117" s="1222">
        <f>IFERROR(W117/L117*10,0)</f>
        <v>9.9751721605302208</v>
      </c>
      <c r="Y117" s="128"/>
      <c r="Z117" s="1366">
        <f>+'Tariff Schedule'!X36</f>
        <v>0.99166666666666659</v>
      </c>
    </row>
    <row r="118" spans="1:26" x14ac:dyDescent="0.4">
      <c r="A118" s="1339"/>
      <c r="B118" s="1360" t="s">
        <v>1544</v>
      </c>
      <c r="C118" s="75"/>
      <c r="D118" s="75"/>
      <c r="E118" s="75"/>
      <c r="F118" s="75"/>
      <c r="G118" s="1221">
        <f>+$F117*'Tariff Schedule'!E$50</f>
        <v>0</v>
      </c>
      <c r="H118" s="75"/>
      <c r="I118" s="75"/>
      <c r="J118" s="75"/>
      <c r="K118" s="1306"/>
      <c r="L118" s="628"/>
      <c r="M118" s="628">
        <f>+$M$117*Assum!K125</f>
        <v>8.2952814692777363E-3</v>
      </c>
      <c r="N118" s="628"/>
      <c r="O118" s="628"/>
      <c r="P118" s="628"/>
      <c r="Q118" s="628">
        <f>+G118*M118/10</f>
        <v>0</v>
      </c>
      <c r="R118" s="628"/>
      <c r="S118" s="628"/>
      <c r="T118" s="628"/>
      <c r="U118" s="628"/>
      <c r="V118" s="75"/>
      <c r="W118" s="628"/>
      <c r="X118" s="1221"/>
      <c r="Y118" s="75"/>
      <c r="Z118" s="1358"/>
    </row>
    <row r="119" spans="1:26" x14ac:dyDescent="0.4">
      <c r="A119" s="1339"/>
      <c r="B119" s="1360" t="s">
        <v>1545</v>
      </c>
      <c r="C119" s="75"/>
      <c r="D119" s="75"/>
      <c r="E119" s="75"/>
      <c r="F119" s="75"/>
      <c r="G119" s="1221">
        <f>+$F117*'Tariff Schedule'!E$51</f>
        <v>0</v>
      </c>
      <c r="H119" s="75"/>
      <c r="I119" s="75"/>
      <c r="J119" s="75"/>
      <c r="K119" s="1306"/>
      <c r="L119" s="628"/>
      <c r="M119" s="628">
        <f>+$M$117*Assum!K126</f>
        <v>1.5790116566466615E-3</v>
      </c>
      <c r="N119" s="628"/>
      <c r="O119" s="628"/>
      <c r="P119" s="628"/>
      <c r="Q119" s="628">
        <f>+G119*M119/10</f>
        <v>0</v>
      </c>
      <c r="R119" s="628"/>
      <c r="S119" s="628"/>
      <c r="T119" s="628"/>
      <c r="U119" s="628"/>
      <c r="V119" s="75"/>
      <c r="W119" s="628"/>
      <c r="X119" s="1221"/>
      <c r="Y119" s="75"/>
      <c r="Z119" s="1358"/>
    </row>
    <row r="120" spans="1:26" x14ac:dyDescent="0.4">
      <c r="A120" s="1339"/>
      <c r="B120" s="1360" t="s">
        <v>1546</v>
      </c>
      <c r="C120" s="75"/>
      <c r="D120" s="75"/>
      <c r="E120" s="75"/>
      <c r="F120" s="75"/>
      <c r="G120" s="1221">
        <f>+$F117*'Tariff Schedule'!E$52</f>
        <v>-1.4040000000000001</v>
      </c>
      <c r="H120" s="75"/>
      <c r="I120" s="75"/>
      <c r="J120" s="75"/>
      <c r="K120" s="1306"/>
      <c r="L120" s="628"/>
      <c r="M120" s="628">
        <f>+$M$117*Assum!K127</f>
        <v>4.6650653193031771E-3</v>
      </c>
      <c r="N120" s="628"/>
      <c r="O120" s="628"/>
      <c r="P120" s="628"/>
      <c r="Q120" s="628">
        <f>+G120*M120/10</f>
        <v>-6.5497517083016612E-4</v>
      </c>
      <c r="R120" s="628"/>
      <c r="S120" s="628"/>
      <c r="T120" s="628"/>
      <c r="U120" s="628"/>
      <c r="V120" s="75"/>
      <c r="W120" s="628"/>
      <c r="X120" s="1221"/>
      <c r="Y120" s="75"/>
      <c r="Z120" s="1358"/>
    </row>
    <row r="121" spans="1:26" x14ac:dyDescent="0.4">
      <c r="A121" s="1339"/>
      <c r="B121" s="1360" t="s">
        <v>1549</v>
      </c>
      <c r="C121" s="75"/>
      <c r="D121" s="75"/>
      <c r="E121" s="75"/>
      <c r="F121" s="75"/>
      <c r="G121" s="1221">
        <f>+$F117*'Tariff Schedule'!E$55</f>
        <v>1.2960000000000003</v>
      </c>
      <c r="H121" s="75"/>
      <c r="I121" s="75"/>
      <c r="J121" s="75"/>
      <c r="K121" s="1306"/>
      <c r="L121" s="628"/>
      <c r="M121" s="628">
        <f>+$M$117*Assum!K128</f>
        <v>6.0202829313811728E-3</v>
      </c>
      <c r="N121" s="628"/>
      <c r="O121" s="628"/>
      <c r="P121" s="628"/>
      <c r="Q121" s="628">
        <f>+G121*M121/10</f>
        <v>7.8022866790700021E-4</v>
      </c>
      <c r="R121" s="628"/>
      <c r="S121" s="628"/>
      <c r="T121" s="628"/>
      <c r="U121" s="628"/>
      <c r="V121" s="75"/>
      <c r="W121" s="628"/>
      <c r="X121" s="1221"/>
      <c r="Y121" s="75"/>
      <c r="Z121" s="1358"/>
    </row>
    <row r="122" spans="1:26" x14ac:dyDescent="0.4">
      <c r="B122" s="518" t="s">
        <v>162</v>
      </c>
      <c r="C122" s="1308">
        <f>SUM(C93:C117)</f>
        <v>2547</v>
      </c>
      <c r="D122" s="1310"/>
      <c r="E122" s="1310"/>
      <c r="F122" s="1310"/>
      <c r="G122" s="1310"/>
      <c r="H122" s="1310"/>
      <c r="I122" s="1310"/>
      <c r="J122" s="1310"/>
      <c r="K122" s="1336">
        <f>+K100+K105+K110+K115+K117</f>
        <v>737</v>
      </c>
      <c r="L122" s="630">
        <f t="shared" ref="L122:W122" si="6">+L92+L99+L100+L105+L110+L115+L117</f>
        <v>10.741054633202797</v>
      </c>
      <c r="M122" s="630">
        <f t="shared" si="6"/>
        <v>10.777178120477181</v>
      </c>
      <c r="N122" s="630">
        <f t="shared" si="6"/>
        <v>1.3076400000000001</v>
      </c>
      <c r="O122" s="630">
        <f t="shared" si="6"/>
        <v>0.13354800000000003</v>
      </c>
      <c r="P122" s="630">
        <f t="shared" si="6"/>
        <v>11.304086260852101</v>
      </c>
      <c r="Q122" s="630">
        <f t="shared" si="6"/>
        <v>-0.20691101407336759</v>
      </c>
      <c r="R122" s="630">
        <f t="shared" si="6"/>
        <v>1.5687915020534735</v>
      </c>
      <c r="S122" s="630">
        <f t="shared" si="6"/>
        <v>0</v>
      </c>
      <c r="T122" s="630">
        <f t="shared" si="6"/>
        <v>0</v>
      </c>
      <c r="U122" s="630">
        <f t="shared" si="6"/>
        <v>14.107154748832208</v>
      </c>
      <c r="V122" s="630">
        <f t="shared" si="6"/>
        <v>0</v>
      </c>
      <c r="W122" s="630">
        <f t="shared" si="6"/>
        <v>14.107154748832208</v>
      </c>
      <c r="X122" s="1222">
        <f>IFERROR(W122/L122*10,0)</f>
        <v>13.133863694561342</v>
      </c>
      <c r="Y122" s="75"/>
      <c r="Z122" s="2"/>
    </row>
    <row r="123" spans="1:26"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2"/>
    </row>
    <row r="124" spans="1:26" x14ac:dyDescent="0.4">
      <c r="B124" s="119" t="s">
        <v>164</v>
      </c>
      <c r="C124" s="1308">
        <f>+C122+C90</f>
        <v>2551</v>
      </c>
      <c r="D124" s="1309"/>
      <c r="E124" s="1309"/>
      <c r="F124" s="1309"/>
      <c r="G124" s="1309"/>
      <c r="H124" s="1309"/>
      <c r="I124" s="1309"/>
      <c r="J124" s="1309"/>
      <c r="K124" s="1336">
        <f t="shared" ref="K124:W124" si="7">+K122+K90</f>
        <v>1423</v>
      </c>
      <c r="L124" s="630">
        <f t="shared" si="7"/>
        <v>11.63714650123443</v>
      </c>
      <c r="M124" s="630">
        <f t="shared" si="7"/>
        <v>12.602127531632233</v>
      </c>
      <c r="N124" s="630">
        <f t="shared" si="7"/>
        <v>1.3076400000000001</v>
      </c>
      <c r="O124" s="630">
        <f t="shared" si="7"/>
        <v>0.52677600000000002</v>
      </c>
      <c r="P124" s="630">
        <f t="shared" si="7"/>
        <v>12.307735710868714</v>
      </c>
      <c r="Q124" s="630">
        <f t="shared" si="7"/>
        <v>-0.23937821321334013</v>
      </c>
      <c r="R124" s="630">
        <f t="shared" si="7"/>
        <v>1.6363146302662104</v>
      </c>
      <c r="S124" s="630">
        <f t="shared" si="7"/>
        <v>0</v>
      </c>
      <c r="T124" s="630">
        <f t="shared" si="7"/>
        <v>0</v>
      </c>
      <c r="U124" s="630">
        <f t="shared" si="7"/>
        <v>15.539088127921586</v>
      </c>
      <c r="V124" s="1309">
        <f t="shared" si="7"/>
        <v>0</v>
      </c>
      <c r="W124" s="630">
        <f t="shared" si="7"/>
        <v>15.539088127921586</v>
      </c>
      <c r="X124" s="1222">
        <f>IFERROR(W124/L124*10,0)</f>
        <v>13.353005503774702</v>
      </c>
      <c r="Y124" s="75"/>
      <c r="Z124" s="2"/>
    </row>
    <row r="125" spans="1:26" x14ac:dyDescent="0.4">
      <c r="Z125" s="2"/>
    </row>
    <row r="126" spans="1:26" x14ac:dyDescent="0.4">
      <c r="B126" s="131" t="s">
        <v>744</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row>
    <row r="127" spans="1:26" x14ac:dyDescent="0.4">
      <c r="B127" s="131" t="s">
        <v>1566</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row>
    <row r="128" spans="1:26"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row>
    <row r="129" spans="2:26"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947" t="s">
        <v>1570</v>
      </c>
    </row>
    <row r="130" spans="2:26"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947"/>
    </row>
    <row r="131" spans="2:26"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2"/>
    </row>
    <row r="132" spans="2:26" x14ac:dyDescent="0.4">
      <c r="B132" s="429" t="s">
        <v>1129</v>
      </c>
      <c r="C132" s="75">
        <f>+C13+C78</f>
        <v>4</v>
      </c>
      <c r="D132" s="75"/>
      <c r="E132" s="75"/>
      <c r="F132" s="75"/>
      <c r="G132" s="75"/>
      <c r="H132" s="75"/>
      <c r="I132" s="75"/>
      <c r="J132" s="75"/>
      <c r="K132" s="1306">
        <f t="shared" ref="K132:T132" si="8">+K13+K78</f>
        <v>25711</v>
      </c>
      <c r="L132" s="628">
        <f t="shared" si="8"/>
        <v>162.74159899999998</v>
      </c>
      <c r="M132" s="628">
        <f t="shared" si="8"/>
        <v>164.38545353535352</v>
      </c>
      <c r="N132" s="628">
        <f t="shared" si="8"/>
        <v>0</v>
      </c>
      <c r="O132" s="628">
        <f t="shared" si="8"/>
        <v>16.660728000000002</v>
      </c>
      <c r="P132" s="628">
        <f t="shared" si="8"/>
        <v>121.31646470909089</v>
      </c>
      <c r="Q132" s="628">
        <f t="shared" si="8"/>
        <v>-1.733969848556526</v>
      </c>
      <c r="R132" s="628">
        <f t="shared" si="8"/>
        <v>12.164523561616161</v>
      </c>
      <c r="S132" s="628">
        <f t="shared" si="8"/>
        <v>0</v>
      </c>
      <c r="T132" s="628">
        <f t="shared" si="8"/>
        <v>0</v>
      </c>
      <c r="U132" s="628">
        <f>SUM(N132:T132)</f>
        <v>148.40774642215055</v>
      </c>
      <c r="V132" s="75"/>
      <c r="W132" s="628">
        <f>+U132+V132</f>
        <v>148.40774642215055</v>
      </c>
      <c r="X132" s="1221">
        <f>IFERROR(W132/L132*10,0)</f>
        <v>9.1192262663064145</v>
      </c>
      <c r="Y132" s="75"/>
      <c r="Z132" s="2"/>
    </row>
    <row r="133" spans="2:26" x14ac:dyDescent="0.4">
      <c r="B133" s="429" t="s">
        <v>1130</v>
      </c>
      <c r="C133" s="75">
        <f>+C18+C83</f>
        <v>4</v>
      </c>
      <c r="D133" s="75"/>
      <c r="E133" s="75"/>
      <c r="F133" s="75"/>
      <c r="G133" s="75"/>
      <c r="H133" s="75"/>
      <c r="I133" s="75"/>
      <c r="J133" s="75"/>
      <c r="K133" s="1306">
        <f t="shared" ref="K133:T133" si="9">+K18+K83</f>
        <v>515</v>
      </c>
      <c r="L133" s="628">
        <f t="shared" si="9"/>
        <v>0.74714683451741593</v>
      </c>
      <c r="M133" s="628">
        <f t="shared" si="9"/>
        <v>0.76239472909940409</v>
      </c>
      <c r="N133" s="628">
        <f t="shared" si="9"/>
        <v>0</v>
      </c>
      <c r="O133" s="628">
        <f t="shared" si="9"/>
        <v>0.27810000000000001</v>
      </c>
      <c r="P133" s="628">
        <f t="shared" si="9"/>
        <v>0.90953691181558893</v>
      </c>
      <c r="Q133" s="628">
        <f t="shared" si="9"/>
        <v>-3.2035529379516606E-2</v>
      </c>
      <c r="R133" s="628">
        <f t="shared" si="9"/>
        <v>5.641720995335589E-2</v>
      </c>
      <c r="S133" s="628">
        <f t="shared" si="9"/>
        <v>0</v>
      </c>
      <c r="T133" s="628">
        <f t="shared" si="9"/>
        <v>0</v>
      </c>
      <c r="U133" s="628">
        <f>SUM(N133:T133)</f>
        <v>1.2120185923894282</v>
      </c>
      <c r="V133" s="75"/>
      <c r="W133" s="628">
        <f>+U133+V133</f>
        <v>1.2120185923894282</v>
      </c>
      <c r="X133" s="1221">
        <f>IFERROR(W133/L133*10,0)</f>
        <v>16.221959812923174</v>
      </c>
      <c r="Y133" s="75"/>
      <c r="Z133" s="2"/>
    </row>
    <row r="134" spans="2:26"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2"/>
    </row>
    <row r="135" spans="2:26"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2"/>
    </row>
    <row r="136" spans="2:26" x14ac:dyDescent="0.4">
      <c r="B136" s="518" t="s">
        <v>162</v>
      </c>
      <c r="C136" s="128">
        <f>SUM(C132:C135)</f>
        <v>8</v>
      </c>
      <c r="D136" s="1309"/>
      <c r="E136" s="1309"/>
      <c r="F136" s="1309"/>
      <c r="G136" s="1309"/>
      <c r="H136" s="1309"/>
      <c r="I136" s="1309"/>
      <c r="J136" s="1309"/>
      <c r="K136" s="1336">
        <f t="shared" ref="K136:W136" si="10">SUM(K132:K135)</f>
        <v>26226</v>
      </c>
      <c r="L136" s="630">
        <f t="shared" si="10"/>
        <v>163.4887458345174</v>
      </c>
      <c r="M136" s="630">
        <f t="shared" si="10"/>
        <v>165.14784826445293</v>
      </c>
      <c r="N136" s="630">
        <f t="shared" si="10"/>
        <v>0</v>
      </c>
      <c r="O136" s="630">
        <f t="shared" si="10"/>
        <v>16.938828000000001</v>
      </c>
      <c r="P136" s="630">
        <f t="shared" si="10"/>
        <v>122.22600162090649</v>
      </c>
      <c r="Q136" s="630">
        <f t="shared" si="10"/>
        <v>-1.7660053779360427</v>
      </c>
      <c r="R136" s="630">
        <f t="shared" si="10"/>
        <v>12.220940771569516</v>
      </c>
      <c r="S136" s="630">
        <f t="shared" si="10"/>
        <v>0</v>
      </c>
      <c r="T136" s="630">
        <f t="shared" si="10"/>
        <v>0</v>
      </c>
      <c r="U136" s="630">
        <f t="shared" si="10"/>
        <v>149.61976501453998</v>
      </c>
      <c r="V136" s="1309">
        <f t="shared" si="10"/>
        <v>0</v>
      </c>
      <c r="W136" s="630">
        <f t="shared" si="10"/>
        <v>149.61976501453998</v>
      </c>
      <c r="X136" s="1221">
        <f>IFERROR(W136/L136*10,0)</f>
        <v>9.151685900507454</v>
      </c>
      <c r="Y136" s="75"/>
      <c r="Z136" s="2"/>
    </row>
    <row r="137" spans="2:26"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2"/>
    </row>
    <row r="138" spans="2:26" x14ac:dyDescent="0.4">
      <c r="B138" s="519" t="s">
        <v>1133</v>
      </c>
      <c r="C138" s="75"/>
      <c r="D138" s="75"/>
      <c r="E138" s="75"/>
      <c r="F138" s="75"/>
      <c r="G138" s="75"/>
      <c r="H138" s="75"/>
      <c r="I138" s="75"/>
      <c r="J138" s="75"/>
      <c r="K138" s="1306"/>
      <c r="L138" s="628"/>
      <c r="M138" s="628"/>
      <c r="N138" s="628"/>
      <c r="O138" s="628"/>
      <c r="P138" s="628"/>
      <c r="Q138" s="628"/>
      <c r="R138" s="628"/>
      <c r="S138" s="628"/>
      <c r="T138" s="628"/>
      <c r="U138" s="628"/>
      <c r="V138" s="75"/>
      <c r="W138" s="628"/>
      <c r="X138" s="75"/>
      <c r="Y138" s="75"/>
      <c r="Z138" s="2"/>
    </row>
    <row r="139" spans="2:26" x14ac:dyDescent="0.4">
      <c r="B139" s="520" t="s">
        <v>1106</v>
      </c>
      <c r="C139" s="75">
        <f>+C28+C93</f>
        <v>1424</v>
      </c>
      <c r="D139" s="75"/>
      <c r="E139" s="75"/>
      <c r="F139" s="75"/>
      <c r="G139" s="75"/>
      <c r="H139" s="75"/>
      <c r="I139" s="75"/>
      <c r="J139" s="75"/>
      <c r="K139" s="1306">
        <f t="shared" ref="K139:T139" si="11">+K28+K93</f>
        <v>0</v>
      </c>
      <c r="L139" s="628">
        <f t="shared" si="11"/>
        <v>2.0022014349328505</v>
      </c>
      <c r="M139" s="628">
        <f t="shared" si="11"/>
        <v>2.0022014349328505</v>
      </c>
      <c r="N139" s="628">
        <f t="shared" si="11"/>
        <v>0.73478399999999999</v>
      </c>
      <c r="O139" s="628">
        <f t="shared" si="11"/>
        <v>0</v>
      </c>
      <c r="P139" s="628">
        <f t="shared" si="11"/>
        <v>0.72880132231555761</v>
      </c>
      <c r="Q139" s="628">
        <f t="shared" si="11"/>
        <v>-3.2035222958925615E-2</v>
      </c>
      <c r="R139" s="628">
        <f t="shared" si="11"/>
        <v>0.29432361093512904</v>
      </c>
      <c r="S139" s="628">
        <f t="shared" si="11"/>
        <v>0</v>
      </c>
      <c r="T139" s="628">
        <f t="shared" si="11"/>
        <v>0</v>
      </c>
      <c r="U139" s="628">
        <f>SUM(N139:T139)</f>
        <v>1.725873710291761</v>
      </c>
      <c r="V139" s="75"/>
      <c r="W139" s="628">
        <f>+U139+V139</f>
        <v>1.725873710291761</v>
      </c>
      <c r="X139" s="1221">
        <f>IFERROR(W139/L139*10,0)</f>
        <v>8.6198804984356787</v>
      </c>
      <c r="Y139" s="75"/>
      <c r="Z139" s="2"/>
    </row>
    <row r="140" spans="2:26" x14ac:dyDescent="0.4">
      <c r="B140" s="520" t="s">
        <v>1107</v>
      </c>
      <c r="C140" s="75">
        <f>+C29+C94</f>
        <v>553</v>
      </c>
      <c r="D140" s="75"/>
      <c r="E140" s="75"/>
      <c r="F140" s="75"/>
      <c r="G140" s="75"/>
      <c r="H140" s="75"/>
      <c r="I140" s="75"/>
      <c r="J140" s="75"/>
      <c r="K140" s="1306">
        <f t="shared" ref="K140:T140" si="12">+K29+K94</f>
        <v>0</v>
      </c>
      <c r="L140" s="628">
        <f t="shared" si="12"/>
        <v>1.9389082816511378</v>
      </c>
      <c r="M140" s="628">
        <f t="shared" si="12"/>
        <v>1.9389082816511378</v>
      </c>
      <c r="N140" s="628">
        <f t="shared" si="12"/>
        <v>0.28534799999999999</v>
      </c>
      <c r="O140" s="628">
        <f t="shared" si="12"/>
        <v>0</v>
      </c>
      <c r="P140" s="628">
        <f t="shared" si="12"/>
        <v>1.830329417878674</v>
      </c>
      <c r="Q140" s="628">
        <f t="shared" si="12"/>
        <v>-3.1022532506418211E-2</v>
      </c>
      <c r="R140" s="628">
        <f t="shared" si="12"/>
        <v>0.28501951740271725</v>
      </c>
      <c r="S140" s="628">
        <f t="shared" si="12"/>
        <v>0</v>
      </c>
      <c r="T140" s="628">
        <f t="shared" si="12"/>
        <v>0</v>
      </c>
      <c r="U140" s="628">
        <f>SUM(N140:T140)</f>
        <v>2.3696744027749732</v>
      </c>
      <c r="V140" s="75"/>
      <c r="W140" s="628">
        <f>+U140+V140</f>
        <v>2.3696744027749732</v>
      </c>
      <c r="X140" s="1221">
        <f>IFERROR(W140/L140*10,0)</f>
        <v>12.221694162639828</v>
      </c>
      <c r="Y140" s="75"/>
      <c r="Z140" s="2"/>
    </row>
    <row r="141" spans="2:26" x14ac:dyDescent="0.4">
      <c r="B141" s="520" t="s">
        <v>1108</v>
      </c>
      <c r="C141" s="75">
        <f>+C30+C95</f>
        <v>294</v>
      </c>
      <c r="D141" s="75"/>
      <c r="E141" s="75"/>
      <c r="F141" s="75"/>
      <c r="G141" s="75"/>
      <c r="H141" s="75"/>
      <c r="I141" s="75"/>
      <c r="J141" s="75"/>
      <c r="K141" s="1306">
        <f t="shared" ref="K141:T141" si="13">+K30+K95</f>
        <v>0</v>
      </c>
      <c r="L141" s="628">
        <f t="shared" si="13"/>
        <v>0.67911633672838101</v>
      </c>
      <c r="M141" s="628">
        <f t="shared" si="13"/>
        <v>0.67911633672838101</v>
      </c>
      <c r="N141" s="628">
        <f t="shared" si="13"/>
        <v>0.15170400000000001</v>
      </c>
      <c r="O141" s="628">
        <f t="shared" si="13"/>
        <v>0</v>
      </c>
      <c r="P141" s="628">
        <f t="shared" si="13"/>
        <v>0.88760505210399399</v>
      </c>
      <c r="Q141" s="628">
        <f t="shared" si="13"/>
        <v>-1.0865861387654097E-2</v>
      </c>
      <c r="R141" s="628">
        <f t="shared" si="13"/>
        <v>9.983010149907201E-2</v>
      </c>
      <c r="S141" s="628">
        <f t="shared" si="13"/>
        <v>0</v>
      </c>
      <c r="T141" s="628">
        <f t="shared" si="13"/>
        <v>0</v>
      </c>
      <c r="U141" s="628">
        <f>SUM(N141:T141)</f>
        <v>1.1282732922154119</v>
      </c>
      <c r="V141" s="75"/>
      <c r="W141" s="628">
        <f>+U141+V141</f>
        <v>1.1282732922154119</v>
      </c>
      <c r="X141" s="1221">
        <f>IFERROR(W141/L141*10,0)</f>
        <v>16.613844067583894</v>
      </c>
      <c r="Y141" s="75"/>
      <c r="Z141" s="2"/>
    </row>
    <row r="142" spans="2:26" x14ac:dyDescent="0.4">
      <c r="B142" s="520" t="s">
        <v>1109</v>
      </c>
      <c r="C142" s="75">
        <f>+C31+C96</f>
        <v>211</v>
      </c>
      <c r="D142" s="75"/>
      <c r="E142" s="75"/>
      <c r="F142" s="75"/>
      <c r="G142" s="75"/>
      <c r="H142" s="75"/>
      <c r="I142" s="75"/>
      <c r="J142" s="75"/>
      <c r="K142" s="1306">
        <f t="shared" ref="K142:T142" si="14">+K31+K96</f>
        <v>0</v>
      </c>
      <c r="L142" s="628">
        <f t="shared" si="14"/>
        <v>3.9916393274916824</v>
      </c>
      <c r="M142" s="628">
        <f t="shared" si="14"/>
        <v>3.9916393274916824</v>
      </c>
      <c r="N142" s="628">
        <f t="shared" si="14"/>
        <v>0.108876</v>
      </c>
      <c r="O142" s="628">
        <f t="shared" si="14"/>
        <v>0</v>
      </c>
      <c r="P142" s="628">
        <f t="shared" si="14"/>
        <v>5.9994339092199986</v>
      </c>
      <c r="Q142" s="628">
        <f t="shared" si="14"/>
        <v>-6.3866229239866928E-2</v>
      </c>
      <c r="R142" s="628">
        <f t="shared" si="14"/>
        <v>0.58677098114127735</v>
      </c>
      <c r="S142" s="628">
        <f t="shared" si="14"/>
        <v>0</v>
      </c>
      <c r="T142" s="628">
        <f t="shared" si="14"/>
        <v>0</v>
      </c>
      <c r="U142" s="628">
        <f>SUM(N142:T142)</f>
        <v>6.6312146611214091</v>
      </c>
      <c r="V142" s="75"/>
      <c r="W142" s="628">
        <f>+U142+V142</f>
        <v>6.6312146611214091</v>
      </c>
      <c r="X142" s="1221">
        <f>IFERROR(W142/L142*10,0)</f>
        <v>16.612760114497661</v>
      </c>
      <c r="Y142" s="75"/>
      <c r="Z142" s="2"/>
    </row>
    <row r="143" spans="2:26" x14ac:dyDescent="0.4">
      <c r="B143" s="520" t="s">
        <v>1110</v>
      </c>
      <c r="C143" s="75"/>
      <c r="D143" s="75"/>
      <c r="E143" s="75"/>
      <c r="F143" s="75"/>
      <c r="G143" s="75"/>
      <c r="H143" s="75"/>
      <c r="I143" s="75"/>
      <c r="J143" s="75"/>
      <c r="K143" s="1306">
        <f t="shared" ref="K143:T143" si="15">+K32+K97</f>
        <v>0</v>
      </c>
      <c r="L143" s="628">
        <f t="shared" si="15"/>
        <v>0</v>
      </c>
      <c r="M143" s="628">
        <f t="shared" si="15"/>
        <v>0</v>
      </c>
      <c r="N143" s="628">
        <f t="shared" si="15"/>
        <v>0</v>
      </c>
      <c r="O143" s="628">
        <f t="shared" si="15"/>
        <v>0</v>
      </c>
      <c r="P143" s="628">
        <f t="shared" si="15"/>
        <v>0</v>
      </c>
      <c r="Q143" s="628">
        <f t="shared" si="15"/>
        <v>0</v>
      </c>
      <c r="R143" s="628">
        <f t="shared" si="15"/>
        <v>0</v>
      </c>
      <c r="S143" s="628">
        <f t="shared" si="15"/>
        <v>0</v>
      </c>
      <c r="T143" s="628">
        <f t="shared" si="15"/>
        <v>0</v>
      </c>
      <c r="U143" s="628"/>
      <c r="V143" s="75"/>
      <c r="W143" s="628"/>
      <c r="X143" s="75"/>
      <c r="Y143" s="75"/>
      <c r="Z143" s="2"/>
    </row>
    <row r="144" spans="2:26"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2"/>
    </row>
    <row r="145" spans="2:26" x14ac:dyDescent="0.4">
      <c r="B145" s="520" t="s">
        <v>1140</v>
      </c>
      <c r="C145" s="75">
        <f>+C35+C99</f>
        <v>42</v>
      </c>
      <c r="D145" s="75"/>
      <c r="E145" s="75"/>
      <c r="F145" s="75"/>
      <c r="G145" s="75"/>
      <c r="H145" s="75"/>
      <c r="I145" s="75"/>
      <c r="J145" s="75"/>
      <c r="K145" s="1306">
        <f t="shared" ref="K145:T145" si="16">+K35+K99</f>
        <v>0</v>
      </c>
      <c r="L145" s="628">
        <f t="shared" si="16"/>
        <v>0.33636889514339563</v>
      </c>
      <c r="M145" s="628">
        <f t="shared" si="16"/>
        <v>0.34323356647285269</v>
      </c>
      <c r="N145" s="628">
        <f t="shared" si="16"/>
        <v>2.6207999999999999E-2</v>
      </c>
      <c r="O145" s="628">
        <f t="shared" si="16"/>
        <v>0</v>
      </c>
      <c r="P145" s="628">
        <f t="shared" si="16"/>
        <v>0.25463125362355049</v>
      </c>
      <c r="Q145" s="628">
        <f t="shared" si="16"/>
        <v>0</v>
      </c>
      <c r="R145" s="628">
        <f t="shared" si="16"/>
        <v>4.9446227586079153E-2</v>
      </c>
      <c r="S145" s="628">
        <f t="shared" si="16"/>
        <v>0</v>
      </c>
      <c r="T145" s="628">
        <f t="shared" si="16"/>
        <v>0</v>
      </c>
      <c r="U145" s="628">
        <f t="shared" ref="U145:U151" si="17">SUM(N145:T145)</f>
        <v>0.33028548120962964</v>
      </c>
      <c r="V145" s="75"/>
      <c r="W145" s="628">
        <f t="shared" ref="W145:W152" si="18">+U145+V145</f>
        <v>0.33028548120962964</v>
      </c>
      <c r="X145" s="1221">
        <f t="shared" ref="X145:X151" si="19">IFERROR(W145/L145*10,0)</f>
        <v>9.8191445754467708</v>
      </c>
      <c r="Y145" s="75"/>
      <c r="Z145" s="2"/>
    </row>
    <row r="146" spans="2:26" x14ac:dyDescent="0.4">
      <c r="B146" s="520" t="s">
        <v>1144</v>
      </c>
      <c r="C146" s="75">
        <f>+C36+C100</f>
        <v>9</v>
      </c>
      <c r="D146" s="75"/>
      <c r="E146" s="75"/>
      <c r="F146" s="75"/>
      <c r="G146" s="75"/>
      <c r="H146" s="75"/>
      <c r="I146" s="75"/>
      <c r="J146" s="75"/>
      <c r="K146" s="1306">
        <f t="shared" ref="K146:T146" si="20">+K36+K100</f>
        <v>383</v>
      </c>
      <c r="L146" s="628">
        <f t="shared" si="20"/>
        <v>0.59091548630067836</v>
      </c>
      <c r="M146" s="628">
        <f t="shared" si="20"/>
        <v>0.59773408250106086</v>
      </c>
      <c r="N146" s="628">
        <f t="shared" si="20"/>
        <v>0</v>
      </c>
      <c r="O146" s="628">
        <f t="shared" si="20"/>
        <v>9.6516000000000005E-2</v>
      </c>
      <c r="P146" s="628">
        <f t="shared" si="20"/>
        <v>0.6521278840086574</v>
      </c>
      <c r="Q146" s="628">
        <f t="shared" si="20"/>
        <v>-3.2065624410982728E-2</v>
      </c>
      <c r="R146" s="628">
        <f t="shared" si="20"/>
        <v>8.3085037467647449E-2</v>
      </c>
      <c r="S146" s="628">
        <f t="shared" si="20"/>
        <v>0</v>
      </c>
      <c r="T146" s="628">
        <f t="shared" si="20"/>
        <v>0</v>
      </c>
      <c r="U146" s="628">
        <f t="shared" si="17"/>
        <v>0.79966329706532213</v>
      </c>
      <c r="V146" s="75"/>
      <c r="W146" s="628">
        <f t="shared" si="18"/>
        <v>0.79966329706532213</v>
      </c>
      <c r="X146" s="1221">
        <f t="shared" si="19"/>
        <v>13.532617025684544</v>
      </c>
      <c r="Y146" s="75"/>
      <c r="Z146" s="2"/>
    </row>
    <row r="147" spans="2:26" x14ac:dyDescent="0.4">
      <c r="B147" s="520" t="s">
        <v>1143</v>
      </c>
      <c r="C147" s="75">
        <f>+C41+C105</f>
        <v>1</v>
      </c>
      <c r="D147" s="75"/>
      <c r="E147" s="75"/>
      <c r="F147" s="75"/>
      <c r="G147" s="75"/>
      <c r="H147" s="75"/>
      <c r="I147" s="75"/>
      <c r="J147" s="75"/>
      <c r="K147" s="1306">
        <f t="shared" ref="K147:T147" si="21">+K41+K105</f>
        <v>70</v>
      </c>
      <c r="L147" s="628">
        <f t="shared" si="21"/>
        <v>0.17597237974843327</v>
      </c>
      <c r="M147" s="628">
        <f t="shared" si="21"/>
        <v>0.17771995934869542</v>
      </c>
      <c r="N147" s="628">
        <f t="shared" si="21"/>
        <v>0</v>
      </c>
      <c r="O147" s="628">
        <f t="shared" si="21"/>
        <v>1.7639999999999999E-2</v>
      </c>
      <c r="P147" s="628">
        <f t="shared" si="21"/>
        <v>0.22996962739721188</v>
      </c>
      <c r="Q147" s="628">
        <f t="shared" si="21"/>
        <v>-2.3120808167028432E-2</v>
      </c>
      <c r="R147" s="628">
        <f t="shared" si="21"/>
        <v>2.4703074349468661E-2</v>
      </c>
      <c r="S147" s="628">
        <f t="shared" si="21"/>
        <v>0</v>
      </c>
      <c r="T147" s="628">
        <f t="shared" si="21"/>
        <v>0</v>
      </c>
      <c r="U147" s="628">
        <f t="shared" si="17"/>
        <v>0.2491918935796521</v>
      </c>
      <c r="V147" s="75"/>
      <c r="W147" s="628">
        <f t="shared" si="18"/>
        <v>0.2491918935796521</v>
      </c>
      <c r="X147" s="1221">
        <f t="shared" si="19"/>
        <v>14.160852625616137</v>
      </c>
      <c r="Y147" s="75"/>
      <c r="Z147" s="2"/>
    </row>
    <row r="148" spans="2:26" ht="25.5" x14ac:dyDescent="0.4">
      <c r="B148" s="519" t="s">
        <v>1111</v>
      </c>
      <c r="C148" s="75">
        <f>+C46+C110</f>
        <v>2</v>
      </c>
      <c r="D148" s="75"/>
      <c r="E148" s="75"/>
      <c r="F148" s="75"/>
      <c r="G148" s="75"/>
      <c r="H148" s="75"/>
      <c r="I148" s="75"/>
      <c r="J148" s="75"/>
      <c r="K148" s="1306">
        <f t="shared" ref="K148:T148" si="22">+K46+K110</f>
        <v>160</v>
      </c>
      <c r="L148" s="628">
        <f t="shared" si="22"/>
        <v>0.97996764932994562</v>
      </c>
      <c r="M148" s="628">
        <f t="shared" si="22"/>
        <v>0.9999669891121894</v>
      </c>
      <c r="N148" s="628">
        <f t="shared" si="22"/>
        <v>0</v>
      </c>
      <c r="O148" s="628">
        <f t="shared" si="22"/>
        <v>1.5359999999999999E-2</v>
      </c>
      <c r="P148" s="628">
        <f t="shared" si="22"/>
        <v>0.69397709044385947</v>
      </c>
      <c r="Q148" s="628">
        <f t="shared" si="22"/>
        <v>-1.4059988899568415E-2</v>
      </c>
      <c r="R148" s="628">
        <f t="shared" si="22"/>
        <v>0.13899541148659431</v>
      </c>
      <c r="S148" s="628">
        <f t="shared" si="22"/>
        <v>0</v>
      </c>
      <c r="T148" s="628">
        <f t="shared" si="22"/>
        <v>0</v>
      </c>
      <c r="U148" s="628">
        <f t="shared" si="17"/>
        <v>0.83427251303088545</v>
      </c>
      <c r="V148" s="75"/>
      <c r="W148" s="628">
        <f t="shared" si="18"/>
        <v>0.83427251303088545</v>
      </c>
      <c r="X148" s="1221">
        <f t="shared" si="19"/>
        <v>8.5132658573098876</v>
      </c>
      <c r="Y148" s="75"/>
      <c r="Z148" s="2"/>
    </row>
    <row r="149" spans="2:26" ht="25.5" x14ac:dyDescent="0.4">
      <c r="B149" s="519" t="s">
        <v>1135</v>
      </c>
      <c r="C149" s="75">
        <f>+C51+C115</f>
        <v>2</v>
      </c>
      <c r="D149" s="75"/>
      <c r="E149" s="75"/>
      <c r="F149" s="75"/>
      <c r="G149" s="75"/>
      <c r="H149" s="75"/>
      <c r="I149" s="75"/>
      <c r="J149" s="75"/>
      <c r="K149" s="1306">
        <f t="shared" ref="K149:T149" si="23">+K51+K115</f>
        <v>38</v>
      </c>
      <c r="L149" s="628">
        <f t="shared" si="23"/>
        <v>0.36337506312426876</v>
      </c>
      <c r="M149" s="628">
        <f t="shared" si="23"/>
        <v>0.37079088073904976</v>
      </c>
      <c r="N149" s="628">
        <f t="shared" si="23"/>
        <v>1.4400000000000001E-3</v>
      </c>
      <c r="O149" s="628">
        <f t="shared" si="23"/>
        <v>0</v>
      </c>
      <c r="P149" s="628">
        <f t="shared" si="23"/>
        <v>0.19731265927647793</v>
      </c>
      <c r="Q149" s="628">
        <f t="shared" si="23"/>
        <v>0</v>
      </c>
      <c r="R149" s="628">
        <f t="shared" si="23"/>
        <v>4.3282178310874053E-2</v>
      </c>
      <c r="S149" s="628">
        <f t="shared" si="23"/>
        <v>0</v>
      </c>
      <c r="T149" s="628">
        <f t="shared" si="23"/>
        <v>0</v>
      </c>
      <c r="U149" s="628">
        <f t="shared" si="17"/>
        <v>0.24203483758735198</v>
      </c>
      <c r="V149" s="75"/>
      <c r="W149" s="628">
        <f t="shared" si="18"/>
        <v>0.24203483758735198</v>
      </c>
      <c r="X149" s="1221">
        <f t="shared" si="19"/>
        <v>6.6607442873585345</v>
      </c>
      <c r="Y149" s="75"/>
      <c r="Z149" s="2"/>
    </row>
    <row r="150" spans="2:26" ht="38.25" x14ac:dyDescent="0.4">
      <c r="B150" s="519" t="s">
        <v>1136</v>
      </c>
      <c r="C150" s="75">
        <f>+C52+C116</f>
        <v>0</v>
      </c>
      <c r="D150" s="75"/>
      <c r="E150" s="75"/>
      <c r="F150" s="75"/>
      <c r="G150" s="75"/>
      <c r="H150" s="75"/>
      <c r="I150" s="75"/>
      <c r="J150" s="75"/>
      <c r="K150" s="1306">
        <f t="shared" ref="K150:T150" si="24">+K52+K116</f>
        <v>0</v>
      </c>
      <c r="L150" s="628">
        <f t="shared" si="24"/>
        <v>0</v>
      </c>
      <c r="M150" s="628">
        <f t="shared" si="24"/>
        <v>0</v>
      </c>
      <c r="N150" s="628">
        <f t="shared" si="24"/>
        <v>0</v>
      </c>
      <c r="O150" s="628">
        <f t="shared" si="24"/>
        <v>0</v>
      </c>
      <c r="P150" s="628">
        <f t="shared" si="24"/>
        <v>0</v>
      </c>
      <c r="Q150" s="628">
        <f t="shared" si="24"/>
        <v>0</v>
      </c>
      <c r="R150" s="628">
        <f t="shared" si="24"/>
        <v>0</v>
      </c>
      <c r="S150" s="628">
        <f t="shared" si="24"/>
        <v>0</v>
      </c>
      <c r="T150" s="628">
        <f t="shared" si="24"/>
        <v>0</v>
      </c>
      <c r="U150" s="628">
        <f t="shared" si="17"/>
        <v>0</v>
      </c>
      <c r="V150" s="75"/>
      <c r="W150" s="628">
        <f t="shared" si="18"/>
        <v>0</v>
      </c>
      <c r="X150" s="1221">
        <f t="shared" si="19"/>
        <v>0</v>
      </c>
      <c r="Y150" s="75"/>
      <c r="Z150" s="2"/>
    </row>
    <row r="151" spans="2:26" ht="25.5" x14ac:dyDescent="0.4">
      <c r="B151" s="519" t="s">
        <v>1142</v>
      </c>
      <c r="C151" s="75">
        <f>+C58+C117</f>
        <v>10</v>
      </c>
      <c r="D151" s="75"/>
      <c r="E151" s="75"/>
      <c r="F151" s="75"/>
      <c r="G151" s="75"/>
      <c r="H151" s="75"/>
      <c r="I151" s="75"/>
      <c r="J151" s="75"/>
      <c r="K151" s="1306">
        <f t="shared" ref="K151:T151" si="25">+K58+K117</f>
        <v>105</v>
      </c>
      <c r="L151" s="628">
        <f t="shared" si="25"/>
        <v>2.0388311031803674E-2</v>
      </c>
      <c r="M151" s="628">
        <f t="shared" si="25"/>
        <v>2.0559641376608748E-2</v>
      </c>
      <c r="N151" s="628">
        <f t="shared" si="25"/>
        <v>0</v>
      </c>
      <c r="O151" s="628">
        <f t="shared" si="25"/>
        <v>4.032E-3</v>
      </c>
      <c r="P151" s="628">
        <f t="shared" si="25"/>
        <v>1.3322647612042469E-2</v>
      </c>
      <c r="Q151" s="628">
        <f t="shared" si="25"/>
        <v>1.252534970768341E-4</v>
      </c>
      <c r="R151" s="628">
        <f t="shared" si="25"/>
        <v>2.8577901513486157E-3</v>
      </c>
      <c r="S151" s="628">
        <f t="shared" si="25"/>
        <v>0</v>
      </c>
      <c r="T151" s="628">
        <f t="shared" si="25"/>
        <v>0</v>
      </c>
      <c r="U151" s="628">
        <f t="shared" si="17"/>
        <v>2.033769126046792E-2</v>
      </c>
      <c r="V151" s="75"/>
      <c r="W151" s="628">
        <f t="shared" si="18"/>
        <v>2.033769126046792E-2</v>
      </c>
      <c r="X151" s="1221">
        <f t="shared" si="19"/>
        <v>9.9751721605302208</v>
      </c>
      <c r="Y151" s="75"/>
      <c r="Z151" s="2"/>
    </row>
    <row r="152" spans="2:26" x14ac:dyDescent="0.4">
      <c r="B152" s="518" t="s">
        <v>162</v>
      </c>
      <c r="C152" s="1308">
        <f>SUM(C139:C151)</f>
        <v>2548</v>
      </c>
      <c r="D152" s="1310"/>
      <c r="E152" s="1310"/>
      <c r="F152" s="1310"/>
      <c r="G152" s="1310"/>
      <c r="H152" s="1310"/>
      <c r="I152" s="1310"/>
      <c r="J152" s="1310"/>
      <c r="K152" s="1336">
        <f t="shared" ref="K152:V152" si="26">SUM(K139:K151)</f>
        <v>756</v>
      </c>
      <c r="L152" s="630">
        <f t="shared" si="26"/>
        <v>11.078853165482577</v>
      </c>
      <c r="M152" s="630">
        <f t="shared" si="26"/>
        <v>11.121870500354509</v>
      </c>
      <c r="N152" s="630">
        <f t="shared" si="26"/>
        <v>1.3083600000000002</v>
      </c>
      <c r="O152" s="630">
        <f t="shared" si="26"/>
        <v>0.13354800000000003</v>
      </c>
      <c r="P152" s="630">
        <f t="shared" si="26"/>
        <v>11.487510863880022</v>
      </c>
      <c r="Q152" s="630">
        <f t="shared" si="26"/>
        <v>-0.20691101407336759</v>
      </c>
      <c r="R152" s="630">
        <f t="shared" si="26"/>
        <v>1.6083139303302081</v>
      </c>
      <c r="S152" s="630">
        <f t="shared" si="26"/>
        <v>0</v>
      </c>
      <c r="T152" s="630">
        <f t="shared" si="26"/>
        <v>0</v>
      </c>
      <c r="U152" s="630">
        <f t="shared" si="26"/>
        <v>14.330821780136866</v>
      </c>
      <c r="V152" s="1310">
        <f t="shared" si="26"/>
        <v>0</v>
      </c>
      <c r="W152" s="630">
        <f t="shared" si="18"/>
        <v>14.330821780136866</v>
      </c>
      <c r="X152" s="1222">
        <f>IFERROR(W152/L152*10,0)</f>
        <v>12.935293541741455</v>
      </c>
      <c r="Y152" s="75"/>
      <c r="Z152" s="2"/>
    </row>
    <row r="153" spans="2:26"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2"/>
    </row>
    <row r="154" spans="2:26" x14ac:dyDescent="0.4">
      <c r="B154" s="119" t="s">
        <v>164</v>
      </c>
      <c r="C154" s="1308">
        <f>+C152+C136</f>
        <v>2556</v>
      </c>
      <c r="D154" s="1309"/>
      <c r="E154" s="1309"/>
      <c r="F154" s="1309"/>
      <c r="G154" s="1309"/>
      <c r="H154" s="1309"/>
      <c r="I154" s="1309"/>
      <c r="J154" s="1309"/>
      <c r="K154" s="1336">
        <f t="shared" ref="K154:W154" si="27">+K152+K136</f>
        <v>26982</v>
      </c>
      <c r="L154" s="630">
        <f t="shared" si="27"/>
        <v>174.56759899999997</v>
      </c>
      <c r="M154" s="630">
        <f>+M152+M136</f>
        <v>176.26971876480744</v>
      </c>
      <c r="N154" s="630">
        <f t="shared" si="27"/>
        <v>1.3083600000000002</v>
      </c>
      <c r="O154" s="630">
        <f t="shared" si="27"/>
        <v>17.072376000000002</v>
      </c>
      <c r="P154" s="630">
        <f t="shared" si="27"/>
        <v>133.71351248478652</v>
      </c>
      <c r="Q154" s="630">
        <f t="shared" si="27"/>
        <v>-1.9729163920094104</v>
      </c>
      <c r="R154" s="630">
        <f t="shared" si="27"/>
        <v>13.829254701899725</v>
      </c>
      <c r="S154" s="630">
        <f t="shared" si="27"/>
        <v>0</v>
      </c>
      <c r="T154" s="630">
        <f t="shared" si="27"/>
        <v>0</v>
      </c>
      <c r="U154" s="630">
        <f t="shared" si="27"/>
        <v>163.95058679467684</v>
      </c>
      <c r="V154" s="1309">
        <f t="shared" si="27"/>
        <v>0</v>
      </c>
      <c r="W154" s="630">
        <f t="shared" si="27"/>
        <v>163.95058679467684</v>
      </c>
      <c r="X154" s="1222">
        <f>IFERROR(W154/L154*10,0)</f>
        <v>9.3918108362524286</v>
      </c>
      <c r="Y154" s="75"/>
      <c r="Z154" s="2"/>
    </row>
    <row r="155" spans="2:26" x14ac:dyDescent="0.4">
      <c r="L155" s="561">
        <f>+'F1'!K34-L154</f>
        <v>0</v>
      </c>
      <c r="N155" s="561">
        <f t="shared" ref="N155:W155" si="28">+N65+N124-N154</f>
        <v>0</v>
      </c>
      <c r="O155" s="561">
        <f t="shared" si="28"/>
        <v>0</v>
      </c>
      <c r="P155" s="561">
        <f t="shared" si="28"/>
        <v>0</v>
      </c>
      <c r="Q155" s="561">
        <f t="shared" si="28"/>
        <v>0</v>
      </c>
      <c r="R155" s="561">
        <f t="shared" si="28"/>
        <v>0</v>
      </c>
      <c r="S155" s="561">
        <f t="shared" si="28"/>
        <v>0</v>
      </c>
      <c r="T155" s="561">
        <f t="shared" si="28"/>
        <v>0</v>
      </c>
      <c r="U155" s="561">
        <f t="shared" si="28"/>
        <v>0</v>
      </c>
      <c r="V155" s="561">
        <f t="shared" si="28"/>
        <v>0</v>
      </c>
      <c r="W155" s="561">
        <f t="shared" si="28"/>
        <v>0</v>
      </c>
      <c r="X155" s="561"/>
      <c r="Z155" s="2"/>
    </row>
  </sheetData>
  <mergeCells count="35">
    <mergeCell ref="Z10:Z11"/>
    <mergeCell ref="Z75:Z76"/>
    <mergeCell ref="Z129:Z130"/>
    <mergeCell ref="X75:X76"/>
    <mergeCell ref="Y75:Y76"/>
    <mergeCell ref="V129:V130"/>
    <mergeCell ref="W129:W130"/>
    <mergeCell ref="X10:X11"/>
    <mergeCell ref="Y10:Y11"/>
    <mergeCell ref="V75:V76"/>
    <mergeCell ref="W75:W76"/>
    <mergeCell ref="X129:X130"/>
    <mergeCell ref="Y129:Y130"/>
    <mergeCell ref="B129:B130"/>
    <mergeCell ref="C129:C130"/>
    <mergeCell ref="D129:I129"/>
    <mergeCell ref="N129:U129"/>
    <mergeCell ref="J10:M10"/>
    <mergeCell ref="J75:M75"/>
    <mergeCell ref="J129:M129"/>
    <mergeCell ref="A11:A12"/>
    <mergeCell ref="B75:B76"/>
    <mergeCell ref="C75:C76"/>
    <mergeCell ref="D75:I75"/>
    <mergeCell ref="N75:U75"/>
    <mergeCell ref="A76:A77"/>
    <mergeCell ref="B2:Y2"/>
    <mergeCell ref="B3:Y3"/>
    <mergeCell ref="B4:Y4"/>
    <mergeCell ref="B10:B11"/>
    <mergeCell ref="C10:C11"/>
    <mergeCell ref="D10:I10"/>
    <mergeCell ref="N10:U10"/>
    <mergeCell ref="V10:V11"/>
    <mergeCell ref="W10:W11"/>
  </mergeCells>
  <pageMargins left="0.7" right="0.7" top="0.75" bottom="0.75" header="0.3" footer="0.3"/>
  <pageSetup scale="37" orientation="landscape" r:id="rId1"/>
  <rowBreaks count="2" manualBreakCount="2">
    <brk id="71" min="1" max="25" man="1"/>
    <brk id="125" min="1" max="2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E4824-743C-4024-9E03-11D669A52173}">
  <dimension ref="A2:Z155"/>
  <sheetViews>
    <sheetView showGridLines="0" view="pageBreakPreview" topLeftCell="A68" zoomScale="70" zoomScaleNormal="80" zoomScaleSheetLayoutView="70" workbookViewId="0">
      <selection activeCell="M76" sqref="M1:M1048576"/>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5" width="13.6640625" style="1" customWidth="1"/>
    <col min="26" max="26" width="8.6640625" style="1"/>
    <col min="27" max="27" width="11.6640625" style="1" customWidth="1"/>
    <col min="28" max="28" width="12.46484375" style="1" customWidth="1"/>
    <col min="29" max="16384" width="8.6640625" style="1"/>
  </cols>
  <sheetData>
    <row r="2" spans="1:26"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row>
    <row r="3" spans="1:26"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row>
    <row r="4" spans="1:26" x14ac:dyDescent="0.4">
      <c r="B4" s="2079" t="s">
        <v>745</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row>
    <row r="5" spans="1:26" x14ac:dyDescent="0.4">
      <c r="B5" s="123"/>
      <c r="C5" s="123"/>
      <c r="D5" s="123"/>
      <c r="E5" s="123"/>
      <c r="F5" s="123"/>
      <c r="G5" s="123"/>
      <c r="H5" s="123"/>
      <c r="I5" s="123"/>
      <c r="J5" s="123"/>
      <c r="K5" s="1332"/>
      <c r="L5" s="1327"/>
      <c r="M5" s="1327"/>
      <c r="N5" s="1327"/>
      <c r="O5" s="123"/>
      <c r="P5" s="123"/>
      <c r="Q5" s="123"/>
      <c r="R5" s="123"/>
      <c r="S5" s="123"/>
      <c r="T5" s="123"/>
    </row>
    <row r="6" spans="1:26" x14ac:dyDescent="0.4">
      <c r="B6" s="123"/>
      <c r="C6" s="123"/>
      <c r="D6" s="123"/>
      <c r="E6" s="123"/>
      <c r="F6" s="123"/>
      <c r="G6" s="123"/>
      <c r="H6" s="123"/>
      <c r="I6" s="123"/>
      <c r="J6" s="123"/>
      <c r="K6" s="1332"/>
      <c r="L6" s="1327"/>
      <c r="M6" s="1327"/>
      <c r="N6" s="1327"/>
      <c r="O6" s="123"/>
      <c r="P6" s="123"/>
      <c r="Q6" s="123"/>
      <c r="R6" s="123"/>
      <c r="S6" s="123"/>
      <c r="T6" s="123"/>
    </row>
    <row r="7" spans="1:26" x14ac:dyDescent="0.4">
      <c r="B7" s="131" t="s">
        <v>746</v>
      </c>
      <c r="C7" s="103"/>
      <c r="D7" s="103"/>
      <c r="E7" s="103"/>
      <c r="F7" s="103"/>
      <c r="G7" s="103"/>
      <c r="H7" s="103"/>
      <c r="I7" s="103"/>
      <c r="J7" s="103"/>
      <c r="K7" s="1333"/>
      <c r="L7" s="1328"/>
      <c r="M7" s="1328"/>
      <c r="N7" s="1328"/>
      <c r="O7" s="103"/>
      <c r="P7" s="103"/>
      <c r="Q7" s="103"/>
      <c r="R7" s="103"/>
      <c r="S7" s="103"/>
      <c r="T7" s="103"/>
      <c r="U7" s="103"/>
      <c r="V7" s="103"/>
      <c r="W7" s="1328"/>
      <c r="X7" s="103"/>
      <c r="Y7" s="103"/>
    </row>
    <row r="8" spans="1:26" x14ac:dyDescent="0.4">
      <c r="B8" s="131" t="s">
        <v>1511</v>
      </c>
      <c r="C8" s="103"/>
      <c r="D8" s="103"/>
      <c r="E8" s="103"/>
      <c r="F8" s="103"/>
      <c r="G8" s="103"/>
      <c r="H8" s="103"/>
      <c r="I8" s="103"/>
      <c r="J8" s="103"/>
      <c r="K8" s="1333"/>
      <c r="L8" s="1328"/>
      <c r="M8" s="1328"/>
      <c r="N8" s="1328"/>
      <c r="O8" s="103"/>
      <c r="P8" s="103"/>
      <c r="Q8" s="103"/>
      <c r="R8" s="103"/>
      <c r="S8" s="103"/>
      <c r="T8" s="103"/>
      <c r="U8" s="103"/>
      <c r="V8" s="103"/>
      <c r="W8" s="1328"/>
      <c r="X8" s="103"/>
      <c r="Y8" s="103"/>
    </row>
    <row r="9" spans="1:26"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row>
    <row r="10" spans="1:26"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1570</v>
      </c>
    </row>
    <row r="11" spans="1:26"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row>
    <row r="12" spans="1:26"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2"/>
    </row>
    <row r="13" spans="1:26" s="6" customFormat="1" ht="13.5" x14ac:dyDescent="0.35">
      <c r="A13" s="1364">
        <f>+'F13.2'!A13</f>
        <v>0.9</v>
      </c>
      <c r="B13" s="517" t="s">
        <v>1129</v>
      </c>
      <c r="C13" s="128">
        <f>+'F13.2'!C13+1</f>
        <v>4</v>
      </c>
      <c r="D13" s="128"/>
      <c r="E13" s="128">
        <f>+'Tariff Schedule'!F14</f>
        <v>600</v>
      </c>
      <c r="F13" s="1365">
        <f>+'Tariff Schedule'!M14</f>
        <v>7.38</v>
      </c>
      <c r="G13" s="128"/>
      <c r="H13" s="1365">
        <f>+'Tariff Schedule'!S14</f>
        <v>0.74</v>
      </c>
      <c r="I13" s="128"/>
      <c r="J13" s="128"/>
      <c r="K13" s="1336">
        <f>AVERAGE('Sales Proj'!C29:N29)+AVERAGE('Sales Proj'!C32:N32)*1000</f>
        <v>30000</v>
      </c>
      <c r="L13" s="630">
        <f>+'F1 SEZ'!L12</f>
        <v>203.13059999999999</v>
      </c>
      <c r="M13" s="630">
        <f>+L13/Z13</f>
        <v>205.18242424242422</v>
      </c>
      <c r="N13" s="630"/>
      <c r="O13" s="630">
        <f>(K13*E13)*12/10^7*A13</f>
        <v>19.440000000000001</v>
      </c>
      <c r="P13" s="630">
        <f>(M13*F13)/10</f>
        <v>151.42462909090906</v>
      </c>
      <c r="Q13" s="630">
        <f>SUM(Q14:Q17)</f>
        <v>-2.1643042583058048</v>
      </c>
      <c r="R13" s="630">
        <f>(M13*H13)/10</f>
        <v>15.183499393939391</v>
      </c>
      <c r="S13" s="630"/>
      <c r="T13" s="630"/>
      <c r="U13" s="630">
        <f>SUM(N13:T13)</f>
        <v>183.88382422654266</v>
      </c>
      <c r="V13" s="128"/>
      <c r="W13" s="630">
        <f>+U13+V13</f>
        <v>183.88382422654266</v>
      </c>
      <c r="X13" s="1222">
        <f>IFERROR(W13/L13*10,0)</f>
        <v>9.05249254551223</v>
      </c>
      <c r="Y13" s="128"/>
      <c r="Z13" s="1366">
        <f>+'Tariff Schedule'!X14</f>
        <v>0.99</v>
      </c>
    </row>
    <row r="14" spans="1:26" x14ac:dyDescent="0.4">
      <c r="A14" s="1339"/>
      <c r="B14" s="1360" t="s">
        <v>1544</v>
      </c>
      <c r="C14" s="75"/>
      <c r="D14" s="75"/>
      <c r="E14" s="75"/>
      <c r="F14" s="75"/>
      <c r="G14" s="1221">
        <f>+$F13*'Tariff Schedule'!E$50</f>
        <v>0</v>
      </c>
      <c r="H14" s="75"/>
      <c r="I14" s="75"/>
      <c r="J14" s="75"/>
      <c r="K14" s="1306"/>
      <c r="L14" s="628"/>
      <c r="M14" s="628">
        <f>+$M$13*Assum!E125</f>
        <v>50.239901835475244</v>
      </c>
      <c r="N14" s="628"/>
      <c r="O14" s="628"/>
      <c r="P14" s="628"/>
      <c r="Q14" s="628">
        <f>+G14*M14/10</f>
        <v>0</v>
      </c>
      <c r="R14" s="628"/>
      <c r="S14" s="628"/>
      <c r="T14" s="628"/>
      <c r="U14" s="628"/>
      <c r="V14" s="75"/>
      <c r="W14" s="628"/>
      <c r="X14" s="1221"/>
      <c r="Y14" s="75"/>
      <c r="Z14" s="1358"/>
    </row>
    <row r="15" spans="1:26" x14ac:dyDescent="0.4">
      <c r="A15" s="1339"/>
      <c r="B15" s="1360" t="s">
        <v>1545</v>
      </c>
      <c r="C15" s="75"/>
      <c r="D15" s="75"/>
      <c r="E15" s="75"/>
      <c r="F15" s="75"/>
      <c r="G15" s="1221">
        <f>+$F13*'Tariff Schedule'!E$51</f>
        <v>0</v>
      </c>
      <c r="H15" s="75"/>
      <c r="I15" s="75"/>
      <c r="J15" s="75"/>
      <c r="K15" s="1306"/>
      <c r="L15" s="628"/>
      <c r="M15" s="628">
        <f>+$M$13*Assum!E126</f>
        <v>25.900189389949336</v>
      </c>
      <c r="N15" s="628"/>
      <c r="O15" s="628"/>
      <c r="P15" s="628"/>
      <c r="Q15" s="628">
        <f>+G15*M15/10</f>
        <v>0</v>
      </c>
      <c r="R15" s="628"/>
      <c r="S15" s="628"/>
      <c r="T15" s="628"/>
      <c r="U15" s="628"/>
      <c r="V15" s="75"/>
      <c r="W15" s="628"/>
      <c r="X15" s="1221"/>
      <c r="Y15" s="75"/>
      <c r="Z15" s="1358"/>
    </row>
    <row r="16" spans="1:26" x14ac:dyDescent="0.4">
      <c r="A16" s="1339"/>
      <c r="B16" s="1360" t="s">
        <v>1546</v>
      </c>
      <c r="C16" s="75"/>
      <c r="D16" s="75"/>
      <c r="E16" s="75"/>
      <c r="F16" s="75"/>
      <c r="G16" s="1221">
        <f>+$F13*'Tariff Schedule'!E$52</f>
        <v>-1.599</v>
      </c>
      <c r="H16" s="75"/>
      <c r="I16" s="75"/>
      <c r="J16" s="75"/>
      <c r="K16" s="1306"/>
      <c r="L16" s="628"/>
      <c r="M16" s="628">
        <f>+$M$13*Assum!E127</f>
        <v>68.978707680048615</v>
      </c>
      <c r="N16" s="628"/>
      <c r="O16" s="628"/>
      <c r="P16" s="628"/>
      <c r="Q16" s="628">
        <f>+G16*M16/10</f>
        <v>-11.029695358039772</v>
      </c>
      <c r="R16" s="628"/>
      <c r="S16" s="628"/>
      <c r="T16" s="628"/>
      <c r="U16" s="628"/>
      <c r="V16" s="75"/>
      <c r="W16" s="628"/>
      <c r="X16" s="1221"/>
      <c r="Y16" s="75"/>
      <c r="Z16" s="1358"/>
    </row>
    <row r="17" spans="1:26" x14ac:dyDescent="0.4">
      <c r="A17" s="1339"/>
      <c r="B17" s="1360" t="s">
        <v>1549</v>
      </c>
      <c r="C17" s="75"/>
      <c r="D17" s="75"/>
      <c r="E17" s="75"/>
      <c r="F17" s="75"/>
      <c r="G17" s="1221">
        <f>+$F13*'Tariff Schedule'!E$55</f>
        <v>1.476</v>
      </c>
      <c r="H17" s="75"/>
      <c r="I17" s="75"/>
      <c r="J17" s="75"/>
      <c r="K17" s="1306"/>
      <c r="L17" s="628"/>
      <c r="M17" s="628">
        <f>+$M$13*Assum!E128</f>
        <v>60.063625336951006</v>
      </c>
      <c r="N17" s="628"/>
      <c r="O17" s="628"/>
      <c r="P17" s="628"/>
      <c r="Q17" s="628">
        <f>+G17*M17/10</f>
        <v>8.8653910997339676</v>
      </c>
      <c r="R17" s="628"/>
      <c r="S17" s="628"/>
      <c r="T17" s="628"/>
      <c r="U17" s="628"/>
      <c r="V17" s="75"/>
      <c r="W17" s="628"/>
      <c r="X17" s="1221"/>
      <c r="Y17" s="75"/>
      <c r="Z17" s="1358"/>
    </row>
    <row r="18" spans="1:26" s="6" customFormat="1" ht="13.5" x14ac:dyDescent="0.35">
      <c r="A18" s="1364">
        <f>+'F13.2'!A18</f>
        <v>0.75</v>
      </c>
      <c r="B18" s="517" t="s">
        <v>1130</v>
      </c>
      <c r="C18" s="128">
        <f>+'F13 SEZ'!C205</f>
        <v>1</v>
      </c>
      <c r="D18" s="128"/>
      <c r="E18" s="128">
        <f>+'Tariff Schedule'!F15</f>
        <v>600</v>
      </c>
      <c r="F18" s="1365">
        <f>+'Tariff Schedule'!M15</f>
        <v>11.93</v>
      </c>
      <c r="G18" s="128"/>
      <c r="H18" s="1365">
        <f>+'Tariff Schedule'!S15</f>
        <v>0.74</v>
      </c>
      <c r="I18" s="128"/>
      <c r="J18" s="128"/>
      <c r="K18" s="1336">
        <v>40</v>
      </c>
      <c r="L18" s="630">
        <f>+'F1 SEZ'!L13</f>
        <v>3.5853966485786364E-2</v>
      </c>
      <c r="M18" s="630">
        <f>+L18/Z18</f>
        <v>3.6585680087537105E-2</v>
      </c>
      <c r="N18" s="630"/>
      <c r="O18" s="630">
        <f>(K18*E18)*12/10^7*A18</f>
        <v>2.1600000000000001E-2</v>
      </c>
      <c r="P18" s="630">
        <f>(M18*F18)/10</f>
        <v>4.3646716344431763E-2</v>
      </c>
      <c r="Q18" s="630">
        <f>SUM(Q19:Q22)</f>
        <v>-1.5373160183024754E-3</v>
      </c>
      <c r="R18" s="630">
        <f>(M18*H18)/10</f>
        <v>2.7073403264777458E-3</v>
      </c>
      <c r="S18" s="630"/>
      <c r="T18" s="630"/>
      <c r="U18" s="630">
        <f>SUM(N18:T18)</f>
        <v>6.641674065260704E-2</v>
      </c>
      <c r="V18" s="128"/>
      <c r="W18" s="630">
        <f>+U18+V18</f>
        <v>6.641674065260704E-2</v>
      </c>
      <c r="X18" s="1222">
        <f>IFERROR(W18/L18*10,0)</f>
        <v>18.524237946988855</v>
      </c>
      <c r="Y18" s="128"/>
      <c r="Z18" s="1366">
        <f>+'Tariff Schedule'!X15</f>
        <v>0.98</v>
      </c>
    </row>
    <row r="19" spans="1:26" x14ac:dyDescent="0.4">
      <c r="A19" s="1339"/>
      <c r="B19" s="1360" t="s">
        <v>1544</v>
      </c>
      <c r="C19" s="75"/>
      <c r="D19" s="75"/>
      <c r="E19" s="75"/>
      <c r="F19" s="75"/>
      <c r="G19" s="1221">
        <f>+$F18*'Tariff Schedule'!E$50</f>
        <v>0</v>
      </c>
      <c r="H19" s="75"/>
      <c r="I19" s="75"/>
      <c r="J19" s="75"/>
      <c r="K19" s="1306"/>
      <c r="L19" s="628"/>
      <c r="M19" s="628">
        <f>+$M$18*Assum!F125</f>
        <v>5.152710160580074E-3</v>
      </c>
      <c r="N19" s="628"/>
      <c r="O19" s="628"/>
      <c r="P19" s="628"/>
      <c r="Q19" s="628">
        <f>+G19*M19/10</f>
        <v>0</v>
      </c>
      <c r="R19" s="628"/>
      <c r="S19" s="628"/>
      <c r="T19" s="628"/>
      <c r="U19" s="628"/>
      <c r="V19" s="75"/>
      <c r="W19" s="628"/>
      <c r="X19" s="1221"/>
      <c r="Y19" s="75"/>
      <c r="Z19" s="1358"/>
    </row>
    <row r="20" spans="1:26" x14ac:dyDescent="0.4">
      <c r="A20" s="1339"/>
      <c r="B20" s="1360" t="s">
        <v>1545</v>
      </c>
      <c r="C20" s="75"/>
      <c r="D20" s="75"/>
      <c r="E20" s="75"/>
      <c r="F20" s="75"/>
      <c r="G20" s="1221">
        <f>+$F18*'Tariff Schedule'!E$51</f>
        <v>0</v>
      </c>
      <c r="H20" s="75"/>
      <c r="I20" s="75"/>
      <c r="J20" s="75"/>
      <c r="K20" s="1306"/>
      <c r="L20" s="628"/>
      <c r="M20" s="628">
        <f>+$M$18*Assum!F126</f>
        <v>5.1974898577412882E-3</v>
      </c>
      <c r="N20" s="628"/>
      <c r="O20" s="628"/>
      <c r="P20" s="628"/>
      <c r="Q20" s="628">
        <f>+G20*M20/10</f>
        <v>0</v>
      </c>
      <c r="R20" s="628"/>
      <c r="S20" s="628"/>
      <c r="T20" s="628"/>
      <c r="U20" s="628"/>
      <c r="V20" s="75"/>
      <c r="W20" s="628"/>
      <c r="X20" s="1221"/>
      <c r="Y20" s="75"/>
      <c r="Z20" s="1358"/>
    </row>
    <row r="21" spans="1:26" x14ac:dyDescent="0.4">
      <c r="A21" s="1339"/>
      <c r="B21" s="1360" t="s">
        <v>1546</v>
      </c>
      <c r="C21" s="75"/>
      <c r="D21" s="75"/>
      <c r="E21" s="75"/>
      <c r="F21" s="75"/>
      <c r="G21" s="1221">
        <f>+$F18*'Tariff Schedule'!E$52</f>
        <v>-2.5848333333333335</v>
      </c>
      <c r="H21" s="75"/>
      <c r="I21" s="75"/>
      <c r="J21" s="75"/>
      <c r="K21" s="1306"/>
      <c r="L21" s="628"/>
      <c r="M21" s="628">
        <f>+$M$18*Assum!F127</f>
        <v>1.5685703060152257E-2</v>
      </c>
      <c r="N21" s="628"/>
      <c r="O21" s="628"/>
      <c r="P21" s="628"/>
      <c r="Q21" s="628">
        <f>+G21*M21/10</f>
        <v>-4.0544928126650228E-3</v>
      </c>
      <c r="R21" s="628"/>
      <c r="S21" s="628"/>
      <c r="T21" s="628"/>
      <c r="U21" s="628"/>
      <c r="V21" s="75"/>
      <c r="W21" s="628"/>
      <c r="X21" s="1221"/>
      <c r="Y21" s="75"/>
      <c r="Z21" s="1358"/>
    </row>
    <row r="22" spans="1:26" x14ac:dyDescent="0.4">
      <c r="A22" s="1339"/>
      <c r="B22" s="1360" t="s">
        <v>1549</v>
      </c>
      <c r="C22" s="75"/>
      <c r="D22" s="75"/>
      <c r="E22" s="75"/>
      <c r="F22" s="75"/>
      <c r="G22" s="1221">
        <f>+$F18*'Tariff Schedule'!E$55</f>
        <v>2.3860000000000001</v>
      </c>
      <c r="H22" s="75"/>
      <c r="I22" s="75"/>
      <c r="J22" s="75"/>
      <c r="K22" s="1306"/>
      <c r="L22" s="628"/>
      <c r="M22" s="628">
        <f>+$M$18*Assum!F128</f>
        <v>1.0549777009063484E-2</v>
      </c>
      <c r="N22" s="628"/>
      <c r="O22" s="628"/>
      <c r="P22" s="628"/>
      <c r="Q22" s="628">
        <f>+G22*M22/10</f>
        <v>2.5171767943625474E-3</v>
      </c>
      <c r="R22" s="628"/>
      <c r="S22" s="628"/>
      <c r="T22" s="628"/>
      <c r="U22" s="628"/>
      <c r="V22" s="75"/>
      <c r="W22" s="628"/>
      <c r="X22" s="1221"/>
      <c r="Y22" s="75"/>
      <c r="Z22" s="1358"/>
    </row>
    <row r="23" spans="1:26" hidden="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2"/>
    </row>
    <row r="24" spans="1:26" ht="25.5" hidden="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2"/>
    </row>
    <row r="25" spans="1:26" x14ac:dyDescent="0.4">
      <c r="B25" s="518" t="s">
        <v>162</v>
      </c>
      <c r="C25" s="128">
        <f>SUM(C13:C24)</f>
        <v>5</v>
      </c>
      <c r="D25" s="1309">
        <f>SUM(D13:D24)</f>
        <v>0</v>
      </c>
      <c r="E25" s="1309"/>
      <c r="F25" s="1309"/>
      <c r="G25" s="1309"/>
      <c r="H25" s="1309"/>
      <c r="I25" s="1309">
        <f>SUM(I13:I24)</f>
        <v>0</v>
      </c>
      <c r="J25" s="1309">
        <f>SUM(J13:J24)</f>
        <v>0</v>
      </c>
      <c r="K25" s="1336">
        <f>SUM(K13:K24)</f>
        <v>30040</v>
      </c>
      <c r="L25" s="630">
        <f>+L13+L18</f>
        <v>203.16645396648576</v>
      </c>
      <c r="M25" s="630">
        <f>+M13+M18</f>
        <v>205.21900992251176</v>
      </c>
      <c r="N25" s="630">
        <f t="shared" ref="N25:W25" si="0">+N13+N18</f>
        <v>0</v>
      </c>
      <c r="O25" s="630">
        <f t="shared" si="0"/>
        <v>19.461600000000001</v>
      </c>
      <c r="P25" s="630">
        <f t="shared" si="0"/>
        <v>151.46827580725349</v>
      </c>
      <c r="Q25" s="630">
        <f t="shared" si="0"/>
        <v>-2.1658415743241073</v>
      </c>
      <c r="R25" s="630">
        <f t="shared" si="0"/>
        <v>15.186206734265868</v>
      </c>
      <c r="S25" s="630">
        <f t="shared" si="0"/>
        <v>0</v>
      </c>
      <c r="T25" s="630">
        <f t="shared" si="0"/>
        <v>0</v>
      </c>
      <c r="U25" s="630">
        <f t="shared" si="0"/>
        <v>183.95024096719527</v>
      </c>
      <c r="V25" s="630">
        <f t="shared" si="0"/>
        <v>0</v>
      </c>
      <c r="W25" s="630">
        <f t="shared" si="0"/>
        <v>183.95024096719527</v>
      </c>
      <c r="X25" s="1221">
        <f>IFERROR(W25/L25*10,0)</f>
        <v>9.054164079545318</v>
      </c>
      <c r="Y25" s="75"/>
      <c r="Z25" s="2"/>
    </row>
    <row r="26" spans="1:26"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2"/>
    </row>
    <row r="27" spans="1:26" hidden="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2"/>
    </row>
    <row r="28" spans="1:26" hidden="1" x14ac:dyDescent="0.4">
      <c r="B28" s="520" t="s">
        <v>1106</v>
      </c>
      <c r="C28" s="1306">
        <f>+'F13 SEZ'!C211</f>
        <v>0</v>
      </c>
      <c r="D28" s="75"/>
      <c r="E28" s="75"/>
      <c r="F28" s="1359"/>
      <c r="G28" s="75"/>
      <c r="H28" s="75"/>
      <c r="I28" s="75"/>
      <c r="J28" s="75"/>
      <c r="K28" s="1306"/>
      <c r="L28" s="628">
        <f>+'F1 SEZ'!L19</f>
        <v>0</v>
      </c>
      <c r="M28" s="628"/>
      <c r="N28" s="628"/>
      <c r="O28" s="628"/>
      <c r="P28" s="628"/>
      <c r="Q28" s="628"/>
      <c r="R28" s="628"/>
      <c r="S28" s="628"/>
      <c r="T28" s="628"/>
      <c r="U28" s="628">
        <f>SUM(N28:T28)</f>
        <v>0</v>
      </c>
      <c r="V28" s="75"/>
      <c r="W28" s="628">
        <f>+U28+V28</f>
        <v>0</v>
      </c>
      <c r="X28" s="75"/>
      <c r="Y28" s="75"/>
      <c r="Z28" s="2"/>
    </row>
    <row r="29" spans="1:26" hidden="1" x14ac:dyDescent="0.4">
      <c r="B29" s="520" t="s">
        <v>1107</v>
      </c>
      <c r="C29" s="1306">
        <f>+'F13 SEZ'!C212</f>
        <v>0</v>
      </c>
      <c r="D29" s="75"/>
      <c r="E29" s="75"/>
      <c r="F29" s="1359"/>
      <c r="G29" s="75"/>
      <c r="H29" s="75"/>
      <c r="I29" s="75"/>
      <c r="J29" s="75"/>
      <c r="K29" s="1306"/>
      <c r="L29" s="628">
        <f>+'F1 SEZ'!L20</f>
        <v>0</v>
      </c>
      <c r="M29" s="628"/>
      <c r="N29" s="628"/>
      <c r="O29" s="628"/>
      <c r="P29" s="628"/>
      <c r="Q29" s="628"/>
      <c r="R29" s="628"/>
      <c r="S29" s="628"/>
      <c r="T29" s="628"/>
      <c r="U29" s="628">
        <f>SUM(N29:T29)</f>
        <v>0</v>
      </c>
      <c r="V29" s="75"/>
      <c r="W29" s="628">
        <f>+U29+V29</f>
        <v>0</v>
      </c>
      <c r="X29" s="75"/>
      <c r="Y29" s="75"/>
      <c r="Z29" s="2"/>
    </row>
    <row r="30" spans="1:26" hidden="1" x14ac:dyDescent="0.4">
      <c r="B30" s="520" t="s">
        <v>1108</v>
      </c>
      <c r="C30" s="1306">
        <f>+'F13 SEZ'!C213</f>
        <v>0</v>
      </c>
      <c r="D30" s="75"/>
      <c r="E30" s="75"/>
      <c r="F30" s="1359"/>
      <c r="G30" s="75"/>
      <c r="H30" s="75"/>
      <c r="I30" s="75"/>
      <c r="J30" s="75"/>
      <c r="K30" s="1306"/>
      <c r="L30" s="628">
        <f>+'F1 SEZ'!L21</f>
        <v>0</v>
      </c>
      <c r="M30" s="628"/>
      <c r="N30" s="628"/>
      <c r="O30" s="628"/>
      <c r="P30" s="628"/>
      <c r="Q30" s="628"/>
      <c r="R30" s="628"/>
      <c r="S30" s="628"/>
      <c r="T30" s="628"/>
      <c r="U30" s="628">
        <f>SUM(N30:T30)</f>
        <v>0</v>
      </c>
      <c r="V30" s="75"/>
      <c r="W30" s="628">
        <f>+U30+V30</f>
        <v>0</v>
      </c>
      <c r="X30" s="75"/>
      <c r="Y30" s="75"/>
      <c r="Z30" s="2"/>
    </row>
    <row r="31" spans="1:26" hidden="1" x14ac:dyDescent="0.4">
      <c r="B31" s="520" t="s">
        <v>1109</v>
      </c>
      <c r="C31" s="1306">
        <f>+'F13 SEZ'!C214</f>
        <v>0</v>
      </c>
      <c r="D31" s="75"/>
      <c r="E31" s="75"/>
      <c r="F31" s="1359"/>
      <c r="G31" s="75"/>
      <c r="H31" s="75"/>
      <c r="I31" s="75"/>
      <c r="J31" s="75"/>
      <c r="K31" s="1306"/>
      <c r="L31" s="628">
        <f>+'F1 SEZ'!L22</f>
        <v>0</v>
      </c>
      <c r="M31" s="628"/>
      <c r="N31" s="628"/>
      <c r="O31" s="628"/>
      <c r="P31" s="628"/>
      <c r="Q31" s="628"/>
      <c r="R31" s="628"/>
      <c r="S31" s="628"/>
      <c r="T31" s="628"/>
      <c r="U31" s="628">
        <f>SUM(N31:T31)</f>
        <v>0</v>
      </c>
      <c r="V31" s="75"/>
      <c r="W31" s="628">
        <f>+U31+V31</f>
        <v>0</v>
      </c>
      <c r="X31" s="75"/>
      <c r="Y31" s="75"/>
      <c r="Z31" s="2"/>
    </row>
    <row r="32" spans="1:26" hidden="1" x14ac:dyDescent="0.4">
      <c r="B32" s="520" t="s">
        <v>1110</v>
      </c>
      <c r="C32" s="1306">
        <f>+'F13 SEZ'!C215</f>
        <v>0</v>
      </c>
      <c r="D32" s="75"/>
      <c r="E32" s="75"/>
      <c r="F32" s="75"/>
      <c r="G32" s="75"/>
      <c r="H32" s="75"/>
      <c r="I32" s="75"/>
      <c r="J32" s="75"/>
      <c r="K32" s="1306"/>
      <c r="L32" s="628">
        <f>+'F1 SEZ'!L23</f>
        <v>0</v>
      </c>
      <c r="M32" s="628"/>
      <c r="N32" s="628"/>
      <c r="O32" s="628"/>
      <c r="P32" s="628"/>
      <c r="Q32" s="628"/>
      <c r="R32" s="628"/>
      <c r="S32" s="628"/>
      <c r="T32" s="628"/>
      <c r="U32" s="628">
        <f>SUM(N32:T32)</f>
        <v>0</v>
      </c>
      <c r="V32" s="75"/>
      <c r="W32" s="628">
        <f>+U32+V32</f>
        <v>0</v>
      </c>
      <c r="X32" s="75"/>
      <c r="Y32" s="75"/>
      <c r="Z32" s="2"/>
    </row>
    <row r="33" spans="1:26" hidden="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2"/>
    </row>
    <row r="34" spans="1:26" ht="25.5" hidden="1" x14ac:dyDescent="0.4">
      <c r="B34" s="1363" t="s">
        <v>1139</v>
      </c>
      <c r="C34" s="1307">
        <f>SUM(C35:C41)</f>
        <v>0</v>
      </c>
      <c r="D34" s="75"/>
      <c r="E34" s="75"/>
      <c r="F34" s="75"/>
      <c r="G34" s="75"/>
      <c r="H34" s="75"/>
      <c r="I34" s="75"/>
      <c r="J34" s="75"/>
      <c r="K34" s="1306"/>
      <c r="L34" s="628">
        <f>+'F1 SEZ'!L24</f>
        <v>0</v>
      </c>
      <c r="M34" s="628"/>
      <c r="N34" s="628"/>
      <c r="O34" s="628"/>
      <c r="P34" s="628"/>
      <c r="Q34" s="628"/>
      <c r="R34" s="628"/>
      <c r="S34" s="628"/>
      <c r="T34" s="628"/>
      <c r="U34" s="628">
        <f>SUM(N34:T34)</f>
        <v>0</v>
      </c>
      <c r="V34" s="75"/>
      <c r="W34" s="628">
        <f>+U34+V34</f>
        <v>0</v>
      </c>
      <c r="X34" s="75"/>
      <c r="Y34" s="75"/>
      <c r="Z34" s="2"/>
    </row>
    <row r="35" spans="1:26" hidden="1" x14ac:dyDescent="0.4">
      <c r="B35" s="1362" t="s">
        <v>1140</v>
      </c>
      <c r="C35" s="1306">
        <f>+'F13 SEZ'!C217</f>
        <v>0</v>
      </c>
      <c r="D35" s="75"/>
      <c r="E35" s="75"/>
      <c r="F35" s="75"/>
      <c r="G35" s="75"/>
      <c r="H35" s="75"/>
      <c r="I35" s="75"/>
      <c r="J35" s="75"/>
      <c r="K35" s="1306"/>
      <c r="L35" s="628">
        <f>+'F1 SEZ'!L25</f>
        <v>0</v>
      </c>
      <c r="M35" s="628"/>
      <c r="N35" s="628"/>
      <c r="O35" s="628"/>
      <c r="P35" s="628"/>
      <c r="Q35" s="628"/>
      <c r="R35" s="628"/>
      <c r="S35" s="628"/>
      <c r="T35" s="628"/>
      <c r="U35" s="628">
        <f>SUM(N35:T35)</f>
        <v>0</v>
      </c>
      <c r="V35" s="75"/>
      <c r="W35" s="628">
        <f>+U35+V35</f>
        <v>0</v>
      </c>
      <c r="X35" s="75"/>
      <c r="Y35" s="75"/>
      <c r="Z35" s="2"/>
    </row>
    <row r="36" spans="1:26" hidden="1" x14ac:dyDescent="0.4">
      <c r="B36" s="1362" t="s">
        <v>1144</v>
      </c>
      <c r="C36" s="1306">
        <f>+'F13 SEZ'!C218</f>
        <v>0</v>
      </c>
      <c r="D36" s="75"/>
      <c r="E36" s="75"/>
      <c r="F36" s="75"/>
      <c r="G36" s="75"/>
      <c r="H36" s="75"/>
      <c r="I36" s="75"/>
      <c r="J36" s="75"/>
      <c r="K36" s="1306"/>
      <c r="L36" s="628">
        <f>+'F1 SEZ'!L26</f>
        <v>0</v>
      </c>
      <c r="M36" s="628"/>
      <c r="N36" s="628"/>
      <c r="O36" s="628"/>
      <c r="P36" s="628"/>
      <c r="Q36" s="628"/>
      <c r="R36" s="628"/>
      <c r="S36" s="628"/>
      <c r="T36" s="628"/>
      <c r="U36" s="628">
        <f>SUM(N36:T36)</f>
        <v>0</v>
      </c>
      <c r="V36" s="75"/>
      <c r="W36" s="628">
        <f>+U36+V36</f>
        <v>0</v>
      </c>
      <c r="X36" s="75"/>
      <c r="Y36" s="75"/>
      <c r="Z36" s="2"/>
    </row>
    <row r="37" spans="1:26" hidden="1" x14ac:dyDescent="0.4">
      <c r="A37" s="1339"/>
      <c r="B37" s="1360" t="s">
        <v>1544</v>
      </c>
      <c r="C37" s="75"/>
      <c r="D37" s="75"/>
      <c r="E37" s="75"/>
      <c r="F37" s="75"/>
      <c r="G37" s="1221">
        <f>+$F36*'Tariff Schedule'!E$50</f>
        <v>0</v>
      </c>
      <c r="H37" s="75"/>
      <c r="I37" s="75"/>
      <c r="J37" s="75"/>
      <c r="K37" s="1306"/>
      <c r="L37" s="628"/>
      <c r="M37" s="628"/>
      <c r="N37" s="628"/>
      <c r="O37" s="628"/>
      <c r="P37" s="628"/>
      <c r="Q37" s="628">
        <f>+G37*M37/10</f>
        <v>0</v>
      </c>
      <c r="R37" s="628"/>
      <c r="S37" s="628"/>
      <c r="T37" s="628"/>
      <c r="U37" s="628"/>
      <c r="V37" s="75"/>
      <c r="W37" s="628"/>
      <c r="X37" s="1221"/>
      <c r="Y37" s="75"/>
      <c r="Z37" s="1358"/>
    </row>
    <row r="38" spans="1:26" hidden="1" x14ac:dyDescent="0.4">
      <c r="A38" s="1339"/>
      <c r="B38" s="1360" t="s">
        <v>1545</v>
      </c>
      <c r="C38" s="75"/>
      <c r="D38" s="75"/>
      <c r="E38" s="75"/>
      <c r="F38" s="75"/>
      <c r="G38" s="1221">
        <f>+$F36*'Tariff Schedule'!E$51</f>
        <v>0</v>
      </c>
      <c r="H38" s="75"/>
      <c r="I38" s="75"/>
      <c r="J38" s="75"/>
      <c r="K38" s="1306"/>
      <c r="L38" s="628"/>
      <c r="M38" s="628"/>
      <c r="N38" s="628"/>
      <c r="O38" s="628"/>
      <c r="P38" s="628"/>
      <c r="Q38" s="628">
        <f>+G38*M38/10</f>
        <v>0</v>
      </c>
      <c r="R38" s="628"/>
      <c r="S38" s="628"/>
      <c r="T38" s="628"/>
      <c r="U38" s="628"/>
      <c r="V38" s="75"/>
      <c r="W38" s="628"/>
      <c r="X38" s="1221"/>
      <c r="Y38" s="75"/>
      <c r="Z38" s="1358"/>
    </row>
    <row r="39" spans="1:26" hidden="1" x14ac:dyDescent="0.4">
      <c r="A39" s="1339"/>
      <c r="B39" s="1360" t="s">
        <v>1546</v>
      </c>
      <c r="C39" s="75"/>
      <c r="D39" s="75"/>
      <c r="E39" s="75"/>
      <c r="F39" s="75"/>
      <c r="G39" s="1221">
        <f>+$F36*'Tariff Schedule'!E$52</f>
        <v>0</v>
      </c>
      <c r="H39" s="75"/>
      <c r="I39" s="75"/>
      <c r="J39" s="75"/>
      <c r="K39" s="1306"/>
      <c r="L39" s="628"/>
      <c r="M39" s="628"/>
      <c r="N39" s="628"/>
      <c r="O39" s="628"/>
      <c r="P39" s="628"/>
      <c r="Q39" s="628">
        <f>+G39*M39/10</f>
        <v>0</v>
      </c>
      <c r="R39" s="628"/>
      <c r="S39" s="628"/>
      <c r="T39" s="628"/>
      <c r="U39" s="628"/>
      <c r="V39" s="75"/>
      <c r="W39" s="628"/>
      <c r="X39" s="1221"/>
      <c r="Y39" s="75"/>
      <c r="Z39" s="1358"/>
    </row>
    <row r="40" spans="1:26" hidden="1" x14ac:dyDescent="0.4">
      <c r="A40" s="1339"/>
      <c r="B40" s="1360" t="s">
        <v>1549</v>
      </c>
      <c r="C40" s="75"/>
      <c r="D40" s="75"/>
      <c r="E40" s="75"/>
      <c r="F40" s="75"/>
      <c r="G40" s="1221">
        <f>+$F36*'Tariff Schedule'!E$55</f>
        <v>0</v>
      </c>
      <c r="H40" s="75"/>
      <c r="I40" s="75"/>
      <c r="J40" s="75"/>
      <c r="K40" s="1306"/>
      <c r="L40" s="628"/>
      <c r="M40" s="628"/>
      <c r="N40" s="628"/>
      <c r="O40" s="628"/>
      <c r="P40" s="628"/>
      <c r="Q40" s="628">
        <f>+G40*M40/10</f>
        <v>0</v>
      </c>
      <c r="R40" s="628"/>
      <c r="S40" s="628"/>
      <c r="T40" s="628"/>
      <c r="U40" s="628"/>
      <c r="V40" s="75"/>
      <c r="W40" s="628"/>
      <c r="X40" s="1221"/>
      <c r="Y40" s="75"/>
      <c r="Z40" s="1358"/>
    </row>
    <row r="41" spans="1:26" hidden="1" x14ac:dyDescent="0.4">
      <c r="B41" s="1362" t="s">
        <v>1143</v>
      </c>
      <c r="C41" s="1306">
        <f>+'F13 SEZ'!C219</f>
        <v>0</v>
      </c>
      <c r="D41" s="75"/>
      <c r="E41" s="75"/>
      <c r="F41" s="75"/>
      <c r="G41" s="75"/>
      <c r="H41" s="75"/>
      <c r="I41" s="75"/>
      <c r="J41" s="75"/>
      <c r="K41" s="1306"/>
      <c r="L41" s="628">
        <f>+'F1 SEZ'!L27</f>
        <v>0</v>
      </c>
      <c r="M41" s="628"/>
      <c r="N41" s="628"/>
      <c r="O41" s="628"/>
      <c r="P41" s="628"/>
      <c r="Q41" s="628"/>
      <c r="R41" s="628"/>
      <c r="S41" s="628"/>
      <c r="T41" s="628"/>
      <c r="U41" s="628">
        <f>SUM(N41:T41)</f>
        <v>0</v>
      </c>
      <c r="V41" s="75"/>
      <c r="W41" s="628">
        <f>+U41+V41</f>
        <v>0</v>
      </c>
      <c r="X41" s="75"/>
      <c r="Y41" s="75"/>
      <c r="Z41" s="2"/>
    </row>
    <row r="42" spans="1:26" hidden="1" x14ac:dyDescent="0.4">
      <c r="A42" s="1339"/>
      <c r="B42" s="1360" t="s">
        <v>1544</v>
      </c>
      <c r="C42" s="75"/>
      <c r="D42" s="75"/>
      <c r="E42" s="75"/>
      <c r="F42" s="75"/>
      <c r="G42" s="1221">
        <f>+$F41*'Tariff Schedule'!E$50</f>
        <v>0</v>
      </c>
      <c r="H42" s="75"/>
      <c r="I42" s="75"/>
      <c r="J42" s="75"/>
      <c r="K42" s="1306"/>
      <c r="L42" s="628"/>
      <c r="M42" s="628"/>
      <c r="N42" s="628"/>
      <c r="O42" s="628"/>
      <c r="P42" s="628"/>
      <c r="Q42" s="628">
        <f>+G42*M42/10</f>
        <v>0</v>
      </c>
      <c r="R42" s="628"/>
      <c r="S42" s="628"/>
      <c r="T42" s="628"/>
      <c r="U42" s="628"/>
      <c r="V42" s="75"/>
      <c r="W42" s="628"/>
      <c r="X42" s="1221"/>
      <c r="Y42" s="75"/>
      <c r="Z42" s="1358"/>
    </row>
    <row r="43" spans="1:26" hidden="1" x14ac:dyDescent="0.4">
      <c r="A43" s="1339"/>
      <c r="B43" s="1360" t="s">
        <v>1545</v>
      </c>
      <c r="C43" s="75"/>
      <c r="D43" s="75"/>
      <c r="E43" s="75"/>
      <c r="F43" s="75"/>
      <c r="G43" s="1221">
        <f>+$F41*'Tariff Schedule'!E$51</f>
        <v>0</v>
      </c>
      <c r="H43" s="75"/>
      <c r="I43" s="75"/>
      <c r="J43" s="75"/>
      <c r="K43" s="1306"/>
      <c r="L43" s="628"/>
      <c r="M43" s="628"/>
      <c r="N43" s="628"/>
      <c r="O43" s="628"/>
      <c r="P43" s="628"/>
      <c r="Q43" s="628">
        <f>+G43*M43/10</f>
        <v>0</v>
      </c>
      <c r="R43" s="628"/>
      <c r="S43" s="628"/>
      <c r="T43" s="628"/>
      <c r="U43" s="628"/>
      <c r="V43" s="75"/>
      <c r="W43" s="628"/>
      <c r="X43" s="1221"/>
      <c r="Y43" s="75"/>
      <c r="Z43" s="1358"/>
    </row>
    <row r="44" spans="1:26" hidden="1" x14ac:dyDescent="0.4">
      <c r="A44" s="1339"/>
      <c r="B44" s="1360" t="s">
        <v>1546</v>
      </c>
      <c r="C44" s="75"/>
      <c r="D44" s="75"/>
      <c r="E44" s="75"/>
      <c r="F44" s="75"/>
      <c r="G44" s="1221">
        <f>+$F41*'Tariff Schedule'!E$52</f>
        <v>0</v>
      </c>
      <c r="H44" s="75"/>
      <c r="I44" s="75"/>
      <c r="J44" s="75"/>
      <c r="K44" s="1306"/>
      <c r="L44" s="628"/>
      <c r="M44" s="628"/>
      <c r="N44" s="628"/>
      <c r="O44" s="628"/>
      <c r="P44" s="628"/>
      <c r="Q44" s="628">
        <f>+G44*M44/10</f>
        <v>0</v>
      </c>
      <c r="R44" s="628"/>
      <c r="S44" s="628"/>
      <c r="T44" s="628"/>
      <c r="U44" s="628"/>
      <c r="V44" s="75"/>
      <c r="W44" s="628"/>
      <c r="X44" s="1221"/>
      <c r="Y44" s="75"/>
      <c r="Z44" s="1358"/>
    </row>
    <row r="45" spans="1:26" hidden="1" x14ac:dyDescent="0.4">
      <c r="A45" s="1339"/>
      <c r="B45" s="1360" t="s">
        <v>1549</v>
      </c>
      <c r="C45" s="75"/>
      <c r="D45" s="75"/>
      <c r="E45" s="75"/>
      <c r="F45" s="75"/>
      <c r="G45" s="1221">
        <f>+$F41*'Tariff Schedule'!E$55</f>
        <v>0</v>
      </c>
      <c r="H45" s="75"/>
      <c r="I45" s="75"/>
      <c r="J45" s="75"/>
      <c r="K45" s="1306"/>
      <c r="L45" s="628"/>
      <c r="M45" s="628"/>
      <c r="N45" s="628"/>
      <c r="O45" s="628"/>
      <c r="P45" s="628"/>
      <c r="Q45" s="628">
        <f>+G45*M45/10</f>
        <v>0</v>
      </c>
      <c r="R45" s="628"/>
      <c r="S45" s="628"/>
      <c r="T45" s="628"/>
      <c r="U45" s="628"/>
      <c r="V45" s="75"/>
      <c r="W45" s="628"/>
      <c r="X45" s="1221"/>
      <c r="Y45" s="75"/>
      <c r="Z45" s="1358"/>
    </row>
    <row r="46" spans="1:26" ht="25.5" hidden="1" x14ac:dyDescent="0.4">
      <c r="B46" s="519" t="s">
        <v>1111</v>
      </c>
      <c r="C46" s="1306">
        <f>+'F13 SEZ'!C220</f>
        <v>0</v>
      </c>
      <c r="D46" s="75"/>
      <c r="E46" s="75"/>
      <c r="F46" s="75"/>
      <c r="G46" s="75"/>
      <c r="H46" s="75"/>
      <c r="I46" s="75"/>
      <c r="J46" s="75"/>
      <c r="K46" s="1306"/>
      <c r="L46" s="628">
        <f>+'F1 SEZ'!L28</f>
        <v>0</v>
      </c>
      <c r="M46" s="628"/>
      <c r="N46" s="628"/>
      <c r="O46" s="628"/>
      <c r="P46" s="628"/>
      <c r="Q46" s="628"/>
      <c r="R46" s="628"/>
      <c r="S46" s="628"/>
      <c r="T46" s="628"/>
      <c r="U46" s="628">
        <f>SUM(N46:T46)</f>
        <v>0</v>
      </c>
      <c r="V46" s="75"/>
      <c r="W46" s="628">
        <f>+U46+V46</f>
        <v>0</v>
      </c>
      <c r="X46" s="75"/>
      <c r="Y46" s="75"/>
      <c r="Z46" s="2"/>
    </row>
    <row r="47" spans="1:26" hidden="1" x14ac:dyDescent="0.4">
      <c r="A47" s="1339"/>
      <c r="B47" s="1360" t="s">
        <v>1544</v>
      </c>
      <c r="C47" s="75"/>
      <c r="D47" s="75"/>
      <c r="E47" s="75"/>
      <c r="F47" s="75"/>
      <c r="G47" s="1221">
        <f>+$F46*'Tariff Schedule'!E$50</f>
        <v>0</v>
      </c>
      <c r="H47" s="75"/>
      <c r="I47" s="75"/>
      <c r="J47" s="75"/>
      <c r="K47" s="1306"/>
      <c r="L47" s="628"/>
      <c r="M47" s="628"/>
      <c r="N47" s="628"/>
      <c r="O47" s="628"/>
      <c r="P47" s="628"/>
      <c r="Q47" s="628">
        <f>+G47*M47/10</f>
        <v>0</v>
      </c>
      <c r="R47" s="628"/>
      <c r="S47" s="628"/>
      <c r="T47" s="628"/>
      <c r="U47" s="628"/>
      <c r="V47" s="75"/>
      <c r="W47" s="628"/>
      <c r="X47" s="1221"/>
      <c r="Y47" s="75"/>
      <c r="Z47" s="1358"/>
    </row>
    <row r="48" spans="1:26" hidden="1" x14ac:dyDescent="0.4">
      <c r="A48" s="1339"/>
      <c r="B48" s="1360" t="s">
        <v>1545</v>
      </c>
      <c r="C48" s="75"/>
      <c r="D48" s="75"/>
      <c r="E48" s="75"/>
      <c r="F48" s="75"/>
      <c r="G48" s="1221">
        <f>+$F46*'Tariff Schedule'!E$51</f>
        <v>0</v>
      </c>
      <c r="H48" s="75"/>
      <c r="I48" s="75"/>
      <c r="J48" s="75"/>
      <c r="K48" s="1306"/>
      <c r="L48" s="628"/>
      <c r="M48" s="628"/>
      <c r="N48" s="628"/>
      <c r="O48" s="628"/>
      <c r="P48" s="628"/>
      <c r="Q48" s="628">
        <f>+G48*M48/10</f>
        <v>0</v>
      </c>
      <c r="R48" s="628"/>
      <c r="S48" s="628"/>
      <c r="T48" s="628"/>
      <c r="U48" s="628"/>
      <c r="V48" s="75"/>
      <c r="W48" s="628"/>
      <c r="X48" s="1221"/>
      <c r="Y48" s="75"/>
      <c r="Z48" s="1358"/>
    </row>
    <row r="49" spans="1:26" hidden="1" x14ac:dyDescent="0.4">
      <c r="A49" s="1339"/>
      <c r="B49" s="1360" t="s">
        <v>1546</v>
      </c>
      <c r="C49" s="75"/>
      <c r="D49" s="75"/>
      <c r="E49" s="75"/>
      <c r="F49" s="75"/>
      <c r="G49" s="1221">
        <f>+$F46*'Tariff Schedule'!E$52</f>
        <v>0</v>
      </c>
      <c r="H49" s="75"/>
      <c r="I49" s="75"/>
      <c r="J49" s="75"/>
      <c r="K49" s="1306"/>
      <c r="L49" s="628"/>
      <c r="M49" s="628"/>
      <c r="N49" s="628"/>
      <c r="O49" s="628"/>
      <c r="P49" s="628"/>
      <c r="Q49" s="628">
        <f>+G49*M49/10</f>
        <v>0</v>
      </c>
      <c r="R49" s="628"/>
      <c r="S49" s="628"/>
      <c r="T49" s="628"/>
      <c r="U49" s="628"/>
      <c r="V49" s="75"/>
      <c r="W49" s="628"/>
      <c r="X49" s="1221"/>
      <c r="Y49" s="75"/>
      <c r="Z49" s="1358"/>
    </row>
    <row r="50" spans="1:26" hidden="1" x14ac:dyDescent="0.4">
      <c r="A50" s="1339"/>
      <c r="B50" s="1360" t="s">
        <v>1549</v>
      </c>
      <c r="C50" s="75"/>
      <c r="D50" s="75"/>
      <c r="E50" s="75"/>
      <c r="F50" s="75"/>
      <c r="G50" s="1221">
        <f>+$F46*'Tariff Schedule'!E$55</f>
        <v>0</v>
      </c>
      <c r="H50" s="75"/>
      <c r="I50" s="75"/>
      <c r="J50" s="75"/>
      <c r="K50" s="1306"/>
      <c r="L50" s="628"/>
      <c r="M50" s="628"/>
      <c r="N50" s="628"/>
      <c r="O50" s="628"/>
      <c r="P50" s="628"/>
      <c r="Q50" s="628">
        <f>+G50*M50/10</f>
        <v>0</v>
      </c>
      <c r="R50" s="628"/>
      <c r="S50" s="628"/>
      <c r="T50" s="628"/>
      <c r="U50" s="628"/>
      <c r="V50" s="75"/>
      <c r="W50" s="628"/>
      <c r="X50" s="1221"/>
      <c r="Y50" s="75"/>
      <c r="Z50" s="1358"/>
    </row>
    <row r="51" spans="1:26" s="6" customFormat="1" ht="25.5" x14ac:dyDescent="0.35">
      <c r="B51" s="1363" t="s">
        <v>1135</v>
      </c>
      <c r="C51" s="1336">
        <f>+'F13 SEZ'!C221</f>
        <v>1</v>
      </c>
      <c r="D51" s="128">
        <f>+'Tariff Schedule'!F26</f>
        <v>600</v>
      </c>
      <c r="E51" s="128"/>
      <c r="F51" s="1365">
        <f>+'Tariff Schedule'!M26</f>
        <v>5.43</v>
      </c>
      <c r="G51" s="128"/>
      <c r="H51" s="1365">
        <f>+'Tariff Schedule'!R26</f>
        <v>1.17</v>
      </c>
      <c r="I51" s="128"/>
      <c r="J51" s="128"/>
      <c r="K51" s="1336">
        <v>19</v>
      </c>
      <c r="L51" s="630">
        <f>+'F1 SEZ'!L29</f>
        <v>0.33779853227978168</v>
      </c>
      <c r="M51" s="630">
        <f>+L51/Z51</f>
        <v>0.34469237987732826</v>
      </c>
      <c r="N51" s="630">
        <f>+C51*D51*12/10^7</f>
        <v>7.2000000000000005E-4</v>
      </c>
      <c r="O51" s="630"/>
      <c r="P51" s="630">
        <f>(L51*F51)/10</f>
        <v>0.18342460302792146</v>
      </c>
      <c r="Q51" s="630"/>
      <c r="R51" s="630">
        <f>(L51*H51)/10</f>
        <v>3.9522428276734453E-2</v>
      </c>
      <c r="S51" s="630"/>
      <c r="T51" s="630"/>
      <c r="U51" s="630">
        <f>SUM(N51:T51)</f>
        <v>0.22366703130465593</v>
      </c>
      <c r="V51" s="128"/>
      <c r="W51" s="630">
        <f>+U51+V51</f>
        <v>0.22366703130465593</v>
      </c>
      <c r="X51" s="1222">
        <f>IFERROR(W51/L51*10,0)</f>
        <v>6.6213144798214714</v>
      </c>
      <c r="Y51" s="128"/>
      <c r="Z51" s="1366">
        <f>+'Tariff Schedule'!X26</f>
        <v>0.98</v>
      </c>
    </row>
    <row r="52" spans="1:26" ht="38.25" hidden="1" x14ac:dyDescent="0.4">
      <c r="B52" s="519" t="s">
        <v>1136</v>
      </c>
      <c r="C52" s="1306">
        <f>+'F13 SEZ'!C222</f>
        <v>0</v>
      </c>
      <c r="D52" s="75"/>
      <c r="E52" s="75"/>
      <c r="F52" s="75"/>
      <c r="G52" s="75"/>
      <c r="H52" s="75"/>
      <c r="I52" s="75"/>
      <c r="J52" s="75"/>
      <c r="K52" s="1306"/>
      <c r="L52" s="628">
        <f>+'F1 SEZ'!L30</f>
        <v>0</v>
      </c>
      <c r="M52" s="628"/>
      <c r="N52" s="628"/>
      <c r="O52" s="628"/>
      <c r="P52" s="628"/>
      <c r="Q52" s="628"/>
      <c r="R52" s="628"/>
      <c r="S52" s="628"/>
      <c r="T52" s="628"/>
      <c r="U52" s="628">
        <f>SUM(N52:T52)</f>
        <v>0</v>
      </c>
      <c r="V52" s="75"/>
      <c r="W52" s="628">
        <f>+U52+V52</f>
        <v>0</v>
      </c>
      <c r="X52" s="75"/>
      <c r="Y52" s="75"/>
      <c r="Z52" s="2"/>
    </row>
    <row r="53" spans="1:26" hidden="1" x14ac:dyDescent="0.4">
      <c r="A53" s="1339"/>
      <c r="B53" s="1360" t="s">
        <v>1544</v>
      </c>
      <c r="C53" s="75"/>
      <c r="D53" s="75"/>
      <c r="E53" s="75"/>
      <c r="F53" s="75"/>
      <c r="G53" s="1221">
        <f>+$F52*'Tariff Schedule'!E$50</f>
        <v>0</v>
      </c>
      <c r="H53" s="75"/>
      <c r="I53" s="75"/>
      <c r="J53" s="75"/>
      <c r="K53" s="1306"/>
      <c r="L53" s="628"/>
      <c r="M53" s="628"/>
      <c r="N53" s="628"/>
      <c r="O53" s="628"/>
      <c r="P53" s="628"/>
      <c r="Q53" s="628">
        <f>+G53*M53/10</f>
        <v>0</v>
      </c>
      <c r="R53" s="628"/>
      <c r="S53" s="628"/>
      <c r="T53" s="628"/>
      <c r="U53" s="628"/>
      <c r="V53" s="75"/>
      <c r="W53" s="628"/>
      <c r="X53" s="1221"/>
      <c r="Y53" s="75"/>
      <c r="Z53" s="1358"/>
    </row>
    <row r="54" spans="1:26" hidden="1" x14ac:dyDescent="0.4">
      <c r="A54" s="1339"/>
      <c r="B54" s="1360" t="s">
        <v>1545</v>
      </c>
      <c r="C54" s="75"/>
      <c r="D54" s="75"/>
      <c r="E54" s="75"/>
      <c r="F54" s="75"/>
      <c r="G54" s="1221">
        <f>+$F52*'Tariff Schedule'!E$51</f>
        <v>0</v>
      </c>
      <c r="H54" s="75"/>
      <c r="I54" s="75"/>
      <c r="J54" s="75"/>
      <c r="K54" s="1306"/>
      <c r="L54" s="628"/>
      <c r="M54" s="628"/>
      <c r="N54" s="628"/>
      <c r="O54" s="628"/>
      <c r="P54" s="628"/>
      <c r="Q54" s="628">
        <f>+G54*M54/10</f>
        <v>0</v>
      </c>
      <c r="R54" s="628"/>
      <c r="S54" s="628"/>
      <c r="T54" s="628"/>
      <c r="U54" s="628"/>
      <c r="V54" s="75"/>
      <c r="W54" s="628"/>
      <c r="X54" s="1221"/>
      <c r="Y54" s="75"/>
      <c r="Z54" s="1358"/>
    </row>
    <row r="55" spans="1:26" hidden="1" x14ac:dyDescent="0.4">
      <c r="A55" s="1339"/>
      <c r="B55" s="1360" t="s">
        <v>1546</v>
      </c>
      <c r="C55" s="75"/>
      <c r="D55" s="75"/>
      <c r="E55" s="75"/>
      <c r="F55" s="75"/>
      <c r="G55" s="1221">
        <f>+$F52*'Tariff Schedule'!E$52</f>
        <v>0</v>
      </c>
      <c r="H55" s="75"/>
      <c r="I55" s="75"/>
      <c r="J55" s="75"/>
      <c r="K55" s="1306"/>
      <c r="L55" s="628"/>
      <c r="M55" s="628"/>
      <c r="N55" s="628"/>
      <c r="O55" s="628"/>
      <c r="P55" s="628"/>
      <c r="Q55" s="628">
        <f>+G55*M55/10</f>
        <v>0</v>
      </c>
      <c r="R55" s="628"/>
      <c r="S55" s="628"/>
      <c r="T55" s="628"/>
      <c r="U55" s="628"/>
      <c r="V55" s="75"/>
      <c r="W55" s="628"/>
      <c r="X55" s="1221"/>
      <c r="Y55" s="75"/>
      <c r="Z55" s="1358"/>
    </row>
    <row r="56" spans="1:26" hidden="1" x14ac:dyDescent="0.4">
      <c r="A56" s="1339"/>
      <c r="B56" s="1360" t="s">
        <v>1549</v>
      </c>
      <c r="C56" s="75"/>
      <c r="D56" s="75"/>
      <c r="E56" s="75"/>
      <c r="F56" s="75"/>
      <c r="G56" s="1221">
        <f>+$F52*'Tariff Schedule'!E$55</f>
        <v>0</v>
      </c>
      <c r="H56" s="75"/>
      <c r="I56" s="75"/>
      <c r="J56" s="75"/>
      <c r="K56" s="1306"/>
      <c r="L56" s="628"/>
      <c r="M56" s="628"/>
      <c r="N56" s="628"/>
      <c r="O56" s="628"/>
      <c r="P56" s="628"/>
      <c r="Q56" s="628">
        <f>+G56*M56/10</f>
        <v>0</v>
      </c>
      <c r="R56" s="628"/>
      <c r="S56" s="628"/>
      <c r="T56" s="628"/>
      <c r="U56" s="628"/>
      <c r="V56" s="75"/>
      <c r="W56" s="628"/>
      <c r="X56" s="1221"/>
      <c r="Y56" s="75"/>
      <c r="Z56" s="1358"/>
    </row>
    <row r="57" spans="1:26" hidden="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2"/>
    </row>
    <row r="58" spans="1:26" ht="25.5" hidden="1" x14ac:dyDescent="0.4">
      <c r="B58" s="519" t="s">
        <v>1142</v>
      </c>
      <c r="C58" s="1306">
        <f>+'F13 SEZ'!C223</f>
        <v>0</v>
      </c>
      <c r="D58" s="75"/>
      <c r="E58" s="75"/>
      <c r="F58" s="75"/>
      <c r="G58" s="75"/>
      <c r="H58" s="75"/>
      <c r="I58" s="75"/>
      <c r="J58" s="75"/>
      <c r="K58" s="1306"/>
      <c r="L58" s="628">
        <f>+'F1 SEZ'!L31</f>
        <v>0</v>
      </c>
      <c r="M58" s="628"/>
      <c r="N58" s="628"/>
      <c r="O58" s="628"/>
      <c r="P58" s="628"/>
      <c r="Q58" s="628"/>
      <c r="R58" s="628"/>
      <c r="S58" s="628"/>
      <c r="T58" s="628"/>
      <c r="U58" s="628">
        <f>SUM(N58:T58)</f>
        <v>0</v>
      </c>
      <c r="V58" s="75"/>
      <c r="W58" s="628">
        <f>+U58+V58</f>
        <v>0</v>
      </c>
      <c r="X58" s="75"/>
      <c r="Y58" s="75"/>
      <c r="Z58" s="2"/>
    </row>
    <row r="59" spans="1:26" hidden="1" x14ac:dyDescent="0.4">
      <c r="A59" s="1339"/>
      <c r="B59" s="1360" t="s">
        <v>1544</v>
      </c>
      <c r="C59" s="75"/>
      <c r="D59" s="75"/>
      <c r="E59" s="75"/>
      <c r="F59" s="75"/>
      <c r="G59" s="1221">
        <f>+$F58*'Tariff Schedule'!E$50</f>
        <v>0</v>
      </c>
      <c r="H59" s="75"/>
      <c r="I59" s="75"/>
      <c r="J59" s="75"/>
      <c r="K59" s="1306"/>
      <c r="L59" s="628"/>
      <c r="M59" s="628"/>
      <c r="N59" s="628"/>
      <c r="O59" s="628"/>
      <c r="P59" s="628"/>
      <c r="Q59" s="628">
        <f>+G59*M59/10</f>
        <v>0</v>
      </c>
      <c r="R59" s="628"/>
      <c r="S59" s="628"/>
      <c r="T59" s="628"/>
      <c r="U59" s="628"/>
      <c r="V59" s="75"/>
      <c r="W59" s="628"/>
      <c r="X59" s="1221"/>
      <c r="Y59" s="75"/>
      <c r="Z59" s="1358"/>
    </row>
    <row r="60" spans="1:26" hidden="1" x14ac:dyDescent="0.4">
      <c r="A60" s="1339"/>
      <c r="B60" s="1360" t="s">
        <v>1545</v>
      </c>
      <c r="C60" s="75"/>
      <c r="D60" s="75"/>
      <c r="E60" s="75"/>
      <c r="F60" s="75"/>
      <c r="G60" s="1221">
        <f>+$F58*'Tariff Schedule'!E$51</f>
        <v>0</v>
      </c>
      <c r="H60" s="75"/>
      <c r="I60" s="75"/>
      <c r="J60" s="75"/>
      <c r="K60" s="1306"/>
      <c r="L60" s="628"/>
      <c r="M60" s="628"/>
      <c r="N60" s="628"/>
      <c r="O60" s="628"/>
      <c r="P60" s="628"/>
      <c r="Q60" s="628">
        <f>+G60*M60/10</f>
        <v>0</v>
      </c>
      <c r="R60" s="628"/>
      <c r="S60" s="628"/>
      <c r="T60" s="628"/>
      <c r="U60" s="628"/>
      <c r="V60" s="75"/>
      <c r="W60" s="628"/>
      <c r="X60" s="1221"/>
      <c r="Y60" s="75"/>
      <c r="Z60" s="1358"/>
    </row>
    <row r="61" spans="1:26" hidden="1" x14ac:dyDescent="0.4">
      <c r="A61" s="1339"/>
      <c r="B61" s="1360" t="s">
        <v>1546</v>
      </c>
      <c r="C61" s="75"/>
      <c r="D61" s="75"/>
      <c r="E61" s="75"/>
      <c r="F61" s="75"/>
      <c r="G61" s="1221">
        <f>+$F58*'Tariff Schedule'!E$52</f>
        <v>0</v>
      </c>
      <c r="H61" s="75"/>
      <c r="I61" s="75"/>
      <c r="J61" s="75"/>
      <c r="K61" s="1306"/>
      <c r="L61" s="628"/>
      <c r="M61" s="628"/>
      <c r="N61" s="628"/>
      <c r="O61" s="628"/>
      <c r="P61" s="628"/>
      <c r="Q61" s="628">
        <f>+G61*M61/10</f>
        <v>0</v>
      </c>
      <c r="R61" s="628"/>
      <c r="S61" s="628"/>
      <c r="T61" s="628"/>
      <c r="U61" s="628"/>
      <c r="V61" s="75"/>
      <c r="W61" s="628"/>
      <c r="X61" s="1221"/>
      <c r="Y61" s="75"/>
      <c r="Z61" s="1358"/>
    </row>
    <row r="62" spans="1:26" hidden="1" x14ac:dyDescent="0.4">
      <c r="A62" s="1339"/>
      <c r="B62" s="1360" t="s">
        <v>1549</v>
      </c>
      <c r="C62" s="75"/>
      <c r="D62" s="75"/>
      <c r="E62" s="75"/>
      <c r="F62" s="75"/>
      <c r="G62" s="1221">
        <f>+$F58*'Tariff Schedule'!E$55</f>
        <v>0</v>
      </c>
      <c r="H62" s="75"/>
      <c r="I62" s="75"/>
      <c r="J62" s="75"/>
      <c r="K62" s="1306"/>
      <c r="L62" s="628"/>
      <c r="M62" s="628"/>
      <c r="N62" s="628"/>
      <c r="O62" s="628"/>
      <c r="P62" s="628"/>
      <c r="Q62" s="628">
        <f>+G62*M62/10</f>
        <v>0</v>
      </c>
      <c r="R62" s="628"/>
      <c r="S62" s="628"/>
      <c r="T62" s="628"/>
      <c r="U62" s="628"/>
      <c r="V62" s="75"/>
      <c r="W62" s="628"/>
      <c r="X62" s="1221"/>
      <c r="Y62" s="75"/>
      <c r="Z62" s="1358"/>
    </row>
    <row r="63" spans="1:26" x14ac:dyDescent="0.4">
      <c r="B63" s="518" t="s">
        <v>162</v>
      </c>
      <c r="C63" s="1308">
        <f>+C27+C34+C46+C51+C52+C58</f>
        <v>1</v>
      </c>
      <c r="D63" s="1308"/>
      <c r="E63" s="1310"/>
      <c r="F63" s="1310"/>
      <c r="G63" s="1310"/>
      <c r="H63" s="1310"/>
      <c r="I63" s="1310"/>
      <c r="J63" s="1310"/>
      <c r="K63" s="1308">
        <f>+K27+K34+K46+K51+K52+K58</f>
        <v>19</v>
      </c>
      <c r="L63" s="630">
        <f>+L27+L34+L46+L51+L52+L58</f>
        <v>0.33779853227978168</v>
      </c>
      <c r="M63" s="630">
        <f t="shared" ref="M63:W63" si="1">+M27+M34+M46+M51+M52+M58</f>
        <v>0.34469237987732826</v>
      </c>
      <c r="N63" s="630">
        <f t="shared" si="1"/>
        <v>7.2000000000000005E-4</v>
      </c>
      <c r="O63" s="630">
        <f t="shared" si="1"/>
        <v>0</v>
      </c>
      <c r="P63" s="630">
        <f t="shared" si="1"/>
        <v>0.18342460302792146</v>
      </c>
      <c r="Q63" s="630">
        <f t="shared" si="1"/>
        <v>0</v>
      </c>
      <c r="R63" s="630">
        <f t="shared" si="1"/>
        <v>3.9522428276734453E-2</v>
      </c>
      <c r="S63" s="630">
        <f t="shared" si="1"/>
        <v>0</v>
      </c>
      <c r="T63" s="630">
        <f t="shared" si="1"/>
        <v>0</v>
      </c>
      <c r="U63" s="630">
        <f t="shared" si="1"/>
        <v>0.22366703130465593</v>
      </c>
      <c r="V63" s="630">
        <f t="shared" si="1"/>
        <v>0</v>
      </c>
      <c r="W63" s="630">
        <f t="shared" si="1"/>
        <v>0.22366703130465593</v>
      </c>
      <c r="X63" s="1222">
        <f>IFERROR(W63/L63*10,0)</f>
        <v>6.6213144798214714</v>
      </c>
      <c r="Y63" s="75"/>
      <c r="Z63" s="2"/>
    </row>
    <row r="64" spans="1:26"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75"/>
      <c r="Z64" s="2"/>
    </row>
    <row r="65" spans="1:26" x14ac:dyDescent="0.4">
      <c r="B65" s="119" t="s">
        <v>164</v>
      </c>
      <c r="C65" s="1308">
        <f t="shared" ref="C65:W65" si="2">+C63+C25</f>
        <v>6</v>
      </c>
      <c r="D65" s="1309">
        <f t="shared" si="2"/>
        <v>0</v>
      </c>
      <c r="E65" s="1309">
        <f t="shared" si="2"/>
        <v>0</v>
      </c>
      <c r="F65" s="1309">
        <f t="shared" si="2"/>
        <v>0</v>
      </c>
      <c r="G65" s="1309">
        <f t="shared" si="2"/>
        <v>0</v>
      </c>
      <c r="H65" s="1309">
        <f t="shared" si="2"/>
        <v>0</v>
      </c>
      <c r="I65" s="1309">
        <f t="shared" si="2"/>
        <v>0</v>
      </c>
      <c r="J65" s="1309">
        <f t="shared" si="2"/>
        <v>0</v>
      </c>
      <c r="K65" s="1336">
        <f t="shared" si="2"/>
        <v>30059</v>
      </c>
      <c r="L65" s="630">
        <f t="shared" si="2"/>
        <v>203.50425249876554</v>
      </c>
      <c r="M65" s="630">
        <f t="shared" si="2"/>
        <v>205.56370230238909</v>
      </c>
      <c r="N65" s="630">
        <f t="shared" si="2"/>
        <v>7.2000000000000005E-4</v>
      </c>
      <c r="O65" s="630">
        <f t="shared" si="2"/>
        <v>19.461600000000001</v>
      </c>
      <c r="P65" s="630">
        <f t="shared" si="2"/>
        <v>151.65170041028142</v>
      </c>
      <c r="Q65" s="630">
        <f t="shared" si="2"/>
        <v>-2.1658415743241073</v>
      </c>
      <c r="R65" s="630">
        <f t="shared" si="2"/>
        <v>15.225729162542603</v>
      </c>
      <c r="S65" s="630">
        <f t="shared" si="2"/>
        <v>0</v>
      </c>
      <c r="T65" s="630">
        <f t="shared" si="2"/>
        <v>0</v>
      </c>
      <c r="U65" s="630">
        <f t="shared" si="2"/>
        <v>184.17390799849991</v>
      </c>
      <c r="V65" s="1309">
        <f t="shared" si="2"/>
        <v>0</v>
      </c>
      <c r="W65" s="630">
        <f t="shared" si="2"/>
        <v>184.17390799849991</v>
      </c>
      <c r="X65" s="1222">
        <f>IFERROR(W65/L65*10,0)</f>
        <v>9.0501257706945033</v>
      </c>
      <c r="Y65" s="75"/>
      <c r="Z65" s="2"/>
    </row>
    <row r="66" spans="1:26"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2"/>
    </row>
    <row r="67" spans="1:26" x14ac:dyDescent="0.4">
      <c r="B67" s="118"/>
      <c r="C67" s="103"/>
      <c r="D67" s="103"/>
      <c r="E67" s="103"/>
      <c r="F67" s="103"/>
      <c r="G67" s="103"/>
      <c r="H67" s="103"/>
      <c r="I67" s="103"/>
      <c r="J67" s="103"/>
      <c r="K67" s="1333"/>
      <c r="L67" s="1328"/>
      <c r="M67" s="1328"/>
      <c r="N67" s="1328"/>
      <c r="O67" s="103"/>
      <c r="P67" s="103"/>
      <c r="Q67" s="103"/>
      <c r="R67" s="103"/>
      <c r="S67" s="103"/>
      <c r="T67" s="103"/>
      <c r="U67" s="103"/>
      <c r="V67" s="103"/>
      <c r="W67" s="1328"/>
      <c r="X67" s="103"/>
      <c r="Y67" s="103"/>
    </row>
    <row r="68" spans="1:26" x14ac:dyDescent="0.4">
      <c r="B68" s="7" t="s">
        <v>740</v>
      </c>
      <c r="C68" s="7"/>
      <c r="D68" s="7"/>
      <c r="E68" s="7"/>
      <c r="F68" s="7"/>
      <c r="G68" s="7"/>
      <c r="H68" s="7"/>
      <c r="I68" s="7"/>
      <c r="J68" s="7"/>
      <c r="K68" s="1337"/>
      <c r="L68" s="1330"/>
      <c r="M68" s="1330"/>
      <c r="N68" s="1330"/>
      <c r="O68" s="7"/>
      <c r="P68" s="7"/>
      <c r="Q68" s="7"/>
      <c r="R68" s="7"/>
      <c r="S68" s="7"/>
      <c r="T68" s="7"/>
      <c r="U68" s="7"/>
      <c r="V68" s="7"/>
      <c r="W68" s="1330"/>
      <c r="X68" s="7"/>
      <c r="Y68" s="7"/>
    </row>
    <row r="69" spans="1:26"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row>
    <row r="70" spans="1:26"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row>
    <row r="72" spans="1:26" x14ac:dyDescent="0.4">
      <c r="B72" s="131" t="s">
        <v>746</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row>
    <row r="73" spans="1:26" x14ac:dyDescent="0.4">
      <c r="B73" s="131" t="s">
        <v>1560</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row>
    <row r="74" spans="1:26"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row>
    <row r="75" spans="1:26"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947" t="s">
        <v>1570</v>
      </c>
    </row>
    <row r="76" spans="1:26"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947"/>
    </row>
    <row r="77" spans="1:26"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2"/>
    </row>
    <row r="78" spans="1:26" s="6" customFormat="1" ht="13.5" x14ac:dyDescent="0.35">
      <c r="A78" s="1364">
        <f>+'F13.2'!A78</f>
        <v>0.9</v>
      </c>
      <c r="B78" s="517" t="s">
        <v>1129</v>
      </c>
      <c r="C78" s="128">
        <f>+'F13 Non SEZ'!C204</f>
        <v>1</v>
      </c>
      <c r="D78" s="128"/>
      <c r="E78" s="128">
        <f>+'Tariff Schedule'!F14</f>
        <v>600</v>
      </c>
      <c r="F78" s="1365">
        <f>+'Tariff Schedule'!M14</f>
        <v>7.38</v>
      </c>
      <c r="G78" s="128"/>
      <c r="H78" s="1365">
        <f>+'Tariff Schedule'!S14</f>
        <v>0.74</v>
      </c>
      <c r="I78" s="128"/>
      <c r="J78" s="128"/>
      <c r="K78" s="1336">
        <v>211</v>
      </c>
      <c r="L78" s="630">
        <f>+'F1 Non-SEZ'!L12</f>
        <v>0.18479900000000216</v>
      </c>
      <c r="M78" s="630">
        <f>+L78/Z78</f>
        <v>0.18666565656565876</v>
      </c>
      <c r="N78" s="630"/>
      <c r="O78" s="630">
        <f>(K78*E78)*12/10^7*A78</f>
        <v>0.13672800000000002</v>
      </c>
      <c r="P78" s="630">
        <f>(M78*F78)/10</f>
        <v>0.13775925454545618</v>
      </c>
      <c r="Q78" s="630">
        <f>SUM(Q79:Q82)</f>
        <v>-1.9689857787583906E-3</v>
      </c>
      <c r="R78" s="630">
        <f>(M78*H78)/10</f>
        <v>1.3813258585858749E-2</v>
      </c>
      <c r="S78" s="630"/>
      <c r="T78" s="630"/>
      <c r="U78" s="630">
        <f>SUM(N78:T78)</f>
        <v>0.28633152735255657</v>
      </c>
      <c r="V78" s="128"/>
      <c r="W78" s="630">
        <f>+U78+V78</f>
        <v>0.28633152735255657</v>
      </c>
      <c r="X78" s="1222">
        <f>IFERROR(W78/L78*10,0)</f>
        <v>15.494214111145258</v>
      </c>
      <c r="Y78" s="128"/>
      <c r="Z78" s="1366">
        <f>+'Tariff Schedule'!X14</f>
        <v>0.99</v>
      </c>
    </row>
    <row r="79" spans="1:26" x14ac:dyDescent="0.4">
      <c r="A79" s="1339"/>
      <c r="B79" s="1360" t="s">
        <v>1544</v>
      </c>
      <c r="C79" s="75"/>
      <c r="D79" s="75"/>
      <c r="E79" s="75"/>
      <c r="F79" s="75"/>
      <c r="G79" s="1221">
        <f>+$F78*'Tariff Schedule'!E$50</f>
        <v>0</v>
      </c>
      <c r="H79" s="75"/>
      <c r="I79" s="75"/>
      <c r="J79" s="75"/>
      <c r="K79" s="1306"/>
      <c r="L79" s="628"/>
      <c r="M79" s="628">
        <f>+$M$78*Assum!E125</f>
        <v>4.5705982354672804E-2</v>
      </c>
      <c r="N79" s="628"/>
      <c r="O79" s="628"/>
      <c r="P79" s="628"/>
      <c r="Q79" s="628">
        <f>+G79*M79/10</f>
        <v>0</v>
      </c>
      <c r="R79" s="628"/>
      <c r="S79" s="628"/>
      <c r="T79" s="628"/>
      <c r="U79" s="628"/>
      <c r="V79" s="75"/>
      <c r="W79" s="628"/>
      <c r="X79" s="1221"/>
      <c r="Y79" s="75"/>
      <c r="Z79" s="1358"/>
    </row>
    <row r="80" spans="1:26" x14ac:dyDescent="0.4">
      <c r="A80" s="1339"/>
      <c r="B80" s="1360" t="s">
        <v>1545</v>
      </c>
      <c r="C80" s="75"/>
      <c r="D80" s="75"/>
      <c r="E80" s="75"/>
      <c r="F80" s="75"/>
      <c r="G80" s="1221">
        <f>+$F78*'Tariff Schedule'!E$51</f>
        <v>0</v>
      </c>
      <c r="H80" s="75"/>
      <c r="I80" s="75"/>
      <c r="J80" s="75"/>
      <c r="K80" s="1306"/>
      <c r="L80" s="628"/>
      <c r="M80" s="628">
        <f>+$M$78*Assum!E126</f>
        <v>2.3562816725167475E-2</v>
      </c>
      <c r="N80" s="628"/>
      <c r="O80" s="628"/>
      <c r="P80" s="628"/>
      <c r="Q80" s="628">
        <f>+G80*M80/10</f>
        <v>0</v>
      </c>
      <c r="R80" s="628"/>
      <c r="S80" s="628"/>
      <c r="T80" s="628"/>
      <c r="U80" s="628"/>
      <c r="V80" s="75"/>
      <c r="W80" s="628"/>
      <c r="X80" s="1221"/>
      <c r="Y80" s="75"/>
      <c r="Z80" s="1358"/>
    </row>
    <row r="81" spans="1:26" x14ac:dyDescent="0.4">
      <c r="A81" s="1339"/>
      <c r="B81" s="1360" t="s">
        <v>1546</v>
      </c>
      <c r="C81" s="75"/>
      <c r="D81" s="75"/>
      <c r="E81" s="75"/>
      <c r="F81" s="75"/>
      <c r="G81" s="1221">
        <f>+$F78*'Tariff Schedule'!E$52</f>
        <v>-1.599</v>
      </c>
      <c r="H81" s="75"/>
      <c r="I81" s="75"/>
      <c r="J81" s="75"/>
      <c r="K81" s="1306"/>
      <c r="L81" s="628"/>
      <c r="M81" s="628">
        <f>+$M$78*Assum!E127</f>
        <v>6.2753697377773004E-2</v>
      </c>
      <c r="N81" s="628"/>
      <c r="O81" s="628"/>
      <c r="P81" s="628"/>
      <c r="Q81" s="628">
        <f>+G81*M81/10</f>
        <v>-1.0034316210705902E-2</v>
      </c>
      <c r="R81" s="628"/>
      <c r="S81" s="628"/>
      <c r="T81" s="628"/>
      <c r="U81" s="628"/>
      <c r="V81" s="75"/>
      <c r="W81" s="628"/>
      <c r="X81" s="1221"/>
      <c r="Y81" s="75"/>
      <c r="Z81" s="1358"/>
    </row>
    <row r="82" spans="1:26" x14ac:dyDescent="0.4">
      <c r="A82" s="1339"/>
      <c r="B82" s="1360" t="s">
        <v>1549</v>
      </c>
      <c r="C82" s="75"/>
      <c r="D82" s="75"/>
      <c r="E82" s="75"/>
      <c r="F82" s="75"/>
      <c r="G82" s="1221">
        <f>+$F78*'Tariff Schedule'!E$55</f>
        <v>1.476</v>
      </c>
      <c r="H82" s="75"/>
      <c r="I82" s="75"/>
      <c r="J82" s="75"/>
      <c r="K82" s="1306"/>
      <c r="L82" s="628"/>
      <c r="M82" s="628">
        <f>+$M$78*Assum!E128</f>
        <v>5.4643160108045465E-2</v>
      </c>
      <c r="N82" s="628"/>
      <c r="O82" s="628"/>
      <c r="P82" s="628"/>
      <c r="Q82" s="628">
        <f>+G82*M82/10</f>
        <v>8.0653304319475115E-3</v>
      </c>
      <c r="R82" s="628"/>
      <c r="S82" s="628"/>
      <c r="T82" s="628"/>
      <c r="U82" s="628"/>
      <c r="V82" s="75"/>
      <c r="W82" s="628"/>
      <c r="X82" s="1221"/>
      <c r="Y82" s="75"/>
      <c r="Z82" s="1358"/>
    </row>
    <row r="83" spans="1:26" s="6" customFormat="1" ht="13.5" x14ac:dyDescent="0.35">
      <c r="A83" s="1364">
        <f>+'F13.2'!A83</f>
        <v>0.75</v>
      </c>
      <c r="B83" s="517" t="s">
        <v>1130</v>
      </c>
      <c r="C83" s="128">
        <f>+'F13 Non SEZ'!C205</f>
        <v>3</v>
      </c>
      <c r="D83" s="128"/>
      <c r="E83" s="128">
        <f>+'Tariff Schedule'!F15</f>
        <v>600</v>
      </c>
      <c r="F83" s="1365">
        <f>+'Tariff Schedule'!M15</f>
        <v>11.93</v>
      </c>
      <c r="G83" s="128"/>
      <c r="H83" s="1365">
        <f>+'Tariff Schedule'!S15</f>
        <v>0.74</v>
      </c>
      <c r="I83" s="128"/>
      <c r="J83" s="128"/>
      <c r="K83" s="1336">
        <v>475</v>
      </c>
      <c r="L83" s="630">
        <f>+'F1 Non-SEZ'!L13</f>
        <v>0.71129286803162928</v>
      </c>
      <c r="M83" s="630">
        <f>+L83/Z83</f>
        <v>0.7258090490118666</v>
      </c>
      <c r="N83" s="630"/>
      <c r="O83" s="630">
        <f>(K83*E83)*12/10^7*A83</f>
        <v>0.25650000000000001</v>
      </c>
      <c r="P83" s="630">
        <f>(M83*F83)/10</f>
        <v>0.86589019547115686</v>
      </c>
      <c r="Q83" s="630">
        <f>SUM(Q84:Q87)</f>
        <v>-3.0498213361214103E-2</v>
      </c>
      <c r="R83" s="630">
        <f>(M83*H83)/10</f>
        <v>5.3709869626878126E-2</v>
      </c>
      <c r="S83" s="630"/>
      <c r="T83" s="630"/>
      <c r="U83" s="630">
        <f>SUM(N83:T83)</f>
        <v>1.1456018517368207</v>
      </c>
      <c r="V83" s="128"/>
      <c r="W83" s="630">
        <f>+U83+V83</f>
        <v>1.1456018517368207</v>
      </c>
      <c r="X83" s="1222">
        <f>IFERROR(W83/L83*10,0)</f>
        <v>16.105909439343328</v>
      </c>
      <c r="Y83" s="128"/>
      <c r="Z83" s="1366">
        <f>+'Tariff Schedule'!X15</f>
        <v>0.98</v>
      </c>
    </row>
    <row r="84" spans="1:26" x14ac:dyDescent="0.4">
      <c r="A84" s="1339"/>
      <c r="B84" s="1360" t="s">
        <v>1544</v>
      </c>
      <c r="C84" s="75"/>
      <c r="D84" s="75"/>
      <c r="E84" s="75"/>
      <c r="F84" s="75"/>
      <c r="G84" s="1221">
        <f>+$F83*'Tariff Schedule'!E$50</f>
        <v>0</v>
      </c>
      <c r="H84" s="75"/>
      <c r="I84" s="75"/>
      <c r="J84" s="75"/>
      <c r="K84" s="1306"/>
      <c r="L84" s="628"/>
      <c r="M84" s="628">
        <f>+$M$83*Assum!F125</f>
        <v>0.1022226087511872</v>
      </c>
      <c r="N84" s="628"/>
      <c r="O84" s="628"/>
      <c r="P84" s="628"/>
      <c r="Q84" s="628">
        <f>+G84*M84/10</f>
        <v>0</v>
      </c>
      <c r="R84" s="628"/>
      <c r="S84" s="628"/>
      <c r="T84" s="628"/>
      <c r="U84" s="628"/>
      <c r="V84" s="75"/>
      <c r="W84" s="628"/>
      <c r="X84" s="1221"/>
      <c r="Y84" s="75"/>
      <c r="Z84" s="1358"/>
    </row>
    <row r="85" spans="1:26" x14ac:dyDescent="0.4">
      <c r="A85" s="1339"/>
      <c r="B85" s="1360" t="s">
        <v>1545</v>
      </c>
      <c r="C85" s="75"/>
      <c r="D85" s="75"/>
      <c r="E85" s="75"/>
      <c r="F85" s="75"/>
      <c r="G85" s="1221">
        <f>+$F83*'Tariff Schedule'!E$51</f>
        <v>0</v>
      </c>
      <c r="H85" s="75"/>
      <c r="I85" s="75"/>
      <c r="J85" s="75"/>
      <c r="K85" s="1306"/>
      <c r="L85" s="628"/>
      <c r="M85" s="628">
        <f>+$M$83*Assum!F126</f>
        <v>0.10311097571153495</v>
      </c>
      <c r="N85" s="628"/>
      <c r="O85" s="628"/>
      <c r="P85" s="628"/>
      <c r="Q85" s="628">
        <f>+G85*M85/10</f>
        <v>0</v>
      </c>
      <c r="R85" s="628"/>
      <c r="S85" s="628"/>
      <c r="T85" s="628"/>
      <c r="U85" s="628"/>
      <c r="V85" s="75"/>
      <c r="W85" s="628"/>
      <c r="X85" s="1221"/>
      <c r="Y85" s="75"/>
      <c r="Z85" s="1358"/>
    </row>
    <row r="86" spans="1:26" x14ac:dyDescent="0.4">
      <c r="A86" s="1339"/>
      <c r="B86" s="1360" t="s">
        <v>1546</v>
      </c>
      <c r="C86" s="75"/>
      <c r="D86" s="75"/>
      <c r="E86" s="75"/>
      <c r="F86" s="75"/>
      <c r="G86" s="1221">
        <f>+$F83*'Tariff Schedule'!E$52</f>
        <v>-2.5848333333333335</v>
      </c>
      <c r="H86" s="75"/>
      <c r="I86" s="75"/>
      <c r="J86" s="75"/>
      <c r="K86" s="1306"/>
      <c r="L86" s="628"/>
      <c r="M86" s="628">
        <f>+$M$83*Assum!F127</f>
        <v>0.3111825499466353</v>
      </c>
      <c r="N86" s="628"/>
      <c r="O86" s="628"/>
      <c r="P86" s="628"/>
      <c r="Q86" s="628">
        <f>+G86*M86/10</f>
        <v>-8.0435502785372787E-2</v>
      </c>
      <c r="R86" s="628"/>
      <c r="S86" s="628"/>
      <c r="T86" s="628"/>
      <c r="U86" s="628"/>
      <c r="V86" s="75"/>
      <c r="W86" s="628"/>
      <c r="X86" s="1221"/>
      <c r="Y86" s="75"/>
      <c r="Z86" s="1358"/>
    </row>
    <row r="87" spans="1:26" x14ac:dyDescent="0.4">
      <c r="A87" s="1339"/>
      <c r="B87" s="1360" t="s">
        <v>1549</v>
      </c>
      <c r="C87" s="75"/>
      <c r="D87" s="75"/>
      <c r="E87" s="75"/>
      <c r="F87" s="75"/>
      <c r="G87" s="1221">
        <f>+$F83*'Tariff Schedule'!E$55</f>
        <v>2.3860000000000001</v>
      </c>
      <c r="H87" s="75"/>
      <c r="I87" s="75"/>
      <c r="J87" s="75"/>
      <c r="K87" s="1306"/>
      <c r="L87" s="628"/>
      <c r="M87" s="628">
        <f>+$M$83*Assum!F128</f>
        <v>0.20929291460250912</v>
      </c>
      <c r="N87" s="628"/>
      <c r="O87" s="628"/>
      <c r="P87" s="628"/>
      <c r="Q87" s="628">
        <f>+G87*M87/10</f>
        <v>4.9937289424158683E-2</v>
      </c>
      <c r="R87" s="628"/>
      <c r="S87" s="628"/>
      <c r="T87" s="628"/>
      <c r="U87" s="628"/>
      <c r="V87" s="75"/>
      <c r="W87" s="628"/>
      <c r="X87" s="1221"/>
      <c r="Y87" s="75"/>
      <c r="Z87" s="1358"/>
    </row>
    <row r="88" spans="1:26"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2"/>
    </row>
    <row r="89" spans="1:26"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2"/>
    </row>
    <row r="90" spans="1:26" x14ac:dyDescent="0.4">
      <c r="B90" s="518" t="s">
        <v>162</v>
      </c>
      <c r="C90" s="128">
        <f>SUM(C78:C89)</f>
        <v>4</v>
      </c>
      <c r="D90" s="1309"/>
      <c r="E90" s="1309"/>
      <c r="F90" s="1309"/>
      <c r="G90" s="1309"/>
      <c r="H90" s="1309"/>
      <c r="I90" s="1309"/>
      <c r="J90" s="1309"/>
      <c r="K90" s="1336">
        <f>SUM(K78:K89)</f>
        <v>686</v>
      </c>
      <c r="L90" s="630">
        <f>SUM(L78:L89)</f>
        <v>0.89609186803163143</v>
      </c>
      <c r="M90" s="630">
        <f>SUM(M78:M89)</f>
        <v>1.8249494111550508</v>
      </c>
      <c r="N90" s="630">
        <f t="shared" ref="N90:W90" si="3">+N78+N83</f>
        <v>0</v>
      </c>
      <c r="O90" s="630">
        <f t="shared" si="3"/>
        <v>0.39322800000000002</v>
      </c>
      <c r="P90" s="630">
        <f t="shared" si="3"/>
        <v>1.0036494500166131</v>
      </c>
      <c r="Q90" s="630">
        <f t="shared" si="3"/>
        <v>-3.2467199139972494E-2</v>
      </c>
      <c r="R90" s="630">
        <f t="shared" si="3"/>
        <v>6.7523128212736871E-2</v>
      </c>
      <c r="S90" s="630">
        <f t="shared" si="3"/>
        <v>0</v>
      </c>
      <c r="T90" s="630">
        <f t="shared" si="3"/>
        <v>0</v>
      </c>
      <c r="U90" s="630">
        <f t="shared" si="3"/>
        <v>1.4319333790893773</v>
      </c>
      <c r="V90" s="630">
        <f t="shared" si="3"/>
        <v>0</v>
      </c>
      <c r="W90" s="630">
        <f t="shared" si="3"/>
        <v>1.4319333790893773</v>
      </c>
      <c r="X90" s="1222">
        <f>IFERROR(W90/L90*10,0)</f>
        <v>15.979760894770569</v>
      </c>
      <c r="Y90" s="75"/>
      <c r="Z90" s="2"/>
    </row>
    <row r="91" spans="1:26"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2"/>
    </row>
    <row r="92" spans="1:26" s="6" customFormat="1" ht="13.5" x14ac:dyDescent="0.35">
      <c r="B92" s="1363" t="s">
        <v>1133</v>
      </c>
      <c r="C92" s="128"/>
      <c r="D92" s="128">
        <f>+'Tariff Schedule'!F16</f>
        <v>430</v>
      </c>
      <c r="E92" s="128"/>
      <c r="F92" s="128"/>
      <c r="G92" s="128"/>
      <c r="H92" s="128"/>
      <c r="I92" s="128"/>
      <c r="J92" s="128"/>
      <c r="K92" s="1336"/>
      <c r="L92" s="630">
        <f>SUM(L93:L96)</f>
        <v>8.6118653808040513</v>
      </c>
      <c r="M92" s="630">
        <f t="shared" ref="M92:W92" si="4">SUM(M93:M96)</f>
        <v>8.6118653808040513</v>
      </c>
      <c r="N92" s="630">
        <f t="shared" si="4"/>
        <v>1.4014560000000003</v>
      </c>
      <c r="O92" s="630">
        <f t="shared" si="4"/>
        <v>0</v>
      </c>
      <c r="P92" s="630">
        <f t="shared" si="4"/>
        <v>9.4461697015182224</v>
      </c>
      <c r="Q92" s="630">
        <f t="shared" si="4"/>
        <v>-0.13778984609286482</v>
      </c>
      <c r="R92" s="630">
        <f t="shared" si="4"/>
        <v>1.2659442109781955</v>
      </c>
      <c r="S92" s="630">
        <f t="shared" si="4"/>
        <v>0</v>
      </c>
      <c r="T92" s="630">
        <f t="shared" si="4"/>
        <v>0</v>
      </c>
      <c r="U92" s="630">
        <f t="shared" si="4"/>
        <v>11.975780066403553</v>
      </c>
      <c r="V92" s="630">
        <f t="shared" si="4"/>
        <v>0</v>
      </c>
      <c r="W92" s="630">
        <f t="shared" si="4"/>
        <v>11.975780066403553</v>
      </c>
      <c r="X92" s="1222">
        <f>IFERROR(W92/L92*10,0)</f>
        <v>13.906139421428612</v>
      </c>
      <c r="Y92" s="128"/>
      <c r="Z92" s="3"/>
    </row>
    <row r="93" spans="1:26" x14ac:dyDescent="0.4">
      <c r="B93" s="520" t="s">
        <v>1106</v>
      </c>
      <c r="C93" s="19">
        <f>+Assum!G173</f>
        <v>1558</v>
      </c>
      <c r="D93" s="75"/>
      <c r="E93" s="75"/>
      <c r="F93" s="1359">
        <f>+'Tariff Schedule'!M17</f>
        <v>3.64</v>
      </c>
      <c r="G93" s="1359">
        <f>+'Tariff Schedule'!$D$52</f>
        <v>-0.8</v>
      </c>
      <c r="H93" s="1359">
        <f>+'Tariff Schedule'!S17</f>
        <v>1.47</v>
      </c>
      <c r="I93" s="75"/>
      <c r="J93" s="75"/>
      <c r="K93" s="1306"/>
      <c r="L93" s="628">
        <f>+'F1 Non-SEZ'!L19</f>
        <v>2.0022014349328505</v>
      </c>
      <c r="M93" s="628">
        <f>+L93/Z93</f>
        <v>2.0022014349328505</v>
      </c>
      <c r="N93" s="628">
        <f>+C93*$D$92*12/10^7</f>
        <v>0.80392799999999998</v>
      </c>
      <c r="O93" s="628"/>
      <c r="P93" s="628">
        <f>+L93*F93/10</f>
        <v>0.72880132231555761</v>
      </c>
      <c r="Q93" s="628">
        <f>+L93*Assum!$G$127*G93/10</f>
        <v>-3.2035222958925615E-2</v>
      </c>
      <c r="R93" s="628">
        <f>(L93*H93)/10</f>
        <v>0.29432361093512904</v>
      </c>
      <c r="S93" s="628"/>
      <c r="T93" s="628"/>
      <c r="U93" s="628">
        <f>SUM(N93:T93)</f>
        <v>1.795017710291761</v>
      </c>
      <c r="V93" s="75"/>
      <c r="W93" s="628">
        <f>+U93+V93</f>
        <v>1.795017710291761</v>
      </c>
      <c r="X93" s="1221">
        <f>IFERROR(W93/L93*10,0)</f>
        <v>8.9652203767997101</v>
      </c>
      <c r="Y93" s="75"/>
      <c r="Z93" s="1358">
        <f>+'Tariff Schedule'!X17</f>
        <v>1</v>
      </c>
    </row>
    <row r="94" spans="1:26" x14ac:dyDescent="0.4">
      <c r="B94" s="520" t="s">
        <v>1107</v>
      </c>
      <c r="C94" s="19">
        <f>+Assum!G174</f>
        <v>605</v>
      </c>
      <c r="D94" s="75"/>
      <c r="E94" s="75"/>
      <c r="F94" s="1359">
        <f>+'Tariff Schedule'!M18</f>
        <v>9.44</v>
      </c>
      <c r="G94" s="1359">
        <f>+'Tariff Schedule'!$D$52</f>
        <v>-0.8</v>
      </c>
      <c r="H94" s="1359">
        <f>+'Tariff Schedule'!S18</f>
        <v>1.47</v>
      </c>
      <c r="I94" s="75"/>
      <c r="J94" s="75"/>
      <c r="K94" s="1306"/>
      <c r="L94" s="628">
        <f>+'F1 Non-SEZ'!L20</f>
        <v>1.9389082816511376</v>
      </c>
      <c r="M94" s="628">
        <f>+L94/Z94</f>
        <v>1.9389082816511376</v>
      </c>
      <c r="N94" s="628">
        <f>+C94*$D$92*12/10^7</f>
        <v>0.31218000000000001</v>
      </c>
      <c r="O94" s="628"/>
      <c r="P94" s="628">
        <f>+L94*F94/10</f>
        <v>1.830329417878674</v>
      </c>
      <c r="Q94" s="628">
        <f>+L94*Assum!$G$127*G94/10</f>
        <v>-3.1022532506418204E-2</v>
      </c>
      <c r="R94" s="628">
        <f>(L94*H94)/10</f>
        <v>0.28501951740271719</v>
      </c>
      <c r="S94" s="628"/>
      <c r="T94" s="628"/>
      <c r="U94" s="628">
        <f>SUM(N94:T94)</f>
        <v>2.396506402774973</v>
      </c>
      <c r="V94" s="75"/>
      <c r="W94" s="628">
        <f>+U94+V94</f>
        <v>2.396506402774973</v>
      </c>
      <c r="X94" s="1221">
        <f>IFERROR(W94/L94*10,0)</f>
        <v>12.360081317173773</v>
      </c>
      <c r="Y94" s="75"/>
      <c r="Z94" s="1358">
        <f>+'Tariff Schedule'!X18</f>
        <v>1</v>
      </c>
    </row>
    <row r="95" spans="1:26" x14ac:dyDescent="0.4">
      <c r="B95" s="520" t="s">
        <v>1108</v>
      </c>
      <c r="C95" s="19">
        <f>+Assum!G175</f>
        <v>322</v>
      </c>
      <c r="D95" s="75"/>
      <c r="E95" s="75"/>
      <c r="F95" s="1359">
        <f>+'Tariff Schedule'!M19</f>
        <v>13.07</v>
      </c>
      <c r="G95" s="1359">
        <f>+'Tariff Schedule'!$D$52</f>
        <v>-0.8</v>
      </c>
      <c r="H95" s="1359">
        <f>+'Tariff Schedule'!S19</f>
        <v>1.47</v>
      </c>
      <c r="I95" s="75"/>
      <c r="J95" s="75"/>
      <c r="K95" s="1306"/>
      <c r="L95" s="628">
        <f>+'F1 Non-SEZ'!L21</f>
        <v>0.67911633672838123</v>
      </c>
      <c r="M95" s="628">
        <f>+L95/Z95</f>
        <v>0.67911633672838123</v>
      </c>
      <c r="N95" s="628">
        <f>+C95*$D$92*12/10^7</f>
        <v>0.16615199999999999</v>
      </c>
      <c r="O95" s="628"/>
      <c r="P95" s="628">
        <f>+L95*F95/10</f>
        <v>0.88760505210399432</v>
      </c>
      <c r="Q95" s="628">
        <f>+L95*Assum!$G$127*G95/10</f>
        <v>-1.0865861387654102E-2</v>
      </c>
      <c r="R95" s="628">
        <f>(L95*H95)/10</f>
        <v>9.9830101499072038E-2</v>
      </c>
      <c r="S95" s="628"/>
      <c r="T95" s="628"/>
      <c r="U95" s="628">
        <f>SUM(N95:T95)</f>
        <v>1.1427212922154124</v>
      </c>
      <c r="V95" s="75"/>
      <c r="W95" s="628">
        <f>+U95+V95</f>
        <v>1.1427212922154124</v>
      </c>
      <c r="X95" s="1221">
        <f>IFERROR(W95/L95*10,0)</f>
        <v>16.826591121639506</v>
      </c>
      <c r="Y95" s="75"/>
      <c r="Z95" s="1358">
        <f>+'Tariff Schedule'!X19</f>
        <v>1</v>
      </c>
    </row>
    <row r="96" spans="1:26" x14ac:dyDescent="0.4">
      <c r="B96" s="520" t="s">
        <v>1109</v>
      </c>
      <c r="C96" s="19">
        <f>+Assum!G176</f>
        <v>231</v>
      </c>
      <c r="D96" s="75"/>
      <c r="E96" s="75"/>
      <c r="F96" s="1359">
        <f>+'Tariff Schedule'!M20</f>
        <v>15.03</v>
      </c>
      <c r="G96" s="1359">
        <f>+'Tariff Schedule'!$D$52</f>
        <v>-0.8</v>
      </c>
      <c r="H96" s="1359">
        <f>+'Tariff Schedule'!S20</f>
        <v>1.47</v>
      </c>
      <c r="I96" s="75"/>
      <c r="J96" s="75"/>
      <c r="K96" s="1306"/>
      <c r="L96" s="628">
        <f>+'F1 Non-SEZ'!L22</f>
        <v>3.991639327491681</v>
      </c>
      <c r="M96" s="628">
        <f>+L96/Z96</f>
        <v>3.991639327491681</v>
      </c>
      <c r="N96" s="628">
        <f>+C96*$D$92*12/10^7</f>
        <v>0.119196</v>
      </c>
      <c r="O96" s="628"/>
      <c r="P96" s="628">
        <f>+L96*F96/10</f>
        <v>5.9994339092199969</v>
      </c>
      <c r="Q96" s="628">
        <f>+L96*Assum!$G$127*G96/10</f>
        <v>-6.3866229239866901E-2</v>
      </c>
      <c r="R96" s="628">
        <f>(L96*H96)/10</f>
        <v>0.58677098114127713</v>
      </c>
      <c r="S96" s="628"/>
      <c r="T96" s="628"/>
      <c r="U96" s="628">
        <f>SUM(N96:T96)</f>
        <v>6.6415346611214066</v>
      </c>
      <c r="V96" s="75"/>
      <c r="W96" s="628">
        <f>+U96+V96</f>
        <v>6.6415346611214066</v>
      </c>
      <c r="X96" s="1221">
        <f>IFERROR(W96/L96*10,0)</f>
        <v>16.638614153786541</v>
      </c>
      <c r="Y96" s="75"/>
      <c r="Z96" s="1358">
        <f>+'Tariff Schedule'!X20</f>
        <v>1</v>
      </c>
    </row>
    <row r="97" spans="1:26" x14ac:dyDescent="0.4">
      <c r="B97" s="520" t="s">
        <v>1110</v>
      </c>
      <c r="C97" s="75"/>
      <c r="D97" s="75"/>
      <c r="E97" s="75"/>
      <c r="F97" s="75"/>
      <c r="G97" s="75"/>
      <c r="H97" s="75"/>
      <c r="I97" s="75"/>
      <c r="J97" s="75"/>
      <c r="K97" s="1306"/>
      <c r="L97" s="628"/>
      <c r="M97" s="628"/>
      <c r="N97" s="628"/>
      <c r="O97" s="628"/>
      <c r="P97" s="628"/>
      <c r="Q97" s="628"/>
      <c r="R97" s="628"/>
      <c r="S97" s="628"/>
      <c r="T97" s="628"/>
      <c r="U97" s="628"/>
      <c r="V97" s="75"/>
      <c r="W97" s="628"/>
      <c r="X97" s="75"/>
      <c r="Y97" s="75"/>
      <c r="Z97" s="2"/>
    </row>
    <row r="98" spans="1:26" s="6" customFormat="1" ht="25.5" x14ac:dyDescent="0.35">
      <c r="B98" s="1363" t="s">
        <v>1139</v>
      </c>
      <c r="C98" s="128"/>
      <c r="D98" s="128"/>
      <c r="E98" s="128"/>
      <c r="F98" s="128"/>
      <c r="G98" s="128"/>
      <c r="H98" s="128"/>
      <c r="I98" s="128"/>
      <c r="J98" s="128"/>
      <c r="K98" s="1336"/>
      <c r="L98" s="630">
        <f t="shared" ref="L98:R98" si="5">+L99+L100+L105</f>
        <v>1.1032567611925073</v>
      </c>
      <c r="M98" s="630">
        <f t="shared" si="5"/>
        <v>1.1186876083226089</v>
      </c>
      <c r="N98" s="630">
        <f t="shared" si="5"/>
        <v>2.6207999999999999E-2</v>
      </c>
      <c r="O98" s="630">
        <f t="shared" si="5"/>
        <v>0.11415600000000001</v>
      </c>
      <c r="P98" s="630">
        <f t="shared" si="5"/>
        <v>1.1367287650294198</v>
      </c>
      <c r="Q98" s="630">
        <f t="shared" si="5"/>
        <v>-5.518643257801116E-2</v>
      </c>
      <c r="R98" s="630">
        <f t="shared" si="5"/>
        <v>0.15723433940319526</v>
      </c>
      <c r="S98" s="630"/>
      <c r="T98" s="630"/>
      <c r="U98" s="630">
        <f>+U99+U100+U105</f>
        <v>1.379140671854604</v>
      </c>
      <c r="V98" s="128"/>
      <c r="W98" s="630">
        <f>+W99+W100+W105</f>
        <v>1.379140671854604</v>
      </c>
      <c r="X98" s="1222">
        <f>IFERROR(W98/L98*10,0)</f>
        <v>12.50063195047991</v>
      </c>
      <c r="Y98" s="128"/>
      <c r="Z98" s="3"/>
    </row>
    <row r="99" spans="1:26" s="6" customFormat="1" x14ac:dyDescent="0.35">
      <c r="B99" s="1361" t="s">
        <v>1140</v>
      </c>
      <c r="C99" s="19">
        <f>+Assum!G186</f>
        <v>42</v>
      </c>
      <c r="D99" s="128">
        <f>+'Tariff Schedule'!F22</f>
        <v>520</v>
      </c>
      <c r="E99" s="128"/>
      <c r="F99" s="1365">
        <f>+'Tariff Schedule'!M22</f>
        <v>7.57</v>
      </c>
      <c r="G99" s="128"/>
      <c r="H99" s="1365">
        <f>+'Tariff Schedule'!S22</f>
        <v>1.47</v>
      </c>
      <c r="I99" s="128"/>
      <c r="J99" s="128"/>
      <c r="K99" s="1336"/>
      <c r="L99" s="630">
        <f>+'F1 Non-SEZ'!L25</f>
        <v>0.33636889514339563</v>
      </c>
      <c r="M99" s="630">
        <f>+L99/Z99</f>
        <v>0.34323356647285269</v>
      </c>
      <c r="N99" s="630">
        <f>+C99*D99*12/10^7</f>
        <v>2.6207999999999999E-2</v>
      </c>
      <c r="O99" s="630"/>
      <c r="P99" s="630">
        <f>+L99*F99/10</f>
        <v>0.25463125362355049</v>
      </c>
      <c r="Q99" s="630"/>
      <c r="R99" s="630">
        <f>(L99*H99)/10</f>
        <v>4.9446227586079153E-2</v>
      </c>
      <c r="S99" s="630"/>
      <c r="T99" s="630"/>
      <c r="U99" s="630">
        <f>SUM(N99:T99)</f>
        <v>0.33028548120962964</v>
      </c>
      <c r="V99" s="128"/>
      <c r="W99" s="630">
        <f>+U99+V99</f>
        <v>0.33028548120962964</v>
      </c>
      <c r="X99" s="1222">
        <f>IFERROR(W99/L99*10,0)</f>
        <v>9.8191445754467708</v>
      </c>
      <c r="Y99" s="128"/>
      <c r="Z99" s="1366">
        <f>+'Tariff Schedule'!X22</f>
        <v>0.98</v>
      </c>
    </row>
    <row r="100" spans="1:26" s="6" customFormat="1" x14ac:dyDescent="0.35">
      <c r="A100" s="1364">
        <f>+'F13.2'!A100</f>
        <v>0.4</v>
      </c>
      <c r="B100" s="1361" t="s">
        <v>1144</v>
      </c>
      <c r="C100" s="19">
        <f>+Assum!G187</f>
        <v>9</v>
      </c>
      <c r="D100" s="128"/>
      <c r="E100" s="128">
        <f>+'Tariff Schedule'!F23</f>
        <v>525</v>
      </c>
      <c r="F100" s="1365">
        <f>+'Tariff Schedule'!M23</f>
        <v>10.91</v>
      </c>
      <c r="G100" s="128"/>
      <c r="H100" s="1365">
        <f>+'Tariff Schedule'!S23</f>
        <v>1.39</v>
      </c>
      <c r="I100" s="128"/>
      <c r="J100" s="128"/>
      <c r="K100" s="1336">
        <v>383</v>
      </c>
      <c r="L100" s="630">
        <f>+'F1 Non-SEZ'!L26</f>
        <v>0.59091548630067836</v>
      </c>
      <c r="M100" s="630">
        <f>+L100/Z100</f>
        <v>0.59773408250106086</v>
      </c>
      <c r="N100" s="630"/>
      <c r="O100" s="630">
        <f>(K100*E100)*12/10^7*A100</f>
        <v>9.6516000000000005E-2</v>
      </c>
      <c r="P100" s="630">
        <f>+M100*F100/10</f>
        <v>0.6521278840086574</v>
      </c>
      <c r="Q100" s="630">
        <f>SUM(Q101:Q104)</f>
        <v>-3.2065624410982728E-2</v>
      </c>
      <c r="R100" s="630">
        <f>(M100*H100)/10</f>
        <v>8.3085037467647449E-2</v>
      </c>
      <c r="S100" s="630"/>
      <c r="T100" s="630"/>
      <c r="U100" s="630">
        <f>SUM(N100:T100)</f>
        <v>0.79966329706532213</v>
      </c>
      <c r="V100" s="128"/>
      <c r="W100" s="630">
        <f>+U100+V100</f>
        <v>0.79966329706532213</v>
      </c>
      <c r="X100" s="1222">
        <f>IFERROR(W100/L100*10,0)</f>
        <v>13.532617025684544</v>
      </c>
      <c r="Y100" s="128"/>
      <c r="Z100" s="1366">
        <f>+'Tariff Schedule'!X23</f>
        <v>0.98859259259259247</v>
      </c>
    </row>
    <row r="101" spans="1:26" x14ac:dyDescent="0.4">
      <c r="A101" s="1339"/>
      <c r="B101" s="1360" t="s">
        <v>1544</v>
      </c>
      <c r="C101" s="75"/>
      <c r="D101" s="75"/>
      <c r="E101" s="75"/>
      <c r="F101" s="75"/>
      <c r="G101" s="1221">
        <f>+$F100*'Tariff Schedule'!E$50</f>
        <v>0</v>
      </c>
      <c r="H101" s="75"/>
      <c r="I101" s="75"/>
      <c r="J101" s="75"/>
      <c r="K101" s="1306"/>
      <c r="L101" s="628"/>
      <c r="M101" s="628">
        <f>+$M$100*Assum!H125</f>
        <v>8.0171145873950009E-2</v>
      </c>
      <c r="N101" s="628"/>
      <c r="O101" s="628"/>
      <c r="P101" s="628"/>
      <c r="Q101" s="628">
        <f>+G101*M101/10</f>
        <v>0</v>
      </c>
      <c r="R101" s="628"/>
      <c r="S101" s="628"/>
      <c r="T101" s="628"/>
      <c r="U101" s="628"/>
      <c r="V101" s="75"/>
      <c r="W101" s="628"/>
      <c r="X101" s="1221"/>
      <c r="Y101" s="75"/>
      <c r="Z101" s="1358"/>
    </row>
    <row r="102" spans="1:26" x14ac:dyDescent="0.4">
      <c r="A102" s="1339"/>
      <c r="B102" s="1360" t="s">
        <v>1545</v>
      </c>
      <c r="C102" s="75"/>
      <c r="D102" s="75"/>
      <c r="E102" s="75"/>
      <c r="F102" s="75"/>
      <c r="G102" s="1221">
        <f>+$F100*'Tariff Schedule'!E$51</f>
        <v>0</v>
      </c>
      <c r="H102" s="75"/>
      <c r="I102" s="75"/>
      <c r="J102" s="75"/>
      <c r="K102" s="1306"/>
      <c r="L102" s="628"/>
      <c r="M102" s="628">
        <f>+$M$100*Assum!H126</f>
        <v>9.3382960963758602E-2</v>
      </c>
      <c r="N102" s="628"/>
      <c r="O102" s="628"/>
      <c r="P102" s="628"/>
      <c r="Q102" s="628">
        <f>+G102*M102/10</f>
        <v>0</v>
      </c>
      <c r="R102" s="628"/>
      <c r="S102" s="628"/>
      <c r="T102" s="628"/>
      <c r="U102" s="628"/>
      <c r="V102" s="75"/>
      <c r="W102" s="628"/>
      <c r="X102" s="1221"/>
      <c r="Y102" s="75"/>
      <c r="Z102" s="1358"/>
    </row>
    <row r="103" spans="1:26" x14ac:dyDescent="0.4">
      <c r="A103" s="1339"/>
      <c r="B103" s="1360" t="s">
        <v>1546</v>
      </c>
      <c r="C103" s="75"/>
      <c r="D103" s="75"/>
      <c r="E103" s="75"/>
      <c r="F103" s="75"/>
      <c r="G103" s="1221">
        <f>+$F100*'Tariff Schedule'!E$52</f>
        <v>-2.3638333333333335</v>
      </c>
      <c r="H103" s="75"/>
      <c r="I103" s="75"/>
      <c r="J103" s="75"/>
      <c r="K103" s="1306"/>
      <c r="L103" s="628"/>
      <c r="M103" s="628">
        <f>+$M$100*Assum!H127</f>
        <v>0.27414488381461311</v>
      </c>
      <c r="N103" s="628"/>
      <c r="O103" s="628"/>
      <c r="P103" s="628"/>
      <c r="Q103" s="628">
        <f>+G103*M103/10</f>
        <v>-6.4803281452377626E-2</v>
      </c>
      <c r="R103" s="628"/>
      <c r="S103" s="628"/>
      <c r="T103" s="628"/>
      <c r="U103" s="628"/>
      <c r="V103" s="75"/>
      <c r="W103" s="628"/>
      <c r="X103" s="1221"/>
      <c r="Y103" s="75"/>
      <c r="Z103" s="1358"/>
    </row>
    <row r="104" spans="1:26" x14ac:dyDescent="0.4">
      <c r="A104" s="1339"/>
      <c r="B104" s="1360" t="s">
        <v>1549</v>
      </c>
      <c r="C104" s="75"/>
      <c r="D104" s="75"/>
      <c r="E104" s="75"/>
      <c r="F104" s="75"/>
      <c r="G104" s="1221">
        <f>+$F100*'Tariff Schedule'!E$55</f>
        <v>2.1819999999999999</v>
      </c>
      <c r="H104" s="75"/>
      <c r="I104" s="75"/>
      <c r="J104" s="75"/>
      <c r="K104" s="1306"/>
      <c r="L104" s="628"/>
      <c r="M104" s="628">
        <f>+$M$100*Assum!H128</f>
        <v>0.15003509184873923</v>
      </c>
      <c r="N104" s="628"/>
      <c r="O104" s="628"/>
      <c r="P104" s="628"/>
      <c r="Q104" s="628">
        <f>+G104*M104/10</f>
        <v>3.2737657041394898E-2</v>
      </c>
      <c r="R104" s="628"/>
      <c r="S104" s="628"/>
      <c r="T104" s="628"/>
      <c r="U104" s="628"/>
      <c r="V104" s="75"/>
      <c r="W104" s="628"/>
      <c r="X104" s="1221"/>
      <c r="Y104" s="75"/>
      <c r="Z104" s="1358"/>
    </row>
    <row r="105" spans="1:26" s="6" customFormat="1" x14ac:dyDescent="0.35">
      <c r="A105" s="1364">
        <f>+'F13.2'!A105</f>
        <v>0.4</v>
      </c>
      <c r="B105" s="1361" t="s">
        <v>1143</v>
      </c>
      <c r="C105" s="19">
        <f>+Assum!G188</f>
        <v>1</v>
      </c>
      <c r="D105" s="128"/>
      <c r="E105" s="128">
        <f>+'Tariff Schedule'!F24</f>
        <v>525</v>
      </c>
      <c r="F105" s="1365">
        <f>+'Tariff Schedule'!M24</f>
        <v>12.94</v>
      </c>
      <c r="G105" s="128"/>
      <c r="H105" s="1365">
        <f>+'Tariff Schedule'!S24</f>
        <v>1.39</v>
      </c>
      <c r="I105" s="128"/>
      <c r="J105" s="128"/>
      <c r="K105" s="1336">
        <v>70</v>
      </c>
      <c r="L105" s="630">
        <f>+'F1 Non-SEZ'!L27</f>
        <v>0.17597237974843327</v>
      </c>
      <c r="M105" s="630">
        <f>+L105/Z105</f>
        <v>0.17771995934869542</v>
      </c>
      <c r="N105" s="630"/>
      <c r="O105" s="630">
        <f>(K105*E105)*12/10^7*A105</f>
        <v>1.7639999999999999E-2</v>
      </c>
      <c r="P105" s="630">
        <f>+M105*F105/10</f>
        <v>0.22996962739721188</v>
      </c>
      <c r="Q105" s="630">
        <f>SUM(Q106:Q109)</f>
        <v>-2.3120808167028432E-2</v>
      </c>
      <c r="R105" s="630">
        <f>(M105*H105)/10</f>
        <v>2.4703074349468661E-2</v>
      </c>
      <c r="S105" s="630"/>
      <c r="T105" s="630"/>
      <c r="U105" s="630">
        <f>SUM(N105:T105)</f>
        <v>0.2491918935796521</v>
      </c>
      <c r="V105" s="128"/>
      <c r="W105" s="630">
        <f>+U105+V105</f>
        <v>0.2491918935796521</v>
      </c>
      <c r="X105" s="1222">
        <f>IFERROR(W105/L105*10,0)</f>
        <v>14.160852625616137</v>
      </c>
      <c r="Y105" s="128"/>
      <c r="Z105" s="1366">
        <f>+'Tariff Schedule'!X24</f>
        <v>0.99016666666666675</v>
      </c>
    </row>
    <row r="106" spans="1:26" x14ac:dyDescent="0.4">
      <c r="A106" s="1339"/>
      <c r="B106" s="1360" t="s">
        <v>1544</v>
      </c>
      <c r="C106" s="75"/>
      <c r="D106" s="75"/>
      <c r="E106" s="75"/>
      <c r="F106" s="75"/>
      <c r="G106" s="1221">
        <f>+$F105*'Tariff Schedule'!E$50</f>
        <v>0</v>
      </c>
      <c r="H106" s="75"/>
      <c r="I106" s="75"/>
      <c r="J106" s="75"/>
      <c r="K106" s="1306"/>
      <c r="L106" s="628"/>
      <c r="M106" s="628">
        <f>+$M$105*Assum!I125</f>
        <v>1.2786756317214692E-2</v>
      </c>
      <c r="N106" s="628"/>
      <c r="O106" s="628"/>
      <c r="P106" s="628"/>
      <c r="Q106" s="628">
        <f>+G106*M106/10</f>
        <v>0</v>
      </c>
      <c r="R106" s="628"/>
      <c r="S106" s="628"/>
      <c r="T106" s="628"/>
      <c r="U106" s="628"/>
      <c r="V106" s="75"/>
      <c r="W106" s="628"/>
      <c r="X106" s="1221"/>
      <c r="Y106" s="75"/>
      <c r="Z106" s="1358"/>
    </row>
    <row r="107" spans="1:26" x14ac:dyDescent="0.4">
      <c r="A107" s="1339"/>
      <c r="B107" s="1360" t="s">
        <v>1545</v>
      </c>
      <c r="C107" s="75"/>
      <c r="D107" s="75"/>
      <c r="E107" s="75"/>
      <c r="F107" s="75"/>
      <c r="G107" s="1221">
        <f>+$F105*'Tariff Schedule'!E$51</f>
        <v>0</v>
      </c>
      <c r="H107" s="75"/>
      <c r="I107" s="75"/>
      <c r="J107" s="75"/>
      <c r="K107" s="1306"/>
      <c r="L107" s="628"/>
      <c r="M107" s="628">
        <f>+$M$105*Assum!I126</f>
        <v>3.4242912964762784E-2</v>
      </c>
      <c r="N107" s="628"/>
      <c r="O107" s="628"/>
      <c r="P107" s="628"/>
      <c r="Q107" s="628">
        <f>+G107*M107/10</f>
        <v>0</v>
      </c>
      <c r="R107" s="628"/>
      <c r="S107" s="628"/>
      <c r="T107" s="628"/>
      <c r="U107" s="628"/>
      <c r="V107" s="75"/>
      <c r="W107" s="628"/>
      <c r="X107" s="1221"/>
      <c r="Y107" s="75"/>
      <c r="Z107" s="1358"/>
    </row>
    <row r="108" spans="1:26" x14ac:dyDescent="0.4">
      <c r="A108" s="1339"/>
      <c r="B108" s="1360" t="s">
        <v>1546</v>
      </c>
      <c r="C108" s="75"/>
      <c r="D108" s="75"/>
      <c r="E108" s="75"/>
      <c r="F108" s="75"/>
      <c r="G108" s="1221">
        <f>+$F105*'Tariff Schedule'!E$52</f>
        <v>-2.8036666666666665</v>
      </c>
      <c r="H108" s="75"/>
      <c r="I108" s="75"/>
      <c r="J108" s="75"/>
      <c r="K108" s="1306"/>
      <c r="L108" s="628"/>
      <c r="M108" s="628">
        <f>+$M$105*Assum!I127</f>
        <v>0.10561382733161367</v>
      </c>
      <c r="N108" s="628"/>
      <c r="O108" s="628"/>
      <c r="P108" s="628"/>
      <c r="Q108" s="628">
        <f>+G108*M108/10</f>
        <v>-2.9610596722873417E-2</v>
      </c>
      <c r="R108" s="628"/>
      <c r="S108" s="628"/>
      <c r="T108" s="628"/>
      <c r="U108" s="628"/>
      <c r="V108" s="75"/>
      <c r="W108" s="628"/>
      <c r="X108" s="1221"/>
      <c r="Y108" s="75"/>
      <c r="Z108" s="1358"/>
    </row>
    <row r="109" spans="1:26" x14ac:dyDescent="0.4">
      <c r="A109" s="1339"/>
      <c r="B109" s="1360" t="s">
        <v>1549</v>
      </c>
      <c r="C109" s="75"/>
      <c r="D109" s="75"/>
      <c r="E109" s="75"/>
      <c r="F109" s="75"/>
      <c r="G109" s="1221">
        <f>+$F105*'Tariff Schedule'!E$55</f>
        <v>2.5880000000000001</v>
      </c>
      <c r="H109" s="75"/>
      <c r="I109" s="75"/>
      <c r="J109" s="75"/>
      <c r="K109" s="1306"/>
      <c r="L109" s="628"/>
      <c r="M109" s="628">
        <f>+$M$105*Assum!I128</f>
        <v>2.507646273510427E-2</v>
      </c>
      <c r="N109" s="628"/>
      <c r="O109" s="628"/>
      <c r="P109" s="628"/>
      <c r="Q109" s="628">
        <f>+G109*M109/10</f>
        <v>6.4897885558449862E-3</v>
      </c>
      <c r="R109" s="628"/>
      <c r="S109" s="628"/>
      <c r="T109" s="628"/>
      <c r="U109" s="628"/>
      <c r="V109" s="75"/>
      <c r="W109" s="628"/>
      <c r="X109" s="1221"/>
      <c r="Y109" s="75"/>
      <c r="Z109" s="1358"/>
    </row>
    <row r="110" spans="1:26" s="6" customFormat="1" ht="38.25" x14ac:dyDescent="0.35">
      <c r="A110" s="1364">
        <f>+'F13.2'!A110</f>
        <v>0.4</v>
      </c>
      <c r="B110" s="1363" t="s">
        <v>1111</v>
      </c>
      <c r="C110" s="128">
        <f>+'F13 Non SEZ'!C220</f>
        <v>2</v>
      </c>
      <c r="D110" s="128"/>
      <c r="E110" s="128">
        <f>+'Tariff Schedule'!F31</f>
        <v>200</v>
      </c>
      <c r="F110" s="1365">
        <f>+'Tariff Schedule'!M31</f>
        <v>6.94</v>
      </c>
      <c r="G110" s="128"/>
      <c r="H110" s="1365">
        <f>+'Tariff Schedule'!S31</f>
        <v>1.39</v>
      </c>
      <c r="I110" s="128"/>
      <c r="J110" s="128"/>
      <c r="K110" s="1336">
        <v>160</v>
      </c>
      <c r="L110" s="630">
        <f>+'F1 Non-SEZ'!L28</f>
        <v>0.97996764932994562</v>
      </c>
      <c r="M110" s="630">
        <f>+L110/Z110</f>
        <v>0.9999669891121894</v>
      </c>
      <c r="N110" s="630"/>
      <c r="O110" s="630">
        <f>(K110*E110)*12/10^7*A110</f>
        <v>1.5359999999999999E-2</v>
      </c>
      <c r="P110" s="630">
        <f>+M110*F110/10</f>
        <v>0.69397709044385947</v>
      </c>
      <c r="Q110" s="630">
        <f>SUM(Q111:Q114)</f>
        <v>-1.4059988899568415E-2</v>
      </c>
      <c r="R110" s="630">
        <f>(M110*H110)/10</f>
        <v>0.13899541148659431</v>
      </c>
      <c r="S110" s="630"/>
      <c r="T110" s="630"/>
      <c r="U110" s="630">
        <f>SUM(N110:T110)</f>
        <v>0.83427251303088545</v>
      </c>
      <c r="V110" s="128"/>
      <c r="W110" s="630">
        <f>+U110+V110</f>
        <v>0.83427251303088545</v>
      </c>
      <c r="X110" s="1222">
        <f>IFERROR(W110/L110*10,0)</f>
        <v>8.5132658573098876</v>
      </c>
      <c r="Y110" s="128"/>
      <c r="Z110" s="1366">
        <f>+'Tariff Schedule'!X35</f>
        <v>0.98</v>
      </c>
    </row>
    <row r="111" spans="1:26" x14ac:dyDescent="0.4">
      <c r="A111" s="1339"/>
      <c r="B111" s="1360" t="s">
        <v>1544</v>
      </c>
      <c r="C111" s="75"/>
      <c r="D111" s="75"/>
      <c r="E111" s="75"/>
      <c r="F111" s="75"/>
      <c r="G111" s="1221">
        <f>+$F110*'Tariff Schedule'!E$50</f>
        <v>0</v>
      </c>
      <c r="H111" s="75"/>
      <c r="I111" s="75"/>
      <c r="J111" s="75"/>
      <c r="K111" s="1306"/>
      <c r="L111" s="628"/>
      <c r="M111" s="628">
        <f>+$M$110*Assum!J125</f>
        <v>0.21917196858040372</v>
      </c>
      <c r="N111" s="628"/>
      <c r="O111" s="628"/>
      <c r="P111" s="628"/>
      <c r="Q111" s="628">
        <f>+G111*M111/10</f>
        <v>0</v>
      </c>
      <c r="R111" s="628"/>
      <c r="S111" s="628"/>
      <c r="T111" s="628"/>
      <c r="U111" s="628"/>
      <c r="V111" s="75"/>
      <c r="W111" s="628"/>
      <c r="X111" s="1221"/>
      <c r="Y111" s="75"/>
      <c r="Z111" s="1358"/>
    </row>
    <row r="112" spans="1:26" x14ac:dyDescent="0.4">
      <c r="A112" s="1339"/>
      <c r="B112" s="1360" t="s">
        <v>1545</v>
      </c>
      <c r="C112" s="75"/>
      <c r="D112" s="75"/>
      <c r="E112" s="75"/>
      <c r="F112" s="75"/>
      <c r="G112" s="1221">
        <f>+$F110*'Tariff Schedule'!E$51</f>
        <v>0</v>
      </c>
      <c r="H112" s="75"/>
      <c r="I112" s="75"/>
      <c r="J112" s="75"/>
      <c r="K112" s="1306"/>
      <c r="L112" s="628"/>
      <c r="M112" s="628">
        <f>+$M$110*Assum!J126</f>
        <v>0.1314045829667497</v>
      </c>
      <c r="N112" s="628"/>
      <c r="O112" s="628"/>
      <c r="P112" s="628"/>
      <c r="Q112" s="628">
        <f>+G112*M112/10</f>
        <v>0</v>
      </c>
      <c r="R112" s="628"/>
      <c r="S112" s="628"/>
      <c r="T112" s="628"/>
      <c r="U112" s="628"/>
      <c r="V112" s="75"/>
      <c r="W112" s="628"/>
      <c r="X112" s="1221"/>
      <c r="Y112" s="75"/>
      <c r="Z112" s="1358"/>
    </row>
    <row r="113" spans="1:26" x14ac:dyDescent="0.4">
      <c r="A113" s="1339"/>
      <c r="B113" s="1360" t="s">
        <v>1546</v>
      </c>
      <c r="C113" s="75"/>
      <c r="D113" s="75"/>
      <c r="E113" s="75"/>
      <c r="F113" s="75"/>
      <c r="G113" s="1221">
        <f>+$F110*'Tariff Schedule'!E$52</f>
        <v>-1.5036666666666667</v>
      </c>
      <c r="H113" s="75"/>
      <c r="I113" s="75"/>
      <c r="J113" s="75"/>
      <c r="K113" s="1306"/>
      <c r="L113" s="628"/>
      <c r="M113" s="628">
        <f>+$M$110*Assum!J127</f>
        <v>0.36032985002972473</v>
      </c>
      <c r="N113" s="628"/>
      <c r="O113" s="628"/>
      <c r="P113" s="628"/>
      <c r="Q113" s="628">
        <f>+G113*M113/10</f>
        <v>-5.4181598449469612E-2</v>
      </c>
      <c r="R113" s="628"/>
      <c r="S113" s="628"/>
      <c r="T113" s="628"/>
      <c r="U113" s="628"/>
      <c r="V113" s="75"/>
      <c r="W113" s="628"/>
      <c r="X113" s="1221"/>
      <c r="Y113" s="75"/>
      <c r="Z113" s="1358"/>
    </row>
    <row r="114" spans="1:26" x14ac:dyDescent="0.4">
      <c r="A114" s="1339"/>
      <c r="B114" s="1360" t="s">
        <v>1549</v>
      </c>
      <c r="C114" s="75"/>
      <c r="D114" s="75"/>
      <c r="E114" s="75"/>
      <c r="F114" s="75"/>
      <c r="G114" s="1221">
        <f>+$F110*'Tariff Schedule'!E$55</f>
        <v>1.3880000000000001</v>
      </c>
      <c r="H114" s="75"/>
      <c r="I114" s="75"/>
      <c r="J114" s="75"/>
      <c r="K114" s="1306"/>
      <c r="L114" s="628"/>
      <c r="M114" s="628">
        <f>+$M$110*Assum!J128</f>
        <v>0.28906058753531122</v>
      </c>
      <c r="N114" s="628"/>
      <c r="O114" s="628"/>
      <c r="P114" s="628"/>
      <c r="Q114" s="628">
        <f>+G114*M114/10</f>
        <v>4.0121609549901197E-2</v>
      </c>
      <c r="R114" s="628"/>
      <c r="S114" s="628"/>
      <c r="T114" s="628"/>
      <c r="U114" s="628"/>
      <c r="V114" s="75"/>
      <c r="W114" s="628"/>
      <c r="X114" s="1221"/>
      <c r="Y114" s="75"/>
      <c r="Z114" s="1358"/>
    </row>
    <row r="115" spans="1:26" s="6" customFormat="1" ht="25.5" x14ac:dyDescent="0.35">
      <c r="B115" s="1363" t="s">
        <v>1135</v>
      </c>
      <c r="C115" s="128">
        <f>+'F13 Non SEZ'!C221</f>
        <v>1</v>
      </c>
      <c r="D115" s="128">
        <f>+'Tariff Schedule'!F26</f>
        <v>600</v>
      </c>
      <c r="E115" s="128"/>
      <c r="F115" s="1365">
        <f>+'Tariff Schedule'!M26</f>
        <v>5.43</v>
      </c>
      <c r="G115" s="128"/>
      <c r="H115" s="1365">
        <f>+'Tariff Schedule'!S26</f>
        <v>1.47</v>
      </c>
      <c r="I115" s="128"/>
      <c r="J115" s="128"/>
      <c r="K115" s="1336">
        <v>19</v>
      </c>
      <c r="L115" s="630">
        <f>+'F1 Non-SEZ'!L29</f>
        <v>2.557653084448705E-2</v>
      </c>
      <c r="M115" s="630">
        <f>+L115/Z115</f>
        <v>2.6098500861721479E-2</v>
      </c>
      <c r="N115" s="630">
        <f>+C115*D115*12/10^7</f>
        <v>7.2000000000000005E-4</v>
      </c>
      <c r="O115" s="630"/>
      <c r="P115" s="630">
        <f>+L115*F115/10</f>
        <v>1.3888056248556468E-2</v>
      </c>
      <c r="Q115" s="630"/>
      <c r="R115" s="630">
        <f>(L115*H115)/10</f>
        <v>3.7597500341395966E-3</v>
      </c>
      <c r="S115" s="630"/>
      <c r="T115" s="630"/>
      <c r="U115" s="630">
        <f>SUM(N115:T115)</f>
        <v>1.8367806282696065E-2</v>
      </c>
      <c r="V115" s="128"/>
      <c r="W115" s="630">
        <f>+U115+V115</f>
        <v>1.8367806282696065E-2</v>
      </c>
      <c r="X115" s="1222">
        <f>IFERROR(W115/L115*10,0)</f>
        <v>7.1815080764384405</v>
      </c>
      <c r="Y115" s="128"/>
      <c r="Z115" s="1366">
        <f>+'Tariff Schedule'!X26</f>
        <v>0.98</v>
      </c>
    </row>
    <row r="116" spans="1:26"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3"/>
    </row>
    <row r="117" spans="1:26" s="6" customFormat="1" ht="25.5" x14ac:dyDescent="0.35">
      <c r="A117" s="1364">
        <f>+'F13.2'!A117</f>
        <v>0.4</v>
      </c>
      <c r="B117" s="1363" t="s">
        <v>1142</v>
      </c>
      <c r="C117" s="128">
        <f>+'F13 Non SEZ'!C223</f>
        <v>10</v>
      </c>
      <c r="D117" s="128"/>
      <c r="E117" s="128">
        <f>+'Tariff Schedule'!E36</f>
        <v>80</v>
      </c>
      <c r="F117" s="1365">
        <f>+'Tariff Schedule'!M36</f>
        <v>6.48</v>
      </c>
      <c r="G117" s="128"/>
      <c r="H117" s="1365">
        <f>+'Tariff Schedule'!S36</f>
        <v>1.39</v>
      </c>
      <c r="I117" s="128"/>
      <c r="J117" s="128"/>
      <c r="K117" s="1336">
        <v>105</v>
      </c>
      <c r="L117" s="630">
        <f>+'F1 Non-SEZ'!L31</f>
        <v>2.0388311031803674E-2</v>
      </c>
      <c r="M117" s="630">
        <f>+L117/Z117</f>
        <v>2.0559641376608748E-2</v>
      </c>
      <c r="N117" s="630"/>
      <c r="O117" s="630">
        <f>(K117*E117)*12/10^7*A117</f>
        <v>4.032E-3</v>
      </c>
      <c r="P117" s="630">
        <f>+M117*F117/10</f>
        <v>1.3322647612042469E-2</v>
      </c>
      <c r="Q117" s="630">
        <f>SUM(Q118:Q121)</f>
        <v>1.252534970768341E-4</v>
      </c>
      <c r="R117" s="630">
        <f>(M117*H117)/10</f>
        <v>2.8577901513486157E-3</v>
      </c>
      <c r="S117" s="630"/>
      <c r="T117" s="630"/>
      <c r="U117" s="630">
        <f>SUM(N117:T117)</f>
        <v>2.033769126046792E-2</v>
      </c>
      <c r="V117" s="128"/>
      <c r="W117" s="630">
        <f>+U117+V117</f>
        <v>2.033769126046792E-2</v>
      </c>
      <c r="X117" s="1222">
        <f>IFERROR(W117/L117*10,0)</f>
        <v>9.9751721605302208</v>
      </c>
      <c r="Y117" s="128"/>
      <c r="Z117" s="1366">
        <f>+'Tariff Schedule'!X36</f>
        <v>0.99166666666666659</v>
      </c>
    </row>
    <row r="118" spans="1:26" x14ac:dyDescent="0.4">
      <c r="A118" s="1339"/>
      <c r="B118" s="1360" t="s">
        <v>1544</v>
      </c>
      <c r="C118" s="75"/>
      <c r="D118" s="75"/>
      <c r="E118" s="75"/>
      <c r="F118" s="75"/>
      <c r="G118" s="1221">
        <f>+$F117*'Tariff Schedule'!E$50</f>
        <v>0</v>
      </c>
      <c r="H118" s="75"/>
      <c r="I118" s="75"/>
      <c r="J118" s="75"/>
      <c r="K118" s="1306"/>
      <c r="L118" s="628"/>
      <c r="M118" s="628">
        <f>+$M$117*Assum!K125</f>
        <v>8.2952814692777363E-3</v>
      </c>
      <c r="N118" s="628"/>
      <c r="O118" s="628"/>
      <c r="P118" s="628"/>
      <c r="Q118" s="628">
        <f>+G118*M118/10</f>
        <v>0</v>
      </c>
      <c r="R118" s="628"/>
      <c r="S118" s="628"/>
      <c r="T118" s="628"/>
      <c r="U118" s="628"/>
      <c r="V118" s="75"/>
      <c r="W118" s="628"/>
      <c r="X118" s="1221"/>
      <c r="Y118" s="75"/>
      <c r="Z118" s="1358"/>
    </row>
    <row r="119" spans="1:26" x14ac:dyDescent="0.4">
      <c r="A119" s="1339"/>
      <c r="B119" s="1360" t="s">
        <v>1545</v>
      </c>
      <c r="C119" s="75"/>
      <c r="D119" s="75"/>
      <c r="E119" s="75"/>
      <c r="F119" s="75"/>
      <c r="G119" s="1221">
        <f>+$F117*'Tariff Schedule'!E$51</f>
        <v>0</v>
      </c>
      <c r="H119" s="75"/>
      <c r="I119" s="75"/>
      <c r="J119" s="75"/>
      <c r="K119" s="1306"/>
      <c r="L119" s="628"/>
      <c r="M119" s="628">
        <f>+$M$117*Assum!K126</f>
        <v>1.5790116566466615E-3</v>
      </c>
      <c r="N119" s="628"/>
      <c r="O119" s="628"/>
      <c r="P119" s="628"/>
      <c r="Q119" s="628">
        <f>+G119*M119/10</f>
        <v>0</v>
      </c>
      <c r="R119" s="628"/>
      <c r="S119" s="628"/>
      <c r="T119" s="628"/>
      <c r="U119" s="628"/>
      <c r="V119" s="75"/>
      <c r="W119" s="628"/>
      <c r="X119" s="1221"/>
      <c r="Y119" s="75"/>
      <c r="Z119" s="1358"/>
    </row>
    <row r="120" spans="1:26" x14ac:dyDescent="0.4">
      <c r="A120" s="1339"/>
      <c r="B120" s="1360" t="s">
        <v>1546</v>
      </c>
      <c r="C120" s="75"/>
      <c r="D120" s="75"/>
      <c r="E120" s="75"/>
      <c r="F120" s="75"/>
      <c r="G120" s="1221">
        <f>+$F117*'Tariff Schedule'!E$52</f>
        <v>-1.4040000000000001</v>
      </c>
      <c r="H120" s="75"/>
      <c r="I120" s="75"/>
      <c r="J120" s="75"/>
      <c r="K120" s="1306"/>
      <c r="L120" s="628"/>
      <c r="M120" s="628">
        <f>+$M$117*Assum!K127</f>
        <v>4.6650653193031771E-3</v>
      </c>
      <c r="N120" s="628"/>
      <c r="O120" s="628"/>
      <c r="P120" s="628"/>
      <c r="Q120" s="628">
        <f>+G120*M120/10</f>
        <v>-6.5497517083016612E-4</v>
      </c>
      <c r="R120" s="628"/>
      <c r="S120" s="628"/>
      <c r="T120" s="628"/>
      <c r="U120" s="628"/>
      <c r="V120" s="75"/>
      <c r="W120" s="628"/>
      <c r="X120" s="1221"/>
      <c r="Y120" s="75"/>
      <c r="Z120" s="1358"/>
    </row>
    <row r="121" spans="1:26" x14ac:dyDescent="0.4">
      <c r="A121" s="1339"/>
      <c r="B121" s="1360" t="s">
        <v>1549</v>
      </c>
      <c r="C121" s="75"/>
      <c r="D121" s="75"/>
      <c r="E121" s="75"/>
      <c r="F121" s="75"/>
      <c r="G121" s="1221">
        <f>+$F117*'Tariff Schedule'!E$55</f>
        <v>1.2960000000000003</v>
      </c>
      <c r="H121" s="75"/>
      <c r="I121" s="75"/>
      <c r="J121" s="75"/>
      <c r="K121" s="1306"/>
      <c r="L121" s="628"/>
      <c r="M121" s="628">
        <f>+$M$117*Assum!K128</f>
        <v>6.0202829313811728E-3</v>
      </c>
      <c r="N121" s="628"/>
      <c r="O121" s="628"/>
      <c r="P121" s="628"/>
      <c r="Q121" s="628">
        <f>+G121*M121/10</f>
        <v>7.8022866790700021E-4</v>
      </c>
      <c r="R121" s="628"/>
      <c r="S121" s="628"/>
      <c r="T121" s="628"/>
      <c r="U121" s="628"/>
      <c r="V121" s="75"/>
      <c r="W121" s="628"/>
      <c r="X121" s="1221"/>
      <c r="Y121" s="75"/>
      <c r="Z121" s="1358"/>
    </row>
    <row r="122" spans="1:26" x14ac:dyDescent="0.4">
      <c r="B122" s="518" t="s">
        <v>162</v>
      </c>
      <c r="C122" s="1308">
        <f>SUM(C93:C117)</f>
        <v>2781</v>
      </c>
      <c r="D122" s="1310"/>
      <c r="E122" s="1310"/>
      <c r="F122" s="1310"/>
      <c r="G122" s="1310"/>
      <c r="H122" s="1310"/>
      <c r="I122" s="1310"/>
      <c r="J122" s="1310"/>
      <c r="K122" s="1336">
        <f>+K100+K105+K110+K115+K117</f>
        <v>737</v>
      </c>
      <c r="L122" s="630">
        <f t="shared" ref="L122:W122" si="6">+L92+L99+L100+L105+L110+L115+L117</f>
        <v>10.741054633202797</v>
      </c>
      <c r="M122" s="630">
        <f t="shared" si="6"/>
        <v>10.777178120477181</v>
      </c>
      <c r="N122" s="630">
        <f t="shared" si="6"/>
        <v>1.4283840000000003</v>
      </c>
      <c r="O122" s="630">
        <f t="shared" si="6"/>
        <v>0.13354800000000003</v>
      </c>
      <c r="P122" s="630">
        <f t="shared" si="6"/>
        <v>11.304086260852099</v>
      </c>
      <c r="Q122" s="630">
        <f t="shared" si="6"/>
        <v>-0.20691101407336757</v>
      </c>
      <c r="R122" s="630">
        <f t="shared" si="6"/>
        <v>1.5687915020534735</v>
      </c>
      <c r="S122" s="630">
        <f t="shared" si="6"/>
        <v>0</v>
      </c>
      <c r="T122" s="630">
        <f t="shared" si="6"/>
        <v>0</v>
      </c>
      <c r="U122" s="630">
        <f t="shared" si="6"/>
        <v>14.227898748832207</v>
      </c>
      <c r="V122" s="630">
        <f t="shared" si="6"/>
        <v>0</v>
      </c>
      <c r="W122" s="630">
        <f t="shared" si="6"/>
        <v>14.227898748832207</v>
      </c>
      <c r="X122" s="1222">
        <f>IFERROR(W122/L122*10,0)</f>
        <v>13.24627723692128</v>
      </c>
      <c r="Y122" s="75"/>
      <c r="Z122" s="2"/>
    </row>
    <row r="123" spans="1:26"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2"/>
    </row>
    <row r="124" spans="1:26" x14ac:dyDescent="0.4">
      <c r="B124" s="119" t="s">
        <v>164</v>
      </c>
      <c r="C124" s="1308">
        <f>+C122+C90</f>
        <v>2785</v>
      </c>
      <c r="D124" s="1309"/>
      <c r="E124" s="1309"/>
      <c r="F124" s="1309"/>
      <c r="G124" s="1309"/>
      <c r="H124" s="1309"/>
      <c r="I124" s="1309"/>
      <c r="J124" s="1309"/>
      <c r="K124" s="1336">
        <f t="shared" ref="K124:W124" si="7">+K122+K90</f>
        <v>1423</v>
      </c>
      <c r="L124" s="630">
        <f t="shared" si="7"/>
        <v>11.637146501234428</v>
      </c>
      <c r="M124" s="630">
        <f t="shared" si="7"/>
        <v>12.602127531632233</v>
      </c>
      <c r="N124" s="630">
        <f t="shared" si="7"/>
        <v>1.4283840000000003</v>
      </c>
      <c r="O124" s="630">
        <f t="shared" si="7"/>
        <v>0.52677600000000002</v>
      </c>
      <c r="P124" s="630">
        <f t="shared" si="7"/>
        <v>12.307735710868712</v>
      </c>
      <c r="Q124" s="630">
        <f t="shared" si="7"/>
        <v>-0.23937821321334007</v>
      </c>
      <c r="R124" s="630">
        <f t="shared" si="7"/>
        <v>1.6363146302662104</v>
      </c>
      <c r="S124" s="630">
        <f t="shared" si="7"/>
        <v>0</v>
      </c>
      <c r="T124" s="630">
        <f t="shared" si="7"/>
        <v>0</v>
      </c>
      <c r="U124" s="630">
        <f t="shared" si="7"/>
        <v>15.659832127921584</v>
      </c>
      <c r="V124" s="1309">
        <f t="shared" si="7"/>
        <v>0</v>
      </c>
      <c r="W124" s="630">
        <f t="shared" si="7"/>
        <v>15.659832127921584</v>
      </c>
      <c r="X124" s="1222">
        <f>IFERROR(W124/L124*10,0)</f>
        <v>13.4567628982418</v>
      </c>
      <c r="Y124" s="75"/>
      <c r="Z124" s="2"/>
    </row>
    <row r="125" spans="1:26" x14ac:dyDescent="0.4">
      <c r="Z125" s="2"/>
    </row>
    <row r="126" spans="1:26" x14ac:dyDescent="0.4">
      <c r="B126" s="131" t="s">
        <v>746</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row>
    <row r="127" spans="1:26" x14ac:dyDescent="0.4">
      <c r="B127" s="131" t="s">
        <v>1566</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row>
    <row r="128" spans="1:26"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row>
    <row r="129" spans="2:26"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947" t="s">
        <v>1570</v>
      </c>
    </row>
    <row r="130" spans="2:26"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947"/>
    </row>
    <row r="131" spans="2:26"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2"/>
    </row>
    <row r="132" spans="2:26" x14ac:dyDescent="0.4">
      <c r="B132" s="429" t="s">
        <v>1129</v>
      </c>
      <c r="C132" s="75">
        <f>+C13+C78</f>
        <v>5</v>
      </c>
      <c r="D132" s="75"/>
      <c r="E132" s="75"/>
      <c r="F132" s="75"/>
      <c r="G132" s="75"/>
      <c r="H132" s="75"/>
      <c r="I132" s="75"/>
      <c r="J132" s="75"/>
      <c r="K132" s="1306">
        <f t="shared" ref="K132:T132" si="8">+K13+K78</f>
        <v>30211</v>
      </c>
      <c r="L132" s="628">
        <f t="shared" si="8"/>
        <v>203.31539899999999</v>
      </c>
      <c r="M132" s="628">
        <f t="shared" si="8"/>
        <v>205.36908989898987</v>
      </c>
      <c r="N132" s="628">
        <f t="shared" si="8"/>
        <v>0</v>
      </c>
      <c r="O132" s="628">
        <f t="shared" si="8"/>
        <v>19.576728000000003</v>
      </c>
      <c r="P132" s="628">
        <f t="shared" si="8"/>
        <v>151.56238834545451</v>
      </c>
      <c r="Q132" s="628">
        <f t="shared" si="8"/>
        <v>-2.1662732440845631</v>
      </c>
      <c r="R132" s="628">
        <f t="shared" si="8"/>
        <v>15.19731265252525</v>
      </c>
      <c r="S132" s="628">
        <f t="shared" si="8"/>
        <v>0</v>
      </c>
      <c r="T132" s="628">
        <f t="shared" si="8"/>
        <v>0</v>
      </c>
      <c r="U132" s="628">
        <f>SUM(N132:T132)</f>
        <v>184.17015575389522</v>
      </c>
      <c r="V132" s="75"/>
      <c r="W132" s="628">
        <f>+U132+V132</f>
        <v>184.17015575389522</v>
      </c>
      <c r="X132" s="1221">
        <f>IFERROR(W132/L132*10,0)</f>
        <v>9.0583476047426803</v>
      </c>
      <c r="Y132" s="75"/>
      <c r="Z132" s="2"/>
    </row>
    <row r="133" spans="2:26" x14ac:dyDescent="0.4">
      <c r="B133" s="429" t="s">
        <v>1130</v>
      </c>
      <c r="C133" s="75">
        <f>+C18+C83</f>
        <v>4</v>
      </c>
      <c r="D133" s="75"/>
      <c r="E133" s="75"/>
      <c r="F133" s="75"/>
      <c r="G133" s="75"/>
      <c r="H133" s="75"/>
      <c r="I133" s="75"/>
      <c r="J133" s="75"/>
      <c r="K133" s="1306">
        <f t="shared" ref="K133:T133" si="9">+K18+K83</f>
        <v>515</v>
      </c>
      <c r="L133" s="628">
        <f t="shared" si="9"/>
        <v>0.74714683451741559</v>
      </c>
      <c r="M133" s="628">
        <f t="shared" si="9"/>
        <v>0.76239472909940376</v>
      </c>
      <c r="N133" s="628">
        <f t="shared" si="9"/>
        <v>0</v>
      </c>
      <c r="O133" s="628">
        <f t="shared" si="9"/>
        <v>0.27810000000000001</v>
      </c>
      <c r="P133" s="628">
        <f t="shared" si="9"/>
        <v>0.9095369118155886</v>
      </c>
      <c r="Q133" s="628">
        <f t="shared" si="9"/>
        <v>-3.2035529379516578E-2</v>
      </c>
      <c r="R133" s="628">
        <f t="shared" si="9"/>
        <v>5.6417209953355869E-2</v>
      </c>
      <c r="S133" s="628">
        <f t="shared" si="9"/>
        <v>0</v>
      </c>
      <c r="T133" s="628">
        <f t="shared" si="9"/>
        <v>0</v>
      </c>
      <c r="U133" s="628">
        <f>SUM(N133:T133)</f>
        <v>1.2120185923894282</v>
      </c>
      <c r="V133" s="75"/>
      <c r="W133" s="628">
        <f>+U133+V133</f>
        <v>1.2120185923894282</v>
      </c>
      <c r="X133" s="1221">
        <f>IFERROR(W133/L133*10,0)</f>
        <v>16.221959812923181</v>
      </c>
      <c r="Y133" s="75"/>
      <c r="Z133" s="2"/>
    </row>
    <row r="134" spans="2:26"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2"/>
    </row>
    <row r="135" spans="2:26"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2"/>
    </row>
    <row r="136" spans="2:26" x14ac:dyDescent="0.4">
      <c r="B136" s="518" t="s">
        <v>162</v>
      </c>
      <c r="C136" s="128">
        <f>SUM(C132:C135)</f>
        <v>9</v>
      </c>
      <c r="D136" s="1309"/>
      <c r="E136" s="1309"/>
      <c r="F136" s="1309"/>
      <c r="G136" s="1309"/>
      <c r="H136" s="1309"/>
      <c r="I136" s="1309"/>
      <c r="J136" s="1309"/>
      <c r="K136" s="1336">
        <f t="shared" ref="K136:W136" si="10">SUM(K132:K135)</f>
        <v>30726</v>
      </c>
      <c r="L136" s="630">
        <f t="shared" si="10"/>
        <v>204.06254583451741</v>
      </c>
      <c r="M136" s="630">
        <f t="shared" si="10"/>
        <v>206.13148462808928</v>
      </c>
      <c r="N136" s="630">
        <f t="shared" si="10"/>
        <v>0</v>
      </c>
      <c r="O136" s="630">
        <f t="shared" si="10"/>
        <v>19.854828000000001</v>
      </c>
      <c r="P136" s="630">
        <f t="shared" si="10"/>
        <v>152.4719252572701</v>
      </c>
      <c r="Q136" s="630">
        <f t="shared" si="10"/>
        <v>-2.1983087734640798</v>
      </c>
      <c r="R136" s="630">
        <f t="shared" si="10"/>
        <v>15.253729862478606</v>
      </c>
      <c r="S136" s="630">
        <f t="shared" si="10"/>
        <v>0</v>
      </c>
      <c r="T136" s="630">
        <f t="shared" si="10"/>
        <v>0</v>
      </c>
      <c r="U136" s="630">
        <f t="shared" si="10"/>
        <v>185.38217434628464</v>
      </c>
      <c r="V136" s="1309">
        <f t="shared" si="10"/>
        <v>0</v>
      </c>
      <c r="W136" s="630">
        <f t="shared" si="10"/>
        <v>185.38217434628464</v>
      </c>
      <c r="X136" s="1221">
        <f>IFERROR(W136/L136*10,0)</f>
        <v>9.0845761816878721</v>
      </c>
      <c r="Y136" s="75"/>
      <c r="Z136" s="2"/>
    </row>
    <row r="137" spans="2:26"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2"/>
    </row>
    <row r="138" spans="2:26" x14ac:dyDescent="0.4">
      <c r="B138" s="519" t="s">
        <v>1133</v>
      </c>
      <c r="C138" s="75"/>
      <c r="D138" s="75"/>
      <c r="E138" s="75"/>
      <c r="F138" s="75"/>
      <c r="G138" s="75"/>
      <c r="H138" s="75"/>
      <c r="I138" s="75"/>
      <c r="J138" s="75"/>
      <c r="K138" s="1306"/>
      <c r="L138" s="628"/>
      <c r="M138" s="628"/>
      <c r="N138" s="628"/>
      <c r="O138" s="628"/>
      <c r="P138" s="628"/>
      <c r="Q138" s="628"/>
      <c r="R138" s="628"/>
      <c r="S138" s="628"/>
      <c r="T138" s="628"/>
      <c r="U138" s="628"/>
      <c r="V138" s="75"/>
      <c r="W138" s="628"/>
      <c r="X138" s="75"/>
      <c r="Y138" s="75"/>
      <c r="Z138" s="2"/>
    </row>
    <row r="139" spans="2:26" x14ac:dyDescent="0.4">
      <c r="B139" s="520" t="s">
        <v>1106</v>
      </c>
      <c r="C139" s="75">
        <f>+C28+C93</f>
        <v>1558</v>
      </c>
      <c r="D139" s="75"/>
      <c r="E139" s="75"/>
      <c r="F139" s="75"/>
      <c r="G139" s="75"/>
      <c r="H139" s="75"/>
      <c r="I139" s="75"/>
      <c r="J139" s="75"/>
      <c r="K139" s="1306">
        <f t="shared" ref="K139:T139" si="11">+K28+K93</f>
        <v>0</v>
      </c>
      <c r="L139" s="628">
        <f t="shared" si="11"/>
        <v>2.0022014349328505</v>
      </c>
      <c r="M139" s="628">
        <f t="shared" si="11"/>
        <v>2.0022014349328505</v>
      </c>
      <c r="N139" s="628">
        <f t="shared" si="11"/>
        <v>0.80392799999999998</v>
      </c>
      <c r="O139" s="628">
        <f t="shared" si="11"/>
        <v>0</v>
      </c>
      <c r="P139" s="628">
        <f t="shared" si="11"/>
        <v>0.72880132231555761</v>
      </c>
      <c r="Q139" s="628">
        <f t="shared" si="11"/>
        <v>-3.2035222958925615E-2</v>
      </c>
      <c r="R139" s="628">
        <f t="shared" si="11"/>
        <v>0.29432361093512904</v>
      </c>
      <c r="S139" s="628">
        <f t="shared" si="11"/>
        <v>0</v>
      </c>
      <c r="T139" s="628">
        <f t="shared" si="11"/>
        <v>0</v>
      </c>
      <c r="U139" s="628">
        <f>SUM(N139:T139)</f>
        <v>1.795017710291761</v>
      </c>
      <c r="V139" s="75"/>
      <c r="W139" s="628">
        <f>+U139+V139</f>
        <v>1.795017710291761</v>
      </c>
      <c r="X139" s="1221">
        <f>IFERROR(W139/L139*10,0)</f>
        <v>8.9652203767997101</v>
      </c>
      <c r="Y139" s="75"/>
      <c r="Z139" s="2"/>
    </row>
    <row r="140" spans="2:26" x14ac:dyDescent="0.4">
      <c r="B140" s="520" t="s">
        <v>1107</v>
      </c>
      <c r="C140" s="75">
        <f>+C29+C94</f>
        <v>605</v>
      </c>
      <c r="D140" s="75"/>
      <c r="E140" s="75"/>
      <c r="F140" s="75"/>
      <c r="G140" s="75"/>
      <c r="H140" s="75"/>
      <c r="I140" s="75"/>
      <c r="J140" s="75"/>
      <c r="K140" s="1306">
        <f t="shared" ref="K140:T140" si="12">+K29+K94</f>
        <v>0</v>
      </c>
      <c r="L140" s="628">
        <f t="shared" si="12"/>
        <v>1.9389082816511376</v>
      </c>
      <c r="M140" s="628">
        <f t="shared" si="12"/>
        <v>1.9389082816511376</v>
      </c>
      <c r="N140" s="628">
        <f t="shared" si="12"/>
        <v>0.31218000000000001</v>
      </c>
      <c r="O140" s="628">
        <f t="shared" si="12"/>
        <v>0</v>
      </c>
      <c r="P140" s="628">
        <f t="shared" si="12"/>
        <v>1.830329417878674</v>
      </c>
      <c r="Q140" s="628">
        <f t="shared" si="12"/>
        <v>-3.1022532506418204E-2</v>
      </c>
      <c r="R140" s="628">
        <f t="shared" si="12"/>
        <v>0.28501951740271719</v>
      </c>
      <c r="S140" s="628">
        <f t="shared" si="12"/>
        <v>0</v>
      </c>
      <c r="T140" s="628">
        <f t="shared" si="12"/>
        <v>0</v>
      </c>
      <c r="U140" s="628">
        <f>SUM(N140:T140)</f>
        <v>2.396506402774973</v>
      </c>
      <c r="V140" s="75"/>
      <c r="W140" s="628">
        <f>+U140+V140</f>
        <v>2.396506402774973</v>
      </c>
      <c r="X140" s="1221">
        <f>IFERROR(W140/L140*10,0)</f>
        <v>12.360081317173773</v>
      </c>
      <c r="Y140" s="75"/>
      <c r="Z140" s="2"/>
    </row>
    <row r="141" spans="2:26" x14ac:dyDescent="0.4">
      <c r="B141" s="520" t="s">
        <v>1108</v>
      </c>
      <c r="C141" s="75">
        <f>+C30+C95</f>
        <v>322</v>
      </c>
      <c r="D141" s="75"/>
      <c r="E141" s="75"/>
      <c r="F141" s="75"/>
      <c r="G141" s="75"/>
      <c r="H141" s="75"/>
      <c r="I141" s="75"/>
      <c r="J141" s="75"/>
      <c r="K141" s="1306">
        <f t="shared" ref="K141:T141" si="13">+K30+K95</f>
        <v>0</v>
      </c>
      <c r="L141" s="628">
        <f t="shared" si="13"/>
        <v>0.67911633672838123</v>
      </c>
      <c r="M141" s="628">
        <f t="shared" si="13"/>
        <v>0.67911633672838123</v>
      </c>
      <c r="N141" s="628">
        <f t="shared" si="13"/>
        <v>0.16615199999999999</v>
      </c>
      <c r="O141" s="628">
        <f t="shared" si="13"/>
        <v>0</v>
      </c>
      <c r="P141" s="628">
        <f t="shared" si="13"/>
        <v>0.88760505210399432</v>
      </c>
      <c r="Q141" s="628">
        <f t="shared" si="13"/>
        <v>-1.0865861387654102E-2</v>
      </c>
      <c r="R141" s="628">
        <f t="shared" si="13"/>
        <v>9.9830101499072038E-2</v>
      </c>
      <c r="S141" s="628">
        <f t="shared" si="13"/>
        <v>0</v>
      </c>
      <c r="T141" s="628">
        <f t="shared" si="13"/>
        <v>0</v>
      </c>
      <c r="U141" s="628">
        <f>SUM(N141:T141)</f>
        <v>1.1427212922154124</v>
      </c>
      <c r="V141" s="75"/>
      <c r="W141" s="628">
        <f>+U141+V141</f>
        <v>1.1427212922154124</v>
      </c>
      <c r="X141" s="1221">
        <f>IFERROR(W141/L141*10,0)</f>
        <v>16.826591121639506</v>
      </c>
      <c r="Y141" s="75"/>
      <c r="Z141" s="2"/>
    </row>
    <row r="142" spans="2:26" x14ac:dyDescent="0.4">
      <c r="B142" s="520" t="s">
        <v>1109</v>
      </c>
      <c r="C142" s="75">
        <f>+C31+C96</f>
        <v>231</v>
      </c>
      <c r="D142" s="75"/>
      <c r="E142" s="75"/>
      <c r="F142" s="75"/>
      <c r="G142" s="75"/>
      <c r="H142" s="75"/>
      <c r="I142" s="75"/>
      <c r="J142" s="75"/>
      <c r="K142" s="1306">
        <f t="shared" ref="K142:T142" si="14">+K31+K96</f>
        <v>0</v>
      </c>
      <c r="L142" s="628">
        <f t="shared" si="14"/>
        <v>3.991639327491681</v>
      </c>
      <c r="M142" s="628">
        <f t="shared" si="14"/>
        <v>3.991639327491681</v>
      </c>
      <c r="N142" s="628">
        <f t="shared" si="14"/>
        <v>0.119196</v>
      </c>
      <c r="O142" s="628">
        <f t="shared" si="14"/>
        <v>0</v>
      </c>
      <c r="P142" s="628">
        <f t="shared" si="14"/>
        <v>5.9994339092199969</v>
      </c>
      <c r="Q142" s="628">
        <f t="shared" si="14"/>
        <v>-6.3866229239866901E-2</v>
      </c>
      <c r="R142" s="628">
        <f t="shared" si="14"/>
        <v>0.58677098114127713</v>
      </c>
      <c r="S142" s="628">
        <f t="shared" si="14"/>
        <v>0</v>
      </c>
      <c r="T142" s="628">
        <f t="shared" si="14"/>
        <v>0</v>
      </c>
      <c r="U142" s="628">
        <f>SUM(N142:T142)</f>
        <v>6.6415346611214066</v>
      </c>
      <c r="V142" s="75"/>
      <c r="W142" s="628">
        <f>+U142+V142</f>
        <v>6.6415346611214066</v>
      </c>
      <c r="X142" s="1221">
        <f>IFERROR(W142/L142*10,0)</f>
        <v>16.638614153786541</v>
      </c>
      <c r="Y142" s="75"/>
      <c r="Z142" s="2"/>
    </row>
    <row r="143" spans="2:26" x14ac:dyDescent="0.4">
      <c r="B143" s="520" t="s">
        <v>1110</v>
      </c>
      <c r="C143" s="75"/>
      <c r="D143" s="75"/>
      <c r="E143" s="75"/>
      <c r="F143" s="75"/>
      <c r="G143" s="75"/>
      <c r="H143" s="75"/>
      <c r="I143" s="75"/>
      <c r="J143" s="75"/>
      <c r="K143" s="1306">
        <f t="shared" ref="K143:T143" si="15">+K32+K97</f>
        <v>0</v>
      </c>
      <c r="L143" s="628">
        <f t="shared" si="15"/>
        <v>0</v>
      </c>
      <c r="M143" s="628">
        <f t="shared" si="15"/>
        <v>0</v>
      </c>
      <c r="N143" s="628">
        <f t="shared" si="15"/>
        <v>0</v>
      </c>
      <c r="O143" s="628">
        <f t="shared" si="15"/>
        <v>0</v>
      </c>
      <c r="P143" s="628">
        <f t="shared" si="15"/>
        <v>0</v>
      </c>
      <c r="Q143" s="628">
        <f t="shared" si="15"/>
        <v>0</v>
      </c>
      <c r="R143" s="628">
        <f t="shared" si="15"/>
        <v>0</v>
      </c>
      <c r="S143" s="628">
        <f t="shared" si="15"/>
        <v>0</v>
      </c>
      <c r="T143" s="628">
        <f t="shared" si="15"/>
        <v>0</v>
      </c>
      <c r="U143" s="628"/>
      <c r="V143" s="75"/>
      <c r="W143" s="628"/>
      <c r="X143" s="75"/>
      <c r="Y143" s="75"/>
      <c r="Z143" s="2"/>
    </row>
    <row r="144" spans="2:26"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2"/>
    </row>
    <row r="145" spans="2:26" x14ac:dyDescent="0.4">
      <c r="B145" s="520" t="s">
        <v>1140</v>
      </c>
      <c r="C145" s="75">
        <f>+C35+C99</f>
        <v>42</v>
      </c>
      <c r="D145" s="75"/>
      <c r="E145" s="75"/>
      <c r="F145" s="75"/>
      <c r="G145" s="75"/>
      <c r="H145" s="75"/>
      <c r="I145" s="75"/>
      <c r="J145" s="75"/>
      <c r="K145" s="1306">
        <f t="shared" ref="K145:T145" si="16">+K35+K99</f>
        <v>0</v>
      </c>
      <c r="L145" s="628">
        <f t="shared" si="16"/>
        <v>0.33636889514339563</v>
      </c>
      <c r="M145" s="628">
        <f t="shared" si="16"/>
        <v>0.34323356647285269</v>
      </c>
      <c r="N145" s="628">
        <f t="shared" si="16"/>
        <v>2.6207999999999999E-2</v>
      </c>
      <c r="O145" s="628">
        <f t="shared" si="16"/>
        <v>0</v>
      </c>
      <c r="P145" s="628">
        <f t="shared" si="16"/>
        <v>0.25463125362355049</v>
      </c>
      <c r="Q145" s="628">
        <f t="shared" si="16"/>
        <v>0</v>
      </c>
      <c r="R145" s="628">
        <f t="shared" si="16"/>
        <v>4.9446227586079153E-2</v>
      </c>
      <c r="S145" s="628">
        <f t="shared" si="16"/>
        <v>0</v>
      </c>
      <c r="T145" s="628">
        <f t="shared" si="16"/>
        <v>0</v>
      </c>
      <c r="U145" s="628">
        <f t="shared" ref="U145:U151" si="17">SUM(N145:T145)</f>
        <v>0.33028548120962964</v>
      </c>
      <c r="V145" s="75"/>
      <c r="W145" s="628">
        <f t="shared" ref="W145:W152" si="18">+U145+V145</f>
        <v>0.33028548120962964</v>
      </c>
      <c r="X145" s="1221">
        <f t="shared" ref="X145:X151" si="19">IFERROR(W145/L145*10,0)</f>
        <v>9.8191445754467708</v>
      </c>
      <c r="Y145" s="75"/>
      <c r="Z145" s="2"/>
    </row>
    <row r="146" spans="2:26" x14ac:dyDescent="0.4">
      <c r="B146" s="520" t="s">
        <v>1144</v>
      </c>
      <c r="C146" s="75">
        <f>+C36+C100</f>
        <v>9</v>
      </c>
      <c r="D146" s="75"/>
      <c r="E146" s="75"/>
      <c r="F146" s="75"/>
      <c r="G146" s="75"/>
      <c r="H146" s="75"/>
      <c r="I146" s="75"/>
      <c r="J146" s="75"/>
      <c r="K146" s="1306">
        <f t="shared" ref="K146:T146" si="20">+K36+K100</f>
        <v>383</v>
      </c>
      <c r="L146" s="628">
        <f t="shared" si="20"/>
        <v>0.59091548630067836</v>
      </c>
      <c r="M146" s="628">
        <f t="shared" si="20"/>
        <v>0.59773408250106086</v>
      </c>
      <c r="N146" s="628">
        <f t="shared" si="20"/>
        <v>0</v>
      </c>
      <c r="O146" s="628">
        <f t="shared" si="20"/>
        <v>9.6516000000000005E-2</v>
      </c>
      <c r="P146" s="628">
        <f t="shared" si="20"/>
        <v>0.6521278840086574</v>
      </c>
      <c r="Q146" s="628">
        <f t="shared" si="20"/>
        <v>-3.2065624410982728E-2</v>
      </c>
      <c r="R146" s="628">
        <f t="shared" si="20"/>
        <v>8.3085037467647449E-2</v>
      </c>
      <c r="S146" s="628">
        <f t="shared" si="20"/>
        <v>0</v>
      </c>
      <c r="T146" s="628">
        <f t="shared" si="20"/>
        <v>0</v>
      </c>
      <c r="U146" s="628">
        <f t="shared" si="17"/>
        <v>0.79966329706532213</v>
      </c>
      <c r="V146" s="75"/>
      <c r="W146" s="628">
        <f t="shared" si="18"/>
        <v>0.79966329706532213</v>
      </c>
      <c r="X146" s="1221">
        <f t="shared" si="19"/>
        <v>13.532617025684544</v>
      </c>
      <c r="Y146" s="75"/>
      <c r="Z146" s="2"/>
    </row>
    <row r="147" spans="2:26" x14ac:dyDescent="0.4">
      <c r="B147" s="520" t="s">
        <v>1143</v>
      </c>
      <c r="C147" s="75">
        <f>+C41+C105</f>
        <v>1</v>
      </c>
      <c r="D147" s="75"/>
      <c r="E147" s="75"/>
      <c r="F147" s="75"/>
      <c r="G147" s="75"/>
      <c r="H147" s="75"/>
      <c r="I147" s="75"/>
      <c r="J147" s="75"/>
      <c r="K147" s="1306">
        <f t="shared" ref="K147:T147" si="21">+K41+K105</f>
        <v>70</v>
      </c>
      <c r="L147" s="628">
        <f t="shared" si="21"/>
        <v>0.17597237974843327</v>
      </c>
      <c r="M147" s="628">
        <f t="shared" si="21"/>
        <v>0.17771995934869542</v>
      </c>
      <c r="N147" s="628">
        <f t="shared" si="21"/>
        <v>0</v>
      </c>
      <c r="O147" s="628">
        <f t="shared" si="21"/>
        <v>1.7639999999999999E-2</v>
      </c>
      <c r="P147" s="628">
        <f t="shared" si="21"/>
        <v>0.22996962739721188</v>
      </c>
      <c r="Q147" s="628">
        <f t="shared" si="21"/>
        <v>-2.3120808167028432E-2</v>
      </c>
      <c r="R147" s="628">
        <f t="shared" si="21"/>
        <v>2.4703074349468661E-2</v>
      </c>
      <c r="S147" s="628">
        <f t="shared" si="21"/>
        <v>0</v>
      </c>
      <c r="T147" s="628">
        <f t="shared" si="21"/>
        <v>0</v>
      </c>
      <c r="U147" s="628">
        <f t="shared" si="17"/>
        <v>0.2491918935796521</v>
      </c>
      <c r="V147" s="75"/>
      <c r="W147" s="628">
        <f t="shared" si="18"/>
        <v>0.2491918935796521</v>
      </c>
      <c r="X147" s="1221">
        <f t="shared" si="19"/>
        <v>14.160852625616137</v>
      </c>
      <c r="Y147" s="75"/>
      <c r="Z147" s="2"/>
    </row>
    <row r="148" spans="2:26" ht="25.5" x14ac:dyDescent="0.4">
      <c r="B148" s="519" t="s">
        <v>1111</v>
      </c>
      <c r="C148" s="75">
        <f>+C46+C110</f>
        <v>2</v>
      </c>
      <c r="D148" s="75"/>
      <c r="E148" s="75"/>
      <c r="F148" s="75"/>
      <c r="G148" s="75"/>
      <c r="H148" s="75"/>
      <c r="I148" s="75"/>
      <c r="J148" s="75"/>
      <c r="K148" s="1306">
        <f t="shared" ref="K148:T148" si="22">+K46+K110</f>
        <v>160</v>
      </c>
      <c r="L148" s="628">
        <f t="shared" si="22"/>
        <v>0.97996764932994562</v>
      </c>
      <c r="M148" s="628">
        <f t="shared" si="22"/>
        <v>0.9999669891121894</v>
      </c>
      <c r="N148" s="628">
        <f t="shared" si="22"/>
        <v>0</v>
      </c>
      <c r="O148" s="628">
        <f t="shared" si="22"/>
        <v>1.5359999999999999E-2</v>
      </c>
      <c r="P148" s="628">
        <f t="shared" si="22"/>
        <v>0.69397709044385947</v>
      </c>
      <c r="Q148" s="628">
        <f t="shared" si="22"/>
        <v>-1.4059988899568415E-2</v>
      </c>
      <c r="R148" s="628">
        <f t="shared" si="22"/>
        <v>0.13899541148659431</v>
      </c>
      <c r="S148" s="628">
        <f t="shared" si="22"/>
        <v>0</v>
      </c>
      <c r="T148" s="628">
        <f t="shared" si="22"/>
        <v>0</v>
      </c>
      <c r="U148" s="628">
        <f t="shared" si="17"/>
        <v>0.83427251303088545</v>
      </c>
      <c r="V148" s="75"/>
      <c r="W148" s="628">
        <f t="shared" si="18"/>
        <v>0.83427251303088545</v>
      </c>
      <c r="X148" s="1221">
        <f t="shared" si="19"/>
        <v>8.5132658573098876</v>
      </c>
      <c r="Y148" s="75"/>
      <c r="Z148" s="2"/>
    </row>
    <row r="149" spans="2:26" ht="25.5" x14ac:dyDescent="0.4">
      <c r="B149" s="519" t="s">
        <v>1135</v>
      </c>
      <c r="C149" s="75">
        <f>+C51+C115</f>
        <v>2</v>
      </c>
      <c r="D149" s="75"/>
      <c r="E149" s="75"/>
      <c r="F149" s="75"/>
      <c r="G149" s="75"/>
      <c r="H149" s="75"/>
      <c r="I149" s="75"/>
      <c r="J149" s="75"/>
      <c r="K149" s="1306">
        <f t="shared" ref="K149:T149" si="23">+K51+K115</f>
        <v>38</v>
      </c>
      <c r="L149" s="628">
        <f t="shared" si="23"/>
        <v>0.3633750631242687</v>
      </c>
      <c r="M149" s="628">
        <f t="shared" si="23"/>
        <v>0.37079088073904976</v>
      </c>
      <c r="N149" s="628">
        <f t="shared" si="23"/>
        <v>1.4400000000000001E-3</v>
      </c>
      <c r="O149" s="628">
        <f t="shared" si="23"/>
        <v>0</v>
      </c>
      <c r="P149" s="628">
        <f t="shared" si="23"/>
        <v>0.19731265927647793</v>
      </c>
      <c r="Q149" s="628">
        <f t="shared" si="23"/>
        <v>0</v>
      </c>
      <c r="R149" s="628">
        <f t="shared" si="23"/>
        <v>4.3282178310874053E-2</v>
      </c>
      <c r="S149" s="628">
        <f t="shared" si="23"/>
        <v>0</v>
      </c>
      <c r="T149" s="628">
        <f t="shared" si="23"/>
        <v>0</v>
      </c>
      <c r="U149" s="628">
        <f t="shared" si="17"/>
        <v>0.24203483758735198</v>
      </c>
      <c r="V149" s="75"/>
      <c r="W149" s="628">
        <f t="shared" si="18"/>
        <v>0.24203483758735198</v>
      </c>
      <c r="X149" s="1221">
        <f t="shared" si="19"/>
        <v>6.6607442873585345</v>
      </c>
      <c r="Y149" s="75"/>
      <c r="Z149" s="2"/>
    </row>
    <row r="150" spans="2:26" ht="38.25" x14ac:dyDescent="0.4">
      <c r="B150" s="519" t="s">
        <v>1136</v>
      </c>
      <c r="C150" s="75">
        <f>+C52+C116</f>
        <v>0</v>
      </c>
      <c r="D150" s="75"/>
      <c r="E150" s="75"/>
      <c r="F150" s="75"/>
      <c r="G150" s="75"/>
      <c r="H150" s="75"/>
      <c r="I150" s="75"/>
      <c r="J150" s="75"/>
      <c r="K150" s="1306">
        <f t="shared" ref="K150:T150" si="24">+K52+K116</f>
        <v>0</v>
      </c>
      <c r="L150" s="628">
        <f t="shared" si="24"/>
        <v>0</v>
      </c>
      <c r="M150" s="628">
        <f t="shared" si="24"/>
        <v>0</v>
      </c>
      <c r="N150" s="628">
        <f t="shared" si="24"/>
        <v>0</v>
      </c>
      <c r="O150" s="628">
        <f t="shared" si="24"/>
        <v>0</v>
      </c>
      <c r="P150" s="628">
        <f t="shared" si="24"/>
        <v>0</v>
      </c>
      <c r="Q150" s="628">
        <f t="shared" si="24"/>
        <v>0</v>
      </c>
      <c r="R150" s="628">
        <f t="shared" si="24"/>
        <v>0</v>
      </c>
      <c r="S150" s="628">
        <f t="shared" si="24"/>
        <v>0</v>
      </c>
      <c r="T150" s="628">
        <f t="shared" si="24"/>
        <v>0</v>
      </c>
      <c r="U150" s="628">
        <f t="shared" si="17"/>
        <v>0</v>
      </c>
      <c r="V150" s="75"/>
      <c r="W150" s="628">
        <f t="shared" si="18"/>
        <v>0</v>
      </c>
      <c r="X150" s="1221">
        <f t="shared" si="19"/>
        <v>0</v>
      </c>
      <c r="Y150" s="75"/>
      <c r="Z150" s="2"/>
    </row>
    <row r="151" spans="2:26" ht="25.5" x14ac:dyDescent="0.4">
      <c r="B151" s="519" t="s">
        <v>1142</v>
      </c>
      <c r="C151" s="75">
        <f>+C58+C117</f>
        <v>10</v>
      </c>
      <c r="D151" s="75"/>
      <c r="E151" s="75"/>
      <c r="F151" s="75"/>
      <c r="G151" s="75"/>
      <c r="H151" s="75"/>
      <c r="I151" s="75"/>
      <c r="J151" s="75"/>
      <c r="K151" s="1306">
        <f t="shared" ref="K151:T151" si="25">+K58+K117</f>
        <v>105</v>
      </c>
      <c r="L151" s="628">
        <f t="shared" si="25"/>
        <v>2.0388311031803674E-2</v>
      </c>
      <c r="M151" s="628">
        <f t="shared" si="25"/>
        <v>2.0559641376608748E-2</v>
      </c>
      <c r="N151" s="628">
        <f t="shared" si="25"/>
        <v>0</v>
      </c>
      <c r="O151" s="628">
        <f t="shared" si="25"/>
        <v>4.032E-3</v>
      </c>
      <c r="P151" s="628">
        <f t="shared" si="25"/>
        <v>1.3322647612042469E-2</v>
      </c>
      <c r="Q151" s="628">
        <f t="shared" si="25"/>
        <v>1.252534970768341E-4</v>
      </c>
      <c r="R151" s="628">
        <f t="shared" si="25"/>
        <v>2.8577901513486157E-3</v>
      </c>
      <c r="S151" s="628">
        <f t="shared" si="25"/>
        <v>0</v>
      </c>
      <c r="T151" s="628">
        <f t="shared" si="25"/>
        <v>0</v>
      </c>
      <c r="U151" s="628">
        <f t="shared" si="17"/>
        <v>2.033769126046792E-2</v>
      </c>
      <c r="V151" s="75"/>
      <c r="W151" s="628">
        <f t="shared" si="18"/>
        <v>2.033769126046792E-2</v>
      </c>
      <c r="X151" s="1221">
        <f t="shared" si="19"/>
        <v>9.9751721605302208</v>
      </c>
      <c r="Y151" s="75"/>
      <c r="Z151" s="2"/>
    </row>
    <row r="152" spans="2:26" x14ac:dyDescent="0.4">
      <c r="B152" s="518" t="s">
        <v>162</v>
      </c>
      <c r="C152" s="1308">
        <f>SUM(C139:C151)</f>
        <v>2782</v>
      </c>
      <c r="D152" s="1310"/>
      <c r="E152" s="1310"/>
      <c r="F152" s="1310"/>
      <c r="G152" s="1310"/>
      <c r="H152" s="1310"/>
      <c r="I152" s="1310"/>
      <c r="J152" s="1310"/>
      <c r="K152" s="1336">
        <f t="shared" ref="K152:V152" si="26">SUM(K139:K151)</f>
        <v>756</v>
      </c>
      <c r="L152" s="630">
        <f t="shared" si="26"/>
        <v>11.078853165482577</v>
      </c>
      <c r="M152" s="630">
        <f t="shared" si="26"/>
        <v>11.121870500354509</v>
      </c>
      <c r="N152" s="630">
        <f t="shared" si="26"/>
        <v>1.4291040000000004</v>
      </c>
      <c r="O152" s="630">
        <f t="shared" si="26"/>
        <v>0.13354800000000003</v>
      </c>
      <c r="P152" s="630">
        <f t="shared" si="26"/>
        <v>11.48751086388002</v>
      </c>
      <c r="Q152" s="630">
        <f t="shared" si="26"/>
        <v>-0.20691101407336757</v>
      </c>
      <c r="R152" s="630">
        <f t="shared" si="26"/>
        <v>1.6083139303302081</v>
      </c>
      <c r="S152" s="630">
        <f t="shared" si="26"/>
        <v>0</v>
      </c>
      <c r="T152" s="630">
        <f t="shared" si="26"/>
        <v>0</v>
      </c>
      <c r="U152" s="630">
        <f t="shared" si="26"/>
        <v>14.451565780136864</v>
      </c>
      <c r="V152" s="1310">
        <f t="shared" si="26"/>
        <v>0</v>
      </c>
      <c r="W152" s="630">
        <f t="shared" si="18"/>
        <v>14.451565780136864</v>
      </c>
      <c r="X152" s="1222">
        <f>IFERROR(W152/L152*10,0)</f>
        <v>13.044279551571595</v>
      </c>
      <c r="Y152" s="75"/>
      <c r="Z152" s="2"/>
    </row>
    <row r="153" spans="2:26"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2"/>
    </row>
    <row r="154" spans="2:26" x14ac:dyDescent="0.4">
      <c r="B154" s="119" t="s">
        <v>164</v>
      </c>
      <c r="C154" s="1308">
        <f>+C152+C136</f>
        <v>2791</v>
      </c>
      <c r="D154" s="1309"/>
      <c r="E154" s="1309"/>
      <c r="F154" s="1309"/>
      <c r="G154" s="1309"/>
      <c r="H154" s="1309"/>
      <c r="I154" s="1309"/>
      <c r="J154" s="1309"/>
      <c r="K154" s="1336">
        <f t="shared" ref="K154:W154" si="27">+K152+K136</f>
        <v>31482</v>
      </c>
      <c r="L154" s="630">
        <f t="shared" si="27"/>
        <v>215.14139899999998</v>
      </c>
      <c r="M154" s="630">
        <f t="shared" si="27"/>
        <v>217.25335512844379</v>
      </c>
      <c r="N154" s="630">
        <f t="shared" si="27"/>
        <v>1.4291040000000004</v>
      </c>
      <c r="O154" s="630">
        <f t="shared" si="27"/>
        <v>19.988376000000002</v>
      </c>
      <c r="P154" s="630">
        <f t="shared" si="27"/>
        <v>163.95943612115013</v>
      </c>
      <c r="Q154" s="630">
        <f t="shared" si="27"/>
        <v>-2.4052197875374475</v>
      </c>
      <c r="R154" s="630">
        <f t="shared" si="27"/>
        <v>16.862043792808812</v>
      </c>
      <c r="S154" s="630">
        <f t="shared" si="27"/>
        <v>0</v>
      </c>
      <c r="T154" s="630">
        <f t="shared" si="27"/>
        <v>0</v>
      </c>
      <c r="U154" s="630">
        <f t="shared" si="27"/>
        <v>199.8337401264215</v>
      </c>
      <c r="V154" s="1309">
        <f t="shared" si="27"/>
        <v>0</v>
      </c>
      <c r="W154" s="630">
        <f t="shared" si="27"/>
        <v>199.8337401264215</v>
      </c>
      <c r="X154" s="1222">
        <f>IFERROR(W154/L154*10,0)</f>
        <v>9.2884838090330319</v>
      </c>
      <c r="Y154" s="75"/>
      <c r="Z154" s="2"/>
    </row>
    <row r="155" spans="2:26" x14ac:dyDescent="0.4">
      <c r="L155" s="561">
        <f>+'F1'!L34-L154</f>
        <v>0</v>
      </c>
      <c r="N155" s="561">
        <f t="shared" ref="N155:W155" si="28">+N65+N124-N154</f>
        <v>0</v>
      </c>
      <c r="O155" s="561">
        <f t="shared" si="28"/>
        <v>0</v>
      </c>
      <c r="P155" s="561">
        <f t="shared" si="28"/>
        <v>0</v>
      </c>
      <c r="Q155" s="561">
        <f t="shared" si="28"/>
        <v>0</v>
      </c>
      <c r="R155" s="561">
        <f t="shared" si="28"/>
        <v>0</v>
      </c>
      <c r="S155" s="561">
        <f t="shared" si="28"/>
        <v>0</v>
      </c>
      <c r="T155" s="561">
        <f t="shared" si="28"/>
        <v>0</v>
      </c>
      <c r="U155" s="561">
        <f t="shared" si="28"/>
        <v>0</v>
      </c>
      <c r="V155" s="561">
        <f t="shared" si="28"/>
        <v>0</v>
      </c>
      <c r="W155" s="561">
        <f t="shared" si="28"/>
        <v>0</v>
      </c>
      <c r="X155" s="561"/>
      <c r="Z155" s="2"/>
    </row>
  </sheetData>
  <mergeCells count="35">
    <mergeCell ref="V129:V130"/>
    <mergeCell ref="W129:W130"/>
    <mergeCell ref="X129:X130"/>
    <mergeCell ref="Y129:Y130"/>
    <mergeCell ref="Z129:Z130"/>
    <mergeCell ref="B129:B130"/>
    <mergeCell ref="C129:C130"/>
    <mergeCell ref="D129:I129"/>
    <mergeCell ref="J129:M129"/>
    <mergeCell ref="N129:U129"/>
    <mergeCell ref="Z10:Z11"/>
    <mergeCell ref="A11:A12"/>
    <mergeCell ref="B75:B76"/>
    <mergeCell ref="C75:C76"/>
    <mergeCell ref="D75:I75"/>
    <mergeCell ref="J75:M75"/>
    <mergeCell ref="N75:U75"/>
    <mergeCell ref="V75:V76"/>
    <mergeCell ref="W75:W76"/>
    <mergeCell ref="X75:X76"/>
    <mergeCell ref="Y75:Y76"/>
    <mergeCell ref="Z75:Z76"/>
    <mergeCell ref="A76:A77"/>
    <mergeCell ref="B2:Y2"/>
    <mergeCell ref="B3:Y3"/>
    <mergeCell ref="B4:Y4"/>
    <mergeCell ref="B10:B11"/>
    <mergeCell ref="C10:C11"/>
    <mergeCell ref="D10:I10"/>
    <mergeCell ref="J10:M10"/>
    <mergeCell ref="N10:U10"/>
    <mergeCell ref="V10:V11"/>
    <mergeCell ref="W10:W11"/>
    <mergeCell ref="X10:X11"/>
    <mergeCell ref="Y10:Y11"/>
  </mergeCells>
  <pageMargins left="0.7" right="0.7" top="0.75" bottom="0.75" header="0.3" footer="0.3"/>
  <pageSetup scale="37" orientation="landscape" r:id="rId1"/>
  <rowBreaks count="2" manualBreakCount="2">
    <brk id="71" min="1" max="25" man="1"/>
    <brk id="125" min="1" max="2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F0343-74B4-48FC-84E0-D0AD6148AD32}">
  <dimension ref="A2:Z155"/>
  <sheetViews>
    <sheetView showGridLines="0" view="pageBreakPreview" topLeftCell="A112" zoomScale="80" zoomScaleNormal="80" zoomScaleSheetLayoutView="80" workbookViewId="0">
      <selection activeCell="M92" sqref="M92"/>
    </sheetView>
  </sheetViews>
  <sheetFormatPr defaultColWidth="8.6640625" defaultRowHeight="13.9" x14ac:dyDescent="0.4"/>
  <cols>
    <col min="1" max="1" width="8.6640625" style="1"/>
    <col min="2" max="2" width="22.53125" style="1" customWidth="1"/>
    <col min="3" max="3" width="12"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5" width="13.6640625" style="1" customWidth="1"/>
    <col min="26" max="26" width="8.6640625" style="1"/>
    <col min="27" max="27" width="11.6640625" style="1" customWidth="1"/>
    <col min="28" max="28" width="12.46484375" style="1" customWidth="1"/>
    <col min="29" max="16384" width="8.6640625" style="1"/>
  </cols>
  <sheetData>
    <row r="2" spans="1:26"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row>
    <row r="3" spans="1:26"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row>
    <row r="4" spans="1:26" x14ac:dyDescent="0.4">
      <c r="B4" s="2079" t="s">
        <v>747</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row>
    <row r="5" spans="1:26" x14ac:dyDescent="0.4">
      <c r="B5" s="123"/>
      <c r="C5" s="123"/>
      <c r="D5" s="123"/>
      <c r="E5" s="123"/>
      <c r="F5" s="123"/>
      <c r="G5" s="123"/>
      <c r="H5" s="123"/>
      <c r="I5" s="123"/>
      <c r="J5" s="123"/>
      <c r="K5" s="1332"/>
      <c r="L5" s="1327"/>
      <c r="M5" s="1327"/>
      <c r="N5" s="1327"/>
      <c r="O5" s="123"/>
      <c r="P5" s="123"/>
      <c r="Q5" s="123"/>
      <c r="R5" s="123"/>
      <c r="S5" s="123"/>
      <c r="T5" s="123"/>
    </row>
    <row r="6" spans="1:26" x14ac:dyDescent="0.4">
      <c r="B6" s="123"/>
      <c r="C6" s="123"/>
      <c r="D6" s="123"/>
      <c r="E6" s="123"/>
      <c r="F6" s="123"/>
      <c r="G6" s="123"/>
      <c r="H6" s="123"/>
      <c r="I6" s="123"/>
      <c r="J6" s="123"/>
      <c r="K6" s="1332"/>
      <c r="L6" s="1327"/>
      <c r="M6" s="1327"/>
      <c r="N6" s="1327"/>
      <c r="O6" s="123"/>
      <c r="P6" s="123"/>
      <c r="Q6" s="123"/>
      <c r="R6" s="123"/>
      <c r="S6" s="123"/>
      <c r="T6" s="123"/>
    </row>
    <row r="7" spans="1:26" x14ac:dyDescent="0.4">
      <c r="B7" s="131" t="s">
        <v>748</v>
      </c>
      <c r="C7" s="103"/>
      <c r="D7" s="103"/>
      <c r="E7" s="103"/>
      <c r="F7" s="103"/>
      <c r="G7" s="103"/>
      <c r="H7" s="103"/>
      <c r="I7" s="103"/>
      <c r="J7" s="103"/>
      <c r="K7" s="1333"/>
      <c r="L7" s="1328"/>
      <c r="M7" s="1328"/>
      <c r="N7" s="1328"/>
      <c r="O7" s="103"/>
      <c r="P7" s="103"/>
      <c r="Q7" s="103"/>
      <c r="R7" s="103"/>
      <c r="S7" s="103"/>
      <c r="T7" s="103"/>
      <c r="U7" s="103"/>
      <c r="V7" s="103"/>
      <c r="W7" s="1328"/>
      <c r="X7" s="103"/>
      <c r="Y7" s="103"/>
    </row>
    <row r="8" spans="1:26" x14ac:dyDescent="0.4">
      <c r="B8" s="131" t="s">
        <v>1511</v>
      </c>
      <c r="C8" s="103"/>
      <c r="D8" s="103"/>
      <c r="E8" s="103"/>
      <c r="F8" s="103"/>
      <c r="G8" s="103"/>
      <c r="H8" s="103"/>
      <c r="I8" s="103"/>
      <c r="J8" s="103"/>
      <c r="K8" s="1333"/>
      <c r="L8" s="1328"/>
      <c r="M8" s="1328"/>
      <c r="N8" s="1328"/>
      <c r="O8" s="103"/>
      <c r="P8" s="103"/>
      <c r="Q8" s="103"/>
      <c r="R8" s="103"/>
      <c r="S8" s="103"/>
      <c r="T8" s="103"/>
      <c r="U8" s="103"/>
      <c r="V8" s="103"/>
      <c r="W8" s="1328"/>
      <c r="X8" s="103"/>
      <c r="Y8" s="103"/>
    </row>
    <row r="9" spans="1:26"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row>
    <row r="10" spans="1:26"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1570</v>
      </c>
    </row>
    <row r="11" spans="1:26"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row>
    <row r="12" spans="1:26"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2"/>
    </row>
    <row r="13" spans="1:26" s="6" customFormat="1" ht="13.5" x14ac:dyDescent="0.35">
      <c r="A13" s="1364">
        <f>+'F13.2'!A13</f>
        <v>0.9</v>
      </c>
      <c r="B13" s="517" t="s">
        <v>1129</v>
      </c>
      <c r="C13" s="128">
        <f>+'F13.3'!C13</f>
        <v>4</v>
      </c>
      <c r="D13" s="128"/>
      <c r="E13" s="128">
        <f>+'Tariff Schedule'!F14</f>
        <v>600</v>
      </c>
      <c r="F13" s="1365">
        <f>+'Tariff Schedule'!M14</f>
        <v>7.38</v>
      </c>
      <c r="G13" s="128"/>
      <c r="H13" s="1365">
        <f>+'Tariff Schedule'!S14</f>
        <v>0.74</v>
      </c>
      <c r="I13" s="128"/>
      <c r="J13" s="128"/>
      <c r="K13" s="1336">
        <f>AVERAGE('Sales Proj'!C42:N42)+AVERAGE('Sales Proj'!C45:N45)*1000</f>
        <v>34500</v>
      </c>
      <c r="L13" s="630">
        <f>+'F1 SEZ'!M12</f>
        <v>243.762</v>
      </c>
      <c r="M13" s="630">
        <f>+L13/Z13</f>
        <v>246.22424242424242</v>
      </c>
      <c r="N13" s="630"/>
      <c r="O13" s="630">
        <f>(K13*E13)*12/10^7*A13</f>
        <v>22.356000000000002</v>
      </c>
      <c r="P13" s="630">
        <f>(M13*F13)/10</f>
        <v>181.71349090909092</v>
      </c>
      <c r="Q13" s="630">
        <f>SUM(Q14:Q17)</f>
        <v>-2.5972213670079274</v>
      </c>
      <c r="R13" s="630">
        <f>(M13*H13)/10</f>
        <v>18.22059393939394</v>
      </c>
      <c r="S13" s="630"/>
      <c r="T13" s="630"/>
      <c r="U13" s="630">
        <f>SUM(N13:T13)</f>
        <v>219.69286348147693</v>
      </c>
      <c r="V13" s="128"/>
      <c r="W13" s="630">
        <f>+U13+V13</f>
        <v>219.69286348147693</v>
      </c>
      <c r="X13" s="1222">
        <f>IFERROR(W13/L13*10,0)</f>
        <v>9.0125968560102461</v>
      </c>
      <c r="Y13" s="128"/>
      <c r="Z13" s="1366">
        <f>+'Tariff Schedule'!X14</f>
        <v>0.99</v>
      </c>
    </row>
    <row r="14" spans="1:26" x14ac:dyDescent="0.4">
      <c r="A14" s="1339"/>
      <c r="B14" s="1360" t="s">
        <v>1544</v>
      </c>
      <c r="C14" s="75"/>
      <c r="D14" s="75"/>
      <c r="E14" s="75"/>
      <c r="F14" s="75"/>
      <c r="G14" s="1221">
        <f>+$F13*'Tariff Schedule'!E$50</f>
        <v>0</v>
      </c>
      <c r="H14" s="75"/>
      <c r="I14" s="75"/>
      <c r="J14" s="75"/>
      <c r="K14" s="1306"/>
      <c r="L14" s="628"/>
      <c r="M14" s="628">
        <f>+$M$13*Assum!E125</f>
        <v>60.289188094846949</v>
      </c>
      <c r="N14" s="628"/>
      <c r="O14" s="628"/>
      <c r="P14" s="628"/>
      <c r="Q14" s="628">
        <f>+G14*M14/10</f>
        <v>0</v>
      </c>
      <c r="R14" s="628"/>
      <c r="S14" s="628"/>
      <c r="T14" s="628"/>
      <c r="U14" s="628"/>
      <c r="V14" s="75"/>
      <c r="W14" s="628"/>
      <c r="X14" s="1221"/>
      <c r="Y14" s="75"/>
      <c r="Z14" s="1358"/>
    </row>
    <row r="15" spans="1:26" x14ac:dyDescent="0.4">
      <c r="A15" s="1339"/>
      <c r="B15" s="1360" t="s">
        <v>1545</v>
      </c>
      <c r="C15" s="75"/>
      <c r="D15" s="75"/>
      <c r="E15" s="75"/>
      <c r="F15" s="75"/>
      <c r="G15" s="1221">
        <f>+$F13*'Tariff Schedule'!E$51</f>
        <v>0</v>
      </c>
      <c r="H15" s="75"/>
      <c r="I15" s="75"/>
      <c r="J15" s="75"/>
      <c r="K15" s="1306"/>
      <c r="L15" s="628"/>
      <c r="M15" s="628">
        <f>+$M$13*Assum!E126</f>
        <v>31.080900494917216</v>
      </c>
      <c r="N15" s="628"/>
      <c r="O15" s="628"/>
      <c r="P15" s="628"/>
      <c r="Q15" s="628">
        <f>+G15*M15/10</f>
        <v>0</v>
      </c>
      <c r="R15" s="628"/>
      <c r="S15" s="628"/>
      <c r="T15" s="628"/>
      <c r="U15" s="628"/>
      <c r="V15" s="75"/>
      <c r="W15" s="628"/>
      <c r="X15" s="1221"/>
      <c r="Y15" s="75"/>
      <c r="Z15" s="1358"/>
    </row>
    <row r="16" spans="1:26" x14ac:dyDescent="0.4">
      <c r="A16" s="1339"/>
      <c r="B16" s="1360" t="s">
        <v>1546</v>
      </c>
      <c r="C16" s="75"/>
      <c r="D16" s="75"/>
      <c r="E16" s="75"/>
      <c r="F16" s="75"/>
      <c r="G16" s="1221">
        <f>+$F13*'Tariff Schedule'!E$52</f>
        <v>-1.599</v>
      </c>
      <c r="H16" s="75"/>
      <c r="I16" s="75"/>
      <c r="J16" s="75"/>
      <c r="K16" s="1306"/>
      <c r="L16" s="628"/>
      <c r="M16" s="628">
        <f>+$M$13*Assum!E127</f>
        <v>82.77624218854281</v>
      </c>
      <c r="N16" s="628"/>
      <c r="O16" s="628"/>
      <c r="P16" s="628"/>
      <c r="Q16" s="628">
        <f>+G16*M16/10</f>
        <v>-13.235921125947996</v>
      </c>
      <c r="R16" s="628"/>
      <c r="S16" s="628"/>
      <c r="T16" s="628"/>
      <c r="U16" s="628"/>
      <c r="V16" s="75"/>
      <c r="W16" s="628"/>
      <c r="X16" s="1221"/>
      <c r="Y16" s="75"/>
      <c r="Z16" s="1358"/>
    </row>
    <row r="17" spans="1:26" x14ac:dyDescent="0.4">
      <c r="A17" s="1339"/>
      <c r="B17" s="1360" t="s">
        <v>1549</v>
      </c>
      <c r="C17" s="75"/>
      <c r="D17" s="75"/>
      <c r="E17" s="75"/>
      <c r="F17" s="75"/>
      <c r="G17" s="1221">
        <f>+$F13*'Tariff Schedule'!E$55</f>
        <v>1.476</v>
      </c>
      <c r="H17" s="75"/>
      <c r="I17" s="75"/>
      <c r="J17" s="75"/>
      <c r="K17" s="1306"/>
      <c r="L17" s="628"/>
      <c r="M17" s="628">
        <f>+$M$13*Assum!E128</f>
        <v>72.07791164593543</v>
      </c>
      <c r="N17" s="628"/>
      <c r="O17" s="628"/>
      <c r="P17" s="628"/>
      <c r="Q17" s="628">
        <f>+G17*M17/10</f>
        <v>10.638699758940069</v>
      </c>
      <c r="R17" s="628"/>
      <c r="S17" s="628"/>
      <c r="T17" s="628"/>
      <c r="U17" s="628"/>
      <c r="V17" s="75"/>
      <c r="W17" s="628"/>
      <c r="X17" s="1221"/>
      <c r="Y17" s="75"/>
      <c r="Z17" s="1358"/>
    </row>
    <row r="18" spans="1:26" s="6" customFormat="1" ht="13.5" x14ac:dyDescent="0.35">
      <c r="A18" s="1364">
        <f>+'F13.2'!A18</f>
        <v>0.75</v>
      </c>
      <c r="B18" s="517" t="s">
        <v>1130</v>
      </c>
      <c r="C18" s="128">
        <f>+'F13.3'!C18</f>
        <v>1</v>
      </c>
      <c r="D18" s="128"/>
      <c r="E18" s="128">
        <f>+'Tariff Schedule'!F15</f>
        <v>600</v>
      </c>
      <c r="F18" s="1365">
        <f>+'Tariff Schedule'!M15</f>
        <v>11.93</v>
      </c>
      <c r="G18" s="128"/>
      <c r="H18" s="1365">
        <f>+'Tariff Schedule'!S15</f>
        <v>0.74</v>
      </c>
      <c r="I18" s="128"/>
      <c r="J18" s="128"/>
      <c r="K18" s="1336">
        <v>40</v>
      </c>
      <c r="L18" s="630">
        <f>+'F1 SEZ'!M13</f>
        <v>4.780528864771514E-2</v>
      </c>
      <c r="M18" s="630">
        <f>+L18/Z18</f>
        <v>4.8780906783382795E-2</v>
      </c>
      <c r="N18" s="630"/>
      <c r="O18" s="630">
        <f>(K18*E18)*12/10^7*A18</f>
        <v>2.1600000000000001E-2</v>
      </c>
      <c r="P18" s="630">
        <f>(M18*F18)/10</f>
        <v>5.8195621792575668E-2</v>
      </c>
      <c r="Q18" s="630">
        <f>SUM(Q19:Q22)</f>
        <v>-2.0497546910699669E-3</v>
      </c>
      <c r="R18" s="630">
        <f>(M18*H18)/10</f>
        <v>3.6097871019703269E-3</v>
      </c>
      <c r="S18" s="630"/>
      <c r="T18" s="630"/>
      <c r="U18" s="630">
        <f>SUM(N18:T18)</f>
        <v>8.1355654203476027E-2</v>
      </c>
      <c r="V18" s="128"/>
      <c r="W18" s="630">
        <f>+U18+V18</f>
        <v>8.1355654203476027E-2</v>
      </c>
      <c r="X18" s="1222">
        <f>IFERROR(W18/L18*10,0)</f>
        <v>17.018128434073251</v>
      </c>
      <c r="Y18" s="128"/>
      <c r="Z18" s="1366">
        <f>+'Tariff Schedule'!X15</f>
        <v>0.98</v>
      </c>
    </row>
    <row r="19" spans="1:26" x14ac:dyDescent="0.4">
      <c r="A19" s="1339"/>
      <c r="B19" s="1360" t="s">
        <v>1544</v>
      </c>
      <c r="C19" s="75"/>
      <c r="D19" s="75"/>
      <c r="E19" s="75"/>
      <c r="F19" s="75"/>
      <c r="G19" s="1221">
        <f>+$F18*'Tariff Schedule'!E$50</f>
        <v>0</v>
      </c>
      <c r="H19" s="75"/>
      <c r="I19" s="75"/>
      <c r="J19" s="75"/>
      <c r="K19" s="1306"/>
      <c r="L19" s="628"/>
      <c r="M19" s="628">
        <f>+$M$18*Assum!F125</f>
        <v>6.870280214106763E-3</v>
      </c>
      <c r="N19" s="628"/>
      <c r="O19" s="628"/>
      <c r="P19" s="628"/>
      <c r="Q19" s="628">
        <f>+G19*M19/10</f>
        <v>0</v>
      </c>
      <c r="R19" s="628"/>
      <c r="S19" s="628"/>
      <c r="T19" s="628"/>
      <c r="U19" s="628"/>
      <c r="V19" s="75"/>
      <c r="W19" s="628"/>
      <c r="X19" s="1221"/>
      <c r="Y19" s="75"/>
      <c r="Z19" s="1358"/>
    </row>
    <row r="20" spans="1:26" x14ac:dyDescent="0.4">
      <c r="A20" s="1339"/>
      <c r="B20" s="1360" t="s">
        <v>1545</v>
      </c>
      <c r="C20" s="75"/>
      <c r="D20" s="75"/>
      <c r="E20" s="75"/>
      <c r="F20" s="75"/>
      <c r="G20" s="1221">
        <f>+$F18*'Tariff Schedule'!E$51</f>
        <v>0</v>
      </c>
      <c r="H20" s="75"/>
      <c r="I20" s="75"/>
      <c r="J20" s="75"/>
      <c r="K20" s="1306"/>
      <c r="L20" s="628"/>
      <c r="M20" s="628">
        <f>+$M$18*Assum!F126</f>
        <v>6.9299864769883828E-3</v>
      </c>
      <c r="N20" s="628"/>
      <c r="O20" s="628"/>
      <c r="P20" s="628"/>
      <c r="Q20" s="628">
        <f>+G20*M20/10</f>
        <v>0</v>
      </c>
      <c r="R20" s="628"/>
      <c r="S20" s="628"/>
      <c r="T20" s="628"/>
      <c r="U20" s="628"/>
      <c r="V20" s="75"/>
      <c r="W20" s="628"/>
      <c r="X20" s="1221"/>
      <c r="Y20" s="75"/>
      <c r="Z20" s="1358"/>
    </row>
    <row r="21" spans="1:26" x14ac:dyDescent="0.4">
      <c r="A21" s="1339"/>
      <c r="B21" s="1360" t="s">
        <v>1546</v>
      </c>
      <c r="C21" s="75"/>
      <c r="D21" s="75"/>
      <c r="E21" s="75"/>
      <c r="F21" s="75"/>
      <c r="G21" s="1221">
        <f>+$F18*'Tariff Schedule'!E$52</f>
        <v>-2.5848333333333335</v>
      </c>
      <c r="H21" s="75"/>
      <c r="I21" s="75"/>
      <c r="J21" s="75"/>
      <c r="K21" s="1306"/>
      <c r="L21" s="628"/>
      <c r="M21" s="628">
        <f>+$M$18*Assum!F127</f>
        <v>2.0914270746869672E-2</v>
      </c>
      <c r="N21" s="628"/>
      <c r="O21" s="628"/>
      <c r="P21" s="628"/>
      <c r="Q21" s="628">
        <f>+G21*M21/10</f>
        <v>-5.4059904168866964E-3</v>
      </c>
      <c r="R21" s="628"/>
      <c r="S21" s="628"/>
      <c r="T21" s="628"/>
      <c r="U21" s="628"/>
      <c r="V21" s="75"/>
      <c r="W21" s="628"/>
      <c r="X21" s="1221"/>
      <c r="Y21" s="75"/>
      <c r="Z21" s="1358"/>
    </row>
    <row r="22" spans="1:26" x14ac:dyDescent="0.4">
      <c r="A22" s="1339"/>
      <c r="B22" s="1360" t="s">
        <v>1549</v>
      </c>
      <c r="C22" s="75"/>
      <c r="D22" s="75"/>
      <c r="E22" s="75"/>
      <c r="F22" s="75"/>
      <c r="G22" s="1221">
        <f>+$F18*'Tariff Schedule'!E$55</f>
        <v>2.3860000000000001</v>
      </c>
      <c r="H22" s="75"/>
      <c r="I22" s="75"/>
      <c r="J22" s="75"/>
      <c r="K22" s="1306"/>
      <c r="L22" s="628"/>
      <c r="M22" s="628">
        <f>+$M$18*Assum!F128</f>
        <v>1.4066369345417976E-2</v>
      </c>
      <c r="N22" s="628"/>
      <c r="O22" s="628"/>
      <c r="P22" s="628"/>
      <c r="Q22" s="628">
        <f>+G22*M22/10</f>
        <v>3.3562357258167296E-3</v>
      </c>
      <c r="R22" s="628"/>
      <c r="S22" s="628"/>
      <c r="T22" s="628"/>
      <c r="U22" s="628"/>
      <c r="V22" s="75"/>
      <c r="W22" s="628"/>
      <c r="X22" s="1221"/>
      <c r="Y22" s="75"/>
      <c r="Z22" s="1358"/>
    </row>
    <row r="23" spans="1:26" hidden="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2"/>
    </row>
    <row r="24" spans="1:26" ht="25.5" hidden="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2"/>
    </row>
    <row r="25" spans="1:26" x14ac:dyDescent="0.4">
      <c r="B25" s="518" t="s">
        <v>162</v>
      </c>
      <c r="C25" s="128">
        <f>SUM(C13:C24)</f>
        <v>5</v>
      </c>
      <c r="D25" s="1309">
        <f>SUM(D13:D24)</f>
        <v>0</v>
      </c>
      <c r="E25" s="1309"/>
      <c r="F25" s="1309"/>
      <c r="G25" s="1309"/>
      <c r="H25" s="1309"/>
      <c r="I25" s="1309">
        <f>SUM(I13:I24)</f>
        <v>0</v>
      </c>
      <c r="J25" s="1309">
        <f>SUM(J13:J24)</f>
        <v>0</v>
      </c>
      <c r="K25" s="1336">
        <f>SUM(K13:K24)</f>
        <v>34540</v>
      </c>
      <c r="L25" s="630">
        <f>+M13+M18</f>
        <v>246.2730233310258</v>
      </c>
      <c r="M25" s="630">
        <f>+M13+M18</f>
        <v>246.2730233310258</v>
      </c>
      <c r="N25" s="630">
        <f t="shared" ref="N25:W25" si="0">+N13+N18</f>
        <v>0</v>
      </c>
      <c r="O25" s="630">
        <f t="shared" si="0"/>
        <v>22.377600000000001</v>
      </c>
      <c r="P25" s="630">
        <f t="shared" si="0"/>
        <v>181.7716865308835</v>
      </c>
      <c r="Q25" s="630">
        <f t="shared" si="0"/>
        <v>-2.5992711216989974</v>
      </c>
      <c r="R25" s="630">
        <f t="shared" si="0"/>
        <v>18.224203726495912</v>
      </c>
      <c r="S25" s="630">
        <f t="shared" si="0"/>
        <v>0</v>
      </c>
      <c r="T25" s="630">
        <f t="shared" si="0"/>
        <v>0</v>
      </c>
      <c r="U25" s="630">
        <f t="shared" si="0"/>
        <v>219.7742191356804</v>
      </c>
      <c r="V25" s="630">
        <f t="shared" si="0"/>
        <v>0</v>
      </c>
      <c r="W25" s="630">
        <f t="shared" si="0"/>
        <v>219.7742191356804</v>
      </c>
      <c r="X25" s="1221">
        <f>IFERROR(W25/L25*10,0)</f>
        <v>8.9240070293965061</v>
      </c>
      <c r="Y25" s="75"/>
      <c r="Z25" s="2"/>
    </row>
    <row r="26" spans="1:26"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2"/>
    </row>
    <row r="27" spans="1:26" hidden="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2"/>
    </row>
    <row r="28" spans="1:26" hidden="1" x14ac:dyDescent="0.4">
      <c r="B28" s="520" t="s">
        <v>1106</v>
      </c>
      <c r="C28" s="1306">
        <f>+'F13 SEZ'!C211</f>
        <v>0</v>
      </c>
      <c r="D28" s="75"/>
      <c r="E28" s="75"/>
      <c r="F28" s="1359"/>
      <c r="G28" s="75"/>
      <c r="H28" s="75"/>
      <c r="I28" s="75"/>
      <c r="J28" s="75"/>
      <c r="K28" s="1306"/>
      <c r="L28" s="628">
        <f>+'F1 SEZ'!M19</f>
        <v>0</v>
      </c>
      <c r="M28" s="628"/>
      <c r="N28" s="628"/>
      <c r="O28" s="628"/>
      <c r="P28" s="628"/>
      <c r="Q28" s="628"/>
      <c r="R28" s="628"/>
      <c r="S28" s="628"/>
      <c r="T28" s="628"/>
      <c r="U28" s="628">
        <f>SUM(N28:T28)</f>
        <v>0</v>
      </c>
      <c r="V28" s="75"/>
      <c r="W28" s="628">
        <f>+U28+V28</f>
        <v>0</v>
      </c>
      <c r="X28" s="75"/>
      <c r="Y28" s="75"/>
      <c r="Z28" s="2"/>
    </row>
    <row r="29" spans="1:26" hidden="1" x14ac:dyDescent="0.4">
      <c r="B29" s="520" t="s">
        <v>1107</v>
      </c>
      <c r="C29" s="1306">
        <f>+'F13 SEZ'!C212</f>
        <v>0</v>
      </c>
      <c r="D29" s="75"/>
      <c r="E29" s="75"/>
      <c r="F29" s="1359"/>
      <c r="G29" s="75"/>
      <c r="H29" s="75"/>
      <c r="I29" s="75"/>
      <c r="J29" s="75"/>
      <c r="K29" s="1306"/>
      <c r="L29" s="628">
        <f>+'F1 SEZ'!M20</f>
        <v>0</v>
      </c>
      <c r="M29" s="628"/>
      <c r="N29" s="628"/>
      <c r="O29" s="628"/>
      <c r="P29" s="628"/>
      <c r="Q29" s="628"/>
      <c r="R29" s="628"/>
      <c r="S29" s="628"/>
      <c r="T29" s="628"/>
      <c r="U29" s="628">
        <f>SUM(N29:T29)</f>
        <v>0</v>
      </c>
      <c r="V29" s="75"/>
      <c r="W29" s="628">
        <f>+U29+V29</f>
        <v>0</v>
      </c>
      <c r="X29" s="75"/>
      <c r="Y29" s="75"/>
      <c r="Z29" s="2"/>
    </row>
    <row r="30" spans="1:26" hidden="1" x14ac:dyDescent="0.4">
      <c r="B30" s="520" t="s">
        <v>1108</v>
      </c>
      <c r="C30" s="1306">
        <f>+'F13 SEZ'!C213</f>
        <v>0</v>
      </c>
      <c r="D30" s="75"/>
      <c r="E30" s="75"/>
      <c r="F30" s="1359"/>
      <c r="G30" s="75"/>
      <c r="H30" s="75"/>
      <c r="I30" s="75"/>
      <c r="J30" s="75"/>
      <c r="K30" s="1306"/>
      <c r="L30" s="628">
        <f>+'F1 SEZ'!M21</f>
        <v>0</v>
      </c>
      <c r="M30" s="628"/>
      <c r="N30" s="628"/>
      <c r="O30" s="628"/>
      <c r="P30" s="628"/>
      <c r="Q30" s="628"/>
      <c r="R30" s="628"/>
      <c r="S30" s="628"/>
      <c r="T30" s="628"/>
      <c r="U30" s="628">
        <f>SUM(N30:T30)</f>
        <v>0</v>
      </c>
      <c r="V30" s="75"/>
      <c r="W30" s="628">
        <f>+U30+V30</f>
        <v>0</v>
      </c>
      <c r="X30" s="75"/>
      <c r="Y30" s="75"/>
      <c r="Z30" s="2"/>
    </row>
    <row r="31" spans="1:26" hidden="1" x14ac:dyDescent="0.4">
      <c r="B31" s="520" t="s">
        <v>1109</v>
      </c>
      <c r="C31" s="1306">
        <f>+'F13 SEZ'!C214</f>
        <v>0</v>
      </c>
      <c r="D31" s="75"/>
      <c r="E31" s="75"/>
      <c r="F31" s="1359"/>
      <c r="G31" s="75"/>
      <c r="H31" s="75"/>
      <c r="I31" s="75"/>
      <c r="J31" s="75"/>
      <c r="K31" s="1306"/>
      <c r="L31" s="628">
        <f>+'F1 SEZ'!M22</f>
        <v>0</v>
      </c>
      <c r="M31" s="628"/>
      <c r="N31" s="628"/>
      <c r="O31" s="628"/>
      <c r="P31" s="628"/>
      <c r="Q31" s="628"/>
      <c r="R31" s="628"/>
      <c r="S31" s="628"/>
      <c r="T31" s="628"/>
      <c r="U31" s="628">
        <f>SUM(N31:T31)</f>
        <v>0</v>
      </c>
      <c r="V31" s="75"/>
      <c r="W31" s="628">
        <f>+U31+V31</f>
        <v>0</v>
      </c>
      <c r="X31" s="75"/>
      <c r="Y31" s="75"/>
      <c r="Z31" s="2"/>
    </row>
    <row r="32" spans="1:26" hidden="1" x14ac:dyDescent="0.4">
      <c r="B32" s="520" t="s">
        <v>1110</v>
      </c>
      <c r="C32" s="1306">
        <f>+'F13 SEZ'!C215</f>
        <v>0</v>
      </c>
      <c r="D32" s="75"/>
      <c r="E32" s="75"/>
      <c r="F32" s="75"/>
      <c r="G32" s="75"/>
      <c r="H32" s="75"/>
      <c r="I32" s="75"/>
      <c r="J32" s="75"/>
      <c r="K32" s="1306"/>
      <c r="L32" s="628">
        <f>+'F1 SEZ'!M23</f>
        <v>0</v>
      </c>
      <c r="M32" s="628"/>
      <c r="N32" s="628"/>
      <c r="O32" s="628"/>
      <c r="P32" s="628"/>
      <c r="Q32" s="628"/>
      <c r="R32" s="628"/>
      <c r="S32" s="628"/>
      <c r="T32" s="628"/>
      <c r="U32" s="628">
        <f>SUM(N32:T32)</f>
        <v>0</v>
      </c>
      <c r="V32" s="75"/>
      <c r="W32" s="628">
        <f>+U32+V32</f>
        <v>0</v>
      </c>
      <c r="X32" s="75"/>
      <c r="Y32" s="75"/>
      <c r="Z32" s="2"/>
    </row>
    <row r="33" spans="1:26" hidden="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2"/>
    </row>
    <row r="34" spans="1:26" ht="25.5" hidden="1" x14ac:dyDescent="0.4">
      <c r="B34" s="1363" t="s">
        <v>1139</v>
      </c>
      <c r="C34" s="1307">
        <f>SUM(C35:C41)</f>
        <v>0</v>
      </c>
      <c r="D34" s="75"/>
      <c r="E34" s="75"/>
      <c r="F34" s="75"/>
      <c r="G34" s="75"/>
      <c r="H34" s="75"/>
      <c r="I34" s="75"/>
      <c r="J34" s="75"/>
      <c r="K34" s="1306"/>
      <c r="L34" s="628">
        <f>+'F1 SEZ'!M24</f>
        <v>0</v>
      </c>
      <c r="M34" s="628"/>
      <c r="N34" s="628"/>
      <c r="O34" s="628"/>
      <c r="P34" s="628"/>
      <c r="Q34" s="628"/>
      <c r="R34" s="628"/>
      <c r="S34" s="628"/>
      <c r="T34" s="628"/>
      <c r="U34" s="628">
        <f>SUM(N34:T34)</f>
        <v>0</v>
      </c>
      <c r="V34" s="75"/>
      <c r="W34" s="628">
        <f>+U34+V34</f>
        <v>0</v>
      </c>
      <c r="X34" s="75"/>
      <c r="Y34" s="75"/>
      <c r="Z34" s="2"/>
    </row>
    <row r="35" spans="1:26" hidden="1" x14ac:dyDescent="0.4">
      <c r="B35" s="1362" t="s">
        <v>1140</v>
      </c>
      <c r="C35" s="1306">
        <f>+'F13 SEZ'!C217</f>
        <v>0</v>
      </c>
      <c r="D35" s="75"/>
      <c r="E35" s="75"/>
      <c r="F35" s="75"/>
      <c r="G35" s="75"/>
      <c r="H35" s="75"/>
      <c r="I35" s="75"/>
      <c r="J35" s="75"/>
      <c r="K35" s="1306"/>
      <c r="L35" s="628">
        <f>+'F1 SEZ'!M25</f>
        <v>0</v>
      </c>
      <c r="M35" s="628"/>
      <c r="N35" s="628"/>
      <c r="O35" s="628"/>
      <c r="P35" s="628"/>
      <c r="Q35" s="628"/>
      <c r="R35" s="628"/>
      <c r="S35" s="628"/>
      <c r="T35" s="628"/>
      <c r="U35" s="628">
        <f>SUM(N35:T35)</f>
        <v>0</v>
      </c>
      <c r="V35" s="75"/>
      <c r="W35" s="628">
        <f>+U35+V35</f>
        <v>0</v>
      </c>
      <c r="X35" s="75"/>
      <c r="Y35" s="75"/>
      <c r="Z35" s="2"/>
    </row>
    <row r="36" spans="1:26" hidden="1" x14ac:dyDescent="0.4">
      <c r="B36" s="1362" t="s">
        <v>1144</v>
      </c>
      <c r="C36" s="1306">
        <f>+'F13 SEZ'!C218</f>
        <v>0</v>
      </c>
      <c r="D36" s="75"/>
      <c r="E36" s="75"/>
      <c r="F36" s="75"/>
      <c r="G36" s="75"/>
      <c r="H36" s="75"/>
      <c r="I36" s="75"/>
      <c r="J36" s="75"/>
      <c r="K36" s="1306"/>
      <c r="L36" s="628">
        <f>+'F1 SEZ'!M26</f>
        <v>0</v>
      </c>
      <c r="M36" s="628"/>
      <c r="N36" s="628"/>
      <c r="O36" s="628"/>
      <c r="P36" s="628"/>
      <c r="Q36" s="628"/>
      <c r="R36" s="628"/>
      <c r="S36" s="628"/>
      <c r="T36" s="628"/>
      <c r="U36" s="628">
        <f>SUM(N36:T36)</f>
        <v>0</v>
      </c>
      <c r="V36" s="75"/>
      <c r="W36" s="628">
        <f>+U36+V36</f>
        <v>0</v>
      </c>
      <c r="X36" s="75"/>
      <c r="Y36" s="75"/>
      <c r="Z36" s="2"/>
    </row>
    <row r="37" spans="1:26" hidden="1" x14ac:dyDescent="0.4">
      <c r="A37" s="1339"/>
      <c r="B37" s="1360" t="s">
        <v>1544</v>
      </c>
      <c r="C37" s="75"/>
      <c r="D37" s="75"/>
      <c r="E37" s="75"/>
      <c r="F37" s="75"/>
      <c r="G37" s="1221">
        <f>+$F36*'Tariff Schedule'!E$50</f>
        <v>0</v>
      </c>
      <c r="H37" s="75"/>
      <c r="I37" s="75"/>
      <c r="J37" s="75"/>
      <c r="K37" s="1306"/>
      <c r="L37" s="628"/>
      <c r="M37" s="628"/>
      <c r="N37" s="628"/>
      <c r="O37" s="628"/>
      <c r="P37" s="628"/>
      <c r="Q37" s="628">
        <f>+G37*M37/10</f>
        <v>0</v>
      </c>
      <c r="R37" s="628"/>
      <c r="S37" s="628"/>
      <c r="T37" s="628"/>
      <c r="U37" s="628"/>
      <c r="V37" s="75"/>
      <c r="W37" s="628"/>
      <c r="X37" s="1221"/>
      <c r="Y37" s="75"/>
      <c r="Z37" s="1358"/>
    </row>
    <row r="38" spans="1:26" hidden="1" x14ac:dyDescent="0.4">
      <c r="A38" s="1339"/>
      <c r="B38" s="1360" t="s">
        <v>1545</v>
      </c>
      <c r="C38" s="75"/>
      <c r="D38" s="75"/>
      <c r="E38" s="75"/>
      <c r="F38" s="75"/>
      <c r="G38" s="1221">
        <f>+$F36*'Tariff Schedule'!E$51</f>
        <v>0</v>
      </c>
      <c r="H38" s="75"/>
      <c r="I38" s="75"/>
      <c r="J38" s="75"/>
      <c r="K38" s="1306"/>
      <c r="L38" s="628"/>
      <c r="M38" s="628"/>
      <c r="N38" s="628"/>
      <c r="O38" s="628"/>
      <c r="P38" s="628"/>
      <c r="Q38" s="628">
        <f>+G38*M38/10</f>
        <v>0</v>
      </c>
      <c r="R38" s="628"/>
      <c r="S38" s="628"/>
      <c r="T38" s="628"/>
      <c r="U38" s="628"/>
      <c r="V38" s="75"/>
      <c r="W38" s="628"/>
      <c r="X38" s="1221"/>
      <c r="Y38" s="75"/>
      <c r="Z38" s="1358"/>
    </row>
    <row r="39" spans="1:26" hidden="1" x14ac:dyDescent="0.4">
      <c r="A39" s="1339"/>
      <c r="B39" s="1360" t="s">
        <v>1546</v>
      </c>
      <c r="C39" s="75"/>
      <c r="D39" s="75"/>
      <c r="E39" s="75"/>
      <c r="F39" s="75"/>
      <c r="G39" s="1221">
        <f>+$F36*'Tariff Schedule'!E$52</f>
        <v>0</v>
      </c>
      <c r="H39" s="75"/>
      <c r="I39" s="75"/>
      <c r="J39" s="75"/>
      <c r="K39" s="1306"/>
      <c r="L39" s="628"/>
      <c r="M39" s="628"/>
      <c r="N39" s="628"/>
      <c r="O39" s="628"/>
      <c r="P39" s="628"/>
      <c r="Q39" s="628">
        <f>+G39*M39/10</f>
        <v>0</v>
      </c>
      <c r="R39" s="628"/>
      <c r="S39" s="628"/>
      <c r="T39" s="628"/>
      <c r="U39" s="628"/>
      <c r="V39" s="75"/>
      <c r="W39" s="628"/>
      <c r="X39" s="1221"/>
      <c r="Y39" s="75"/>
      <c r="Z39" s="1358"/>
    </row>
    <row r="40" spans="1:26" hidden="1" x14ac:dyDescent="0.4">
      <c r="A40" s="1339"/>
      <c r="B40" s="1360" t="s">
        <v>1549</v>
      </c>
      <c r="C40" s="75"/>
      <c r="D40" s="75"/>
      <c r="E40" s="75"/>
      <c r="F40" s="75"/>
      <c r="G40" s="1221">
        <f>+$F36*'Tariff Schedule'!E$55</f>
        <v>0</v>
      </c>
      <c r="H40" s="75"/>
      <c r="I40" s="75"/>
      <c r="J40" s="75"/>
      <c r="K40" s="1306"/>
      <c r="L40" s="628"/>
      <c r="M40" s="628"/>
      <c r="N40" s="628"/>
      <c r="O40" s="628"/>
      <c r="P40" s="628"/>
      <c r="Q40" s="628">
        <f>+G40*M40/10</f>
        <v>0</v>
      </c>
      <c r="R40" s="628"/>
      <c r="S40" s="628"/>
      <c r="T40" s="628"/>
      <c r="U40" s="628"/>
      <c r="V40" s="75"/>
      <c r="W40" s="628"/>
      <c r="X40" s="1221"/>
      <c r="Y40" s="75"/>
      <c r="Z40" s="1358"/>
    </row>
    <row r="41" spans="1:26" hidden="1" x14ac:dyDescent="0.4">
      <c r="B41" s="1362" t="s">
        <v>1143</v>
      </c>
      <c r="C41" s="1306">
        <f>+'F13 SEZ'!C219</f>
        <v>0</v>
      </c>
      <c r="D41" s="75"/>
      <c r="E41" s="75"/>
      <c r="F41" s="75"/>
      <c r="G41" s="75"/>
      <c r="H41" s="75"/>
      <c r="I41" s="75"/>
      <c r="J41" s="75"/>
      <c r="K41" s="1306"/>
      <c r="L41" s="628">
        <f>+'F1 SEZ'!M27</f>
        <v>0</v>
      </c>
      <c r="M41" s="628"/>
      <c r="N41" s="628"/>
      <c r="O41" s="628"/>
      <c r="P41" s="628"/>
      <c r="Q41" s="628"/>
      <c r="R41" s="628"/>
      <c r="S41" s="628"/>
      <c r="T41" s="628"/>
      <c r="U41" s="628">
        <f>SUM(N41:T41)</f>
        <v>0</v>
      </c>
      <c r="V41" s="75"/>
      <c r="W41" s="628">
        <f>+U41+V41</f>
        <v>0</v>
      </c>
      <c r="X41" s="75"/>
      <c r="Y41" s="75"/>
      <c r="Z41" s="2"/>
    </row>
    <row r="42" spans="1:26" hidden="1" x14ac:dyDescent="0.4">
      <c r="A42" s="1339"/>
      <c r="B42" s="1360" t="s">
        <v>1544</v>
      </c>
      <c r="C42" s="75"/>
      <c r="D42" s="75"/>
      <c r="E42" s="75"/>
      <c r="F42" s="75"/>
      <c r="G42" s="1221">
        <f>+$F41*'Tariff Schedule'!E$50</f>
        <v>0</v>
      </c>
      <c r="H42" s="75"/>
      <c r="I42" s="75"/>
      <c r="J42" s="75"/>
      <c r="K42" s="1306"/>
      <c r="L42" s="628"/>
      <c r="M42" s="628"/>
      <c r="N42" s="628"/>
      <c r="O42" s="628"/>
      <c r="P42" s="628"/>
      <c r="Q42" s="628">
        <f>+G42*M42/10</f>
        <v>0</v>
      </c>
      <c r="R42" s="628"/>
      <c r="S42" s="628"/>
      <c r="T42" s="628"/>
      <c r="U42" s="628"/>
      <c r="V42" s="75"/>
      <c r="W42" s="628"/>
      <c r="X42" s="1221"/>
      <c r="Y42" s="75"/>
      <c r="Z42" s="1358"/>
    </row>
    <row r="43" spans="1:26" hidden="1" x14ac:dyDescent="0.4">
      <c r="A43" s="1339"/>
      <c r="B43" s="1360" t="s">
        <v>1545</v>
      </c>
      <c r="C43" s="75"/>
      <c r="D43" s="75"/>
      <c r="E43" s="75"/>
      <c r="F43" s="75"/>
      <c r="G43" s="1221">
        <f>+$F41*'Tariff Schedule'!E$51</f>
        <v>0</v>
      </c>
      <c r="H43" s="75"/>
      <c r="I43" s="75"/>
      <c r="J43" s="75"/>
      <c r="K43" s="1306"/>
      <c r="L43" s="628"/>
      <c r="M43" s="628"/>
      <c r="N43" s="628"/>
      <c r="O43" s="628"/>
      <c r="P43" s="628"/>
      <c r="Q43" s="628">
        <f>+G43*M43/10</f>
        <v>0</v>
      </c>
      <c r="R43" s="628"/>
      <c r="S43" s="628"/>
      <c r="T43" s="628"/>
      <c r="U43" s="628"/>
      <c r="V43" s="75"/>
      <c r="W43" s="628"/>
      <c r="X43" s="1221"/>
      <c r="Y43" s="75"/>
      <c r="Z43" s="1358"/>
    </row>
    <row r="44" spans="1:26" hidden="1" x14ac:dyDescent="0.4">
      <c r="A44" s="1339"/>
      <c r="B44" s="1360" t="s">
        <v>1546</v>
      </c>
      <c r="C44" s="75"/>
      <c r="D44" s="75"/>
      <c r="E44" s="75"/>
      <c r="F44" s="75"/>
      <c r="G44" s="1221">
        <f>+$F41*'Tariff Schedule'!E$52</f>
        <v>0</v>
      </c>
      <c r="H44" s="75"/>
      <c r="I44" s="75"/>
      <c r="J44" s="75"/>
      <c r="K44" s="1306"/>
      <c r="L44" s="628"/>
      <c r="M44" s="628"/>
      <c r="N44" s="628"/>
      <c r="O44" s="628"/>
      <c r="P44" s="628"/>
      <c r="Q44" s="628">
        <f>+G44*M44/10</f>
        <v>0</v>
      </c>
      <c r="R44" s="628"/>
      <c r="S44" s="628"/>
      <c r="T44" s="628"/>
      <c r="U44" s="628"/>
      <c r="V44" s="75"/>
      <c r="W44" s="628"/>
      <c r="X44" s="1221"/>
      <c r="Y44" s="75"/>
      <c r="Z44" s="1358"/>
    </row>
    <row r="45" spans="1:26" hidden="1" x14ac:dyDescent="0.4">
      <c r="A45" s="1339"/>
      <c r="B45" s="1360" t="s">
        <v>1549</v>
      </c>
      <c r="C45" s="75"/>
      <c r="D45" s="75"/>
      <c r="E45" s="75"/>
      <c r="F45" s="75"/>
      <c r="G45" s="1221">
        <f>+$F41*'Tariff Schedule'!E$55</f>
        <v>0</v>
      </c>
      <c r="H45" s="75"/>
      <c r="I45" s="75"/>
      <c r="J45" s="75"/>
      <c r="K45" s="1306"/>
      <c r="L45" s="628"/>
      <c r="M45" s="628"/>
      <c r="N45" s="628"/>
      <c r="O45" s="628"/>
      <c r="P45" s="628"/>
      <c r="Q45" s="628">
        <f>+G45*M45/10</f>
        <v>0</v>
      </c>
      <c r="R45" s="628"/>
      <c r="S45" s="628"/>
      <c r="T45" s="628"/>
      <c r="U45" s="628"/>
      <c r="V45" s="75"/>
      <c r="W45" s="628"/>
      <c r="X45" s="1221"/>
      <c r="Y45" s="75"/>
      <c r="Z45" s="1358"/>
    </row>
    <row r="46" spans="1:26" ht="25.5" hidden="1" x14ac:dyDescent="0.4">
      <c r="B46" s="519" t="s">
        <v>1111</v>
      </c>
      <c r="C46" s="1306">
        <f>+'F13 SEZ'!C220</f>
        <v>0</v>
      </c>
      <c r="D46" s="75"/>
      <c r="E46" s="75"/>
      <c r="F46" s="75"/>
      <c r="G46" s="75"/>
      <c r="H46" s="75"/>
      <c r="I46" s="75"/>
      <c r="J46" s="75"/>
      <c r="K46" s="1306"/>
      <c r="L46" s="628">
        <f>+'F1 SEZ'!M28</f>
        <v>0</v>
      </c>
      <c r="M46" s="628"/>
      <c r="N46" s="628"/>
      <c r="O46" s="628"/>
      <c r="P46" s="628"/>
      <c r="Q46" s="628"/>
      <c r="R46" s="628"/>
      <c r="S46" s="628"/>
      <c r="T46" s="628"/>
      <c r="U46" s="628">
        <f>SUM(N46:T46)</f>
        <v>0</v>
      </c>
      <c r="V46" s="75"/>
      <c r="W46" s="628">
        <f>+U46+V46</f>
        <v>0</v>
      </c>
      <c r="X46" s="75"/>
      <c r="Y46" s="75"/>
      <c r="Z46" s="2"/>
    </row>
    <row r="47" spans="1:26" hidden="1" x14ac:dyDescent="0.4">
      <c r="A47" s="1339"/>
      <c r="B47" s="1360" t="s">
        <v>1544</v>
      </c>
      <c r="C47" s="75"/>
      <c r="D47" s="75"/>
      <c r="E47" s="75"/>
      <c r="F47" s="75"/>
      <c r="G47" s="1221">
        <f>+$F46*'Tariff Schedule'!E$50</f>
        <v>0</v>
      </c>
      <c r="H47" s="75"/>
      <c r="I47" s="75"/>
      <c r="J47" s="75"/>
      <c r="K47" s="1306"/>
      <c r="L47" s="628"/>
      <c r="M47" s="628"/>
      <c r="N47" s="628"/>
      <c r="O47" s="628"/>
      <c r="P47" s="628"/>
      <c r="Q47" s="628">
        <f>+G47*M47/10</f>
        <v>0</v>
      </c>
      <c r="R47" s="628"/>
      <c r="S47" s="628"/>
      <c r="T47" s="628"/>
      <c r="U47" s="628"/>
      <c r="V47" s="75"/>
      <c r="W47" s="628"/>
      <c r="X47" s="1221"/>
      <c r="Y47" s="75"/>
      <c r="Z47" s="1358"/>
    </row>
    <row r="48" spans="1:26" hidden="1" x14ac:dyDescent="0.4">
      <c r="A48" s="1339"/>
      <c r="B48" s="1360" t="s">
        <v>1545</v>
      </c>
      <c r="C48" s="75"/>
      <c r="D48" s="75"/>
      <c r="E48" s="75"/>
      <c r="F48" s="75"/>
      <c r="G48" s="1221">
        <f>+$F46*'Tariff Schedule'!E$51</f>
        <v>0</v>
      </c>
      <c r="H48" s="75"/>
      <c r="I48" s="75"/>
      <c r="J48" s="75"/>
      <c r="K48" s="1306"/>
      <c r="L48" s="628"/>
      <c r="M48" s="628"/>
      <c r="N48" s="628"/>
      <c r="O48" s="628"/>
      <c r="P48" s="628"/>
      <c r="Q48" s="628">
        <f>+G48*M48/10</f>
        <v>0</v>
      </c>
      <c r="R48" s="628"/>
      <c r="S48" s="628"/>
      <c r="T48" s="628"/>
      <c r="U48" s="628"/>
      <c r="V48" s="75"/>
      <c r="W48" s="628"/>
      <c r="X48" s="1221"/>
      <c r="Y48" s="75"/>
      <c r="Z48" s="1358"/>
    </row>
    <row r="49" spans="1:26" hidden="1" x14ac:dyDescent="0.4">
      <c r="A49" s="1339"/>
      <c r="B49" s="1360" t="s">
        <v>1546</v>
      </c>
      <c r="C49" s="75"/>
      <c r="D49" s="75"/>
      <c r="E49" s="75"/>
      <c r="F49" s="75"/>
      <c r="G49" s="1221">
        <f>+$F46*'Tariff Schedule'!E$52</f>
        <v>0</v>
      </c>
      <c r="H49" s="75"/>
      <c r="I49" s="75"/>
      <c r="J49" s="75"/>
      <c r="K49" s="1306"/>
      <c r="L49" s="628"/>
      <c r="M49" s="628"/>
      <c r="N49" s="628"/>
      <c r="O49" s="628"/>
      <c r="P49" s="628"/>
      <c r="Q49" s="628">
        <f>+G49*M49/10</f>
        <v>0</v>
      </c>
      <c r="R49" s="628"/>
      <c r="S49" s="628"/>
      <c r="T49" s="628"/>
      <c r="U49" s="628"/>
      <c r="V49" s="75"/>
      <c r="W49" s="628"/>
      <c r="X49" s="1221"/>
      <c r="Y49" s="75"/>
      <c r="Z49" s="1358"/>
    </row>
    <row r="50" spans="1:26" hidden="1" x14ac:dyDescent="0.4">
      <c r="A50" s="1339"/>
      <c r="B50" s="1360" t="s">
        <v>1549</v>
      </c>
      <c r="C50" s="75"/>
      <c r="D50" s="75"/>
      <c r="E50" s="75"/>
      <c r="F50" s="75"/>
      <c r="G50" s="1221">
        <f>+$F46*'Tariff Schedule'!E$55</f>
        <v>0</v>
      </c>
      <c r="H50" s="75"/>
      <c r="I50" s="75"/>
      <c r="J50" s="75"/>
      <c r="K50" s="1306"/>
      <c r="L50" s="628"/>
      <c r="M50" s="628"/>
      <c r="N50" s="628"/>
      <c r="O50" s="628"/>
      <c r="P50" s="628"/>
      <c r="Q50" s="628">
        <f>+G50*M50/10</f>
        <v>0</v>
      </c>
      <c r="R50" s="628"/>
      <c r="S50" s="628"/>
      <c r="T50" s="628"/>
      <c r="U50" s="628"/>
      <c r="V50" s="75"/>
      <c r="W50" s="628"/>
      <c r="X50" s="1221"/>
      <c r="Y50" s="75"/>
      <c r="Z50" s="1358"/>
    </row>
    <row r="51" spans="1:26" s="6" customFormat="1" ht="25.5" x14ac:dyDescent="0.35">
      <c r="B51" s="1363" t="s">
        <v>1135</v>
      </c>
      <c r="C51" s="128">
        <f>+'F13.3'!C51</f>
        <v>1</v>
      </c>
      <c r="D51" s="128">
        <f>+'Tariff Schedule'!F26</f>
        <v>600</v>
      </c>
      <c r="E51" s="128"/>
      <c r="F51" s="1365">
        <f>+'Tariff Schedule'!M26</f>
        <v>5.43</v>
      </c>
      <c r="G51" s="128"/>
      <c r="H51" s="1365">
        <f>+'Tariff Schedule'!R26</f>
        <v>1.17</v>
      </c>
      <c r="I51" s="128"/>
      <c r="J51" s="128"/>
      <c r="K51" s="1336">
        <v>19</v>
      </c>
      <c r="L51" s="630">
        <f>+'F1 SEZ'!M29</f>
        <v>0.45039804303970876</v>
      </c>
      <c r="M51" s="630">
        <f>+L51/Z51</f>
        <v>0.45958983983643753</v>
      </c>
      <c r="N51" s="630">
        <f>+C51*D51*12/10^7</f>
        <v>7.2000000000000005E-4</v>
      </c>
      <c r="O51" s="630"/>
      <c r="P51" s="630">
        <f>(L51*F51)/10</f>
        <v>0.24456613737056182</v>
      </c>
      <c r="Q51" s="630"/>
      <c r="R51" s="630">
        <f>(L51*H51)/10</f>
        <v>5.2696571035645921E-2</v>
      </c>
      <c r="S51" s="630"/>
      <c r="T51" s="630"/>
      <c r="U51" s="630">
        <f>SUM(N51:T51)</f>
        <v>0.29798270840620772</v>
      </c>
      <c r="V51" s="128"/>
      <c r="W51" s="630">
        <f>+U51+V51</f>
        <v>0.29798270840620772</v>
      </c>
      <c r="X51" s="1222">
        <f>IFERROR(W51/L51*10,0)</f>
        <v>6.6159858598661021</v>
      </c>
      <c r="Y51" s="128"/>
      <c r="Z51" s="1366">
        <f>+'Tariff Schedule'!X26</f>
        <v>0.98</v>
      </c>
    </row>
    <row r="52" spans="1:26" ht="38.25" hidden="1" x14ac:dyDescent="0.4">
      <c r="B52" s="519" t="s">
        <v>1136</v>
      </c>
      <c r="C52" s="1306">
        <f>+'F13 SEZ'!C222</f>
        <v>0</v>
      </c>
      <c r="D52" s="75"/>
      <c r="E52" s="75"/>
      <c r="F52" s="75"/>
      <c r="G52" s="75"/>
      <c r="H52" s="75"/>
      <c r="I52" s="75"/>
      <c r="J52" s="75"/>
      <c r="K52" s="1306"/>
      <c r="L52" s="628">
        <f>+'F1 SEZ'!M30</f>
        <v>0</v>
      </c>
      <c r="M52" s="628"/>
      <c r="N52" s="628"/>
      <c r="O52" s="628"/>
      <c r="P52" s="628"/>
      <c r="Q52" s="628"/>
      <c r="R52" s="628"/>
      <c r="S52" s="628"/>
      <c r="T52" s="628"/>
      <c r="U52" s="628">
        <f>SUM(N52:T52)</f>
        <v>0</v>
      </c>
      <c r="V52" s="75"/>
      <c r="W52" s="628">
        <f>+U52+V52</f>
        <v>0</v>
      </c>
      <c r="X52" s="75"/>
      <c r="Y52" s="75"/>
      <c r="Z52" s="2"/>
    </row>
    <row r="53" spans="1:26" hidden="1" x14ac:dyDescent="0.4">
      <c r="A53" s="1339"/>
      <c r="B53" s="1360" t="s">
        <v>1544</v>
      </c>
      <c r="C53" s="75"/>
      <c r="D53" s="75"/>
      <c r="E53" s="75"/>
      <c r="F53" s="75"/>
      <c r="G53" s="1221">
        <f>+$F52*'Tariff Schedule'!E$50</f>
        <v>0</v>
      </c>
      <c r="H53" s="75"/>
      <c r="I53" s="75"/>
      <c r="J53" s="75"/>
      <c r="K53" s="1306"/>
      <c r="L53" s="628"/>
      <c r="M53" s="628"/>
      <c r="N53" s="628"/>
      <c r="O53" s="628"/>
      <c r="P53" s="628"/>
      <c r="Q53" s="628">
        <f>+G53*M53/10</f>
        <v>0</v>
      </c>
      <c r="R53" s="628"/>
      <c r="S53" s="628"/>
      <c r="T53" s="628"/>
      <c r="U53" s="628"/>
      <c r="V53" s="75"/>
      <c r="W53" s="628"/>
      <c r="X53" s="1221"/>
      <c r="Y53" s="75"/>
      <c r="Z53" s="1358"/>
    </row>
    <row r="54" spans="1:26" hidden="1" x14ac:dyDescent="0.4">
      <c r="A54" s="1339"/>
      <c r="B54" s="1360" t="s">
        <v>1545</v>
      </c>
      <c r="C54" s="75"/>
      <c r="D54" s="75"/>
      <c r="E54" s="75"/>
      <c r="F54" s="75"/>
      <c r="G54" s="1221">
        <f>+$F52*'Tariff Schedule'!E$51</f>
        <v>0</v>
      </c>
      <c r="H54" s="75"/>
      <c r="I54" s="75"/>
      <c r="J54" s="75"/>
      <c r="K54" s="1306"/>
      <c r="L54" s="628"/>
      <c r="M54" s="628"/>
      <c r="N54" s="628"/>
      <c r="O54" s="628"/>
      <c r="P54" s="628"/>
      <c r="Q54" s="628">
        <f>+G54*M54/10</f>
        <v>0</v>
      </c>
      <c r="R54" s="628"/>
      <c r="S54" s="628"/>
      <c r="T54" s="628"/>
      <c r="U54" s="628"/>
      <c r="V54" s="75"/>
      <c r="W54" s="628"/>
      <c r="X54" s="1221"/>
      <c r="Y54" s="75"/>
      <c r="Z54" s="1358"/>
    </row>
    <row r="55" spans="1:26" hidden="1" x14ac:dyDescent="0.4">
      <c r="A55" s="1339"/>
      <c r="B55" s="1360" t="s">
        <v>1546</v>
      </c>
      <c r="C55" s="75"/>
      <c r="D55" s="75"/>
      <c r="E55" s="75"/>
      <c r="F55" s="75"/>
      <c r="G55" s="1221">
        <f>+$F52*'Tariff Schedule'!E$52</f>
        <v>0</v>
      </c>
      <c r="H55" s="75"/>
      <c r="I55" s="75"/>
      <c r="J55" s="75"/>
      <c r="K55" s="1306"/>
      <c r="L55" s="628"/>
      <c r="M55" s="628"/>
      <c r="N55" s="628"/>
      <c r="O55" s="628"/>
      <c r="P55" s="628"/>
      <c r="Q55" s="628">
        <f>+G55*M55/10</f>
        <v>0</v>
      </c>
      <c r="R55" s="628"/>
      <c r="S55" s="628"/>
      <c r="T55" s="628"/>
      <c r="U55" s="628"/>
      <c r="V55" s="75"/>
      <c r="W55" s="628"/>
      <c r="X55" s="1221"/>
      <c r="Y55" s="75"/>
      <c r="Z55" s="1358"/>
    </row>
    <row r="56" spans="1:26" hidden="1" x14ac:dyDescent="0.4">
      <c r="A56" s="1339"/>
      <c r="B56" s="1360" t="s">
        <v>1549</v>
      </c>
      <c r="C56" s="75"/>
      <c r="D56" s="75"/>
      <c r="E56" s="75"/>
      <c r="F56" s="75"/>
      <c r="G56" s="1221">
        <f>+$F52*'Tariff Schedule'!E$55</f>
        <v>0</v>
      </c>
      <c r="H56" s="75"/>
      <c r="I56" s="75"/>
      <c r="J56" s="75"/>
      <c r="K56" s="1306"/>
      <c r="L56" s="628"/>
      <c r="M56" s="628"/>
      <c r="N56" s="628"/>
      <c r="O56" s="628"/>
      <c r="P56" s="628"/>
      <c r="Q56" s="628">
        <f>+G56*M56/10</f>
        <v>0</v>
      </c>
      <c r="R56" s="628"/>
      <c r="S56" s="628"/>
      <c r="T56" s="628"/>
      <c r="U56" s="628"/>
      <c r="V56" s="75"/>
      <c r="W56" s="628"/>
      <c r="X56" s="1221"/>
      <c r="Y56" s="75"/>
      <c r="Z56" s="1358"/>
    </row>
    <row r="57" spans="1:26" hidden="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2"/>
    </row>
    <row r="58" spans="1:26" ht="25.5" hidden="1" x14ac:dyDescent="0.4">
      <c r="B58" s="519" t="s">
        <v>1142</v>
      </c>
      <c r="C58" s="1306">
        <f>+'F13 SEZ'!C223</f>
        <v>0</v>
      </c>
      <c r="D58" s="75"/>
      <c r="E58" s="75"/>
      <c r="F58" s="75"/>
      <c r="G58" s="75"/>
      <c r="H58" s="75"/>
      <c r="I58" s="75"/>
      <c r="J58" s="75"/>
      <c r="K58" s="1306"/>
      <c r="L58" s="628">
        <f>+'F1 SEZ'!M31</f>
        <v>0</v>
      </c>
      <c r="M58" s="628"/>
      <c r="N58" s="628"/>
      <c r="O58" s="628"/>
      <c r="P58" s="628"/>
      <c r="Q58" s="628"/>
      <c r="R58" s="628"/>
      <c r="S58" s="628"/>
      <c r="T58" s="628"/>
      <c r="U58" s="628">
        <f>SUM(N58:T58)</f>
        <v>0</v>
      </c>
      <c r="V58" s="75"/>
      <c r="W58" s="628">
        <f>+U58+V58</f>
        <v>0</v>
      </c>
      <c r="X58" s="75"/>
      <c r="Y58" s="75"/>
      <c r="Z58" s="2"/>
    </row>
    <row r="59" spans="1:26" hidden="1" x14ac:dyDescent="0.4">
      <c r="A59" s="1339"/>
      <c r="B59" s="1360" t="s">
        <v>1544</v>
      </c>
      <c r="C59" s="75"/>
      <c r="D59" s="75"/>
      <c r="E59" s="75"/>
      <c r="F59" s="75"/>
      <c r="G59" s="1221">
        <f>+$F58*'Tariff Schedule'!E$50</f>
        <v>0</v>
      </c>
      <c r="H59" s="75"/>
      <c r="I59" s="75"/>
      <c r="J59" s="75"/>
      <c r="K59" s="1306"/>
      <c r="L59" s="628"/>
      <c r="M59" s="628"/>
      <c r="N59" s="628"/>
      <c r="O59" s="628"/>
      <c r="P59" s="628"/>
      <c r="Q59" s="628">
        <f>+G59*M59/10</f>
        <v>0</v>
      </c>
      <c r="R59" s="628"/>
      <c r="S59" s="628"/>
      <c r="T59" s="628"/>
      <c r="U59" s="628"/>
      <c r="V59" s="75"/>
      <c r="W59" s="628"/>
      <c r="X59" s="1221"/>
      <c r="Y59" s="75"/>
      <c r="Z59" s="1358"/>
    </row>
    <row r="60" spans="1:26" hidden="1" x14ac:dyDescent="0.4">
      <c r="A60" s="1339"/>
      <c r="B60" s="1360" t="s">
        <v>1545</v>
      </c>
      <c r="C60" s="75"/>
      <c r="D60" s="75"/>
      <c r="E60" s="75"/>
      <c r="F60" s="75"/>
      <c r="G60" s="1221">
        <f>+$F58*'Tariff Schedule'!E$51</f>
        <v>0</v>
      </c>
      <c r="H60" s="75"/>
      <c r="I60" s="75"/>
      <c r="J60" s="75"/>
      <c r="K60" s="1306"/>
      <c r="L60" s="628"/>
      <c r="M60" s="628"/>
      <c r="N60" s="628"/>
      <c r="O60" s="628"/>
      <c r="P60" s="628"/>
      <c r="Q60" s="628">
        <f>+G60*M60/10</f>
        <v>0</v>
      </c>
      <c r="R60" s="628"/>
      <c r="S60" s="628"/>
      <c r="T60" s="628"/>
      <c r="U60" s="628"/>
      <c r="V60" s="75"/>
      <c r="W60" s="628"/>
      <c r="X60" s="1221"/>
      <c r="Y60" s="75"/>
      <c r="Z60" s="1358"/>
    </row>
    <row r="61" spans="1:26" hidden="1" x14ac:dyDescent="0.4">
      <c r="A61" s="1339"/>
      <c r="B61" s="1360" t="s">
        <v>1546</v>
      </c>
      <c r="C61" s="75"/>
      <c r="D61" s="75"/>
      <c r="E61" s="75"/>
      <c r="F61" s="75"/>
      <c r="G61" s="1221">
        <f>+$F58*'Tariff Schedule'!E$52</f>
        <v>0</v>
      </c>
      <c r="H61" s="75"/>
      <c r="I61" s="75"/>
      <c r="J61" s="75"/>
      <c r="K61" s="1306"/>
      <c r="L61" s="628"/>
      <c r="M61" s="628"/>
      <c r="N61" s="628"/>
      <c r="O61" s="628"/>
      <c r="P61" s="628"/>
      <c r="Q61" s="628">
        <f>+G61*M61/10</f>
        <v>0</v>
      </c>
      <c r="R61" s="628"/>
      <c r="S61" s="628"/>
      <c r="T61" s="628"/>
      <c r="U61" s="628"/>
      <c r="V61" s="75"/>
      <c r="W61" s="628"/>
      <c r="X61" s="1221"/>
      <c r="Y61" s="75"/>
      <c r="Z61" s="1358"/>
    </row>
    <row r="62" spans="1:26" hidden="1" x14ac:dyDescent="0.4">
      <c r="A62" s="1339"/>
      <c r="B62" s="1360" t="s">
        <v>1549</v>
      </c>
      <c r="C62" s="75"/>
      <c r="D62" s="75"/>
      <c r="E62" s="75"/>
      <c r="F62" s="75"/>
      <c r="G62" s="1221">
        <f>+$F58*'Tariff Schedule'!E$55</f>
        <v>0</v>
      </c>
      <c r="H62" s="75"/>
      <c r="I62" s="75"/>
      <c r="J62" s="75"/>
      <c r="K62" s="1306"/>
      <c r="L62" s="628"/>
      <c r="M62" s="628"/>
      <c r="N62" s="628"/>
      <c r="O62" s="628"/>
      <c r="P62" s="628"/>
      <c r="Q62" s="628">
        <f>+G62*M62/10</f>
        <v>0</v>
      </c>
      <c r="R62" s="628"/>
      <c r="S62" s="628"/>
      <c r="T62" s="628"/>
      <c r="U62" s="628"/>
      <c r="V62" s="75"/>
      <c r="W62" s="628"/>
      <c r="X62" s="1221"/>
      <c r="Y62" s="75"/>
      <c r="Z62" s="1358"/>
    </row>
    <row r="63" spans="1:26" x14ac:dyDescent="0.4">
      <c r="B63" s="518" t="s">
        <v>162</v>
      </c>
      <c r="C63" s="1308">
        <f>+C27+C34+C46+C51+C52+C58</f>
        <v>1</v>
      </c>
      <c r="D63" s="1308"/>
      <c r="E63" s="1310"/>
      <c r="F63" s="1310"/>
      <c r="G63" s="1310"/>
      <c r="H63" s="1310"/>
      <c r="I63" s="1310"/>
      <c r="J63" s="1310"/>
      <c r="K63" s="1308">
        <f>+K27+K34+K46+K51+K52+K58</f>
        <v>19</v>
      </c>
      <c r="L63" s="630">
        <f>+M27+M34+M46+M51+M52+M58</f>
        <v>0.45958983983643753</v>
      </c>
      <c r="M63" s="630">
        <f t="shared" ref="M63:W63" si="1">+M27+M34+M46+M51+M52+M58</f>
        <v>0.45958983983643753</v>
      </c>
      <c r="N63" s="630">
        <f t="shared" si="1"/>
        <v>7.2000000000000005E-4</v>
      </c>
      <c r="O63" s="630">
        <f t="shared" si="1"/>
        <v>0</v>
      </c>
      <c r="P63" s="630">
        <f t="shared" si="1"/>
        <v>0.24456613737056182</v>
      </c>
      <c r="Q63" s="630">
        <f t="shared" si="1"/>
        <v>0</v>
      </c>
      <c r="R63" s="630">
        <f t="shared" si="1"/>
        <v>5.2696571035645921E-2</v>
      </c>
      <c r="S63" s="630">
        <f t="shared" si="1"/>
        <v>0</v>
      </c>
      <c r="T63" s="630">
        <f t="shared" si="1"/>
        <v>0</v>
      </c>
      <c r="U63" s="630">
        <f t="shared" si="1"/>
        <v>0.29798270840620772</v>
      </c>
      <c r="V63" s="630">
        <f t="shared" si="1"/>
        <v>0</v>
      </c>
      <c r="W63" s="630">
        <f t="shared" si="1"/>
        <v>0.29798270840620772</v>
      </c>
      <c r="X63" s="1222">
        <f>IFERROR(W63/L63*10,0)</f>
        <v>6.4836661426687794</v>
      </c>
      <c r="Y63" s="75"/>
      <c r="Z63" s="2"/>
    </row>
    <row r="64" spans="1:26"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75"/>
      <c r="Z64" s="2"/>
    </row>
    <row r="65" spans="1:26" x14ac:dyDescent="0.4">
      <c r="B65" s="119" t="s">
        <v>164</v>
      </c>
      <c r="C65" s="1308">
        <f t="shared" ref="C65:K65" si="2">+C63+C25</f>
        <v>6</v>
      </c>
      <c r="D65" s="1309">
        <f t="shared" si="2"/>
        <v>0</v>
      </c>
      <c r="E65" s="1309">
        <f t="shared" si="2"/>
        <v>0</v>
      </c>
      <c r="F65" s="1309">
        <f t="shared" si="2"/>
        <v>0</v>
      </c>
      <c r="G65" s="1309">
        <f t="shared" si="2"/>
        <v>0</v>
      </c>
      <c r="H65" s="1309">
        <f t="shared" si="2"/>
        <v>0</v>
      </c>
      <c r="I65" s="1309">
        <f t="shared" si="2"/>
        <v>0</v>
      </c>
      <c r="J65" s="1309">
        <f t="shared" si="2"/>
        <v>0</v>
      </c>
      <c r="K65" s="1336">
        <f t="shared" si="2"/>
        <v>34559</v>
      </c>
      <c r="L65" s="630">
        <f>+M63+M25</f>
        <v>246.73261317086224</v>
      </c>
      <c r="M65" s="630">
        <f t="shared" ref="M65:W65" si="3">+M63+M25</f>
        <v>246.73261317086224</v>
      </c>
      <c r="N65" s="630">
        <f t="shared" si="3"/>
        <v>7.2000000000000005E-4</v>
      </c>
      <c r="O65" s="630">
        <f t="shared" si="3"/>
        <v>22.377600000000001</v>
      </c>
      <c r="P65" s="630">
        <f t="shared" si="3"/>
        <v>182.01625266825405</v>
      </c>
      <c r="Q65" s="630">
        <f t="shared" si="3"/>
        <v>-2.5992711216989974</v>
      </c>
      <c r="R65" s="630">
        <f t="shared" si="3"/>
        <v>18.276900297531558</v>
      </c>
      <c r="S65" s="630">
        <f t="shared" si="3"/>
        <v>0</v>
      </c>
      <c r="T65" s="630">
        <f t="shared" si="3"/>
        <v>0</v>
      </c>
      <c r="U65" s="630">
        <f t="shared" si="3"/>
        <v>220.07220184408661</v>
      </c>
      <c r="V65" s="1309">
        <f t="shared" si="3"/>
        <v>0</v>
      </c>
      <c r="W65" s="630">
        <f t="shared" si="3"/>
        <v>220.07220184408661</v>
      </c>
      <c r="X65" s="1222">
        <f>IFERROR(W65/L65*10,0)</f>
        <v>8.9194613965234772</v>
      </c>
      <c r="Y65" s="75"/>
      <c r="Z65" s="2"/>
    </row>
    <row r="66" spans="1:26"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2"/>
    </row>
    <row r="67" spans="1:26" x14ac:dyDescent="0.4">
      <c r="B67" s="118"/>
      <c r="C67" s="103"/>
      <c r="D67" s="103"/>
      <c r="E67" s="103"/>
      <c r="F67" s="103"/>
      <c r="G67" s="103"/>
      <c r="H67" s="103"/>
      <c r="I67" s="103"/>
      <c r="J67" s="103"/>
      <c r="K67" s="1333"/>
      <c r="L67" s="1328"/>
      <c r="M67" s="1328"/>
      <c r="N67" s="1328"/>
      <c r="O67" s="103"/>
      <c r="P67" s="103"/>
      <c r="Q67" s="103"/>
      <c r="R67" s="103"/>
      <c r="S67" s="103"/>
      <c r="T67" s="103"/>
      <c r="U67" s="103"/>
      <c r="V67" s="103"/>
      <c r="W67" s="1328"/>
      <c r="X67" s="103"/>
      <c r="Y67" s="103"/>
    </row>
    <row r="68" spans="1:26" x14ac:dyDescent="0.4">
      <c r="B68" s="7" t="s">
        <v>740</v>
      </c>
      <c r="C68" s="7"/>
      <c r="D68" s="7"/>
      <c r="E68" s="7"/>
      <c r="F68" s="7"/>
      <c r="G68" s="7"/>
      <c r="H68" s="7"/>
      <c r="I68" s="7"/>
      <c r="J68" s="7"/>
      <c r="K68" s="1337"/>
      <c r="L68" s="1330"/>
      <c r="M68" s="1330"/>
      <c r="N68" s="1330"/>
      <c r="O68" s="7"/>
      <c r="P68" s="7"/>
      <c r="Q68" s="7"/>
      <c r="R68" s="7"/>
      <c r="S68" s="7"/>
      <c r="T68" s="7"/>
      <c r="U68" s="7"/>
      <c r="V68" s="7"/>
      <c r="W68" s="1330"/>
      <c r="X68" s="7"/>
      <c r="Y68" s="7"/>
    </row>
    <row r="69" spans="1:26"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row>
    <row r="70" spans="1:26"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row>
    <row r="72" spans="1:26" x14ac:dyDescent="0.4">
      <c r="B72" s="131" t="s">
        <v>748</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row>
    <row r="73" spans="1:26" x14ac:dyDescent="0.4">
      <c r="B73" s="131" t="s">
        <v>1560</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row>
    <row r="74" spans="1:26"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row>
    <row r="75" spans="1:26"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947" t="s">
        <v>1570</v>
      </c>
    </row>
    <row r="76" spans="1:26"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947"/>
    </row>
    <row r="77" spans="1:26"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2"/>
    </row>
    <row r="78" spans="1:26" s="6" customFormat="1" ht="13.5" x14ac:dyDescent="0.35">
      <c r="A78" s="1364">
        <f>+'F13.2'!A78</f>
        <v>0.9</v>
      </c>
      <c r="B78" s="517" t="s">
        <v>1129</v>
      </c>
      <c r="C78" s="128">
        <f>+'F13.3'!C78</f>
        <v>1</v>
      </c>
      <c r="D78" s="128"/>
      <c r="E78" s="128">
        <f>+'Tariff Schedule'!F14</f>
        <v>600</v>
      </c>
      <c r="F78" s="1365">
        <f>+'Tariff Schedule'!M14</f>
        <v>7.38</v>
      </c>
      <c r="G78" s="128"/>
      <c r="H78" s="1365">
        <f>+'Tariff Schedule'!S14</f>
        <v>0.74</v>
      </c>
      <c r="I78" s="128"/>
      <c r="J78" s="128"/>
      <c r="K78" s="1336">
        <v>211</v>
      </c>
      <c r="L78" s="630">
        <f>+'F1 Non-SEZ'!M12</f>
        <v>0.18479900000000216</v>
      </c>
      <c r="M78" s="630">
        <f>+L78/Z78</f>
        <v>0.18666565656565876</v>
      </c>
      <c r="N78" s="630"/>
      <c r="O78" s="630">
        <f>(K78*E78)*12/10^7*A78</f>
        <v>0.13672800000000002</v>
      </c>
      <c r="P78" s="630">
        <f>(M78*F78)/10</f>
        <v>0.13775925454545618</v>
      </c>
      <c r="Q78" s="630">
        <f>SUM(Q79:Q82)</f>
        <v>-1.9689857787583906E-3</v>
      </c>
      <c r="R78" s="630">
        <f>(M78*H78)/10</f>
        <v>1.3813258585858749E-2</v>
      </c>
      <c r="S78" s="630"/>
      <c r="T78" s="630"/>
      <c r="U78" s="630">
        <f>SUM(N78:T78)</f>
        <v>0.28633152735255657</v>
      </c>
      <c r="V78" s="128"/>
      <c r="W78" s="630">
        <f>+U78+V78</f>
        <v>0.28633152735255657</v>
      </c>
      <c r="X78" s="1222">
        <f>IFERROR(W78/L78*10,0)</f>
        <v>15.494214111145258</v>
      </c>
      <c r="Y78" s="128"/>
      <c r="Z78" s="1366">
        <f>+'Tariff Schedule'!X14</f>
        <v>0.99</v>
      </c>
    </row>
    <row r="79" spans="1:26" x14ac:dyDescent="0.4">
      <c r="A79" s="1339"/>
      <c r="B79" s="1360" t="s">
        <v>1544</v>
      </c>
      <c r="C79" s="75"/>
      <c r="D79" s="75"/>
      <c r="E79" s="75"/>
      <c r="F79" s="75"/>
      <c r="G79" s="1221">
        <f>+$F78*'Tariff Schedule'!E$50</f>
        <v>0</v>
      </c>
      <c r="H79" s="75"/>
      <c r="I79" s="75"/>
      <c r="J79" s="75"/>
      <c r="K79" s="1306"/>
      <c r="L79" s="628"/>
      <c r="M79" s="628">
        <f>+$M$78*Assum!E125</f>
        <v>4.5705982354672804E-2</v>
      </c>
      <c r="N79" s="628"/>
      <c r="O79" s="628"/>
      <c r="P79" s="628"/>
      <c r="Q79" s="628">
        <f>+G79*M79/10</f>
        <v>0</v>
      </c>
      <c r="R79" s="628"/>
      <c r="S79" s="628"/>
      <c r="T79" s="628"/>
      <c r="U79" s="628"/>
      <c r="V79" s="75"/>
      <c r="W79" s="628"/>
      <c r="X79" s="1221"/>
      <c r="Y79" s="75"/>
      <c r="Z79" s="1358"/>
    </row>
    <row r="80" spans="1:26" x14ac:dyDescent="0.4">
      <c r="A80" s="1339"/>
      <c r="B80" s="1360" t="s">
        <v>1545</v>
      </c>
      <c r="C80" s="75"/>
      <c r="D80" s="75"/>
      <c r="E80" s="75"/>
      <c r="F80" s="75"/>
      <c r="G80" s="1221">
        <f>+$F78*'Tariff Schedule'!E$51</f>
        <v>0</v>
      </c>
      <c r="H80" s="75"/>
      <c r="I80" s="75"/>
      <c r="J80" s="75"/>
      <c r="K80" s="1306"/>
      <c r="L80" s="628"/>
      <c r="M80" s="628">
        <f>+$M$78*Assum!E126</f>
        <v>2.3562816725167475E-2</v>
      </c>
      <c r="N80" s="628"/>
      <c r="O80" s="628"/>
      <c r="P80" s="628"/>
      <c r="Q80" s="628">
        <f>+G80*M80/10</f>
        <v>0</v>
      </c>
      <c r="R80" s="628"/>
      <c r="S80" s="628"/>
      <c r="T80" s="628"/>
      <c r="U80" s="628"/>
      <c r="V80" s="75"/>
      <c r="W80" s="628"/>
      <c r="X80" s="1221"/>
      <c r="Y80" s="75"/>
      <c r="Z80" s="1358"/>
    </row>
    <row r="81" spans="1:26" x14ac:dyDescent="0.4">
      <c r="A81" s="1339"/>
      <c r="B81" s="1360" t="s">
        <v>1546</v>
      </c>
      <c r="C81" s="75"/>
      <c r="D81" s="75"/>
      <c r="E81" s="75"/>
      <c r="F81" s="75"/>
      <c r="G81" s="1221">
        <f>+$F78*'Tariff Schedule'!E$52</f>
        <v>-1.599</v>
      </c>
      <c r="H81" s="75"/>
      <c r="I81" s="75"/>
      <c r="J81" s="75"/>
      <c r="K81" s="1306"/>
      <c r="L81" s="628"/>
      <c r="M81" s="628">
        <f>+$M$78*Assum!E127</f>
        <v>6.2753697377773004E-2</v>
      </c>
      <c r="N81" s="628"/>
      <c r="O81" s="628"/>
      <c r="P81" s="628"/>
      <c r="Q81" s="628">
        <f>+G81*M81/10</f>
        <v>-1.0034316210705902E-2</v>
      </c>
      <c r="R81" s="628"/>
      <c r="S81" s="628"/>
      <c r="T81" s="628"/>
      <c r="U81" s="628"/>
      <c r="V81" s="75"/>
      <c r="W81" s="628"/>
      <c r="X81" s="1221"/>
      <c r="Y81" s="75"/>
      <c r="Z81" s="1358"/>
    </row>
    <row r="82" spans="1:26" x14ac:dyDescent="0.4">
      <c r="A82" s="1339"/>
      <c r="B82" s="1360" t="s">
        <v>1549</v>
      </c>
      <c r="C82" s="75"/>
      <c r="D82" s="75"/>
      <c r="E82" s="75"/>
      <c r="F82" s="75"/>
      <c r="G82" s="1221">
        <f>+$F78*'Tariff Schedule'!E$55</f>
        <v>1.476</v>
      </c>
      <c r="H82" s="75"/>
      <c r="I82" s="75"/>
      <c r="J82" s="75"/>
      <c r="K82" s="1306"/>
      <c r="L82" s="628"/>
      <c r="M82" s="628">
        <f>+$M$78*Assum!E128</f>
        <v>5.4643160108045465E-2</v>
      </c>
      <c r="N82" s="628"/>
      <c r="O82" s="628"/>
      <c r="P82" s="628"/>
      <c r="Q82" s="628">
        <f>+G82*M82/10</f>
        <v>8.0653304319475115E-3</v>
      </c>
      <c r="R82" s="628"/>
      <c r="S82" s="628"/>
      <c r="T82" s="628"/>
      <c r="U82" s="628"/>
      <c r="V82" s="75"/>
      <c r="W82" s="628"/>
      <c r="X82" s="1221"/>
      <c r="Y82" s="75"/>
      <c r="Z82" s="1358"/>
    </row>
    <row r="83" spans="1:26" s="6" customFormat="1" ht="13.5" x14ac:dyDescent="0.35">
      <c r="A83" s="1364">
        <f>+'F13.2'!A83</f>
        <v>0.75</v>
      </c>
      <c r="B83" s="517" t="s">
        <v>1130</v>
      </c>
      <c r="C83" s="128">
        <f>+'F13.3'!C83</f>
        <v>3</v>
      </c>
      <c r="D83" s="128"/>
      <c r="E83" s="128">
        <f>+'Tariff Schedule'!F15</f>
        <v>600</v>
      </c>
      <c r="F83" s="1365">
        <f>+'Tariff Schedule'!M15</f>
        <v>11.93</v>
      </c>
      <c r="G83" s="128"/>
      <c r="H83" s="1365">
        <f>+'Tariff Schedule'!S15</f>
        <v>0.74</v>
      </c>
      <c r="I83" s="128"/>
      <c r="J83" s="128"/>
      <c r="K83" s="1336">
        <v>475</v>
      </c>
      <c r="L83" s="630">
        <f>+'F1 Non-SEZ'!M13</f>
        <v>0.94839049070883918</v>
      </c>
      <c r="M83" s="630">
        <f>+L83/Z83</f>
        <v>0.96774539868248899</v>
      </c>
      <c r="N83" s="630"/>
      <c r="O83" s="630">
        <f>(K83*E83)*12/10^7*A83</f>
        <v>0.25650000000000001</v>
      </c>
      <c r="P83" s="630">
        <f>(M83*F83)/10</f>
        <v>1.1545202606282092</v>
      </c>
      <c r="Q83" s="630">
        <f>SUM(Q84:Q87)</f>
        <v>-4.0664284481618823E-2</v>
      </c>
      <c r="R83" s="630">
        <f>(M83*H83)/10</f>
        <v>7.1613159502504187E-2</v>
      </c>
      <c r="S83" s="630"/>
      <c r="T83" s="630"/>
      <c r="U83" s="630">
        <f>SUM(N83:T83)</f>
        <v>1.4419691356490947</v>
      </c>
      <c r="V83" s="128"/>
      <c r="W83" s="630">
        <f>+U83+V83</f>
        <v>1.4419691356490947</v>
      </c>
      <c r="X83" s="1222">
        <f>IFERROR(W83/L83*10,0)</f>
        <v>15.20438205333911</v>
      </c>
      <c r="Y83" s="128"/>
      <c r="Z83" s="1366">
        <f>+'Tariff Schedule'!X15</f>
        <v>0.98</v>
      </c>
    </row>
    <row r="84" spans="1:26" x14ac:dyDescent="0.4">
      <c r="A84" s="1339"/>
      <c r="B84" s="1360" t="s">
        <v>1544</v>
      </c>
      <c r="C84" s="75"/>
      <c r="D84" s="75"/>
      <c r="E84" s="75"/>
      <c r="F84" s="75"/>
      <c r="G84" s="1221">
        <f>+$F83*'Tariff Schedule'!E$50</f>
        <v>0</v>
      </c>
      <c r="H84" s="75"/>
      <c r="I84" s="75"/>
      <c r="J84" s="75"/>
      <c r="K84" s="1306"/>
      <c r="L84" s="628"/>
      <c r="M84" s="628">
        <f>+$M$83*Assum!F125</f>
        <v>0.13629681166824961</v>
      </c>
      <c r="N84" s="628"/>
      <c r="O84" s="628"/>
      <c r="P84" s="628"/>
      <c r="Q84" s="628">
        <f>+G84*M84/10</f>
        <v>0</v>
      </c>
      <c r="R84" s="628"/>
      <c r="S84" s="628"/>
      <c r="T84" s="628"/>
      <c r="U84" s="628"/>
      <c r="V84" s="75"/>
      <c r="W84" s="628"/>
      <c r="X84" s="1221"/>
      <c r="Y84" s="75"/>
      <c r="Z84" s="1358"/>
    </row>
    <row r="85" spans="1:26" x14ac:dyDescent="0.4">
      <c r="A85" s="1339"/>
      <c r="B85" s="1360" t="s">
        <v>1545</v>
      </c>
      <c r="C85" s="75"/>
      <c r="D85" s="75"/>
      <c r="E85" s="75"/>
      <c r="F85" s="75"/>
      <c r="G85" s="1221">
        <f>+$F83*'Tariff Schedule'!E$51</f>
        <v>0</v>
      </c>
      <c r="H85" s="75"/>
      <c r="I85" s="75"/>
      <c r="J85" s="75"/>
      <c r="K85" s="1306"/>
      <c r="L85" s="628"/>
      <c r="M85" s="628">
        <f>+$M$83*Assum!F126</f>
        <v>0.13748130094871328</v>
      </c>
      <c r="N85" s="628"/>
      <c r="O85" s="628"/>
      <c r="P85" s="628"/>
      <c r="Q85" s="628">
        <f>+G85*M85/10</f>
        <v>0</v>
      </c>
      <c r="R85" s="628"/>
      <c r="S85" s="628"/>
      <c r="T85" s="628"/>
      <c r="U85" s="628"/>
      <c r="V85" s="75"/>
      <c r="W85" s="628"/>
      <c r="X85" s="1221"/>
      <c r="Y85" s="75"/>
      <c r="Z85" s="1358"/>
    </row>
    <row r="86" spans="1:26" x14ac:dyDescent="0.4">
      <c r="A86" s="1339"/>
      <c r="B86" s="1360" t="s">
        <v>1546</v>
      </c>
      <c r="C86" s="75"/>
      <c r="D86" s="75"/>
      <c r="E86" s="75"/>
      <c r="F86" s="75"/>
      <c r="G86" s="1221">
        <f>+$F83*'Tariff Schedule'!E$52</f>
        <v>-2.5848333333333335</v>
      </c>
      <c r="H86" s="75"/>
      <c r="I86" s="75"/>
      <c r="J86" s="75"/>
      <c r="K86" s="1306"/>
      <c r="L86" s="628"/>
      <c r="M86" s="628">
        <f>+$M$83*Assum!F127</f>
        <v>0.41491006659551383</v>
      </c>
      <c r="N86" s="628"/>
      <c r="O86" s="628"/>
      <c r="P86" s="628"/>
      <c r="Q86" s="628">
        <f>+G86*M86/10</f>
        <v>-0.10724733704716374</v>
      </c>
      <c r="R86" s="628"/>
      <c r="S86" s="628"/>
      <c r="T86" s="628"/>
      <c r="U86" s="628"/>
      <c r="V86" s="75"/>
      <c r="W86" s="628"/>
      <c r="X86" s="1221"/>
      <c r="Y86" s="75"/>
      <c r="Z86" s="1358"/>
    </row>
    <row r="87" spans="1:26" x14ac:dyDescent="0.4">
      <c r="A87" s="1339"/>
      <c r="B87" s="1360" t="s">
        <v>1549</v>
      </c>
      <c r="C87" s="75"/>
      <c r="D87" s="75"/>
      <c r="E87" s="75"/>
      <c r="F87" s="75"/>
      <c r="G87" s="1221">
        <f>+$F83*'Tariff Schedule'!E$55</f>
        <v>2.3860000000000001</v>
      </c>
      <c r="H87" s="75"/>
      <c r="I87" s="75"/>
      <c r="J87" s="75"/>
      <c r="K87" s="1306"/>
      <c r="L87" s="628"/>
      <c r="M87" s="628">
        <f>+$M$83*Assum!F128</f>
        <v>0.27905721947001222</v>
      </c>
      <c r="N87" s="628"/>
      <c r="O87" s="628"/>
      <c r="P87" s="628"/>
      <c r="Q87" s="628">
        <f>+G87*M87/10</f>
        <v>6.658305256554492E-2</v>
      </c>
      <c r="R87" s="628"/>
      <c r="S87" s="628"/>
      <c r="T87" s="628"/>
      <c r="U87" s="628"/>
      <c r="V87" s="75"/>
      <c r="W87" s="628"/>
      <c r="X87" s="1221"/>
      <c r="Y87" s="75"/>
      <c r="Z87" s="1358"/>
    </row>
    <row r="88" spans="1:26"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2"/>
    </row>
    <row r="89" spans="1:26"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2"/>
    </row>
    <row r="90" spans="1:26" x14ac:dyDescent="0.4">
      <c r="B90" s="518" t="s">
        <v>162</v>
      </c>
      <c r="C90" s="128">
        <f>SUM(C78:C89)</f>
        <v>4</v>
      </c>
      <c r="D90" s="1309"/>
      <c r="E90" s="1309"/>
      <c r="F90" s="1309"/>
      <c r="G90" s="1309"/>
      <c r="H90" s="1309"/>
      <c r="I90" s="1309"/>
      <c r="J90" s="1309"/>
      <c r="K90" s="1336">
        <f>SUM(K78:K89)</f>
        <v>686</v>
      </c>
      <c r="L90" s="630">
        <f>SUM(M78:M89)</f>
        <v>2.3088221104962954</v>
      </c>
      <c r="M90" s="630">
        <f>SUM(M78:M89)</f>
        <v>2.3088221104962954</v>
      </c>
      <c r="N90" s="630">
        <f t="shared" ref="N90:W90" si="4">+N78+N83</f>
        <v>0</v>
      </c>
      <c r="O90" s="630">
        <f t="shared" si="4"/>
        <v>0.39322800000000002</v>
      </c>
      <c r="P90" s="630">
        <f t="shared" si="4"/>
        <v>1.2922795151736655</v>
      </c>
      <c r="Q90" s="630">
        <f t="shared" si="4"/>
        <v>-4.2633270260377214E-2</v>
      </c>
      <c r="R90" s="630">
        <f t="shared" si="4"/>
        <v>8.5426418088362932E-2</v>
      </c>
      <c r="S90" s="630">
        <f t="shared" si="4"/>
        <v>0</v>
      </c>
      <c r="T90" s="630">
        <f t="shared" si="4"/>
        <v>0</v>
      </c>
      <c r="U90" s="630">
        <f t="shared" si="4"/>
        <v>1.7283006630016513</v>
      </c>
      <c r="V90" s="630">
        <f t="shared" si="4"/>
        <v>0</v>
      </c>
      <c r="W90" s="630">
        <f t="shared" si="4"/>
        <v>1.7283006630016513</v>
      </c>
      <c r="X90" s="1222">
        <f>IFERROR(W90/L90*10,0)</f>
        <v>7.4856380452374598</v>
      </c>
      <c r="Y90" s="75"/>
      <c r="Z90" s="2"/>
    </row>
    <row r="91" spans="1:26"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2"/>
    </row>
    <row r="92" spans="1:26" s="6" customFormat="1" ht="13.5" x14ac:dyDescent="0.35">
      <c r="B92" s="1363" t="s">
        <v>1133</v>
      </c>
      <c r="C92" s="128"/>
      <c r="D92" s="128">
        <f>+'Tariff Schedule'!F16</f>
        <v>430</v>
      </c>
      <c r="E92" s="128"/>
      <c r="F92" s="128"/>
      <c r="G92" s="128"/>
      <c r="H92" s="128"/>
      <c r="I92" s="128"/>
      <c r="J92" s="128"/>
      <c r="K92" s="1336"/>
      <c r="L92" s="630">
        <f>SUM(M93:M96)</f>
        <v>11.482487174405398</v>
      </c>
      <c r="M92" s="630">
        <f t="shared" ref="M92:W92" si="5">SUM(M93:M96)</f>
        <v>11.482487174405398</v>
      </c>
      <c r="N92" s="630">
        <f t="shared" si="5"/>
        <v>1.551612</v>
      </c>
      <c r="O92" s="630">
        <f t="shared" si="5"/>
        <v>0</v>
      </c>
      <c r="P92" s="630">
        <f t="shared" si="5"/>
        <v>12.594892935357628</v>
      </c>
      <c r="Q92" s="630">
        <f t="shared" si="5"/>
        <v>-0.18371979479048639</v>
      </c>
      <c r="R92" s="630">
        <f t="shared" si="5"/>
        <v>1.6879256146375934</v>
      </c>
      <c r="S92" s="630">
        <f t="shared" si="5"/>
        <v>0</v>
      </c>
      <c r="T92" s="630">
        <f t="shared" si="5"/>
        <v>0</v>
      </c>
      <c r="U92" s="630">
        <f t="shared" si="5"/>
        <v>15.650710755204733</v>
      </c>
      <c r="V92" s="630">
        <f t="shared" si="5"/>
        <v>0</v>
      </c>
      <c r="W92" s="630">
        <f t="shared" si="5"/>
        <v>15.650710755204733</v>
      </c>
      <c r="X92" s="1222">
        <f>IFERROR(W92/L92*10,0)</f>
        <v>13.630070312719667</v>
      </c>
      <c r="Y92" s="128"/>
      <c r="Z92" s="3"/>
    </row>
    <row r="93" spans="1:26" x14ac:dyDescent="0.4">
      <c r="B93" s="520" t="s">
        <v>1106</v>
      </c>
      <c r="C93" s="19">
        <f>+Assum!H173</f>
        <v>1725</v>
      </c>
      <c r="D93" s="75"/>
      <c r="E93" s="75"/>
      <c r="F93" s="1359">
        <f>+'Tariff Schedule'!M17</f>
        <v>3.64</v>
      </c>
      <c r="G93" s="1359">
        <f>+'Tariff Schedule'!$D$52</f>
        <v>-0.8</v>
      </c>
      <c r="H93" s="1359">
        <f>+'Tariff Schedule'!S17</f>
        <v>1.47</v>
      </c>
      <c r="I93" s="75"/>
      <c r="J93" s="75"/>
      <c r="K93" s="1306"/>
      <c r="L93" s="628">
        <f>+'F1 Non-SEZ'!M19</f>
        <v>2.6696019132437998</v>
      </c>
      <c r="M93" s="628">
        <f>+L93/Z93</f>
        <v>2.6696019132437998</v>
      </c>
      <c r="N93" s="628">
        <f>+C93*$D$92*12/10^7</f>
        <v>0.8901</v>
      </c>
      <c r="O93" s="628"/>
      <c r="P93" s="628">
        <f>+L93*F93/10</f>
        <v>0.97173509642074318</v>
      </c>
      <c r="Q93" s="628">
        <f>+L93*Assum!$G$127*G93/10</f>
        <v>-4.2713630611900796E-2</v>
      </c>
      <c r="R93" s="628">
        <f>(L93*H93)/10</f>
        <v>0.39243148124683858</v>
      </c>
      <c r="S93" s="628"/>
      <c r="T93" s="628"/>
      <c r="U93" s="628">
        <f>SUM(N93:T93)</f>
        <v>2.2115529470556812</v>
      </c>
      <c r="V93" s="75"/>
      <c r="W93" s="628">
        <f>+U93+V93</f>
        <v>2.2115529470556812</v>
      </c>
      <c r="X93" s="1221">
        <f>IFERROR(W93/L93*10,0)</f>
        <v>8.2842049823392987</v>
      </c>
      <c r="Y93" s="75"/>
      <c r="Z93" s="1358">
        <f>+'Tariff Schedule'!X17</f>
        <v>1</v>
      </c>
    </row>
    <row r="94" spans="1:26" x14ac:dyDescent="0.4">
      <c r="B94" s="520" t="s">
        <v>1107</v>
      </c>
      <c r="C94" s="19">
        <f>+Assum!H174</f>
        <v>670</v>
      </c>
      <c r="D94" s="75"/>
      <c r="E94" s="75"/>
      <c r="F94" s="1359">
        <f>+'Tariff Schedule'!M18</f>
        <v>9.44</v>
      </c>
      <c r="G94" s="1359">
        <f>+'Tariff Schedule'!$D$52</f>
        <v>-0.8</v>
      </c>
      <c r="H94" s="1359">
        <f>+'Tariff Schedule'!S18</f>
        <v>1.47</v>
      </c>
      <c r="I94" s="75"/>
      <c r="J94" s="75"/>
      <c r="K94" s="1306"/>
      <c r="L94" s="628">
        <f>+'F1 Non-SEZ'!M20</f>
        <v>2.5852110422015162</v>
      </c>
      <c r="M94" s="628">
        <f>+L94/Z94</f>
        <v>2.5852110422015162</v>
      </c>
      <c r="N94" s="628">
        <f>+C94*$D$92*12/10^7</f>
        <v>0.34572000000000003</v>
      </c>
      <c r="O94" s="628"/>
      <c r="P94" s="628">
        <f>+L94*F94/10</f>
        <v>2.4404392238382311</v>
      </c>
      <c r="Q94" s="628">
        <f>+L94*Assum!$G$127*G94/10</f>
        <v>-4.1363376675224259E-2</v>
      </c>
      <c r="R94" s="628">
        <f>(L94*H94)/10</f>
        <v>0.38002602320362289</v>
      </c>
      <c r="S94" s="628"/>
      <c r="T94" s="628"/>
      <c r="U94" s="628">
        <f>SUM(N94:T94)</f>
        <v>3.1248218703666297</v>
      </c>
      <c r="V94" s="75"/>
      <c r="W94" s="628">
        <f>+U94+V94</f>
        <v>3.1248218703666297</v>
      </c>
      <c r="X94" s="1221">
        <f>IFERROR(W94/L94*10,0)</f>
        <v>12.087298945255903</v>
      </c>
      <c r="Y94" s="75"/>
      <c r="Z94" s="1358">
        <f>+'Tariff Schedule'!X18</f>
        <v>1</v>
      </c>
    </row>
    <row r="95" spans="1:26" x14ac:dyDescent="0.4">
      <c r="B95" s="520" t="s">
        <v>1108</v>
      </c>
      <c r="C95" s="19">
        <f>+Assum!H175</f>
        <v>356</v>
      </c>
      <c r="D95" s="75"/>
      <c r="E95" s="75"/>
      <c r="F95" s="1359">
        <f>+'Tariff Schedule'!M19</f>
        <v>13.07</v>
      </c>
      <c r="G95" s="1359">
        <f>+'Tariff Schedule'!$D$52</f>
        <v>-0.8</v>
      </c>
      <c r="H95" s="1359">
        <f>+'Tariff Schedule'!S19</f>
        <v>1.47</v>
      </c>
      <c r="I95" s="75"/>
      <c r="J95" s="75"/>
      <c r="K95" s="1306"/>
      <c r="L95" s="628">
        <f>+'F1 Non-SEZ'!M21</f>
        <v>0.90548844897117431</v>
      </c>
      <c r="M95" s="628">
        <f>+L95/Z95</f>
        <v>0.90548844897117431</v>
      </c>
      <c r="N95" s="628">
        <f>+C95*$D$92*12/10^7</f>
        <v>0.183696</v>
      </c>
      <c r="O95" s="628"/>
      <c r="P95" s="628">
        <f>+L95*F95/10</f>
        <v>1.1834734028053249</v>
      </c>
      <c r="Q95" s="628">
        <f>+L95*Assum!$G$127*G95/10</f>
        <v>-1.4487815183538791E-2</v>
      </c>
      <c r="R95" s="628">
        <f>(L95*H95)/10</f>
        <v>0.13310680199876262</v>
      </c>
      <c r="S95" s="628"/>
      <c r="T95" s="628"/>
      <c r="U95" s="628">
        <f>SUM(N95:T95)</f>
        <v>1.4857883896205488</v>
      </c>
      <c r="V95" s="75"/>
      <c r="W95" s="628">
        <f>+U95+V95</f>
        <v>1.4857883896205488</v>
      </c>
      <c r="X95" s="1221">
        <f>IFERROR(W95/L95*10,0)</f>
        <v>16.408695122601703</v>
      </c>
      <c r="Y95" s="75"/>
      <c r="Z95" s="1358">
        <f>+'Tariff Schedule'!X19</f>
        <v>1</v>
      </c>
    </row>
    <row r="96" spans="1:26" x14ac:dyDescent="0.4">
      <c r="B96" s="520" t="s">
        <v>1109</v>
      </c>
      <c r="C96" s="19">
        <f>+Assum!H176</f>
        <v>256</v>
      </c>
      <c r="D96" s="75"/>
      <c r="E96" s="75"/>
      <c r="F96" s="1359">
        <f>+'Tariff Schedule'!M20</f>
        <v>15.03</v>
      </c>
      <c r="G96" s="1359">
        <f>+'Tariff Schedule'!$D$52</f>
        <v>-0.8</v>
      </c>
      <c r="H96" s="1359">
        <f>+'Tariff Schedule'!S20</f>
        <v>1.47</v>
      </c>
      <c r="I96" s="75"/>
      <c r="J96" s="75"/>
      <c r="K96" s="1306"/>
      <c r="L96" s="628">
        <f>+'F1 Non-SEZ'!M22</f>
        <v>5.3221857699889075</v>
      </c>
      <c r="M96" s="628">
        <f>+L96/Z96</f>
        <v>5.3221857699889075</v>
      </c>
      <c r="N96" s="628">
        <f>+C96*$D$92*12/10^7</f>
        <v>0.13209599999999999</v>
      </c>
      <c r="O96" s="628"/>
      <c r="P96" s="628">
        <f>+L96*F96/10</f>
        <v>7.9992452122933271</v>
      </c>
      <c r="Q96" s="628">
        <f>+L96*Assum!$G$127*G96/10</f>
        <v>-8.5154972319822525E-2</v>
      </c>
      <c r="R96" s="628">
        <f>(L96*H96)/10</f>
        <v>0.78236130818836935</v>
      </c>
      <c r="S96" s="628"/>
      <c r="T96" s="628"/>
      <c r="U96" s="628">
        <f>SUM(N96:T96)</f>
        <v>8.8285475481618736</v>
      </c>
      <c r="V96" s="75"/>
      <c r="W96" s="628">
        <f>+U96+V96</f>
        <v>8.8285475481618736</v>
      </c>
      <c r="X96" s="1221">
        <f>IFERROR(W96/L96*10,0)</f>
        <v>16.588198777173226</v>
      </c>
      <c r="Y96" s="75"/>
      <c r="Z96" s="1358">
        <f>+'Tariff Schedule'!X20</f>
        <v>1</v>
      </c>
    </row>
    <row r="97" spans="1:26" x14ac:dyDescent="0.4">
      <c r="B97" s="520" t="s">
        <v>1110</v>
      </c>
      <c r="C97" s="75"/>
      <c r="D97" s="75"/>
      <c r="E97" s="75"/>
      <c r="F97" s="75"/>
      <c r="G97" s="75"/>
      <c r="H97" s="75"/>
      <c r="I97" s="75"/>
      <c r="J97" s="75"/>
      <c r="K97" s="1306"/>
      <c r="L97" s="628"/>
      <c r="M97" s="628"/>
      <c r="N97" s="628"/>
      <c r="O97" s="628"/>
      <c r="P97" s="628"/>
      <c r="Q97" s="628"/>
      <c r="R97" s="628"/>
      <c r="S97" s="628"/>
      <c r="T97" s="628"/>
      <c r="U97" s="628"/>
      <c r="V97" s="75"/>
      <c r="W97" s="628"/>
      <c r="X97" s="75"/>
      <c r="Y97" s="75"/>
      <c r="Z97" s="2"/>
    </row>
    <row r="98" spans="1:26" s="6" customFormat="1" ht="25.5" x14ac:dyDescent="0.35">
      <c r="B98" s="1363" t="s">
        <v>1139</v>
      </c>
      <c r="C98" s="128"/>
      <c r="D98" s="128"/>
      <c r="E98" s="128"/>
      <c r="F98" s="128"/>
      <c r="G98" s="128"/>
      <c r="H98" s="128"/>
      <c r="I98" s="128"/>
      <c r="J98" s="128"/>
      <c r="K98" s="1336"/>
      <c r="L98" s="630">
        <f>+M99+M100+M105</f>
        <v>1.4915834777634787</v>
      </c>
      <c r="M98" s="630">
        <f t="shared" ref="M98:R98" si="6">+M99+M100+M105</f>
        <v>1.4915834777634787</v>
      </c>
      <c r="N98" s="630">
        <f t="shared" si="6"/>
        <v>5.7408000000000001E-2</v>
      </c>
      <c r="O98" s="630">
        <f t="shared" si="6"/>
        <v>0.11415600000000001</v>
      </c>
      <c r="P98" s="630">
        <f t="shared" si="6"/>
        <v>1.5156383533725595</v>
      </c>
      <c r="Q98" s="630">
        <f t="shared" si="6"/>
        <v>-7.358191010401488E-2</v>
      </c>
      <c r="R98" s="630">
        <f t="shared" si="6"/>
        <v>0.20964578587092703</v>
      </c>
      <c r="S98" s="630"/>
      <c r="T98" s="630"/>
      <c r="U98" s="630">
        <f>+U99+U100+U105</f>
        <v>1.8232662291394719</v>
      </c>
      <c r="V98" s="128"/>
      <c r="W98" s="630">
        <f>+W99+W100+W105</f>
        <v>1.8232662291394719</v>
      </c>
      <c r="X98" s="1222">
        <f>IFERROR(W98/L98*10,0)</f>
        <v>12.223695531096439</v>
      </c>
      <c r="Y98" s="128"/>
      <c r="Z98" s="3"/>
    </row>
    <row r="99" spans="1:26" s="6" customFormat="1" x14ac:dyDescent="0.35">
      <c r="B99" s="1361" t="s">
        <v>1140</v>
      </c>
      <c r="C99" s="19">
        <f>+Assum!H186</f>
        <v>92</v>
      </c>
      <c r="D99" s="128">
        <f>+'Tariff Schedule'!F22</f>
        <v>520</v>
      </c>
      <c r="E99" s="128"/>
      <c r="F99" s="1365">
        <f>+'Tariff Schedule'!M22</f>
        <v>7.57</v>
      </c>
      <c r="G99" s="128"/>
      <c r="H99" s="1365">
        <f>+'Tariff Schedule'!S22</f>
        <v>1.47</v>
      </c>
      <c r="I99" s="128"/>
      <c r="J99" s="128"/>
      <c r="K99" s="1336"/>
      <c r="L99" s="630">
        <f>+'F1 Non-SEZ'!M25</f>
        <v>0.44849186019119414</v>
      </c>
      <c r="M99" s="630">
        <f>+L99/Z99</f>
        <v>0.45764475529713688</v>
      </c>
      <c r="N99" s="630">
        <f>+C99*D99*12/10^7</f>
        <v>5.7408000000000001E-2</v>
      </c>
      <c r="O99" s="630"/>
      <c r="P99" s="630">
        <f>+L99*F99/10</f>
        <v>0.33950833816473397</v>
      </c>
      <c r="Q99" s="630"/>
      <c r="R99" s="630">
        <f>(L99*H99)/10</f>
        <v>6.5928303448105546E-2</v>
      </c>
      <c r="S99" s="630"/>
      <c r="T99" s="630"/>
      <c r="U99" s="630">
        <f>SUM(N99:T99)</f>
        <v>0.46284464161283956</v>
      </c>
      <c r="V99" s="128"/>
      <c r="W99" s="630">
        <f>+U99+V99</f>
        <v>0.46284464161283956</v>
      </c>
      <c r="X99" s="1222">
        <f>IFERROR(W99/L99*10,0)</f>
        <v>10.320023231091122</v>
      </c>
      <c r="Y99" s="128"/>
      <c r="Z99" s="1366">
        <f>+'Tariff Schedule'!X22</f>
        <v>0.98</v>
      </c>
    </row>
    <row r="100" spans="1:26" s="6" customFormat="1" x14ac:dyDescent="0.35">
      <c r="A100" s="1364">
        <f>+'F13.2'!A100</f>
        <v>0.4</v>
      </c>
      <c r="B100" s="1361" t="s">
        <v>1144</v>
      </c>
      <c r="C100" s="19">
        <f>+Assum!H187</f>
        <v>9</v>
      </c>
      <c r="D100" s="128"/>
      <c r="E100" s="128">
        <f>+'Tariff Schedule'!F23</f>
        <v>525</v>
      </c>
      <c r="F100" s="1365">
        <f>+'Tariff Schedule'!M23</f>
        <v>10.91</v>
      </c>
      <c r="G100" s="128"/>
      <c r="H100" s="1365">
        <f>+'Tariff Schedule'!S23</f>
        <v>1.39</v>
      </c>
      <c r="I100" s="128"/>
      <c r="J100" s="128"/>
      <c r="K100" s="1336">
        <v>383</v>
      </c>
      <c r="L100" s="630">
        <f>+'F1 Non-SEZ'!M26</f>
        <v>0.78788731506757104</v>
      </c>
      <c r="M100" s="630">
        <f>+L100/Z100</f>
        <v>0.79697877666808115</v>
      </c>
      <c r="N100" s="630"/>
      <c r="O100" s="630">
        <f>(K100*E100)*12/10^7*A100</f>
        <v>9.6516000000000005E-2</v>
      </c>
      <c r="P100" s="630">
        <f>+M100*F100/10</f>
        <v>0.86950384534487646</v>
      </c>
      <c r="Q100" s="630">
        <f>SUM(Q101:Q104)</f>
        <v>-4.2754165881310299E-2</v>
      </c>
      <c r="R100" s="630">
        <f>(M100*H100)/10</f>
        <v>0.11078004995686327</v>
      </c>
      <c r="S100" s="630"/>
      <c r="T100" s="630"/>
      <c r="U100" s="630">
        <f>SUM(N100:T100)</f>
        <v>1.0340457294204295</v>
      </c>
      <c r="V100" s="128"/>
      <c r="W100" s="630">
        <f>+U100+V100</f>
        <v>1.0340457294204295</v>
      </c>
      <c r="X100" s="1222">
        <f>IFERROR(W100/L100*10,0)</f>
        <v>13.124284521978213</v>
      </c>
      <c r="Y100" s="128"/>
      <c r="Z100" s="1366">
        <f>+'Tariff Schedule'!X23</f>
        <v>0.98859259259259247</v>
      </c>
    </row>
    <row r="101" spans="1:26" x14ac:dyDescent="0.4">
      <c r="A101" s="1339"/>
      <c r="B101" s="1360" t="s">
        <v>1544</v>
      </c>
      <c r="C101" s="75"/>
      <c r="D101" s="75"/>
      <c r="E101" s="75"/>
      <c r="F101" s="75"/>
      <c r="G101" s="1221">
        <f>+$F100*'Tariff Schedule'!E$50</f>
        <v>0</v>
      </c>
      <c r="H101" s="75"/>
      <c r="I101" s="75"/>
      <c r="J101" s="75"/>
      <c r="K101" s="1306"/>
      <c r="L101" s="628"/>
      <c r="M101" s="628">
        <f>+$M$100*Assum!H125</f>
        <v>0.10689486116526668</v>
      </c>
      <c r="N101" s="628"/>
      <c r="O101" s="628"/>
      <c r="P101" s="628"/>
      <c r="Q101" s="628">
        <f>+G101*M101/10</f>
        <v>0</v>
      </c>
      <c r="R101" s="628"/>
      <c r="S101" s="628"/>
      <c r="T101" s="628"/>
      <c r="U101" s="628"/>
      <c r="V101" s="75"/>
      <c r="W101" s="628"/>
      <c r="X101" s="1221"/>
      <c r="Y101" s="75"/>
      <c r="Z101" s="1358"/>
    </row>
    <row r="102" spans="1:26" x14ac:dyDescent="0.4">
      <c r="A102" s="1339"/>
      <c r="B102" s="1360" t="s">
        <v>1545</v>
      </c>
      <c r="C102" s="75"/>
      <c r="D102" s="75"/>
      <c r="E102" s="75"/>
      <c r="F102" s="75"/>
      <c r="G102" s="1221">
        <f>+$F100*'Tariff Schedule'!E$51</f>
        <v>0</v>
      </c>
      <c r="H102" s="75"/>
      <c r="I102" s="75"/>
      <c r="J102" s="75"/>
      <c r="K102" s="1306"/>
      <c r="L102" s="628"/>
      <c r="M102" s="628">
        <f>+$M$100*Assum!H126</f>
        <v>0.1245106146183448</v>
      </c>
      <c r="N102" s="628"/>
      <c r="O102" s="628"/>
      <c r="P102" s="628"/>
      <c r="Q102" s="628">
        <f>+G102*M102/10</f>
        <v>0</v>
      </c>
      <c r="R102" s="628"/>
      <c r="S102" s="628"/>
      <c r="T102" s="628"/>
      <c r="U102" s="628"/>
      <c r="V102" s="75"/>
      <c r="W102" s="628"/>
      <c r="X102" s="1221"/>
      <c r="Y102" s="75"/>
      <c r="Z102" s="1358"/>
    </row>
    <row r="103" spans="1:26" x14ac:dyDescent="0.4">
      <c r="A103" s="1339"/>
      <c r="B103" s="1360" t="s">
        <v>1546</v>
      </c>
      <c r="C103" s="75"/>
      <c r="D103" s="75"/>
      <c r="E103" s="75"/>
      <c r="F103" s="75"/>
      <c r="G103" s="1221">
        <f>+$F100*'Tariff Schedule'!E$52</f>
        <v>-2.3638333333333335</v>
      </c>
      <c r="H103" s="75"/>
      <c r="I103" s="75"/>
      <c r="J103" s="75"/>
      <c r="K103" s="1306"/>
      <c r="L103" s="628"/>
      <c r="M103" s="628">
        <f>+$M$100*Assum!H127</f>
        <v>0.36552651175281742</v>
      </c>
      <c r="N103" s="628"/>
      <c r="O103" s="628"/>
      <c r="P103" s="628"/>
      <c r="Q103" s="628">
        <f>+G103*M103/10</f>
        <v>-8.6404375269836825E-2</v>
      </c>
      <c r="R103" s="628"/>
      <c r="S103" s="628"/>
      <c r="T103" s="628"/>
      <c r="U103" s="628"/>
      <c r="V103" s="75"/>
      <c r="W103" s="628"/>
      <c r="X103" s="1221"/>
      <c r="Y103" s="75"/>
      <c r="Z103" s="1358"/>
    </row>
    <row r="104" spans="1:26" x14ac:dyDescent="0.4">
      <c r="A104" s="1339"/>
      <c r="B104" s="1360" t="s">
        <v>1549</v>
      </c>
      <c r="C104" s="75"/>
      <c r="D104" s="75"/>
      <c r="E104" s="75"/>
      <c r="F104" s="75"/>
      <c r="G104" s="1221">
        <f>+$F100*'Tariff Schedule'!E$55</f>
        <v>2.1819999999999999</v>
      </c>
      <c r="H104" s="75"/>
      <c r="I104" s="75"/>
      <c r="J104" s="75"/>
      <c r="K104" s="1306"/>
      <c r="L104" s="628"/>
      <c r="M104" s="628">
        <f>+$M$100*Assum!H128</f>
        <v>0.2000467891316523</v>
      </c>
      <c r="N104" s="628"/>
      <c r="O104" s="628"/>
      <c r="P104" s="628"/>
      <c r="Q104" s="628">
        <f>+G104*M104/10</f>
        <v>4.3650209388526526E-2</v>
      </c>
      <c r="R104" s="628"/>
      <c r="S104" s="628"/>
      <c r="T104" s="628"/>
      <c r="U104" s="628"/>
      <c r="V104" s="75"/>
      <c r="W104" s="628"/>
      <c r="X104" s="1221"/>
      <c r="Y104" s="75"/>
      <c r="Z104" s="1358"/>
    </row>
    <row r="105" spans="1:26" s="6" customFormat="1" ht="13.5" x14ac:dyDescent="0.35">
      <c r="A105" s="1364">
        <f>+'F13.2'!A105</f>
        <v>0.4</v>
      </c>
      <c r="B105" s="1361" t="s">
        <v>1143</v>
      </c>
      <c r="C105" s="128">
        <f>+Assum!H188</f>
        <v>1</v>
      </c>
      <c r="D105" s="128"/>
      <c r="E105" s="128">
        <f>+'Tariff Schedule'!F24</f>
        <v>525</v>
      </c>
      <c r="F105" s="1365">
        <f>+'Tariff Schedule'!M24</f>
        <v>12.94</v>
      </c>
      <c r="G105" s="128"/>
      <c r="H105" s="1365">
        <f>+'Tariff Schedule'!S24</f>
        <v>1.39</v>
      </c>
      <c r="I105" s="128"/>
      <c r="J105" s="128"/>
      <c r="K105" s="1336">
        <v>70</v>
      </c>
      <c r="L105" s="630">
        <f>+'F1 Non-SEZ'!M27</f>
        <v>0.23462983966457771</v>
      </c>
      <c r="M105" s="630">
        <f>+L105/Z105</f>
        <v>0.23695994579826057</v>
      </c>
      <c r="N105" s="630"/>
      <c r="O105" s="630">
        <f>(K105*E105)*12/10^7*A105</f>
        <v>1.7639999999999999E-2</v>
      </c>
      <c r="P105" s="630">
        <f>+M105*F105/10</f>
        <v>0.30662616986294916</v>
      </c>
      <c r="Q105" s="630">
        <f>SUM(Q106:Q109)</f>
        <v>-3.0827744222704581E-2</v>
      </c>
      <c r="R105" s="630">
        <f>(M105*H105)/10</f>
        <v>3.2937432465958219E-2</v>
      </c>
      <c r="S105" s="630"/>
      <c r="T105" s="630"/>
      <c r="U105" s="630">
        <f>SUM(N105:T105)</f>
        <v>0.32637585810620279</v>
      </c>
      <c r="V105" s="128"/>
      <c r="W105" s="630">
        <f>+U105+V105</f>
        <v>0.32637585810620279</v>
      </c>
      <c r="X105" s="1222">
        <f>IFERROR(W105/L105*10,0)</f>
        <v>13.910245115147477</v>
      </c>
      <c r="Y105" s="128"/>
      <c r="Z105" s="1366">
        <f>+'Tariff Schedule'!X24</f>
        <v>0.99016666666666675</v>
      </c>
    </row>
    <row r="106" spans="1:26" x14ac:dyDescent="0.4">
      <c r="A106" s="1339"/>
      <c r="B106" s="1360" t="s">
        <v>1544</v>
      </c>
      <c r="C106" s="75"/>
      <c r="D106" s="75"/>
      <c r="E106" s="75"/>
      <c r="F106" s="75"/>
      <c r="G106" s="1221">
        <f>+$F105*'Tariff Schedule'!E$50</f>
        <v>0</v>
      </c>
      <c r="H106" s="75"/>
      <c r="I106" s="75"/>
      <c r="J106" s="75"/>
      <c r="K106" s="1306"/>
      <c r="L106" s="628"/>
      <c r="M106" s="628">
        <f>+$M$105*Assum!I125</f>
        <v>1.7049008422952924E-2</v>
      </c>
      <c r="N106" s="628"/>
      <c r="O106" s="628"/>
      <c r="P106" s="628"/>
      <c r="Q106" s="628">
        <f>+G106*M106/10</f>
        <v>0</v>
      </c>
      <c r="R106" s="628"/>
      <c r="S106" s="628"/>
      <c r="T106" s="628"/>
      <c r="U106" s="628"/>
      <c r="V106" s="75"/>
      <c r="W106" s="628"/>
      <c r="X106" s="1221"/>
      <c r="Y106" s="75"/>
      <c r="Z106" s="1358"/>
    </row>
    <row r="107" spans="1:26" x14ac:dyDescent="0.4">
      <c r="A107" s="1339"/>
      <c r="B107" s="1360" t="s">
        <v>1545</v>
      </c>
      <c r="C107" s="75"/>
      <c r="D107" s="75"/>
      <c r="E107" s="75"/>
      <c r="F107" s="75"/>
      <c r="G107" s="1221">
        <f>+$F105*'Tariff Schedule'!E$51</f>
        <v>0</v>
      </c>
      <c r="H107" s="75"/>
      <c r="I107" s="75"/>
      <c r="J107" s="75"/>
      <c r="K107" s="1306"/>
      <c r="L107" s="628"/>
      <c r="M107" s="628">
        <f>+$M$105*Assum!I126</f>
        <v>4.5657217286350381E-2</v>
      </c>
      <c r="N107" s="628"/>
      <c r="O107" s="628"/>
      <c r="P107" s="628"/>
      <c r="Q107" s="628">
        <f>+G107*M107/10</f>
        <v>0</v>
      </c>
      <c r="R107" s="628"/>
      <c r="S107" s="628"/>
      <c r="T107" s="628"/>
      <c r="U107" s="628"/>
      <c r="V107" s="75"/>
      <c r="W107" s="628"/>
      <c r="X107" s="1221"/>
      <c r="Y107" s="75"/>
      <c r="Z107" s="1358"/>
    </row>
    <row r="108" spans="1:26" x14ac:dyDescent="0.4">
      <c r="A108" s="1339"/>
      <c r="B108" s="1360" t="s">
        <v>1546</v>
      </c>
      <c r="C108" s="75"/>
      <c r="D108" s="75"/>
      <c r="E108" s="75"/>
      <c r="F108" s="75"/>
      <c r="G108" s="1221">
        <f>+$F105*'Tariff Schedule'!E$52</f>
        <v>-2.8036666666666665</v>
      </c>
      <c r="H108" s="75"/>
      <c r="I108" s="75"/>
      <c r="J108" s="75"/>
      <c r="K108" s="1306"/>
      <c r="L108" s="628"/>
      <c r="M108" s="628">
        <f>+$M$105*Assum!I127</f>
        <v>0.14081843644215158</v>
      </c>
      <c r="N108" s="628"/>
      <c r="O108" s="628"/>
      <c r="P108" s="628"/>
      <c r="Q108" s="628">
        <f>+G108*M108/10</f>
        <v>-3.9480795630497896E-2</v>
      </c>
      <c r="R108" s="628"/>
      <c r="S108" s="628"/>
      <c r="T108" s="628"/>
      <c r="U108" s="628"/>
      <c r="V108" s="75"/>
      <c r="W108" s="628"/>
      <c r="X108" s="1221"/>
      <c r="Y108" s="75"/>
      <c r="Z108" s="1358"/>
    </row>
    <row r="109" spans="1:26" x14ac:dyDescent="0.4">
      <c r="A109" s="1339"/>
      <c r="B109" s="1360" t="s">
        <v>1549</v>
      </c>
      <c r="C109" s="75"/>
      <c r="D109" s="75"/>
      <c r="E109" s="75"/>
      <c r="F109" s="75"/>
      <c r="G109" s="1221">
        <f>+$F105*'Tariff Schedule'!E$55</f>
        <v>2.5880000000000001</v>
      </c>
      <c r="H109" s="75"/>
      <c r="I109" s="75"/>
      <c r="J109" s="75"/>
      <c r="K109" s="1306"/>
      <c r="L109" s="628"/>
      <c r="M109" s="628">
        <f>+$M$105*Assum!I128</f>
        <v>3.3435283646805695E-2</v>
      </c>
      <c r="N109" s="628"/>
      <c r="O109" s="628"/>
      <c r="P109" s="628"/>
      <c r="Q109" s="628">
        <f>+G109*M109/10</f>
        <v>8.6530514077933149E-3</v>
      </c>
      <c r="R109" s="628"/>
      <c r="S109" s="628"/>
      <c r="T109" s="628"/>
      <c r="U109" s="628"/>
      <c r="V109" s="75"/>
      <c r="W109" s="628"/>
      <c r="X109" s="1221"/>
      <c r="Y109" s="75"/>
      <c r="Z109" s="1358"/>
    </row>
    <row r="110" spans="1:26" s="6" customFormat="1" ht="38.25" x14ac:dyDescent="0.35">
      <c r="A110" s="1364">
        <f>+'F13.2'!A110</f>
        <v>0.4</v>
      </c>
      <c r="B110" s="1363" t="s">
        <v>1111</v>
      </c>
      <c r="C110" s="128">
        <f>+'F13.3'!C110</f>
        <v>2</v>
      </c>
      <c r="D110" s="128"/>
      <c r="E110" s="128">
        <f>+'Tariff Schedule'!F31</f>
        <v>200</v>
      </c>
      <c r="F110" s="1365">
        <f>+'Tariff Schedule'!M31</f>
        <v>6.94</v>
      </c>
      <c r="G110" s="128"/>
      <c r="H110" s="1365">
        <f>+'Tariff Schedule'!S31</f>
        <v>1.39</v>
      </c>
      <c r="I110" s="128"/>
      <c r="J110" s="128"/>
      <c r="K110" s="1336">
        <v>160</v>
      </c>
      <c r="L110" s="630">
        <f>+'F1 Non-SEZ'!M28</f>
        <v>1.3066235324399276</v>
      </c>
      <c r="M110" s="630">
        <f>+L110/Z110</f>
        <v>1.3332893188162527</v>
      </c>
      <c r="N110" s="630"/>
      <c r="O110" s="630">
        <f>(K110*E110)*12/10^7*A110</f>
        <v>1.5359999999999999E-2</v>
      </c>
      <c r="P110" s="630">
        <f>+M110*F110/10</f>
        <v>0.92530278725847948</v>
      </c>
      <c r="Q110" s="630">
        <f>SUM(Q111:Q114)</f>
        <v>-1.8746651866091216E-2</v>
      </c>
      <c r="R110" s="630">
        <f>(M110*H110)/10</f>
        <v>0.18532721531545909</v>
      </c>
      <c r="S110" s="630"/>
      <c r="T110" s="630"/>
      <c r="U110" s="630">
        <f>SUM(N110:T110)</f>
        <v>1.1072433507078474</v>
      </c>
      <c r="V110" s="128"/>
      <c r="W110" s="630">
        <f>+U110+V110</f>
        <v>1.1072433507078474</v>
      </c>
      <c r="X110" s="1222">
        <f>IFERROR(W110/L110*10,0)</f>
        <v>8.4740808903099509</v>
      </c>
      <c r="Y110" s="128"/>
      <c r="Z110" s="1366">
        <f>+'Tariff Schedule'!X35</f>
        <v>0.98</v>
      </c>
    </row>
    <row r="111" spans="1:26" x14ac:dyDescent="0.4">
      <c r="A111" s="1339"/>
      <c r="B111" s="1360" t="s">
        <v>1544</v>
      </c>
      <c r="C111" s="75"/>
      <c r="D111" s="75"/>
      <c r="E111" s="75"/>
      <c r="F111" s="75"/>
      <c r="G111" s="1221">
        <f>+$F110*'Tariff Schedule'!E$50</f>
        <v>0</v>
      </c>
      <c r="H111" s="75"/>
      <c r="I111" s="75"/>
      <c r="J111" s="75"/>
      <c r="K111" s="1306"/>
      <c r="L111" s="628"/>
      <c r="M111" s="628">
        <f>+$M$110*Assum!J125</f>
        <v>0.29222929144053833</v>
      </c>
      <c r="N111" s="628"/>
      <c r="O111" s="628"/>
      <c r="P111" s="628"/>
      <c r="Q111" s="628">
        <f>+G111*M111/10</f>
        <v>0</v>
      </c>
      <c r="R111" s="628"/>
      <c r="S111" s="628"/>
      <c r="T111" s="628"/>
      <c r="U111" s="628"/>
      <c r="V111" s="75"/>
      <c r="W111" s="628"/>
      <c r="X111" s="1221"/>
      <c r="Y111" s="75"/>
      <c r="Z111" s="1358"/>
    </row>
    <row r="112" spans="1:26" x14ac:dyDescent="0.4">
      <c r="A112" s="1339"/>
      <c r="B112" s="1360" t="s">
        <v>1545</v>
      </c>
      <c r="C112" s="75"/>
      <c r="D112" s="75"/>
      <c r="E112" s="75"/>
      <c r="F112" s="75"/>
      <c r="G112" s="1221">
        <f>+$F110*'Tariff Schedule'!E$51</f>
        <v>0</v>
      </c>
      <c r="H112" s="75"/>
      <c r="I112" s="75"/>
      <c r="J112" s="75"/>
      <c r="K112" s="1306"/>
      <c r="L112" s="628"/>
      <c r="M112" s="628">
        <f>+$M$110*Assum!J126</f>
        <v>0.17520611062233293</v>
      </c>
      <c r="N112" s="628"/>
      <c r="O112" s="628"/>
      <c r="P112" s="628"/>
      <c r="Q112" s="628">
        <f>+G112*M112/10</f>
        <v>0</v>
      </c>
      <c r="R112" s="628"/>
      <c r="S112" s="628"/>
      <c r="T112" s="628"/>
      <c r="U112" s="628"/>
      <c r="V112" s="75"/>
      <c r="W112" s="628"/>
      <c r="X112" s="1221"/>
      <c r="Y112" s="75"/>
      <c r="Z112" s="1358"/>
    </row>
    <row r="113" spans="1:26" x14ac:dyDescent="0.4">
      <c r="A113" s="1339"/>
      <c r="B113" s="1360" t="s">
        <v>1546</v>
      </c>
      <c r="C113" s="75"/>
      <c r="D113" s="75"/>
      <c r="E113" s="75"/>
      <c r="F113" s="75"/>
      <c r="G113" s="1221">
        <f>+$F110*'Tariff Schedule'!E$52</f>
        <v>-1.5036666666666667</v>
      </c>
      <c r="H113" s="75"/>
      <c r="I113" s="75"/>
      <c r="J113" s="75"/>
      <c r="K113" s="1306"/>
      <c r="L113" s="628"/>
      <c r="M113" s="628">
        <f>+$M$110*Assum!J127</f>
        <v>0.48043980003963299</v>
      </c>
      <c r="N113" s="628"/>
      <c r="O113" s="628"/>
      <c r="P113" s="628"/>
      <c r="Q113" s="628">
        <f>+G113*M113/10</f>
        <v>-7.2242131265959492E-2</v>
      </c>
      <c r="R113" s="628"/>
      <c r="S113" s="628"/>
      <c r="T113" s="628"/>
      <c r="U113" s="628"/>
      <c r="V113" s="75"/>
      <c r="W113" s="628"/>
      <c r="X113" s="1221"/>
      <c r="Y113" s="75"/>
      <c r="Z113" s="1358"/>
    </row>
    <row r="114" spans="1:26" x14ac:dyDescent="0.4">
      <c r="A114" s="1339"/>
      <c r="B114" s="1360" t="s">
        <v>1549</v>
      </c>
      <c r="C114" s="75"/>
      <c r="D114" s="75"/>
      <c r="E114" s="75"/>
      <c r="F114" s="75"/>
      <c r="G114" s="1221">
        <f>+$F110*'Tariff Schedule'!E$55</f>
        <v>1.3880000000000001</v>
      </c>
      <c r="H114" s="75"/>
      <c r="I114" s="75"/>
      <c r="J114" s="75"/>
      <c r="K114" s="1306"/>
      <c r="L114" s="628"/>
      <c r="M114" s="628">
        <f>+$M$110*Assum!J128</f>
        <v>0.38541411671374831</v>
      </c>
      <c r="N114" s="628"/>
      <c r="O114" s="628"/>
      <c r="P114" s="628"/>
      <c r="Q114" s="628">
        <f>+G114*M114/10</f>
        <v>5.3495479399868276E-2</v>
      </c>
      <c r="R114" s="628"/>
      <c r="S114" s="628"/>
      <c r="T114" s="628"/>
      <c r="U114" s="628"/>
      <c r="V114" s="75"/>
      <c r="W114" s="628"/>
      <c r="X114" s="1221"/>
      <c r="Y114" s="75"/>
      <c r="Z114" s="1358"/>
    </row>
    <row r="115" spans="1:26" s="6" customFormat="1" ht="25.5" x14ac:dyDescent="0.35">
      <c r="B115" s="1363" t="s">
        <v>1135</v>
      </c>
      <c r="C115" s="128">
        <f>+'F13.3'!C115</f>
        <v>1</v>
      </c>
      <c r="D115" s="128">
        <f>+'Tariff Schedule'!F26</f>
        <v>600</v>
      </c>
      <c r="E115" s="128"/>
      <c r="F115" s="1365">
        <f>+'Tariff Schedule'!M26</f>
        <v>5.43</v>
      </c>
      <c r="G115" s="128"/>
      <c r="H115" s="1365">
        <f>+'Tariff Schedule'!S26</f>
        <v>1.47</v>
      </c>
      <c r="I115" s="128"/>
      <c r="J115" s="128"/>
      <c r="K115" s="1336">
        <v>19</v>
      </c>
      <c r="L115" s="630">
        <f>+'F1 Non-SEZ'!M29</f>
        <v>3.4102041125982731E-2</v>
      </c>
      <c r="M115" s="630">
        <f>+L115/Z115</f>
        <v>3.479800114896197E-2</v>
      </c>
      <c r="N115" s="630">
        <f>+C115*D115*12/10^7</f>
        <v>7.2000000000000005E-4</v>
      </c>
      <c r="O115" s="630"/>
      <c r="P115" s="630">
        <f>+L115*F115/10</f>
        <v>1.8517408331408622E-2</v>
      </c>
      <c r="Q115" s="630"/>
      <c r="R115" s="630">
        <f>(L115*H115)/10</f>
        <v>5.0130000455194616E-3</v>
      </c>
      <c r="S115" s="630"/>
      <c r="T115" s="630"/>
      <c r="U115" s="630">
        <f>SUM(N115:T115)</f>
        <v>2.425040837692808E-2</v>
      </c>
      <c r="V115" s="128"/>
      <c r="W115" s="630">
        <f>+U115+V115</f>
        <v>2.425040837692808E-2</v>
      </c>
      <c r="X115" s="1222">
        <f>IFERROR(W115/L115*10,0)</f>
        <v>7.1111310573288291</v>
      </c>
      <c r="Y115" s="128"/>
      <c r="Z115" s="1366">
        <f>+'Tariff Schedule'!X26</f>
        <v>0.98</v>
      </c>
    </row>
    <row r="116" spans="1:26"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3"/>
    </row>
    <row r="117" spans="1:26" s="6" customFormat="1" ht="25.5" x14ac:dyDescent="0.35">
      <c r="A117" s="1364">
        <f>+'F13.2'!A117</f>
        <v>0.4</v>
      </c>
      <c r="B117" s="1363" t="s">
        <v>1142</v>
      </c>
      <c r="C117" s="128">
        <f>+'F13.3'!C117</f>
        <v>10</v>
      </c>
      <c r="D117" s="128"/>
      <c r="E117" s="128">
        <f>+'Tariff Schedule'!E36</f>
        <v>80</v>
      </c>
      <c r="F117" s="1365">
        <f>+'Tariff Schedule'!M36</f>
        <v>6.48</v>
      </c>
      <c r="G117" s="128"/>
      <c r="H117" s="1365">
        <f>+'Tariff Schedule'!S36</f>
        <v>1.39</v>
      </c>
      <c r="I117" s="128"/>
      <c r="J117" s="128"/>
      <c r="K117" s="1336">
        <v>105</v>
      </c>
      <c r="L117" s="630">
        <f>+'F1 Non-SEZ'!M31</f>
        <v>2.7184414709071562E-2</v>
      </c>
      <c r="M117" s="630">
        <f>+L117/Z117</f>
        <v>2.7412855168811662E-2</v>
      </c>
      <c r="N117" s="630"/>
      <c r="O117" s="630">
        <f>(K117*E117)*12/10^7*A117</f>
        <v>4.032E-3</v>
      </c>
      <c r="P117" s="630">
        <f>+M117*F117/10</f>
        <v>1.7763530149389958E-2</v>
      </c>
      <c r="Q117" s="630">
        <f>SUM(Q118:Q121)</f>
        <v>1.6700466276911206E-4</v>
      </c>
      <c r="R117" s="630">
        <f>(M117*H117)/10</f>
        <v>3.8103868684648207E-3</v>
      </c>
      <c r="S117" s="630"/>
      <c r="T117" s="630"/>
      <c r="U117" s="630">
        <f>SUM(N117:T117)</f>
        <v>2.5772921680623891E-2</v>
      </c>
      <c r="V117" s="128"/>
      <c r="W117" s="630">
        <f>+U117+V117</f>
        <v>2.5772921680623891E-2</v>
      </c>
      <c r="X117" s="1222">
        <f>IFERROR(W117/L117*10,0)</f>
        <v>9.4807712273545306</v>
      </c>
      <c r="Y117" s="128"/>
      <c r="Z117" s="1366">
        <f>+'Tariff Schedule'!X36</f>
        <v>0.99166666666666659</v>
      </c>
    </row>
    <row r="118" spans="1:26" x14ac:dyDescent="0.4">
      <c r="A118" s="1339"/>
      <c r="B118" s="1360" t="s">
        <v>1544</v>
      </c>
      <c r="C118" s="75"/>
      <c r="D118" s="75"/>
      <c r="E118" s="75"/>
      <c r="F118" s="75"/>
      <c r="G118" s="1221">
        <f>+$F117*'Tariff Schedule'!E$50</f>
        <v>0</v>
      </c>
      <c r="H118" s="75"/>
      <c r="I118" s="75"/>
      <c r="J118" s="75"/>
      <c r="K118" s="1306"/>
      <c r="L118" s="628"/>
      <c r="M118" s="628">
        <f>+$M$117*Assum!K125</f>
        <v>1.1060375292370314E-2</v>
      </c>
      <c r="N118" s="628"/>
      <c r="O118" s="628"/>
      <c r="P118" s="628"/>
      <c r="Q118" s="628">
        <f>+G118*M118/10</f>
        <v>0</v>
      </c>
      <c r="R118" s="628"/>
      <c r="S118" s="628"/>
      <c r="T118" s="628"/>
      <c r="U118" s="628"/>
      <c r="V118" s="75"/>
      <c r="W118" s="628"/>
      <c r="X118" s="1221"/>
      <c r="Y118" s="75"/>
      <c r="Z118" s="1358"/>
    </row>
    <row r="119" spans="1:26" x14ac:dyDescent="0.4">
      <c r="A119" s="1339"/>
      <c r="B119" s="1360" t="s">
        <v>1545</v>
      </c>
      <c r="C119" s="75"/>
      <c r="D119" s="75"/>
      <c r="E119" s="75"/>
      <c r="F119" s="75"/>
      <c r="G119" s="1221">
        <f>+$F117*'Tariff Schedule'!E$51</f>
        <v>0</v>
      </c>
      <c r="H119" s="75"/>
      <c r="I119" s="75"/>
      <c r="J119" s="75"/>
      <c r="K119" s="1306"/>
      <c r="L119" s="628"/>
      <c r="M119" s="628">
        <f>+$M$117*Assum!K126</f>
        <v>2.105348875528882E-3</v>
      </c>
      <c r="N119" s="628"/>
      <c r="O119" s="628"/>
      <c r="P119" s="628"/>
      <c r="Q119" s="628">
        <f>+G119*M119/10</f>
        <v>0</v>
      </c>
      <c r="R119" s="628"/>
      <c r="S119" s="628"/>
      <c r="T119" s="628"/>
      <c r="U119" s="628"/>
      <c r="V119" s="75"/>
      <c r="W119" s="628"/>
      <c r="X119" s="1221"/>
      <c r="Y119" s="75"/>
      <c r="Z119" s="1358"/>
    </row>
    <row r="120" spans="1:26" x14ac:dyDescent="0.4">
      <c r="A120" s="1339"/>
      <c r="B120" s="1360" t="s">
        <v>1546</v>
      </c>
      <c r="C120" s="75"/>
      <c r="D120" s="75"/>
      <c r="E120" s="75"/>
      <c r="F120" s="75"/>
      <c r="G120" s="1221">
        <f>+$F117*'Tariff Schedule'!E$52</f>
        <v>-1.4040000000000001</v>
      </c>
      <c r="H120" s="75"/>
      <c r="I120" s="75"/>
      <c r="J120" s="75"/>
      <c r="K120" s="1306"/>
      <c r="L120" s="628"/>
      <c r="M120" s="628">
        <f>+$M$117*Assum!K127</f>
        <v>6.2200870924042353E-3</v>
      </c>
      <c r="N120" s="628"/>
      <c r="O120" s="628"/>
      <c r="P120" s="628"/>
      <c r="Q120" s="628">
        <f>+G120*M120/10</f>
        <v>-8.7330022777355461E-4</v>
      </c>
      <c r="R120" s="628"/>
      <c r="S120" s="628"/>
      <c r="T120" s="628"/>
      <c r="U120" s="628"/>
      <c r="V120" s="75"/>
      <c r="W120" s="628"/>
      <c r="X120" s="1221"/>
      <c r="Y120" s="75"/>
      <c r="Z120" s="1358"/>
    </row>
    <row r="121" spans="1:26" x14ac:dyDescent="0.4">
      <c r="A121" s="1339"/>
      <c r="B121" s="1360" t="s">
        <v>1549</v>
      </c>
      <c r="C121" s="75"/>
      <c r="D121" s="75"/>
      <c r="E121" s="75"/>
      <c r="F121" s="75"/>
      <c r="G121" s="1221">
        <f>+$F117*'Tariff Schedule'!E$55</f>
        <v>1.2960000000000003</v>
      </c>
      <c r="H121" s="75"/>
      <c r="I121" s="75"/>
      <c r="J121" s="75"/>
      <c r="K121" s="1306"/>
      <c r="L121" s="628"/>
      <c r="M121" s="628">
        <f>+$M$117*Assum!K128</f>
        <v>8.0270439085082298E-3</v>
      </c>
      <c r="N121" s="628"/>
      <c r="O121" s="628"/>
      <c r="P121" s="628"/>
      <c r="Q121" s="628">
        <f>+G121*M121/10</f>
        <v>1.0403048905426667E-3</v>
      </c>
      <c r="R121" s="628"/>
      <c r="S121" s="628"/>
      <c r="T121" s="628"/>
      <c r="U121" s="628"/>
      <c r="V121" s="75"/>
      <c r="W121" s="628"/>
      <c r="X121" s="1221"/>
      <c r="Y121" s="75"/>
      <c r="Z121" s="1358"/>
    </row>
    <row r="122" spans="1:26" x14ac:dyDescent="0.4">
      <c r="B122" s="518" t="s">
        <v>162</v>
      </c>
      <c r="C122" s="1308">
        <f>SUM(C93:C117)</f>
        <v>3122</v>
      </c>
      <c r="D122" s="1310"/>
      <c r="E122" s="1310"/>
      <c r="F122" s="1310"/>
      <c r="G122" s="1310"/>
      <c r="H122" s="1310"/>
      <c r="I122" s="1310"/>
      <c r="J122" s="1310"/>
      <c r="K122" s="1336">
        <f>+K100+K105+K110+K115+K117</f>
        <v>737</v>
      </c>
      <c r="L122" s="630">
        <f>+M92+M99+M100+M105+M110+M115+M117</f>
        <v>14.369570827302901</v>
      </c>
      <c r="M122" s="630">
        <f t="shared" ref="M122:W122" si="7">+M92+M99+M100+M105+M110+M115+M117</f>
        <v>14.369570827302901</v>
      </c>
      <c r="N122" s="630">
        <f t="shared" si="7"/>
        <v>1.6097399999999999</v>
      </c>
      <c r="O122" s="630">
        <f t="shared" si="7"/>
        <v>0.13354800000000003</v>
      </c>
      <c r="P122" s="630">
        <f t="shared" si="7"/>
        <v>15.072115014469466</v>
      </c>
      <c r="Q122" s="630">
        <f t="shared" si="7"/>
        <v>-0.27588135209782338</v>
      </c>
      <c r="R122" s="630">
        <f t="shared" si="7"/>
        <v>2.0917220027379639</v>
      </c>
      <c r="S122" s="630">
        <f t="shared" si="7"/>
        <v>0</v>
      </c>
      <c r="T122" s="630">
        <f t="shared" si="7"/>
        <v>0</v>
      </c>
      <c r="U122" s="630">
        <f t="shared" si="7"/>
        <v>18.631243665109604</v>
      </c>
      <c r="V122" s="630">
        <f t="shared" si="7"/>
        <v>0</v>
      </c>
      <c r="W122" s="630">
        <f t="shared" si="7"/>
        <v>18.631243665109604</v>
      </c>
      <c r="X122" s="1222">
        <f>IFERROR(W122/L122*10,0)</f>
        <v>12.965762087834463</v>
      </c>
      <c r="Y122" s="75"/>
      <c r="Z122" s="2"/>
    </row>
    <row r="123" spans="1:26"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2"/>
    </row>
    <row r="124" spans="1:26" x14ac:dyDescent="0.4">
      <c r="B124" s="119" t="s">
        <v>164</v>
      </c>
      <c r="C124" s="1308">
        <f>+C122+C90</f>
        <v>3126</v>
      </c>
      <c r="D124" s="1309"/>
      <c r="E124" s="1309"/>
      <c r="F124" s="1309"/>
      <c r="G124" s="1309"/>
      <c r="H124" s="1309"/>
      <c r="I124" s="1309"/>
      <c r="J124" s="1309"/>
      <c r="K124" s="1336">
        <f>+K122+K90</f>
        <v>1423</v>
      </c>
      <c r="L124" s="630">
        <f>+M122+M90</f>
        <v>16.678392937799195</v>
      </c>
      <c r="M124" s="630">
        <f t="shared" ref="M124:W124" si="8">+M122+M90</f>
        <v>16.678392937799195</v>
      </c>
      <c r="N124" s="630">
        <f t="shared" si="8"/>
        <v>1.6097399999999999</v>
      </c>
      <c r="O124" s="630">
        <f t="shared" si="8"/>
        <v>0.52677600000000002</v>
      </c>
      <c r="P124" s="630">
        <f t="shared" si="8"/>
        <v>16.364394529643132</v>
      </c>
      <c r="Q124" s="630">
        <f t="shared" si="8"/>
        <v>-0.31851462235820061</v>
      </c>
      <c r="R124" s="630">
        <f t="shared" si="8"/>
        <v>2.177148420826327</v>
      </c>
      <c r="S124" s="630">
        <f t="shared" si="8"/>
        <v>0</v>
      </c>
      <c r="T124" s="630">
        <f t="shared" si="8"/>
        <v>0</v>
      </c>
      <c r="U124" s="630">
        <f t="shared" si="8"/>
        <v>20.359544328111255</v>
      </c>
      <c r="V124" s="1309">
        <f t="shared" si="8"/>
        <v>0</v>
      </c>
      <c r="W124" s="630">
        <f t="shared" si="8"/>
        <v>20.359544328111255</v>
      </c>
      <c r="X124" s="1222">
        <f>IFERROR(W124/L124*10,0)</f>
        <v>12.207137944309522</v>
      </c>
      <c r="Y124" s="75"/>
      <c r="Z124" s="2"/>
    </row>
    <row r="125" spans="1:26" x14ac:dyDescent="0.4">
      <c r="Z125" s="2"/>
    </row>
    <row r="126" spans="1:26" x14ac:dyDescent="0.4">
      <c r="B126" s="131" t="s">
        <v>748</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row>
    <row r="127" spans="1:26" x14ac:dyDescent="0.4">
      <c r="B127" s="131" t="s">
        <v>1566</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row>
    <row r="128" spans="1:26"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row>
    <row r="129" spans="2:26"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947" t="s">
        <v>1570</v>
      </c>
    </row>
    <row r="130" spans="2:26"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947"/>
    </row>
    <row r="131" spans="2:26"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2"/>
    </row>
    <row r="132" spans="2:26" x14ac:dyDescent="0.4">
      <c r="B132" s="429" t="s">
        <v>1129</v>
      </c>
      <c r="C132" s="75">
        <f>+C13+C78</f>
        <v>5</v>
      </c>
      <c r="D132" s="75"/>
      <c r="E132" s="75"/>
      <c r="F132" s="75"/>
      <c r="G132" s="75"/>
      <c r="H132" s="75"/>
      <c r="I132" s="75"/>
      <c r="J132" s="75"/>
      <c r="K132" s="1306">
        <f t="shared" ref="K132:T132" si="9">+K13+K78</f>
        <v>34711</v>
      </c>
      <c r="L132" s="628">
        <f t="shared" si="9"/>
        <v>243.946799</v>
      </c>
      <c r="M132" s="628">
        <f t="shared" si="9"/>
        <v>246.41090808080807</v>
      </c>
      <c r="N132" s="628">
        <f t="shared" si="9"/>
        <v>0</v>
      </c>
      <c r="O132" s="628">
        <f t="shared" si="9"/>
        <v>22.492728000000003</v>
      </c>
      <c r="P132" s="628">
        <f t="shared" si="9"/>
        <v>181.85125016363637</v>
      </c>
      <c r="Q132" s="628">
        <f t="shared" si="9"/>
        <v>-2.5991903527866858</v>
      </c>
      <c r="R132" s="628">
        <f t="shared" si="9"/>
        <v>18.234407197979799</v>
      </c>
      <c r="S132" s="628">
        <f t="shared" si="9"/>
        <v>0</v>
      </c>
      <c r="T132" s="628">
        <f t="shared" si="9"/>
        <v>0</v>
      </c>
      <c r="U132" s="628">
        <f>SUM(N132:T132)</f>
        <v>219.97919500882949</v>
      </c>
      <c r="V132" s="75"/>
      <c r="W132" s="628">
        <f>+U132+V132</f>
        <v>219.97919500882949</v>
      </c>
      <c r="X132" s="1221">
        <f>IFERROR(W132/L132*10,0)</f>
        <v>9.0175069281736917</v>
      </c>
      <c r="Y132" s="75"/>
      <c r="Z132" s="2"/>
    </row>
    <row r="133" spans="2:26" x14ac:dyDescent="0.4">
      <c r="B133" s="429" t="s">
        <v>1130</v>
      </c>
      <c r="C133" s="75">
        <f>+C18+C83</f>
        <v>4</v>
      </c>
      <c r="D133" s="75"/>
      <c r="E133" s="75"/>
      <c r="F133" s="75"/>
      <c r="G133" s="75"/>
      <c r="H133" s="75"/>
      <c r="I133" s="75"/>
      <c r="J133" s="75"/>
      <c r="K133" s="1306">
        <f t="shared" ref="K133:T133" si="10">+K18+K83</f>
        <v>515</v>
      </c>
      <c r="L133" s="628">
        <f t="shared" si="10"/>
        <v>0.99619577935655435</v>
      </c>
      <c r="M133" s="628">
        <f t="shared" si="10"/>
        <v>1.0165263054658717</v>
      </c>
      <c r="N133" s="628">
        <f t="shared" si="10"/>
        <v>0</v>
      </c>
      <c r="O133" s="628">
        <f t="shared" si="10"/>
        <v>0.27810000000000001</v>
      </c>
      <c r="P133" s="628">
        <f t="shared" si="10"/>
        <v>1.2127158824207849</v>
      </c>
      <c r="Q133" s="628">
        <f t="shared" si="10"/>
        <v>-4.2714039172688789E-2</v>
      </c>
      <c r="R133" s="628">
        <f t="shared" si="10"/>
        <v>7.5222946604474511E-2</v>
      </c>
      <c r="S133" s="628">
        <f t="shared" si="10"/>
        <v>0</v>
      </c>
      <c r="T133" s="628">
        <f t="shared" si="10"/>
        <v>0</v>
      </c>
      <c r="U133" s="628">
        <f>SUM(N133:T133)</f>
        <v>1.5233247898525706</v>
      </c>
      <c r="V133" s="75"/>
      <c r="W133" s="628">
        <f>+U133+V133</f>
        <v>1.5233247898525706</v>
      </c>
      <c r="X133" s="1221">
        <f>IFERROR(W133/L133*10,0)</f>
        <v>15.291419833523992</v>
      </c>
      <c r="Y133" s="75"/>
      <c r="Z133" s="2"/>
    </row>
    <row r="134" spans="2:26"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2"/>
    </row>
    <row r="135" spans="2:26"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2"/>
    </row>
    <row r="136" spans="2:26" x14ac:dyDescent="0.4">
      <c r="B136" s="518" t="s">
        <v>162</v>
      </c>
      <c r="C136" s="128">
        <f>SUM(C132:C135)</f>
        <v>9</v>
      </c>
      <c r="D136" s="1309"/>
      <c r="E136" s="1309"/>
      <c r="F136" s="1309"/>
      <c r="G136" s="1309"/>
      <c r="H136" s="1309"/>
      <c r="I136" s="1309"/>
      <c r="J136" s="1309"/>
      <c r="K136" s="1336">
        <f t="shared" ref="K136:W136" si="11">SUM(K132:K135)</f>
        <v>35226</v>
      </c>
      <c r="L136" s="630">
        <f t="shared" si="11"/>
        <v>244.94299477935655</v>
      </c>
      <c r="M136" s="630">
        <f t="shared" si="11"/>
        <v>247.42743438627394</v>
      </c>
      <c r="N136" s="630">
        <f t="shared" si="11"/>
        <v>0</v>
      </c>
      <c r="O136" s="630">
        <f t="shared" si="11"/>
        <v>22.770828000000002</v>
      </c>
      <c r="P136" s="630">
        <f t="shared" si="11"/>
        <v>183.06396604605715</v>
      </c>
      <c r="Q136" s="630">
        <f t="shared" si="11"/>
        <v>-2.6419043919593745</v>
      </c>
      <c r="R136" s="630">
        <f t="shared" si="11"/>
        <v>18.309630144584272</v>
      </c>
      <c r="S136" s="630">
        <f t="shared" si="11"/>
        <v>0</v>
      </c>
      <c r="T136" s="630">
        <f t="shared" si="11"/>
        <v>0</v>
      </c>
      <c r="U136" s="630">
        <f t="shared" si="11"/>
        <v>221.50251979868207</v>
      </c>
      <c r="V136" s="1309">
        <f t="shared" si="11"/>
        <v>0</v>
      </c>
      <c r="W136" s="630">
        <f t="shared" si="11"/>
        <v>221.50251979868207</v>
      </c>
      <c r="X136" s="1221">
        <f>IFERROR(W136/L136*10,0)</f>
        <v>9.0430232551949672</v>
      </c>
      <c r="Y136" s="75"/>
      <c r="Z136" s="2"/>
    </row>
    <row r="137" spans="2:26"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2"/>
    </row>
    <row r="138" spans="2:26" x14ac:dyDescent="0.4">
      <c r="B138" s="519" t="s">
        <v>1133</v>
      </c>
      <c r="C138" s="75"/>
      <c r="D138" s="75"/>
      <c r="E138" s="75"/>
      <c r="F138" s="75"/>
      <c r="G138" s="75"/>
      <c r="H138" s="75"/>
      <c r="I138" s="75"/>
      <c r="J138" s="75"/>
      <c r="K138" s="1306"/>
      <c r="L138" s="628"/>
      <c r="M138" s="628"/>
      <c r="N138" s="628"/>
      <c r="O138" s="628"/>
      <c r="P138" s="628"/>
      <c r="Q138" s="628"/>
      <c r="R138" s="628"/>
      <c r="S138" s="628"/>
      <c r="T138" s="628"/>
      <c r="U138" s="628"/>
      <c r="V138" s="75"/>
      <c r="W138" s="628"/>
      <c r="X138" s="75"/>
      <c r="Y138" s="75"/>
      <c r="Z138" s="2"/>
    </row>
    <row r="139" spans="2:26" x14ac:dyDescent="0.4">
      <c r="B139" s="520" t="s">
        <v>1106</v>
      </c>
      <c r="C139" s="75">
        <f>+C28+C93</f>
        <v>1725</v>
      </c>
      <c r="D139" s="75"/>
      <c r="E139" s="75"/>
      <c r="F139" s="75"/>
      <c r="G139" s="75"/>
      <c r="H139" s="75"/>
      <c r="I139" s="75"/>
      <c r="J139" s="75"/>
      <c r="K139" s="1306">
        <f t="shared" ref="K139:T139" si="12">+K28+K93</f>
        <v>0</v>
      </c>
      <c r="L139" s="628">
        <f t="shared" si="12"/>
        <v>2.6696019132437998</v>
      </c>
      <c r="M139" s="628">
        <f t="shared" si="12"/>
        <v>2.6696019132437998</v>
      </c>
      <c r="N139" s="628">
        <f t="shared" si="12"/>
        <v>0.8901</v>
      </c>
      <c r="O139" s="628">
        <f t="shared" si="12"/>
        <v>0</v>
      </c>
      <c r="P139" s="628">
        <f t="shared" si="12"/>
        <v>0.97173509642074318</v>
      </c>
      <c r="Q139" s="628">
        <f t="shared" si="12"/>
        <v>-4.2713630611900796E-2</v>
      </c>
      <c r="R139" s="628">
        <f t="shared" si="12"/>
        <v>0.39243148124683858</v>
      </c>
      <c r="S139" s="628">
        <f t="shared" si="12"/>
        <v>0</v>
      </c>
      <c r="T139" s="628">
        <f t="shared" si="12"/>
        <v>0</v>
      </c>
      <c r="U139" s="628">
        <f>SUM(N139:T139)</f>
        <v>2.2115529470556812</v>
      </c>
      <c r="V139" s="75"/>
      <c r="W139" s="628">
        <f>+U139+V139</f>
        <v>2.2115529470556812</v>
      </c>
      <c r="X139" s="1221">
        <f>IFERROR(W139/L139*10,0)</f>
        <v>8.2842049823392987</v>
      </c>
      <c r="Y139" s="75"/>
      <c r="Z139" s="2"/>
    </row>
    <row r="140" spans="2:26" x14ac:dyDescent="0.4">
      <c r="B140" s="520" t="s">
        <v>1107</v>
      </c>
      <c r="C140" s="75">
        <f>+C29+C94</f>
        <v>670</v>
      </c>
      <c r="D140" s="75"/>
      <c r="E140" s="75"/>
      <c r="F140" s="75"/>
      <c r="G140" s="75"/>
      <c r="H140" s="75"/>
      <c r="I140" s="75"/>
      <c r="J140" s="75"/>
      <c r="K140" s="1306">
        <f t="shared" ref="K140:T140" si="13">+K29+K94</f>
        <v>0</v>
      </c>
      <c r="L140" s="628">
        <f t="shared" si="13"/>
        <v>2.5852110422015162</v>
      </c>
      <c r="M140" s="628">
        <f t="shared" si="13"/>
        <v>2.5852110422015162</v>
      </c>
      <c r="N140" s="628">
        <f t="shared" si="13"/>
        <v>0.34572000000000003</v>
      </c>
      <c r="O140" s="628">
        <f t="shared" si="13"/>
        <v>0</v>
      </c>
      <c r="P140" s="628">
        <f t="shared" si="13"/>
        <v>2.4404392238382311</v>
      </c>
      <c r="Q140" s="628">
        <f t="shared" si="13"/>
        <v>-4.1363376675224259E-2</v>
      </c>
      <c r="R140" s="628">
        <f t="shared" si="13"/>
        <v>0.38002602320362289</v>
      </c>
      <c r="S140" s="628">
        <f t="shared" si="13"/>
        <v>0</v>
      </c>
      <c r="T140" s="628">
        <f t="shared" si="13"/>
        <v>0</v>
      </c>
      <c r="U140" s="628">
        <f>SUM(N140:T140)</f>
        <v>3.1248218703666297</v>
      </c>
      <c r="V140" s="75"/>
      <c r="W140" s="628">
        <f>+U140+V140</f>
        <v>3.1248218703666297</v>
      </c>
      <c r="X140" s="1221">
        <f>IFERROR(W140/L140*10,0)</f>
        <v>12.087298945255903</v>
      </c>
      <c r="Y140" s="75"/>
      <c r="Z140" s="2"/>
    </row>
    <row r="141" spans="2:26" x14ac:dyDescent="0.4">
      <c r="B141" s="520" t="s">
        <v>1108</v>
      </c>
      <c r="C141" s="75">
        <f>+C30+C95</f>
        <v>356</v>
      </c>
      <c r="D141" s="75"/>
      <c r="E141" s="75"/>
      <c r="F141" s="75"/>
      <c r="G141" s="75"/>
      <c r="H141" s="75"/>
      <c r="I141" s="75"/>
      <c r="J141" s="75"/>
      <c r="K141" s="1306">
        <f t="shared" ref="K141:T141" si="14">+K30+K95</f>
        <v>0</v>
      </c>
      <c r="L141" s="628">
        <f t="shared" si="14"/>
        <v>0.90548844897117431</v>
      </c>
      <c r="M141" s="628">
        <f t="shared" si="14"/>
        <v>0.90548844897117431</v>
      </c>
      <c r="N141" s="628">
        <f t="shared" si="14"/>
        <v>0.183696</v>
      </c>
      <c r="O141" s="628">
        <f t="shared" si="14"/>
        <v>0</v>
      </c>
      <c r="P141" s="628">
        <f t="shared" si="14"/>
        <v>1.1834734028053249</v>
      </c>
      <c r="Q141" s="628">
        <f t="shared" si="14"/>
        <v>-1.4487815183538791E-2</v>
      </c>
      <c r="R141" s="628">
        <f t="shared" si="14"/>
        <v>0.13310680199876262</v>
      </c>
      <c r="S141" s="628">
        <f t="shared" si="14"/>
        <v>0</v>
      </c>
      <c r="T141" s="628">
        <f t="shared" si="14"/>
        <v>0</v>
      </c>
      <c r="U141" s="628">
        <f>SUM(N141:T141)</f>
        <v>1.4857883896205488</v>
      </c>
      <c r="V141" s="75"/>
      <c r="W141" s="628">
        <f>+U141+V141</f>
        <v>1.4857883896205488</v>
      </c>
      <c r="X141" s="1221">
        <f>IFERROR(W141/L141*10,0)</f>
        <v>16.408695122601703</v>
      </c>
      <c r="Y141" s="75"/>
      <c r="Z141" s="2"/>
    </row>
    <row r="142" spans="2:26" x14ac:dyDescent="0.4">
      <c r="B142" s="520" t="s">
        <v>1109</v>
      </c>
      <c r="C142" s="75">
        <f>+C31+C96</f>
        <v>256</v>
      </c>
      <c r="D142" s="75"/>
      <c r="E142" s="75"/>
      <c r="F142" s="75"/>
      <c r="G142" s="75"/>
      <c r="H142" s="75"/>
      <c r="I142" s="75"/>
      <c r="J142" s="75"/>
      <c r="K142" s="1306">
        <f t="shared" ref="K142:T142" si="15">+K31+K96</f>
        <v>0</v>
      </c>
      <c r="L142" s="628">
        <f t="shared" si="15"/>
        <v>5.3221857699889075</v>
      </c>
      <c r="M142" s="628">
        <f t="shared" si="15"/>
        <v>5.3221857699889075</v>
      </c>
      <c r="N142" s="628">
        <f t="shared" si="15"/>
        <v>0.13209599999999999</v>
      </c>
      <c r="O142" s="628">
        <f t="shared" si="15"/>
        <v>0</v>
      </c>
      <c r="P142" s="628">
        <f t="shared" si="15"/>
        <v>7.9992452122933271</v>
      </c>
      <c r="Q142" s="628">
        <f t="shared" si="15"/>
        <v>-8.5154972319822525E-2</v>
      </c>
      <c r="R142" s="628">
        <f t="shared" si="15"/>
        <v>0.78236130818836935</v>
      </c>
      <c r="S142" s="628">
        <f t="shared" si="15"/>
        <v>0</v>
      </c>
      <c r="T142" s="628">
        <f t="shared" si="15"/>
        <v>0</v>
      </c>
      <c r="U142" s="628">
        <f>SUM(N142:T142)</f>
        <v>8.8285475481618736</v>
      </c>
      <c r="V142" s="75"/>
      <c r="W142" s="628">
        <f>+U142+V142</f>
        <v>8.8285475481618736</v>
      </c>
      <c r="X142" s="1221">
        <f>IFERROR(W142/L142*10,0)</f>
        <v>16.588198777173226</v>
      </c>
      <c r="Y142" s="75"/>
      <c r="Z142" s="2"/>
    </row>
    <row r="143" spans="2:26" x14ac:dyDescent="0.4">
      <c r="B143" s="520" t="s">
        <v>1110</v>
      </c>
      <c r="C143" s="75"/>
      <c r="D143" s="75"/>
      <c r="E143" s="75"/>
      <c r="F143" s="75"/>
      <c r="G143" s="75"/>
      <c r="H143" s="75"/>
      <c r="I143" s="75"/>
      <c r="J143" s="75"/>
      <c r="K143" s="1306">
        <f t="shared" ref="K143:T143" si="16">+K32+K97</f>
        <v>0</v>
      </c>
      <c r="L143" s="628">
        <f t="shared" si="16"/>
        <v>0</v>
      </c>
      <c r="M143" s="628">
        <f t="shared" si="16"/>
        <v>0</v>
      </c>
      <c r="N143" s="628">
        <f t="shared" si="16"/>
        <v>0</v>
      </c>
      <c r="O143" s="628">
        <f t="shared" si="16"/>
        <v>0</v>
      </c>
      <c r="P143" s="628">
        <f t="shared" si="16"/>
        <v>0</v>
      </c>
      <c r="Q143" s="628">
        <f t="shared" si="16"/>
        <v>0</v>
      </c>
      <c r="R143" s="628">
        <f t="shared" si="16"/>
        <v>0</v>
      </c>
      <c r="S143" s="628">
        <f t="shared" si="16"/>
        <v>0</v>
      </c>
      <c r="T143" s="628">
        <f t="shared" si="16"/>
        <v>0</v>
      </c>
      <c r="U143" s="628"/>
      <c r="V143" s="75"/>
      <c r="W143" s="628"/>
      <c r="X143" s="75"/>
      <c r="Y143" s="75"/>
      <c r="Z143" s="2"/>
    </row>
    <row r="144" spans="2:26"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2"/>
    </row>
    <row r="145" spans="2:26" x14ac:dyDescent="0.4">
      <c r="B145" s="520" t="s">
        <v>1140</v>
      </c>
      <c r="C145" s="75">
        <f>+C35+C99</f>
        <v>92</v>
      </c>
      <c r="D145" s="75"/>
      <c r="E145" s="75"/>
      <c r="F145" s="75"/>
      <c r="G145" s="75"/>
      <c r="H145" s="75"/>
      <c r="I145" s="75"/>
      <c r="J145" s="75"/>
      <c r="K145" s="1306">
        <f t="shared" ref="K145:T145" si="17">+K35+K99</f>
        <v>0</v>
      </c>
      <c r="L145" s="628">
        <f t="shared" si="17"/>
        <v>0.44849186019119414</v>
      </c>
      <c r="M145" s="628">
        <f t="shared" si="17"/>
        <v>0.45764475529713688</v>
      </c>
      <c r="N145" s="628">
        <f t="shared" si="17"/>
        <v>5.7408000000000001E-2</v>
      </c>
      <c r="O145" s="628">
        <f t="shared" si="17"/>
        <v>0</v>
      </c>
      <c r="P145" s="628">
        <f t="shared" si="17"/>
        <v>0.33950833816473397</v>
      </c>
      <c r="Q145" s="628">
        <f t="shared" si="17"/>
        <v>0</v>
      </c>
      <c r="R145" s="628">
        <f t="shared" si="17"/>
        <v>6.5928303448105546E-2</v>
      </c>
      <c r="S145" s="628">
        <f t="shared" si="17"/>
        <v>0</v>
      </c>
      <c r="T145" s="628">
        <f t="shared" si="17"/>
        <v>0</v>
      </c>
      <c r="U145" s="628">
        <f t="shared" ref="U145:U151" si="18">SUM(N145:T145)</f>
        <v>0.46284464161283956</v>
      </c>
      <c r="V145" s="75"/>
      <c r="W145" s="628">
        <f t="shared" ref="W145:W152" si="19">+U145+V145</f>
        <v>0.46284464161283956</v>
      </c>
      <c r="X145" s="1221">
        <f t="shared" ref="X145:X151" si="20">IFERROR(W145/L145*10,0)</f>
        <v>10.320023231091122</v>
      </c>
      <c r="Y145" s="75"/>
      <c r="Z145" s="2"/>
    </row>
    <row r="146" spans="2:26" x14ac:dyDescent="0.4">
      <c r="B146" s="520" t="s">
        <v>1144</v>
      </c>
      <c r="C146" s="75">
        <f>+C36+C100</f>
        <v>9</v>
      </c>
      <c r="D146" s="75"/>
      <c r="E146" s="75"/>
      <c r="F146" s="75"/>
      <c r="G146" s="75"/>
      <c r="H146" s="75"/>
      <c r="I146" s="75"/>
      <c r="J146" s="75"/>
      <c r="K146" s="1306">
        <f t="shared" ref="K146:T146" si="21">+K36+K100</f>
        <v>383</v>
      </c>
      <c r="L146" s="628">
        <f t="shared" si="21"/>
        <v>0.78788731506757104</v>
      </c>
      <c r="M146" s="628">
        <f t="shared" si="21"/>
        <v>0.79697877666808115</v>
      </c>
      <c r="N146" s="628">
        <f t="shared" si="21"/>
        <v>0</v>
      </c>
      <c r="O146" s="628">
        <f t="shared" si="21"/>
        <v>9.6516000000000005E-2</v>
      </c>
      <c r="P146" s="628">
        <f t="shared" si="21"/>
        <v>0.86950384534487646</v>
      </c>
      <c r="Q146" s="628">
        <f t="shared" si="21"/>
        <v>-4.2754165881310299E-2</v>
      </c>
      <c r="R146" s="628">
        <f t="shared" si="21"/>
        <v>0.11078004995686327</v>
      </c>
      <c r="S146" s="628">
        <f t="shared" si="21"/>
        <v>0</v>
      </c>
      <c r="T146" s="628">
        <f t="shared" si="21"/>
        <v>0</v>
      </c>
      <c r="U146" s="628">
        <f t="shared" si="18"/>
        <v>1.0340457294204295</v>
      </c>
      <c r="V146" s="75"/>
      <c r="W146" s="628">
        <f t="shared" si="19"/>
        <v>1.0340457294204295</v>
      </c>
      <c r="X146" s="1221">
        <f t="shared" si="20"/>
        <v>13.124284521978213</v>
      </c>
      <c r="Y146" s="75"/>
      <c r="Z146" s="2"/>
    </row>
    <row r="147" spans="2:26" x14ac:dyDescent="0.4">
      <c r="B147" s="520" t="s">
        <v>1143</v>
      </c>
      <c r="C147" s="75">
        <f>+C41+C105</f>
        <v>1</v>
      </c>
      <c r="D147" s="75"/>
      <c r="E147" s="75"/>
      <c r="F147" s="75"/>
      <c r="G147" s="75"/>
      <c r="H147" s="75"/>
      <c r="I147" s="75"/>
      <c r="J147" s="75"/>
      <c r="K147" s="1306">
        <f t="shared" ref="K147:T147" si="22">+K41+K105</f>
        <v>70</v>
      </c>
      <c r="L147" s="628">
        <f t="shared" si="22"/>
        <v>0.23462983966457771</v>
      </c>
      <c r="M147" s="628">
        <f t="shared" si="22"/>
        <v>0.23695994579826057</v>
      </c>
      <c r="N147" s="628">
        <f t="shared" si="22"/>
        <v>0</v>
      </c>
      <c r="O147" s="628">
        <f t="shared" si="22"/>
        <v>1.7639999999999999E-2</v>
      </c>
      <c r="P147" s="628">
        <f t="shared" si="22"/>
        <v>0.30662616986294916</v>
      </c>
      <c r="Q147" s="628">
        <f t="shared" si="22"/>
        <v>-3.0827744222704581E-2</v>
      </c>
      <c r="R147" s="628">
        <f t="shared" si="22"/>
        <v>3.2937432465958219E-2</v>
      </c>
      <c r="S147" s="628">
        <f t="shared" si="22"/>
        <v>0</v>
      </c>
      <c r="T147" s="628">
        <f t="shared" si="22"/>
        <v>0</v>
      </c>
      <c r="U147" s="628">
        <f t="shared" si="18"/>
        <v>0.32637585810620279</v>
      </c>
      <c r="V147" s="75"/>
      <c r="W147" s="628">
        <f t="shared" si="19"/>
        <v>0.32637585810620279</v>
      </c>
      <c r="X147" s="1221">
        <f t="shared" si="20"/>
        <v>13.910245115147477</v>
      </c>
      <c r="Y147" s="75"/>
      <c r="Z147" s="2"/>
    </row>
    <row r="148" spans="2:26" ht="25.5" x14ac:dyDescent="0.4">
      <c r="B148" s="519" t="s">
        <v>1111</v>
      </c>
      <c r="C148" s="75">
        <f>+C46+C110</f>
        <v>2</v>
      </c>
      <c r="D148" s="75"/>
      <c r="E148" s="75"/>
      <c r="F148" s="75"/>
      <c r="G148" s="75"/>
      <c r="H148" s="75"/>
      <c r="I148" s="75"/>
      <c r="J148" s="75"/>
      <c r="K148" s="1306">
        <f t="shared" ref="K148:T148" si="23">+K46+K110</f>
        <v>160</v>
      </c>
      <c r="L148" s="628">
        <f t="shared" si="23"/>
        <v>1.3066235324399276</v>
      </c>
      <c r="M148" s="628">
        <f t="shared" si="23"/>
        <v>1.3332893188162527</v>
      </c>
      <c r="N148" s="628">
        <f t="shared" si="23"/>
        <v>0</v>
      </c>
      <c r="O148" s="628">
        <f t="shared" si="23"/>
        <v>1.5359999999999999E-2</v>
      </c>
      <c r="P148" s="628">
        <f t="shared" si="23"/>
        <v>0.92530278725847948</v>
      </c>
      <c r="Q148" s="628">
        <f t="shared" si="23"/>
        <v>-1.8746651866091216E-2</v>
      </c>
      <c r="R148" s="628">
        <f t="shared" si="23"/>
        <v>0.18532721531545909</v>
      </c>
      <c r="S148" s="628">
        <f t="shared" si="23"/>
        <v>0</v>
      </c>
      <c r="T148" s="628">
        <f t="shared" si="23"/>
        <v>0</v>
      </c>
      <c r="U148" s="628">
        <f t="shared" si="18"/>
        <v>1.1072433507078474</v>
      </c>
      <c r="V148" s="75"/>
      <c r="W148" s="628">
        <f t="shared" si="19"/>
        <v>1.1072433507078474</v>
      </c>
      <c r="X148" s="1221">
        <f t="shared" si="20"/>
        <v>8.4740808903099509</v>
      </c>
      <c r="Y148" s="75"/>
      <c r="Z148" s="2"/>
    </row>
    <row r="149" spans="2:26" ht="25.5" x14ac:dyDescent="0.4">
      <c r="B149" s="519" t="s">
        <v>1135</v>
      </c>
      <c r="C149" s="75">
        <f>+C51+C115</f>
        <v>2</v>
      </c>
      <c r="D149" s="75"/>
      <c r="E149" s="75"/>
      <c r="F149" s="75"/>
      <c r="G149" s="75"/>
      <c r="H149" s="75"/>
      <c r="I149" s="75"/>
      <c r="J149" s="75"/>
      <c r="K149" s="1306">
        <f t="shared" ref="K149:T149" si="24">+K51+K115</f>
        <v>38</v>
      </c>
      <c r="L149" s="628">
        <f t="shared" si="24"/>
        <v>0.48450008416569151</v>
      </c>
      <c r="M149" s="628">
        <f t="shared" si="24"/>
        <v>0.49438784098539951</v>
      </c>
      <c r="N149" s="628">
        <f t="shared" si="24"/>
        <v>1.4400000000000001E-3</v>
      </c>
      <c r="O149" s="628">
        <f t="shared" si="24"/>
        <v>0</v>
      </c>
      <c r="P149" s="628">
        <f t="shared" si="24"/>
        <v>0.26308354570197046</v>
      </c>
      <c r="Q149" s="628">
        <f t="shared" si="24"/>
        <v>0</v>
      </c>
      <c r="R149" s="628">
        <f t="shared" si="24"/>
        <v>5.7709571081165381E-2</v>
      </c>
      <c r="S149" s="628">
        <f t="shared" si="24"/>
        <v>0</v>
      </c>
      <c r="T149" s="628">
        <f t="shared" si="24"/>
        <v>0</v>
      </c>
      <c r="U149" s="628">
        <f t="shared" si="18"/>
        <v>0.32223311678313582</v>
      </c>
      <c r="V149" s="75"/>
      <c r="W149" s="628">
        <f t="shared" si="19"/>
        <v>0.32223311678313582</v>
      </c>
      <c r="X149" s="1221">
        <f t="shared" si="20"/>
        <v>6.6508371683365297</v>
      </c>
      <c r="Y149" s="75"/>
      <c r="Z149" s="2"/>
    </row>
    <row r="150" spans="2:26" ht="38.25" x14ac:dyDescent="0.4">
      <c r="B150" s="519" t="s">
        <v>1136</v>
      </c>
      <c r="C150" s="75">
        <f>+C52+C116</f>
        <v>0</v>
      </c>
      <c r="D150" s="75"/>
      <c r="E150" s="75"/>
      <c r="F150" s="75"/>
      <c r="G150" s="75"/>
      <c r="H150" s="75"/>
      <c r="I150" s="75"/>
      <c r="J150" s="75"/>
      <c r="K150" s="1306">
        <f t="shared" ref="K150:T150" si="25">+K52+K116</f>
        <v>0</v>
      </c>
      <c r="L150" s="628">
        <f t="shared" si="25"/>
        <v>0</v>
      </c>
      <c r="M150" s="628">
        <f t="shared" si="25"/>
        <v>0</v>
      </c>
      <c r="N150" s="628">
        <f t="shared" si="25"/>
        <v>0</v>
      </c>
      <c r="O150" s="628">
        <f t="shared" si="25"/>
        <v>0</v>
      </c>
      <c r="P150" s="628">
        <f t="shared" si="25"/>
        <v>0</v>
      </c>
      <c r="Q150" s="628">
        <f t="shared" si="25"/>
        <v>0</v>
      </c>
      <c r="R150" s="628">
        <f t="shared" si="25"/>
        <v>0</v>
      </c>
      <c r="S150" s="628">
        <f t="shared" si="25"/>
        <v>0</v>
      </c>
      <c r="T150" s="628">
        <f t="shared" si="25"/>
        <v>0</v>
      </c>
      <c r="U150" s="628">
        <f t="shared" si="18"/>
        <v>0</v>
      </c>
      <c r="V150" s="75"/>
      <c r="W150" s="628">
        <f t="shared" si="19"/>
        <v>0</v>
      </c>
      <c r="X150" s="1221">
        <f t="shared" si="20"/>
        <v>0</v>
      </c>
      <c r="Y150" s="75"/>
      <c r="Z150" s="2"/>
    </row>
    <row r="151" spans="2:26" ht="25.5" x14ac:dyDescent="0.4">
      <c r="B151" s="519" t="s">
        <v>1142</v>
      </c>
      <c r="C151" s="75">
        <f>+C58+C117</f>
        <v>10</v>
      </c>
      <c r="D151" s="75"/>
      <c r="E151" s="75"/>
      <c r="F151" s="75"/>
      <c r="G151" s="75"/>
      <c r="H151" s="75"/>
      <c r="I151" s="75"/>
      <c r="J151" s="75"/>
      <c r="K151" s="1306">
        <f t="shared" ref="K151:T151" si="26">+K58+K117</f>
        <v>105</v>
      </c>
      <c r="L151" s="628">
        <f t="shared" si="26"/>
        <v>2.7184414709071562E-2</v>
      </c>
      <c r="M151" s="628">
        <f t="shared" si="26"/>
        <v>2.7412855168811662E-2</v>
      </c>
      <c r="N151" s="628">
        <f t="shared" si="26"/>
        <v>0</v>
      </c>
      <c r="O151" s="628">
        <f t="shared" si="26"/>
        <v>4.032E-3</v>
      </c>
      <c r="P151" s="628">
        <f t="shared" si="26"/>
        <v>1.7763530149389958E-2</v>
      </c>
      <c r="Q151" s="628">
        <f t="shared" si="26"/>
        <v>1.6700466276911206E-4</v>
      </c>
      <c r="R151" s="628">
        <f t="shared" si="26"/>
        <v>3.8103868684648207E-3</v>
      </c>
      <c r="S151" s="628">
        <f t="shared" si="26"/>
        <v>0</v>
      </c>
      <c r="T151" s="628">
        <f t="shared" si="26"/>
        <v>0</v>
      </c>
      <c r="U151" s="628">
        <f t="shared" si="18"/>
        <v>2.5772921680623891E-2</v>
      </c>
      <c r="V151" s="75"/>
      <c r="W151" s="628">
        <f t="shared" si="19"/>
        <v>2.5772921680623891E-2</v>
      </c>
      <c r="X151" s="1221">
        <f t="shared" si="20"/>
        <v>9.4807712273545306</v>
      </c>
      <c r="Y151" s="75"/>
      <c r="Z151" s="2"/>
    </row>
    <row r="152" spans="2:26" x14ac:dyDescent="0.4">
      <c r="B152" s="518" t="s">
        <v>162</v>
      </c>
      <c r="C152" s="1308">
        <f>SUM(C139:C151)</f>
        <v>3123</v>
      </c>
      <c r="D152" s="1310"/>
      <c r="E152" s="1310"/>
      <c r="F152" s="1310"/>
      <c r="G152" s="1310"/>
      <c r="H152" s="1310"/>
      <c r="I152" s="1310"/>
      <c r="J152" s="1310"/>
      <c r="K152" s="1336">
        <f t="shared" ref="K152:V152" si="27">SUM(K139:K151)</f>
        <v>756</v>
      </c>
      <c r="L152" s="630">
        <f t="shared" si="27"/>
        <v>14.77180422064343</v>
      </c>
      <c r="M152" s="630">
        <f t="shared" si="27"/>
        <v>14.829160667139339</v>
      </c>
      <c r="N152" s="630">
        <f t="shared" si="27"/>
        <v>1.61046</v>
      </c>
      <c r="O152" s="630">
        <f t="shared" si="27"/>
        <v>0.13354800000000003</v>
      </c>
      <c r="P152" s="630">
        <f t="shared" si="27"/>
        <v>15.316681151840028</v>
      </c>
      <c r="Q152" s="630">
        <f t="shared" si="27"/>
        <v>-0.27588135209782338</v>
      </c>
      <c r="R152" s="630">
        <f t="shared" si="27"/>
        <v>2.1444185737736099</v>
      </c>
      <c r="S152" s="630">
        <f t="shared" si="27"/>
        <v>0</v>
      </c>
      <c r="T152" s="630">
        <f t="shared" si="27"/>
        <v>0</v>
      </c>
      <c r="U152" s="630">
        <f t="shared" si="27"/>
        <v>18.92922637351581</v>
      </c>
      <c r="V152" s="1310">
        <f t="shared" si="27"/>
        <v>0</v>
      </c>
      <c r="W152" s="630">
        <f t="shared" si="19"/>
        <v>18.92922637351581</v>
      </c>
      <c r="X152" s="1222">
        <f>IFERROR(W152/L152*10,0)</f>
        <v>12.814430851352896</v>
      </c>
      <c r="Y152" s="75"/>
      <c r="Z152" s="2"/>
    </row>
    <row r="153" spans="2:26"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2"/>
    </row>
    <row r="154" spans="2:26" x14ac:dyDescent="0.4">
      <c r="B154" s="119" t="s">
        <v>164</v>
      </c>
      <c r="C154" s="1308">
        <f>+C152+C136</f>
        <v>3132</v>
      </c>
      <c r="D154" s="1309"/>
      <c r="E154" s="1309"/>
      <c r="F154" s="1309"/>
      <c r="G154" s="1309"/>
      <c r="H154" s="1309"/>
      <c r="I154" s="1309"/>
      <c r="J154" s="1309"/>
      <c r="K154" s="1336">
        <f t="shared" ref="K154:W154" si="28">+K152+K136</f>
        <v>35982</v>
      </c>
      <c r="L154" s="630">
        <f t="shared" si="28"/>
        <v>259.71479899999997</v>
      </c>
      <c r="M154" s="630">
        <f t="shared" si="28"/>
        <v>262.25659505341326</v>
      </c>
      <c r="N154" s="630">
        <f t="shared" si="28"/>
        <v>1.61046</v>
      </c>
      <c r="O154" s="630">
        <f t="shared" si="28"/>
        <v>22.904376000000003</v>
      </c>
      <c r="P154" s="630">
        <f t="shared" si="28"/>
        <v>198.38064719789716</v>
      </c>
      <c r="Q154" s="630">
        <f t="shared" si="28"/>
        <v>-2.9177857440571979</v>
      </c>
      <c r="R154" s="630">
        <f t="shared" si="28"/>
        <v>20.454048718357882</v>
      </c>
      <c r="S154" s="630">
        <f t="shared" si="28"/>
        <v>0</v>
      </c>
      <c r="T154" s="630">
        <f t="shared" si="28"/>
        <v>0</v>
      </c>
      <c r="U154" s="630">
        <f t="shared" si="28"/>
        <v>240.43174617219788</v>
      </c>
      <c r="V154" s="1309">
        <f t="shared" si="28"/>
        <v>0</v>
      </c>
      <c r="W154" s="630">
        <f t="shared" si="28"/>
        <v>240.43174617219788</v>
      </c>
      <c r="X154" s="1222">
        <f>IFERROR(W154/L154*10,0)</f>
        <v>9.2575296863309635</v>
      </c>
      <c r="Y154" s="75"/>
      <c r="Z154" s="2"/>
    </row>
    <row r="155" spans="2:26" x14ac:dyDescent="0.4">
      <c r="L155" s="561">
        <f>+'F1'!M34-L154</f>
        <v>0</v>
      </c>
      <c r="N155" s="561">
        <f t="shared" ref="N155:W155" si="29">+N65+N124-N154</f>
        <v>0</v>
      </c>
      <c r="O155" s="561">
        <f t="shared" si="29"/>
        <v>0</v>
      </c>
      <c r="P155" s="561">
        <f t="shared" si="29"/>
        <v>0</v>
      </c>
      <c r="Q155" s="561">
        <f t="shared" si="29"/>
        <v>0</v>
      </c>
      <c r="R155" s="561">
        <f t="shared" si="29"/>
        <v>0</v>
      </c>
      <c r="S155" s="561">
        <f t="shared" si="29"/>
        <v>0</v>
      </c>
      <c r="T155" s="561">
        <f t="shared" si="29"/>
        <v>0</v>
      </c>
      <c r="U155" s="561">
        <f t="shared" si="29"/>
        <v>0</v>
      </c>
      <c r="V155" s="561">
        <f t="shared" si="29"/>
        <v>0</v>
      </c>
      <c r="W155" s="561">
        <f t="shared" si="29"/>
        <v>0</v>
      </c>
      <c r="X155" s="561"/>
      <c r="Z155" s="2"/>
    </row>
  </sheetData>
  <mergeCells count="35">
    <mergeCell ref="V129:V130"/>
    <mergeCell ref="W129:W130"/>
    <mergeCell ref="X129:X130"/>
    <mergeCell ref="Y129:Y130"/>
    <mergeCell ref="Z129:Z130"/>
    <mergeCell ref="B129:B130"/>
    <mergeCell ref="C129:C130"/>
    <mergeCell ref="D129:I129"/>
    <mergeCell ref="J129:M129"/>
    <mergeCell ref="N129:U129"/>
    <mergeCell ref="Z10:Z11"/>
    <mergeCell ref="A11:A12"/>
    <mergeCell ref="B75:B76"/>
    <mergeCell ref="C75:C76"/>
    <mergeCell ref="D75:I75"/>
    <mergeCell ref="J75:M75"/>
    <mergeCell ref="N75:U75"/>
    <mergeCell ref="V75:V76"/>
    <mergeCell ref="W75:W76"/>
    <mergeCell ref="X75:X76"/>
    <mergeCell ref="Y75:Y76"/>
    <mergeCell ref="Z75:Z76"/>
    <mergeCell ref="A76:A77"/>
    <mergeCell ref="B2:Y2"/>
    <mergeCell ref="B3:Y3"/>
    <mergeCell ref="B4:Y4"/>
    <mergeCell ref="B10:B11"/>
    <mergeCell ref="C10:C11"/>
    <mergeCell ref="D10:I10"/>
    <mergeCell ref="J10:M10"/>
    <mergeCell ref="N10:U10"/>
    <mergeCell ref="V10:V11"/>
    <mergeCell ref="W10:W11"/>
    <mergeCell ref="X10:X11"/>
    <mergeCell ref="Y10:Y11"/>
  </mergeCells>
  <pageMargins left="0.7" right="0.7" top="0.75" bottom="0.75" header="0.3" footer="0.3"/>
  <pageSetup scale="37" orientation="landscape" r:id="rId1"/>
  <rowBreaks count="2" manualBreakCount="2">
    <brk id="71" min="1" max="25" man="1"/>
    <brk id="125" min="1" max="2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E8FB1-44C6-4E5E-A7BC-3DE5579BA8A7}">
  <dimension ref="A2:Z155"/>
  <sheetViews>
    <sheetView showGridLines="0" view="pageBreakPreview" topLeftCell="A78" zoomScale="60" zoomScaleNormal="80" workbookViewId="0">
      <selection activeCell="M76" sqref="M1:M1048576"/>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5" width="13.6640625" style="1" customWidth="1"/>
    <col min="26" max="26" width="8.6640625" style="1"/>
    <col min="27" max="27" width="11.6640625" style="1" customWidth="1"/>
    <col min="28" max="28" width="12.46484375" style="1" customWidth="1"/>
    <col min="29" max="16384" width="8.6640625" style="1"/>
  </cols>
  <sheetData>
    <row r="2" spans="1:26"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row>
    <row r="3" spans="1:26"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row>
    <row r="4" spans="1:26" x14ac:dyDescent="0.4">
      <c r="B4" s="2079" t="s">
        <v>749</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row>
    <row r="5" spans="1:26" x14ac:dyDescent="0.4">
      <c r="B5" s="123"/>
      <c r="C5" s="123"/>
      <c r="D5" s="123"/>
      <c r="E5" s="123"/>
      <c r="F5" s="123"/>
      <c r="G5" s="123"/>
      <c r="H5" s="123"/>
      <c r="I5" s="123"/>
      <c r="J5" s="123"/>
      <c r="K5" s="1332"/>
      <c r="L5" s="1327"/>
      <c r="M5" s="1327"/>
      <c r="N5" s="1327"/>
      <c r="O5" s="123"/>
      <c r="P5" s="123"/>
      <c r="Q5" s="123"/>
      <c r="R5" s="123"/>
      <c r="S5" s="123"/>
      <c r="T5" s="123"/>
    </row>
    <row r="6" spans="1:26" x14ac:dyDescent="0.4">
      <c r="B6" s="123"/>
      <c r="C6" s="123"/>
      <c r="D6" s="123"/>
      <c r="E6" s="123"/>
      <c r="F6" s="123"/>
      <c r="G6" s="123"/>
      <c r="H6" s="123"/>
      <c r="I6" s="123"/>
      <c r="J6" s="123"/>
      <c r="K6" s="1332"/>
      <c r="L6" s="1327"/>
      <c r="M6" s="1327"/>
      <c r="N6" s="1327"/>
      <c r="O6" s="123"/>
      <c r="P6" s="123"/>
      <c r="Q6" s="123"/>
      <c r="R6" s="123"/>
      <c r="S6" s="123"/>
      <c r="T6" s="123"/>
    </row>
    <row r="7" spans="1:26" x14ac:dyDescent="0.4">
      <c r="B7" s="131" t="s">
        <v>750</v>
      </c>
      <c r="C7" s="103"/>
      <c r="D7" s="103"/>
      <c r="E7" s="103"/>
      <c r="F7" s="103"/>
      <c r="G7" s="103"/>
      <c r="H7" s="103"/>
      <c r="I7" s="103"/>
      <c r="J7" s="103"/>
      <c r="K7" s="1333"/>
      <c r="L7" s="1328"/>
      <c r="M7" s="1328"/>
      <c r="N7" s="1328"/>
      <c r="O7" s="103"/>
      <c r="P7" s="103"/>
      <c r="Q7" s="103"/>
      <c r="R7" s="103"/>
      <c r="S7" s="103"/>
      <c r="T7" s="103"/>
      <c r="U7" s="103"/>
      <c r="V7" s="103"/>
      <c r="W7" s="1328"/>
      <c r="X7" s="103"/>
      <c r="Y7" s="103"/>
    </row>
    <row r="8" spans="1:26" x14ac:dyDescent="0.4">
      <c r="B8" s="131" t="s">
        <v>1511</v>
      </c>
      <c r="C8" s="103"/>
      <c r="D8" s="103"/>
      <c r="E8" s="103"/>
      <c r="F8" s="103"/>
      <c r="G8" s="103"/>
      <c r="H8" s="103"/>
      <c r="I8" s="103"/>
      <c r="J8" s="103"/>
      <c r="K8" s="1333"/>
      <c r="L8" s="1328"/>
      <c r="M8" s="1328"/>
      <c r="N8" s="1328"/>
      <c r="O8" s="103"/>
      <c r="P8" s="103"/>
      <c r="Q8" s="103"/>
      <c r="R8" s="103"/>
      <c r="S8" s="103"/>
      <c r="T8" s="103"/>
      <c r="U8" s="103"/>
      <c r="V8" s="103"/>
      <c r="W8" s="1328"/>
      <c r="X8" s="103"/>
      <c r="Y8" s="103"/>
    </row>
    <row r="9" spans="1:26"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row>
    <row r="10" spans="1:26"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1570</v>
      </c>
    </row>
    <row r="11" spans="1:26"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row>
    <row r="12" spans="1:26"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2"/>
    </row>
    <row r="13" spans="1:26" s="6" customFormat="1" ht="13.5" x14ac:dyDescent="0.35">
      <c r="A13" s="1364">
        <f>+'F13.2'!A13</f>
        <v>0.9</v>
      </c>
      <c r="B13" s="517" t="s">
        <v>1129</v>
      </c>
      <c r="C13" s="128">
        <f>+'F13.4'!C13</f>
        <v>4</v>
      </c>
      <c r="D13" s="128"/>
      <c r="E13" s="128">
        <f>+'Tariff Schedule'!F14</f>
        <v>600</v>
      </c>
      <c r="F13" s="1365">
        <f>+'Tariff Schedule'!M14</f>
        <v>7.38</v>
      </c>
      <c r="G13" s="128"/>
      <c r="H13" s="1365">
        <f>+'Tariff Schedule'!S14</f>
        <v>0.74</v>
      </c>
      <c r="I13" s="128"/>
      <c r="J13" s="128"/>
      <c r="K13" s="1336">
        <f>AVERAGE('Sales Proj'!C42:N42)+AVERAGE('Sales Proj'!C45:N45)*1000</f>
        <v>34500</v>
      </c>
      <c r="L13" s="630">
        <f>+'F1 SEZ'!N12</f>
        <v>264.78600000000006</v>
      </c>
      <c r="M13" s="630">
        <f>+L13/Z13</f>
        <v>267.4606060606061</v>
      </c>
      <c r="N13" s="630"/>
      <c r="O13" s="630">
        <f>(K13*E13)*12/10^7*A13</f>
        <v>22.356000000000002</v>
      </c>
      <c r="P13" s="630">
        <f>(M13*F13)/10</f>
        <v>197.38592727272732</v>
      </c>
      <c r="Q13" s="630">
        <f>SUM(Q14:Q17)</f>
        <v>-2.8212266755464768</v>
      </c>
      <c r="R13" s="630">
        <f>(M13*H13)/10</f>
        <v>19.792084848484851</v>
      </c>
      <c r="S13" s="630"/>
      <c r="T13" s="630"/>
      <c r="U13" s="630">
        <f>SUM(N13:T13)</f>
        <v>236.71278544566567</v>
      </c>
      <c r="V13" s="128"/>
      <c r="W13" s="630">
        <f>+U13+V13</f>
        <v>236.71278544566567</v>
      </c>
      <c r="X13" s="1222">
        <f>IFERROR(W13/L13*10,0)</f>
        <v>8.9397772331492451</v>
      </c>
      <c r="Y13" s="128"/>
      <c r="Z13" s="1366">
        <f>+'Tariff Schedule'!X14</f>
        <v>0.99</v>
      </c>
    </row>
    <row r="14" spans="1:26" x14ac:dyDescent="0.4">
      <c r="A14" s="1339"/>
      <c r="B14" s="1360" t="s">
        <v>1544</v>
      </c>
      <c r="C14" s="75"/>
      <c r="D14" s="75"/>
      <c r="E14" s="75"/>
      <c r="F14" s="75"/>
      <c r="G14" s="1221">
        <f>+$F13*'Tariff Schedule'!E$50</f>
        <v>0</v>
      </c>
      <c r="H14" s="75"/>
      <c r="I14" s="75"/>
      <c r="J14" s="75"/>
      <c r="K14" s="1306"/>
      <c r="L14" s="628"/>
      <c r="M14" s="628">
        <f>+$M$13*Assum!E125</f>
        <v>65.489013705508441</v>
      </c>
      <c r="N14" s="628"/>
      <c r="O14" s="628"/>
      <c r="P14" s="628"/>
      <c r="Q14" s="628">
        <f>+G14*M14/10</f>
        <v>0</v>
      </c>
      <c r="R14" s="628"/>
      <c r="S14" s="628"/>
      <c r="T14" s="628"/>
      <c r="U14" s="628"/>
      <c r="V14" s="75"/>
      <c r="W14" s="628"/>
      <c r="X14" s="1221"/>
      <c r="Y14" s="75"/>
      <c r="Z14" s="1358"/>
    </row>
    <row r="15" spans="1:26" x14ac:dyDescent="0.4">
      <c r="A15" s="1339"/>
      <c r="B15" s="1360" t="s">
        <v>1545</v>
      </c>
      <c r="C15" s="75"/>
      <c r="D15" s="75"/>
      <c r="E15" s="75"/>
      <c r="F15" s="75"/>
      <c r="G15" s="1221">
        <f>+$F13*'Tariff Schedule'!E$51</f>
        <v>0</v>
      </c>
      <c r="H15" s="75"/>
      <c r="I15" s="75"/>
      <c r="J15" s="75"/>
      <c r="K15" s="1306"/>
      <c r="L15" s="628"/>
      <c r="M15" s="628">
        <f>+$M$13*Assum!E126</f>
        <v>33.761567916439603</v>
      </c>
      <c r="N15" s="628"/>
      <c r="O15" s="628"/>
      <c r="P15" s="628"/>
      <c r="Q15" s="628">
        <f>+G15*M15/10</f>
        <v>0</v>
      </c>
      <c r="R15" s="628"/>
      <c r="S15" s="628"/>
      <c r="T15" s="628"/>
      <c r="U15" s="628"/>
      <c r="V15" s="75"/>
      <c r="W15" s="628"/>
      <c r="X15" s="1221"/>
      <c r="Y15" s="75"/>
      <c r="Z15" s="1358"/>
    </row>
    <row r="16" spans="1:26" x14ac:dyDescent="0.4">
      <c r="A16" s="1339"/>
      <c r="B16" s="1360" t="s">
        <v>1546</v>
      </c>
      <c r="C16" s="75"/>
      <c r="D16" s="75"/>
      <c r="E16" s="75"/>
      <c r="F16" s="75"/>
      <c r="G16" s="1221">
        <f>+$F13*'Tariff Schedule'!E$52</f>
        <v>-1.599</v>
      </c>
      <c r="H16" s="75"/>
      <c r="I16" s="75"/>
      <c r="J16" s="75"/>
      <c r="K16" s="1306"/>
      <c r="L16" s="628"/>
      <c r="M16" s="628">
        <f>+$M$13*Assum!E127</f>
        <v>89.915532626641962</v>
      </c>
      <c r="N16" s="628"/>
      <c r="O16" s="628"/>
      <c r="P16" s="628"/>
      <c r="Q16" s="628">
        <f>+G16*M16/10</f>
        <v>-14.377493667000049</v>
      </c>
      <c r="R16" s="628"/>
      <c r="S16" s="628"/>
      <c r="T16" s="628"/>
      <c r="U16" s="628"/>
      <c r="V16" s="75"/>
      <c r="W16" s="628"/>
      <c r="X16" s="1221"/>
      <c r="Y16" s="75"/>
      <c r="Z16" s="1358"/>
    </row>
    <row r="17" spans="1:26" x14ac:dyDescent="0.4">
      <c r="A17" s="1339"/>
      <c r="B17" s="1360" t="s">
        <v>1549</v>
      </c>
      <c r="C17" s="75"/>
      <c r="D17" s="75"/>
      <c r="E17" s="75"/>
      <c r="F17" s="75"/>
      <c r="G17" s="1221">
        <f>+$F13*'Tariff Schedule'!E$55</f>
        <v>1.476</v>
      </c>
      <c r="H17" s="75"/>
      <c r="I17" s="75"/>
      <c r="J17" s="75"/>
      <c r="K17" s="1306"/>
      <c r="L17" s="628"/>
      <c r="M17" s="628">
        <f>+$M$13*Assum!E128</f>
        <v>78.294491812016076</v>
      </c>
      <c r="N17" s="628"/>
      <c r="O17" s="628"/>
      <c r="P17" s="628"/>
      <c r="Q17" s="628">
        <f>+G17*M17/10</f>
        <v>11.556266991453573</v>
      </c>
      <c r="R17" s="628"/>
      <c r="S17" s="628"/>
      <c r="T17" s="628"/>
      <c r="U17" s="628"/>
      <c r="V17" s="75"/>
      <c r="W17" s="628"/>
      <c r="X17" s="1221"/>
      <c r="Y17" s="75"/>
      <c r="Z17" s="1358"/>
    </row>
    <row r="18" spans="1:26" s="6" customFormat="1" ht="13.5" x14ac:dyDescent="0.35">
      <c r="A18" s="1364">
        <f>+'F13.2'!A18</f>
        <v>0.75</v>
      </c>
      <c r="B18" s="517" t="s">
        <v>1130</v>
      </c>
      <c r="C18" s="128">
        <f>+'F13.4'!C18</f>
        <v>1</v>
      </c>
      <c r="D18" s="128"/>
      <c r="E18" s="128">
        <f>+'Tariff Schedule'!F15</f>
        <v>600</v>
      </c>
      <c r="F18" s="1365">
        <f>+'Tariff Schedule'!M15</f>
        <v>11.93</v>
      </c>
      <c r="G18" s="128"/>
      <c r="H18" s="1365">
        <f>+'Tariff Schedule'!S15</f>
        <v>0.74</v>
      </c>
      <c r="I18" s="128"/>
      <c r="J18" s="128"/>
      <c r="K18" s="1336">
        <v>40</v>
      </c>
      <c r="L18" s="630">
        <f>+'F1 SEZ'!N13</f>
        <v>4.780528864771514E-2</v>
      </c>
      <c r="M18" s="630">
        <f>+L18/Z18</f>
        <v>4.8780906783382795E-2</v>
      </c>
      <c r="N18" s="630"/>
      <c r="O18" s="630">
        <f>(K18*E18)*12/10^7*A18</f>
        <v>2.1600000000000001E-2</v>
      </c>
      <c r="P18" s="630">
        <f>(M18*F18)/10</f>
        <v>5.8195621792575668E-2</v>
      </c>
      <c r="Q18" s="630">
        <f>SUM(Q19:Q22)</f>
        <v>-2.0497546910699669E-3</v>
      </c>
      <c r="R18" s="630">
        <f>(M18*H18)/10</f>
        <v>3.6097871019703269E-3</v>
      </c>
      <c r="S18" s="630"/>
      <c r="T18" s="630"/>
      <c r="U18" s="630">
        <f>SUM(N18:T18)</f>
        <v>8.1355654203476027E-2</v>
      </c>
      <c r="V18" s="128"/>
      <c r="W18" s="630">
        <f>+U18+V18</f>
        <v>8.1355654203476027E-2</v>
      </c>
      <c r="X18" s="1222">
        <f>IFERROR(W18/L18*10,0)</f>
        <v>17.018128434073251</v>
      </c>
      <c r="Y18" s="128"/>
      <c r="Z18" s="1366">
        <f>+'Tariff Schedule'!X15</f>
        <v>0.98</v>
      </c>
    </row>
    <row r="19" spans="1:26" x14ac:dyDescent="0.4">
      <c r="A19" s="1339"/>
      <c r="B19" s="1360" t="s">
        <v>1544</v>
      </c>
      <c r="C19" s="75"/>
      <c r="D19" s="75"/>
      <c r="E19" s="75"/>
      <c r="F19" s="75"/>
      <c r="G19" s="1221">
        <f>+$F18*'Tariff Schedule'!E$50</f>
        <v>0</v>
      </c>
      <c r="H19" s="75"/>
      <c r="I19" s="75"/>
      <c r="J19" s="75"/>
      <c r="K19" s="1306"/>
      <c r="L19" s="628"/>
      <c r="M19" s="628">
        <f>+$M$18*Assum!F125</f>
        <v>6.870280214106763E-3</v>
      </c>
      <c r="N19" s="628"/>
      <c r="O19" s="628"/>
      <c r="P19" s="628"/>
      <c r="Q19" s="628">
        <f>+G19*M19/10</f>
        <v>0</v>
      </c>
      <c r="R19" s="628"/>
      <c r="S19" s="628"/>
      <c r="T19" s="628"/>
      <c r="U19" s="628"/>
      <c r="V19" s="75"/>
      <c r="W19" s="628"/>
      <c r="X19" s="1221"/>
      <c r="Y19" s="75"/>
      <c r="Z19" s="1358"/>
    </row>
    <row r="20" spans="1:26" x14ac:dyDescent="0.4">
      <c r="A20" s="1339"/>
      <c r="B20" s="1360" t="s">
        <v>1545</v>
      </c>
      <c r="C20" s="75"/>
      <c r="D20" s="75"/>
      <c r="E20" s="75"/>
      <c r="F20" s="75"/>
      <c r="G20" s="1221">
        <f>+$F18*'Tariff Schedule'!E$51</f>
        <v>0</v>
      </c>
      <c r="H20" s="75"/>
      <c r="I20" s="75"/>
      <c r="J20" s="75"/>
      <c r="K20" s="1306"/>
      <c r="L20" s="628"/>
      <c r="M20" s="628">
        <f>+$M$18*Assum!F126</f>
        <v>6.9299864769883828E-3</v>
      </c>
      <c r="N20" s="628"/>
      <c r="O20" s="628"/>
      <c r="P20" s="628"/>
      <c r="Q20" s="628">
        <f>+G20*M20/10</f>
        <v>0</v>
      </c>
      <c r="R20" s="628"/>
      <c r="S20" s="628"/>
      <c r="T20" s="628"/>
      <c r="U20" s="628"/>
      <c r="V20" s="75"/>
      <c r="W20" s="628"/>
      <c r="X20" s="1221"/>
      <c r="Y20" s="75"/>
      <c r="Z20" s="1358"/>
    </row>
    <row r="21" spans="1:26" x14ac:dyDescent="0.4">
      <c r="A21" s="1339"/>
      <c r="B21" s="1360" t="s">
        <v>1546</v>
      </c>
      <c r="C21" s="75"/>
      <c r="D21" s="75"/>
      <c r="E21" s="75"/>
      <c r="F21" s="75"/>
      <c r="G21" s="1221">
        <f>+$F18*'Tariff Schedule'!E$52</f>
        <v>-2.5848333333333335</v>
      </c>
      <c r="H21" s="75"/>
      <c r="I21" s="75"/>
      <c r="J21" s="75"/>
      <c r="K21" s="1306"/>
      <c r="L21" s="628"/>
      <c r="M21" s="628">
        <f>+$M$18*Assum!F127</f>
        <v>2.0914270746869672E-2</v>
      </c>
      <c r="N21" s="628"/>
      <c r="O21" s="628"/>
      <c r="P21" s="628"/>
      <c r="Q21" s="628">
        <f>+G21*M21/10</f>
        <v>-5.4059904168866964E-3</v>
      </c>
      <c r="R21" s="628"/>
      <c r="S21" s="628"/>
      <c r="T21" s="628"/>
      <c r="U21" s="628"/>
      <c r="V21" s="75"/>
      <c r="W21" s="628"/>
      <c r="X21" s="1221"/>
      <c r="Y21" s="75"/>
      <c r="Z21" s="1358"/>
    </row>
    <row r="22" spans="1:26" x14ac:dyDescent="0.4">
      <c r="A22" s="1339"/>
      <c r="B22" s="1360" t="s">
        <v>1549</v>
      </c>
      <c r="C22" s="75"/>
      <c r="D22" s="75"/>
      <c r="E22" s="75"/>
      <c r="F22" s="75"/>
      <c r="G22" s="1221">
        <f>+$F18*'Tariff Schedule'!E$55</f>
        <v>2.3860000000000001</v>
      </c>
      <c r="H22" s="75"/>
      <c r="I22" s="75"/>
      <c r="J22" s="75"/>
      <c r="K22" s="1306"/>
      <c r="L22" s="628"/>
      <c r="M22" s="628">
        <f>+$M$18*Assum!F128</f>
        <v>1.4066369345417976E-2</v>
      </c>
      <c r="N22" s="628"/>
      <c r="O22" s="628"/>
      <c r="P22" s="628"/>
      <c r="Q22" s="628">
        <f>+G22*M22/10</f>
        <v>3.3562357258167296E-3</v>
      </c>
      <c r="R22" s="628"/>
      <c r="S22" s="628"/>
      <c r="T22" s="628"/>
      <c r="U22" s="628"/>
      <c r="V22" s="75"/>
      <c r="W22" s="628"/>
      <c r="X22" s="1221"/>
      <c r="Y22" s="75"/>
      <c r="Z22" s="1358"/>
    </row>
    <row r="23" spans="1:26" hidden="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2"/>
    </row>
    <row r="24" spans="1:26" ht="25.5" hidden="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2"/>
    </row>
    <row r="25" spans="1:26" x14ac:dyDescent="0.4">
      <c r="B25" s="518" t="s">
        <v>162</v>
      </c>
      <c r="C25" s="128">
        <f>SUM(C13:C24)</f>
        <v>5</v>
      </c>
      <c r="D25" s="1309">
        <f>SUM(D13:D24)</f>
        <v>0</v>
      </c>
      <c r="E25" s="1309"/>
      <c r="F25" s="1309"/>
      <c r="G25" s="1309"/>
      <c r="H25" s="1309"/>
      <c r="I25" s="1309">
        <f>SUM(I13:I24)</f>
        <v>0</v>
      </c>
      <c r="J25" s="1309">
        <f>SUM(J13:J24)</f>
        <v>0</v>
      </c>
      <c r="K25" s="1336">
        <f>SUM(K13:K24)</f>
        <v>34540</v>
      </c>
      <c r="L25" s="630">
        <f>+L13+L18</f>
        <v>264.8338052886478</v>
      </c>
      <c r="M25" s="630">
        <f>+M13+M18</f>
        <v>267.5093869673895</v>
      </c>
      <c r="N25" s="630">
        <f t="shared" ref="N25:W25" si="0">+N13+N18</f>
        <v>0</v>
      </c>
      <c r="O25" s="630">
        <f t="shared" si="0"/>
        <v>22.377600000000001</v>
      </c>
      <c r="P25" s="630">
        <f t="shared" si="0"/>
        <v>197.44412289451989</v>
      </c>
      <c r="Q25" s="630">
        <f t="shared" si="0"/>
        <v>-2.8232764302375468</v>
      </c>
      <c r="R25" s="630">
        <f t="shared" si="0"/>
        <v>19.795694635586823</v>
      </c>
      <c r="S25" s="630">
        <f t="shared" si="0"/>
        <v>0</v>
      </c>
      <c r="T25" s="630">
        <f t="shared" si="0"/>
        <v>0</v>
      </c>
      <c r="U25" s="630">
        <f t="shared" si="0"/>
        <v>236.79414109986914</v>
      </c>
      <c r="V25" s="630">
        <f t="shared" si="0"/>
        <v>0</v>
      </c>
      <c r="W25" s="630">
        <f t="shared" si="0"/>
        <v>236.79414109986914</v>
      </c>
      <c r="X25" s="1221">
        <f>IFERROR(W25/L25*10,0)</f>
        <v>8.9412354605478832</v>
      </c>
      <c r="Y25" s="75"/>
      <c r="Z25" s="2"/>
    </row>
    <row r="26" spans="1:26"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2"/>
    </row>
    <row r="27" spans="1:26" hidden="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2"/>
    </row>
    <row r="28" spans="1:26" hidden="1" x14ac:dyDescent="0.4">
      <c r="B28" s="520" t="s">
        <v>1106</v>
      </c>
      <c r="C28" s="1306">
        <f>+'F13 SEZ'!C211</f>
        <v>0</v>
      </c>
      <c r="D28" s="75"/>
      <c r="E28" s="75"/>
      <c r="F28" s="1359"/>
      <c r="G28" s="75"/>
      <c r="H28" s="75"/>
      <c r="I28" s="75"/>
      <c r="J28" s="75"/>
      <c r="K28" s="1306"/>
      <c r="L28" s="628">
        <f>+'F1 SEZ'!N19</f>
        <v>0</v>
      </c>
      <c r="M28" s="628"/>
      <c r="N28" s="628"/>
      <c r="O28" s="628"/>
      <c r="P28" s="628"/>
      <c r="Q28" s="628"/>
      <c r="R28" s="628"/>
      <c r="S28" s="628"/>
      <c r="T28" s="628"/>
      <c r="U28" s="628">
        <f>SUM(N28:T28)</f>
        <v>0</v>
      </c>
      <c r="V28" s="75"/>
      <c r="W28" s="628">
        <f>+U28+V28</f>
        <v>0</v>
      </c>
      <c r="X28" s="75"/>
      <c r="Y28" s="75"/>
      <c r="Z28" s="2"/>
    </row>
    <row r="29" spans="1:26" hidden="1" x14ac:dyDescent="0.4">
      <c r="B29" s="520" t="s">
        <v>1107</v>
      </c>
      <c r="C29" s="1306">
        <f>+'F13 SEZ'!C212</f>
        <v>0</v>
      </c>
      <c r="D29" s="75"/>
      <c r="E29" s="75"/>
      <c r="F29" s="1359"/>
      <c r="G29" s="75"/>
      <c r="H29" s="75"/>
      <c r="I29" s="75"/>
      <c r="J29" s="75"/>
      <c r="K29" s="1306"/>
      <c r="L29" s="628">
        <f>+'F1 SEZ'!N20</f>
        <v>0</v>
      </c>
      <c r="M29" s="628"/>
      <c r="N29" s="628"/>
      <c r="O29" s="628"/>
      <c r="P29" s="628"/>
      <c r="Q29" s="628"/>
      <c r="R29" s="628"/>
      <c r="S29" s="628"/>
      <c r="T29" s="628"/>
      <c r="U29" s="628">
        <f>SUM(N29:T29)</f>
        <v>0</v>
      </c>
      <c r="V29" s="75"/>
      <c r="W29" s="628">
        <f>+U29+V29</f>
        <v>0</v>
      </c>
      <c r="X29" s="75"/>
      <c r="Y29" s="75"/>
      <c r="Z29" s="2"/>
    </row>
    <row r="30" spans="1:26" hidden="1" x14ac:dyDescent="0.4">
      <c r="B30" s="520" t="s">
        <v>1108</v>
      </c>
      <c r="C30" s="1306">
        <f>+'F13 SEZ'!C213</f>
        <v>0</v>
      </c>
      <c r="D30" s="75"/>
      <c r="E30" s="75"/>
      <c r="F30" s="1359"/>
      <c r="G30" s="75"/>
      <c r="H30" s="75"/>
      <c r="I30" s="75"/>
      <c r="J30" s="75"/>
      <c r="K30" s="1306"/>
      <c r="L30" s="628">
        <f>+'F1 SEZ'!N21</f>
        <v>0</v>
      </c>
      <c r="M30" s="628"/>
      <c r="N30" s="628"/>
      <c r="O30" s="628"/>
      <c r="P30" s="628"/>
      <c r="Q30" s="628"/>
      <c r="R30" s="628"/>
      <c r="S30" s="628"/>
      <c r="T30" s="628"/>
      <c r="U30" s="628">
        <f>SUM(N30:T30)</f>
        <v>0</v>
      </c>
      <c r="V30" s="75"/>
      <c r="W30" s="628">
        <f>+U30+V30</f>
        <v>0</v>
      </c>
      <c r="X30" s="75"/>
      <c r="Y30" s="75"/>
      <c r="Z30" s="2"/>
    </row>
    <row r="31" spans="1:26" hidden="1" x14ac:dyDescent="0.4">
      <c r="B31" s="520" t="s">
        <v>1109</v>
      </c>
      <c r="C31" s="1306">
        <f>+'F13 SEZ'!C214</f>
        <v>0</v>
      </c>
      <c r="D31" s="75"/>
      <c r="E31" s="75"/>
      <c r="F31" s="1359"/>
      <c r="G31" s="75"/>
      <c r="H31" s="75"/>
      <c r="I31" s="75"/>
      <c r="J31" s="75"/>
      <c r="K31" s="1306"/>
      <c r="L31" s="628">
        <f>+'F1 SEZ'!N22</f>
        <v>0</v>
      </c>
      <c r="M31" s="628"/>
      <c r="N31" s="628"/>
      <c r="O31" s="628"/>
      <c r="P31" s="628"/>
      <c r="Q31" s="628"/>
      <c r="R31" s="628"/>
      <c r="S31" s="628"/>
      <c r="T31" s="628"/>
      <c r="U31" s="628">
        <f>SUM(N31:T31)</f>
        <v>0</v>
      </c>
      <c r="V31" s="75"/>
      <c r="W31" s="628">
        <f>+U31+V31</f>
        <v>0</v>
      </c>
      <c r="X31" s="75"/>
      <c r="Y31" s="75"/>
      <c r="Z31" s="2"/>
    </row>
    <row r="32" spans="1:26" hidden="1" x14ac:dyDescent="0.4">
      <c r="B32" s="520" t="s">
        <v>1110</v>
      </c>
      <c r="C32" s="1306">
        <f>+'F13 SEZ'!C215</f>
        <v>0</v>
      </c>
      <c r="D32" s="75"/>
      <c r="E32" s="75"/>
      <c r="F32" s="75"/>
      <c r="G32" s="75"/>
      <c r="H32" s="75"/>
      <c r="I32" s="75"/>
      <c r="J32" s="75"/>
      <c r="K32" s="1306"/>
      <c r="L32" s="628">
        <f>+'F1 SEZ'!N23</f>
        <v>0</v>
      </c>
      <c r="M32" s="628"/>
      <c r="N32" s="628"/>
      <c r="O32" s="628"/>
      <c r="P32" s="628"/>
      <c r="Q32" s="628"/>
      <c r="R32" s="628"/>
      <c r="S32" s="628"/>
      <c r="T32" s="628"/>
      <c r="U32" s="628">
        <f>SUM(N32:T32)</f>
        <v>0</v>
      </c>
      <c r="V32" s="75"/>
      <c r="W32" s="628">
        <f>+U32+V32</f>
        <v>0</v>
      </c>
      <c r="X32" s="75"/>
      <c r="Y32" s="75"/>
      <c r="Z32" s="2"/>
    </row>
    <row r="33" spans="1:26" hidden="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2"/>
    </row>
    <row r="34" spans="1:26" ht="25.5" hidden="1" x14ac:dyDescent="0.4">
      <c r="B34" s="1363" t="s">
        <v>1139</v>
      </c>
      <c r="C34" s="1307">
        <f>SUM(C35:C41)</f>
        <v>0</v>
      </c>
      <c r="D34" s="75"/>
      <c r="E34" s="75"/>
      <c r="F34" s="75"/>
      <c r="G34" s="75"/>
      <c r="H34" s="75"/>
      <c r="I34" s="75"/>
      <c r="J34" s="75"/>
      <c r="K34" s="1306"/>
      <c r="L34" s="628">
        <f>+'F1 SEZ'!N24</f>
        <v>0</v>
      </c>
      <c r="M34" s="628"/>
      <c r="N34" s="628"/>
      <c r="O34" s="628"/>
      <c r="P34" s="628"/>
      <c r="Q34" s="628"/>
      <c r="R34" s="628"/>
      <c r="S34" s="628"/>
      <c r="T34" s="628"/>
      <c r="U34" s="628">
        <f>SUM(N34:T34)</f>
        <v>0</v>
      </c>
      <c r="V34" s="75"/>
      <c r="W34" s="628">
        <f>+U34+V34</f>
        <v>0</v>
      </c>
      <c r="X34" s="75"/>
      <c r="Y34" s="75"/>
      <c r="Z34" s="2"/>
    </row>
    <row r="35" spans="1:26" hidden="1" x14ac:dyDescent="0.4">
      <c r="B35" s="1362" t="s">
        <v>1140</v>
      </c>
      <c r="C35" s="1306">
        <f>+'F13 SEZ'!C217</f>
        <v>0</v>
      </c>
      <c r="D35" s="75"/>
      <c r="E35" s="75"/>
      <c r="F35" s="75"/>
      <c r="G35" s="75"/>
      <c r="H35" s="75"/>
      <c r="I35" s="75"/>
      <c r="J35" s="75"/>
      <c r="K35" s="1306"/>
      <c r="L35" s="628">
        <f>+'F1 SEZ'!N25</f>
        <v>0</v>
      </c>
      <c r="M35" s="628"/>
      <c r="N35" s="628"/>
      <c r="O35" s="628"/>
      <c r="P35" s="628"/>
      <c r="Q35" s="628"/>
      <c r="R35" s="628"/>
      <c r="S35" s="628"/>
      <c r="T35" s="628"/>
      <c r="U35" s="628">
        <f>SUM(N35:T35)</f>
        <v>0</v>
      </c>
      <c r="V35" s="75"/>
      <c r="W35" s="628">
        <f>+U35+V35</f>
        <v>0</v>
      </c>
      <c r="X35" s="75"/>
      <c r="Y35" s="75"/>
      <c r="Z35" s="2"/>
    </row>
    <row r="36" spans="1:26" hidden="1" x14ac:dyDescent="0.4">
      <c r="B36" s="1362" t="s">
        <v>1144</v>
      </c>
      <c r="C36" s="1306">
        <f>+'F13 SEZ'!C218</f>
        <v>0</v>
      </c>
      <c r="D36" s="75"/>
      <c r="E36" s="75"/>
      <c r="F36" s="75"/>
      <c r="G36" s="75"/>
      <c r="H36" s="75"/>
      <c r="I36" s="75"/>
      <c r="J36" s="75"/>
      <c r="K36" s="1306"/>
      <c r="L36" s="628">
        <f>+'F1 SEZ'!N26</f>
        <v>0</v>
      </c>
      <c r="M36" s="628"/>
      <c r="N36" s="628"/>
      <c r="O36" s="628"/>
      <c r="P36" s="628"/>
      <c r="Q36" s="628"/>
      <c r="R36" s="628"/>
      <c r="S36" s="628"/>
      <c r="T36" s="628"/>
      <c r="U36" s="628">
        <f>SUM(N36:T36)</f>
        <v>0</v>
      </c>
      <c r="V36" s="75"/>
      <c r="W36" s="628">
        <f>+U36+V36</f>
        <v>0</v>
      </c>
      <c r="X36" s="75"/>
      <c r="Y36" s="75"/>
      <c r="Z36" s="2"/>
    </row>
    <row r="37" spans="1:26" hidden="1" x14ac:dyDescent="0.4">
      <c r="A37" s="1339"/>
      <c r="B37" s="1360" t="s">
        <v>1544</v>
      </c>
      <c r="C37" s="75"/>
      <c r="D37" s="75"/>
      <c r="E37" s="75"/>
      <c r="F37" s="75"/>
      <c r="G37" s="1221">
        <f>+$F36*'Tariff Schedule'!E$50</f>
        <v>0</v>
      </c>
      <c r="H37" s="75"/>
      <c r="I37" s="75"/>
      <c r="J37" s="75"/>
      <c r="K37" s="1306"/>
      <c r="L37" s="628"/>
      <c r="M37" s="628"/>
      <c r="N37" s="628"/>
      <c r="O37" s="628"/>
      <c r="P37" s="628"/>
      <c r="Q37" s="628">
        <f>+G37*M37/10</f>
        <v>0</v>
      </c>
      <c r="R37" s="628"/>
      <c r="S37" s="628"/>
      <c r="T37" s="628"/>
      <c r="U37" s="628"/>
      <c r="V37" s="75"/>
      <c r="W37" s="628"/>
      <c r="X37" s="1221"/>
      <c r="Y37" s="75"/>
      <c r="Z37" s="1358"/>
    </row>
    <row r="38" spans="1:26" hidden="1" x14ac:dyDescent="0.4">
      <c r="A38" s="1339"/>
      <c r="B38" s="1360" t="s">
        <v>1545</v>
      </c>
      <c r="C38" s="75"/>
      <c r="D38" s="75"/>
      <c r="E38" s="75"/>
      <c r="F38" s="75"/>
      <c r="G38" s="1221">
        <f>+$F36*'Tariff Schedule'!E$51</f>
        <v>0</v>
      </c>
      <c r="H38" s="75"/>
      <c r="I38" s="75"/>
      <c r="J38" s="75"/>
      <c r="K38" s="1306"/>
      <c r="L38" s="628"/>
      <c r="M38" s="628"/>
      <c r="N38" s="628"/>
      <c r="O38" s="628"/>
      <c r="P38" s="628"/>
      <c r="Q38" s="628">
        <f>+G38*M38/10</f>
        <v>0</v>
      </c>
      <c r="R38" s="628"/>
      <c r="S38" s="628"/>
      <c r="T38" s="628"/>
      <c r="U38" s="628"/>
      <c r="V38" s="75"/>
      <c r="W38" s="628"/>
      <c r="X38" s="1221"/>
      <c r="Y38" s="75"/>
      <c r="Z38" s="1358"/>
    </row>
    <row r="39" spans="1:26" hidden="1" x14ac:dyDescent="0.4">
      <c r="A39" s="1339"/>
      <c r="B39" s="1360" t="s">
        <v>1546</v>
      </c>
      <c r="C39" s="75"/>
      <c r="D39" s="75"/>
      <c r="E39" s="75"/>
      <c r="F39" s="75"/>
      <c r="G39" s="1221">
        <f>+$F36*'Tariff Schedule'!E$52</f>
        <v>0</v>
      </c>
      <c r="H39" s="75"/>
      <c r="I39" s="75"/>
      <c r="J39" s="75"/>
      <c r="K39" s="1306"/>
      <c r="L39" s="628"/>
      <c r="M39" s="628"/>
      <c r="N39" s="628"/>
      <c r="O39" s="628"/>
      <c r="P39" s="628"/>
      <c r="Q39" s="628">
        <f>+G39*M39/10</f>
        <v>0</v>
      </c>
      <c r="R39" s="628"/>
      <c r="S39" s="628"/>
      <c r="T39" s="628"/>
      <c r="U39" s="628"/>
      <c r="V39" s="75"/>
      <c r="W39" s="628"/>
      <c r="X39" s="1221"/>
      <c r="Y39" s="75"/>
      <c r="Z39" s="1358"/>
    </row>
    <row r="40" spans="1:26" hidden="1" x14ac:dyDescent="0.4">
      <c r="A40" s="1339"/>
      <c r="B40" s="1360" t="s">
        <v>1549</v>
      </c>
      <c r="C40" s="75"/>
      <c r="D40" s="75"/>
      <c r="E40" s="75"/>
      <c r="F40" s="75"/>
      <c r="G40" s="1221">
        <f>+$F36*'Tariff Schedule'!E$55</f>
        <v>0</v>
      </c>
      <c r="H40" s="75"/>
      <c r="I40" s="75"/>
      <c r="J40" s="75"/>
      <c r="K40" s="1306"/>
      <c r="L40" s="628"/>
      <c r="M40" s="628"/>
      <c r="N40" s="628"/>
      <c r="O40" s="628"/>
      <c r="P40" s="628"/>
      <c r="Q40" s="628">
        <f>+G40*M40/10</f>
        <v>0</v>
      </c>
      <c r="R40" s="628"/>
      <c r="S40" s="628"/>
      <c r="T40" s="628"/>
      <c r="U40" s="628"/>
      <c r="V40" s="75"/>
      <c r="W40" s="628"/>
      <c r="X40" s="1221"/>
      <c r="Y40" s="75"/>
      <c r="Z40" s="1358"/>
    </row>
    <row r="41" spans="1:26" hidden="1" x14ac:dyDescent="0.4">
      <c r="B41" s="1362" t="s">
        <v>1143</v>
      </c>
      <c r="C41" s="1306">
        <f>+'F13 SEZ'!C219</f>
        <v>0</v>
      </c>
      <c r="D41" s="75"/>
      <c r="E41" s="75"/>
      <c r="F41" s="75"/>
      <c r="G41" s="75"/>
      <c r="H41" s="75"/>
      <c r="I41" s="75"/>
      <c r="J41" s="75"/>
      <c r="K41" s="1306"/>
      <c r="L41" s="628">
        <f>+'F1 SEZ'!N27</f>
        <v>0</v>
      </c>
      <c r="M41" s="628"/>
      <c r="N41" s="628"/>
      <c r="O41" s="628"/>
      <c r="P41" s="628"/>
      <c r="Q41" s="628"/>
      <c r="R41" s="628"/>
      <c r="S41" s="628"/>
      <c r="T41" s="628"/>
      <c r="U41" s="628">
        <f>SUM(N41:T41)</f>
        <v>0</v>
      </c>
      <c r="V41" s="75"/>
      <c r="W41" s="628">
        <f>+U41+V41</f>
        <v>0</v>
      </c>
      <c r="X41" s="75"/>
      <c r="Y41" s="75"/>
      <c r="Z41" s="2"/>
    </row>
    <row r="42" spans="1:26" hidden="1" x14ac:dyDescent="0.4">
      <c r="A42" s="1339"/>
      <c r="B42" s="1360" t="s">
        <v>1544</v>
      </c>
      <c r="C42" s="75"/>
      <c r="D42" s="75"/>
      <c r="E42" s="75"/>
      <c r="F42" s="75"/>
      <c r="G42" s="1221">
        <f>+$F41*'Tariff Schedule'!E$50</f>
        <v>0</v>
      </c>
      <c r="H42" s="75"/>
      <c r="I42" s="75"/>
      <c r="J42" s="75"/>
      <c r="K42" s="1306"/>
      <c r="L42" s="628"/>
      <c r="M42" s="628"/>
      <c r="N42" s="628"/>
      <c r="O42" s="628"/>
      <c r="P42" s="628"/>
      <c r="Q42" s="628">
        <f>+G42*M42/10</f>
        <v>0</v>
      </c>
      <c r="R42" s="628"/>
      <c r="S42" s="628"/>
      <c r="T42" s="628"/>
      <c r="U42" s="628"/>
      <c r="V42" s="75"/>
      <c r="W42" s="628"/>
      <c r="X42" s="1221"/>
      <c r="Y42" s="75"/>
      <c r="Z42" s="1358"/>
    </row>
    <row r="43" spans="1:26" hidden="1" x14ac:dyDescent="0.4">
      <c r="A43" s="1339"/>
      <c r="B43" s="1360" t="s">
        <v>1545</v>
      </c>
      <c r="C43" s="75"/>
      <c r="D43" s="75"/>
      <c r="E43" s="75"/>
      <c r="F43" s="75"/>
      <c r="G43" s="1221">
        <f>+$F41*'Tariff Schedule'!E$51</f>
        <v>0</v>
      </c>
      <c r="H43" s="75"/>
      <c r="I43" s="75"/>
      <c r="J43" s="75"/>
      <c r="K43" s="1306"/>
      <c r="L43" s="628"/>
      <c r="M43" s="628"/>
      <c r="N43" s="628"/>
      <c r="O43" s="628"/>
      <c r="P43" s="628"/>
      <c r="Q43" s="628">
        <f>+G43*M43/10</f>
        <v>0</v>
      </c>
      <c r="R43" s="628"/>
      <c r="S43" s="628"/>
      <c r="T43" s="628"/>
      <c r="U43" s="628"/>
      <c r="V43" s="75"/>
      <c r="W43" s="628"/>
      <c r="X43" s="1221"/>
      <c r="Y43" s="75"/>
      <c r="Z43" s="1358"/>
    </row>
    <row r="44" spans="1:26" hidden="1" x14ac:dyDescent="0.4">
      <c r="A44" s="1339"/>
      <c r="B44" s="1360" t="s">
        <v>1546</v>
      </c>
      <c r="C44" s="75"/>
      <c r="D44" s="75"/>
      <c r="E44" s="75"/>
      <c r="F44" s="75"/>
      <c r="G44" s="1221">
        <f>+$F41*'Tariff Schedule'!E$52</f>
        <v>0</v>
      </c>
      <c r="H44" s="75"/>
      <c r="I44" s="75"/>
      <c r="J44" s="75"/>
      <c r="K44" s="1306"/>
      <c r="L44" s="628"/>
      <c r="M44" s="628"/>
      <c r="N44" s="628"/>
      <c r="O44" s="628"/>
      <c r="P44" s="628"/>
      <c r="Q44" s="628">
        <f>+G44*M44/10</f>
        <v>0</v>
      </c>
      <c r="R44" s="628"/>
      <c r="S44" s="628"/>
      <c r="T44" s="628"/>
      <c r="U44" s="628"/>
      <c r="V44" s="75"/>
      <c r="W44" s="628"/>
      <c r="X44" s="1221"/>
      <c r="Y44" s="75"/>
      <c r="Z44" s="1358"/>
    </row>
    <row r="45" spans="1:26" hidden="1" x14ac:dyDescent="0.4">
      <c r="A45" s="1339"/>
      <c r="B45" s="1360" t="s">
        <v>1549</v>
      </c>
      <c r="C45" s="75"/>
      <c r="D45" s="75"/>
      <c r="E45" s="75"/>
      <c r="F45" s="75"/>
      <c r="G45" s="1221">
        <f>+$F41*'Tariff Schedule'!E$55</f>
        <v>0</v>
      </c>
      <c r="H45" s="75"/>
      <c r="I45" s="75"/>
      <c r="J45" s="75"/>
      <c r="K45" s="1306"/>
      <c r="L45" s="628"/>
      <c r="M45" s="628"/>
      <c r="N45" s="628"/>
      <c r="O45" s="628"/>
      <c r="P45" s="628"/>
      <c r="Q45" s="628">
        <f>+G45*M45/10</f>
        <v>0</v>
      </c>
      <c r="R45" s="628"/>
      <c r="S45" s="628"/>
      <c r="T45" s="628"/>
      <c r="U45" s="628"/>
      <c r="V45" s="75"/>
      <c r="W45" s="628"/>
      <c r="X45" s="1221"/>
      <c r="Y45" s="75"/>
      <c r="Z45" s="1358"/>
    </row>
    <row r="46" spans="1:26" ht="25.5" hidden="1" x14ac:dyDescent="0.4">
      <c r="B46" s="519" t="s">
        <v>1111</v>
      </c>
      <c r="C46" s="1306">
        <f>+'F13 SEZ'!C220</f>
        <v>0</v>
      </c>
      <c r="D46" s="75"/>
      <c r="E46" s="75"/>
      <c r="F46" s="75"/>
      <c r="G46" s="75"/>
      <c r="H46" s="75"/>
      <c r="I46" s="75"/>
      <c r="J46" s="75"/>
      <c r="K46" s="1306"/>
      <c r="L46" s="628">
        <f>+'F1 SEZ'!N28</f>
        <v>0</v>
      </c>
      <c r="M46" s="628"/>
      <c r="N46" s="628"/>
      <c r="O46" s="628"/>
      <c r="P46" s="628"/>
      <c r="Q46" s="628"/>
      <c r="R46" s="628"/>
      <c r="S46" s="628"/>
      <c r="T46" s="628"/>
      <c r="U46" s="628">
        <f>SUM(N46:T46)</f>
        <v>0</v>
      </c>
      <c r="V46" s="75"/>
      <c r="W46" s="628">
        <f>+U46+V46</f>
        <v>0</v>
      </c>
      <c r="X46" s="75"/>
      <c r="Y46" s="75"/>
      <c r="Z46" s="2"/>
    </row>
    <row r="47" spans="1:26" hidden="1" x14ac:dyDescent="0.4">
      <c r="A47" s="1339"/>
      <c r="B47" s="1360" t="s">
        <v>1544</v>
      </c>
      <c r="C47" s="75"/>
      <c r="D47" s="75"/>
      <c r="E47" s="75"/>
      <c r="F47" s="75"/>
      <c r="G47" s="1221">
        <f>+$F46*'Tariff Schedule'!E$50</f>
        <v>0</v>
      </c>
      <c r="H47" s="75"/>
      <c r="I47" s="75"/>
      <c r="J47" s="75"/>
      <c r="K47" s="1306"/>
      <c r="L47" s="628"/>
      <c r="M47" s="628"/>
      <c r="N47" s="628"/>
      <c r="O47" s="628"/>
      <c r="P47" s="628"/>
      <c r="Q47" s="628">
        <f>+G47*M47/10</f>
        <v>0</v>
      </c>
      <c r="R47" s="628"/>
      <c r="S47" s="628"/>
      <c r="T47" s="628"/>
      <c r="U47" s="628"/>
      <c r="V47" s="75"/>
      <c r="W47" s="628"/>
      <c r="X47" s="1221"/>
      <c r="Y47" s="75"/>
      <c r="Z47" s="1358"/>
    </row>
    <row r="48" spans="1:26" hidden="1" x14ac:dyDescent="0.4">
      <c r="A48" s="1339"/>
      <c r="B48" s="1360" t="s">
        <v>1545</v>
      </c>
      <c r="C48" s="75"/>
      <c r="D48" s="75"/>
      <c r="E48" s="75"/>
      <c r="F48" s="75"/>
      <c r="G48" s="1221">
        <f>+$F46*'Tariff Schedule'!E$51</f>
        <v>0</v>
      </c>
      <c r="H48" s="75"/>
      <c r="I48" s="75"/>
      <c r="J48" s="75"/>
      <c r="K48" s="1306"/>
      <c r="L48" s="628"/>
      <c r="M48" s="628"/>
      <c r="N48" s="628"/>
      <c r="O48" s="628"/>
      <c r="P48" s="628"/>
      <c r="Q48" s="628">
        <f>+G48*M48/10</f>
        <v>0</v>
      </c>
      <c r="R48" s="628"/>
      <c r="S48" s="628"/>
      <c r="T48" s="628"/>
      <c r="U48" s="628"/>
      <c r="V48" s="75"/>
      <c r="W48" s="628"/>
      <c r="X48" s="1221"/>
      <c r="Y48" s="75"/>
      <c r="Z48" s="1358"/>
    </row>
    <row r="49" spans="1:26" hidden="1" x14ac:dyDescent="0.4">
      <c r="A49" s="1339"/>
      <c r="B49" s="1360" t="s">
        <v>1546</v>
      </c>
      <c r="C49" s="75"/>
      <c r="D49" s="75"/>
      <c r="E49" s="75"/>
      <c r="F49" s="75"/>
      <c r="G49" s="1221">
        <f>+$F46*'Tariff Schedule'!E$52</f>
        <v>0</v>
      </c>
      <c r="H49" s="75"/>
      <c r="I49" s="75"/>
      <c r="J49" s="75"/>
      <c r="K49" s="1306"/>
      <c r="L49" s="628"/>
      <c r="M49" s="628"/>
      <c r="N49" s="628"/>
      <c r="O49" s="628"/>
      <c r="P49" s="628"/>
      <c r="Q49" s="628">
        <f>+G49*M49/10</f>
        <v>0</v>
      </c>
      <c r="R49" s="628"/>
      <c r="S49" s="628"/>
      <c r="T49" s="628"/>
      <c r="U49" s="628"/>
      <c r="V49" s="75"/>
      <c r="W49" s="628"/>
      <c r="X49" s="1221"/>
      <c r="Y49" s="75"/>
      <c r="Z49" s="1358"/>
    </row>
    <row r="50" spans="1:26" hidden="1" x14ac:dyDescent="0.4">
      <c r="A50" s="1339"/>
      <c r="B50" s="1360" t="s">
        <v>1549</v>
      </c>
      <c r="C50" s="75"/>
      <c r="D50" s="75"/>
      <c r="E50" s="75"/>
      <c r="F50" s="75"/>
      <c r="G50" s="1221">
        <f>+$F46*'Tariff Schedule'!E$55</f>
        <v>0</v>
      </c>
      <c r="H50" s="75"/>
      <c r="I50" s="75"/>
      <c r="J50" s="75"/>
      <c r="K50" s="1306"/>
      <c r="L50" s="628"/>
      <c r="M50" s="628"/>
      <c r="N50" s="628"/>
      <c r="O50" s="628"/>
      <c r="P50" s="628"/>
      <c r="Q50" s="628">
        <f>+G50*M50/10</f>
        <v>0</v>
      </c>
      <c r="R50" s="628"/>
      <c r="S50" s="628"/>
      <c r="T50" s="628"/>
      <c r="U50" s="628"/>
      <c r="V50" s="75"/>
      <c r="W50" s="628"/>
      <c r="X50" s="1221"/>
      <c r="Y50" s="75"/>
      <c r="Z50" s="1358"/>
    </row>
    <row r="51" spans="1:26" s="6" customFormat="1" ht="25.5" x14ac:dyDescent="0.35">
      <c r="B51" s="1363" t="s">
        <v>1135</v>
      </c>
      <c r="C51" s="128">
        <f>+'F13.4'!C51</f>
        <v>1</v>
      </c>
      <c r="D51" s="128">
        <f>+'Tariff Schedule'!F26</f>
        <v>600</v>
      </c>
      <c r="E51" s="128"/>
      <c r="F51" s="1365">
        <f>+'Tariff Schedule'!M26</f>
        <v>5.43</v>
      </c>
      <c r="G51" s="128"/>
      <c r="H51" s="1365">
        <f>+'Tariff Schedule'!R26</f>
        <v>1.17</v>
      </c>
      <c r="I51" s="128"/>
      <c r="J51" s="128"/>
      <c r="K51" s="1336">
        <v>19</v>
      </c>
      <c r="L51" s="630">
        <f>+'F1 SEZ'!N29</f>
        <v>0.45039804303970876</v>
      </c>
      <c r="M51" s="630">
        <f>+L51/Z51</f>
        <v>0.45958983983643753</v>
      </c>
      <c r="N51" s="630">
        <f>+C51*D51*12/10^7</f>
        <v>7.2000000000000005E-4</v>
      </c>
      <c r="O51" s="630"/>
      <c r="P51" s="630">
        <f>(L51*F51)/10</f>
        <v>0.24456613737056182</v>
      </c>
      <c r="Q51" s="630"/>
      <c r="R51" s="630">
        <f>(L51*H51)/10</f>
        <v>5.2696571035645921E-2</v>
      </c>
      <c r="S51" s="630"/>
      <c r="T51" s="630"/>
      <c r="U51" s="630">
        <f>SUM(N51:T51)</f>
        <v>0.29798270840620772</v>
      </c>
      <c r="V51" s="128"/>
      <c r="W51" s="630">
        <f>+U51+V51</f>
        <v>0.29798270840620772</v>
      </c>
      <c r="X51" s="1222">
        <f>IFERROR(W51/L51*10,0)</f>
        <v>6.6159858598661021</v>
      </c>
      <c r="Y51" s="128"/>
      <c r="Z51" s="1366">
        <f>+'Tariff Schedule'!X26</f>
        <v>0.98</v>
      </c>
    </row>
    <row r="52" spans="1:26" ht="38.25" hidden="1" x14ac:dyDescent="0.4">
      <c r="B52" s="519" t="s">
        <v>1136</v>
      </c>
      <c r="C52" s="1306">
        <f>+'F13 SEZ'!C222</f>
        <v>0</v>
      </c>
      <c r="D52" s="75"/>
      <c r="E52" s="75"/>
      <c r="F52" s="75"/>
      <c r="G52" s="75"/>
      <c r="H52" s="75"/>
      <c r="I52" s="75"/>
      <c r="J52" s="75"/>
      <c r="K52" s="1306"/>
      <c r="L52" s="628">
        <f>+'F1 SEZ'!N30</f>
        <v>0</v>
      </c>
      <c r="M52" s="628"/>
      <c r="N52" s="628"/>
      <c r="O52" s="628"/>
      <c r="P52" s="628"/>
      <c r="Q52" s="628"/>
      <c r="R52" s="628"/>
      <c r="S52" s="628"/>
      <c r="T52" s="628"/>
      <c r="U52" s="628">
        <f>SUM(N52:T52)</f>
        <v>0</v>
      </c>
      <c r="V52" s="75"/>
      <c r="W52" s="628">
        <f>+U52+V52</f>
        <v>0</v>
      </c>
      <c r="X52" s="75"/>
      <c r="Y52" s="75"/>
      <c r="Z52" s="2"/>
    </row>
    <row r="53" spans="1:26" hidden="1" x14ac:dyDescent="0.4">
      <c r="A53" s="1339"/>
      <c r="B53" s="1360" t="s">
        <v>1544</v>
      </c>
      <c r="C53" s="75"/>
      <c r="D53" s="75"/>
      <c r="E53" s="75"/>
      <c r="F53" s="75"/>
      <c r="G53" s="1221">
        <f>+$F52*'Tariff Schedule'!E$50</f>
        <v>0</v>
      </c>
      <c r="H53" s="75"/>
      <c r="I53" s="75"/>
      <c r="J53" s="75"/>
      <c r="K53" s="1306"/>
      <c r="L53" s="628"/>
      <c r="M53" s="628"/>
      <c r="N53" s="628"/>
      <c r="O53" s="628"/>
      <c r="P53" s="628"/>
      <c r="Q53" s="628">
        <f>+G53*M53/10</f>
        <v>0</v>
      </c>
      <c r="R53" s="628"/>
      <c r="S53" s="628"/>
      <c r="T53" s="628"/>
      <c r="U53" s="628"/>
      <c r="V53" s="75"/>
      <c r="W53" s="628"/>
      <c r="X53" s="1221"/>
      <c r="Y53" s="75"/>
      <c r="Z53" s="1358"/>
    </row>
    <row r="54" spans="1:26" hidden="1" x14ac:dyDescent="0.4">
      <c r="A54" s="1339"/>
      <c r="B54" s="1360" t="s">
        <v>1545</v>
      </c>
      <c r="C54" s="75"/>
      <c r="D54" s="75"/>
      <c r="E54" s="75"/>
      <c r="F54" s="75"/>
      <c r="G54" s="1221">
        <f>+$F52*'Tariff Schedule'!E$51</f>
        <v>0</v>
      </c>
      <c r="H54" s="75"/>
      <c r="I54" s="75"/>
      <c r="J54" s="75"/>
      <c r="K54" s="1306"/>
      <c r="L54" s="628"/>
      <c r="M54" s="628"/>
      <c r="N54" s="628"/>
      <c r="O54" s="628"/>
      <c r="P54" s="628"/>
      <c r="Q54" s="628">
        <f>+G54*M54/10</f>
        <v>0</v>
      </c>
      <c r="R54" s="628"/>
      <c r="S54" s="628"/>
      <c r="T54" s="628"/>
      <c r="U54" s="628"/>
      <c r="V54" s="75"/>
      <c r="W54" s="628"/>
      <c r="X54" s="1221"/>
      <c r="Y54" s="75"/>
      <c r="Z54" s="1358"/>
    </row>
    <row r="55" spans="1:26" hidden="1" x14ac:dyDescent="0.4">
      <c r="A55" s="1339"/>
      <c r="B55" s="1360" t="s">
        <v>1546</v>
      </c>
      <c r="C55" s="75"/>
      <c r="D55" s="75"/>
      <c r="E55" s="75"/>
      <c r="F55" s="75"/>
      <c r="G55" s="1221">
        <f>+$F52*'Tariff Schedule'!E$52</f>
        <v>0</v>
      </c>
      <c r="H55" s="75"/>
      <c r="I55" s="75"/>
      <c r="J55" s="75"/>
      <c r="K55" s="1306"/>
      <c r="L55" s="628"/>
      <c r="M55" s="628"/>
      <c r="N55" s="628"/>
      <c r="O55" s="628"/>
      <c r="P55" s="628"/>
      <c r="Q55" s="628">
        <f>+G55*M55/10</f>
        <v>0</v>
      </c>
      <c r="R55" s="628"/>
      <c r="S55" s="628"/>
      <c r="T55" s="628"/>
      <c r="U55" s="628"/>
      <c r="V55" s="75"/>
      <c r="W55" s="628"/>
      <c r="X55" s="1221"/>
      <c r="Y55" s="75"/>
      <c r="Z55" s="1358"/>
    </row>
    <row r="56" spans="1:26" hidden="1" x14ac:dyDescent="0.4">
      <c r="A56" s="1339"/>
      <c r="B56" s="1360" t="s">
        <v>1549</v>
      </c>
      <c r="C56" s="75"/>
      <c r="D56" s="75"/>
      <c r="E56" s="75"/>
      <c r="F56" s="75"/>
      <c r="G56" s="1221">
        <f>+$F52*'Tariff Schedule'!E$55</f>
        <v>0</v>
      </c>
      <c r="H56" s="75"/>
      <c r="I56" s="75"/>
      <c r="J56" s="75"/>
      <c r="K56" s="1306"/>
      <c r="L56" s="628"/>
      <c r="M56" s="628"/>
      <c r="N56" s="628"/>
      <c r="O56" s="628"/>
      <c r="P56" s="628"/>
      <c r="Q56" s="628">
        <f>+G56*M56/10</f>
        <v>0</v>
      </c>
      <c r="R56" s="628"/>
      <c r="S56" s="628"/>
      <c r="T56" s="628"/>
      <c r="U56" s="628"/>
      <c r="V56" s="75"/>
      <c r="W56" s="628"/>
      <c r="X56" s="1221"/>
      <c r="Y56" s="75"/>
      <c r="Z56" s="1358"/>
    </row>
    <row r="57" spans="1:26" hidden="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2"/>
    </row>
    <row r="58" spans="1:26" ht="25.5" hidden="1" x14ac:dyDescent="0.4">
      <c r="B58" s="519" t="s">
        <v>1142</v>
      </c>
      <c r="C58" s="1306">
        <f>+'F13 SEZ'!C223</f>
        <v>0</v>
      </c>
      <c r="D58" s="75"/>
      <c r="E58" s="75"/>
      <c r="F58" s="75"/>
      <c r="G58" s="75"/>
      <c r="H58" s="75"/>
      <c r="I58" s="75"/>
      <c r="J58" s="75"/>
      <c r="K58" s="1306"/>
      <c r="L58" s="628">
        <f>+'F1 SEZ'!N31</f>
        <v>0</v>
      </c>
      <c r="M58" s="628"/>
      <c r="N58" s="628"/>
      <c r="O58" s="628"/>
      <c r="P58" s="628"/>
      <c r="Q58" s="628"/>
      <c r="R58" s="628"/>
      <c r="S58" s="628"/>
      <c r="T58" s="628"/>
      <c r="U58" s="628">
        <f>SUM(N58:T58)</f>
        <v>0</v>
      </c>
      <c r="V58" s="75"/>
      <c r="W58" s="628">
        <f>+U58+V58</f>
        <v>0</v>
      </c>
      <c r="X58" s="75"/>
      <c r="Y58" s="75"/>
      <c r="Z58" s="2"/>
    </row>
    <row r="59" spans="1:26" hidden="1" x14ac:dyDescent="0.4">
      <c r="A59" s="1339"/>
      <c r="B59" s="1360" t="s">
        <v>1544</v>
      </c>
      <c r="C59" s="75"/>
      <c r="D59" s="75"/>
      <c r="E59" s="75"/>
      <c r="F59" s="75"/>
      <c r="G59" s="1221">
        <f>+$F58*'Tariff Schedule'!E$50</f>
        <v>0</v>
      </c>
      <c r="H59" s="75"/>
      <c r="I59" s="75"/>
      <c r="J59" s="75"/>
      <c r="K59" s="1306"/>
      <c r="L59" s="628"/>
      <c r="M59" s="628"/>
      <c r="N59" s="628"/>
      <c r="O59" s="628"/>
      <c r="P59" s="628"/>
      <c r="Q59" s="628">
        <f>+G59*M59/10</f>
        <v>0</v>
      </c>
      <c r="R59" s="628"/>
      <c r="S59" s="628"/>
      <c r="T59" s="628"/>
      <c r="U59" s="628"/>
      <c r="V59" s="75"/>
      <c r="W59" s="628"/>
      <c r="X59" s="1221"/>
      <c r="Y59" s="75"/>
      <c r="Z59" s="1358"/>
    </row>
    <row r="60" spans="1:26" hidden="1" x14ac:dyDescent="0.4">
      <c r="A60" s="1339"/>
      <c r="B60" s="1360" t="s">
        <v>1545</v>
      </c>
      <c r="C60" s="75"/>
      <c r="D60" s="75"/>
      <c r="E60" s="75"/>
      <c r="F60" s="75"/>
      <c r="G60" s="1221">
        <f>+$F58*'Tariff Schedule'!E$51</f>
        <v>0</v>
      </c>
      <c r="H60" s="75"/>
      <c r="I60" s="75"/>
      <c r="J60" s="75"/>
      <c r="K60" s="1306"/>
      <c r="L60" s="628"/>
      <c r="M60" s="628"/>
      <c r="N60" s="628"/>
      <c r="O60" s="628"/>
      <c r="P60" s="628"/>
      <c r="Q60" s="628">
        <f>+G60*M60/10</f>
        <v>0</v>
      </c>
      <c r="R60" s="628"/>
      <c r="S60" s="628"/>
      <c r="T60" s="628"/>
      <c r="U60" s="628"/>
      <c r="V60" s="75"/>
      <c r="W60" s="628"/>
      <c r="X60" s="1221"/>
      <c r="Y60" s="75"/>
      <c r="Z60" s="1358"/>
    </row>
    <row r="61" spans="1:26" hidden="1" x14ac:dyDescent="0.4">
      <c r="A61" s="1339"/>
      <c r="B61" s="1360" t="s">
        <v>1546</v>
      </c>
      <c r="C61" s="75"/>
      <c r="D61" s="75"/>
      <c r="E61" s="75"/>
      <c r="F61" s="75"/>
      <c r="G61" s="1221">
        <f>+$F58*'Tariff Schedule'!E$52</f>
        <v>0</v>
      </c>
      <c r="H61" s="75"/>
      <c r="I61" s="75"/>
      <c r="J61" s="75"/>
      <c r="K61" s="1306"/>
      <c r="L61" s="628"/>
      <c r="M61" s="628"/>
      <c r="N61" s="628"/>
      <c r="O61" s="628"/>
      <c r="P61" s="628"/>
      <c r="Q61" s="628">
        <f>+G61*M61/10</f>
        <v>0</v>
      </c>
      <c r="R61" s="628"/>
      <c r="S61" s="628"/>
      <c r="T61" s="628"/>
      <c r="U61" s="628"/>
      <c r="V61" s="75"/>
      <c r="W61" s="628"/>
      <c r="X61" s="1221"/>
      <c r="Y61" s="75"/>
      <c r="Z61" s="1358"/>
    </row>
    <row r="62" spans="1:26" hidden="1" x14ac:dyDescent="0.4">
      <c r="A62" s="1339"/>
      <c r="B62" s="1360" t="s">
        <v>1549</v>
      </c>
      <c r="C62" s="75"/>
      <c r="D62" s="75"/>
      <c r="E62" s="75"/>
      <c r="F62" s="75"/>
      <c r="G62" s="1221">
        <f>+$F58*'Tariff Schedule'!E$55</f>
        <v>0</v>
      </c>
      <c r="H62" s="75"/>
      <c r="I62" s="75"/>
      <c r="J62" s="75"/>
      <c r="K62" s="1306"/>
      <c r="L62" s="628"/>
      <c r="M62" s="628"/>
      <c r="N62" s="628"/>
      <c r="O62" s="628"/>
      <c r="P62" s="628"/>
      <c r="Q62" s="628">
        <f>+G62*M62/10</f>
        <v>0</v>
      </c>
      <c r="R62" s="628"/>
      <c r="S62" s="628"/>
      <c r="T62" s="628"/>
      <c r="U62" s="628"/>
      <c r="V62" s="75"/>
      <c r="W62" s="628"/>
      <c r="X62" s="1221"/>
      <c r="Y62" s="75"/>
      <c r="Z62" s="1358"/>
    </row>
    <row r="63" spans="1:26" x14ac:dyDescent="0.4">
      <c r="B63" s="518" t="s">
        <v>162</v>
      </c>
      <c r="C63" s="1308">
        <f>+C27+C34+C46+C51+C52+C58</f>
        <v>1</v>
      </c>
      <c r="D63" s="1308"/>
      <c r="E63" s="1310"/>
      <c r="F63" s="1310"/>
      <c r="G63" s="1310"/>
      <c r="H63" s="1310"/>
      <c r="I63" s="1310"/>
      <c r="J63" s="1310"/>
      <c r="K63" s="1308">
        <f>+K27+K34+K46+K51+K52+K58</f>
        <v>19</v>
      </c>
      <c r="L63" s="630">
        <f t="shared" ref="L63:W63" si="1">+L27+L34+L46+L51+L52+L58</f>
        <v>0.45039804303970876</v>
      </c>
      <c r="M63" s="630">
        <f t="shared" si="1"/>
        <v>0.45958983983643753</v>
      </c>
      <c r="N63" s="630">
        <f t="shared" si="1"/>
        <v>7.2000000000000005E-4</v>
      </c>
      <c r="O63" s="630">
        <f t="shared" si="1"/>
        <v>0</v>
      </c>
      <c r="P63" s="630">
        <f t="shared" si="1"/>
        <v>0.24456613737056182</v>
      </c>
      <c r="Q63" s="630">
        <f t="shared" si="1"/>
        <v>0</v>
      </c>
      <c r="R63" s="630">
        <f t="shared" si="1"/>
        <v>5.2696571035645921E-2</v>
      </c>
      <c r="S63" s="630">
        <f t="shared" si="1"/>
        <v>0</v>
      </c>
      <c r="T63" s="630">
        <f t="shared" si="1"/>
        <v>0</v>
      </c>
      <c r="U63" s="630">
        <f t="shared" si="1"/>
        <v>0.29798270840620772</v>
      </c>
      <c r="V63" s="630">
        <f t="shared" si="1"/>
        <v>0</v>
      </c>
      <c r="W63" s="630">
        <f t="shared" si="1"/>
        <v>0.29798270840620772</v>
      </c>
      <c r="X63" s="1222">
        <f>IFERROR(W63/L63*10,0)</f>
        <v>6.6159858598661021</v>
      </c>
      <c r="Y63" s="75"/>
      <c r="Z63" s="2"/>
    </row>
    <row r="64" spans="1:26"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75"/>
      <c r="Z64" s="2"/>
    </row>
    <row r="65" spans="1:26" x14ac:dyDescent="0.4">
      <c r="B65" s="119" t="s">
        <v>164</v>
      </c>
      <c r="C65" s="1308">
        <f t="shared" ref="C65:W65" si="2">+C63+C25</f>
        <v>6</v>
      </c>
      <c r="D65" s="1309">
        <f t="shared" si="2"/>
        <v>0</v>
      </c>
      <c r="E65" s="1309">
        <f t="shared" si="2"/>
        <v>0</v>
      </c>
      <c r="F65" s="1309">
        <f t="shared" si="2"/>
        <v>0</v>
      </c>
      <c r="G65" s="1309">
        <f t="shared" si="2"/>
        <v>0</v>
      </c>
      <c r="H65" s="1309">
        <f t="shared" si="2"/>
        <v>0</v>
      </c>
      <c r="I65" s="1309">
        <f t="shared" si="2"/>
        <v>0</v>
      </c>
      <c r="J65" s="1309">
        <f t="shared" si="2"/>
        <v>0</v>
      </c>
      <c r="K65" s="1336">
        <f t="shared" si="2"/>
        <v>34559</v>
      </c>
      <c r="L65" s="630">
        <f t="shared" si="2"/>
        <v>265.28420333168748</v>
      </c>
      <c r="M65" s="630">
        <f t="shared" si="2"/>
        <v>267.96897680722594</v>
      </c>
      <c r="N65" s="630">
        <f t="shared" si="2"/>
        <v>7.2000000000000005E-4</v>
      </c>
      <c r="O65" s="630">
        <f t="shared" si="2"/>
        <v>22.377600000000001</v>
      </c>
      <c r="P65" s="630">
        <f t="shared" si="2"/>
        <v>197.68868903189045</v>
      </c>
      <c r="Q65" s="630">
        <f t="shared" si="2"/>
        <v>-2.8232764302375468</v>
      </c>
      <c r="R65" s="630">
        <f t="shared" si="2"/>
        <v>19.84839120662247</v>
      </c>
      <c r="S65" s="630">
        <f t="shared" si="2"/>
        <v>0</v>
      </c>
      <c r="T65" s="630">
        <f t="shared" si="2"/>
        <v>0</v>
      </c>
      <c r="U65" s="630">
        <f t="shared" si="2"/>
        <v>237.09212380827535</v>
      </c>
      <c r="V65" s="1309">
        <f t="shared" si="2"/>
        <v>0</v>
      </c>
      <c r="W65" s="630">
        <f t="shared" si="2"/>
        <v>237.09212380827535</v>
      </c>
      <c r="X65" s="1222">
        <f>IFERROR(W65/L65*10,0)</f>
        <v>8.9372876647252415</v>
      </c>
      <c r="Y65" s="75"/>
      <c r="Z65" s="2"/>
    </row>
    <row r="66" spans="1:26"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2"/>
    </row>
    <row r="67" spans="1:26" x14ac:dyDescent="0.4">
      <c r="B67" s="118"/>
      <c r="C67" s="103"/>
      <c r="D67" s="103"/>
      <c r="E67" s="103"/>
      <c r="F67" s="103"/>
      <c r="G67" s="103"/>
      <c r="H67" s="103"/>
      <c r="I67" s="103"/>
      <c r="J67" s="103"/>
      <c r="K67" s="1333"/>
      <c r="L67" s="1328"/>
      <c r="M67" s="1328"/>
      <c r="N67" s="1328"/>
      <c r="O67" s="103"/>
      <c r="P67" s="103"/>
      <c r="Q67" s="103"/>
      <c r="R67" s="103"/>
      <c r="S67" s="103"/>
      <c r="T67" s="103"/>
      <c r="U67" s="103"/>
      <c r="V67" s="103"/>
      <c r="W67" s="1328"/>
      <c r="X67" s="103"/>
      <c r="Y67" s="103"/>
    </row>
    <row r="68" spans="1:26" x14ac:dyDescent="0.4">
      <c r="B68" s="7" t="s">
        <v>740</v>
      </c>
      <c r="C68" s="7"/>
      <c r="D68" s="7"/>
      <c r="E68" s="7"/>
      <c r="F68" s="7"/>
      <c r="G68" s="7"/>
      <c r="H68" s="7"/>
      <c r="I68" s="7"/>
      <c r="J68" s="7"/>
      <c r="K68" s="1337"/>
      <c r="L68" s="1330"/>
      <c r="M68" s="1330"/>
      <c r="N68" s="1330"/>
      <c r="O68" s="7"/>
      <c r="P68" s="7"/>
      <c r="Q68" s="7"/>
      <c r="R68" s="7"/>
      <c r="S68" s="7"/>
      <c r="T68" s="7"/>
      <c r="U68" s="7"/>
      <c r="V68" s="7"/>
      <c r="W68" s="1330"/>
      <c r="X68" s="7"/>
      <c r="Y68" s="7"/>
    </row>
    <row r="69" spans="1:26"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row>
    <row r="70" spans="1:26"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row>
    <row r="72" spans="1:26" x14ac:dyDescent="0.4">
      <c r="B72" s="131" t="s">
        <v>750</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row>
    <row r="73" spans="1:26" x14ac:dyDescent="0.4">
      <c r="B73" s="131" t="s">
        <v>1560</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row>
    <row r="74" spans="1:26"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row>
    <row r="75" spans="1:26"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947" t="s">
        <v>1570</v>
      </c>
    </row>
    <row r="76" spans="1:26"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947"/>
    </row>
    <row r="77" spans="1:26"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2"/>
    </row>
    <row r="78" spans="1:26" s="6" customFormat="1" ht="13.5" x14ac:dyDescent="0.35">
      <c r="A78" s="1364">
        <f>+'F13.2'!A78</f>
        <v>0.9</v>
      </c>
      <c r="B78" s="517" t="s">
        <v>1129</v>
      </c>
      <c r="C78" s="128">
        <f>+'F13.4'!C78</f>
        <v>1</v>
      </c>
      <c r="D78" s="128"/>
      <c r="E78" s="128">
        <f>+'Tariff Schedule'!F14</f>
        <v>600</v>
      </c>
      <c r="F78" s="1365">
        <f>+'Tariff Schedule'!M14</f>
        <v>7.38</v>
      </c>
      <c r="G78" s="128"/>
      <c r="H78" s="1365">
        <f>+'Tariff Schedule'!S14</f>
        <v>0.74</v>
      </c>
      <c r="I78" s="128"/>
      <c r="J78" s="128"/>
      <c r="K78" s="1336">
        <v>211</v>
      </c>
      <c r="L78" s="630">
        <f>+'F1 Non-SEZ'!N12</f>
        <v>0.18479900000000216</v>
      </c>
      <c r="M78" s="630">
        <f>+L78/Z78</f>
        <v>0.18666565656565876</v>
      </c>
      <c r="N78" s="630"/>
      <c r="O78" s="630">
        <f>(K78*E78)*12/10^7*A78</f>
        <v>0.13672800000000002</v>
      </c>
      <c r="P78" s="630">
        <f>(M78*F78)/10</f>
        <v>0.13775925454545618</v>
      </c>
      <c r="Q78" s="630">
        <f>SUM(Q79:Q82)</f>
        <v>-1.9689857787583906E-3</v>
      </c>
      <c r="R78" s="630">
        <f>(M78*H78)/10</f>
        <v>1.3813258585858749E-2</v>
      </c>
      <c r="S78" s="630"/>
      <c r="T78" s="630"/>
      <c r="U78" s="630">
        <f>SUM(N78:T78)</f>
        <v>0.28633152735255657</v>
      </c>
      <c r="V78" s="128"/>
      <c r="W78" s="630">
        <f>+U78+V78</f>
        <v>0.28633152735255657</v>
      </c>
      <c r="X78" s="1222">
        <f>IFERROR(W78/L78*10,0)</f>
        <v>15.494214111145258</v>
      </c>
      <c r="Y78" s="128"/>
      <c r="Z78" s="1366">
        <f>+'Tariff Schedule'!X14</f>
        <v>0.99</v>
      </c>
    </row>
    <row r="79" spans="1:26" x14ac:dyDescent="0.4">
      <c r="A79" s="1339"/>
      <c r="B79" s="1360" t="s">
        <v>1544</v>
      </c>
      <c r="C79" s="75"/>
      <c r="D79" s="75"/>
      <c r="E79" s="75"/>
      <c r="F79" s="75"/>
      <c r="G79" s="1221">
        <f>+$F78*'Tariff Schedule'!E$50</f>
        <v>0</v>
      </c>
      <c r="H79" s="75"/>
      <c r="I79" s="75"/>
      <c r="J79" s="75"/>
      <c r="K79" s="1306"/>
      <c r="L79" s="628"/>
      <c r="M79" s="628">
        <f>+$M$78*Assum!E125</f>
        <v>4.5705982354672804E-2</v>
      </c>
      <c r="N79" s="628"/>
      <c r="O79" s="628"/>
      <c r="P79" s="628"/>
      <c r="Q79" s="628">
        <f>+G79*M79/10</f>
        <v>0</v>
      </c>
      <c r="R79" s="628"/>
      <c r="S79" s="628"/>
      <c r="T79" s="628"/>
      <c r="U79" s="628"/>
      <c r="V79" s="75"/>
      <c r="W79" s="628"/>
      <c r="X79" s="1221"/>
      <c r="Y79" s="75"/>
      <c r="Z79" s="1358"/>
    </row>
    <row r="80" spans="1:26" x14ac:dyDescent="0.4">
      <c r="A80" s="1339"/>
      <c r="B80" s="1360" t="s">
        <v>1545</v>
      </c>
      <c r="C80" s="75"/>
      <c r="D80" s="75"/>
      <c r="E80" s="75"/>
      <c r="F80" s="75"/>
      <c r="G80" s="1221">
        <f>+$F78*'Tariff Schedule'!E$51</f>
        <v>0</v>
      </c>
      <c r="H80" s="75"/>
      <c r="I80" s="75"/>
      <c r="J80" s="75"/>
      <c r="K80" s="1306"/>
      <c r="L80" s="628"/>
      <c r="M80" s="628">
        <f>+$M$78*Assum!E126</f>
        <v>2.3562816725167475E-2</v>
      </c>
      <c r="N80" s="628"/>
      <c r="O80" s="628"/>
      <c r="P80" s="628"/>
      <c r="Q80" s="628">
        <f>+G80*M80/10</f>
        <v>0</v>
      </c>
      <c r="R80" s="628"/>
      <c r="S80" s="628"/>
      <c r="T80" s="628"/>
      <c r="U80" s="628"/>
      <c r="V80" s="75"/>
      <c r="W80" s="628"/>
      <c r="X80" s="1221"/>
      <c r="Y80" s="75"/>
      <c r="Z80" s="1358"/>
    </row>
    <row r="81" spans="1:26" x14ac:dyDescent="0.4">
      <c r="A81" s="1339"/>
      <c r="B81" s="1360" t="s">
        <v>1546</v>
      </c>
      <c r="C81" s="75"/>
      <c r="D81" s="75"/>
      <c r="E81" s="75"/>
      <c r="F81" s="75"/>
      <c r="G81" s="1221">
        <f>+$F78*'Tariff Schedule'!E$52</f>
        <v>-1.599</v>
      </c>
      <c r="H81" s="75"/>
      <c r="I81" s="75"/>
      <c r="J81" s="75"/>
      <c r="K81" s="1306"/>
      <c r="L81" s="628"/>
      <c r="M81" s="628">
        <f>+$M$78*Assum!E127</f>
        <v>6.2753697377773004E-2</v>
      </c>
      <c r="N81" s="628"/>
      <c r="O81" s="628"/>
      <c r="P81" s="628"/>
      <c r="Q81" s="628">
        <f>+G81*M81/10</f>
        <v>-1.0034316210705902E-2</v>
      </c>
      <c r="R81" s="628"/>
      <c r="S81" s="628"/>
      <c r="T81" s="628"/>
      <c r="U81" s="628"/>
      <c r="V81" s="75"/>
      <c r="W81" s="628"/>
      <c r="X81" s="1221"/>
      <c r="Y81" s="75"/>
      <c r="Z81" s="1358"/>
    </row>
    <row r="82" spans="1:26" x14ac:dyDescent="0.4">
      <c r="A82" s="1339"/>
      <c r="B82" s="1360" t="s">
        <v>1549</v>
      </c>
      <c r="C82" s="75"/>
      <c r="D82" s="75"/>
      <c r="E82" s="75"/>
      <c r="F82" s="75"/>
      <c r="G82" s="1221">
        <f>+$F78*'Tariff Schedule'!E$55</f>
        <v>1.476</v>
      </c>
      <c r="H82" s="75"/>
      <c r="I82" s="75"/>
      <c r="J82" s="75"/>
      <c r="K82" s="1306"/>
      <c r="L82" s="628"/>
      <c r="M82" s="628">
        <f>+$M$78*Assum!E128</f>
        <v>5.4643160108045465E-2</v>
      </c>
      <c r="N82" s="628"/>
      <c r="O82" s="628"/>
      <c r="P82" s="628"/>
      <c r="Q82" s="628">
        <f>+G82*M82/10</f>
        <v>8.0653304319475115E-3</v>
      </c>
      <c r="R82" s="628"/>
      <c r="S82" s="628"/>
      <c r="T82" s="628"/>
      <c r="U82" s="628"/>
      <c r="V82" s="75"/>
      <c r="W82" s="628"/>
      <c r="X82" s="1221"/>
      <c r="Y82" s="75"/>
      <c r="Z82" s="1358"/>
    </row>
    <row r="83" spans="1:26" s="6" customFormat="1" ht="13.5" x14ac:dyDescent="0.35">
      <c r="A83" s="1364">
        <f>+'F13.2'!A83</f>
        <v>0.75</v>
      </c>
      <c r="B83" s="517" t="s">
        <v>1130</v>
      </c>
      <c r="C83" s="128">
        <f>+'F13.4'!C83</f>
        <v>3</v>
      </c>
      <c r="D83" s="128"/>
      <c r="E83" s="128">
        <f>+'Tariff Schedule'!F15</f>
        <v>600</v>
      </c>
      <c r="F83" s="1365">
        <f>+'Tariff Schedule'!M15</f>
        <v>11.93</v>
      </c>
      <c r="G83" s="128"/>
      <c r="H83" s="1365">
        <f>+'Tariff Schedule'!S15</f>
        <v>0.74</v>
      </c>
      <c r="I83" s="128"/>
      <c r="J83" s="128"/>
      <c r="K83" s="1336">
        <v>475</v>
      </c>
      <c r="L83" s="630">
        <f>+'F1 Non-SEZ'!N13</f>
        <v>0.94839049070883907</v>
      </c>
      <c r="M83" s="630">
        <f>+L83/Z83</f>
        <v>0.96774539868248888</v>
      </c>
      <c r="N83" s="630"/>
      <c r="O83" s="630">
        <f>(K83*E83)*12/10^7*A83</f>
        <v>0.25650000000000001</v>
      </c>
      <c r="P83" s="630">
        <f>(M83*F83)/10</f>
        <v>1.1545202606282092</v>
      </c>
      <c r="Q83" s="630">
        <f>SUM(Q84:Q87)</f>
        <v>-4.0664284481618809E-2</v>
      </c>
      <c r="R83" s="630">
        <f>(M83*H83)/10</f>
        <v>7.1613159502504173E-2</v>
      </c>
      <c r="S83" s="630"/>
      <c r="T83" s="630"/>
      <c r="U83" s="630">
        <f>SUM(N83:T83)</f>
        <v>1.4419691356490947</v>
      </c>
      <c r="V83" s="128"/>
      <c r="W83" s="630">
        <f>+U83+V83</f>
        <v>1.4419691356490947</v>
      </c>
      <c r="X83" s="1222">
        <f>IFERROR(W83/L83*10,0)</f>
        <v>15.204382053339112</v>
      </c>
      <c r="Y83" s="128"/>
      <c r="Z83" s="1366">
        <f>+'Tariff Schedule'!X15</f>
        <v>0.98</v>
      </c>
    </row>
    <row r="84" spans="1:26" x14ac:dyDescent="0.4">
      <c r="A84" s="1339"/>
      <c r="B84" s="1360" t="s">
        <v>1544</v>
      </c>
      <c r="C84" s="75"/>
      <c r="D84" s="75"/>
      <c r="E84" s="75"/>
      <c r="F84" s="75"/>
      <c r="G84" s="1221">
        <f>+$F83*'Tariff Schedule'!E$50</f>
        <v>0</v>
      </c>
      <c r="H84" s="75"/>
      <c r="I84" s="75"/>
      <c r="J84" s="75"/>
      <c r="K84" s="1306"/>
      <c r="L84" s="628"/>
      <c r="M84" s="628">
        <f>+$M$83*Assum!F125</f>
        <v>0.13629681166824961</v>
      </c>
      <c r="N84" s="628"/>
      <c r="O84" s="628"/>
      <c r="P84" s="628"/>
      <c r="Q84" s="628">
        <f>+G84*M84/10</f>
        <v>0</v>
      </c>
      <c r="R84" s="628"/>
      <c r="S84" s="628"/>
      <c r="T84" s="628"/>
      <c r="U84" s="628"/>
      <c r="V84" s="75"/>
      <c r="W84" s="628"/>
      <c r="X84" s="1221"/>
      <c r="Y84" s="75"/>
      <c r="Z84" s="1358"/>
    </row>
    <row r="85" spans="1:26" x14ac:dyDescent="0.4">
      <c r="A85" s="1339"/>
      <c r="B85" s="1360" t="s">
        <v>1545</v>
      </c>
      <c r="C85" s="75"/>
      <c r="D85" s="75"/>
      <c r="E85" s="75"/>
      <c r="F85" s="75"/>
      <c r="G85" s="1221">
        <f>+$F83*'Tariff Schedule'!E$51</f>
        <v>0</v>
      </c>
      <c r="H85" s="75"/>
      <c r="I85" s="75"/>
      <c r="J85" s="75"/>
      <c r="K85" s="1306"/>
      <c r="L85" s="628"/>
      <c r="M85" s="628">
        <f>+$M$83*Assum!F126</f>
        <v>0.13748130094871328</v>
      </c>
      <c r="N85" s="628"/>
      <c r="O85" s="628"/>
      <c r="P85" s="628"/>
      <c r="Q85" s="628">
        <f>+G85*M85/10</f>
        <v>0</v>
      </c>
      <c r="R85" s="628"/>
      <c r="S85" s="628"/>
      <c r="T85" s="628"/>
      <c r="U85" s="628"/>
      <c r="V85" s="75"/>
      <c r="W85" s="628"/>
      <c r="X85" s="1221"/>
      <c r="Y85" s="75"/>
      <c r="Z85" s="1358"/>
    </row>
    <row r="86" spans="1:26" x14ac:dyDescent="0.4">
      <c r="A86" s="1339"/>
      <c r="B86" s="1360" t="s">
        <v>1546</v>
      </c>
      <c r="C86" s="75"/>
      <c r="D86" s="75"/>
      <c r="E86" s="75"/>
      <c r="F86" s="75"/>
      <c r="G86" s="1221">
        <f>+$F83*'Tariff Schedule'!E$52</f>
        <v>-2.5848333333333335</v>
      </c>
      <c r="H86" s="75"/>
      <c r="I86" s="75"/>
      <c r="J86" s="75"/>
      <c r="K86" s="1306"/>
      <c r="L86" s="628"/>
      <c r="M86" s="628">
        <f>+$M$83*Assum!F127</f>
        <v>0.41491006659551377</v>
      </c>
      <c r="N86" s="628"/>
      <c r="O86" s="628"/>
      <c r="P86" s="628"/>
      <c r="Q86" s="628">
        <f>+G86*M86/10</f>
        <v>-0.10724733704716372</v>
      </c>
      <c r="R86" s="628"/>
      <c r="S86" s="628"/>
      <c r="T86" s="628"/>
      <c r="U86" s="628"/>
      <c r="V86" s="75"/>
      <c r="W86" s="628"/>
      <c r="X86" s="1221"/>
      <c r="Y86" s="75"/>
      <c r="Z86" s="1358"/>
    </row>
    <row r="87" spans="1:26" x14ac:dyDescent="0.4">
      <c r="A87" s="1339"/>
      <c r="B87" s="1360" t="s">
        <v>1549</v>
      </c>
      <c r="C87" s="75"/>
      <c r="D87" s="75"/>
      <c r="E87" s="75"/>
      <c r="F87" s="75"/>
      <c r="G87" s="1221">
        <f>+$F83*'Tariff Schedule'!E$55</f>
        <v>2.3860000000000001</v>
      </c>
      <c r="H87" s="75"/>
      <c r="I87" s="75"/>
      <c r="J87" s="75"/>
      <c r="K87" s="1306"/>
      <c r="L87" s="628"/>
      <c r="M87" s="628">
        <f>+$M$83*Assum!F128</f>
        <v>0.27905721947001216</v>
      </c>
      <c r="N87" s="628"/>
      <c r="O87" s="628"/>
      <c r="P87" s="628"/>
      <c r="Q87" s="628">
        <f>+G87*M87/10</f>
        <v>6.6583052565544906E-2</v>
      </c>
      <c r="R87" s="628"/>
      <c r="S87" s="628"/>
      <c r="T87" s="628"/>
      <c r="U87" s="628"/>
      <c r="V87" s="75"/>
      <c r="W87" s="628"/>
      <c r="X87" s="1221"/>
      <c r="Y87" s="75"/>
      <c r="Z87" s="1358"/>
    </row>
    <row r="88" spans="1:26"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2"/>
    </row>
    <row r="89" spans="1:26"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2"/>
    </row>
    <row r="90" spans="1:26" x14ac:dyDescent="0.4">
      <c r="B90" s="518" t="s">
        <v>162</v>
      </c>
      <c r="C90" s="128">
        <f>SUM(C78:C89)</f>
        <v>4</v>
      </c>
      <c r="D90" s="1309"/>
      <c r="E90" s="1309"/>
      <c r="F90" s="1309"/>
      <c r="G90" s="1309"/>
      <c r="H90" s="1309"/>
      <c r="I90" s="1309"/>
      <c r="J90" s="1309"/>
      <c r="K90" s="1336">
        <f>SUM(K78:K89)</f>
        <v>686</v>
      </c>
      <c r="L90" s="630">
        <f>+L78+L83</f>
        <v>1.1331894907088413</v>
      </c>
      <c r="M90" s="630">
        <f>+M78+M83</f>
        <v>1.1544110552481477</v>
      </c>
      <c r="N90" s="630">
        <f t="shared" ref="N90:W90" si="3">+N78+N83</f>
        <v>0</v>
      </c>
      <c r="O90" s="630">
        <f t="shared" si="3"/>
        <v>0.39322800000000002</v>
      </c>
      <c r="P90" s="630">
        <f t="shared" si="3"/>
        <v>1.2922795151736655</v>
      </c>
      <c r="Q90" s="630">
        <f t="shared" si="3"/>
        <v>-4.26332702603772E-2</v>
      </c>
      <c r="R90" s="630">
        <f t="shared" si="3"/>
        <v>8.5426418088362918E-2</v>
      </c>
      <c r="S90" s="630">
        <f t="shared" si="3"/>
        <v>0</v>
      </c>
      <c r="T90" s="630">
        <f t="shared" si="3"/>
        <v>0</v>
      </c>
      <c r="U90" s="630">
        <f t="shared" si="3"/>
        <v>1.7283006630016513</v>
      </c>
      <c r="V90" s="630">
        <f t="shared" si="3"/>
        <v>0</v>
      </c>
      <c r="W90" s="630">
        <f t="shared" si="3"/>
        <v>1.7283006630016513</v>
      </c>
      <c r="X90" s="1222">
        <f>IFERROR(W90/L90*10,0)</f>
        <v>15.251647470896959</v>
      </c>
      <c r="Y90" s="75"/>
      <c r="Z90" s="2"/>
    </row>
    <row r="91" spans="1:26"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2"/>
    </row>
    <row r="92" spans="1:26" s="6" customFormat="1" ht="13.5" x14ac:dyDescent="0.35">
      <c r="B92" s="1363" t="s">
        <v>1133</v>
      </c>
      <c r="C92" s="128"/>
      <c r="D92" s="128">
        <f>+'Tariff Schedule'!F16</f>
        <v>430</v>
      </c>
      <c r="E92" s="128"/>
      <c r="F92" s="128"/>
      <c r="G92" s="128"/>
      <c r="H92" s="128"/>
      <c r="I92" s="128"/>
      <c r="J92" s="128"/>
      <c r="K92" s="1336"/>
      <c r="L92" s="630">
        <f t="shared" ref="L92:W92" si="4">SUM(L93:L96)</f>
        <v>11.482487174405399</v>
      </c>
      <c r="M92" s="630">
        <f t="shared" si="4"/>
        <v>11.482487174405399</v>
      </c>
      <c r="N92" s="630">
        <f t="shared" si="4"/>
        <v>1.6935120000000001</v>
      </c>
      <c r="O92" s="630">
        <f t="shared" si="4"/>
        <v>0</v>
      </c>
      <c r="P92" s="630">
        <f t="shared" si="4"/>
        <v>12.594892935357628</v>
      </c>
      <c r="Q92" s="630">
        <f t="shared" si="4"/>
        <v>-0.18371979479048639</v>
      </c>
      <c r="R92" s="630">
        <f t="shared" si="4"/>
        <v>1.6879256146375936</v>
      </c>
      <c r="S92" s="630">
        <f t="shared" si="4"/>
        <v>0</v>
      </c>
      <c r="T92" s="630">
        <f t="shared" si="4"/>
        <v>0</v>
      </c>
      <c r="U92" s="630">
        <f t="shared" si="4"/>
        <v>15.792610755204732</v>
      </c>
      <c r="V92" s="630">
        <f t="shared" si="4"/>
        <v>0</v>
      </c>
      <c r="W92" s="630">
        <f t="shared" si="4"/>
        <v>15.792610755204732</v>
      </c>
      <c r="X92" s="1222">
        <f>IFERROR(W92/L92*10,0)</f>
        <v>13.753649810649604</v>
      </c>
      <c r="Y92" s="128"/>
      <c r="Z92" s="3"/>
    </row>
    <row r="93" spans="1:26" x14ac:dyDescent="0.4">
      <c r="B93" s="520" t="s">
        <v>1106</v>
      </c>
      <c r="C93" s="19">
        <f>+Assum!I173</f>
        <v>1883</v>
      </c>
      <c r="D93" s="75"/>
      <c r="E93" s="75"/>
      <c r="F93" s="1359">
        <f>+'Tariff Schedule'!M17</f>
        <v>3.64</v>
      </c>
      <c r="G93" s="1359">
        <f>+'Tariff Schedule'!$D$52</f>
        <v>-0.8</v>
      </c>
      <c r="H93" s="1359">
        <f>+'Tariff Schedule'!S17</f>
        <v>1.47</v>
      </c>
      <c r="I93" s="75"/>
      <c r="J93" s="75"/>
      <c r="K93" s="1306"/>
      <c r="L93" s="628">
        <f>+'F1 Non-SEZ'!N19</f>
        <v>2.6696019132438007</v>
      </c>
      <c r="M93" s="628">
        <f>+L93/Z93</f>
        <v>2.6696019132438007</v>
      </c>
      <c r="N93" s="628">
        <f>+C93*$D$92*12/10^7</f>
        <v>0.97162800000000005</v>
      </c>
      <c r="O93" s="628"/>
      <c r="P93" s="628">
        <f>+L93*F93/10</f>
        <v>0.97173509642074352</v>
      </c>
      <c r="Q93" s="628">
        <f>+L93*Assum!$G$127*G93/10</f>
        <v>-4.2713630611900817E-2</v>
      </c>
      <c r="R93" s="628">
        <f>(L93*H93)/10</f>
        <v>0.39243148124683869</v>
      </c>
      <c r="S93" s="628"/>
      <c r="T93" s="628"/>
      <c r="U93" s="628">
        <f>SUM(N93:T93)</f>
        <v>2.2930809470556812</v>
      </c>
      <c r="V93" s="75"/>
      <c r="W93" s="628">
        <f>+U93+V93</f>
        <v>2.2930809470556812</v>
      </c>
      <c r="X93" s="1221">
        <f>IFERROR(W93/L93*10,0)</f>
        <v>8.5895988299970405</v>
      </c>
      <c r="Y93" s="75"/>
      <c r="Z93" s="1358">
        <f>+'Tariff Schedule'!X17</f>
        <v>1</v>
      </c>
    </row>
    <row r="94" spans="1:26" x14ac:dyDescent="0.4">
      <c r="B94" s="520" t="s">
        <v>1107</v>
      </c>
      <c r="C94" s="19">
        <f>+Assum!I174</f>
        <v>731</v>
      </c>
      <c r="D94" s="75"/>
      <c r="E94" s="75"/>
      <c r="F94" s="1359">
        <f>+'Tariff Schedule'!M18</f>
        <v>9.44</v>
      </c>
      <c r="G94" s="1359">
        <f>+'Tariff Schedule'!$D$52</f>
        <v>-0.8</v>
      </c>
      <c r="H94" s="1359">
        <f>+'Tariff Schedule'!S18</f>
        <v>1.47</v>
      </c>
      <c r="I94" s="75"/>
      <c r="J94" s="75"/>
      <c r="K94" s="1306"/>
      <c r="L94" s="628">
        <f>+'F1 Non-SEZ'!N20</f>
        <v>2.5852110422015158</v>
      </c>
      <c r="M94" s="628">
        <f>+L94/Z94</f>
        <v>2.5852110422015158</v>
      </c>
      <c r="N94" s="628">
        <f>+C94*$D$92*12/10^7</f>
        <v>0.37719599999999998</v>
      </c>
      <c r="O94" s="628"/>
      <c r="P94" s="628">
        <f>+L94*F94/10</f>
        <v>2.4404392238382306</v>
      </c>
      <c r="Q94" s="628">
        <f>+L94*Assum!$G$127*G94/10</f>
        <v>-4.1363376675224252E-2</v>
      </c>
      <c r="R94" s="628">
        <f>(L94*H94)/10</f>
        <v>0.38002602320362283</v>
      </c>
      <c r="S94" s="628"/>
      <c r="T94" s="628"/>
      <c r="U94" s="628">
        <f>SUM(N94:T94)</f>
        <v>3.1562978703666293</v>
      </c>
      <c r="V94" s="75"/>
      <c r="W94" s="628">
        <f>+U94+V94</f>
        <v>3.1562978703666293</v>
      </c>
      <c r="X94" s="1221">
        <f>IFERROR(W94/L94*10,0)</f>
        <v>12.209053028331439</v>
      </c>
      <c r="Y94" s="75"/>
      <c r="Z94" s="1358">
        <f>+'Tariff Schedule'!X18</f>
        <v>1</v>
      </c>
    </row>
    <row r="95" spans="1:26" x14ac:dyDescent="0.4">
      <c r="B95" s="520" t="s">
        <v>1108</v>
      </c>
      <c r="C95" s="19">
        <f>+Assum!I175</f>
        <v>389</v>
      </c>
      <c r="D95" s="75"/>
      <c r="E95" s="75"/>
      <c r="F95" s="1359">
        <f>+'Tariff Schedule'!M19</f>
        <v>13.07</v>
      </c>
      <c r="G95" s="1359">
        <f>+'Tariff Schedule'!$D$52</f>
        <v>-0.8</v>
      </c>
      <c r="H95" s="1359">
        <f>+'Tariff Schedule'!S19</f>
        <v>1.47</v>
      </c>
      <c r="I95" s="75"/>
      <c r="J95" s="75"/>
      <c r="K95" s="1306"/>
      <c r="L95" s="628">
        <f>+'F1 Non-SEZ'!N21</f>
        <v>0.90548844897117453</v>
      </c>
      <c r="M95" s="628">
        <f>+L95/Z95</f>
        <v>0.90548844897117453</v>
      </c>
      <c r="N95" s="628">
        <f>+C95*$D$92*12/10^7</f>
        <v>0.20072400000000001</v>
      </c>
      <c r="O95" s="628"/>
      <c r="P95" s="628">
        <f>+L95*F95/10</f>
        <v>1.1834734028053251</v>
      </c>
      <c r="Q95" s="628">
        <f>+L95*Assum!$G$127*G95/10</f>
        <v>-1.4487815183538793E-2</v>
      </c>
      <c r="R95" s="628">
        <f>(L95*H95)/10</f>
        <v>0.13310680199876265</v>
      </c>
      <c r="S95" s="628"/>
      <c r="T95" s="628"/>
      <c r="U95" s="628">
        <f>SUM(N95:T95)</f>
        <v>1.5028163896205489</v>
      </c>
      <c r="V95" s="75"/>
      <c r="W95" s="628">
        <f>+U95+V95</f>
        <v>1.5028163896205489</v>
      </c>
      <c r="X95" s="1221">
        <f>IFERROR(W95/L95*10,0)</f>
        <v>16.596748322168711</v>
      </c>
      <c r="Y95" s="75"/>
      <c r="Z95" s="1358">
        <f>+'Tariff Schedule'!X19</f>
        <v>1</v>
      </c>
    </row>
    <row r="96" spans="1:26" x14ac:dyDescent="0.4">
      <c r="B96" s="520" t="s">
        <v>1109</v>
      </c>
      <c r="C96" s="19">
        <f>+Assum!I176</f>
        <v>279</v>
      </c>
      <c r="D96" s="75"/>
      <c r="E96" s="75"/>
      <c r="F96" s="1359">
        <f>+'Tariff Schedule'!M20</f>
        <v>15.03</v>
      </c>
      <c r="G96" s="1359">
        <f>+'Tariff Schedule'!$D$52</f>
        <v>-0.8</v>
      </c>
      <c r="H96" s="1359">
        <f>+'Tariff Schedule'!S20</f>
        <v>1.47</v>
      </c>
      <c r="I96" s="75"/>
      <c r="J96" s="75"/>
      <c r="K96" s="1306"/>
      <c r="L96" s="628">
        <f>+'F1 Non-SEZ'!N22</f>
        <v>5.3221857699889075</v>
      </c>
      <c r="M96" s="628">
        <f>+L96/Z96</f>
        <v>5.3221857699889075</v>
      </c>
      <c r="N96" s="628">
        <f>+C96*$D$92*12/10^7</f>
        <v>0.14396400000000001</v>
      </c>
      <c r="O96" s="628"/>
      <c r="P96" s="628">
        <f>+L96*F96/10</f>
        <v>7.9992452122933271</v>
      </c>
      <c r="Q96" s="628">
        <f>+L96*Assum!$G$127*G96/10</f>
        <v>-8.5154972319822525E-2</v>
      </c>
      <c r="R96" s="628">
        <f>(L96*H96)/10</f>
        <v>0.78236130818836935</v>
      </c>
      <c r="S96" s="628"/>
      <c r="T96" s="628"/>
      <c r="U96" s="628">
        <f>SUM(N96:T96)</f>
        <v>8.8404155481618734</v>
      </c>
      <c r="V96" s="75"/>
      <c r="W96" s="628">
        <f>+U96+V96</f>
        <v>8.8404155481618734</v>
      </c>
      <c r="X96" s="1221">
        <f>IFERROR(W96/L96*10,0)</f>
        <v>16.610497886059882</v>
      </c>
      <c r="Y96" s="75"/>
      <c r="Z96" s="1358">
        <f>+'Tariff Schedule'!X20</f>
        <v>1</v>
      </c>
    </row>
    <row r="97" spans="1:26" x14ac:dyDescent="0.4">
      <c r="B97" s="520" t="s">
        <v>1110</v>
      </c>
      <c r="C97" s="75"/>
      <c r="D97" s="75"/>
      <c r="E97" s="75"/>
      <c r="F97" s="75"/>
      <c r="G97" s="75"/>
      <c r="H97" s="75"/>
      <c r="I97" s="75"/>
      <c r="J97" s="75"/>
      <c r="K97" s="1306"/>
      <c r="L97" s="628"/>
      <c r="M97" s="628"/>
      <c r="N97" s="628"/>
      <c r="O97" s="628"/>
      <c r="P97" s="628"/>
      <c r="Q97" s="628"/>
      <c r="R97" s="628"/>
      <c r="S97" s="628"/>
      <c r="T97" s="628"/>
      <c r="U97" s="628"/>
      <c r="V97" s="75"/>
      <c r="W97" s="628"/>
      <c r="X97" s="75"/>
      <c r="Y97" s="75"/>
      <c r="Z97" s="2"/>
    </row>
    <row r="98" spans="1:26" s="6" customFormat="1" ht="25.5" x14ac:dyDescent="0.35">
      <c r="B98" s="1363" t="s">
        <v>1139</v>
      </c>
      <c r="C98" s="128"/>
      <c r="D98" s="128"/>
      <c r="E98" s="128"/>
      <c r="F98" s="128"/>
      <c r="G98" s="128"/>
      <c r="H98" s="128"/>
      <c r="I98" s="128"/>
      <c r="J98" s="128"/>
      <c r="K98" s="1336"/>
      <c r="L98" s="630">
        <f>+N99+N100+N105</f>
        <v>8.8608000000000006E-2</v>
      </c>
      <c r="M98" s="630">
        <f t="shared" ref="M98:R98" si="5">+M99+M100+M105</f>
        <v>1.4915834777634787</v>
      </c>
      <c r="N98" s="630">
        <f t="shared" si="5"/>
        <v>8.8608000000000006E-2</v>
      </c>
      <c r="O98" s="630">
        <f t="shared" si="5"/>
        <v>0.11415600000000001</v>
      </c>
      <c r="P98" s="630">
        <f t="shared" si="5"/>
        <v>1.5156383533725595</v>
      </c>
      <c r="Q98" s="630">
        <f t="shared" si="5"/>
        <v>-7.358191010401488E-2</v>
      </c>
      <c r="R98" s="630">
        <f t="shared" si="5"/>
        <v>0.20964578587092703</v>
      </c>
      <c r="S98" s="630"/>
      <c r="T98" s="630"/>
      <c r="U98" s="630">
        <f>+U99+U100+U105</f>
        <v>1.854466229139472</v>
      </c>
      <c r="V98" s="128"/>
      <c r="W98" s="630">
        <f>+W99+W100+W105</f>
        <v>1.854466229139472</v>
      </c>
      <c r="X98" s="1222">
        <f>IFERROR(W98/L98*10,0)</f>
        <v>209.28880339692486</v>
      </c>
      <c r="Y98" s="128"/>
      <c r="Z98" s="3"/>
    </row>
    <row r="99" spans="1:26" s="6" customFormat="1" x14ac:dyDescent="0.35">
      <c r="B99" s="1361" t="s">
        <v>1140</v>
      </c>
      <c r="C99" s="19">
        <f>+Assum!I186</f>
        <v>142</v>
      </c>
      <c r="D99" s="128">
        <f>+'Tariff Schedule'!F22</f>
        <v>520</v>
      </c>
      <c r="E99" s="128"/>
      <c r="F99" s="1365">
        <f>+'Tariff Schedule'!M22</f>
        <v>7.57</v>
      </c>
      <c r="G99" s="128"/>
      <c r="H99" s="1365">
        <f>+'Tariff Schedule'!S22</f>
        <v>1.47</v>
      </c>
      <c r="I99" s="128"/>
      <c r="J99" s="128"/>
      <c r="K99" s="1336"/>
      <c r="L99" s="630">
        <f>+'F1 Non-SEZ'!N25</f>
        <v>0.44849186019119414</v>
      </c>
      <c r="M99" s="630">
        <f>+L99/Z99</f>
        <v>0.45764475529713688</v>
      </c>
      <c r="N99" s="630">
        <f>+C99*D99*12/10^7</f>
        <v>8.8608000000000006E-2</v>
      </c>
      <c r="O99" s="630"/>
      <c r="P99" s="630">
        <f>+L99*F99/10</f>
        <v>0.33950833816473397</v>
      </c>
      <c r="Q99" s="630"/>
      <c r="R99" s="630">
        <f>(L99*H99)/10</f>
        <v>6.5928303448105546E-2</v>
      </c>
      <c r="S99" s="630"/>
      <c r="T99" s="630"/>
      <c r="U99" s="630">
        <f>SUM(N99:T99)</f>
        <v>0.49404464161283956</v>
      </c>
      <c r="V99" s="128"/>
      <c r="W99" s="630">
        <f>+U99+V99</f>
        <v>0.49404464161283956</v>
      </c>
      <c r="X99" s="1222">
        <f>IFERROR(W99/L99*10,0)</f>
        <v>11.015688030597168</v>
      </c>
      <c r="Y99" s="128"/>
      <c r="Z99" s="1366">
        <f>+'Tariff Schedule'!X22</f>
        <v>0.98</v>
      </c>
    </row>
    <row r="100" spans="1:26" s="6" customFormat="1" x14ac:dyDescent="0.35">
      <c r="A100" s="1364">
        <f>+'F13.2'!A100</f>
        <v>0.4</v>
      </c>
      <c r="B100" s="1361" t="s">
        <v>1144</v>
      </c>
      <c r="C100" s="19">
        <f>+Assum!I187</f>
        <v>9</v>
      </c>
      <c r="D100" s="128"/>
      <c r="E100" s="128">
        <f>+'Tariff Schedule'!F23</f>
        <v>525</v>
      </c>
      <c r="F100" s="1365">
        <f>+'Tariff Schedule'!M23</f>
        <v>10.91</v>
      </c>
      <c r="G100" s="128"/>
      <c r="H100" s="1365">
        <f>+'Tariff Schedule'!S23</f>
        <v>1.39</v>
      </c>
      <c r="I100" s="128"/>
      <c r="J100" s="128"/>
      <c r="K100" s="1336">
        <v>383</v>
      </c>
      <c r="L100" s="630">
        <f>+'F1 Non-SEZ'!N26</f>
        <v>0.78788731506757104</v>
      </c>
      <c r="M100" s="630">
        <f>+L100/Z100</f>
        <v>0.79697877666808115</v>
      </c>
      <c r="N100" s="630"/>
      <c r="O100" s="630">
        <f>(K100*E100)*12/10^7*A100</f>
        <v>9.6516000000000005E-2</v>
      </c>
      <c r="P100" s="630">
        <f>+M100*F100/10</f>
        <v>0.86950384534487646</v>
      </c>
      <c r="Q100" s="630">
        <f>SUM(Q101:Q104)</f>
        <v>-4.2754165881310299E-2</v>
      </c>
      <c r="R100" s="630">
        <f>(M100*H100)/10</f>
        <v>0.11078004995686327</v>
      </c>
      <c r="S100" s="630"/>
      <c r="T100" s="630"/>
      <c r="U100" s="630">
        <f>SUM(N100:T100)</f>
        <v>1.0340457294204295</v>
      </c>
      <c r="V100" s="128"/>
      <c r="W100" s="630">
        <f>+U100+V100</f>
        <v>1.0340457294204295</v>
      </c>
      <c r="X100" s="1222">
        <f>IFERROR(W100/L100*10,0)</f>
        <v>13.124284521978213</v>
      </c>
      <c r="Y100" s="128"/>
      <c r="Z100" s="1366">
        <f>+'Tariff Schedule'!X23</f>
        <v>0.98859259259259247</v>
      </c>
    </row>
    <row r="101" spans="1:26" x14ac:dyDescent="0.4">
      <c r="A101" s="1339"/>
      <c r="B101" s="1360" t="s">
        <v>1544</v>
      </c>
      <c r="C101" s="75"/>
      <c r="D101" s="75"/>
      <c r="E101" s="75"/>
      <c r="F101" s="75"/>
      <c r="G101" s="1221">
        <f>+$F100*'Tariff Schedule'!E$50</f>
        <v>0</v>
      </c>
      <c r="H101" s="75"/>
      <c r="I101" s="75"/>
      <c r="J101" s="75"/>
      <c r="K101" s="1306"/>
      <c r="L101" s="628"/>
      <c r="M101" s="628">
        <f>+$M$100*Assum!H125</f>
        <v>0.10689486116526668</v>
      </c>
      <c r="N101" s="628"/>
      <c r="O101" s="628"/>
      <c r="P101" s="628"/>
      <c r="Q101" s="628">
        <f>+G101*M101/10</f>
        <v>0</v>
      </c>
      <c r="R101" s="628"/>
      <c r="S101" s="628"/>
      <c r="T101" s="628"/>
      <c r="U101" s="628"/>
      <c r="V101" s="75"/>
      <c r="W101" s="628"/>
      <c r="X101" s="1221"/>
      <c r="Y101" s="75"/>
      <c r="Z101" s="1358"/>
    </row>
    <row r="102" spans="1:26" x14ac:dyDescent="0.4">
      <c r="A102" s="1339"/>
      <c r="B102" s="1360" t="s">
        <v>1545</v>
      </c>
      <c r="C102" s="75"/>
      <c r="D102" s="75"/>
      <c r="E102" s="75"/>
      <c r="F102" s="75"/>
      <c r="G102" s="1221">
        <f>+$F100*'Tariff Schedule'!E$51</f>
        <v>0</v>
      </c>
      <c r="H102" s="75"/>
      <c r="I102" s="75"/>
      <c r="J102" s="75"/>
      <c r="K102" s="1306"/>
      <c r="L102" s="628"/>
      <c r="M102" s="628">
        <f>+$M$100*Assum!H126</f>
        <v>0.1245106146183448</v>
      </c>
      <c r="N102" s="628"/>
      <c r="O102" s="628"/>
      <c r="P102" s="628"/>
      <c r="Q102" s="628">
        <f>+G102*M102/10</f>
        <v>0</v>
      </c>
      <c r="R102" s="628"/>
      <c r="S102" s="628"/>
      <c r="T102" s="628"/>
      <c r="U102" s="628"/>
      <c r="V102" s="75"/>
      <c r="W102" s="628"/>
      <c r="X102" s="1221"/>
      <c r="Y102" s="75"/>
      <c r="Z102" s="1358"/>
    </row>
    <row r="103" spans="1:26" x14ac:dyDescent="0.4">
      <c r="A103" s="1339"/>
      <c r="B103" s="1360" t="s">
        <v>1546</v>
      </c>
      <c r="C103" s="75"/>
      <c r="D103" s="75"/>
      <c r="E103" s="75"/>
      <c r="F103" s="75"/>
      <c r="G103" s="1221">
        <f>+$F100*'Tariff Schedule'!E$52</f>
        <v>-2.3638333333333335</v>
      </c>
      <c r="H103" s="75"/>
      <c r="I103" s="75"/>
      <c r="J103" s="75"/>
      <c r="K103" s="1306"/>
      <c r="L103" s="628"/>
      <c r="M103" s="628">
        <f>+$M$100*Assum!H127</f>
        <v>0.36552651175281742</v>
      </c>
      <c r="N103" s="628"/>
      <c r="O103" s="628"/>
      <c r="P103" s="628"/>
      <c r="Q103" s="628">
        <f>+G103*M103/10</f>
        <v>-8.6404375269836825E-2</v>
      </c>
      <c r="R103" s="628"/>
      <c r="S103" s="628"/>
      <c r="T103" s="628"/>
      <c r="U103" s="628"/>
      <c r="V103" s="75"/>
      <c r="W103" s="628"/>
      <c r="X103" s="1221"/>
      <c r="Y103" s="75"/>
      <c r="Z103" s="1358"/>
    </row>
    <row r="104" spans="1:26" x14ac:dyDescent="0.4">
      <c r="A104" s="1339"/>
      <c r="B104" s="1360" t="s">
        <v>1549</v>
      </c>
      <c r="C104" s="75"/>
      <c r="D104" s="75"/>
      <c r="E104" s="75"/>
      <c r="F104" s="75"/>
      <c r="G104" s="1221">
        <f>+$F100*'Tariff Schedule'!E$55</f>
        <v>2.1819999999999999</v>
      </c>
      <c r="H104" s="75"/>
      <c r="I104" s="75"/>
      <c r="J104" s="75"/>
      <c r="K104" s="1306"/>
      <c r="L104" s="628"/>
      <c r="M104" s="628">
        <f>+$M$100*Assum!H128</f>
        <v>0.2000467891316523</v>
      </c>
      <c r="N104" s="628"/>
      <c r="O104" s="628"/>
      <c r="P104" s="628"/>
      <c r="Q104" s="628">
        <f>+G104*M104/10</f>
        <v>4.3650209388526526E-2</v>
      </c>
      <c r="R104" s="628"/>
      <c r="S104" s="628"/>
      <c r="T104" s="628"/>
      <c r="U104" s="628"/>
      <c r="V104" s="75"/>
      <c r="W104" s="628"/>
      <c r="X104" s="1221"/>
      <c r="Y104" s="75"/>
      <c r="Z104" s="1358"/>
    </row>
    <row r="105" spans="1:26" s="6" customFormat="1" x14ac:dyDescent="0.35">
      <c r="A105" s="1364">
        <f>+'F13.2'!A105</f>
        <v>0.4</v>
      </c>
      <c r="B105" s="1361" t="s">
        <v>1143</v>
      </c>
      <c r="C105" s="19">
        <f>+Assum!I188</f>
        <v>1</v>
      </c>
      <c r="D105" s="128"/>
      <c r="E105" s="128">
        <f>+'Tariff Schedule'!F24</f>
        <v>525</v>
      </c>
      <c r="F105" s="1365">
        <f>+'Tariff Schedule'!M24</f>
        <v>12.94</v>
      </c>
      <c r="G105" s="128"/>
      <c r="H105" s="1365">
        <f>+'Tariff Schedule'!S24</f>
        <v>1.39</v>
      </c>
      <c r="I105" s="128"/>
      <c r="J105" s="128"/>
      <c r="K105" s="1336">
        <v>70</v>
      </c>
      <c r="L105" s="630">
        <f>+'F1 Non-SEZ'!N27</f>
        <v>0.23462983966457771</v>
      </c>
      <c r="M105" s="630">
        <f>+L105/Z105</f>
        <v>0.23695994579826057</v>
      </c>
      <c r="N105" s="630"/>
      <c r="O105" s="630">
        <f>(K105*E105)*12/10^7*A105</f>
        <v>1.7639999999999999E-2</v>
      </c>
      <c r="P105" s="630">
        <f>+M105*F105/10</f>
        <v>0.30662616986294916</v>
      </c>
      <c r="Q105" s="630">
        <f>SUM(Q106:Q109)</f>
        <v>-3.0827744222704581E-2</v>
      </c>
      <c r="R105" s="630">
        <f>(M105*H105)/10</f>
        <v>3.2937432465958219E-2</v>
      </c>
      <c r="S105" s="630"/>
      <c r="T105" s="630"/>
      <c r="U105" s="630">
        <f>SUM(N105:T105)</f>
        <v>0.32637585810620279</v>
      </c>
      <c r="V105" s="128"/>
      <c r="W105" s="630">
        <f>+U105+V105</f>
        <v>0.32637585810620279</v>
      </c>
      <c r="X105" s="1222">
        <f>IFERROR(W105/L105*10,0)</f>
        <v>13.910245115147477</v>
      </c>
      <c r="Y105" s="128"/>
      <c r="Z105" s="1366">
        <f>+'Tariff Schedule'!X24</f>
        <v>0.99016666666666675</v>
      </c>
    </row>
    <row r="106" spans="1:26" x14ac:dyDescent="0.4">
      <c r="A106" s="1339"/>
      <c r="B106" s="1360" t="s">
        <v>1544</v>
      </c>
      <c r="C106" s="75"/>
      <c r="D106" s="75"/>
      <c r="E106" s="75"/>
      <c r="F106" s="75"/>
      <c r="G106" s="1221">
        <f>+$F105*'Tariff Schedule'!E$50</f>
        <v>0</v>
      </c>
      <c r="H106" s="75"/>
      <c r="I106" s="75"/>
      <c r="J106" s="75"/>
      <c r="K106" s="1306"/>
      <c r="L106" s="628"/>
      <c r="M106" s="628">
        <f>+$M$105*Assum!I125</f>
        <v>1.7049008422952924E-2</v>
      </c>
      <c r="N106" s="628"/>
      <c r="O106" s="628"/>
      <c r="P106" s="628"/>
      <c r="Q106" s="628">
        <f>+G106*M106/10</f>
        <v>0</v>
      </c>
      <c r="R106" s="628"/>
      <c r="S106" s="628"/>
      <c r="T106" s="628"/>
      <c r="U106" s="628"/>
      <c r="V106" s="75"/>
      <c r="W106" s="628"/>
      <c r="X106" s="1221"/>
      <c r="Y106" s="75"/>
      <c r="Z106" s="1358"/>
    </row>
    <row r="107" spans="1:26" x14ac:dyDescent="0.4">
      <c r="A107" s="1339"/>
      <c r="B107" s="1360" t="s">
        <v>1545</v>
      </c>
      <c r="C107" s="75"/>
      <c r="D107" s="75"/>
      <c r="E107" s="75"/>
      <c r="F107" s="75"/>
      <c r="G107" s="1221">
        <f>+$F105*'Tariff Schedule'!E$51</f>
        <v>0</v>
      </c>
      <c r="H107" s="75"/>
      <c r="I107" s="75"/>
      <c r="J107" s="75"/>
      <c r="K107" s="1306"/>
      <c r="L107" s="628"/>
      <c r="M107" s="628">
        <f>+$M$105*Assum!I126</f>
        <v>4.5657217286350381E-2</v>
      </c>
      <c r="N107" s="628"/>
      <c r="O107" s="628"/>
      <c r="P107" s="628"/>
      <c r="Q107" s="628">
        <f>+G107*M107/10</f>
        <v>0</v>
      </c>
      <c r="R107" s="628"/>
      <c r="S107" s="628"/>
      <c r="T107" s="628"/>
      <c r="U107" s="628"/>
      <c r="V107" s="75"/>
      <c r="W107" s="628"/>
      <c r="X107" s="1221"/>
      <c r="Y107" s="75"/>
      <c r="Z107" s="1358"/>
    </row>
    <row r="108" spans="1:26" x14ac:dyDescent="0.4">
      <c r="A108" s="1339"/>
      <c r="B108" s="1360" t="s">
        <v>1546</v>
      </c>
      <c r="C108" s="75"/>
      <c r="D108" s="75"/>
      <c r="E108" s="75"/>
      <c r="F108" s="75"/>
      <c r="G108" s="1221">
        <f>+$F105*'Tariff Schedule'!E$52</f>
        <v>-2.8036666666666665</v>
      </c>
      <c r="H108" s="75"/>
      <c r="I108" s="75"/>
      <c r="J108" s="75"/>
      <c r="K108" s="1306"/>
      <c r="L108" s="628"/>
      <c r="M108" s="628">
        <f>+$M$105*Assum!I127</f>
        <v>0.14081843644215158</v>
      </c>
      <c r="N108" s="628"/>
      <c r="O108" s="628"/>
      <c r="P108" s="628"/>
      <c r="Q108" s="628">
        <f>+G108*M108/10</f>
        <v>-3.9480795630497896E-2</v>
      </c>
      <c r="R108" s="628"/>
      <c r="S108" s="628"/>
      <c r="T108" s="628"/>
      <c r="U108" s="628"/>
      <c r="V108" s="75"/>
      <c r="W108" s="628"/>
      <c r="X108" s="1221"/>
      <c r="Y108" s="75"/>
      <c r="Z108" s="1358"/>
    </row>
    <row r="109" spans="1:26" x14ac:dyDescent="0.4">
      <c r="A109" s="1339"/>
      <c r="B109" s="1360" t="s">
        <v>1549</v>
      </c>
      <c r="C109" s="75"/>
      <c r="D109" s="75"/>
      <c r="E109" s="75"/>
      <c r="F109" s="75"/>
      <c r="G109" s="1221">
        <f>+$F105*'Tariff Schedule'!E$55</f>
        <v>2.5880000000000001</v>
      </c>
      <c r="H109" s="75"/>
      <c r="I109" s="75"/>
      <c r="J109" s="75"/>
      <c r="K109" s="1306"/>
      <c r="L109" s="628"/>
      <c r="M109" s="628">
        <f>+$M$105*Assum!I128</f>
        <v>3.3435283646805695E-2</v>
      </c>
      <c r="N109" s="628"/>
      <c r="O109" s="628"/>
      <c r="P109" s="628"/>
      <c r="Q109" s="628">
        <f>+G109*M109/10</f>
        <v>8.6530514077933149E-3</v>
      </c>
      <c r="R109" s="628"/>
      <c r="S109" s="628"/>
      <c r="T109" s="628"/>
      <c r="U109" s="628"/>
      <c r="V109" s="75"/>
      <c r="W109" s="628"/>
      <c r="X109" s="1221"/>
      <c r="Y109" s="75"/>
      <c r="Z109" s="1358"/>
    </row>
    <row r="110" spans="1:26" s="6" customFormat="1" ht="38.25" x14ac:dyDescent="0.35">
      <c r="A110" s="1364">
        <f>+'F13.2'!A110</f>
        <v>0.4</v>
      </c>
      <c r="B110" s="1363" t="s">
        <v>1111</v>
      </c>
      <c r="C110" s="128">
        <f>+'F13.4'!C110</f>
        <v>2</v>
      </c>
      <c r="D110" s="128"/>
      <c r="E110" s="128">
        <f>+'Tariff Schedule'!F31</f>
        <v>200</v>
      </c>
      <c r="F110" s="1365">
        <f>+'Tariff Schedule'!M31</f>
        <v>6.94</v>
      </c>
      <c r="G110" s="128"/>
      <c r="H110" s="1365">
        <f>+'Tariff Schedule'!S31</f>
        <v>1.39</v>
      </c>
      <c r="I110" s="128"/>
      <c r="J110" s="128"/>
      <c r="K110" s="1336">
        <v>160</v>
      </c>
      <c r="L110" s="630">
        <f>+'F1 Non-SEZ'!N28</f>
        <v>1.3066235324399273</v>
      </c>
      <c r="M110" s="630">
        <f>+L110/Z110</f>
        <v>1.3332893188162525</v>
      </c>
      <c r="N110" s="630"/>
      <c r="O110" s="630">
        <f>(K110*E110)*12/10^7*A110</f>
        <v>1.5359999999999999E-2</v>
      </c>
      <c r="P110" s="630">
        <f>+M110*F110/10</f>
        <v>0.92530278725847936</v>
      </c>
      <c r="Q110" s="630">
        <f>SUM(Q111:Q114)</f>
        <v>-1.8746651866091216E-2</v>
      </c>
      <c r="R110" s="630">
        <f>(M110*H110)/10</f>
        <v>0.18532721531545909</v>
      </c>
      <c r="S110" s="630"/>
      <c r="T110" s="630"/>
      <c r="U110" s="630">
        <f>SUM(N110:T110)</f>
        <v>1.1072433507078472</v>
      </c>
      <c r="V110" s="128"/>
      <c r="W110" s="630">
        <f>+U110+V110</f>
        <v>1.1072433507078472</v>
      </c>
      <c r="X110" s="1222">
        <f>IFERROR(W110/L110*10,0)</f>
        <v>8.4740808903099509</v>
      </c>
      <c r="Y110" s="128"/>
      <c r="Z110" s="1366">
        <f>+'Tariff Schedule'!X35</f>
        <v>0.98</v>
      </c>
    </row>
    <row r="111" spans="1:26" x14ac:dyDescent="0.4">
      <c r="A111" s="1339"/>
      <c r="B111" s="1360" t="s">
        <v>1544</v>
      </c>
      <c r="C111" s="75"/>
      <c r="D111" s="75"/>
      <c r="E111" s="75"/>
      <c r="F111" s="75"/>
      <c r="G111" s="1221">
        <f>+$F110*'Tariff Schedule'!E$50</f>
        <v>0</v>
      </c>
      <c r="H111" s="75"/>
      <c r="I111" s="75"/>
      <c r="J111" s="75"/>
      <c r="K111" s="1306"/>
      <c r="L111" s="628"/>
      <c r="M111" s="628">
        <f>+$M$110*Assum!J125</f>
        <v>0.29222929144053827</v>
      </c>
      <c r="N111" s="628"/>
      <c r="O111" s="628"/>
      <c r="P111" s="628"/>
      <c r="Q111" s="628">
        <f>+G111*M111/10</f>
        <v>0</v>
      </c>
      <c r="R111" s="628"/>
      <c r="S111" s="628"/>
      <c r="T111" s="628"/>
      <c r="U111" s="628"/>
      <c r="V111" s="75"/>
      <c r="W111" s="628"/>
      <c r="X111" s="1221"/>
      <c r="Y111" s="75"/>
      <c r="Z111" s="1358"/>
    </row>
    <row r="112" spans="1:26" x14ac:dyDescent="0.4">
      <c r="A112" s="1339"/>
      <c r="B112" s="1360" t="s">
        <v>1545</v>
      </c>
      <c r="C112" s="75"/>
      <c r="D112" s="75"/>
      <c r="E112" s="75"/>
      <c r="F112" s="75"/>
      <c r="G112" s="1221">
        <f>+$F110*'Tariff Schedule'!E$51</f>
        <v>0</v>
      </c>
      <c r="H112" s="75"/>
      <c r="I112" s="75"/>
      <c r="J112" s="75"/>
      <c r="K112" s="1306"/>
      <c r="L112" s="628"/>
      <c r="M112" s="628">
        <f>+$M$110*Assum!J126</f>
        <v>0.17520611062233291</v>
      </c>
      <c r="N112" s="628"/>
      <c r="O112" s="628"/>
      <c r="P112" s="628"/>
      <c r="Q112" s="628">
        <f>+G112*M112/10</f>
        <v>0</v>
      </c>
      <c r="R112" s="628"/>
      <c r="S112" s="628"/>
      <c r="T112" s="628"/>
      <c r="U112" s="628"/>
      <c r="V112" s="75"/>
      <c r="W112" s="628"/>
      <c r="X112" s="1221"/>
      <c r="Y112" s="75"/>
      <c r="Z112" s="1358"/>
    </row>
    <row r="113" spans="1:26" x14ac:dyDescent="0.4">
      <c r="A113" s="1339"/>
      <c r="B113" s="1360" t="s">
        <v>1546</v>
      </c>
      <c r="C113" s="75"/>
      <c r="D113" s="75"/>
      <c r="E113" s="75"/>
      <c r="F113" s="75"/>
      <c r="G113" s="1221">
        <f>+$F110*'Tariff Schedule'!E$52</f>
        <v>-1.5036666666666667</v>
      </c>
      <c r="H113" s="75"/>
      <c r="I113" s="75"/>
      <c r="J113" s="75"/>
      <c r="K113" s="1306"/>
      <c r="L113" s="628"/>
      <c r="M113" s="628">
        <f>+$M$110*Assum!J127</f>
        <v>0.48043980003963294</v>
      </c>
      <c r="N113" s="628"/>
      <c r="O113" s="628"/>
      <c r="P113" s="628"/>
      <c r="Q113" s="628">
        <f>+G113*M113/10</f>
        <v>-7.2242131265959478E-2</v>
      </c>
      <c r="R113" s="628"/>
      <c r="S113" s="628"/>
      <c r="T113" s="628"/>
      <c r="U113" s="628"/>
      <c r="V113" s="75"/>
      <c r="W113" s="628"/>
      <c r="X113" s="1221"/>
      <c r="Y113" s="75"/>
      <c r="Z113" s="1358"/>
    </row>
    <row r="114" spans="1:26" x14ac:dyDescent="0.4">
      <c r="A114" s="1339"/>
      <c r="B114" s="1360" t="s">
        <v>1549</v>
      </c>
      <c r="C114" s="75"/>
      <c r="D114" s="75"/>
      <c r="E114" s="75"/>
      <c r="F114" s="75"/>
      <c r="G114" s="1221">
        <f>+$F110*'Tariff Schedule'!E$55</f>
        <v>1.3880000000000001</v>
      </c>
      <c r="H114" s="75"/>
      <c r="I114" s="75"/>
      <c r="J114" s="75"/>
      <c r="K114" s="1306"/>
      <c r="L114" s="628"/>
      <c r="M114" s="628">
        <f>+$M$110*Assum!J128</f>
        <v>0.38541411671374826</v>
      </c>
      <c r="N114" s="628"/>
      <c r="O114" s="628"/>
      <c r="P114" s="628"/>
      <c r="Q114" s="628">
        <f>+G114*M114/10</f>
        <v>5.3495479399868262E-2</v>
      </c>
      <c r="R114" s="628"/>
      <c r="S114" s="628"/>
      <c r="T114" s="628"/>
      <c r="U114" s="628"/>
      <c r="V114" s="75"/>
      <c r="W114" s="628"/>
      <c r="X114" s="1221"/>
      <c r="Y114" s="75"/>
      <c r="Z114" s="1358"/>
    </row>
    <row r="115" spans="1:26" s="6" customFormat="1" ht="25.5" x14ac:dyDescent="0.35">
      <c r="B115" s="1363" t="s">
        <v>1135</v>
      </c>
      <c r="C115" s="128">
        <f>+'F13.4'!C115</f>
        <v>1</v>
      </c>
      <c r="D115" s="128">
        <f>+'Tariff Schedule'!F26</f>
        <v>600</v>
      </c>
      <c r="E115" s="128"/>
      <c r="F115" s="1365">
        <f>+'Tariff Schedule'!M26</f>
        <v>5.43</v>
      </c>
      <c r="G115" s="128"/>
      <c r="H115" s="1365">
        <f>+'Tariff Schedule'!S26</f>
        <v>1.47</v>
      </c>
      <c r="I115" s="128"/>
      <c r="J115" s="128"/>
      <c r="K115" s="1336">
        <v>19</v>
      </c>
      <c r="L115" s="630">
        <f>+'F1 Non-SEZ'!N29</f>
        <v>3.4102041125982731E-2</v>
      </c>
      <c r="M115" s="630">
        <f>+L115/Z115</f>
        <v>3.479800114896197E-2</v>
      </c>
      <c r="N115" s="630">
        <f>+C115*D115*12/10^7</f>
        <v>7.2000000000000005E-4</v>
      </c>
      <c r="O115" s="630"/>
      <c r="P115" s="630">
        <f>+L115*F115/10</f>
        <v>1.8517408331408622E-2</v>
      </c>
      <c r="Q115" s="630"/>
      <c r="R115" s="630">
        <f>(L115*H115)/10</f>
        <v>5.0130000455194616E-3</v>
      </c>
      <c r="S115" s="630"/>
      <c r="T115" s="630"/>
      <c r="U115" s="630">
        <f>SUM(N115:T115)</f>
        <v>2.425040837692808E-2</v>
      </c>
      <c r="V115" s="128"/>
      <c r="W115" s="630">
        <f>+U115+V115</f>
        <v>2.425040837692808E-2</v>
      </c>
      <c r="X115" s="1222">
        <f>IFERROR(W115/L115*10,0)</f>
        <v>7.1111310573288291</v>
      </c>
      <c r="Y115" s="128"/>
      <c r="Z115" s="1366">
        <f>+'Tariff Schedule'!X26</f>
        <v>0.98</v>
      </c>
    </row>
    <row r="116" spans="1:26"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3"/>
    </row>
    <row r="117" spans="1:26" s="6" customFormat="1" ht="25.5" x14ac:dyDescent="0.35">
      <c r="A117" s="1364">
        <f>+'F13.2'!A117</f>
        <v>0.4</v>
      </c>
      <c r="B117" s="1363" t="s">
        <v>1142</v>
      </c>
      <c r="C117" s="128">
        <f>+'F13.4'!C117</f>
        <v>10</v>
      </c>
      <c r="D117" s="128"/>
      <c r="E117" s="128">
        <f>+'Tariff Schedule'!E36</f>
        <v>80</v>
      </c>
      <c r="F117" s="1365">
        <f>+'Tariff Schedule'!M36</f>
        <v>6.48</v>
      </c>
      <c r="G117" s="128"/>
      <c r="H117" s="1365">
        <f>+'Tariff Schedule'!S36</f>
        <v>1.39</v>
      </c>
      <c r="I117" s="128"/>
      <c r="J117" s="128"/>
      <c r="K117" s="1336">
        <v>105</v>
      </c>
      <c r="L117" s="630">
        <f>+'F1 Non-SEZ'!N31</f>
        <v>2.7184414709071562E-2</v>
      </c>
      <c r="M117" s="630">
        <f>+L117/Z117</f>
        <v>2.7412855168811662E-2</v>
      </c>
      <c r="N117" s="630"/>
      <c r="O117" s="630">
        <f>(K117*E117)*12/10^7*A117</f>
        <v>4.032E-3</v>
      </c>
      <c r="P117" s="630">
        <f>+M117*F117/10</f>
        <v>1.7763530149389958E-2</v>
      </c>
      <c r="Q117" s="630">
        <f>SUM(Q118:Q121)</f>
        <v>1.6700466276911206E-4</v>
      </c>
      <c r="R117" s="630">
        <f>(M117*H117)/10</f>
        <v>3.8103868684648207E-3</v>
      </c>
      <c r="S117" s="630"/>
      <c r="T117" s="630"/>
      <c r="U117" s="630">
        <f>SUM(N117:T117)</f>
        <v>2.5772921680623891E-2</v>
      </c>
      <c r="V117" s="128"/>
      <c r="W117" s="630">
        <f>+U117+V117</f>
        <v>2.5772921680623891E-2</v>
      </c>
      <c r="X117" s="1222">
        <f>IFERROR(W117/L117*10,0)</f>
        <v>9.4807712273545306</v>
      </c>
      <c r="Y117" s="128"/>
      <c r="Z117" s="1366">
        <f>+'Tariff Schedule'!X36</f>
        <v>0.99166666666666659</v>
      </c>
    </row>
    <row r="118" spans="1:26" x14ac:dyDescent="0.4">
      <c r="A118" s="1339"/>
      <c r="B118" s="1360" t="s">
        <v>1544</v>
      </c>
      <c r="C118" s="75"/>
      <c r="D118" s="75"/>
      <c r="E118" s="75"/>
      <c r="F118" s="75"/>
      <c r="G118" s="1221">
        <f>+$F117*'Tariff Schedule'!E$50</f>
        <v>0</v>
      </c>
      <c r="H118" s="75"/>
      <c r="I118" s="75"/>
      <c r="J118" s="75"/>
      <c r="K118" s="1306"/>
      <c r="L118" s="628"/>
      <c r="M118" s="628">
        <f>+$M$117*Assum!K125</f>
        <v>1.1060375292370314E-2</v>
      </c>
      <c r="N118" s="628"/>
      <c r="O118" s="628"/>
      <c r="P118" s="628"/>
      <c r="Q118" s="628">
        <f>+G118*M118/10</f>
        <v>0</v>
      </c>
      <c r="R118" s="628"/>
      <c r="S118" s="628"/>
      <c r="T118" s="628"/>
      <c r="U118" s="628"/>
      <c r="V118" s="75"/>
      <c r="W118" s="628"/>
      <c r="X118" s="1221"/>
      <c r="Y118" s="75"/>
      <c r="Z118" s="1358"/>
    </row>
    <row r="119" spans="1:26" x14ac:dyDescent="0.4">
      <c r="A119" s="1339"/>
      <c r="B119" s="1360" t="s">
        <v>1545</v>
      </c>
      <c r="C119" s="75"/>
      <c r="D119" s="75"/>
      <c r="E119" s="75"/>
      <c r="F119" s="75"/>
      <c r="G119" s="1221">
        <f>+$F117*'Tariff Schedule'!E$51</f>
        <v>0</v>
      </c>
      <c r="H119" s="75"/>
      <c r="I119" s="75"/>
      <c r="J119" s="75"/>
      <c r="K119" s="1306"/>
      <c r="L119" s="628"/>
      <c r="M119" s="628">
        <f>+$M$117*Assum!K126</f>
        <v>2.105348875528882E-3</v>
      </c>
      <c r="N119" s="628"/>
      <c r="O119" s="628"/>
      <c r="P119" s="628"/>
      <c r="Q119" s="628">
        <f>+G119*M119/10</f>
        <v>0</v>
      </c>
      <c r="R119" s="628"/>
      <c r="S119" s="628"/>
      <c r="T119" s="628"/>
      <c r="U119" s="628"/>
      <c r="V119" s="75"/>
      <c r="W119" s="628"/>
      <c r="X119" s="1221"/>
      <c r="Y119" s="75"/>
      <c r="Z119" s="1358"/>
    </row>
    <row r="120" spans="1:26" x14ac:dyDescent="0.4">
      <c r="A120" s="1339"/>
      <c r="B120" s="1360" t="s">
        <v>1546</v>
      </c>
      <c r="C120" s="75"/>
      <c r="D120" s="75"/>
      <c r="E120" s="75"/>
      <c r="F120" s="75"/>
      <c r="G120" s="1221">
        <f>+$F117*'Tariff Schedule'!E$52</f>
        <v>-1.4040000000000001</v>
      </c>
      <c r="H120" s="75"/>
      <c r="I120" s="75"/>
      <c r="J120" s="75"/>
      <c r="K120" s="1306"/>
      <c r="L120" s="628"/>
      <c r="M120" s="628">
        <f>+$M$117*Assum!K127</f>
        <v>6.2200870924042353E-3</v>
      </c>
      <c r="N120" s="628"/>
      <c r="O120" s="628"/>
      <c r="P120" s="628"/>
      <c r="Q120" s="628">
        <f>+G120*M120/10</f>
        <v>-8.7330022777355461E-4</v>
      </c>
      <c r="R120" s="628"/>
      <c r="S120" s="628"/>
      <c r="T120" s="628"/>
      <c r="U120" s="628"/>
      <c r="V120" s="75"/>
      <c r="W120" s="628"/>
      <c r="X120" s="1221"/>
      <c r="Y120" s="75"/>
      <c r="Z120" s="1358"/>
    </row>
    <row r="121" spans="1:26" x14ac:dyDescent="0.4">
      <c r="A121" s="1339"/>
      <c r="B121" s="1360" t="s">
        <v>1549</v>
      </c>
      <c r="C121" s="75"/>
      <c r="D121" s="75"/>
      <c r="E121" s="75"/>
      <c r="F121" s="75"/>
      <c r="G121" s="1221">
        <f>+$F117*'Tariff Schedule'!E$55</f>
        <v>1.2960000000000003</v>
      </c>
      <c r="H121" s="75"/>
      <c r="I121" s="75"/>
      <c r="J121" s="75"/>
      <c r="K121" s="1306"/>
      <c r="L121" s="628"/>
      <c r="M121" s="628">
        <f>+$M$117*Assum!K128</f>
        <v>8.0270439085082298E-3</v>
      </c>
      <c r="N121" s="628"/>
      <c r="O121" s="628"/>
      <c r="P121" s="628"/>
      <c r="Q121" s="628">
        <f>+G121*M121/10</f>
        <v>1.0403048905426667E-3</v>
      </c>
      <c r="R121" s="628"/>
      <c r="S121" s="628"/>
      <c r="T121" s="628"/>
      <c r="U121" s="628"/>
      <c r="V121" s="75"/>
      <c r="W121" s="628"/>
      <c r="X121" s="1221"/>
      <c r="Y121" s="75"/>
      <c r="Z121" s="1358"/>
    </row>
    <row r="122" spans="1:26" x14ac:dyDescent="0.4">
      <c r="B122" s="518" t="s">
        <v>162</v>
      </c>
      <c r="C122" s="1308">
        <f>SUM(C93:C117)</f>
        <v>3447</v>
      </c>
      <c r="D122" s="1310"/>
      <c r="E122" s="1310"/>
      <c r="F122" s="1310"/>
      <c r="G122" s="1310"/>
      <c r="H122" s="1310"/>
      <c r="I122" s="1310"/>
      <c r="J122" s="1310"/>
      <c r="K122" s="1336">
        <f>+K100+K105+K110+K115+K117</f>
        <v>737</v>
      </c>
      <c r="L122" s="630">
        <f t="shared" ref="L122:W122" si="6">+L92+L99+L100+L105+L110+L115+L117</f>
        <v>14.321406177603723</v>
      </c>
      <c r="M122" s="630">
        <f t="shared" si="6"/>
        <v>14.369570827302905</v>
      </c>
      <c r="N122" s="630">
        <f t="shared" si="6"/>
        <v>1.7828400000000002</v>
      </c>
      <c r="O122" s="630">
        <f t="shared" si="6"/>
        <v>0.13354800000000003</v>
      </c>
      <c r="P122" s="630">
        <f t="shared" si="6"/>
        <v>15.072115014469466</v>
      </c>
      <c r="Q122" s="630">
        <f t="shared" si="6"/>
        <v>-0.27588135209782338</v>
      </c>
      <c r="R122" s="630">
        <f t="shared" si="6"/>
        <v>2.0917220027379639</v>
      </c>
      <c r="S122" s="630">
        <f t="shared" si="6"/>
        <v>0</v>
      </c>
      <c r="T122" s="630">
        <f t="shared" si="6"/>
        <v>0</v>
      </c>
      <c r="U122" s="630">
        <f t="shared" si="6"/>
        <v>18.804343665109606</v>
      </c>
      <c r="V122" s="630">
        <f t="shared" si="6"/>
        <v>0</v>
      </c>
      <c r="W122" s="630">
        <f t="shared" si="6"/>
        <v>18.804343665109606</v>
      </c>
      <c r="X122" s="1222">
        <f>IFERROR(W122/L122*10,0)</f>
        <v>13.130235559212366</v>
      </c>
      <c r="Y122" s="75"/>
      <c r="Z122" s="2"/>
    </row>
    <row r="123" spans="1:26"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2"/>
    </row>
    <row r="124" spans="1:26" x14ac:dyDescent="0.4">
      <c r="B124" s="119" t="s">
        <v>164</v>
      </c>
      <c r="C124" s="1308">
        <f>+C122+C90</f>
        <v>3451</v>
      </c>
      <c r="D124" s="1309"/>
      <c r="E124" s="1309"/>
      <c r="F124" s="1309"/>
      <c r="G124" s="1309"/>
      <c r="H124" s="1309"/>
      <c r="I124" s="1309"/>
      <c r="J124" s="1309"/>
      <c r="K124" s="1336">
        <f t="shared" ref="K124:W124" si="7">+K122+K90</f>
        <v>1423</v>
      </c>
      <c r="L124" s="630">
        <f t="shared" si="7"/>
        <v>15.454595668312564</v>
      </c>
      <c r="M124" s="630">
        <f t="shared" si="7"/>
        <v>15.523981882551052</v>
      </c>
      <c r="N124" s="630">
        <f t="shared" si="7"/>
        <v>1.7828400000000002</v>
      </c>
      <c r="O124" s="630">
        <f t="shared" si="7"/>
        <v>0.52677600000000002</v>
      </c>
      <c r="P124" s="630">
        <f t="shared" si="7"/>
        <v>16.364394529643132</v>
      </c>
      <c r="Q124" s="630">
        <f t="shared" si="7"/>
        <v>-0.31851462235820061</v>
      </c>
      <c r="R124" s="630">
        <f t="shared" si="7"/>
        <v>2.177148420826327</v>
      </c>
      <c r="S124" s="630">
        <f t="shared" si="7"/>
        <v>0</v>
      </c>
      <c r="T124" s="630">
        <f t="shared" si="7"/>
        <v>0</v>
      </c>
      <c r="U124" s="630">
        <f t="shared" si="7"/>
        <v>20.532644328111257</v>
      </c>
      <c r="V124" s="1309">
        <f t="shared" si="7"/>
        <v>0</v>
      </c>
      <c r="W124" s="630">
        <f t="shared" si="7"/>
        <v>20.532644328111257</v>
      </c>
      <c r="X124" s="1222">
        <f>IFERROR(W124/L124*10,0)</f>
        <v>13.285785515702948</v>
      </c>
      <c r="Y124" s="75"/>
      <c r="Z124" s="2"/>
    </row>
    <row r="125" spans="1:26" x14ac:dyDescent="0.4">
      <c r="Z125" s="2"/>
    </row>
    <row r="126" spans="1:26" x14ac:dyDescent="0.4">
      <c r="B126" s="131" t="s">
        <v>750</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row>
    <row r="127" spans="1:26" x14ac:dyDescent="0.4">
      <c r="B127" s="131" t="s">
        <v>1566</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row>
    <row r="128" spans="1:26"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row>
    <row r="129" spans="2:26"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947" t="s">
        <v>1570</v>
      </c>
    </row>
    <row r="130" spans="2:26"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947"/>
    </row>
    <row r="131" spans="2:26"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2"/>
    </row>
    <row r="132" spans="2:26" x14ac:dyDescent="0.4">
      <c r="B132" s="429" t="s">
        <v>1129</v>
      </c>
      <c r="C132" s="75">
        <f>+C13+C78</f>
        <v>5</v>
      </c>
      <c r="D132" s="75"/>
      <c r="E132" s="75"/>
      <c r="F132" s="75"/>
      <c r="G132" s="75"/>
      <c r="H132" s="75"/>
      <c r="I132" s="75"/>
      <c r="J132" s="75"/>
      <c r="K132" s="1306">
        <f t="shared" ref="K132:T132" si="8">+K13+K78</f>
        <v>34711</v>
      </c>
      <c r="L132" s="628">
        <f t="shared" si="8"/>
        <v>264.97079900000006</v>
      </c>
      <c r="M132" s="628">
        <f t="shared" si="8"/>
        <v>267.64727171717175</v>
      </c>
      <c r="N132" s="628">
        <f t="shared" si="8"/>
        <v>0</v>
      </c>
      <c r="O132" s="628">
        <f t="shared" si="8"/>
        <v>22.492728000000003</v>
      </c>
      <c r="P132" s="628">
        <f t="shared" si="8"/>
        <v>197.52368652727276</v>
      </c>
      <c r="Q132" s="628">
        <f t="shared" si="8"/>
        <v>-2.8231956613252351</v>
      </c>
      <c r="R132" s="628">
        <f t="shared" si="8"/>
        <v>19.805898107070711</v>
      </c>
      <c r="S132" s="628">
        <f t="shared" si="8"/>
        <v>0</v>
      </c>
      <c r="T132" s="628">
        <f t="shared" si="8"/>
        <v>0</v>
      </c>
      <c r="U132" s="628">
        <f>SUM(N132:T132)</f>
        <v>236.99911697301823</v>
      </c>
      <c r="V132" s="75"/>
      <c r="W132" s="628">
        <f>+U132+V132</f>
        <v>236.99911697301823</v>
      </c>
      <c r="X132" s="1221">
        <f>IFERROR(W132/L132*10,0)</f>
        <v>8.944348504342857</v>
      </c>
      <c r="Y132" s="75"/>
      <c r="Z132" s="2"/>
    </row>
    <row r="133" spans="2:26" x14ac:dyDescent="0.4">
      <c r="B133" s="429" t="s">
        <v>1130</v>
      </c>
      <c r="C133" s="75">
        <f>+C18+C83</f>
        <v>4</v>
      </c>
      <c r="D133" s="75"/>
      <c r="E133" s="75"/>
      <c r="F133" s="75"/>
      <c r="G133" s="75"/>
      <c r="H133" s="75"/>
      <c r="I133" s="75"/>
      <c r="J133" s="75"/>
      <c r="K133" s="1306">
        <f t="shared" ref="K133:T133" si="9">+K18+K83</f>
        <v>515</v>
      </c>
      <c r="L133" s="628">
        <f t="shared" si="9"/>
        <v>0.99619577935655423</v>
      </c>
      <c r="M133" s="628">
        <f t="shared" si="9"/>
        <v>1.0165263054658717</v>
      </c>
      <c r="N133" s="628">
        <f t="shared" si="9"/>
        <v>0</v>
      </c>
      <c r="O133" s="628">
        <f t="shared" si="9"/>
        <v>0.27810000000000001</v>
      </c>
      <c r="P133" s="628">
        <f t="shared" si="9"/>
        <v>1.2127158824207849</v>
      </c>
      <c r="Q133" s="628">
        <f t="shared" si="9"/>
        <v>-4.2714039172688775E-2</v>
      </c>
      <c r="R133" s="628">
        <f t="shared" si="9"/>
        <v>7.5222946604474497E-2</v>
      </c>
      <c r="S133" s="628">
        <f t="shared" si="9"/>
        <v>0</v>
      </c>
      <c r="T133" s="628">
        <f t="shared" si="9"/>
        <v>0</v>
      </c>
      <c r="U133" s="628">
        <f>SUM(N133:T133)</f>
        <v>1.5233247898525706</v>
      </c>
      <c r="V133" s="75"/>
      <c r="W133" s="628">
        <f>+U133+V133</f>
        <v>1.5233247898525706</v>
      </c>
      <c r="X133" s="1221">
        <f>IFERROR(W133/L133*10,0)</f>
        <v>15.291419833523994</v>
      </c>
      <c r="Y133" s="75"/>
      <c r="Z133" s="2"/>
    </row>
    <row r="134" spans="2:26"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2"/>
    </row>
    <row r="135" spans="2:26"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2"/>
    </row>
    <row r="136" spans="2:26" x14ac:dyDescent="0.4">
      <c r="B136" s="518" t="s">
        <v>162</v>
      </c>
      <c r="C136" s="128">
        <f>SUM(C132:C135)</f>
        <v>9</v>
      </c>
      <c r="D136" s="1309"/>
      <c r="E136" s="1309"/>
      <c r="F136" s="1309"/>
      <c r="G136" s="1309"/>
      <c r="H136" s="1309"/>
      <c r="I136" s="1309"/>
      <c r="J136" s="1309"/>
      <c r="K136" s="1336">
        <f t="shared" ref="K136:W136" si="10">SUM(K132:K135)</f>
        <v>35226</v>
      </c>
      <c r="L136" s="630">
        <f t="shared" si="10"/>
        <v>265.96699477935658</v>
      </c>
      <c r="M136" s="630">
        <f t="shared" si="10"/>
        <v>268.66379802263759</v>
      </c>
      <c r="N136" s="630">
        <f t="shared" si="10"/>
        <v>0</v>
      </c>
      <c r="O136" s="630">
        <f t="shared" si="10"/>
        <v>22.770828000000002</v>
      </c>
      <c r="P136" s="630">
        <f t="shared" si="10"/>
        <v>198.73640240969354</v>
      </c>
      <c r="Q136" s="630">
        <f t="shared" si="10"/>
        <v>-2.8659097004979239</v>
      </c>
      <c r="R136" s="630">
        <f t="shared" si="10"/>
        <v>19.881121053675184</v>
      </c>
      <c r="S136" s="630">
        <f t="shared" si="10"/>
        <v>0</v>
      </c>
      <c r="T136" s="630">
        <f t="shared" si="10"/>
        <v>0</v>
      </c>
      <c r="U136" s="630">
        <f t="shared" si="10"/>
        <v>238.52244176287081</v>
      </c>
      <c r="V136" s="1309">
        <f t="shared" si="10"/>
        <v>0</v>
      </c>
      <c r="W136" s="630">
        <f t="shared" si="10"/>
        <v>238.52244176287081</v>
      </c>
      <c r="X136" s="1221">
        <f>IFERROR(W136/L136*10,0)</f>
        <v>8.968121851387858</v>
      </c>
      <c r="Y136" s="75"/>
      <c r="Z136" s="2"/>
    </row>
    <row r="137" spans="2:26"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2"/>
    </row>
    <row r="138" spans="2:26" x14ac:dyDescent="0.4">
      <c r="B138" s="519" t="s">
        <v>1133</v>
      </c>
      <c r="C138" s="75"/>
      <c r="D138" s="75"/>
      <c r="E138" s="75"/>
      <c r="F138" s="75"/>
      <c r="G138" s="75"/>
      <c r="H138" s="75"/>
      <c r="I138" s="75"/>
      <c r="J138" s="75"/>
      <c r="K138" s="1306"/>
      <c r="L138" s="628"/>
      <c r="M138" s="628"/>
      <c r="N138" s="628"/>
      <c r="O138" s="628"/>
      <c r="P138" s="628"/>
      <c r="Q138" s="628"/>
      <c r="R138" s="628"/>
      <c r="S138" s="628"/>
      <c r="T138" s="628"/>
      <c r="U138" s="628"/>
      <c r="V138" s="75"/>
      <c r="W138" s="628"/>
      <c r="X138" s="75"/>
      <c r="Y138" s="75"/>
      <c r="Z138" s="2"/>
    </row>
    <row r="139" spans="2:26" x14ac:dyDescent="0.4">
      <c r="B139" s="520" t="s">
        <v>1106</v>
      </c>
      <c r="C139" s="75">
        <f>+C28+C93</f>
        <v>1883</v>
      </c>
      <c r="D139" s="75"/>
      <c r="E139" s="75"/>
      <c r="F139" s="75"/>
      <c r="G139" s="75"/>
      <c r="H139" s="75"/>
      <c r="I139" s="75"/>
      <c r="J139" s="75"/>
      <c r="K139" s="1306">
        <f t="shared" ref="K139:T139" si="11">+K28+K93</f>
        <v>0</v>
      </c>
      <c r="L139" s="628">
        <f t="shared" si="11"/>
        <v>2.6696019132438007</v>
      </c>
      <c r="M139" s="628">
        <f t="shared" si="11"/>
        <v>2.6696019132438007</v>
      </c>
      <c r="N139" s="628">
        <f t="shared" si="11"/>
        <v>0.97162800000000005</v>
      </c>
      <c r="O139" s="628">
        <f t="shared" si="11"/>
        <v>0</v>
      </c>
      <c r="P139" s="628">
        <f t="shared" si="11"/>
        <v>0.97173509642074352</v>
      </c>
      <c r="Q139" s="628">
        <f t="shared" si="11"/>
        <v>-4.2713630611900817E-2</v>
      </c>
      <c r="R139" s="628">
        <f t="shared" si="11"/>
        <v>0.39243148124683869</v>
      </c>
      <c r="S139" s="628">
        <f t="shared" si="11"/>
        <v>0</v>
      </c>
      <c r="T139" s="628">
        <f t="shared" si="11"/>
        <v>0</v>
      </c>
      <c r="U139" s="628">
        <f>SUM(N139:T139)</f>
        <v>2.2930809470556812</v>
      </c>
      <c r="V139" s="75"/>
      <c r="W139" s="628">
        <f>+U139+V139</f>
        <v>2.2930809470556812</v>
      </c>
      <c r="X139" s="1221">
        <f>IFERROR(W139/L139*10,0)</f>
        <v>8.5895988299970405</v>
      </c>
      <c r="Y139" s="75"/>
      <c r="Z139" s="2"/>
    </row>
    <row r="140" spans="2:26" x14ac:dyDescent="0.4">
      <c r="B140" s="520" t="s">
        <v>1107</v>
      </c>
      <c r="C140" s="75">
        <f>+C29+C94</f>
        <v>731</v>
      </c>
      <c r="D140" s="75"/>
      <c r="E140" s="75"/>
      <c r="F140" s="75"/>
      <c r="G140" s="75"/>
      <c r="H140" s="75"/>
      <c r="I140" s="75"/>
      <c r="J140" s="75"/>
      <c r="K140" s="1306">
        <f t="shared" ref="K140:T140" si="12">+K29+K94</f>
        <v>0</v>
      </c>
      <c r="L140" s="628">
        <f t="shared" si="12"/>
        <v>2.5852110422015158</v>
      </c>
      <c r="M140" s="628">
        <f t="shared" si="12"/>
        <v>2.5852110422015158</v>
      </c>
      <c r="N140" s="628">
        <f t="shared" si="12"/>
        <v>0.37719599999999998</v>
      </c>
      <c r="O140" s="628">
        <f t="shared" si="12"/>
        <v>0</v>
      </c>
      <c r="P140" s="628">
        <f t="shared" si="12"/>
        <v>2.4404392238382306</v>
      </c>
      <c r="Q140" s="628">
        <f t="shared" si="12"/>
        <v>-4.1363376675224252E-2</v>
      </c>
      <c r="R140" s="628">
        <f t="shared" si="12"/>
        <v>0.38002602320362283</v>
      </c>
      <c r="S140" s="628">
        <f t="shared" si="12"/>
        <v>0</v>
      </c>
      <c r="T140" s="628">
        <f t="shared" si="12"/>
        <v>0</v>
      </c>
      <c r="U140" s="628">
        <f>SUM(N140:T140)</f>
        <v>3.1562978703666293</v>
      </c>
      <c r="V140" s="75"/>
      <c r="W140" s="628">
        <f>+U140+V140</f>
        <v>3.1562978703666293</v>
      </c>
      <c r="X140" s="1221">
        <f>IFERROR(W140/L140*10,0)</f>
        <v>12.209053028331439</v>
      </c>
      <c r="Y140" s="75"/>
      <c r="Z140" s="2"/>
    </row>
    <row r="141" spans="2:26" x14ac:dyDescent="0.4">
      <c r="B141" s="520" t="s">
        <v>1108</v>
      </c>
      <c r="C141" s="75">
        <f>+C30+C95</f>
        <v>389</v>
      </c>
      <c r="D141" s="75"/>
      <c r="E141" s="75"/>
      <c r="F141" s="75"/>
      <c r="G141" s="75"/>
      <c r="H141" s="75"/>
      <c r="I141" s="75"/>
      <c r="J141" s="75"/>
      <c r="K141" s="1306">
        <f t="shared" ref="K141:T141" si="13">+K30+K95</f>
        <v>0</v>
      </c>
      <c r="L141" s="628">
        <f t="shared" si="13"/>
        <v>0.90548844897117453</v>
      </c>
      <c r="M141" s="628">
        <f t="shared" si="13"/>
        <v>0.90548844897117453</v>
      </c>
      <c r="N141" s="628">
        <f t="shared" si="13"/>
        <v>0.20072400000000001</v>
      </c>
      <c r="O141" s="628">
        <f t="shared" si="13"/>
        <v>0</v>
      </c>
      <c r="P141" s="628">
        <f t="shared" si="13"/>
        <v>1.1834734028053251</v>
      </c>
      <c r="Q141" s="628">
        <f t="shared" si="13"/>
        <v>-1.4487815183538793E-2</v>
      </c>
      <c r="R141" s="628">
        <f t="shared" si="13"/>
        <v>0.13310680199876265</v>
      </c>
      <c r="S141" s="628">
        <f t="shared" si="13"/>
        <v>0</v>
      </c>
      <c r="T141" s="628">
        <f t="shared" si="13"/>
        <v>0</v>
      </c>
      <c r="U141" s="628">
        <f>SUM(N141:T141)</f>
        <v>1.5028163896205489</v>
      </c>
      <c r="V141" s="75"/>
      <c r="W141" s="628">
        <f>+U141+V141</f>
        <v>1.5028163896205489</v>
      </c>
      <c r="X141" s="1221">
        <f>IFERROR(W141/L141*10,0)</f>
        <v>16.596748322168711</v>
      </c>
      <c r="Y141" s="75"/>
      <c r="Z141" s="2"/>
    </row>
    <row r="142" spans="2:26" x14ac:dyDescent="0.4">
      <c r="B142" s="520" t="s">
        <v>1109</v>
      </c>
      <c r="C142" s="75">
        <f>+C31+C96</f>
        <v>279</v>
      </c>
      <c r="D142" s="75"/>
      <c r="E142" s="75"/>
      <c r="F142" s="75"/>
      <c r="G142" s="75"/>
      <c r="H142" s="75"/>
      <c r="I142" s="75"/>
      <c r="J142" s="75"/>
      <c r="K142" s="1306">
        <f t="shared" ref="K142:T142" si="14">+K31+K96</f>
        <v>0</v>
      </c>
      <c r="L142" s="628">
        <f t="shared" si="14"/>
        <v>5.3221857699889075</v>
      </c>
      <c r="M142" s="628">
        <f t="shared" si="14"/>
        <v>5.3221857699889075</v>
      </c>
      <c r="N142" s="628">
        <f t="shared" si="14"/>
        <v>0.14396400000000001</v>
      </c>
      <c r="O142" s="628">
        <f t="shared" si="14"/>
        <v>0</v>
      </c>
      <c r="P142" s="628">
        <f t="shared" si="14"/>
        <v>7.9992452122933271</v>
      </c>
      <c r="Q142" s="628">
        <f t="shared" si="14"/>
        <v>-8.5154972319822525E-2</v>
      </c>
      <c r="R142" s="628">
        <f t="shared" si="14"/>
        <v>0.78236130818836935</v>
      </c>
      <c r="S142" s="628">
        <f t="shared" si="14"/>
        <v>0</v>
      </c>
      <c r="T142" s="628">
        <f t="shared" si="14"/>
        <v>0</v>
      </c>
      <c r="U142" s="628">
        <f>SUM(N142:T142)</f>
        <v>8.8404155481618734</v>
      </c>
      <c r="V142" s="75"/>
      <c r="W142" s="628">
        <f>+U142+V142</f>
        <v>8.8404155481618734</v>
      </c>
      <c r="X142" s="1221">
        <f>IFERROR(W142/L142*10,0)</f>
        <v>16.610497886059882</v>
      </c>
      <c r="Y142" s="75"/>
      <c r="Z142" s="2"/>
    </row>
    <row r="143" spans="2:26" x14ac:dyDescent="0.4">
      <c r="B143" s="520" t="s">
        <v>1110</v>
      </c>
      <c r="C143" s="75"/>
      <c r="D143" s="75"/>
      <c r="E143" s="75"/>
      <c r="F143" s="75"/>
      <c r="G143" s="75"/>
      <c r="H143" s="75"/>
      <c r="I143" s="75"/>
      <c r="J143" s="75"/>
      <c r="K143" s="1306">
        <f t="shared" ref="K143:T143" si="15">+K32+K97</f>
        <v>0</v>
      </c>
      <c r="L143" s="628">
        <f t="shared" si="15"/>
        <v>0</v>
      </c>
      <c r="M143" s="628">
        <f t="shared" si="15"/>
        <v>0</v>
      </c>
      <c r="N143" s="628">
        <f t="shared" si="15"/>
        <v>0</v>
      </c>
      <c r="O143" s="628">
        <f t="shared" si="15"/>
        <v>0</v>
      </c>
      <c r="P143" s="628">
        <f t="shared" si="15"/>
        <v>0</v>
      </c>
      <c r="Q143" s="628">
        <f t="shared" si="15"/>
        <v>0</v>
      </c>
      <c r="R143" s="628">
        <f t="shared" si="15"/>
        <v>0</v>
      </c>
      <c r="S143" s="628">
        <f t="shared" si="15"/>
        <v>0</v>
      </c>
      <c r="T143" s="628">
        <f t="shared" si="15"/>
        <v>0</v>
      </c>
      <c r="U143" s="628"/>
      <c r="V143" s="75"/>
      <c r="W143" s="628"/>
      <c r="X143" s="75"/>
      <c r="Y143" s="75"/>
      <c r="Z143" s="2"/>
    </row>
    <row r="144" spans="2:26"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2"/>
    </row>
    <row r="145" spans="2:26" x14ac:dyDescent="0.4">
      <c r="B145" s="520" t="s">
        <v>1140</v>
      </c>
      <c r="C145" s="75">
        <f>+C35+C99</f>
        <v>142</v>
      </c>
      <c r="D145" s="75"/>
      <c r="E145" s="75"/>
      <c r="F145" s="75"/>
      <c r="G145" s="75"/>
      <c r="H145" s="75"/>
      <c r="I145" s="75"/>
      <c r="J145" s="75"/>
      <c r="K145" s="1306">
        <f t="shared" ref="K145:T145" si="16">+K35+K99</f>
        <v>0</v>
      </c>
      <c r="L145" s="628">
        <f t="shared" si="16"/>
        <v>0.44849186019119414</v>
      </c>
      <c r="M145" s="628">
        <f t="shared" si="16"/>
        <v>0.45764475529713688</v>
      </c>
      <c r="N145" s="628">
        <f t="shared" si="16"/>
        <v>8.8608000000000006E-2</v>
      </c>
      <c r="O145" s="628">
        <f t="shared" si="16"/>
        <v>0</v>
      </c>
      <c r="P145" s="628">
        <f t="shared" si="16"/>
        <v>0.33950833816473397</v>
      </c>
      <c r="Q145" s="628">
        <f t="shared" si="16"/>
        <v>0</v>
      </c>
      <c r="R145" s="628">
        <f t="shared" si="16"/>
        <v>6.5928303448105546E-2</v>
      </c>
      <c r="S145" s="628">
        <f t="shared" si="16"/>
        <v>0</v>
      </c>
      <c r="T145" s="628">
        <f t="shared" si="16"/>
        <v>0</v>
      </c>
      <c r="U145" s="628">
        <f t="shared" ref="U145:U151" si="17">SUM(N145:T145)</f>
        <v>0.49404464161283956</v>
      </c>
      <c r="V145" s="75"/>
      <c r="W145" s="628">
        <f t="shared" ref="W145:W152" si="18">+U145+V145</f>
        <v>0.49404464161283956</v>
      </c>
      <c r="X145" s="1221">
        <f t="shared" ref="X145:X151" si="19">IFERROR(W145/L145*10,0)</f>
        <v>11.015688030597168</v>
      </c>
      <c r="Y145" s="75"/>
      <c r="Z145" s="2"/>
    </row>
    <row r="146" spans="2:26" x14ac:dyDescent="0.4">
      <c r="B146" s="520" t="s">
        <v>1144</v>
      </c>
      <c r="C146" s="75">
        <f>+C36+C100</f>
        <v>9</v>
      </c>
      <c r="D146" s="75"/>
      <c r="E146" s="75"/>
      <c r="F146" s="75"/>
      <c r="G146" s="75"/>
      <c r="H146" s="75"/>
      <c r="I146" s="75"/>
      <c r="J146" s="75"/>
      <c r="K146" s="1306">
        <f t="shared" ref="K146:T146" si="20">+K36+K100</f>
        <v>383</v>
      </c>
      <c r="L146" s="628">
        <f t="shared" si="20"/>
        <v>0.78788731506757104</v>
      </c>
      <c r="M146" s="628">
        <f t="shared" si="20"/>
        <v>0.79697877666808115</v>
      </c>
      <c r="N146" s="628">
        <f t="shared" si="20"/>
        <v>0</v>
      </c>
      <c r="O146" s="628">
        <f t="shared" si="20"/>
        <v>9.6516000000000005E-2</v>
      </c>
      <c r="P146" s="628">
        <f t="shared" si="20"/>
        <v>0.86950384534487646</v>
      </c>
      <c r="Q146" s="628">
        <f t="shared" si="20"/>
        <v>-4.2754165881310299E-2</v>
      </c>
      <c r="R146" s="628">
        <f t="shared" si="20"/>
        <v>0.11078004995686327</v>
      </c>
      <c r="S146" s="628">
        <f t="shared" si="20"/>
        <v>0</v>
      </c>
      <c r="T146" s="628">
        <f t="shared" si="20"/>
        <v>0</v>
      </c>
      <c r="U146" s="628">
        <f t="shared" si="17"/>
        <v>1.0340457294204295</v>
      </c>
      <c r="V146" s="75"/>
      <c r="W146" s="628">
        <f t="shared" si="18"/>
        <v>1.0340457294204295</v>
      </c>
      <c r="X146" s="1221">
        <f t="shared" si="19"/>
        <v>13.124284521978213</v>
      </c>
      <c r="Y146" s="75"/>
      <c r="Z146" s="2"/>
    </row>
    <row r="147" spans="2:26" x14ac:dyDescent="0.4">
      <c r="B147" s="520" t="s">
        <v>1143</v>
      </c>
      <c r="C147" s="75">
        <f>+C41+C105</f>
        <v>1</v>
      </c>
      <c r="D147" s="75"/>
      <c r="E147" s="75"/>
      <c r="F147" s="75"/>
      <c r="G147" s="75"/>
      <c r="H147" s="75"/>
      <c r="I147" s="75"/>
      <c r="J147" s="75"/>
      <c r="K147" s="1306">
        <f t="shared" ref="K147:T147" si="21">+K41+K105</f>
        <v>70</v>
      </c>
      <c r="L147" s="628">
        <f t="shared" si="21"/>
        <v>0.23462983966457771</v>
      </c>
      <c r="M147" s="628">
        <f t="shared" si="21"/>
        <v>0.23695994579826057</v>
      </c>
      <c r="N147" s="628">
        <f t="shared" si="21"/>
        <v>0</v>
      </c>
      <c r="O147" s="628">
        <f t="shared" si="21"/>
        <v>1.7639999999999999E-2</v>
      </c>
      <c r="P147" s="628">
        <f t="shared" si="21"/>
        <v>0.30662616986294916</v>
      </c>
      <c r="Q147" s="628">
        <f t="shared" si="21"/>
        <v>-3.0827744222704581E-2</v>
      </c>
      <c r="R147" s="628">
        <f t="shared" si="21"/>
        <v>3.2937432465958219E-2</v>
      </c>
      <c r="S147" s="628">
        <f t="shared" si="21"/>
        <v>0</v>
      </c>
      <c r="T147" s="628">
        <f t="shared" si="21"/>
        <v>0</v>
      </c>
      <c r="U147" s="628">
        <f t="shared" si="17"/>
        <v>0.32637585810620279</v>
      </c>
      <c r="V147" s="75"/>
      <c r="W147" s="628">
        <f t="shared" si="18"/>
        <v>0.32637585810620279</v>
      </c>
      <c r="X147" s="1221">
        <f t="shared" si="19"/>
        <v>13.910245115147477</v>
      </c>
      <c r="Y147" s="75"/>
      <c r="Z147" s="2"/>
    </row>
    <row r="148" spans="2:26" ht="25.5" x14ac:dyDescent="0.4">
      <c r="B148" s="519" t="s">
        <v>1111</v>
      </c>
      <c r="C148" s="75">
        <f>+C46+C110</f>
        <v>2</v>
      </c>
      <c r="D148" s="75"/>
      <c r="E148" s="75"/>
      <c r="F148" s="75"/>
      <c r="G148" s="75"/>
      <c r="H148" s="75"/>
      <c r="I148" s="75"/>
      <c r="J148" s="75"/>
      <c r="K148" s="1306">
        <f t="shared" ref="K148:T148" si="22">+K46+K110</f>
        <v>160</v>
      </c>
      <c r="L148" s="628">
        <f t="shared" si="22"/>
        <v>1.3066235324399273</v>
      </c>
      <c r="M148" s="628">
        <f t="shared" si="22"/>
        <v>1.3332893188162525</v>
      </c>
      <c r="N148" s="628">
        <f t="shared" si="22"/>
        <v>0</v>
      </c>
      <c r="O148" s="628">
        <f t="shared" si="22"/>
        <v>1.5359999999999999E-2</v>
      </c>
      <c r="P148" s="628">
        <f t="shared" si="22"/>
        <v>0.92530278725847936</v>
      </c>
      <c r="Q148" s="628">
        <f t="shared" si="22"/>
        <v>-1.8746651866091216E-2</v>
      </c>
      <c r="R148" s="628">
        <f t="shared" si="22"/>
        <v>0.18532721531545909</v>
      </c>
      <c r="S148" s="628">
        <f t="shared" si="22"/>
        <v>0</v>
      </c>
      <c r="T148" s="628">
        <f t="shared" si="22"/>
        <v>0</v>
      </c>
      <c r="U148" s="628">
        <f t="shared" si="17"/>
        <v>1.1072433507078472</v>
      </c>
      <c r="V148" s="75"/>
      <c r="W148" s="628">
        <f t="shared" si="18"/>
        <v>1.1072433507078472</v>
      </c>
      <c r="X148" s="1221">
        <f t="shared" si="19"/>
        <v>8.4740808903099509</v>
      </c>
      <c r="Y148" s="75"/>
      <c r="Z148" s="2"/>
    </row>
    <row r="149" spans="2:26" ht="25.5" x14ac:dyDescent="0.4">
      <c r="B149" s="519" t="s">
        <v>1135</v>
      </c>
      <c r="C149" s="75">
        <f>+C51+C115</f>
        <v>2</v>
      </c>
      <c r="D149" s="75"/>
      <c r="E149" s="75"/>
      <c r="F149" s="75"/>
      <c r="G149" s="75"/>
      <c r="H149" s="75"/>
      <c r="I149" s="75"/>
      <c r="J149" s="75"/>
      <c r="K149" s="1306">
        <f t="shared" ref="K149:T149" si="23">+K51+K115</f>
        <v>38</v>
      </c>
      <c r="L149" s="628">
        <f t="shared" si="23"/>
        <v>0.48450008416569151</v>
      </c>
      <c r="M149" s="628">
        <f t="shared" si="23"/>
        <v>0.49438784098539951</v>
      </c>
      <c r="N149" s="628">
        <f t="shared" si="23"/>
        <v>1.4400000000000001E-3</v>
      </c>
      <c r="O149" s="628">
        <f t="shared" si="23"/>
        <v>0</v>
      </c>
      <c r="P149" s="628">
        <f t="shared" si="23"/>
        <v>0.26308354570197046</v>
      </c>
      <c r="Q149" s="628">
        <f t="shared" si="23"/>
        <v>0</v>
      </c>
      <c r="R149" s="628">
        <f t="shared" si="23"/>
        <v>5.7709571081165381E-2</v>
      </c>
      <c r="S149" s="628">
        <f t="shared" si="23"/>
        <v>0</v>
      </c>
      <c r="T149" s="628">
        <f t="shared" si="23"/>
        <v>0</v>
      </c>
      <c r="U149" s="628">
        <f t="shared" si="17"/>
        <v>0.32223311678313582</v>
      </c>
      <c r="V149" s="75"/>
      <c r="W149" s="628">
        <f t="shared" si="18"/>
        <v>0.32223311678313582</v>
      </c>
      <c r="X149" s="1221">
        <f t="shared" si="19"/>
        <v>6.6508371683365297</v>
      </c>
      <c r="Y149" s="75"/>
      <c r="Z149" s="2"/>
    </row>
    <row r="150" spans="2:26" ht="38.25" x14ac:dyDescent="0.4">
      <c r="B150" s="519" t="s">
        <v>1136</v>
      </c>
      <c r="C150" s="75">
        <f>+C52+C116</f>
        <v>0</v>
      </c>
      <c r="D150" s="75"/>
      <c r="E150" s="75"/>
      <c r="F150" s="75"/>
      <c r="G150" s="75"/>
      <c r="H150" s="75"/>
      <c r="I150" s="75"/>
      <c r="J150" s="75"/>
      <c r="K150" s="1306">
        <f t="shared" ref="K150:T150" si="24">+K52+K116</f>
        <v>0</v>
      </c>
      <c r="L150" s="628">
        <f t="shared" si="24"/>
        <v>0</v>
      </c>
      <c r="M150" s="628">
        <f t="shared" si="24"/>
        <v>0</v>
      </c>
      <c r="N150" s="628">
        <f t="shared" si="24"/>
        <v>0</v>
      </c>
      <c r="O150" s="628">
        <f t="shared" si="24"/>
        <v>0</v>
      </c>
      <c r="P150" s="628">
        <f t="shared" si="24"/>
        <v>0</v>
      </c>
      <c r="Q150" s="628">
        <f t="shared" si="24"/>
        <v>0</v>
      </c>
      <c r="R150" s="628">
        <f t="shared" si="24"/>
        <v>0</v>
      </c>
      <c r="S150" s="628">
        <f t="shared" si="24"/>
        <v>0</v>
      </c>
      <c r="T150" s="628">
        <f t="shared" si="24"/>
        <v>0</v>
      </c>
      <c r="U150" s="628">
        <f t="shared" si="17"/>
        <v>0</v>
      </c>
      <c r="V150" s="75"/>
      <c r="W150" s="628">
        <f t="shared" si="18"/>
        <v>0</v>
      </c>
      <c r="X150" s="1221">
        <f t="shared" si="19"/>
        <v>0</v>
      </c>
      <c r="Y150" s="75"/>
      <c r="Z150" s="2"/>
    </row>
    <row r="151" spans="2:26" ht="25.5" x14ac:dyDescent="0.4">
      <c r="B151" s="519" t="s">
        <v>1142</v>
      </c>
      <c r="C151" s="75">
        <f>+C58+C117</f>
        <v>10</v>
      </c>
      <c r="D151" s="75"/>
      <c r="E151" s="75"/>
      <c r="F151" s="75"/>
      <c r="G151" s="75"/>
      <c r="H151" s="75"/>
      <c r="I151" s="75"/>
      <c r="J151" s="75"/>
      <c r="K151" s="1306">
        <f t="shared" ref="K151:T151" si="25">+K58+K117</f>
        <v>105</v>
      </c>
      <c r="L151" s="628">
        <f t="shared" si="25"/>
        <v>2.7184414709071562E-2</v>
      </c>
      <c r="M151" s="628">
        <f t="shared" si="25"/>
        <v>2.7412855168811662E-2</v>
      </c>
      <c r="N151" s="628">
        <f t="shared" si="25"/>
        <v>0</v>
      </c>
      <c r="O151" s="628">
        <f t="shared" si="25"/>
        <v>4.032E-3</v>
      </c>
      <c r="P151" s="628">
        <f t="shared" si="25"/>
        <v>1.7763530149389958E-2</v>
      </c>
      <c r="Q151" s="628">
        <f t="shared" si="25"/>
        <v>1.6700466276911206E-4</v>
      </c>
      <c r="R151" s="628">
        <f t="shared" si="25"/>
        <v>3.8103868684648207E-3</v>
      </c>
      <c r="S151" s="628">
        <f t="shared" si="25"/>
        <v>0</v>
      </c>
      <c r="T151" s="628">
        <f t="shared" si="25"/>
        <v>0</v>
      </c>
      <c r="U151" s="628">
        <f t="shared" si="17"/>
        <v>2.5772921680623891E-2</v>
      </c>
      <c r="V151" s="75"/>
      <c r="W151" s="628">
        <f t="shared" si="18"/>
        <v>2.5772921680623891E-2</v>
      </c>
      <c r="X151" s="1221">
        <f t="shared" si="19"/>
        <v>9.4807712273545306</v>
      </c>
      <c r="Y151" s="75"/>
      <c r="Z151" s="2"/>
    </row>
    <row r="152" spans="2:26" x14ac:dyDescent="0.4">
      <c r="B152" s="518" t="s">
        <v>162</v>
      </c>
      <c r="C152" s="1308">
        <f>SUM(C139:C151)</f>
        <v>3448</v>
      </c>
      <c r="D152" s="1310"/>
      <c r="E152" s="1310"/>
      <c r="F152" s="1310"/>
      <c r="G152" s="1310"/>
      <c r="H152" s="1310"/>
      <c r="I152" s="1310"/>
      <c r="J152" s="1310"/>
      <c r="K152" s="1336">
        <f t="shared" ref="K152:V152" si="26">SUM(K139:K151)</f>
        <v>756</v>
      </c>
      <c r="L152" s="630">
        <f t="shared" si="26"/>
        <v>14.771804220643432</v>
      </c>
      <c r="M152" s="630">
        <f t="shared" si="26"/>
        <v>14.829160667139343</v>
      </c>
      <c r="N152" s="630">
        <f t="shared" si="26"/>
        <v>1.7835600000000003</v>
      </c>
      <c r="O152" s="630">
        <f t="shared" si="26"/>
        <v>0.13354800000000003</v>
      </c>
      <c r="P152" s="630">
        <f t="shared" si="26"/>
        <v>15.316681151840028</v>
      </c>
      <c r="Q152" s="630">
        <f t="shared" si="26"/>
        <v>-0.27588135209782338</v>
      </c>
      <c r="R152" s="630">
        <f t="shared" si="26"/>
        <v>2.1444185737736099</v>
      </c>
      <c r="S152" s="630">
        <f t="shared" si="26"/>
        <v>0</v>
      </c>
      <c r="T152" s="630">
        <f t="shared" si="26"/>
        <v>0</v>
      </c>
      <c r="U152" s="630">
        <f t="shared" si="26"/>
        <v>19.102326373515812</v>
      </c>
      <c r="V152" s="1310">
        <f t="shared" si="26"/>
        <v>0</v>
      </c>
      <c r="W152" s="630">
        <f t="shared" si="18"/>
        <v>19.102326373515812</v>
      </c>
      <c r="X152" s="1222">
        <f>IFERROR(W152/L152*10,0)</f>
        <v>12.931613557956938</v>
      </c>
      <c r="Y152" s="75"/>
      <c r="Z152" s="2"/>
    </row>
    <row r="153" spans="2:26"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2"/>
    </row>
    <row r="154" spans="2:26" x14ac:dyDescent="0.4">
      <c r="B154" s="119" t="s">
        <v>164</v>
      </c>
      <c r="C154" s="1308">
        <f>+C152+C136</f>
        <v>3457</v>
      </c>
      <c r="D154" s="1309"/>
      <c r="E154" s="1309"/>
      <c r="F154" s="1309"/>
      <c r="G154" s="1309"/>
      <c r="H154" s="1309"/>
      <c r="I154" s="1309"/>
      <c r="J154" s="1309"/>
      <c r="K154" s="1336">
        <f t="shared" ref="K154:W154" si="27">+K152+K136</f>
        <v>35982</v>
      </c>
      <c r="L154" s="630">
        <f t="shared" si="27"/>
        <v>280.73879900000003</v>
      </c>
      <c r="M154" s="630">
        <f t="shared" si="27"/>
        <v>283.49295868977691</v>
      </c>
      <c r="N154" s="630">
        <f t="shared" si="27"/>
        <v>1.7835600000000003</v>
      </c>
      <c r="O154" s="630">
        <f t="shared" si="27"/>
        <v>22.904376000000003</v>
      </c>
      <c r="P154" s="630">
        <f t="shared" si="27"/>
        <v>214.05308356153355</v>
      </c>
      <c r="Q154" s="630">
        <f t="shared" si="27"/>
        <v>-3.1417910525957473</v>
      </c>
      <c r="R154" s="630">
        <f t="shared" si="27"/>
        <v>22.025539627448794</v>
      </c>
      <c r="S154" s="630">
        <f t="shared" si="27"/>
        <v>0</v>
      </c>
      <c r="T154" s="630">
        <f t="shared" si="27"/>
        <v>0</v>
      </c>
      <c r="U154" s="630">
        <f t="shared" si="27"/>
        <v>257.62476813638665</v>
      </c>
      <c r="V154" s="1309">
        <f t="shared" si="27"/>
        <v>0</v>
      </c>
      <c r="W154" s="630">
        <f t="shared" si="27"/>
        <v>257.62476813638665</v>
      </c>
      <c r="X154" s="1222">
        <f>IFERROR(W154/L154*10,0)</f>
        <v>9.1766713063550078</v>
      </c>
      <c r="Y154" s="75"/>
      <c r="Z154" s="2"/>
    </row>
    <row r="155" spans="2:26" x14ac:dyDescent="0.4">
      <c r="L155" s="561">
        <f>+'F1'!N34-L154</f>
        <v>0</v>
      </c>
      <c r="N155" s="561">
        <f t="shared" ref="N155:W155" si="28">+N65+N124-N154</f>
        <v>0</v>
      </c>
      <c r="O155" s="561">
        <f t="shared" si="28"/>
        <v>0</v>
      </c>
      <c r="P155" s="561">
        <f t="shared" si="28"/>
        <v>0</v>
      </c>
      <c r="Q155" s="561">
        <f t="shared" si="28"/>
        <v>0</v>
      </c>
      <c r="R155" s="561">
        <f t="shared" si="28"/>
        <v>0</v>
      </c>
      <c r="S155" s="561">
        <f t="shared" si="28"/>
        <v>0</v>
      </c>
      <c r="T155" s="561">
        <f t="shared" si="28"/>
        <v>0</v>
      </c>
      <c r="U155" s="561">
        <f t="shared" si="28"/>
        <v>0</v>
      </c>
      <c r="V155" s="561">
        <f t="shared" si="28"/>
        <v>0</v>
      </c>
      <c r="W155" s="561">
        <f t="shared" si="28"/>
        <v>0</v>
      </c>
      <c r="X155" s="561"/>
      <c r="Z155" s="2"/>
    </row>
  </sheetData>
  <mergeCells count="35">
    <mergeCell ref="V129:V130"/>
    <mergeCell ref="W129:W130"/>
    <mergeCell ref="X129:X130"/>
    <mergeCell ref="Y129:Y130"/>
    <mergeCell ref="Z129:Z130"/>
    <mergeCell ref="B129:B130"/>
    <mergeCell ref="C129:C130"/>
    <mergeCell ref="D129:I129"/>
    <mergeCell ref="J129:M129"/>
    <mergeCell ref="N129:U129"/>
    <mergeCell ref="Z10:Z11"/>
    <mergeCell ref="A11:A12"/>
    <mergeCell ref="B75:B76"/>
    <mergeCell ref="C75:C76"/>
    <mergeCell ref="D75:I75"/>
    <mergeCell ref="J75:M75"/>
    <mergeCell ref="N75:U75"/>
    <mergeCell ref="V75:V76"/>
    <mergeCell ref="W75:W76"/>
    <mergeCell ref="X75:X76"/>
    <mergeCell ref="Y75:Y76"/>
    <mergeCell ref="Z75:Z76"/>
    <mergeCell ref="A76:A77"/>
    <mergeCell ref="B2:Y2"/>
    <mergeCell ref="B3:Y3"/>
    <mergeCell ref="B4:Y4"/>
    <mergeCell ref="B10:B11"/>
    <mergeCell ref="C10:C11"/>
    <mergeCell ref="D10:I10"/>
    <mergeCell ref="J10:M10"/>
    <mergeCell ref="N10:U10"/>
    <mergeCell ref="V10:V11"/>
    <mergeCell ref="W10:W11"/>
    <mergeCell ref="X10:X11"/>
    <mergeCell ref="Y10:Y11"/>
  </mergeCells>
  <pageMargins left="0.7" right="0.7" top="0.75" bottom="0.75" header="0.3" footer="0.3"/>
  <pageSetup scale="37" orientation="landscape" r:id="rId1"/>
  <rowBreaks count="2" manualBreakCount="2">
    <brk id="71" min="1" max="25" man="1"/>
    <brk id="125" min="1" max="2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09B0B-DD6F-4573-9166-10A0901649EA}">
  <dimension ref="A1:W34"/>
  <sheetViews>
    <sheetView showGridLines="0" topLeftCell="D1" workbookViewId="0">
      <selection activeCell="B36" sqref="B36"/>
    </sheetView>
  </sheetViews>
  <sheetFormatPr defaultColWidth="8.86328125" defaultRowHeight="11.25" x14ac:dyDescent="0.3"/>
  <cols>
    <col min="1" max="1" width="8.86328125" style="1699"/>
    <col min="2" max="2" width="22.6640625" style="1699" customWidth="1"/>
    <col min="3" max="3" width="10.33203125" style="1699" customWidth="1"/>
    <col min="4" max="4" width="10" style="1699" bestFit="1" customWidth="1"/>
    <col min="5" max="7" width="6.86328125" style="1699" bestFit="1" customWidth="1"/>
    <col min="8" max="8" width="11.1328125" style="1699" hidden="1" customWidth="1"/>
    <col min="9" max="9" width="10" style="1699" bestFit="1" customWidth="1"/>
    <col min="10" max="11" width="10" style="1699" customWidth="1"/>
    <col min="12" max="12" width="10" style="1699" bestFit="1" customWidth="1"/>
    <col min="13" max="13" width="10" style="1699" customWidth="1"/>
    <col min="14" max="14" width="11.33203125" style="1699" customWidth="1"/>
    <col min="15" max="15" width="0" style="1699" hidden="1" customWidth="1"/>
    <col min="16" max="18" width="8.86328125" style="1699"/>
    <col min="19" max="19" width="27.1328125" style="1699" bestFit="1" customWidth="1"/>
    <col min="20" max="20" width="20.1328125" style="1699" bestFit="1" customWidth="1"/>
    <col min="21" max="22" width="11" style="1699" bestFit="1" customWidth="1"/>
    <col min="23" max="23" width="15.33203125" style="1699" bestFit="1" customWidth="1"/>
    <col min="24" max="16384" width="8.86328125" style="1699"/>
  </cols>
  <sheetData>
    <row r="1" spans="1:23" x14ac:dyDescent="0.3">
      <c r="A1" s="1698"/>
      <c r="B1" s="1698"/>
      <c r="C1" s="1698"/>
      <c r="D1" s="1698"/>
      <c r="E1" s="1698"/>
      <c r="F1" s="1698"/>
      <c r="G1" s="1698"/>
      <c r="H1" s="1698"/>
      <c r="I1" s="1698"/>
      <c r="J1" s="1698"/>
      <c r="K1" s="1698"/>
      <c r="L1" s="1698"/>
      <c r="M1" s="1698"/>
      <c r="N1" s="1698"/>
    </row>
    <row r="2" spans="1:23" x14ac:dyDescent="0.3">
      <c r="A2" s="1698"/>
      <c r="B2" s="1698"/>
      <c r="C2" s="1698"/>
      <c r="D2" s="1698"/>
      <c r="E2" s="1698"/>
      <c r="F2" s="1698"/>
      <c r="G2" s="1698"/>
      <c r="H2" s="1698"/>
      <c r="I2" s="1698"/>
      <c r="J2" s="1698"/>
      <c r="K2" s="1698"/>
      <c r="L2" s="1698"/>
      <c r="M2" s="1698"/>
      <c r="N2" s="1698"/>
    </row>
    <row r="3" spans="1:23" x14ac:dyDescent="0.3">
      <c r="A3" s="1698"/>
      <c r="B3" s="1698"/>
      <c r="C3" s="1698"/>
      <c r="D3" s="1698"/>
      <c r="E3" s="1698"/>
      <c r="F3" s="1698"/>
      <c r="G3" s="1698"/>
      <c r="H3" s="1698"/>
      <c r="I3" s="1698"/>
      <c r="J3" s="1698"/>
      <c r="K3" s="1698"/>
      <c r="L3" s="1698"/>
      <c r="M3" s="1698"/>
      <c r="N3" s="1698"/>
    </row>
    <row r="4" spans="1:23" x14ac:dyDescent="0.3">
      <c r="A4" s="1698"/>
      <c r="B4" s="1700" t="s">
        <v>124</v>
      </c>
      <c r="C4" s="1698"/>
      <c r="D4" s="1698"/>
      <c r="E4" s="1698"/>
      <c r="F4" s="1698"/>
      <c r="G4" s="1698"/>
      <c r="H4" s="1698"/>
      <c r="I4" s="1698"/>
      <c r="J4" s="1698"/>
      <c r="K4" s="1698"/>
      <c r="L4" s="1698"/>
      <c r="M4" s="1698"/>
      <c r="N4" s="1698"/>
    </row>
    <row r="5" spans="1:23" x14ac:dyDescent="0.3">
      <c r="B5" s="1701" t="s">
        <v>814</v>
      </c>
      <c r="C5" s="1702" t="s">
        <v>1798</v>
      </c>
      <c r="D5" s="1702" t="s">
        <v>274</v>
      </c>
      <c r="E5" s="1702" t="s">
        <v>1799</v>
      </c>
      <c r="F5" s="1702" t="s">
        <v>1800</v>
      </c>
      <c r="G5" s="1702" t="s">
        <v>1801</v>
      </c>
      <c r="H5" s="1702" t="s">
        <v>1802</v>
      </c>
      <c r="I5" s="1702" t="s">
        <v>1805</v>
      </c>
      <c r="J5" s="1702" t="s">
        <v>1806</v>
      </c>
      <c r="K5" s="1702" t="s">
        <v>1803</v>
      </c>
      <c r="L5" s="1702" t="s">
        <v>1804</v>
      </c>
      <c r="M5" s="1702" t="s">
        <v>1819</v>
      </c>
      <c r="N5" s="1702" t="s">
        <v>1820</v>
      </c>
      <c r="O5" s="1702" t="s">
        <v>1821</v>
      </c>
      <c r="P5" s="1702" t="s">
        <v>1804</v>
      </c>
    </row>
    <row r="6" spans="1:23" x14ac:dyDescent="0.3">
      <c r="B6" s="1701"/>
      <c r="C6" s="1702" t="s">
        <v>821</v>
      </c>
      <c r="D6" s="1702" t="s">
        <v>821</v>
      </c>
      <c r="E6" s="1702" t="s">
        <v>243</v>
      </c>
      <c r="F6" s="1702" t="s">
        <v>243</v>
      </c>
      <c r="G6" s="1702" t="s">
        <v>243</v>
      </c>
      <c r="H6" s="1702" t="s">
        <v>821</v>
      </c>
      <c r="I6" s="1702" t="s">
        <v>821</v>
      </c>
      <c r="J6" s="1702" t="s">
        <v>821</v>
      </c>
      <c r="K6" s="1702" t="s">
        <v>821</v>
      </c>
      <c r="L6" s="1702" t="s">
        <v>1822</v>
      </c>
      <c r="M6" s="1702" t="s">
        <v>1822</v>
      </c>
      <c r="N6" s="1702" t="s">
        <v>1822</v>
      </c>
      <c r="O6" s="1702"/>
      <c r="P6" s="1702" t="s">
        <v>1823</v>
      </c>
      <c r="S6" s="1703" t="s">
        <v>111</v>
      </c>
      <c r="T6" s="1704" t="s">
        <v>124</v>
      </c>
      <c r="U6" s="1704" t="s">
        <v>125</v>
      </c>
      <c r="V6" s="1704" t="s">
        <v>126</v>
      </c>
      <c r="W6" s="1704" t="s">
        <v>127</v>
      </c>
    </row>
    <row r="7" spans="1:23" x14ac:dyDescent="0.3">
      <c r="B7" s="1705" t="s">
        <v>1519</v>
      </c>
      <c r="C7" s="1706">
        <f ca="1">+'F14.2'!X13</f>
        <v>8.5617093874272889</v>
      </c>
      <c r="D7" s="1706">
        <f ca="1">+$T$18</f>
        <v>5.8744524858264899</v>
      </c>
      <c r="E7" s="1707">
        <f>+$T$8</f>
        <v>4.3526500642194974E-3</v>
      </c>
      <c r="F7" s="1707">
        <f>+$T$9</f>
        <v>3.25999999999999E-2</v>
      </c>
      <c r="G7" s="1708">
        <f>+(1/(1-F7)/(1-E7)-1)</f>
        <v>3.8217571274249185E-2</v>
      </c>
      <c r="H7" s="1709">
        <f ca="1">+D7/(1-F7)/(1-E7)</f>
        <v>6.0989597924007537</v>
      </c>
      <c r="I7" s="1706">
        <f ca="1">+$T$14</f>
        <v>2.0362518802107901</v>
      </c>
      <c r="J7" s="1706">
        <f>+$T$13</f>
        <v>0.69421935180642014</v>
      </c>
      <c r="K7" s="1710">
        <f ca="1">+$T$15</f>
        <v>1.7103320621113585</v>
      </c>
      <c r="L7" s="1709">
        <f ca="1">+MAX(C7-SUM(H7:K7),0)</f>
        <v>0</v>
      </c>
      <c r="M7" s="1709">
        <f ca="1">$T$16*20%</f>
        <v>1.7122242469242399</v>
      </c>
      <c r="N7" s="1711">
        <f ca="1">MIN(L7,M7)</f>
        <v>0</v>
      </c>
      <c r="O7" s="1712">
        <f>+'Tariff Schedule'!X7</f>
        <v>0.99</v>
      </c>
      <c r="P7" s="1711">
        <f ca="1">N7*O7</f>
        <v>0</v>
      </c>
      <c r="S7" s="1713" t="s">
        <v>1807</v>
      </c>
      <c r="T7" s="1714">
        <v>0</v>
      </c>
      <c r="U7" s="1714">
        <f>T7</f>
        <v>0</v>
      </c>
      <c r="V7" s="1714">
        <f>U7</f>
        <v>0</v>
      </c>
      <c r="W7" s="1714">
        <f>V7</f>
        <v>0</v>
      </c>
    </row>
    <row r="8" spans="1:23" x14ac:dyDescent="0.3">
      <c r="B8" s="1715" t="s">
        <v>1522</v>
      </c>
      <c r="C8" s="1706">
        <f ca="1">+'F14.2'!X18</f>
        <v>12.869218802302996</v>
      </c>
      <c r="D8" s="1706">
        <f ca="1">+$T$18</f>
        <v>5.8744524858264899</v>
      </c>
      <c r="E8" s="1707">
        <f>+$T$8</f>
        <v>4.3526500642194974E-3</v>
      </c>
      <c r="F8" s="1707">
        <f>+$T$9</f>
        <v>3.25999999999999E-2</v>
      </c>
      <c r="G8" s="1708">
        <f>+(1/(1-F8)/(1-E8)-1)</f>
        <v>3.8217571274249185E-2</v>
      </c>
      <c r="H8" s="1709">
        <f ca="1">+D8/(1-F8)/(1-E8)</f>
        <v>6.0989597924007537</v>
      </c>
      <c r="I8" s="1706">
        <f ca="1">+$T$14</f>
        <v>2.0362518802107901</v>
      </c>
      <c r="J8" s="1706">
        <f>+$T$13</f>
        <v>0.69421935180642014</v>
      </c>
      <c r="K8" s="1710">
        <f ca="1">+$T$15</f>
        <v>1.7103320621113585</v>
      </c>
      <c r="L8" s="1709">
        <f ca="1">+MAX(C8-SUM(H8:K8),0)</f>
        <v>2.3294557157736726</v>
      </c>
      <c r="M8" s="1709">
        <f ca="1">$T$16*20%</f>
        <v>1.7122242469242399</v>
      </c>
      <c r="N8" s="1711">
        <f ca="1">MIN(L8,M8)</f>
        <v>1.7122242469242399</v>
      </c>
      <c r="O8" s="1712">
        <f>+'Tariff Schedule'!X8</f>
        <v>0.98</v>
      </c>
      <c r="P8" s="1711">
        <f ca="1">N8*O8</f>
        <v>1.677979761985755</v>
      </c>
      <c r="S8" s="1713" t="s">
        <v>1817</v>
      </c>
      <c r="T8" s="1714">
        <f>+'F1.4'!L43</f>
        <v>4.3526500642194974E-3</v>
      </c>
      <c r="U8" s="1714">
        <f>+'F1.4'!M43</f>
        <v>4.3526500642195017E-3</v>
      </c>
      <c r="V8" s="1714">
        <f>+'F1.4'!N43</f>
        <v>4.352650064219356E-3</v>
      </c>
      <c r="W8" s="1714">
        <f>+'F1.4'!O43</f>
        <v>4.3526500642195633E-3</v>
      </c>
    </row>
    <row r="9" spans="1:23" x14ac:dyDescent="0.3">
      <c r="B9" s="1715" t="s">
        <v>1531</v>
      </c>
      <c r="C9" s="1706"/>
      <c r="D9" s="1706"/>
      <c r="E9" s="1707"/>
      <c r="F9" s="1707"/>
      <c r="G9" s="1707"/>
      <c r="H9" s="1710"/>
      <c r="I9" s="1706"/>
      <c r="J9" s="1706"/>
      <c r="K9" s="1710"/>
      <c r="L9" s="1710"/>
      <c r="M9" s="1710"/>
      <c r="N9" s="1710"/>
      <c r="O9" s="1716"/>
      <c r="P9" s="1716"/>
      <c r="S9" s="1713" t="s">
        <v>1808</v>
      </c>
      <c r="T9" s="1714">
        <f>+'F1.4'!L35</f>
        <v>3.25999999999999E-2</v>
      </c>
      <c r="U9" s="1714">
        <f>+'F1.4'!M35</f>
        <v>3.2400000000000165E-2</v>
      </c>
      <c r="V9" s="1714">
        <f>+'F1.4'!N35</f>
        <v>3.2200000000000006E-2</v>
      </c>
      <c r="W9" s="1714">
        <f>+'F1.4'!O35</f>
        <v>3.2000000000000084E-2</v>
      </c>
    </row>
    <row r="10" spans="1:23" x14ac:dyDescent="0.3">
      <c r="B10" s="1717" t="s">
        <v>1529</v>
      </c>
      <c r="C10" s="1706">
        <f ca="1">+'F14.2'!X51</f>
        <v>8.530120647094364</v>
      </c>
      <c r="D10" s="1706">
        <f ca="1">+$T$18</f>
        <v>5.8744524858264899</v>
      </c>
      <c r="E10" s="1707">
        <f>+$T$8</f>
        <v>4.3526500642194974E-3</v>
      </c>
      <c r="F10" s="1707">
        <f>+$T$9</f>
        <v>3.25999999999999E-2</v>
      </c>
      <c r="G10" s="1708">
        <f>+(1/(1-F10)/(1-E10)-1)</f>
        <v>3.8217571274249185E-2</v>
      </c>
      <c r="H10" s="1709">
        <f ca="1">+D10/(1-F10)/(1-E10)</f>
        <v>6.0989597924007537</v>
      </c>
      <c r="I10" s="1706">
        <f ca="1">+$T$14</f>
        <v>2.0362518802107901</v>
      </c>
      <c r="J10" s="1706">
        <f>+$T$13</f>
        <v>0.69421935180642014</v>
      </c>
      <c r="K10" s="1710">
        <f ca="1">+$T$15</f>
        <v>1.7103320621113585</v>
      </c>
      <c r="L10" s="1709">
        <f ca="1">+MAX(C10-SUM(H10:K10),0)</f>
        <v>0</v>
      </c>
      <c r="M10" s="1709">
        <f ca="1">$T$16*20%</f>
        <v>1.7122242469242399</v>
      </c>
      <c r="N10" s="1711">
        <f ca="1">MIN(L10,M10)</f>
        <v>0</v>
      </c>
      <c r="O10" s="1712">
        <f>+'Tariff Schedule'!X10</f>
        <v>0.98</v>
      </c>
      <c r="P10" s="1711">
        <f ca="1">N10*O10</f>
        <v>0</v>
      </c>
      <c r="S10" s="1713" t="s">
        <v>1809</v>
      </c>
      <c r="T10" s="1718">
        <f>+'F2.2'!L11+'F2.2'!L14</f>
        <v>11.310947312321973</v>
      </c>
      <c r="U10" s="1718">
        <f>+'F2.2'!M11+'F2.2'!M14</f>
        <v>13.087837953424653</v>
      </c>
      <c r="V10" s="1718">
        <f>+'F2.2'!N11+'F2.2'!N14</f>
        <v>15.424127077552335</v>
      </c>
      <c r="W10" s="1718">
        <f>+'F2.2'!O11+'F2.2'!O14</f>
        <v>15.535803053879679</v>
      </c>
    </row>
    <row r="11" spans="1:23" x14ac:dyDescent="0.3">
      <c r="S11" s="1713" t="s">
        <v>1810</v>
      </c>
      <c r="T11" s="1718">
        <f ca="1">+'ARR-Summary'!AB121+'Gap Adjustment'!K95</f>
        <v>27.86651768029504</v>
      </c>
      <c r="U11" s="1718">
        <f ca="1">+'Gap Adjustment'!L95</f>
        <v>1.919060865625009</v>
      </c>
      <c r="V11" s="1718">
        <f ca="1">+'Gap Adjustment'!M95</f>
        <v>0.74360766038403936</v>
      </c>
      <c r="W11" s="1718">
        <f>+'Gap Adjustment'!N95</f>
        <v>0</v>
      </c>
    </row>
    <row r="12" spans="1:23" x14ac:dyDescent="0.3">
      <c r="B12" s="1700" t="s">
        <v>125</v>
      </c>
      <c r="C12" s="1698"/>
      <c r="D12" s="1698"/>
      <c r="E12" s="1698"/>
      <c r="F12" s="1698"/>
      <c r="G12" s="1698"/>
      <c r="H12" s="1698"/>
      <c r="I12" s="1698"/>
      <c r="J12" s="1698"/>
      <c r="K12" s="1698"/>
      <c r="L12" s="1698"/>
      <c r="M12" s="1698"/>
      <c r="S12" s="1713" t="s">
        <v>1811</v>
      </c>
      <c r="T12" s="1718">
        <f>+'F1 SEZ'!K34</f>
        <v>162.93045249876553</v>
      </c>
      <c r="U12" s="1718">
        <f>+'F1 SEZ'!L34</f>
        <v>203.50425249876554</v>
      </c>
      <c r="V12" s="1718">
        <f>+'F1 SEZ'!M34</f>
        <v>244.26020333168742</v>
      </c>
      <c r="W12" s="1718">
        <f>+'F1 SEZ'!N34</f>
        <v>265.28420333168748</v>
      </c>
    </row>
    <row r="13" spans="1:23" x14ac:dyDescent="0.3">
      <c r="B13" s="1701" t="s">
        <v>814</v>
      </c>
      <c r="C13" s="1702" t="s">
        <v>1798</v>
      </c>
      <c r="D13" s="1702" t="s">
        <v>274</v>
      </c>
      <c r="E13" s="1702" t="s">
        <v>1799</v>
      </c>
      <c r="F13" s="1702" t="s">
        <v>1800</v>
      </c>
      <c r="G13" s="1702" t="s">
        <v>1801</v>
      </c>
      <c r="H13" s="1702" t="s">
        <v>1802</v>
      </c>
      <c r="I13" s="1702" t="s">
        <v>1805</v>
      </c>
      <c r="J13" s="1702" t="s">
        <v>1806</v>
      </c>
      <c r="K13" s="1702" t="s">
        <v>1803</v>
      </c>
      <c r="L13" s="1702" t="s">
        <v>1804</v>
      </c>
      <c r="M13" s="1702" t="s">
        <v>1819</v>
      </c>
      <c r="N13" s="1702" t="s">
        <v>1820</v>
      </c>
      <c r="O13" s="1702" t="s">
        <v>1821</v>
      </c>
      <c r="P13" s="1702" t="s">
        <v>1804</v>
      </c>
      <c r="S13" s="1713" t="s">
        <v>1812</v>
      </c>
      <c r="T13" s="1718">
        <f>T10/T12*10</f>
        <v>0.69421935180642014</v>
      </c>
      <c r="U13" s="1718">
        <f>U10/U12*10</f>
        <v>0.64312356094396828</v>
      </c>
      <c r="V13" s="1718">
        <f>V10/V12*10</f>
        <v>0.63146295905631022</v>
      </c>
      <c r="W13" s="1718">
        <f>W10/W12*10</f>
        <v>0.58562865254570429</v>
      </c>
    </row>
    <row r="14" spans="1:23" x14ac:dyDescent="0.3">
      <c r="B14" s="1701"/>
      <c r="C14" s="1702" t="s">
        <v>821</v>
      </c>
      <c r="D14" s="1702" t="s">
        <v>821</v>
      </c>
      <c r="E14" s="1702" t="s">
        <v>243</v>
      </c>
      <c r="F14" s="1702" t="s">
        <v>243</v>
      </c>
      <c r="G14" s="1702" t="s">
        <v>243</v>
      </c>
      <c r="H14" s="1702" t="s">
        <v>821</v>
      </c>
      <c r="I14" s="1702" t="s">
        <v>821</v>
      </c>
      <c r="J14" s="1702" t="s">
        <v>821</v>
      </c>
      <c r="K14" s="1702" t="s">
        <v>821</v>
      </c>
      <c r="L14" s="1702" t="s">
        <v>1822</v>
      </c>
      <c r="M14" s="1702" t="s">
        <v>1822</v>
      </c>
      <c r="N14" s="1702" t="s">
        <v>1822</v>
      </c>
      <c r="O14" s="1702"/>
      <c r="P14" s="1702" t="s">
        <v>1823</v>
      </c>
      <c r="S14" s="1719" t="s">
        <v>1813</v>
      </c>
      <c r="T14" s="1718">
        <f ca="1">+'Gap Adjustment'!K125</f>
        <v>2.0362518802107901</v>
      </c>
      <c r="U14" s="1718">
        <f ca="1">+'Gap Adjustment'!L125</f>
        <v>1.9873088772482101</v>
      </c>
      <c r="V14" s="1718">
        <f ca="1">+'Gap Adjustment'!M125</f>
        <v>1.9989926803055322</v>
      </c>
      <c r="W14" s="1718">
        <f ca="1">+'Gap Adjustment'!N125</f>
        <v>2.0257973992844067</v>
      </c>
    </row>
    <row r="15" spans="1:23" x14ac:dyDescent="0.3">
      <c r="B15" s="1705" t="s">
        <v>1519</v>
      </c>
      <c r="C15" s="1706">
        <f ca="1">+'F14.3'!X13</f>
        <v>8.2553470932351818</v>
      </c>
      <c r="D15" s="1706">
        <f ca="1">+$U$18</f>
        <v>6.0319609972164612</v>
      </c>
      <c r="E15" s="1707">
        <f>+$U$8</f>
        <v>4.3526500642195017E-3</v>
      </c>
      <c r="F15" s="1707">
        <f>+$U$9</f>
        <v>3.2400000000000165E-2</v>
      </c>
      <c r="G15" s="1708">
        <f>+(1/(1-F15)/(1-E15)-1)</f>
        <v>3.8002974835375181E-2</v>
      </c>
      <c r="H15" s="1709">
        <f ca="1">+D15/(1-F15)/(1-E15)</f>
        <v>6.2611934592016416</v>
      </c>
      <c r="I15" s="1706">
        <f ca="1">+$U$14</f>
        <v>1.9873088772482101</v>
      </c>
      <c r="J15" s="1706">
        <f>+$U$13</f>
        <v>0.64312356094396828</v>
      </c>
      <c r="K15" s="1710">
        <f ca="1">+$U$15</f>
        <v>9.4300774655146344E-2</v>
      </c>
      <c r="L15" s="1709">
        <f ca="1">+MAX(C15-SUM(H15:K15),0)</f>
        <v>0</v>
      </c>
      <c r="M15" s="1709">
        <f ca="1">$U$16*20%</f>
        <v>1.6511028028742385</v>
      </c>
      <c r="N15" s="1711">
        <f ca="1">MIN(L15,M15)</f>
        <v>0</v>
      </c>
      <c r="O15" s="1712">
        <f>+O7</f>
        <v>0.99</v>
      </c>
      <c r="P15" s="1711">
        <f ca="1">N15*O15</f>
        <v>0</v>
      </c>
      <c r="S15" s="1713" t="s">
        <v>1814</v>
      </c>
      <c r="T15" s="1718">
        <f ca="1">T11/T12*10</f>
        <v>1.7103320621113585</v>
      </c>
      <c r="U15" s="1718">
        <f ca="1">U11/U12*10</f>
        <v>9.4300774655146344E-2</v>
      </c>
      <c r="V15" s="1718">
        <f ca="1">V11/V12*10</f>
        <v>3.0443258878904426E-2</v>
      </c>
      <c r="W15" s="1718">
        <f>W11/W12*10</f>
        <v>0</v>
      </c>
    </row>
    <row r="16" spans="1:23" x14ac:dyDescent="0.3">
      <c r="B16" s="1715" t="s">
        <v>1522</v>
      </c>
      <c r="C16" s="1706">
        <f ca="1">+'F14.3'!X18</f>
        <v>13.117731252594977</v>
      </c>
      <c r="D16" s="1706">
        <f ca="1">+$U$18</f>
        <v>6.0319609972164612</v>
      </c>
      <c r="E16" s="1707">
        <f>+$U$8</f>
        <v>4.3526500642195017E-3</v>
      </c>
      <c r="F16" s="1707">
        <f>+$U$9</f>
        <v>3.2400000000000165E-2</v>
      </c>
      <c r="G16" s="1708">
        <f>+(1/(1-F16)/(1-E16)-1)</f>
        <v>3.8002974835375181E-2</v>
      </c>
      <c r="H16" s="1709">
        <f ca="1">+D16/(1-F16)/(1-E16)</f>
        <v>6.2611934592016416</v>
      </c>
      <c r="I16" s="1706">
        <f ca="1">+$U$14</f>
        <v>1.9873088772482101</v>
      </c>
      <c r="J16" s="1706">
        <f>+$U$13</f>
        <v>0.64312356094396828</v>
      </c>
      <c r="K16" s="1710">
        <f ca="1">+$U$15</f>
        <v>9.4300774655146344E-2</v>
      </c>
      <c r="L16" s="1709">
        <f ca="1">+MAX(C16-SUM(H16:K16),0)</f>
        <v>4.131804580546012</v>
      </c>
      <c r="M16" s="1709">
        <f ca="1">$U$16*20%</f>
        <v>1.6511028028742385</v>
      </c>
      <c r="N16" s="1711">
        <f ca="1">MIN(L16,M16)</f>
        <v>1.6511028028742385</v>
      </c>
      <c r="O16" s="1712">
        <f>+O8</f>
        <v>0.98</v>
      </c>
      <c r="P16" s="1711">
        <f ca="1">N16*O16</f>
        <v>1.6180807468167537</v>
      </c>
      <c r="S16" s="1713" t="s">
        <v>1815</v>
      </c>
      <c r="T16" s="1718">
        <f ca="1">+'Gap Adjustment'!K124</f>
        <v>8.5611212346211989</v>
      </c>
      <c r="U16" s="1718">
        <f ca="1">+'Gap Adjustment'!L124</f>
        <v>8.255514014371192</v>
      </c>
      <c r="V16" s="1718">
        <f ca="1">+'Gap Adjustment'!M124</f>
        <v>8.0361346140446681</v>
      </c>
      <c r="W16" s="1718">
        <f ca="1">+'Gap Adjustment'!N124</f>
        <v>7.8644202201161173</v>
      </c>
    </row>
    <row r="17" spans="2:23" x14ac:dyDescent="0.3">
      <c r="B17" s="1715" t="s">
        <v>1531</v>
      </c>
      <c r="C17" s="1706"/>
      <c r="D17" s="1706"/>
      <c r="E17" s="1707"/>
      <c r="F17" s="1707"/>
      <c r="G17" s="1707"/>
      <c r="H17" s="1710"/>
      <c r="I17" s="1706"/>
      <c r="J17" s="1706"/>
      <c r="K17" s="1710"/>
      <c r="L17" s="1710"/>
      <c r="M17" s="1710"/>
      <c r="N17" s="1710"/>
      <c r="O17" s="1716"/>
      <c r="P17" s="1716"/>
      <c r="S17" s="1713" t="s">
        <v>1816</v>
      </c>
      <c r="T17" s="1718">
        <f ca="1">+'Gap Adjustment'!K126</f>
        <v>6.5248693544104093</v>
      </c>
      <c r="U17" s="1718">
        <f ca="1">+'Gap Adjustment'!L126</f>
        <v>6.2682051371229832</v>
      </c>
      <c r="V17" s="1718">
        <f ca="1">+'Gap Adjustment'!M126</f>
        <v>6.037141933739135</v>
      </c>
      <c r="W17" s="1718">
        <f ca="1">+'Gap Adjustment'!N126</f>
        <v>5.8386228208317092</v>
      </c>
    </row>
    <row r="18" spans="2:23" x14ac:dyDescent="0.3">
      <c r="B18" s="1717" t="s">
        <v>1529</v>
      </c>
      <c r="C18" s="1706">
        <f ca="1">+'F14.3'!X51</f>
        <v>8.2824544323859968</v>
      </c>
      <c r="D18" s="1706">
        <f ca="1">+$U$18</f>
        <v>6.0319609972164612</v>
      </c>
      <c r="E18" s="1707">
        <f>+$U$8</f>
        <v>4.3526500642195017E-3</v>
      </c>
      <c r="F18" s="1707">
        <f>+$U$9</f>
        <v>3.2400000000000165E-2</v>
      </c>
      <c r="G18" s="1708">
        <f>+(1/(1-F18)/(1-E18)-1)</f>
        <v>3.8002974835375181E-2</v>
      </c>
      <c r="H18" s="1709">
        <f ca="1">+D18/(1-F18)/(1-E18)</f>
        <v>6.2611934592016416</v>
      </c>
      <c r="I18" s="1706">
        <f ca="1">+$U$14</f>
        <v>1.9873088772482101</v>
      </c>
      <c r="J18" s="1706">
        <f>+$U$13</f>
        <v>0.64312356094396828</v>
      </c>
      <c r="K18" s="1710">
        <f ca="1">+$U$15</f>
        <v>9.4300774655146344E-2</v>
      </c>
      <c r="L18" s="1709">
        <f ca="1">+MAX(C18-SUM(H18:K18),0)</f>
        <v>0</v>
      </c>
      <c r="M18" s="1709">
        <f ca="1">$U$16*20%</f>
        <v>1.6511028028742385</v>
      </c>
      <c r="N18" s="1711">
        <f ca="1">MIN(L18,M18)</f>
        <v>0</v>
      </c>
      <c r="O18" s="1712">
        <f>+O10</f>
        <v>0.98</v>
      </c>
      <c r="P18" s="1711">
        <f ca="1">N18*O18</f>
        <v>0</v>
      </c>
      <c r="S18" s="1713" t="s">
        <v>1818</v>
      </c>
      <c r="T18" s="1718">
        <f ca="1">+'F2'!R154</f>
        <v>5.8744524858264899</v>
      </c>
      <c r="U18" s="1718">
        <f ca="1">+'F2'!R167</f>
        <v>6.0319609972164612</v>
      </c>
      <c r="V18" s="1718">
        <f ca="1">+'F2'!R179</f>
        <v>6.1004903803954456</v>
      </c>
      <c r="W18" s="1718">
        <f ca="1">+'F2'!R192</f>
        <v>6.2</v>
      </c>
    </row>
    <row r="20" spans="2:23" x14ac:dyDescent="0.3">
      <c r="B20" s="1700" t="s">
        <v>126</v>
      </c>
      <c r="C20" s="1698"/>
      <c r="D20" s="1698"/>
      <c r="E20" s="1698"/>
      <c r="F20" s="1698"/>
      <c r="G20" s="1698"/>
      <c r="H20" s="1698"/>
      <c r="I20" s="1698"/>
      <c r="J20" s="1698"/>
      <c r="K20" s="1698"/>
      <c r="L20" s="1698"/>
      <c r="M20" s="1698"/>
    </row>
    <row r="21" spans="2:23" x14ac:dyDescent="0.3">
      <c r="B21" s="1701" t="s">
        <v>814</v>
      </c>
      <c r="C21" s="1702" t="s">
        <v>1798</v>
      </c>
      <c r="D21" s="1702" t="s">
        <v>274</v>
      </c>
      <c r="E21" s="1702" t="s">
        <v>1799</v>
      </c>
      <c r="F21" s="1702" t="s">
        <v>1800</v>
      </c>
      <c r="G21" s="1702" t="s">
        <v>1801</v>
      </c>
      <c r="H21" s="1702" t="s">
        <v>1802</v>
      </c>
      <c r="I21" s="1702" t="s">
        <v>1805</v>
      </c>
      <c r="J21" s="1702" t="s">
        <v>1806</v>
      </c>
      <c r="K21" s="1702" t="s">
        <v>1803</v>
      </c>
      <c r="L21" s="1702" t="s">
        <v>1804</v>
      </c>
      <c r="M21" s="1702" t="s">
        <v>1819</v>
      </c>
      <c r="N21" s="1702" t="s">
        <v>1820</v>
      </c>
      <c r="O21" s="1702" t="s">
        <v>1821</v>
      </c>
      <c r="P21" s="1702" t="s">
        <v>1804</v>
      </c>
    </row>
    <row r="22" spans="2:23" x14ac:dyDescent="0.3">
      <c r="B22" s="1701"/>
      <c r="C22" s="1702" t="s">
        <v>821</v>
      </c>
      <c r="D22" s="1702" t="s">
        <v>821</v>
      </c>
      <c r="E22" s="1702" t="s">
        <v>243</v>
      </c>
      <c r="F22" s="1702" t="s">
        <v>243</v>
      </c>
      <c r="G22" s="1702" t="s">
        <v>243</v>
      </c>
      <c r="H22" s="1702" t="s">
        <v>821</v>
      </c>
      <c r="I22" s="1702" t="s">
        <v>821</v>
      </c>
      <c r="J22" s="1702" t="s">
        <v>821</v>
      </c>
      <c r="K22" s="1702" t="s">
        <v>821</v>
      </c>
      <c r="L22" s="1702" t="s">
        <v>1822</v>
      </c>
      <c r="M22" s="1702" t="s">
        <v>1822</v>
      </c>
      <c r="N22" s="1702" t="s">
        <v>1822</v>
      </c>
      <c r="O22" s="1702"/>
      <c r="P22" s="1702" t="s">
        <v>1823</v>
      </c>
    </row>
    <row r="23" spans="2:23" x14ac:dyDescent="0.3">
      <c r="B23" s="1720" t="str">
        <f>B15</f>
        <v xml:space="preserve">HT-INDUSTRIAL </v>
      </c>
      <c r="C23" s="1706">
        <f ca="1">+'F14.4'!X13</f>
        <v>8.0340188968858879</v>
      </c>
      <c r="D23" s="1706">
        <f ca="1">+$V$18</f>
        <v>6.1004903803954456</v>
      </c>
      <c r="E23" s="1707">
        <f>+$V$8</f>
        <v>4.352650064219356E-3</v>
      </c>
      <c r="F23" s="1707">
        <f>+$V$9</f>
        <v>3.2200000000000006E-2</v>
      </c>
      <c r="G23" s="1708">
        <f>+(1/(1-F23)/(1-E23)-1)</f>
        <v>3.7788467091040001E-2</v>
      </c>
      <c r="H23" s="1709">
        <f ca="1">+D23/(1-F23)/(1-E23)</f>
        <v>6.3310185603742255</v>
      </c>
      <c r="I23" s="1706">
        <f ca="1">+$V$14</f>
        <v>1.9989926803055322</v>
      </c>
      <c r="J23" s="1706">
        <f>+$V$13</f>
        <v>0.63146295905631022</v>
      </c>
      <c r="K23" s="1710">
        <f ca="1">+$V$15</f>
        <v>3.0443258878904426E-2</v>
      </c>
      <c r="L23" s="1709">
        <f ca="1">+MAX(C23-SUM(H23:K23),0)</f>
        <v>0</v>
      </c>
      <c r="M23" s="1709">
        <f ca="1">$V$16*20%</f>
        <v>1.6072269228089338</v>
      </c>
      <c r="N23" s="1711">
        <f ca="1">MIN(L23,M23)</f>
        <v>0</v>
      </c>
      <c r="O23" s="1712">
        <f>+O15</f>
        <v>0.99</v>
      </c>
      <c r="P23" s="1711">
        <f ca="1">N23*O23</f>
        <v>0</v>
      </c>
    </row>
    <row r="24" spans="2:23" x14ac:dyDescent="0.3">
      <c r="B24" s="1721" t="str">
        <f>B16</f>
        <v>HT-COMMERCIAL</v>
      </c>
      <c r="C24" s="1706">
        <f ca="1">+'F14.4'!X18</f>
        <v>11.598322940001616</v>
      </c>
      <c r="D24" s="1706">
        <f ca="1">+$V$18</f>
        <v>6.1004903803954456</v>
      </c>
      <c r="E24" s="1707">
        <f>+$V$8</f>
        <v>4.352650064219356E-3</v>
      </c>
      <c r="F24" s="1707">
        <f>+$V$9</f>
        <v>3.2200000000000006E-2</v>
      </c>
      <c r="G24" s="1708">
        <f>+(1/(1-F24)/(1-E24)-1)</f>
        <v>3.7788467091040001E-2</v>
      </c>
      <c r="H24" s="1709">
        <f ca="1">+D24/(1-F24)/(1-E24)</f>
        <v>6.3310185603742255</v>
      </c>
      <c r="I24" s="1706">
        <f ca="1">+$V$14</f>
        <v>1.9989926803055322</v>
      </c>
      <c r="J24" s="1706">
        <f>+$V$13</f>
        <v>0.63146295905631022</v>
      </c>
      <c r="K24" s="1710">
        <f ca="1">+$V$15</f>
        <v>3.0443258878904426E-2</v>
      </c>
      <c r="L24" s="1709">
        <f ca="1">+MAX(C24-SUM(H24:K24),0)</f>
        <v>2.6064054813866431</v>
      </c>
      <c r="M24" s="1709">
        <f ca="1">$V$16*20%</f>
        <v>1.6072269228089338</v>
      </c>
      <c r="N24" s="1711">
        <f ca="1">MIN(L24,M24)</f>
        <v>1.6072269228089338</v>
      </c>
      <c r="O24" s="1712">
        <f>+O16</f>
        <v>0.98</v>
      </c>
      <c r="P24" s="1711">
        <f ca="1">N24*O24</f>
        <v>1.575082384352755</v>
      </c>
    </row>
    <row r="25" spans="2:23" x14ac:dyDescent="0.3">
      <c r="B25" s="1721" t="str">
        <f>B17</f>
        <v>LT-INDUSTRIAL</v>
      </c>
      <c r="C25" s="1706"/>
      <c r="D25" s="1706"/>
      <c r="E25" s="1707"/>
      <c r="F25" s="1707"/>
      <c r="G25" s="1707"/>
      <c r="H25" s="1710"/>
      <c r="I25" s="1706"/>
      <c r="J25" s="1706"/>
      <c r="K25" s="1710"/>
      <c r="L25" s="1710"/>
      <c r="M25" s="1710"/>
      <c r="N25" s="1710"/>
      <c r="O25" s="1716"/>
      <c r="P25" s="1716"/>
    </row>
    <row r="26" spans="2:23" x14ac:dyDescent="0.3">
      <c r="B26" s="1721" t="str">
        <f>B18</f>
        <v>0-20 kW</v>
      </c>
      <c r="C26" s="1706">
        <f ca="1">+'F14.4'!X51</f>
        <v>8.0393728896310748</v>
      </c>
      <c r="D26" s="1706">
        <f ca="1">+$V$18</f>
        <v>6.1004903803954456</v>
      </c>
      <c r="E26" s="1707">
        <f>+$V$8</f>
        <v>4.352650064219356E-3</v>
      </c>
      <c r="F26" s="1707">
        <f>+$V$9</f>
        <v>3.2200000000000006E-2</v>
      </c>
      <c r="G26" s="1708">
        <f>+(1/(1-F26)/(1-E26)-1)</f>
        <v>3.7788467091040001E-2</v>
      </c>
      <c r="H26" s="1709">
        <f ca="1">+D26/(1-F26)/(1-E26)</f>
        <v>6.3310185603742255</v>
      </c>
      <c r="I26" s="1706">
        <f ca="1">+$V$14</f>
        <v>1.9989926803055322</v>
      </c>
      <c r="J26" s="1706">
        <f>+$V$13</f>
        <v>0.63146295905631022</v>
      </c>
      <c r="K26" s="1710">
        <f ca="1">+$V$15</f>
        <v>3.0443258878904426E-2</v>
      </c>
      <c r="L26" s="1709">
        <f ca="1">+MAX(C26-SUM(H26:K26),0)</f>
        <v>0</v>
      </c>
      <c r="M26" s="1709">
        <f ca="1">$V$16*20%</f>
        <v>1.6072269228089338</v>
      </c>
      <c r="N26" s="1711">
        <f ca="1">MIN(L26,M26)</f>
        <v>0</v>
      </c>
      <c r="O26" s="1712">
        <f>+O18</f>
        <v>0.98</v>
      </c>
      <c r="P26" s="1711">
        <f ca="1">N26*O26</f>
        <v>0</v>
      </c>
    </row>
    <row r="28" spans="2:23" x14ac:dyDescent="0.3">
      <c r="B28" s="1700" t="s">
        <v>127</v>
      </c>
      <c r="C28" s="1698"/>
      <c r="D28" s="1698"/>
      <c r="E28" s="1698"/>
      <c r="F28" s="1698"/>
      <c r="G28" s="1698"/>
      <c r="H28" s="1698"/>
      <c r="I28" s="1698"/>
      <c r="J28" s="1698"/>
      <c r="K28" s="1698"/>
      <c r="L28" s="1698"/>
      <c r="M28" s="1698"/>
    </row>
    <row r="29" spans="2:23" x14ac:dyDescent="0.3">
      <c r="B29" s="1701" t="s">
        <v>814</v>
      </c>
      <c r="C29" s="1702" t="s">
        <v>1798</v>
      </c>
      <c r="D29" s="1702" t="s">
        <v>274</v>
      </c>
      <c r="E29" s="1702" t="s">
        <v>1799</v>
      </c>
      <c r="F29" s="1702" t="s">
        <v>1800</v>
      </c>
      <c r="G29" s="1702" t="s">
        <v>1801</v>
      </c>
      <c r="H29" s="1702" t="s">
        <v>1802</v>
      </c>
      <c r="I29" s="1702" t="s">
        <v>1805</v>
      </c>
      <c r="J29" s="1702" t="s">
        <v>1806</v>
      </c>
      <c r="K29" s="1702" t="s">
        <v>1803</v>
      </c>
      <c r="L29" s="1702" t="s">
        <v>1804</v>
      </c>
      <c r="M29" s="1702" t="s">
        <v>1819</v>
      </c>
      <c r="N29" s="1702" t="s">
        <v>1820</v>
      </c>
      <c r="O29" s="1702" t="s">
        <v>1821</v>
      </c>
      <c r="P29" s="1702" t="s">
        <v>1804</v>
      </c>
    </row>
    <row r="30" spans="2:23" x14ac:dyDescent="0.3">
      <c r="B30" s="1701"/>
      <c r="C30" s="1702" t="s">
        <v>821</v>
      </c>
      <c r="D30" s="1702" t="s">
        <v>821</v>
      </c>
      <c r="E30" s="1702" t="s">
        <v>243</v>
      </c>
      <c r="F30" s="1702" t="s">
        <v>243</v>
      </c>
      <c r="G30" s="1702" t="s">
        <v>243</v>
      </c>
      <c r="H30" s="1702" t="s">
        <v>821</v>
      </c>
      <c r="I30" s="1702" t="s">
        <v>821</v>
      </c>
      <c r="J30" s="1702" t="s">
        <v>821</v>
      </c>
      <c r="K30" s="1702" t="s">
        <v>821</v>
      </c>
      <c r="L30" s="1702" t="s">
        <v>1822</v>
      </c>
      <c r="M30" s="1702" t="s">
        <v>1822</v>
      </c>
      <c r="N30" s="1702" t="s">
        <v>1822</v>
      </c>
      <c r="O30" s="1702"/>
      <c r="P30" s="1702" t="s">
        <v>1824</v>
      </c>
    </row>
    <row r="31" spans="2:23" x14ac:dyDescent="0.3">
      <c r="B31" s="1720" t="str">
        <f>B23</f>
        <v xml:space="preserve">HT-INDUSTRIAL </v>
      </c>
      <c r="C31" s="1706">
        <f ca="1">+'F14.5'!X13</f>
        <v>7.8690567586435591</v>
      </c>
      <c r="D31" s="1706">
        <f ca="1">+$W$18</f>
        <v>6.2</v>
      </c>
      <c r="E31" s="1707">
        <f>+$W$8</f>
        <v>4.3526500642195633E-3</v>
      </c>
      <c r="F31" s="1707">
        <f>+$W$9</f>
        <v>3.2000000000000084E-2</v>
      </c>
      <c r="G31" s="1708">
        <f>+(1/(1-F31)/(1-E31)-1)</f>
        <v>3.7574047986269621E-2</v>
      </c>
      <c r="H31" s="1709">
        <f ca="1">+D31/(1-F31)/(1-E31)</f>
        <v>6.4329590975148703</v>
      </c>
      <c r="I31" s="1706">
        <f ca="1">+$W$14</f>
        <v>2.0257973992844067</v>
      </c>
      <c r="J31" s="1706">
        <f>+$W$13</f>
        <v>0.58562865254570429</v>
      </c>
      <c r="K31" s="1710">
        <f>+$W$15</f>
        <v>0</v>
      </c>
      <c r="L31" s="1709">
        <f ca="1">+MAX(C31-SUM(H31:K31),0)</f>
        <v>0</v>
      </c>
      <c r="M31" s="1709">
        <f ca="1">$W$16*20%</f>
        <v>1.5728840440232235</v>
      </c>
      <c r="N31" s="1711">
        <f ca="1">MIN(L31,M31)</f>
        <v>0</v>
      </c>
      <c r="O31" s="1712">
        <f>+O23</f>
        <v>0.99</v>
      </c>
      <c r="P31" s="1711">
        <f ca="1">N31*O31</f>
        <v>0</v>
      </c>
    </row>
    <row r="32" spans="2:23" x14ac:dyDescent="0.3">
      <c r="B32" s="1721" t="str">
        <f>B24</f>
        <v>HT-COMMERCIAL</v>
      </c>
      <c r="C32" s="1706">
        <f ca="1">+'F14.5'!X18</f>
        <v>11.776012127812653</v>
      </c>
      <c r="D32" s="1706">
        <f ca="1">+$W$18</f>
        <v>6.2</v>
      </c>
      <c r="E32" s="1707">
        <f>+$W$8</f>
        <v>4.3526500642195633E-3</v>
      </c>
      <c r="F32" s="1707">
        <f>+$W$9</f>
        <v>3.2000000000000084E-2</v>
      </c>
      <c r="G32" s="1708">
        <f>+(1/(1-F32)/(1-E32)-1)</f>
        <v>3.7574047986269621E-2</v>
      </c>
      <c r="H32" s="1709">
        <f ca="1">+D32/(1-F32)/(1-E32)</f>
        <v>6.4329590975148703</v>
      </c>
      <c r="I32" s="1706">
        <f ca="1">+$W$14</f>
        <v>2.0257973992844067</v>
      </c>
      <c r="J32" s="1706">
        <f>+$W$13</f>
        <v>0.58562865254570429</v>
      </c>
      <c r="K32" s="1710">
        <f>+$W$15</f>
        <v>0</v>
      </c>
      <c r="L32" s="1709">
        <f ca="1">+MAX(C32-SUM(H32:K32),0)</f>
        <v>2.7316269784676717</v>
      </c>
      <c r="M32" s="1709">
        <f ca="1">$W$16*20%</f>
        <v>1.5728840440232235</v>
      </c>
      <c r="N32" s="1711">
        <f ca="1">MIN(L32,M32)</f>
        <v>1.5728840440232235</v>
      </c>
      <c r="O32" s="1712">
        <f>+O24</f>
        <v>0.98</v>
      </c>
      <c r="P32" s="1711">
        <f ca="1">N32*O32</f>
        <v>1.5414263631427589</v>
      </c>
    </row>
    <row r="33" spans="2:16" x14ac:dyDescent="0.3">
      <c r="B33" s="1721" t="str">
        <f>B25</f>
        <v>LT-INDUSTRIAL</v>
      </c>
      <c r="C33" s="1706"/>
      <c r="D33" s="1706"/>
      <c r="E33" s="1707"/>
      <c r="F33" s="1707"/>
      <c r="G33" s="1707"/>
      <c r="H33" s="1710"/>
      <c r="I33" s="1706"/>
      <c r="J33" s="1706"/>
      <c r="K33" s="1710"/>
      <c r="L33" s="1710"/>
      <c r="M33" s="1710"/>
      <c r="N33" s="1710"/>
      <c r="O33" s="1716"/>
      <c r="P33" s="1716"/>
    </row>
    <row r="34" spans="2:16" x14ac:dyDescent="0.3">
      <c r="B34" s="1721" t="str">
        <f>B26</f>
        <v>0-20 kW</v>
      </c>
      <c r="C34" s="1706">
        <f ca="1">+'F14.5'!X51</f>
        <v>7.8672504191438559</v>
      </c>
      <c r="D34" s="1706">
        <f ca="1">+$W$18</f>
        <v>6.2</v>
      </c>
      <c r="E34" s="1707">
        <f>+$W$8</f>
        <v>4.3526500642195633E-3</v>
      </c>
      <c r="F34" s="1707">
        <f>+$W$9</f>
        <v>3.2000000000000084E-2</v>
      </c>
      <c r="G34" s="1708">
        <f>+(1/(1-F34)/(1-E34)-1)</f>
        <v>3.7574047986269621E-2</v>
      </c>
      <c r="H34" s="1709">
        <f ca="1">+D34/(1-F34)/(1-E34)</f>
        <v>6.4329590975148703</v>
      </c>
      <c r="I34" s="1706">
        <f ca="1">+$W$14</f>
        <v>2.0257973992844067</v>
      </c>
      <c r="J34" s="1706">
        <f>+$W$13</f>
        <v>0.58562865254570429</v>
      </c>
      <c r="K34" s="1710">
        <f>+$W$15</f>
        <v>0</v>
      </c>
      <c r="L34" s="1709">
        <f ca="1">+MAX(C34-SUM(H34:K34),0)</f>
        <v>0</v>
      </c>
      <c r="M34" s="1709">
        <f ca="1">$W$16*20%</f>
        <v>1.5728840440232235</v>
      </c>
      <c r="N34" s="1711">
        <f ca="1">MIN(L34,M34)</f>
        <v>0</v>
      </c>
      <c r="O34" s="1712">
        <f>+O26</f>
        <v>0.98</v>
      </c>
      <c r="P34" s="1711">
        <f ca="1">N34*O34</f>
        <v>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F700D-641F-428B-87B2-38EC080EA32E}">
  <dimension ref="B2:X130"/>
  <sheetViews>
    <sheetView showGridLines="0" topLeftCell="D117" zoomScale="90" zoomScaleNormal="110" workbookViewId="0">
      <selection activeCell="K50" sqref="K50"/>
    </sheetView>
  </sheetViews>
  <sheetFormatPr defaultColWidth="8.86328125" defaultRowHeight="13.15" x14ac:dyDescent="0.4"/>
  <cols>
    <col min="1" max="1" width="8.86328125" style="1426"/>
    <col min="2" max="2" width="7" style="1426" bestFit="1" customWidth="1"/>
    <col min="3" max="3" width="36" style="1426" customWidth="1"/>
    <col min="4" max="7" width="10.53125" style="1426" bestFit="1" customWidth="1"/>
    <col min="8" max="8" width="8.86328125" style="1426"/>
    <col min="9" max="9" width="7" style="1426" bestFit="1" customWidth="1"/>
    <col min="10" max="10" width="36" style="1426" customWidth="1"/>
    <col min="11" max="14" width="10.53125" style="1426" bestFit="1" customWidth="1"/>
    <col min="15" max="15" width="8.86328125" style="1426"/>
    <col min="16" max="16" width="7" style="1426" bestFit="1" customWidth="1"/>
    <col min="17" max="17" width="36" style="1426" customWidth="1"/>
    <col min="18" max="21" width="10.53125" style="1426" bestFit="1" customWidth="1"/>
    <col min="22" max="22" width="8.86328125" style="1426"/>
    <col min="23" max="23" width="7.33203125" style="1426" bestFit="1" customWidth="1"/>
    <col min="24" max="24" width="12.86328125" style="1428" bestFit="1" customWidth="1"/>
    <col min="25" max="16384" width="8.86328125" style="1426"/>
  </cols>
  <sheetData>
    <row r="2" spans="2:23" x14ac:dyDescent="0.4">
      <c r="B2" s="2008" t="s">
        <v>1698</v>
      </c>
      <c r="C2" s="2008"/>
      <c r="D2" s="2008"/>
      <c r="E2" s="2008"/>
      <c r="F2" s="2008"/>
      <c r="G2" s="2008"/>
      <c r="I2" s="2008" t="s">
        <v>1699</v>
      </c>
      <c r="J2" s="2008"/>
      <c r="K2" s="2008"/>
      <c r="L2" s="2008"/>
      <c r="M2" s="2008"/>
      <c r="N2" s="2008"/>
      <c r="P2" s="2008" t="s">
        <v>1700</v>
      </c>
      <c r="Q2" s="2008"/>
      <c r="R2" s="2008"/>
      <c r="S2" s="2008"/>
      <c r="T2" s="2008"/>
      <c r="U2" s="2008"/>
    </row>
    <row r="3" spans="2:23" x14ac:dyDescent="0.4">
      <c r="B3" s="2088" t="s">
        <v>1675</v>
      </c>
      <c r="C3" s="2088"/>
      <c r="D3" s="2088"/>
      <c r="E3" s="2088"/>
      <c r="F3" s="2088"/>
      <c r="G3" s="2088"/>
      <c r="I3" s="2088" t="s">
        <v>1675</v>
      </c>
      <c r="J3" s="2088"/>
      <c r="K3" s="2088"/>
      <c r="L3" s="2088"/>
      <c r="M3" s="2088"/>
      <c r="N3" s="2088"/>
      <c r="P3" s="2088" t="s">
        <v>1675</v>
      </c>
      <c r="Q3" s="2088"/>
      <c r="R3" s="2088"/>
      <c r="S3" s="2088"/>
      <c r="T3" s="2088"/>
      <c r="U3" s="2088"/>
    </row>
    <row r="4" spans="2:23" x14ac:dyDescent="0.4">
      <c r="B4" s="1461" t="s">
        <v>555</v>
      </c>
      <c r="C4" s="1462" t="s">
        <v>111</v>
      </c>
      <c r="D4" s="1463" t="s">
        <v>1676</v>
      </c>
      <c r="E4" s="1463" t="s">
        <v>1677</v>
      </c>
      <c r="F4" s="1463" t="s">
        <v>1678</v>
      </c>
      <c r="G4" s="1463" t="s">
        <v>1679</v>
      </c>
      <c r="I4" s="1461" t="s">
        <v>555</v>
      </c>
      <c r="J4" s="1462" t="s">
        <v>111</v>
      </c>
      <c r="K4" s="1463" t="s">
        <v>1676</v>
      </c>
      <c r="L4" s="1463" t="s">
        <v>1677</v>
      </c>
      <c r="M4" s="1463" t="s">
        <v>1678</v>
      </c>
      <c r="N4" s="1463" t="s">
        <v>1679</v>
      </c>
      <c r="P4" s="1461" t="s">
        <v>555</v>
      </c>
      <c r="Q4" s="1462" t="s">
        <v>111</v>
      </c>
      <c r="R4" s="1463" t="s">
        <v>1676</v>
      </c>
      <c r="S4" s="1463" t="s">
        <v>1677</v>
      </c>
      <c r="T4" s="1463" t="s">
        <v>1678</v>
      </c>
      <c r="U4" s="1463" t="s">
        <v>1679</v>
      </c>
    </row>
    <row r="5" spans="2:23" x14ac:dyDescent="0.4">
      <c r="B5" s="1464"/>
      <c r="C5" s="2087" t="s">
        <v>1510</v>
      </c>
      <c r="D5" s="2087"/>
      <c r="E5" s="2087"/>
      <c r="F5" s="2087"/>
      <c r="G5" s="2087"/>
      <c r="I5" s="1464"/>
      <c r="J5" s="2087" t="s">
        <v>1510</v>
      </c>
      <c r="K5" s="2087"/>
      <c r="L5" s="2087"/>
      <c r="M5" s="2087"/>
      <c r="N5" s="2087"/>
      <c r="P5" s="1464"/>
      <c r="Q5" s="2087" t="s">
        <v>1510</v>
      </c>
      <c r="R5" s="2087"/>
      <c r="S5" s="2087"/>
      <c r="T5" s="2087"/>
      <c r="U5" s="2087"/>
    </row>
    <row r="6" spans="2:23" x14ac:dyDescent="0.4">
      <c r="B6" s="1416">
        <v>1</v>
      </c>
      <c r="C6" s="727" t="s">
        <v>1680</v>
      </c>
      <c r="D6" s="1465">
        <f ca="1">+'ARR-Summary'!M26</f>
        <v>15.359968521881509</v>
      </c>
      <c r="E6" s="1465">
        <f ca="1">+'ARR-Summary'!N26</f>
        <v>15.560448150162326</v>
      </c>
      <c r="F6" s="1465">
        <f ca="1">+'ARR-Summary'!O26</f>
        <v>15.814403991130082</v>
      </c>
      <c r="G6" s="1465">
        <f ca="1">+'ARR-Summary'!P26</f>
        <v>16.063533508173311</v>
      </c>
      <c r="I6" s="1416">
        <v>1</v>
      </c>
      <c r="J6" s="1682" t="s">
        <v>1680</v>
      </c>
      <c r="K6" s="1682">
        <f ca="1">+'ARR-Summary'!AB26</f>
        <v>8.7267091121384688</v>
      </c>
      <c r="L6" s="1682">
        <f ca="1">+'ARR-Summary'!AC26</f>
        <v>9.0976917133030586</v>
      </c>
      <c r="M6" s="1682">
        <f ca="1">+'ARR-Summary'!AD26</f>
        <v>9.4617653263648904</v>
      </c>
      <c r="N6" s="1682">
        <f ca="1">+'ARR-Summary'!AE26</f>
        <v>9.6327104883795815</v>
      </c>
      <c r="P6" s="1416">
        <v>1</v>
      </c>
      <c r="Q6" s="727" t="s">
        <v>1680</v>
      </c>
      <c r="R6" s="1465">
        <f ca="1">+'ARR-Summary'!AP26</f>
        <v>6.6332594097430402</v>
      </c>
      <c r="S6" s="1465">
        <f ca="1">+'ARR-Summary'!AQ26</f>
        <v>6.4627564368592676</v>
      </c>
      <c r="T6" s="1465">
        <f ca="1">+'ARR-Summary'!AR26</f>
        <v>6.3526386647651867</v>
      </c>
      <c r="U6" s="1465">
        <f ca="1">+'ARR-Summary'!AS26</f>
        <v>6.4308230197937313</v>
      </c>
      <c r="W6" s="1429">
        <f ca="1">+SUM(D6:G6)-SUM(K6:N6)-SUM(R6:U6)</f>
        <v>0</v>
      </c>
    </row>
    <row r="7" spans="2:23" x14ac:dyDescent="0.4">
      <c r="B7" s="1416">
        <v>2</v>
      </c>
      <c r="C7" s="1466" t="s">
        <v>1681</v>
      </c>
      <c r="D7" s="1465">
        <f>SUM('ARR-Summary'!M27:M35)</f>
        <v>116.0749853412559</v>
      </c>
      <c r="E7" s="1465">
        <f>SUM('ARR-Summary'!N27:N35)</f>
        <v>0</v>
      </c>
      <c r="F7" s="1465">
        <f>SUM('ARR-Summary'!O27:O35)</f>
        <v>0</v>
      </c>
      <c r="G7" s="1465">
        <f>SUM('ARR-Summary'!P27:P35)</f>
        <v>0</v>
      </c>
      <c r="I7" s="1416">
        <v>2</v>
      </c>
      <c r="J7" s="1683" t="s">
        <v>1681</v>
      </c>
      <c r="K7" s="1682">
        <f>SUM('ARR-Summary'!AB27:AB35)</f>
        <v>116.0749853412559</v>
      </c>
      <c r="L7" s="1682">
        <f>SUM('ARR-Summary'!AC27:AC35)</f>
        <v>0</v>
      </c>
      <c r="M7" s="1682">
        <f>SUM('ARR-Summary'!AD27:AD35)</f>
        <v>0</v>
      </c>
      <c r="N7" s="1682">
        <f>SUM('ARR-Summary'!AE27:AE35)</f>
        <v>0</v>
      </c>
      <c r="P7" s="1416">
        <v>2</v>
      </c>
      <c r="Q7" s="1466" t="s">
        <v>1681</v>
      </c>
      <c r="R7" s="1465">
        <f>SUM('ARR-Summary'!AP27:AP35)</f>
        <v>0</v>
      </c>
      <c r="S7" s="1465">
        <f>SUM('ARR-Summary'!AQ27:AQ35)</f>
        <v>0</v>
      </c>
      <c r="T7" s="1465">
        <f>SUM('ARR-Summary'!AR27:AR35)</f>
        <v>0</v>
      </c>
      <c r="U7" s="1465">
        <f>SUM('ARR-Summary'!AS27:AS35)</f>
        <v>0</v>
      </c>
      <c r="W7" s="1429">
        <f>+SUM(D7:G7)-SUM(K7:N7)-SUM(R7:U7)</f>
        <v>0</v>
      </c>
    </row>
    <row r="8" spans="2:23" x14ac:dyDescent="0.4">
      <c r="B8" s="1345">
        <v>3</v>
      </c>
      <c r="C8" s="1467" t="s">
        <v>1682</v>
      </c>
      <c r="D8" s="1468">
        <f ca="1">+D6+D7</f>
        <v>131.43495386313739</v>
      </c>
      <c r="E8" s="1468">
        <f ca="1">+E6+E7</f>
        <v>15.560448150162326</v>
      </c>
      <c r="F8" s="1468">
        <f ca="1">+F6+F7</f>
        <v>15.814403991130082</v>
      </c>
      <c r="G8" s="1468">
        <f ca="1">+G6+G7</f>
        <v>16.063533508173311</v>
      </c>
      <c r="I8" s="1345">
        <v>3</v>
      </c>
      <c r="J8" s="1684" t="s">
        <v>1682</v>
      </c>
      <c r="K8" s="1684">
        <f ca="1">+K6+K7</f>
        <v>124.80169445339436</v>
      </c>
      <c r="L8" s="1684">
        <f ca="1">+L6+L7</f>
        <v>9.0976917133030586</v>
      </c>
      <c r="M8" s="1684">
        <f ca="1">+M6+M7</f>
        <v>9.4617653263648904</v>
      </c>
      <c r="N8" s="1684">
        <f ca="1">+N6+N7</f>
        <v>9.6327104883795815</v>
      </c>
      <c r="P8" s="1345">
        <v>3</v>
      </c>
      <c r="Q8" s="1467" t="s">
        <v>1682</v>
      </c>
      <c r="R8" s="1468">
        <f ca="1">+R6+R7</f>
        <v>6.6332594097430402</v>
      </c>
      <c r="S8" s="1468">
        <f ca="1">+S6+S7</f>
        <v>6.4627564368592676</v>
      </c>
      <c r="T8" s="1468">
        <f ca="1">+T6+T7</f>
        <v>6.3526386647651867</v>
      </c>
      <c r="U8" s="1468">
        <f ca="1">+U6+U7</f>
        <v>6.4308230197937313</v>
      </c>
      <c r="W8" s="1429">
        <f t="shared" ref="W8:W17" ca="1" si="0">+SUM(D8:G8)-SUM(K8:N8)-SUM(R8:U8)</f>
        <v>3.1974423109204508E-14</v>
      </c>
    </row>
    <row r="9" spans="2:23" x14ac:dyDescent="0.4">
      <c r="B9" s="1464"/>
      <c r="C9" s="2087" t="s">
        <v>986</v>
      </c>
      <c r="D9" s="2087"/>
      <c r="E9" s="2087"/>
      <c r="F9" s="2087"/>
      <c r="G9" s="2087"/>
      <c r="I9" s="1464"/>
      <c r="J9" s="2091" t="s">
        <v>986</v>
      </c>
      <c r="K9" s="2091"/>
      <c r="L9" s="2091"/>
      <c r="M9" s="2091"/>
      <c r="N9" s="2091"/>
      <c r="P9" s="1464"/>
      <c r="Q9" s="2087" t="s">
        <v>986</v>
      </c>
      <c r="R9" s="2087"/>
      <c r="S9" s="2087"/>
      <c r="T9" s="2087"/>
      <c r="U9" s="2087"/>
      <c r="V9" s="1479"/>
      <c r="W9" s="1429">
        <f t="shared" si="0"/>
        <v>0</v>
      </c>
    </row>
    <row r="10" spans="2:23" x14ac:dyDescent="0.4">
      <c r="B10" s="1416">
        <v>1</v>
      </c>
      <c r="C10" s="727" t="s">
        <v>1683</v>
      </c>
      <c r="D10" s="1469">
        <f ca="1">+'ARR-Summary'!M70</f>
        <v>123.55217083454808</v>
      </c>
      <c r="E10" s="1469">
        <f ca="1">+'ARR-Summary'!N70</f>
        <v>154.50201454029323</v>
      </c>
      <c r="F10" s="1469">
        <f ca="1">+'ARR-Summary'!O70</f>
        <v>187.57463455374483</v>
      </c>
      <c r="G10" s="1469">
        <f ca="1">+'ARR-Summary'!P70</f>
        <v>204.96667919095938</v>
      </c>
      <c r="I10" s="1416">
        <v>1</v>
      </c>
      <c r="J10" s="1682" t="s">
        <v>1683</v>
      </c>
      <c r="K10" s="1682">
        <f ca="1">+'ARR-Summary'!AB70</f>
        <v>113.61685176761992</v>
      </c>
      <c r="L10" s="1682">
        <f ca="1">+'ARR-Summary'!AC70</f>
        <v>144.41252963850019</v>
      </c>
      <c r="M10" s="1682">
        <f ca="1">+'ARR-Summary'!AD70</f>
        <v>174.67324745481284</v>
      </c>
      <c r="N10" s="1682">
        <f ca="1">+'ARR-Summary'!AE70</f>
        <v>191.7784429391435</v>
      </c>
      <c r="P10" s="1416">
        <v>1</v>
      </c>
      <c r="Q10" s="727" t="s">
        <v>1683</v>
      </c>
      <c r="R10" s="1469">
        <f ca="1">+'ARR-Summary'!AP70</f>
        <v>9.935319066928157</v>
      </c>
      <c r="S10" s="1469">
        <f ca="1">+'ARR-Summary'!AQ70</f>
        <v>10.089484901793044</v>
      </c>
      <c r="T10" s="1469">
        <f ca="1">+'ARR-Summary'!AR70</f>
        <v>12.901387098931938</v>
      </c>
      <c r="U10" s="1469">
        <f ca="1">+'ARR-Summary'!AS70</f>
        <v>13.188236251815932</v>
      </c>
      <c r="W10" s="1428">
        <f t="shared" ca="1" si="0"/>
        <v>0</v>
      </c>
    </row>
    <row r="11" spans="2:23" x14ac:dyDescent="0.4">
      <c r="B11" s="1416">
        <v>2</v>
      </c>
      <c r="C11" s="1466" t="s">
        <v>1681</v>
      </c>
      <c r="D11" s="1469">
        <f ca="1">SUM('ARR-Summary'!M71:M79)</f>
        <v>-70.940389579400971</v>
      </c>
      <c r="E11" s="1469">
        <f>SUM('ARR-Summary'!N71:N79)</f>
        <v>0</v>
      </c>
      <c r="F11" s="1469">
        <f>SUM('ARR-Summary'!O71:O79)</f>
        <v>0</v>
      </c>
      <c r="G11" s="1469">
        <f>SUM('ARR-Summary'!P71:P79)</f>
        <v>0</v>
      </c>
      <c r="I11" s="1416">
        <v>2</v>
      </c>
      <c r="J11" s="1683" t="s">
        <v>1681</v>
      </c>
      <c r="K11" s="1682">
        <f ca="1">SUM('ARR-Summary'!AB71:AB79)</f>
        <v>-70.940389579400971</v>
      </c>
      <c r="L11" s="1682">
        <f>SUM('ARR-Summary'!AC71:AC79)</f>
        <v>0</v>
      </c>
      <c r="M11" s="1682">
        <f>SUM('ARR-Summary'!AD71:AD79)</f>
        <v>0</v>
      </c>
      <c r="N11" s="1682">
        <f>SUM('ARR-Summary'!AE71:AE79)</f>
        <v>0</v>
      </c>
      <c r="P11" s="1416">
        <v>2</v>
      </c>
      <c r="Q11" s="1466" t="s">
        <v>1681</v>
      </c>
      <c r="R11" s="1469">
        <f>SUM('ARR-Summary'!AP71:AP79)</f>
        <v>0</v>
      </c>
      <c r="S11" s="1469">
        <f>SUM('ARR-Summary'!AQ71:AQ79)</f>
        <v>0</v>
      </c>
      <c r="T11" s="1469">
        <f>SUM('ARR-Summary'!AR71:AR79)</f>
        <v>0</v>
      </c>
      <c r="U11" s="1469">
        <f>SUM('ARR-Summary'!AS71:AS79)</f>
        <v>0</v>
      </c>
      <c r="W11" s="1429">
        <f t="shared" ca="1" si="0"/>
        <v>0</v>
      </c>
    </row>
    <row r="12" spans="2:23" x14ac:dyDescent="0.4">
      <c r="B12" s="1345">
        <v>3</v>
      </c>
      <c r="C12" s="1467" t="s">
        <v>1684</v>
      </c>
      <c r="D12" s="1470">
        <f ca="1">+D10+D11</f>
        <v>52.611781255147108</v>
      </c>
      <c r="E12" s="1470">
        <f ca="1">+E10+E11</f>
        <v>154.50201454029323</v>
      </c>
      <c r="F12" s="1470">
        <f ca="1">+F10+F11</f>
        <v>187.57463455374483</v>
      </c>
      <c r="G12" s="1470">
        <f ca="1">+G10+G11</f>
        <v>204.96667919095938</v>
      </c>
      <c r="I12" s="1345">
        <v>3</v>
      </c>
      <c r="J12" s="1684" t="s">
        <v>1684</v>
      </c>
      <c r="K12" s="1684">
        <f ca="1">+K10+K11</f>
        <v>42.676462188218949</v>
      </c>
      <c r="L12" s="1684">
        <f ca="1">+L10+L11</f>
        <v>144.41252963850019</v>
      </c>
      <c r="M12" s="1684">
        <f ca="1">+M10+M11</f>
        <v>174.67324745481284</v>
      </c>
      <c r="N12" s="1684">
        <f ca="1">+N10+N11</f>
        <v>191.7784429391435</v>
      </c>
      <c r="P12" s="1345">
        <v>3</v>
      </c>
      <c r="Q12" s="1467" t="s">
        <v>1684</v>
      </c>
      <c r="R12" s="1470">
        <f ca="1">+R10+R11</f>
        <v>9.935319066928157</v>
      </c>
      <c r="S12" s="1470">
        <f ca="1">+S10+S11</f>
        <v>10.089484901793044</v>
      </c>
      <c r="T12" s="1470">
        <f ca="1">+T10+T11</f>
        <v>12.901387098931938</v>
      </c>
      <c r="U12" s="1470">
        <f ca="1">+U10+U11</f>
        <v>13.188236251815932</v>
      </c>
      <c r="W12" s="1429">
        <f t="shared" ca="1" si="0"/>
        <v>1.3500311979441904E-13</v>
      </c>
    </row>
    <row r="13" spans="2:23" x14ac:dyDescent="0.4">
      <c r="B13" s="1464"/>
      <c r="C13" s="2087" t="s">
        <v>1486</v>
      </c>
      <c r="D13" s="2087"/>
      <c r="E13" s="2087"/>
      <c r="F13" s="2087"/>
      <c r="G13" s="2087"/>
      <c r="I13" s="1464"/>
      <c r="J13" s="2091" t="s">
        <v>1486</v>
      </c>
      <c r="K13" s="2091"/>
      <c r="L13" s="2091"/>
      <c r="M13" s="2091"/>
      <c r="N13" s="2091"/>
      <c r="P13" s="1464"/>
      <c r="Q13" s="2087" t="s">
        <v>1486</v>
      </c>
      <c r="R13" s="2087"/>
      <c r="S13" s="2087"/>
      <c r="T13" s="2087"/>
      <c r="U13" s="2087"/>
      <c r="W13" s="1429">
        <f t="shared" si="0"/>
        <v>0</v>
      </c>
    </row>
    <row r="14" spans="2:23" x14ac:dyDescent="0.4">
      <c r="B14" s="1416">
        <v>1</v>
      </c>
      <c r="C14" s="727" t="s">
        <v>1685</v>
      </c>
      <c r="D14" s="1469">
        <f t="shared" ref="D14:G15" ca="1" si="1">+D6+D10</f>
        <v>138.91213935642958</v>
      </c>
      <c r="E14" s="1469">
        <f t="shared" ca="1" si="1"/>
        <v>170.06246269045556</v>
      </c>
      <c r="F14" s="1469">
        <f t="shared" ca="1" si="1"/>
        <v>203.38903854487492</v>
      </c>
      <c r="G14" s="1469">
        <f t="shared" ca="1" si="1"/>
        <v>221.0302126991327</v>
      </c>
      <c r="I14" s="1416">
        <v>1</v>
      </c>
      <c r="J14" s="1682" t="s">
        <v>1685</v>
      </c>
      <c r="K14" s="1682">
        <f t="shared" ref="K14:N15" ca="1" si="2">+K6+K10</f>
        <v>122.34356087975839</v>
      </c>
      <c r="L14" s="1682">
        <f t="shared" ca="1" si="2"/>
        <v>153.51022135180324</v>
      </c>
      <c r="M14" s="1682">
        <f t="shared" ca="1" si="2"/>
        <v>184.13501278117772</v>
      </c>
      <c r="N14" s="1682">
        <f t="shared" ca="1" si="2"/>
        <v>201.41115342752309</v>
      </c>
      <c r="P14" s="1416">
        <v>1</v>
      </c>
      <c r="Q14" s="727" t="s">
        <v>1685</v>
      </c>
      <c r="R14" s="1469">
        <f t="shared" ref="R14:U15" ca="1" si="3">+R6+R10</f>
        <v>16.568578476671199</v>
      </c>
      <c r="S14" s="1469">
        <f t="shared" ca="1" si="3"/>
        <v>16.552241338652312</v>
      </c>
      <c r="T14" s="1469">
        <f t="shared" ca="1" si="3"/>
        <v>19.254025763697125</v>
      </c>
      <c r="U14" s="1469">
        <f t="shared" ca="1" si="3"/>
        <v>19.619059271609665</v>
      </c>
      <c r="W14" s="1429">
        <f t="shared" ca="1" si="0"/>
        <v>-1.1368683772161603E-13</v>
      </c>
    </row>
    <row r="15" spans="2:23" x14ac:dyDescent="0.4">
      <c r="B15" s="1416">
        <v>2</v>
      </c>
      <c r="C15" s="1466" t="s">
        <v>1681</v>
      </c>
      <c r="D15" s="1469">
        <f t="shared" ca="1" si="1"/>
        <v>45.134595761854925</v>
      </c>
      <c r="E15" s="1469">
        <f t="shared" si="1"/>
        <v>0</v>
      </c>
      <c r="F15" s="1469">
        <f t="shared" si="1"/>
        <v>0</v>
      </c>
      <c r="G15" s="1469">
        <f t="shared" si="1"/>
        <v>0</v>
      </c>
      <c r="I15" s="1416">
        <v>2</v>
      </c>
      <c r="J15" s="1683" t="s">
        <v>1681</v>
      </c>
      <c r="K15" s="1682">
        <f t="shared" ca="1" si="2"/>
        <v>45.134595761854925</v>
      </c>
      <c r="L15" s="1682">
        <f t="shared" si="2"/>
        <v>0</v>
      </c>
      <c r="M15" s="1682">
        <f t="shared" si="2"/>
        <v>0</v>
      </c>
      <c r="N15" s="1682">
        <f t="shared" si="2"/>
        <v>0</v>
      </c>
      <c r="P15" s="1416">
        <v>2</v>
      </c>
      <c r="Q15" s="1466" t="s">
        <v>1681</v>
      </c>
      <c r="R15" s="1469">
        <f t="shared" si="3"/>
        <v>0</v>
      </c>
      <c r="S15" s="1469">
        <f t="shared" si="3"/>
        <v>0</v>
      </c>
      <c r="T15" s="1469">
        <f t="shared" si="3"/>
        <v>0</v>
      </c>
      <c r="U15" s="1469">
        <f t="shared" si="3"/>
        <v>0</v>
      </c>
      <c r="W15" s="1429">
        <f t="shared" ca="1" si="0"/>
        <v>0</v>
      </c>
    </row>
    <row r="16" spans="2:23" x14ac:dyDescent="0.4">
      <c r="B16" s="1345">
        <v>3</v>
      </c>
      <c r="C16" s="1467" t="s">
        <v>1686</v>
      </c>
      <c r="D16" s="1470">
        <f ca="1">+D14+D15</f>
        <v>184.04673511828452</v>
      </c>
      <c r="E16" s="1470">
        <f ca="1">+E14+E15</f>
        <v>170.06246269045556</v>
      </c>
      <c r="F16" s="1470">
        <f ca="1">+F14+F15</f>
        <v>203.38903854487492</v>
      </c>
      <c r="G16" s="1470">
        <f ca="1">+G14+G15</f>
        <v>221.0302126991327</v>
      </c>
      <c r="I16" s="1345">
        <v>3</v>
      </c>
      <c r="J16" s="1684" t="s">
        <v>1686</v>
      </c>
      <c r="K16" s="1684">
        <f ca="1">+K14+K15</f>
        <v>167.47815664161331</v>
      </c>
      <c r="L16" s="1684">
        <f ca="1">+L14+L15</f>
        <v>153.51022135180324</v>
      </c>
      <c r="M16" s="1684">
        <f ca="1">+M14+M15</f>
        <v>184.13501278117772</v>
      </c>
      <c r="N16" s="1684">
        <f ca="1">+N14+N15</f>
        <v>201.41115342752309</v>
      </c>
      <c r="P16" s="1345">
        <v>3</v>
      </c>
      <c r="Q16" s="1467" t="s">
        <v>1686</v>
      </c>
      <c r="R16" s="1470">
        <f ca="1">+R14+R15</f>
        <v>16.568578476671199</v>
      </c>
      <c r="S16" s="1470">
        <f ca="1">+S14+S15</f>
        <v>16.552241338652312</v>
      </c>
      <c r="T16" s="1470">
        <f ca="1">+T14+T15</f>
        <v>19.254025763697125</v>
      </c>
      <c r="U16" s="1470">
        <f ca="1">+U14+U15</f>
        <v>19.619059271609665</v>
      </c>
      <c r="W16" s="1429">
        <f t="shared" ca="1" si="0"/>
        <v>0</v>
      </c>
    </row>
    <row r="17" spans="2:23" x14ac:dyDescent="0.4">
      <c r="B17" s="1416">
        <v>4</v>
      </c>
      <c r="C17" s="727" t="s">
        <v>1687</v>
      </c>
      <c r="D17" s="1471">
        <f>+'F1'!K34</f>
        <v>174.567599</v>
      </c>
      <c r="E17" s="1471">
        <f>+'F1'!L34</f>
        <v>215.14139899999998</v>
      </c>
      <c r="F17" s="1471">
        <f>+'F1'!M34</f>
        <v>259.71479900000003</v>
      </c>
      <c r="G17" s="1471">
        <f>+'F1'!N34</f>
        <v>280.73879899999997</v>
      </c>
      <c r="I17" s="1416">
        <v>4</v>
      </c>
      <c r="J17" s="1682" t="s">
        <v>1687</v>
      </c>
      <c r="K17" s="1682">
        <f>+'F1 SEZ'!K34</f>
        <v>162.93045249876553</v>
      </c>
      <c r="L17" s="1682">
        <f>+'F1 SEZ'!L34</f>
        <v>203.50425249876554</v>
      </c>
      <c r="M17" s="1682">
        <f>+'F1 SEZ'!M34</f>
        <v>244.26020333168742</v>
      </c>
      <c r="N17" s="1682">
        <f>+'F1 SEZ'!N34</f>
        <v>265.28420333168748</v>
      </c>
      <c r="P17" s="1416">
        <v>4</v>
      </c>
      <c r="Q17" s="727" t="s">
        <v>1687</v>
      </c>
      <c r="R17" s="1471">
        <f>+'F1 Non-SEZ'!K34</f>
        <v>11.63714650123443</v>
      </c>
      <c r="S17" s="1471">
        <f>+'F1 Non-SEZ'!L34</f>
        <v>11.637146501234428</v>
      </c>
      <c r="T17" s="1471">
        <f>+'F1 Non-SEZ'!M34</f>
        <v>15.454595668312564</v>
      </c>
      <c r="U17" s="1471">
        <f>+'F1 Non-SEZ'!N34</f>
        <v>15.454595668312564</v>
      </c>
      <c r="W17" s="1429">
        <f t="shared" si="0"/>
        <v>-1.2079226507921703E-13</v>
      </c>
    </row>
    <row r="18" spans="2:23" x14ac:dyDescent="0.4">
      <c r="B18" s="1416">
        <v>5</v>
      </c>
      <c r="C18" s="1472" t="s">
        <v>1688</v>
      </c>
      <c r="D18" s="1473">
        <f ca="1">+D16/D17*10</f>
        <v>10.543006615923298</v>
      </c>
      <c r="E18" s="1473">
        <f ca="1">+E16/E17*10</f>
        <v>7.9046833143655251</v>
      </c>
      <c r="F18" s="1473">
        <f ca="1">+F16/F17*10</f>
        <v>7.8312456328249089</v>
      </c>
      <c r="G18" s="1473">
        <f ca="1">+G16/G17*10</f>
        <v>7.8731622948608795</v>
      </c>
      <c r="I18" s="1416">
        <v>5</v>
      </c>
      <c r="J18" s="1685" t="s">
        <v>1688</v>
      </c>
      <c r="K18" s="1684">
        <f ca="1">+K16/K17*10</f>
        <v>10.279119346512724</v>
      </c>
      <c r="L18" s="1684">
        <f ca="1">+L16/L17*10</f>
        <v>7.5433421890156538</v>
      </c>
      <c r="M18" s="1684">
        <f ca="1">+M16/M17*10</f>
        <v>7.5384778310012246</v>
      </c>
      <c r="N18" s="1684">
        <f ca="1">+N16/N17*10</f>
        <v>7.5922784281164581</v>
      </c>
      <c r="P18" s="1416">
        <v>5</v>
      </c>
      <c r="Q18" s="1472" t="s">
        <v>1688</v>
      </c>
      <c r="R18" s="1473">
        <f ca="1">+R16/R17*10</f>
        <v>14.237664254646669</v>
      </c>
      <c r="S18" s="1473">
        <f ca="1">+S16/S17*10</f>
        <v>14.223625471155243</v>
      </c>
      <c r="T18" s="1473">
        <f ca="1">+T16/T17*10</f>
        <v>12.458446779798161</v>
      </c>
      <c r="U18" s="1473">
        <f ca="1">+U16/U17*10</f>
        <v>12.694644164541772</v>
      </c>
      <c r="W18" s="1429"/>
    </row>
    <row r="19" spans="2:23" x14ac:dyDescent="0.4">
      <c r="B19" s="1474"/>
      <c r="C19" s="1326" t="s">
        <v>1689</v>
      </c>
      <c r="D19" s="1478">
        <f>+'F13.1'!W100</f>
        <v>9.2552304166770583</v>
      </c>
      <c r="E19" s="1326"/>
      <c r="F19" s="1326"/>
      <c r="G19" s="1326"/>
      <c r="I19" s="1474"/>
      <c r="J19" s="1326" t="s">
        <v>1689</v>
      </c>
      <c r="K19" s="1478">
        <f>+'F13.1'!W35</f>
        <v>8.9429124973793641</v>
      </c>
      <c r="L19" s="1326"/>
      <c r="M19" s="1326"/>
      <c r="N19" s="1326"/>
      <c r="P19" s="1474"/>
      <c r="Q19" s="1326" t="s">
        <v>1689</v>
      </c>
      <c r="R19" s="1478">
        <f>+'F13.1'!W70</f>
        <v>13.451316837522821</v>
      </c>
      <c r="S19" s="1326"/>
      <c r="T19" s="1326"/>
      <c r="U19" s="1326"/>
    </row>
    <row r="20" spans="2:23" x14ac:dyDescent="0.4">
      <c r="B20" s="1474"/>
      <c r="C20" s="1326" t="s">
        <v>1690</v>
      </c>
      <c r="D20" s="1475">
        <f ca="1">+D18/$D$19-1</f>
        <v>0.13914037158121828</v>
      </c>
      <c r="E20" s="1475">
        <f ca="1">+E18/$D$19-1</f>
        <v>-0.14592258015294501</v>
      </c>
      <c r="F20" s="1475">
        <f ca="1">+F18/$D$19-1</f>
        <v>-0.1538573022759393</v>
      </c>
      <c r="G20" s="1475">
        <f ca="1">+G18/$D$19-1</f>
        <v>-0.14932833215322461</v>
      </c>
      <c r="I20" s="1474"/>
      <c r="J20" s="1326" t="s">
        <v>1690</v>
      </c>
      <c r="K20" s="1475">
        <f ca="1">+K18/$K$19-1</f>
        <v>0.14941517649031266</v>
      </c>
      <c r="L20" s="1475">
        <f ca="1">+L18/$K$19-1</f>
        <v>-0.15650050347399025</v>
      </c>
      <c r="M20" s="1475">
        <f ca="1">+M18/$K$19-1</f>
        <v>-0.15704443790428402</v>
      </c>
      <c r="N20" s="1475">
        <f ca="1">+N18/$K$19-1</f>
        <v>-0.1510284339311937</v>
      </c>
      <c r="P20" s="1474"/>
      <c r="Q20" s="1326" t="s">
        <v>1690</v>
      </c>
      <c r="R20" s="1475">
        <f ca="1">+R18/$R$19-1</f>
        <v>5.8458768507356096E-2</v>
      </c>
      <c r="S20" s="1475">
        <f ca="1">+S18/$R$19-1</f>
        <v>5.7415094965129754E-2</v>
      </c>
      <c r="T20" s="1475">
        <f ca="1">+T18/$R$19-1</f>
        <v>-7.3812108488517825E-2</v>
      </c>
      <c r="U20" s="1475">
        <f ca="1">+U18/$R$19-1</f>
        <v>-5.6252683816820803E-2</v>
      </c>
    </row>
    <row r="21" spans="2:23" x14ac:dyDescent="0.4">
      <c r="B21" s="1474"/>
      <c r="C21" s="1326"/>
      <c r="D21" s="1475"/>
      <c r="E21" s="1475">
        <f ca="1">+E18/D18-1</f>
        <v>-0.25024391975369387</v>
      </c>
      <c r="F21" s="1475">
        <f ca="1">+F18/E18-1</f>
        <v>-9.2904014772046128E-3</v>
      </c>
      <c r="G21" s="1475">
        <f ca="1">+G18/F18-1</f>
        <v>5.3524897572201358E-3</v>
      </c>
      <c r="I21" s="1474"/>
      <c r="J21" s="1326"/>
      <c r="K21" s="1475"/>
      <c r="L21" s="1475">
        <f ca="1">+L18/K18-1</f>
        <v>-0.26614898273607501</v>
      </c>
      <c r="M21" s="1475">
        <f ca="1">+M18/L18-1</f>
        <v>-6.4485448128182021E-4</v>
      </c>
      <c r="N21" s="1475">
        <f ca="1">+N18/M18-1</f>
        <v>7.1367984785979388E-3</v>
      </c>
      <c r="P21" s="1474"/>
      <c r="Q21" s="1326"/>
      <c r="R21" s="1475"/>
      <c r="S21" s="1475">
        <f ca="1">+S18/R18-1</f>
        <v>-9.8603136303376804E-4</v>
      </c>
      <c r="T21" s="1475">
        <f ca="1">+T18/S18-1</f>
        <v>-0.12410188210711615</v>
      </c>
      <c r="U21" s="1475">
        <f ca="1">+U18/T18-1</f>
        <v>1.8958814763860854E-2</v>
      </c>
    </row>
    <row r="22" spans="2:23" x14ac:dyDescent="0.4">
      <c r="B22" s="1474"/>
      <c r="C22" s="1326"/>
      <c r="D22" s="1326"/>
      <c r="E22" s="1326"/>
      <c r="F22" s="1326"/>
      <c r="G22" s="1326"/>
      <c r="I22" s="1474"/>
      <c r="J22" s="1326"/>
      <c r="K22" s="1326"/>
      <c r="L22" s="1326"/>
      <c r="M22" s="1326"/>
      <c r="N22" s="1326"/>
      <c r="P22" s="1474"/>
      <c r="Q22" s="1326"/>
      <c r="R22" s="1326"/>
      <c r="S22" s="1326"/>
      <c r="T22" s="1326"/>
      <c r="U22" s="1326"/>
    </row>
    <row r="23" spans="2:23" x14ac:dyDescent="0.4">
      <c r="B23" s="2088" t="s">
        <v>1691</v>
      </c>
      <c r="C23" s="2088"/>
      <c r="D23" s="2088"/>
      <c r="E23" s="2088"/>
      <c r="F23" s="2088"/>
      <c r="G23" s="2088"/>
      <c r="I23" s="2088" t="s">
        <v>1691</v>
      </c>
      <c r="J23" s="2088"/>
      <c r="K23" s="2088"/>
      <c r="L23" s="2088"/>
      <c r="M23" s="2088"/>
      <c r="N23" s="2088"/>
      <c r="P23" s="2088" t="s">
        <v>1691</v>
      </c>
      <c r="Q23" s="2088"/>
      <c r="R23" s="2088"/>
      <c r="S23" s="2088"/>
      <c r="T23" s="2088"/>
      <c r="U23" s="2088"/>
    </row>
    <row r="24" spans="2:23" x14ac:dyDescent="0.4">
      <c r="B24" s="1461" t="s">
        <v>555</v>
      </c>
      <c r="C24" s="1462" t="s">
        <v>111</v>
      </c>
      <c r="D24" s="1463" t="s">
        <v>1676</v>
      </c>
      <c r="E24" s="1463" t="s">
        <v>1677</v>
      </c>
      <c r="F24" s="1463" t="s">
        <v>1678</v>
      </c>
      <c r="G24" s="1463" t="s">
        <v>1679</v>
      </c>
      <c r="I24" s="1461" t="s">
        <v>555</v>
      </c>
      <c r="J24" s="1462" t="s">
        <v>111</v>
      </c>
      <c r="K24" s="1463" t="s">
        <v>1676</v>
      </c>
      <c r="L24" s="1463" t="s">
        <v>1677</v>
      </c>
      <c r="M24" s="1463" t="s">
        <v>1678</v>
      </c>
      <c r="N24" s="1463" t="s">
        <v>1679</v>
      </c>
      <c r="P24" s="1461" t="s">
        <v>555</v>
      </c>
      <c r="Q24" s="1462" t="s">
        <v>111</v>
      </c>
      <c r="R24" s="1463" t="s">
        <v>1676</v>
      </c>
      <c r="S24" s="1463" t="s">
        <v>1677</v>
      </c>
      <c r="T24" s="1463" t="s">
        <v>1678</v>
      </c>
      <c r="U24" s="1463" t="s">
        <v>1679</v>
      </c>
    </row>
    <row r="25" spans="2:23" x14ac:dyDescent="0.4">
      <c r="B25" s="1464"/>
      <c r="C25" s="2087" t="s">
        <v>986</v>
      </c>
      <c r="D25" s="2087"/>
      <c r="E25" s="2087"/>
      <c r="F25" s="2087"/>
      <c r="G25" s="2087"/>
      <c r="I25" s="1464"/>
      <c r="J25" s="2087" t="s">
        <v>986</v>
      </c>
      <c r="K25" s="2087"/>
      <c r="L25" s="2087"/>
      <c r="M25" s="2087"/>
      <c r="N25" s="2087"/>
      <c r="P25" s="1464"/>
      <c r="Q25" s="2087" t="s">
        <v>986</v>
      </c>
      <c r="R25" s="2087"/>
      <c r="S25" s="2087"/>
      <c r="T25" s="2087"/>
      <c r="U25" s="2087"/>
    </row>
    <row r="26" spans="2:23" x14ac:dyDescent="0.4">
      <c r="B26" s="1416">
        <v>1</v>
      </c>
      <c r="C26" s="727" t="s">
        <v>1692</v>
      </c>
      <c r="D26" s="1476">
        <f ca="1">+D12</f>
        <v>52.611781255147108</v>
      </c>
      <c r="E26" s="1476">
        <f ca="1">+E12</f>
        <v>154.50201454029323</v>
      </c>
      <c r="F26" s="1476">
        <f ca="1">+F12</f>
        <v>187.57463455374483</v>
      </c>
      <c r="G26" s="1476">
        <f ca="1">+G12</f>
        <v>204.96667919095938</v>
      </c>
      <c r="I26" s="1416">
        <v>1</v>
      </c>
      <c r="J26" s="727" t="s">
        <v>1692</v>
      </c>
      <c r="K26" s="1476">
        <f ca="1">+K12</f>
        <v>42.676462188218949</v>
      </c>
      <c r="L26" s="1476">
        <f ca="1">+L12</f>
        <v>144.41252963850019</v>
      </c>
      <c r="M26" s="1476">
        <f ca="1">+M12</f>
        <v>174.67324745481284</v>
      </c>
      <c r="N26" s="1476">
        <f ca="1">+N12</f>
        <v>191.7784429391435</v>
      </c>
      <c r="P26" s="1416">
        <v>1</v>
      </c>
      <c r="Q26" s="727" t="s">
        <v>1692</v>
      </c>
      <c r="R26" s="1476">
        <f ca="1">+R12</f>
        <v>9.935319066928157</v>
      </c>
      <c r="S26" s="1476">
        <f ca="1">+S12</f>
        <v>10.089484901793044</v>
      </c>
      <c r="T26" s="1476">
        <f ca="1">+T12</f>
        <v>12.901387098931938</v>
      </c>
      <c r="U26" s="1476">
        <f ca="1">+U12</f>
        <v>13.188236251815932</v>
      </c>
      <c r="W26" s="1429">
        <f ca="1">+SUM(D26:G26)-SUM(K26:N26)-SUM(R26:U26)</f>
        <v>1.3500311979441904E-13</v>
      </c>
    </row>
    <row r="27" spans="2:23" x14ac:dyDescent="0.4">
      <c r="B27" s="1416">
        <v>2</v>
      </c>
      <c r="C27" s="727" t="s">
        <v>1693</v>
      </c>
      <c r="D27" s="1471">
        <f>+D17</f>
        <v>174.567599</v>
      </c>
      <c r="E27" s="1471">
        <f>+E17</f>
        <v>215.14139899999998</v>
      </c>
      <c r="F27" s="1471">
        <f>+F17</f>
        <v>259.71479900000003</v>
      </c>
      <c r="G27" s="1471">
        <f>+G17</f>
        <v>280.73879899999997</v>
      </c>
      <c r="I27" s="1416">
        <v>2</v>
      </c>
      <c r="J27" s="727" t="s">
        <v>1693</v>
      </c>
      <c r="K27" s="1471">
        <f>+K17</f>
        <v>162.93045249876553</v>
      </c>
      <c r="L27" s="1471">
        <f>+L17</f>
        <v>203.50425249876554</v>
      </c>
      <c r="M27" s="1471">
        <f>+M17</f>
        <v>244.26020333168742</v>
      </c>
      <c r="N27" s="1471">
        <f>+N17</f>
        <v>265.28420333168748</v>
      </c>
      <c r="P27" s="1416">
        <v>2</v>
      </c>
      <c r="Q27" s="727" t="s">
        <v>1693</v>
      </c>
      <c r="R27" s="1471">
        <f>+R17</f>
        <v>11.63714650123443</v>
      </c>
      <c r="S27" s="1471">
        <f>+S17</f>
        <v>11.637146501234428</v>
      </c>
      <c r="T27" s="1471">
        <f>+T17</f>
        <v>15.454595668312564</v>
      </c>
      <c r="U27" s="1471">
        <f>+U17</f>
        <v>15.454595668312564</v>
      </c>
      <c r="W27" s="1429">
        <f>+SUM(D27:G27)-SUM(K27:N27)-SUM(R27:U27)</f>
        <v>-1.2079226507921703E-13</v>
      </c>
    </row>
    <row r="28" spans="2:23" x14ac:dyDescent="0.4">
      <c r="B28" s="1345">
        <v>3</v>
      </c>
      <c r="C28" s="1467" t="s">
        <v>1694</v>
      </c>
      <c r="D28" s="1473">
        <f ca="1">+D26/D27*10</f>
        <v>3.0138342714530379</v>
      </c>
      <c r="E28" s="1473">
        <f ca="1">+E26/E27*10</f>
        <v>7.1814172101899008</v>
      </c>
      <c r="F28" s="1473">
        <f ca="1">+F26/F27*10</f>
        <v>7.2223313910481011</v>
      </c>
      <c r="G28" s="1473">
        <f ca="1">+G26/G27*10</f>
        <v>7.3009744260877678</v>
      </c>
      <c r="I28" s="1345">
        <v>3</v>
      </c>
      <c r="J28" s="1467" t="s">
        <v>1694</v>
      </c>
      <c r="K28" s="1473">
        <f ca="1">+K26/K27*10</f>
        <v>2.6193054480433786</v>
      </c>
      <c r="L28" s="1473">
        <f ca="1">+L26/L27*10</f>
        <v>7.0962905131123097</v>
      </c>
      <c r="M28" s="1473">
        <f ca="1">+M26/M27*10</f>
        <v>7.1511136514374964</v>
      </c>
      <c r="N28" s="1473">
        <f ca="1">+N26/N27*10</f>
        <v>7.2291693410542432</v>
      </c>
      <c r="P28" s="1345">
        <v>3</v>
      </c>
      <c r="Q28" s="1467" t="s">
        <v>1694</v>
      </c>
      <c r="R28" s="1473">
        <f ca="1">+R26/R27*10</f>
        <v>8.5375904358291361</v>
      </c>
      <c r="S28" s="1473">
        <f ca="1">+S26/S27*10</f>
        <v>8.6700677874277741</v>
      </c>
      <c r="T28" s="1473">
        <f ca="1">+T26/T27*10</f>
        <v>8.3479292346576131</v>
      </c>
      <c r="U28" s="1473">
        <f ca="1">+U26/U27*10</f>
        <v>8.5335369069904061</v>
      </c>
      <c r="W28" s="1429"/>
    </row>
    <row r="29" spans="2:23" x14ac:dyDescent="0.4">
      <c r="B29" s="1474"/>
      <c r="C29" s="1326"/>
      <c r="D29" s="1478"/>
      <c r="E29" s="1478"/>
      <c r="F29" s="1478"/>
      <c r="G29" s="1478"/>
      <c r="I29" s="1474"/>
      <c r="J29" s="1326"/>
      <c r="K29" s="1326"/>
      <c r="L29" s="1326"/>
      <c r="M29" s="1326"/>
      <c r="N29" s="1326"/>
      <c r="P29" s="1474"/>
      <c r="Q29" s="1326"/>
      <c r="R29" s="1326"/>
      <c r="S29" s="1326"/>
      <c r="T29" s="1326"/>
      <c r="U29" s="1326"/>
    </row>
    <row r="30" spans="2:23" x14ac:dyDescent="0.4">
      <c r="B30" s="1474"/>
      <c r="C30" s="1326"/>
      <c r="D30" s="1478"/>
      <c r="E30" s="1478"/>
      <c r="F30" s="1478"/>
      <c r="G30" s="1478"/>
      <c r="I30" s="1474"/>
      <c r="J30" s="1326"/>
      <c r="K30" s="1326"/>
      <c r="L30" s="1326"/>
      <c r="M30" s="1326"/>
      <c r="N30" s="1326"/>
      <c r="P30" s="1474"/>
      <c r="Q30" s="1326"/>
      <c r="R30" s="1326"/>
      <c r="S30" s="1326"/>
      <c r="T30" s="1326"/>
      <c r="U30" s="1326"/>
    </row>
    <row r="31" spans="2:23" x14ac:dyDescent="0.4">
      <c r="B31" s="2088" t="s">
        <v>1695</v>
      </c>
      <c r="C31" s="2088"/>
      <c r="D31" s="2088"/>
      <c r="E31" s="2088"/>
      <c r="F31" s="2088"/>
      <c r="G31" s="2088"/>
      <c r="I31" s="2088" t="s">
        <v>1695</v>
      </c>
      <c r="J31" s="2088"/>
      <c r="K31" s="2088"/>
      <c r="L31" s="2088"/>
      <c r="M31" s="2088"/>
      <c r="N31" s="2088"/>
      <c r="P31" s="2088" t="s">
        <v>1695</v>
      </c>
      <c r="Q31" s="2088"/>
      <c r="R31" s="2088"/>
      <c r="S31" s="2088"/>
      <c r="T31" s="2088"/>
      <c r="U31" s="2088"/>
    </row>
    <row r="32" spans="2:23" x14ac:dyDescent="0.4">
      <c r="B32" s="1461" t="s">
        <v>555</v>
      </c>
      <c r="C32" s="1462" t="s">
        <v>111</v>
      </c>
      <c r="D32" s="1463" t="s">
        <v>1676</v>
      </c>
      <c r="E32" s="1463" t="s">
        <v>1677</v>
      </c>
      <c r="F32" s="1463" t="s">
        <v>1678</v>
      </c>
      <c r="G32" s="1463" t="s">
        <v>1679</v>
      </c>
      <c r="I32" s="1461" t="s">
        <v>555</v>
      </c>
      <c r="J32" s="1462" t="s">
        <v>111</v>
      </c>
      <c r="K32" s="1463" t="s">
        <v>1676</v>
      </c>
      <c r="L32" s="1463" t="s">
        <v>1677</v>
      </c>
      <c r="M32" s="1463" t="s">
        <v>1678</v>
      </c>
      <c r="N32" s="1463" t="s">
        <v>1679</v>
      </c>
      <c r="P32" s="1461" t="s">
        <v>555</v>
      </c>
      <c r="Q32" s="1462" t="s">
        <v>111</v>
      </c>
      <c r="R32" s="1463" t="s">
        <v>1676</v>
      </c>
      <c r="S32" s="1463" t="s">
        <v>1677</v>
      </c>
      <c r="T32" s="1463" t="s">
        <v>1678</v>
      </c>
      <c r="U32" s="1463" t="s">
        <v>1679</v>
      </c>
    </row>
    <row r="33" spans="2:23" x14ac:dyDescent="0.4">
      <c r="B33" s="1464"/>
      <c r="C33" s="2087" t="s">
        <v>1510</v>
      </c>
      <c r="D33" s="2087"/>
      <c r="E33" s="2087"/>
      <c r="F33" s="2087"/>
      <c r="G33" s="2087"/>
      <c r="I33" s="1464"/>
      <c r="J33" s="2087" t="s">
        <v>1510</v>
      </c>
      <c r="K33" s="2087"/>
      <c r="L33" s="2087"/>
      <c r="M33" s="2087"/>
      <c r="N33" s="2087"/>
      <c r="P33" s="1464"/>
      <c r="Q33" s="2087" t="s">
        <v>1510</v>
      </c>
      <c r="R33" s="2087"/>
      <c r="S33" s="2087"/>
      <c r="T33" s="2087"/>
      <c r="U33" s="2087"/>
    </row>
    <row r="34" spans="2:23" x14ac:dyDescent="0.4">
      <c r="B34" s="1416">
        <v>1</v>
      </c>
      <c r="C34" s="1691" t="s">
        <v>1680</v>
      </c>
      <c r="D34" s="1620">
        <f t="shared" ref="D34:G35" ca="1" si="4">+D6</f>
        <v>15.359968521881509</v>
      </c>
      <c r="E34" s="1620">
        <f t="shared" ca="1" si="4"/>
        <v>15.560448150162326</v>
      </c>
      <c r="F34" s="1620">
        <f t="shared" ca="1" si="4"/>
        <v>15.814403991130082</v>
      </c>
      <c r="G34" s="1620">
        <f t="shared" ca="1" si="4"/>
        <v>16.063533508173311</v>
      </c>
      <c r="I34" s="1416">
        <v>1</v>
      </c>
      <c r="J34" s="727" t="s">
        <v>1680</v>
      </c>
      <c r="K34" s="1620">
        <f t="shared" ref="K34:N35" ca="1" si="5">+K6</f>
        <v>8.7267091121384688</v>
      </c>
      <c r="L34" s="1620">
        <f t="shared" ca="1" si="5"/>
        <v>9.0976917133030586</v>
      </c>
      <c r="M34" s="1620">
        <f t="shared" ca="1" si="5"/>
        <v>9.4617653263648904</v>
      </c>
      <c r="N34" s="1620">
        <f t="shared" ca="1" si="5"/>
        <v>9.6327104883795815</v>
      </c>
      <c r="P34" s="1416">
        <v>1</v>
      </c>
      <c r="Q34" s="727" t="s">
        <v>1680</v>
      </c>
      <c r="R34" s="1620">
        <f t="shared" ref="R34:U35" ca="1" si="6">+R6</f>
        <v>6.6332594097430402</v>
      </c>
      <c r="S34" s="1620">
        <f t="shared" ca="1" si="6"/>
        <v>6.4627564368592676</v>
      </c>
      <c r="T34" s="1620">
        <f t="shared" ca="1" si="6"/>
        <v>6.3526386647651867</v>
      </c>
      <c r="U34" s="1620">
        <f t="shared" ca="1" si="6"/>
        <v>6.4308230197937313</v>
      </c>
      <c r="W34" s="1429">
        <f t="shared" ref="W34:W50" ca="1" si="7">+SUM(D34:G34)-SUM(K34:N34)-SUM(R34:U34)</f>
        <v>0</v>
      </c>
    </row>
    <row r="35" spans="2:23" x14ac:dyDescent="0.4">
      <c r="B35" s="1416">
        <v>2</v>
      </c>
      <c r="C35" s="1692" t="s">
        <v>1681</v>
      </c>
      <c r="D35" s="1620">
        <f t="shared" si="4"/>
        <v>116.0749853412559</v>
      </c>
      <c r="E35" s="1620">
        <f t="shared" si="4"/>
        <v>0</v>
      </c>
      <c r="F35" s="1620">
        <f t="shared" si="4"/>
        <v>0</v>
      </c>
      <c r="G35" s="1620">
        <f t="shared" si="4"/>
        <v>0</v>
      </c>
      <c r="I35" s="1416">
        <v>2</v>
      </c>
      <c r="J35" s="1466" t="s">
        <v>1681</v>
      </c>
      <c r="K35" s="1620">
        <f t="shared" si="5"/>
        <v>116.0749853412559</v>
      </c>
      <c r="L35" s="1620">
        <f t="shared" si="5"/>
        <v>0</v>
      </c>
      <c r="M35" s="1620">
        <f t="shared" si="5"/>
        <v>0</v>
      </c>
      <c r="N35" s="1620">
        <f t="shared" si="5"/>
        <v>0</v>
      </c>
      <c r="P35" s="1416">
        <v>2</v>
      </c>
      <c r="Q35" s="1466" t="s">
        <v>1681</v>
      </c>
      <c r="R35" s="1620">
        <f t="shared" si="6"/>
        <v>0</v>
      </c>
      <c r="S35" s="1620">
        <f t="shared" si="6"/>
        <v>0</v>
      </c>
      <c r="T35" s="1620">
        <f t="shared" si="6"/>
        <v>0</v>
      </c>
      <c r="U35" s="1620">
        <f t="shared" si="6"/>
        <v>0</v>
      </c>
      <c r="V35" s="1429"/>
      <c r="W35" s="1429">
        <f t="shared" si="7"/>
        <v>0</v>
      </c>
    </row>
    <row r="36" spans="2:23" x14ac:dyDescent="0.4">
      <c r="B36" s="1345">
        <v>3</v>
      </c>
      <c r="C36" s="1693" t="s">
        <v>1682</v>
      </c>
      <c r="D36" s="1621">
        <f ca="1">+D34+D35</f>
        <v>131.43495386313739</v>
      </c>
      <c r="E36" s="1621">
        <f ca="1">+E34+E35</f>
        <v>15.560448150162326</v>
      </c>
      <c r="F36" s="1621">
        <f ca="1">+F34+F35</f>
        <v>15.814403991130082</v>
      </c>
      <c r="G36" s="1621">
        <f ca="1">+G34+G35</f>
        <v>16.063533508173311</v>
      </c>
      <c r="I36" s="1345">
        <v>3</v>
      </c>
      <c r="J36" s="1467" t="s">
        <v>1682</v>
      </c>
      <c r="K36" s="1621">
        <f ca="1">+K34+K35</f>
        <v>124.80169445339436</v>
      </c>
      <c r="L36" s="1621">
        <f ca="1">+L34+L35</f>
        <v>9.0976917133030586</v>
      </c>
      <c r="M36" s="1621">
        <f ca="1">+M34+M35</f>
        <v>9.4617653263648904</v>
      </c>
      <c r="N36" s="1621">
        <f ca="1">+N34+N35</f>
        <v>9.6327104883795815</v>
      </c>
      <c r="P36" s="1345">
        <v>3</v>
      </c>
      <c r="Q36" s="1467" t="s">
        <v>1682</v>
      </c>
      <c r="R36" s="1621">
        <f ca="1">+R34+R35</f>
        <v>6.6332594097430402</v>
      </c>
      <c r="S36" s="1621">
        <f ca="1">+S34+S35</f>
        <v>6.4627564368592676</v>
      </c>
      <c r="T36" s="1621">
        <f ca="1">+T34+T35</f>
        <v>6.3526386647651867</v>
      </c>
      <c r="U36" s="1621">
        <f ca="1">+U34+U35</f>
        <v>6.4308230197937313</v>
      </c>
      <c r="W36" s="1429">
        <f t="shared" ca="1" si="7"/>
        <v>3.1974423109204508E-14</v>
      </c>
    </row>
    <row r="37" spans="2:23" x14ac:dyDescent="0.4">
      <c r="B37" s="1345">
        <v>4</v>
      </c>
      <c r="C37" s="1691" t="s">
        <v>1696</v>
      </c>
      <c r="D37" s="1620">
        <f>+'ARR-Summary'!M39</f>
        <v>13.829254701899725</v>
      </c>
      <c r="E37" s="1620">
        <f>+'ARR-Summary'!N39</f>
        <v>16.862043792808812</v>
      </c>
      <c r="F37" s="1620">
        <f>+'ARR-Summary'!O39</f>
        <v>20.454048718357882</v>
      </c>
      <c r="G37" s="1620">
        <f>+'ARR-Summary'!P39</f>
        <v>22.025539627448794</v>
      </c>
      <c r="I37" s="1345">
        <v>4</v>
      </c>
      <c r="J37" s="727" t="s">
        <v>1696</v>
      </c>
      <c r="K37" s="1620">
        <f>+'ARR-Summary'!AB39</f>
        <v>12.192940071633513</v>
      </c>
      <c r="L37" s="1620">
        <f>+'ARR-Summary'!AC39</f>
        <v>15.225729162542603</v>
      </c>
      <c r="M37" s="1620">
        <f>+'ARR-Summary'!AD39</f>
        <v>18.276900297531558</v>
      </c>
      <c r="N37" s="1620">
        <f>+'ARR-Summary'!AE39</f>
        <v>19.84839120662247</v>
      </c>
      <c r="P37" s="1345">
        <v>4</v>
      </c>
      <c r="Q37" s="727" t="s">
        <v>1696</v>
      </c>
      <c r="R37" s="1620">
        <f>+'ARR-Summary'!AP39</f>
        <v>1.6363146302662104</v>
      </c>
      <c r="S37" s="1620">
        <f>+'ARR-Summary'!AQ39</f>
        <v>1.6363146302662104</v>
      </c>
      <c r="T37" s="1620">
        <f>+'ARR-Summary'!AR39</f>
        <v>2.177148420826327</v>
      </c>
      <c r="U37" s="1620">
        <f>+'ARR-Summary'!AS39</f>
        <v>2.177148420826327</v>
      </c>
      <c r="W37" s="1429">
        <f t="shared" si="7"/>
        <v>-8.8817841970012523E-15</v>
      </c>
    </row>
    <row r="38" spans="2:23" x14ac:dyDescent="0.4">
      <c r="B38" s="1345">
        <v>5</v>
      </c>
      <c r="C38" s="1693" t="s">
        <v>1459</v>
      </c>
      <c r="D38" s="1621">
        <f ca="1">+D36-D37</f>
        <v>117.60569916123767</v>
      </c>
      <c r="E38" s="1621">
        <f ca="1">+E36-E37</f>
        <v>-1.3015956426464861</v>
      </c>
      <c r="F38" s="1621">
        <f ca="1">+F36-F37</f>
        <v>-4.6396447272278003</v>
      </c>
      <c r="G38" s="1621">
        <f ca="1">+G36-G37</f>
        <v>-5.9620061192754825</v>
      </c>
      <c r="I38" s="1345">
        <v>5</v>
      </c>
      <c r="J38" s="1467" t="s">
        <v>1459</v>
      </c>
      <c r="K38" s="1621">
        <f ca="1">+K36-K37</f>
        <v>112.60875438176085</v>
      </c>
      <c r="L38" s="1621">
        <f ca="1">+L36-L37</f>
        <v>-6.1280374492395442</v>
      </c>
      <c r="M38" s="1621">
        <f ca="1">+M36-M37</f>
        <v>-8.8151349711666676</v>
      </c>
      <c r="N38" s="1621">
        <f ca="1">+N36-N37</f>
        <v>-10.215680718242888</v>
      </c>
      <c r="P38" s="1345">
        <v>5</v>
      </c>
      <c r="Q38" s="1467" t="s">
        <v>1459</v>
      </c>
      <c r="R38" s="1621">
        <f ca="1">+R36-R37</f>
        <v>4.9969447794768298</v>
      </c>
      <c r="S38" s="1621">
        <f ca="1">+S36-S37</f>
        <v>4.8264418065930572</v>
      </c>
      <c r="T38" s="1621">
        <f ca="1">+T36-T37</f>
        <v>4.1754902439388601</v>
      </c>
      <c r="U38" s="1621">
        <f ca="1">+U36-U37</f>
        <v>4.2536745989674039</v>
      </c>
      <c r="W38" s="1429">
        <f t="shared" ca="1" si="7"/>
        <v>0</v>
      </c>
    </row>
    <row r="39" spans="2:23" x14ac:dyDescent="0.4">
      <c r="B39" s="1464"/>
      <c r="C39" s="2092" t="s">
        <v>986</v>
      </c>
      <c r="D39" s="2092"/>
      <c r="E39" s="2092"/>
      <c r="F39" s="2092"/>
      <c r="G39" s="2092"/>
      <c r="I39" s="1464"/>
      <c r="J39" s="2087" t="s">
        <v>986</v>
      </c>
      <c r="K39" s="2087"/>
      <c r="L39" s="2087"/>
      <c r="M39" s="2087"/>
      <c r="N39" s="2087"/>
      <c r="P39" s="1464"/>
      <c r="Q39" s="2087" t="s">
        <v>986</v>
      </c>
      <c r="R39" s="2087"/>
      <c r="S39" s="2087"/>
      <c r="T39" s="2087"/>
      <c r="U39" s="2087"/>
    </row>
    <row r="40" spans="2:23" x14ac:dyDescent="0.4">
      <c r="B40" s="1416">
        <v>1</v>
      </c>
      <c r="C40" s="1691" t="s">
        <v>1683</v>
      </c>
      <c r="D40" s="1620">
        <f t="shared" ref="D40:G41" ca="1" si="8">+D10</f>
        <v>123.55217083454808</v>
      </c>
      <c r="E40" s="1620">
        <f t="shared" ca="1" si="8"/>
        <v>154.50201454029323</v>
      </c>
      <c r="F40" s="1620">
        <f t="shared" ca="1" si="8"/>
        <v>187.57463455374483</v>
      </c>
      <c r="G40" s="1620">
        <f t="shared" ca="1" si="8"/>
        <v>204.96667919095938</v>
      </c>
      <c r="I40" s="1416">
        <v>1</v>
      </c>
      <c r="J40" s="727" t="s">
        <v>1683</v>
      </c>
      <c r="K40" s="1620">
        <f t="shared" ref="K40:N41" ca="1" si="9">+K10</f>
        <v>113.61685176761992</v>
      </c>
      <c r="L40" s="1620">
        <f t="shared" ca="1" si="9"/>
        <v>144.41252963850019</v>
      </c>
      <c r="M40" s="1620">
        <f t="shared" ca="1" si="9"/>
        <v>174.67324745481284</v>
      </c>
      <c r="N40" s="1620">
        <f t="shared" ca="1" si="9"/>
        <v>191.7784429391435</v>
      </c>
      <c r="P40" s="1416">
        <v>1</v>
      </c>
      <c r="Q40" s="727" t="s">
        <v>1683</v>
      </c>
      <c r="R40" s="1620">
        <f t="shared" ref="R40:U41" ca="1" si="10">+R10</f>
        <v>9.935319066928157</v>
      </c>
      <c r="S40" s="1620">
        <f t="shared" ca="1" si="10"/>
        <v>10.089484901793044</v>
      </c>
      <c r="T40" s="1620">
        <f t="shared" ca="1" si="10"/>
        <v>12.901387098931938</v>
      </c>
      <c r="U40" s="1620">
        <f t="shared" ca="1" si="10"/>
        <v>13.188236251815932</v>
      </c>
      <c r="W40" s="1429">
        <f t="shared" ca="1" si="7"/>
        <v>0</v>
      </c>
    </row>
    <row r="41" spans="2:23" x14ac:dyDescent="0.4">
      <c r="B41" s="1416">
        <v>2</v>
      </c>
      <c r="C41" s="1692" t="s">
        <v>1681</v>
      </c>
      <c r="D41" s="1620">
        <f t="shared" ca="1" si="8"/>
        <v>-70.940389579400971</v>
      </c>
      <c r="E41" s="1620">
        <f t="shared" si="8"/>
        <v>0</v>
      </c>
      <c r="F41" s="1620">
        <f t="shared" si="8"/>
        <v>0</v>
      </c>
      <c r="G41" s="1620">
        <f t="shared" si="8"/>
        <v>0</v>
      </c>
      <c r="I41" s="1416">
        <v>2</v>
      </c>
      <c r="J41" s="1466" t="s">
        <v>1681</v>
      </c>
      <c r="K41" s="1620">
        <f t="shared" ca="1" si="9"/>
        <v>-70.940389579400971</v>
      </c>
      <c r="L41" s="1620">
        <f t="shared" si="9"/>
        <v>0</v>
      </c>
      <c r="M41" s="1620">
        <f t="shared" si="9"/>
        <v>0</v>
      </c>
      <c r="N41" s="1620">
        <f t="shared" si="9"/>
        <v>0</v>
      </c>
      <c r="P41" s="1416">
        <v>2</v>
      </c>
      <c r="Q41" s="1466" t="s">
        <v>1681</v>
      </c>
      <c r="R41" s="1620">
        <f t="shared" si="10"/>
        <v>0</v>
      </c>
      <c r="S41" s="1620">
        <f t="shared" si="10"/>
        <v>0</v>
      </c>
      <c r="T41" s="1620">
        <f t="shared" si="10"/>
        <v>0</v>
      </c>
      <c r="U41" s="1620">
        <f t="shared" si="10"/>
        <v>0</v>
      </c>
      <c r="W41" s="1429">
        <f t="shared" ca="1" si="7"/>
        <v>0</v>
      </c>
    </row>
    <row r="42" spans="2:23" x14ac:dyDescent="0.4">
      <c r="B42" s="1345">
        <v>3</v>
      </c>
      <c r="C42" s="1693" t="s">
        <v>1684</v>
      </c>
      <c r="D42" s="1621">
        <f ca="1">+D40+D41</f>
        <v>52.611781255147108</v>
      </c>
      <c r="E42" s="1621">
        <f ca="1">+E40+E41</f>
        <v>154.50201454029323</v>
      </c>
      <c r="F42" s="1621">
        <f ca="1">+F40+F41</f>
        <v>187.57463455374483</v>
      </c>
      <c r="G42" s="1621">
        <f ca="1">+G40+G41</f>
        <v>204.96667919095938</v>
      </c>
      <c r="I42" s="1345">
        <v>3</v>
      </c>
      <c r="J42" s="1467" t="s">
        <v>1684</v>
      </c>
      <c r="K42" s="1621">
        <f ca="1">+K40+K41</f>
        <v>42.676462188218949</v>
      </c>
      <c r="L42" s="1621">
        <f ca="1">+L40+L41</f>
        <v>144.41252963850019</v>
      </c>
      <c r="M42" s="1621">
        <f ca="1">+M40+M41</f>
        <v>174.67324745481284</v>
      </c>
      <c r="N42" s="1621">
        <f ca="1">+N40+N41</f>
        <v>191.7784429391435</v>
      </c>
      <c r="P42" s="1345">
        <v>3</v>
      </c>
      <c r="Q42" s="1467" t="s">
        <v>1684</v>
      </c>
      <c r="R42" s="1621">
        <f ca="1">+R40+R41</f>
        <v>9.935319066928157</v>
      </c>
      <c r="S42" s="1621">
        <f ca="1">+S40+S41</f>
        <v>10.089484901793044</v>
      </c>
      <c r="T42" s="1621">
        <f ca="1">+T40+T41</f>
        <v>12.901387098931938</v>
      </c>
      <c r="U42" s="1621">
        <f ca="1">+U40+U41</f>
        <v>13.188236251815932</v>
      </c>
      <c r="W42" s="1429">
        <f t="shared" ca="1" si="7"/>
        <v>1.3500311979441904E-13</v>
      </c>
    </row>
    <row r="43" spans="2:23" x14ac:dyDescent="0.4">
      <c r="B43" s="1345">
        <v>4</v>
      </c>
      <c r="C43" s="1691" t="s">
        <v>1696</v>
      </c>
      <c r="D43" s="1620">
        <f>+'ARR-Summary'!M83</f>
        <v>150.12133209277712</v>
      </c>
      <c r="E43" s="1620">
        <f>+'ARR-Summary'!N83</f>
        <v>182.9716963336127</v>
      </c>
      <c r="F43" s="1620">
        <f>+'ARR-Summary'!O83</f>
        <v>219.97769745383999</v>
      </c>
      <c r="G43" s="1620">
        <f>+'ARR-Summary'!P83</f>
        <v>235.59922850893787</v>
      </c>
      <c r="I43" s="1345">
        <v>4</v>
      </c>
      <c r="J43" s="727" t="s">
        <v>1696</v>
      </c>
      <c r="K43" s="1620">
        <f>+'ARR-Summary'!AB83</f>
        <v>136.21855859512172</v>
      </c>
      <c r="L43" s="1620">
        <f>+'ARR-Summary'!AC83</f>
        <v>168.94817883595732</v>
      </c>
      <c r="M43" s="1620">
        <f>+'ARR-Summary'!AD83</f>
        <v>201.79530154655504</v>
      </c>
      <c r="N43" s="1620">
        <f>+'ARR-Summary'!AE83</f>
        <v>217.24373260165288</v>
      </c>
      <c r="P43" s="1345">
        <v>4</v>
      </c>
      <c r="Q43" s="727" t="s">
        <v>1696</v>
      </c>
      <c r="R43" s="1620">
        <f>+'ARR-Summary'!AP83</f>
        <v>13.902773497655375</v>
      </c>
      <c r="S43" s="1620">
        <f>+'ARR-Summary'!AQ83</f>
        <v>14.023517497655373</v>
      </c>
      <c r="T43" s="1620">
        <f>+'ARR-Summary'!AR83</f>
        <v>18.182395907284928</v>
      </c>
      <c r="U43" s="1620">
        <f>+'ARR-Summary'!AS83</f>
        <v>18.355495907284929</v>
      </c>
      <c r="W43" s="1429">
        <f t="shared" si="7"/>
        <v>2.5579538487363607E-13</v>
      </c>
    </row>
    <row r="44" spans="2:23" x14ac:dyDescent="0.4">
      <c r="B44" s="1345">
        <v>5</v>
      </c>
      <c r="C44" s="1693" t="s">
        <v>1459</v>
      </c>
      <c r="D44" s="1621">
        <f ca="1">+D42-D43</f>
        <v>-97.509550837630016</v>
      </c>
      <c r="E44" s="1621">
        <f ca="1">+E42-E43</f>
        <v>-28.469681793319467</v>
      </c>
      <c r="F44" s="1621">
        <f ca="1">+F42-F43</f>
        <v>-32.403062900095165</v>
      </c>
      <c r="G44" s="1621">
        <f ca="1">+G42-G43</f>
        <v>-30.632549317978487</v>
      </c>
      <c r="I44" s="1345">
        <v>5</v>
      </c>
      <c r="J44" s="1467" t="s">
        <v>1459</v>
      </c>
      <c r="K44" s="1621">
        <f ca="1">+K42-K43</f>
        <v>-93.542096406902772</v>
      </c>
      <c r="L44" s="1621">
        <f ca="1">+L42-L43</f>
        <v>-24.535649197457133</v>
      </c>
      <c r="M44" s="1621">
        <f ca="1">+M42-M43</f>
        <v>-27.1220540917422</v>
      </c>
      <c r="N44" s="1621">
        <f ca="1">+N42-N43</f>
        <v>-25.465289662509377</v>
      </c>
      <c r="P44" s="1345">
        <v>5</v>
      </c>
      <c r="Q44" s="1467" t="s">
        <v>1459</v>
      </c>
      <c r="R44" s="1621">
        <f ca="1">+R42-R43</f>
        <v>-3.9674544307272175</v>
      </c>
      <c r="S44" s="1621">
        <f ca="1">+S42-S43</f>
        <v>-3.9340325958623286</v>
      </c>
      <c r="T44" s="1621">
        <f ca="1">+T42-T43</f>
        <v>-5.2810088083529898</v>
      </c>
      <c r="U44" s="1621">
        <f ca="1">+U42-U43</f>
        <v>-5.1672596554689978</v>
      </c>
      <c r="W44" s="1429">
        <f t="shared" ca="1" si="7"/>
        <v>-1.0658141036401503E-13</v>
      </c>
    </row>
    <row r="45" spans="2:23" x14ac:dyDescent="0.4">
      <c r="B45" s="1464"/>
      <c r="C45" s="2092" t="s">
        <v>1486</v>
      </c>
      <c r="D45" s="2092"/>
      <c r="E45" s="2092"/>
      <c r="F45" s="2092"/>
      <c r="G45" s="2092"/>
      <c r="I45" s="1464"/>
      <c r="J45" s="2087" t="s">
        <v>1486</v>
      </c>
      <c r="K45" s="2087"/>
      <c r="L45" s="2087"/>
      <c r="M45" s="2087"/>
      <c r="N45" s="2087"/>
      <c r="P45" s="1464"/>
      <c r="Q45" s="2087" t="s">
        <v>1486</v>
      </c>
      <c r="R45" s="2087"/>
      <c r="S45" s="2087"/>
      <c r="T45" s="2087"/>
      <c r="U45" s="2087"/>
    </row>
    <row r="46" spans="2:23" x14ac:dyDescent="0.4">
      <c r="B46" s="1416">
        <v>1</v>
      </c>
      <c r="C46" s="1691" t="s">
        <v>1685</v>
      </c>
      <c r="D46" s="1620">
        <f t="shared" ref="D46:G49" ca="1" si="11">+D34+D40</f>
        <v>138.91213935642958</v>
      </c>
      <c r="E46" s="1620">
        <f t="shared" ca="1" si="11"/>
        <v>170.06246269045556</v>
      </c>
      <c r="F46" s="1620">
        <f t="shared" ca="1" si="11"/>
        <v>203.38903854487492</v>
      </c>
      <c r="G46" s="1620">
        <f t="shared" ca="1" si="11"/>
        <v>221.0302126991327</v>
      </c>
      <c r="I46" s="1416">
        <v>1</v>
      </c>
      <c r="J46" s="727" t="s">
        <v>1685</v>
      </c>
      <c r="K46" s="1620">
        <f t="shared" ref="K46:N47" ca="1" si="12">+K34+K40</f>
        <v>122.34356087975839</v>
      </c>
      <c r="L46" s="1620">
        <f t="shared" ca="1" si="12"/>
        <v>153.51022135180324</v>
      </c>
      <c r="M46" s="1620">
        <f t="shared" ca="1" si="12"/>
        <v>184.13501278117772</v>
      </c>
      <c r="N46" s="1620">
        <f t="shared" ca="1" si="12"/>
        <v>201.41115342752309</v>
      </c>
      <c r="P46" s="1416">
        <v>1</v>
      </c>
      <c r="Q46" s="727" t="s">
        <v>1685</v>
      </c>
      <c r="R46" s="1620">
        <f t="shared" ref="R46:U47" ca="1" si="13">+R34+R40</f>
        <v>16.568578476671199</v>
      </c>
      <c r="S46" s="1620">
        <f t="shared" ca="1" si="13"/>
        <v>16.552241338652312</v>
      </c>
      <c r="T46" s="1620">
        <f t="shared" ca="1" si="13"/>
        <v>19.254025763697125</v>
      </c>
      <c r="U46" s="1620">
        <f t="shared" ca="1" si="13"/>
        <v>19.619059271609665</v>
      </c>
      <c r="W46" s="1429">
        <f t="shared" ca="1" si="7"/>
        <v>-1.1368683772161603E-13</v>
      </c>
    </row>
    <row r="47" spans="2:23" x14ac:dyDescent="0.4">
      <c r="B47" s="1416">
        <v>2</v>
      </c>
      <c r="C47" s="1692" t="s">
        <v>1681</v>
      </c>
      <c r="D47" s="1620">
        <f t="shared" ca="1" si="11"/>
        <v>45.134595761854925</v>
      </c>
      <c r="E47" s="1620">
        <f t="shared" si="11"/>
        <v>0</v>
      </c>
      <c r="F47" s="1620">
        <f t="shared" si="11"/>
        <v>0</v>
      </c>
      <c r="G47" s="1620">
        <f t="shared" si="11"/>
        <v>0</v>
      </c>
      <c r="I47" s="1416">
        <v>2</v>
      </c>
      <c r="J47" s="1466" t="s">
        <v>1681</v>
      </c>
      <c r="K47" s="1620">
        <f t="shared" ca="1" si="12"/>
        <v>45.134595761854925</v>
      </c>
      <c r="L47" s="1620">
        <f t="shared" si="12"/>
        <v>0</v>
      </c>
      <c r="M47" s="1620">
        <f t="shared" si="12"/>
        <v>0</v>
      </c>
      <c r="N47" s="1620">
        <f t="shared" si="12"/>
        <v>0</v>
      </c>
      <c r="P47" s="1416">
        <v>2</v>
      </c>
      <c r="Q47" s="1466" t="s">
        <v>1681</v>
      </c>
      <c r="R47" s="1620">
        <f t="shared" si="13"/>
        <v>0</v>
      </c>
      <c r="S47" s="1620">
        <f t="shared" si="13"/>
        <v>0</v>
      </c>
      <c r="T47" s="1620">
        <f t="shared" si="13"/>
        <v>0</v>
      </c>
      <c r="U47" s="1620">
        <f t="shared" si="13"/>
        <v>0</v>
      </c>
      <c r="W47" s="1429">
        <f t="shared" ca="1" si="7"/>
        <v>0</v>
      </c>
    </row>
    <row r="48" spans="2:23" x14ac:dyDescent="0.4">
      <c r="B48" s="1345">
        <v>3</v>
      </c>
      <c r="C48" s="1693" t="s">
        <v>1686</v>
      </c>
      <c r="D48" s="1621">
        <f ca="1">+D46+D47</f>
        <v>184.04673511828452</v>
      </c>
      <c r="E48" s="1621">
        <f ca="1">+E46+E47</f>
        <v>170.06246269045556</v>
      </c>
      <c r="F48" s="1621">
        <f ca="1">+F46+F47</f>
        <v>203.38903854487492</v>
      </c>
      <c r="G48" s="1621">
        <f ca="1">+G46+G47</f>
        <v>221.0302126991327</v>
      </c>
      <c r="I48" s="1345">
        <v>3</v>
      </c>
      <c r="J48" s="1467" t="s">
        <v>1686</v>
      </c>
      <c r="K48" s="1621">
        <f ca="1">+K46+K47</f>
        <v>167.47815664161331</v>
      </c>
      <c r="L48" s="1621">
        <f ca="1">+L46+L47</f>
        <v>153.51022135180324</v>
      </c>
      <c r="M48" s="1621">
        <f ca="1">+M46+M47</f>
        <v>184.13501278117772</v>
      </c>
      <c r="N48" s="1621">
        <f ca="1">+N46+N47</f>
        <v>201.41115342752309</v>
      </c>
      <c r="P48" s="1345">
        <v>3</v>
      </c>
      <c r="Q48" s="1467" t="s">
        <v>1686</v>
      </c>
      <c r="R48" s="1621">
        <f ca="1">+R46+R47</f>
        <v>16.568578476671199</v>
      </c>
      <c r="S48" s="1621">
        <f ca="1">+S46+S47</f>
        <v>16.552241338652312</v>
      </c>
      <c r="T48" s="1621">
        <f ca="1">+T46+T47</f>
        <v>19.254025763697125</v>
      </c>
      <c r="U48" s="1621">
        <f ca="1">+U46+U47</f>
        <v>19.619059271609665</v>
      </c>
      <c r="W48" s="1429">
        <f t="shared" ca="1" si="7"/>
        <v>0</v>
      </c>
    </row>
    <row r="49" spans="2:23" x14ac:dyDescent="0.4">
      <c r="B49" s="1416">
        <v>4</v>
      </c>
      <c r="C49" s="1691" t="s">
        <v>1696</v>
      </c>
      <c r="D49" s="1620">
        <f t="shared" si="11"/>
        <v>163.95058679467684</v>
      </c>
      <c r="E49" s="1620">
        <f t="shared" si="11"/>
        <v>199.8337401264215</v>
      </c>
      <c r="F49" s="1620">
        <f t="shared" si="11"/>
        <v>240.43174617219788</v>
      </c>
      <c r="G49" s="1620">
        <f t="shared" si="11"/>
        <v>257.62476813638665</v>
      </c>
      <c r="I49" s="1416">
        <v>4</v>
      </c>
      <c r="J49" s="727" t="s">
        <v>1696</v>
      </c>
      <c r="K49" s="1620">
        <f>+K37+K43</f>
        <v>148.41149866675522</v>
      </c>
      <c r="L49" s="1620">
        <f>+L37+L43</f>
        <v>184.17390799849991</v>
      </c>
      <c r="M49" s="1620">
        <f>+M37+M43</f>
        <v>220.07220184408661</v>
      </c>
      <c r="N49" s="1620">
        <f>+N37+N43</f>
        <v>237.09212380827535</v>
      </c>
      <c r="P49" s="1416">
        <v>4</v>
      </c>
      <c r="Q49" s="727" t="s">
        <v>1696</v>
      </c>
      <c r="R49" s="1620">
        <f>+R37+R43</f>
        <v>15.539088127921584</v>
      </c>
      <c r="S49" s="1620">
        <f>+S37+S43</f>
        <v>15.659832127921582</v>
      </c>
      <c r="T49" s="1620">
        <f>+T37+T43</f>
        <v>20.359544328111255</v>
      </c>
      <c r="U49" s="1620">
        <f>+U37+U43</f>
        <v>20.532644328111257</v>
      </c>
      <c r="W49" s="1429">
        <f t="shared" si="7"/>
        <v>0</v>
      </c>
    </row>
    <row r="50" spans="2:23" x14ac:dyDescent="0.4">
      <c r="B50" s="1416">
        <v>5</v>
      </c>
      <c r="C50" s="1693" t="s">
        <v>1459</v>
      </c>
      <c r="D50" s="1621">
        <f ca="1">+D48-D49</f>
        <v>20.096148323607679</v>
      </c>
      <c r="E50" s="1621">
        <f ca="1">+E48-E49</f>
        <v>-29.771277435965942</v>
      </c>
      <c r="F50" s="1621">
        <f ca="1">+F48-F49</f>
        <v>-37.042707627322955</v>
      </c>
      <c r="G50" s="1621">
        <f ca="1">+G48-G49</f>
        <v>-36.594555437253945</v>
      </c>
      <c r="I50" s="1416">
        <v>5</v>
      </c>
      <c r="J50" s="1467" t="s">
        <v>1459</v>
      </c>
      <c r="K50" s="1621">
        <f ca="1">+K48-K49</f>
        <v>19.066657974858089</v>
      </c>
      <c r="L50" s="1621">
        <f ca="1">+L48-L49</f>
        <v>-30.663686646696675</v>
      </c>
      <c r="M50" s="1621">
        <f ca="1">+M48-M49</f>
        <v>-35.937189062908885</v>
      </c>
      <c r="N50" s="1621">
        <f ca="1">+N48-N49</f>
        <v>-35.680970380752257</v>
      </c>
      <c r="P50" s="1416">
        <v>5</v>
      </c>
      <c r="Q50" s="1467" t="s">
        <v>1459</v>
      </c>
      <c r="R50" s="1621">
        <f ca="1">+R48-R49</f>
        <v>1.029490348749615</v>
      </c>
      <c r="S50" s="1621">
        <f ca="1">+S48-S49</f>
        <v>0.89240921073072954</v>
      </c>
      <c r="T50" s="1621">
        <f ca="1">+T48-T49</f>
        <v>-1.1055185644141297</v>
      </c>
      <c r="U50" s="1621">
        <f ca="1">+U48-U49</f>
        <v>-0.91358505650159216</v>
      </c>
      <c r="W50" s="1429">
        <f t="shared" ca="1" si="7"/>
        <v>-5.6843418860808015E-14</v>
      </c>
    </row>
    <row r="51" spans="2:23" x14ac:dyDescent="0.4">
      <c r="B51" s="1474"/>
      <c r="C51" s="1326"/>
      <c r="D51" s="1478"/>
      <c r="E51" s="1478"/>
      <c r="F51" s="1478"/>
      <c r="G51" s="1478"/>
      <c r="I51" s="1474"/>
      <c r="J51" s="1326"/>
      <c r="K51" s="1326"/>
      <c r="L51" s="1326"/>
      <c r="M51" s="1326"/>
      <c r="N51" s="1326"/>
      <c r="P51" s="1474"/>
      <c r="Q51" s="1326"/>
      <c r="R51" s="1326"/>
      <c r="S51" s="1326"/>
      <c r="T51" s="1326"/>
      <c r="U51" s="1326"/>
    </row>
    <row r="52" spans="2:23" ht="13.25" customHeight="1" x14ac:dyDescent="0.4">
      <c r="B52" s="2088" t="s">
        <v>1796</v>
      </c>
      <c r="C52" s="2088"/>
      <c r="D52" s="2088"/>
      <c r="E52" s="2088"/>
      <c r="F52" s="2088"/>
      <c r="G52" s="2088"/>
      <c r="I52" s="2088" t="s">
        <v>1796</v>
      </c>
      <c r="J52" s="2088"/>
      <c r="K52" s="2088"/>
      <c r="L52" s="2088"/>
      <c r="M52" s="2088"/>
      <c r="N52" s="2088"/>
      <c r="P52" s="2088" t="s">
        <v>1796</v>
      </c>
      <c r="Q52" s="2088"/>
      <c r="R52" s="2088"/>
      <c r="S52" s="2088"/>
      <c r="T52" s="2088"/>
      <c r="U52" s="2088"/>
    </row>
    <row r="53" spans="2:23" x14ac:dyDescent="0.4">
      <c r="B53" s="1461" t="s">
        <v>555</v>
      </c>
      <c r="C53" s="1462" t="s">
        <v>111</v>
      </c>
      <c r="D53" s="1463" t="s">
        <v>1676</v>
      </c>
      <c r="E53" s="1463" t="s">
        <v>1677</v>
      </c>
      <c r="F53" s="1463" t="s">
        <v>1678</v>
      </c>
      <c r="G53" s="1463" t="s">
        <v>1679</v>
      </c>
      <c r="I53" s="1461" t="s">
        <v>555</v>
      </c>
      <c r="J53" s="1462" t="s">
        <v>111</v>
      </c>
      <c r="K53" s="1463" t="s">
        <v>1676</v>
      </c>
      <c r="L53" s="1463" t="s">
        <v>1677</v>
      </c>
      <c r="M53" s="1463" t="s">
        <v>1678</v>
      </c>
      <c r="N53" s="1463" t="s">
        <v>1679</v>
      </c>
      <c r="P53" s="1461" t="s">
        <v>555</v>
      </c>
      <c r="Q53" s="1462" t="s">
        <v>111</v>
      </c>
      <c r="R53" s="1463" t="s">
        <v>1676</v>
      </c>
      <c r="S53" s="1463" t="s">
        <v>1677</v>
      </c>
      <c r="T53" s="1463" t="s">
        <v>1678</v>
      </c>
      <c r="U53" s="1463" t="s">
        <v>1679</v>
      </c>
    </row>
    <row r="54" spans="2:23" x14ac:dyDescent="0.4">
      <c r="B54" s="1464"/>
      <c r="C54" s="2087" t="s">
        <v>1510</v>
      </c>
      <c r="D54" s="2087"/>
      <c r="E54" s="2087"/>
      <c r="F54" s="2087"/>
      <c r="G54" s="2087"/>
      <c r="I54" s="1464"/>
      <c r="J54" s="2087" t="s">
        <v>1510</v>
      </c>
      <c r="K54" s="2087"/>
      <c r="L54" s="2087"/>
      <c r="M54" s="2087"/>
      <c r="N54" s="2087"/>
      <c r="P54" s="1464"/>
      <c r="Q54" s="2087" t="s">
        <v>1510</v>
      </c>
      <c r="R54" s="2087"/>
      <c r="S54" s="2087"/>
      <c r="T54" s="2087"/>
      <c r="U54" s="2087"/>
    </row>
    <row r="55" spans="2:23" x14ac:dyDescent="0.4">
      <c r="B55" s="1416">
        <v>1</v>
      </c>
      <c r="C55" s="727" t="s">
        <v>1680</v>
      </c>
      <c r="D55" s="1687">
        <f ca="1">+D34</f>
        <v>15.359968521881509</v>
      </c>
      <c r="E55" s="1687">
        <f ca="1">+E34</f>
        <v>15.560448150162326</v>
      </c>
      <c r="F55" s="1687">
        <f ca="1">+F34</f>
        <v>15.814403991130082</v>
      </c>
      <c r="G55" s="1687">
        <f ca="1">+G34</f>
        <v>16.063533508173311</v>
      </c>
      <c r="I55" s="1416">
        <v>1</v>
      </c>
      <c r="J55" s="1686" t="s">
        <v>1680</v>
      </c>
      <c r="K55" s="1687">
        <f ca="1">+K34</f>
        <v>8.7267091121384688</v>
      </c>
      <c r="L55" s="1687">
        <f ca="1">+L34</f>
        <v>9.0976917133030586</v>
      </c>
      <c r="M55" s="1687">
        <f ca="1">+M34</f>
        <v>9.4617653263648904</v>
      </c>
      <c r="N55" s="1687">
        <f ca="1">+N34</f>
        <v>9.6327104883795815</v>
      </c>
      <c r="P55" s="1416">
        <v>1</v>
      </c>
      <c r="Q55" s="727" t="s">
        <v>1680</v>
      </c>
      <c r="R55" s="1687">
        <f ca="1">+R34</f>
        <v>6.6332594097430402</v>
      </c>
      <c r="S55" s="1687">
        <f ca="1">+S34</f>
        <v>6.4627564368592676</v>
      </c>
      <c r="T55" s="1687">
        <f ca="1">+T34</f>
        <v>6.3526386647651867</v>
      </c>
      <c r="U55" s="1687">
        <f ca="1">+U34</f>
        <v>6.4308230197937313</v>
      </c>
      <c r="W55" s="1429">
        <f ca="1">+SUM(D55:G55)-SUM(K55:N55)-SUM(R55:U55)</f>
        <v>0</v>
      </c>
    </row>
    <row r="56" spans="2:23" ht="26.25" x14ac:dyDescent="0.4">
      <c r="B56" s="1416">
        <v>2</v>
      </c>
      <c r="C56" s="1466" t="s">
        <v>1797</v>
      </c>
      <c r="D56" s="1687">
        <f>+D78+D79</f>
        <v>24.450034912282142</v>
      </c>
      <c r="E56" s="1687">
        <f>+E78+E79</f>
        <v>31.344889041552744</v>
      </c>
      <c r="F56" s="1687">
        <f>+F78+F79</f>
        <v>39.365670528633522</v>
      </c>
      <c r="G56" s="1687">
        <f>+G78+G79</f>
        <v>44.108494429677243</v>
      </c>
      <c r="I56" s="1416">
        <v>2</v>
      </c>
      <c r="J56" s="1688" t="s">
        <v>1797</v>
      </c>
      <c r="K56" s="1687">
        <f>+K78+K79</f>
        <v>24.450034912282142</v>
      </c>
      <c r="L56" s="1687">
        <f>+L78+L79</f>
        <v>31.344889041552744</v>
      </c>
      <c r="M56" s="1687">
        <f>+M78+M79</f>
        <v>39.365670528633522</v>
      </c>
      <c r="N56" s="1687">
        <f>+N78+N79</f>
        <v>44.108494429677243</v>
      </c>
      <c r="P56" s="1416">
        <v>2</v>
      </c>
      <c r="Q56" s="1466" t="s">
        <v>1797</v>
      </c>
      <c r="R56" s="1687">
        <f>+R78+R79</f>
        <v>0</v>
      </c>
      <c r="S56" s="1687">
        <f>+S78+S79</f>
        <v>0</v>
      </c>
      <c r="T56" s="1687">
        <f>+T78+T79</f>
        <v>0</v>
      </c>
      <c r="U56" s="1687">
        <f>+U78+U79</f>
        <v>0</v>
      </c>
      <c r="V56" s="1429"/>
      <c r="W56" s="1429">
        <f>+SUM(D56:G56)-SUM(K56:N56)-SUM(R56:U56)</f>
        <v>0</v>
      </c>
    </row>
    <row r="57" spans="2:23" x14ac:dyDescent="0.4">
      <c r="B57" s="1345">
        <v>3</v>
      </c>
      <c r="C57" s="1467" t="s">
        <v>1682</v>
      </c>
      <c r="D57" s="1690">
        <f ca="1">+D55+D56</f>
        <v>39.810003434163647</v>
      </c>
      <c r="E57" s="1690">
        <f ca="1">+E55+E56</f>
        <v>46.90533719171507</v>
      </c>
      <c r="F57" s="1690">
        <f ca="1">+F55+F56</f>
        <v>55.180074519763608</v>
      </c>
      <c r="G57" s="1690">
        <f ca="1">+G55+G56</f>
        <v>60.172027937850558</v>
      </c>
      <c r="I57" s="1345">
        <v>3</v>
      </c>
      <c r="J57" s="1689" t="s">
        <v>1682</v>
      </c>
      <c r="K57" s="1690">
        <f ca="1">+K55+K56</f>
        <v>33.176744024420614</v>
      </c>
      <c r="L57" s="1690">
        <f ca="1">+L55+L56</f>
        <v>40.442580754855804</v>
      </c>
      <c r="M57" s="1690">
        <f ca="1">+M55+M56</f>
        <v>48.827435854998413</v>
      </c>
      <c r="N57" s="1690">
        <f ca="1">+N55+N56</f>
        <v>53.741204918056823</v>
      </c>
      <c r="P57" s="1345">
        <v>3</v>
      </c>
      <c r="Q57" s="1467" t="s">
        <v>1682</v>
      </c>
      <c r="R57" s="1690">
        <f ca="1">+R55+R56</f>
        <v>6.6332594097430402</v>
      </c>
      <c r="S57" s="1690">
        <f ca="1">+S55+S56</f>
        <v>6.4627564368592676</v>
      </c>
      <c r="T57" s="1690">
        <f ca="1">+T55+T56</f>
        <v>6.3526386647651867</v>
      </c>
      <c r="U57" s="1690">
        <f ca="1">+U55+U56</f>
        <v>6.4308230197937313</v>
      </c>
      <c r="W57" s="1429">
        <f ca="1">+SUM(D57:G57)-SUM(K57:N57)-SUM(R57:U57)</f>
        <v>0</v>
      </c>
    </row>
    <row r="58" spans="2:23" x14ac:dyDescent="0.4">
      <c r="B58" s="1345">
        <v>4</v>
      </c>
      <c r="C58" s="727" t="s">
        <v>1696</v>
      </c>
      <c r="D58" s="1687">
        <f>+D37</f>
        <v>13.829254701899725</v>
      </c>
      <c r="E58" s="1687">
        <f>+E37</f>
        <v>16.862043792808812</v>
      </c>
      <c r="F58" s="1687">
        <f>+F37</f>
        <v>20.454048718357882</v>
      </c>
      <c r="G58" s="1687">
        <f>+G37</f>
        <v>22.025539627448794</v>
      </c>
      <c r="I58" s="1345">
        <v>4</v>
      </c>
      <c r="J58" s="1686" t="s">
        <v>1696</v>
      </c>
      <c r="K58" s="1687">
        <f>+K37</f>
        <v>12.192940071633513</v>
      </c>
      <c r="L58" s="1687">
        <f>+L37</f>
        <v>15.225729162542603</v>
      </c>
      <c r="M58" s="1687">
        <f>+M37</f>
        <v>18.276900297531558</v>
      </c>
      <c r="N58" s="1687">
        <f>+N37</f>
        <v>19.84839120662247</v>
      </c>
      <c r="P58" s="1345">
        <v>4</v>
      </c>
      <c r="Q58" s="727" t="s">
        <v>1696</v>
      </c>
      <c r="R58" s="1687">
        <f>+R37</f>
        <v>1.6363146302662104</v>
      </c>
      <c r="S58" s="1687">
        <f>+S37</f>
        <v>1.6363146302662104</v>
      </c>
      <c r="T58" s="1687">
        <f>+T37</f>
        <v>2.177148420826327</v>
      </c>
      <c r="U58" s="1687">
        <f>+U37</f>
        <v>2.177148420826327</v>
      </c>
      <c r="W58" s="1429">
        <f>+SUM(D58:G58)-SUM(K58:N58)-SUM(R58:U58)</f>
        <v>-8.8817841970012523E-15</v>
      </c>
    </row>
    <row r="59" spans="2:23" x14ac:dyDescent="0.4">
      <c r="B59" s="1345">
        <v>5</v>
      </c>
      <c r="C59" s="1467" t="s">
        <v>1459</v>
      </c>
      <c r="D59" s="1690">
        <f ca="1">+D57-D58</f>
        <v>25.980748732263923</v>
      </c>
      <c r="E59" s="1690">
        <f ca="1">+E57-E58</f>
        <v>30.043293398906258</v>
      </c>
      <c r="F59" s="1690">
        <f ca="1">+F57-F58</f>
        <v>34.726025801405726</v>
      </c>
      <c r="G59" s="1690">
        <f ca="1">+G57-G58</f>
        <v>38.146488310401764</v>
      </c>
      <c r="I59" s="1345">
        <v>5</v>
      </c>
      <c r="J59" s="1689" t="s">
        <v>1459</v>
      </c>
      <c r="K59" s="1690">
        <f ca="1">+K57-K58</f>
        <v>20.983803952787099</v>
      </c>
      <c r="L59" s="1690">
        <f ca="1">+L57-L58</f>
        <v>25.216851592313201</v>
      </c>
      <c r="M59" s="1690">
        <f ca="1">+M57-M58</f>
        <v>30.550535557466855</v>
      </c>
      <c r="N59" s="1690">
        <f ca="1">+N57-N58</f>
        <v>33.892813711434357</v>
      </c>
      <c r="P59" s="1345">
        <v>5</v>
      </c>
      <c r="Q59" s="1467" t="s">
        <v>1459</v>
      </c>
      <c r="R59" s="1690">
        <f ca="1">+R57-R58</f>
        <v>4.9969447794768298</v>
      </c>
      <c r="S59" s="1690">
        <f ca="1">+S57-S58</f>
        <v>4.8264418065930572</v>
      </c>
      <c r="T59" s="1690">
        <f ca="1">+T57-T58</f>
        <v>4.1754902439388601</v>
      </c>
      <c r="U59" s="1690">
        <f ca="1">+U57-U58</f>
        <v>4.2536745989674039</v>
      </c>
      <c r="W59" s="1429">
        <f ca="1">+SUM(D59:G59)-SUM(K59:N59)-SUM(R59:U59)</f>
        <v>0</v>
      </c>
    </row>
    <row r="60" spans="2:23" x14ac:dyDescent="0.4">
      <c r="B60" s="1464"/>
      <c r="C60" s="2087" t="s">
        <v>986</v>
      </c>
      <c r="D60" s="2087"/>
      <c r="E60" s="2087"/>
      <c r="F60" s="2087"/>
      <c r="G60" s="2087"/>
      <c r="I60" s="1464"/>
      <c r="J60" s="2089" t="s">
        <v>986</v>
      </c>
      <c r="K60" s="2089"/>
      <c r="L60" s="2089"/>
      <c r="M60" s="2089"/>
      <c r="N60" s="2089"/>
      <c r="P60" s="1464"/>
      <c r="Q60" s="2087" t="s">
        <v>986</v>
      </c>
      <c r="R60" s="2087"/>
      <c r="S60" s="2087"/>
      <c r="T60" s="2087"/>
      <c r="U60" s="2087"/>
    </row>
    <row r="61" spans="2:23" x14ac:dyDescent="0.4">
      <c r="B61" s="1416">
        <v>1</v>
      </c>
      <c r="C61" s="727" t="s">
        <v>1683</v>
      </c>
      <c r="D61" s="1620">
        <f ca="1">+D40</f>
        <v>123.55217083454808</v>
      </c>
      <c r="E61" s="1620">
        <f ca="1">+E40</f>
        <v>154.50201454029323</v>
      </c>
      <c r="F61" s="1620">
        <f ca="1">+F40</f>
        <v>187.57463455374483</v>
      </c>
      <c r="G61" s="1620">
        <f ca="1">+G40</f>
        <v>204.96667919095938</v>
      </c>
      <c r="I61" s="1416">
        <v>1</v>
      </c>
      <c r="J61" s="1686" t="s">
        <v>1683</v>
      </c>
      <c r="K61" s="1620">
        <f ca="1">+K40</f>
        <v>113.61685176761992</v>
      </c>
      <c r="L61" s="1620">
        <f ca="1">+L40</f>
        <v>144.41252963850019</v>
      </c>
      <c r="M61" s="1620">
        <f ca="1">+M40</f>
        <v>174.67324745481284</v>
      </c>
      <c r="N61" s="1620">
        <f ca="1">+N40</f>
        <v>191.7784429391435</v>
      </c>
      <c r="P61" s="1416">
        <v>1</v>
      </c>
      <c r="Q61" s="727" t="s">
        <v>1683</v>
      </c>
      <c r="R61" s="1620">
        <f ca="1">+R40</f>
        <v>9.935319066928157</v>
      </c>
      <c r="S61" s="1620">
        <f ca="1">+S40</f>
        <v>10.089484901793044</v>
      </c>
      <c r="T61" s="1620">
        <f ca="1">+T40</f>
        <v>12.901387098931938</v>
      </c>
      <c r="U61" s="1620">
        <f ca="1">+U40</f>
        <v>13.188236251815932</v>
      </c>
      <c r="W61" s="1429">
        <f ca="1">+SUM(D61:G61)-SUM(K61:N61)-SUM(R61:U61)</f>
        <v>0</v>
      </c>
    </row>
    <row r="62" spans="2:23" ht="26.25" x14ac:dyDescent="0.4">
      <c r="B62" s="1416">
        <v>2</v>
      </c>
      <c r="C62" s="1466" t="s">
        <v>1797</v>
      </c>
      <c r="D62" s="1620">
        <f ca="1">+D86+D87</f>
        <v>-7.5311101266782998</v>
      </c>
      <c r="E62" s="1620">
        <f ca="1">+E86+E87</f>
        <v>-17.140089544586701</v>
      </c>
      <c r="F62" s="1620">
        <f ca="1">+F86+F87</f>
        <v>-26.699595827075036</v>
      </c>
      <c r="G62" s="1620">
        <f ca="1">+G86+G87</f>
        <v>-36.789002581288507</v>
      </c>
      <c r="I62" s="1416">
        <v>2</v>
      </c>
      <c r="J62" s="1688" t="s">
        <v>1797</v>
      </c>
      <c r="K62" s="1620">
        <f ca="1">+K86+K87</f>
        <v>-7.3068601266783002</v>
      </c>
      <c r="L62" s="1620">
        <f ca="1">+L86+L87</f>
        <v>-16.851889544586701</v>
      </c>
      <c r="M62" s="1620">
        <f ca="1">+M86+M87</f>
        <v>-27.209895827075037</v>
      </c>
      <c r="N62" s="1620">
        <f ca="1">+N86+N87</f>
        <v>-36.889002581288509</v>
      </c>
      <c r="P62" s="1416">
        <v>2</v>
      </c>
      <c r="Q62" s="1466" t="s">
        <v>1797</v>
      </c>
      <c r="R62" s="1620">
        <f>+R86+R87</f>
        <v>-0.22425</v>
      </c>
      <c r="S62" s="1620">
        <f>+S86+S87</f>
        <v>-0.28819999999999996</v>
      </c>
      <c r="T62" s="1620">
        <f>+T86+T87</f>
        <v>0.51029999999999998</v>
      </c>
      <c r="U62" s="1620">
        <f>+U86+U87</f>
        <v>9.9999999999999978E-2</v>
      </c>
      <c r="W62" s="1429">
        <f ca="1">+SUM(D62:G62)-SUM(K62:N62)-SUM(R62:U62)</f>
        <v>8.2156503822261584E-15</v>
      </c>
    </row>
    <row r="63" spans="2:23" x14ac:dyDescent="0.4">
      <c r="B63" s="1345">
        <v>3</v>
      </c>
      <c r="C63" s="1467" t="s">
        <v>1684</v>
      </c>
      <c r="D63" s="1621">
        <f ca="1">+D61+D62</f>
        <v>116.02106070786978</v>
      </c>
      <c r="E63" s="1621">
        <f ca="1">+E61+E62</f>
        <v>137.36192499570654</v>
      </c>
      <c r="F63" s="1621">
        <f ca="1">+F61+F62</f>
        <v>160.8750387266698</v>
      </c>
      <c r="G63" s="1621">
        <f ca="1">+G61+G62</f>
        <v>168.17767660967087</v>
      </c>
      <c r="I63" s="1345">
        <v>3</v>
      </c>
      <c r="J63" s="1689" t="s">
        <v>1684</v>
      </c>
      <c r="K63" s="1621">
        <f ca="1">+K61+K62</f>
        <v>106.30999164094162</v>
      </c>
      <c r="L63" s="1621">
        <f ca="1">+L61+L62</f>
        <v>127.56064009391349</v>
      </c>
      <c r="M63" s="1621">
        <f ca="1">+M61+M62</f>
        <v>147.46335162773781</v>
      </c>
      <c r="N63" s="1621">
        <f ca="1">+N61+N62</f>
        <v>154.88944035785499</v>
      </c>
      <c r="P63" s="1345">
        <v>3</v>
      </c>
      <c r="Q63" s="1467" t="s">
        <v>1684</v>
      </c>
      <c r="R63" s="1621">
        <f ca="1">+R61+R62</f>
        <v>9.7110690669281574</v>
      </c>
      <c r="S63" s="1621">
        <f ca="1">+S61+S62</f>
        <v>9.8012849017930446</v>
      </c>
      <c r="T63" s="1621">
        <f ca="1">+T61+T62</f>
        <v>13.411687098931939</v>
      </c>
      <c r="U63" s="1621">
        <f ca="1">+U61+U62</f>
        <v>13.288236251815931</v>
      </c>
      <c r="W63" s="1429">
        <f ca="1">+SUM(D63:G63)-SUM(K63:N63)-SUM(R63:U63)</f>
        <v>-9.9475983006414026E-14</v>
      </c>
    </row>
    <row r="64" spans="2:23" x14ac:dyDescent="0.4">
      <c r="B64" s="1345">
        <v>4</v>
      </c>
      <c r="C64" s="727" t="s">
        <v>1696</v>
      </c>
      <c r="D64" s="1620">
        <f>+D43</f>
        <v>150.12133209277712</v>
      </c>
      <c r="E64" s="1620">
        <f>+E43</f>
        <v>182.9716963336127</v>
      </c>
      <c r="F64" s="1620">
        <f>+F43</f>
        <v>219.97769745383999</v>
      </c>
      <c r="G64" s="1620">
        <f>+G43</f>
        <v>235.59922850893787</v>
      </c>
      <c r="I64" s="1345">
        <v>4</v>
      </c>
      <c r="J64" s="1686" t="s">
        <v>1696</v>
      </c>
      <c r="K64" s="1620">
        <f>+K43</f>
        <v>136.21855859512172</v>
      </c>
      <c r="L64" s="1620">
        <f>+L43</f>
        <v>168.94817883595732</v>
      </c>
      <c r="M64" s="1620">
        <f>+M43</f>
        <v>201.79530154655504</v>
      </c>
      <c r="N64" s="1620">
        <f>+N43</f>
        <v>217.24373260165288</v>
      </c>
      <c r="P64" s="1345">
        <v>4</v>
      </c>
      <c r="Q64" s="727" t="s">
        <v>1696</v>
      </c>
      <c r="R64" s="1620">
        <f>+R43</f>
        <v>13.902773497655375</v>
      </c>
      <c r="S64" s="1620">
        <f>+S43</f>
        <v>14.023517497655373</v>
      </c>
      <c r="T64" s="1620">
        <f>+T43</f>
        <v>18.182395907284928</v>
      </c>
      <c r="U64" s="1620">
        <f>+U43</f>
        <v>18.355495907284929</v>
      </c>
      <c r="W64" s="1429">
        <f>+SUM(D64:G64)-SUM(K64:N64)-SUM(R64:U64)</f>
        <v>2.5579538487363607E-13</v>
      </c>
    </row>
    <row r="65" spans="2:23" x14ac:dyDescent="0.4">
      <c r="B65" s="1345">
        <v>5</v>
      </c>
      <c r="C65" s="1467" t="s">
        <v>1459</v>
      </c>
      <c r="D65" s="1621">
        <f ca="1">+D63-D64</f>
        <v>-34.100271384907344</v>
      </c>
      <c r="E65" s="1621">
        <f ca="1">+E63-E64</f>
        <v>-45.609771337906153</v>
      </c>
      <c r="F65" s="1621">
        <f ca="1">+F63-F64</f>
        <v>-59.102658727170194</v>
      </c>
      <c r="G65" s="1621">
        <f ca="1">+G63-G64</f>
        <v>-67.421551899267001</v>
      </c>
      <c r="I65" s="1345">
        <v>5</v>
      </c>
      <c r="J65" s="1689" t="s">
        <v>1459</v>
      </c>
      <c r="K65" s="1621">
        <f ca="1">+K63-K64</f>
        <v>-29.908566954180102</v>
      </c>
      <c r="L65" s="1621">
        <f ca="1">+L63-L64</f>
        <v>-41.38753874204383</v>
      </c>
      <c r="M65" s="1621">
        <f ca="1">+M63-M64</f>
        <v>-54.33194991881723</v>
      </c>
      <c r="N65" s="1621">
        <f ca="1">+N63-N64</f>
        <v>-62.354292243797886</v>
      </c>
      <c r="P65" s="1345">
        <v>5</v>
      </c>
      <c r="Q65" s="1467" t="s">
        <v>1459</v>
      </c>
      <c r="R65" s="1621">
        <f ca="1">+R63-R64</f>
        <v>-4.1917044307272171</v>
      </c>
      <c r="S65" s="1621">
        <f ca="1">+S63-S64</f>
        <v>-4.2222325958623284</v>
      </c>
      <c r="T65" s="1621">
        <f ca="1">+T63-T64</f>
        <v>-4.7707088083529889</v>
      </c>
      <c r="U65" s="1621">
        <f ca="1">+U63-U64</f>
        <v>-5.0672596554689981</v>
      </c>
      <c r="W65" s="1429">
        <f ca="1">+SUM(D65:G65)-SUM(K65:N65)-SUM(R65:U65)</f>
        <v>-1.4210854715202004E-13</v>
      </c>
    </row>
    <row r="66" spans="2:23" x14ac:dyDescent="0.4">
      <c r="B66" s="1464"/>
      <c r="C66" s="2087" t="s">
        <v>1486</v>
      </c>
      <c r="D66" s="2087"/>
      <c r="E66" s="2087"/>
      <c r="F66" s="2087"/>
      <c r="G66" s="2087"/>
      <c r="I66" s="1464"/>
      <c r="J66" s="2089" t="s">
        <v>1486</v>
      </c>
      <c r="K66" s="2089"/>
      <c r="L66" s="2089"/>
      <c r="M66" s="2089"/>
      <c r="N66" s="2089"/>
      <c r="P66" s="1464"/>
      <c r="Q66" s="2087" t="s">
        <v>1486</v>
      </c>
      <c r="R66" s="2087"/>
      <c r="S66" s="2087"/>
      <c r="T66" s="2087"/>
      <c r="U66" s="2087"/>
    </row>
    <row r="67" spans="2:23" x14ac:dyDescent="0.4">
      <c r="B67" s="1416">
        <v>1</v>
      </c>
      <c r="C67" s="727" t="s">
        <v>1685</v>
      </c>
      <c r="D67" s="1620">
        <f t="shared" ref="D67:G68" ca="1" si="14">+D55+D61</f>
        <v>138.91213935642958</v>
      </c>
      <c r="E67" s="1620">
        <f t="shared" ca="1" si="14"/>
        <v>170.06246269045556</v>
      </c>
      <c r="F67" s="1620">
        <f t="shared" ca="1" si="14"/>
        <v>203.38903854487492</v>
      </c>
      <c r="G67" s="1620">
        <f t="shared" ca="1" si="14"/>
        <v>221.0302126991327</v>
      </c>
      <c r="I67" s="1416">
        <v>1</v>
      </c>
      <c r="J67" s="1686" t="s">
        <v>1685</v>
      </c>
      <c r="K67" s="1620">
        <f t="shared" ref="K67:N68" ca="1" si="15">+K55+K61</f>
        <v>122.34356087975839</v>
      </c>
      <c r="L67" s="1620">
        <f t="shared" ca="1" si="15"/>
        <v>153.51022135180324</v>
      </c>
      <c r="M67" s="1620">
        <f t="shared" ca="1" si="15"/>
        <v>184.13501278117772</v>
      </c>
      <c r="N67" s="1620">
        <f t="shared" ca="1" si="15"/>
        <v>201.41115342752309</v>
      </c>
      <c r="P67" s="1416">
        <v>1</v>
      </c>
      <c r="Q67" s="727" t="s">
        <v>1685</v>
      </c>
      <c r="R67" s="1620">
        <f t="shared" ref="R67:U68" ca="1" si="16">+R55+R61</f>
        <v>16.568578476671199</v>
      </c>
      <c r="S67" s="1620">
        <f t="shared" ca="1" si="16"/>
        <v>16.552241338652312</v>
      </c>
      <c r="T67" s="1620">
        <f t="shared" ca="1" si="16"/>
        <v>19.254025763697125</v>
      </c>
      <c r="U67" s="1620">
        <f t="shared" ca="1" si="16"/>
        <v>19.619059271609665</v>
      </c>
      <c r="W67" s="1429">
        <f ca="1">+SUM(D67:G67)-SUM(K67:N67)-SUM(R67:U67)</f>
        <v>-1.1368683772161603E-13</v>
      </c>
    </row>
    <row r="68" spans="2:23" x14ac:dyDescent="0.4">
      <c r="B68" s="1416">
        <v>2</v>
      </c>
      <c r="C68" s="1466" t="s">
        <v>1681</v>
      </c>
      <c r="D68" s="1620">
        <f t="shared" ca="1" si="14"/>
        <v>16.918924785603842</v>
      </c>
      <c r="E68" s="1620">
        <f t="shared" ca="1" si="14"/>
        <v>14.204799496966043</v>
      </c>
      <c r="F68" s="1620">
        <f t="shared" ca="1" si="14"/>
        <v>12.666074701558486</v>
      </c>
      <c r="G68" s="1620">
        <f t="shared" ca="1" si="14"/>
        <v>7.3194918483887363</v>
      </c>
      <c r="I68" s="1416">
        <v>2</v>
      </c>
      <c r="J68" s="1688" t="s">
        <v>1681</v>
      </c>
      <c r="K68" s="1620">
        <f t="shared" ca="1" si="15"/>
        <v>17.14317478560384</v>
      </c>
      <c r="L68" s="1620">
        <f t="shared" ca="1" si="15"/>
        <v>14.492999496966043</v>
      </c>
      <c r="M68" s="1620">
        <f t="shared" ca="1" si="15"/>
        <v>12.155774701558485</v>
      </c>
      <c r="N68" s="1620">
        <f t="shared" ca="1" si="15"/>
        <v>7.2194918483887349</v>
      </c>
      <c r="P68" s="1416">
        <v>2</v>
      </c>
      <c r="Q68" s="1466" t="s">
        <v>1681</v>
      </c>
      <c r="R68" s="1620">
        <f t="shared" si="16"/>
        <v>-0.22425</v>
      </c>
      <c r="S68" s="1620">
        <f t="shared" si="16"/>
        <v>-0.28819999999999996</v>
      </c>
      <c r="T68" s="1620">
        <f t="shared" si="16"/>
        <v>0.51029999999999998</v>
      </c>
      <c r="U68" s="1620">
        <f t="shared" si="16"/>
        <v>9.9999999999999978E-2</v>
      </c>
      <c r="W68" s="1429">
        <f ca="1">+SUM(D68:G68)-SUM(K68:N68)-SUM(R68:U68)</f>
        <v>1.1102230246251565E-15</v>
      </c>
    </row>
    <row r="69" spans="2:23" x14ac:dyDescent="0.4">
      <c r="B69" s="1345">
        <v>3</v>
      </c>
      <c r="C69" s="1467" t="s">
        <v>1686</v>
      </c>
      <c r="D69" s="1621">
        <f ca="1">+D67+D68</f>
        <v>155.83106414203343</v>
      </c>
      <c r="E69" s="1621">
        <f ca="1">+E67+E68</f>
        <v>184.26726218742161</v>
      </c>
      <c r="F69" s="1621">
        <f ca="1">+F67+F68</f>
        <v>216.05511324643339</v>
      </c>
      <c r="G69" s="1621">
        <f ca="1">+G67+G68</f>
        <v>228.34970454752144</v>
      </c>
      <c r="I69" s="1345">
        <v>3</v>
      </c>
      <c r="J69" s="1689" t="s">
        <v>1686</v>
      </c>
      <c r="K69" s="1621">
        <f ca="1">+K67+K68</f>
        <v>139.48673566536223</v>
      </c>
      <c r="L69" s="1621">
        <f ca="1">+L67+L68</f>
        <v>168.00322084876927</v>
      </c>
      <c r="M69" s="1621">
        <f ca="1">+M67+M68</f>
        <v>196.29078748273622</v>
      </c>
      <c r="N69" s="1621">
        <f ca="1">+N67+N68</f>
        <v>208.63064527591183</v>
      </c>
      <c r="P69" s="1345">
        <v>3</v>
      </c>
      <c r="Q69" s="1467" t="s">
        <v>1686</v>
      </c>
      <c r="R69" s="1621">
        <f ca="1">+R67+R68</f>
        <v>16.344328476671198</v>
      </c>
      <c r="S69" s="1621">
        <f ca="1">+S67+S68</f>
        <v>16.264041338652312</v>
      </c>
      <c r="T69" s="1621">
        <f ca="1">+T67+T68</f>
        <v>19.764325763697126</v>
      </c>
      <c r="U69" s="1621">
        <f ca="1">+U67+U68</f>
        <v>19.719059271609666</v>
      </c>
      <c r="W69" s="1429">
        <f ca="1">+SUM(D69:G69)-SUM(K69:N69)-SUM(R69:U69)</f>
        <v>0</v>
      </c>
    </row>
    <row r="70" spans="2:23" x14ac:dyDescent="0.4">
      <c r="B70" s="1416">
        <v>4</v>
      </c>
      <c r="C70" s="727" t="s">
        <v>1696</v>
      </c>
      <c r="D70" s="1620">
        <f>+D58+D64</f>
        <v>163.95058679467684</v>
      </c>
      <c r="E70" s="1620">
        <f>+E58+E64</f>
        <v>199.8337401264215</v>
      </c>
      <c r="F70" s="1620">
        <f>+F58+F64</f>
        <v>240.43174617219788</v>
      </c>
      <c r="G70" s="1620">
        <f>+G58+G64</f>
        <v>257.62476813638665</v>
      </c>
      <c r="I70" s="1416">
        <v>4</v>
      </c>
      <c r="J70" s="1686" t="s">
        <v>1696</v>
      </c>
      <c r="K70" s="1620">
        <f>+K58+K64</f>
        <v>148.41149866675522</v>
      </c>
      <c r="L70" s="1620">
        <f>+L58+L64</f>
        <v>184.17390799849991</v>
      </c>
      <c r="M70" s="1620">
        <f>+M58+M64</f>
        <v>220.07220184408661</v>
      </c>
      <c r="N70" s="1620">
        <f>+N58+N64</f>
        <v>237.09212380827535</v>
      </c>
      <c r="P70" s="1416">
        <v>4</v>
      </c>
      <c r="Q70" s="727" t="s">
        <v>1696</v>
      </c>
      <c r="R70" s="1620">
        <f>+R58+R64</f>
        <v>15.539088127921584</v>
      </c>
      <c r="S70" s="1620">
        <f>+S58+S64</f>
        <v>15.659832127921582</v>
      </c>
      <c r="T70" s="1620">
        <f>+T58+T64</f>
        <v>20.359544328111255</v>
      </c>
      <c r="U70" s="1620">
        <f>+U58+U64</f>
        <v>20.532644328111257</v>
      </c>
      <c r="W70" s="1429">
        <f>+SUM(D70:G70)-SUM(K70:N70)-SUM(R70:U70)</f>
        <v>0</v>
      </c>
    </row>
    <row r="71" spans="2:23" x14ac:dyDescent="0.4">
      <c r="B71" s="1416">
        <v>5</v>
      </c>
      <c r="C71" s="1467" t="s">
        <v>1459</v>
      </c>
      <c r="D71" s="1621">
        <f ca="1">+D69-D70</f>
        <v>-8.1195226526434112</v>
      </c>
      <c r="E71" s="1621">
        <f ca="1">+E69-E70</f>
        <v>-15.566477938999896</v>
      </c>
      <c r="F71" s="1621">
        <f ca="1">+F69-F70</f>
        <v>-24.376632925764483</v>
      </c>
      <c r="G71" s="1621">
        <f ca="1">+G69-G70</f>
        <v>-29.275063588865208</v>
      </c>
      <c r="I71" s="1416">
        <v>5</v>
      </c>
      <c r="J71" s="1689" t="s">
        <v>1459</v>
      </c>
      <c r="K71" s="1621">
        <f ca="1">+K69-K70</f>
        <v>-8.9247630013929893</v>
      </c>
      <c r="L71" s="1621">
        <f ca="1">+L69-L70</f>
        <v>-16.170687149730639</v>
      </c>
      <c r="M71" s="1621">
        <f ca="1">+M69-M70</f>
        <v>-23.781414361350386</v>
      </c>
      <c r="N71" s="1621">
        <f ca="1">+N69-N70</f>
        <v>-28.461478532363515</v>
      </c>
      <c r="P71" s="1416">
        <v>5</v>
      </c>
      <c r="Q71" s="1467" t="s">
        <v>1459</v>
      </c>
      <c r="R71" s="1621">
        <f ca="1">+R69-R70</f>
        <v>0.80524034874961359</v>
      </c>
      <c r="S71" s="1621">
        <f ca="1">+S69-S70</f>
        <v>0.60420921073072975</v>
      </c>
      <c r="T71" s="1621">
        <f ca="1">+T69-T70</f>
        <v>-0.59521856441412879</v>
      </c>
      <c r="U71" s="1621">
        <f ca="1">+U69-U70</f>
        <v>-0.81358505650159074</v>
      </c>
      <c r="W71" s="1429">
        <f ca="1">+SUM(D71:G71)-SUM(K71:N71)-SUM(R71:U71)</f>
        <v>-9.2370555648813024E-14</v>
      </c>
    </row>
    <row r="72" spans="2:23" x14ac:dyDescent="0.4">
      <c r="B72" s="1474"/>
      <c r="C72" s="1326"/>
      <c r="D72" s="1477"/>
      <c r="E72" s="1477"/>
      <c r="F72" s="1477"/>
      <c r="G72" s="1477"/>
      <c r="I72" s="1474"/>
      <c r="J72" s="1326"/>
      <c r="K72" s="1477"/>
      <c r="L72" s="1477"/>
      <c r="M72" s="1477"/>
      <c r="N72" s="1477"/>
      <c r="P72" s="1474"/>
      <c r="Q72" s="1326"/>
      <c r="R72" s="1477"/>
      <c r="S72" s="1477"/>
      <c r="T72" s="1477"/>
      <c r="U72" s="1477"/>
    </row>
    <row r="73" spans="2:23" x14ac:dyDescent="0.4">
      <c r="B73" s="2088" t="s">
        <v>1697</v>
      </c>
      <c r="C73" s="2088"/>
      <c r="D73" s="2088"/>
      <c r="E73" s="2088"/>
      <c r="F73" s="2088"/>
      <c r="G73" s="2088"/>
      <c r="I73" s="2088" t="s">
        <v>1697</v>
      </c>
      <c r="J73" s="2088"/>
      <c r="K73" s="2088"/>
      <c r="L73" s="2088"/>
      <c r="M73" s="2088"/>
      <c r="N73" s="2088"/>
      <c r="P73" s="2088" t="s">
        <v>1697</v>
      </c>
      <c r="Q73" s="2088"/>
      <c r="R73" s="2088"/>
      <c r="S73" s="2088"/>
      <c r="T73" s="2088"/>
      <c r="U73" s="2088"/>
    </row>
    <row r="74" spans="2:23" x14ac:dyDescent="0.4">
      <c r="B74" s="1461" t="s">
        <v>555</v>
      </c>
      <c r="C74" s="1462" t="s">
        <v>111</v>
      </c>
      <c r="D74" s="1463" t="s">
        <v>1676</v>
      </c>
      <c r="E74" s="1463" t="s">
        <v>1677</v>
      </c>
      <c r="F74" s="1463" t="s">
        <v>1678</v>
      </c>
      <c r="G74" s="1463" t="s">
        <v>1679</v>
      </c>
      <c r="I74" s="1461" t="s">
        <v>555</v>
      </c>
      <c r="J74" s="1462" t="s">
        <v>111</v>
      </c>
      <c r="K74" s="1463" t="s">
        <v>1676</v>
      </c>
      <c r="L74" s="1463" t="s">
        <v>1677</v>
      </c>
      <c r="M74" s="1463" t="s">
        <v>1678</v>
      </c>
      <c r="N74" s="1463" t="s">
        <v>1679</v>
      </c>
      <c r="P74" s="1461" t="s">
        <v>555</v>
      </c>
      <c r="Q74" s="1462" t="s">
        <v>111</v>
      </c>
      <c r="R74" s="1463" t="s">
        <v>1676</v>
      </c>
      <c r="S74" s="1463" t="s">
        <v>1677</v>
      </c>
      <c r="T74" s="1463" t="s">
        <v>1678</v>
      </c>
      <c r="U74" s="1463" t="s">
        <v>1679</v>
      </c>
    </row>
    <row r="75" spans="2:23" x14ac:dyDescent="0.4">
      <c r="B75" s="1464"/>
      <c r="C75" s="2087" t="s">
        <v>1510</v>
      </c>
      <c r="D75" s="2087"/>
      <c r="E75" s="2087"/>
      <c r="F75" s="2087"/>
      <c r="G75" s="2087"/>
      <c r="I75" s="1464"/>
      <c r="J75" s="2087" t="s">
        <v>1510</v>
      </c>
      <c r="K75" s="2087"/>
      <c r="L75" s="2087"/>
      <c r="M75" s="2087"/>
      <c r="N75" s="2087"/>
      <c r="P75" s="1464"/>
      <c r="Q75" s="2087" t="s">
        <v>1510</v>
      </c>
      <c r="R75" s="2087"/>
      <c r="S75" s="2087"/>
      <c r="T75" s="2087"/>
      <c r="U75" s="2087"/>
    </row>
    <row r="76" spans="2:23" x14ac:dyDescent="0.4">
      <c r="B76" s="1416">
        <v>1</v>
      </c>
      <c r="C76" s="1686" t="s">
        <v>1680</v>
      </c>
      <c r="D76" s="1687">
        <f ca="1">+D34</f>
        <v>15.359968521881509</v>
      </c>
      <c r="E76" s="1687">
        <f ca="1">+E34</f>
        <v>15.560448150162326</v>
      </c>
      <c r="F76" s="1687">
        <f ca="1">+F34</f>
        <v>15.814403991130082</v>
      </c>
      <c r="G76" s="1687">
        <f ca="1">+G34</f>
        <v>16.063533508173311</v>
      </c>
      <c r="I76" s="1416">
        <v>1</v>
      </c>
      <c r="J76" s="1691" t="s">
        <v>1680</v>
      </c>
      <c r="K76" s="1620">
        <f ca="1">+K34</f>
        <v>8.7267091121384688</v>
      </c>
      <c r="L76" s="1620">
        <f ca="1">+L34</f>
        <v>9.0976917133030586</v>
      </c>
      <c r="M76" s="1620">
        <f ca="1">+M34</f>
        <v>9.4617653263648904</v>
      </c>
      <c r="N76" s="1620">
        <f ca="1">+N34</f>
        <v>9.6327104883795815</v>
      </c>
      <c r="P76" s="1416">
        <v>1</v>
      </c>
      <c r="Q76" s="727" t="s">
        <v>1680</v>
      </c>
      <c r="R76" s="1465">
        <f t="shared" ref="R76:U77" ca="1" si="17">+R34</f>
        <v>6.6332594097430402</v>
      </c>
      <c r="S76" s="1465">
        <f t="shared" ca="1" si="17"/>
        <v>6.4627564368592676</v>
      </c>
      <c r="T76" s="1465">
        <f t="shared" ca="1" si="17"/>
        <v>6.3526386647651867</v>
      </c>
      <c r="U76" s="1465">
        <f t="shared" ca="1" si="17"/>
        <v>6.4308230197937313</v>
      </c>
      <c r="W76" s="1429">
        <f t="shared" ref="W76:W98" ca="1" si="18">+SUM(D76:G76)-SUM(K76:N76)-SUM(R76:U76)</f>
        <v>0</v>
      </c>
    </row>
    <row r="77" spans="2:23" x14ac:dyDescent="0.4">
      <c r="B77" s="1416">
        <v>2</v>
      </c>
      <c r="C77" s="1688" t="s">
        <v>1681</v>
      </c>
      <c r="D77" s="1687">
        <f t="shared" ref="D77:G79" si="19">+K77+R77</f>
        <v>0</v>
      </c>
      <c r="E77" s="1687">
        <f t="shared" si="19"/>
        <v>0</v>
      </c>
      <c r="F77" s="1687">
        <f t="shared" si="19"/>
        <v>0</v>
      </c>
      <c r="G77" s="1687">
        <f t="shared" si="19"/>
        <v>0</v>
      </c>
      <c r="I77" s="1416">
        <v>2</v>
      </c>
      <c r="J77" s="1692" t="s">
        <v>1681</v>
      </c>
      <c r="K77" s="1620"/>
      <c r="L77" s="1620"/>
      <c r="M77" s="1620"/>
      <c r="N77" s="1620"/>
      <c r="P77" s="1416">
        <v>2</v>
      </c>
      <c r="Q77" s="1466" t="s">
        <v>1681</v>
      </c>
      <c r="R77" s="1465">
        <f t="shared" si="17"/>
        <v>0</v>
      </c>
      <c r="S77" s="1465">
        <f t="shared" si="17"/>
        <v>0</v>
      </c>
      <c r="T77" s="1465">
        <f t="shared" si="17"/>
        <v>0</v>
      </c>
      <c r="U77" s="1465">
        <f t="shared" si="17"/>
        <v>0</v>
      </c>
      <c r="W77" s="1429">
        <f t="shared" si="18"/>
        <v>0</v>
      </c>
    </row>
    <row r="78" spans="2:23" x14ac:dyDescent="0.4">
      <c r="B78" s="1416">
        <v>3</v>
      </c>
      <c r="C78" s="1688" t="s">
        <v>1703</v>
      </c>
      <c r="D78" s="1687">
        <f t="shared" si="19"/>
        <v>13.928998240950706</v>
      </c>
      <c r="E78" s="1687">
        <f t="shared" si="19"/>
        <v>23.214997068251179</v>
      </c>
      <c r="F78" s="1687">
        <f t="shared" si="19"/>
        <v>34.822495602376769</v>
      </c>
      <c r="G78" s="1687">
        <f t="shared" si="19"/>
        <v>44.108494429677243</v>
      </c>
      <c r="I78" s="1416">
        <v>3</v>
      </c>
      <c r="J78" s="1692" t="s">
        <v>1703</v>
      </c>
      <c r="K78" s="1620">
        <f>+K105</f>
        <v>13.928998240950706</v>
      </c>
      <c r="L78" s="1620">
        <f>+L105</f>
        <v>23.214997068251179</v>
      </c>
      <c r="M78" s="1620">
        <f>+M105</f>
        <v>34.822495602376769</v>
      </c>
      <c r="N78" s="1620">
        <f>+N105</f>
        <v>44.108494429677243</v>
      </c>
      <c r="P78" s="1416">
        <v>3</v>
      </c>
      <c r="Q78" s="1466" t="s">
        <v>1703</v>
      </c>
      <c r="R78" s="1465"/>
      <c r="S78" s="1465"/>
      <c r="T78" s="1465"/>
      <c r="U78" s="1465"/>
      <c r="W78" s="1429"/>
    </row>
    <row r="79" spans="2:23" x14ac:dyDescent="0.4">
      <c r="B79" s="1416">
        <v>4</v>
      </c>
      <c r="C79" s="1688" t="s">
        <v>1714</v>
      </c>
      <c r="D79" s="1687">
        <f t="shared" si="19"/>
        <v>10.521036671331435</v>
      </c>
      <c r="E79" s="1687">
        <f t="shared" si="19"/>
        <v>8.1298919733015644</v>
      </c>
      <c r="F79" s="1687">
        <f t="shared" si="19"/>
        <v>4.5431749262567562</v>
      </c>
      <c r="G79" s="1687">
        <f t="shared" si="19"/>
        <v>0</v>
      </c>
      <c r="I79" s="1416">
        <v>4</v>
      </c>
      <c r="J79" s="1692" t="s">
        <v>1714</v>
      </c>
      <c r="K79" s="1620">
        <f>+K108</f>
        <v>10.521036671331435</v>
      </c>
      <c r="L79" s="1620">
        <f>+L108</f>
        <v>8.1298919733015644</v>
      </c>
      <c r="M79" s="1620">
        <f>+M108</f>
        <v>4.5431749262567562</v>
      </c>
      <c r="N79" s="1620">
        <f>+N108</f>
        <v>0</v>
      </c>
      <c r="P79" s="1416">
        <v>4</v>
      </c>
      <c r="Q79" s="1466" t="s">
        <v>1714</v>
      </c>
      <c r="R79" s="1465"/>
      <c r="S79" s="1465"/>
      <c r="T79" s="1465"/>
      <c r="U79" s="1465"/>
      <c r="W79" s="1429"/>
    </row>
    <row r="80" spans="2:23" x14ac:dyDescent="0.4">
      <c r="B80" s="1416">
        <v>5</v>
      </c>
      <c r="C80" s="1689" t="s">
        <v>1682</v>
      </c>
      <c r="D80" s="1690">
        <f ca="1">SUM(D76:D79)</f>
        <v>39.810003434163654</v>
      </c>
      <c r="E80" s="1690">
        <f ca="1">SUM(E76:E79)</f>
        <v>46.905337191715077</v>
      </c>
      <c r="F80" s="1690">
        <f ca="1">SUM(F76:F79)</f>
        <v>55.180074519763608</v>
      </c>
      <c r="G80" s="1690">
        <f ca="1">SUM(G76:G79)</f>
        <v>60.172027937850558</v>
      </c>
      <c r="I80" s="1416">
        <v>5</v>
      </c>
      <c r="J80" s="1693" t="s">
        <v>1682</v>
      </c>
      <c r="K80" s="1621">
        <f ca="1">SUM(K76:K79)</f>
        <v>33.176744024420614</v>
      </c>
      <c r="L80" s="1621">
        <f ca="1">SUM(L76:L79)</f>
        <v>40.442580754855797</v>
      </c>
      <c r="M80" s="1621">
        <f ca="1">SUM(M76:M79)</f>
        <v>48.827435854998413</v>
      </c>
      <c r="N80" s="1621">
        <f ca="1">SUM(N76:N79)</f>
        <v>53.741204918056823</v>
      </c>
      <c r="P80" s="1416">
        <v>5</v>
      </c>
      <c r="Q80" s="1467" t="s">
        <v>1682</v>
      </c>
      <c r="R80" s="1690">
        <f ca="1">SUM(R76:R79)</f>
        <v>6.6332594097430402</v>
      </c>
      <c r="S80" s="1690">
        <f ca="1">SUM(S76:S79)</f>
        <v>6.4627564368592676</v>
      </c>
      <c r="T80" s="1690">
        <f ca="1">SUM(T76:T79)</f>
        <v>6.3526386647651867</v>
      </c>
      <c r="U80" s="1690">
        <f ca="1">SUM(U76:U79)</f>
        <v>6.4308230197937313</v>
      </c>
      <c r="W80" s="1429">
        <f t="shared" ca="1" si="18"/>
        <v>0</v>
      </c>
    </row>
    <row r="81" spans="2:23" x14ac:dyDescent="0.4">
      <c r="B81" s="1416">
        <v>6</v>
      </c>
      <c r="C81" s="1686" t="s">
        <v>1697</v>
      </c>
      <c r="D81" s="1687">
        <f ca="1">+'F14.2'!$R$154</f>
        <v>34.960025032774304</v>
      </c>
      <c r="E81" s="1687">
        <f ca="1">+'F14.3'!$R$154</f>
        <v>42.259269563705992</v>
      </c>
      <c r="F81" s="1687">
        <f ca="1">+'F14.4'!$R$154</f>
        <v>51.229077212195463</v>
      </c>
      <c r="G81" s="1687">
        <f ca="1">+'F14.5'!$R$154</f>
        <v>56.098626325017101</v>
      </c>
      <c r="I81" s="1416">
        <v>6</v>
      </c>
      <c r="J81" s="1691" t="s">
        <v>1697</v>
      </c>
      <c r="K81" s="1620">
        <f ca="1">+'F14.2'!$R$65</f>
        <v>33.177520402587113</v>
      </c>
      <c r="L81" s="1620">
        <f ca="1">+'F14.3'!$R$65</f>
        <v>40.443338472129078</v>
      </c>
      <c r="M81" s="1620">
        <f ca="1">+'F14.4'!$R$65</f>
        <v>48.828452084399785</v>
      </c>
      <c r="N81" s="1620">
        <f ca="1">+'F14.5'!$R$65</f>
        <v>53.7422347741932</v>
      </c>
      <c r="P81" s="1416">
        <v>6</v>
      </c>
      <c r="Q81" s="727" t="s">
        <v>1697</v>
      </c>
      <c r="R81" s="1687">
        <f>+'F14.2'!$R$124</f>
        <v>1.7825046301871939</v>
      </c>
      <c r="S81" s="1687">
        <f>+'F14.3'!$R$124</f>
        <v>1.8159310915769182</v>
      </c>
      <c r="T81" s="1687">
        <f>+'F14.4'!$R$124</f>
        <v>2.4006251277956734</v>
      </c>
      <c r="U81" s="1687">
        <f>+'F14.5'!$R$124</f>
        <v>2.3563915508239037</v>
      </c>
      <c r="W81" s="1429">
        <f t="shared" ca="1" si="18"/>
        <v>0</v>
      </c>
    </row>
    <row r="82" spans="2:23" x14ac:dyDescent="0.4">
      <c r="B82" s="1416">
        <v>7</v>
      </c>
      <c r="C82" s="1689" t="s">
        <v>1459</v>
      </c>
      <c r="D82" s="1690">
        <f ca="1">+D80-D81</f>
        <v>4.8499784013893503</v>
      </c>
      <c r="E82" s="1690">
        <f ca="1">+E80-E81</f>
        <v>4.6460676280090851</v>
      </c>
      <c r="F82" s="1690">
        <f ca="1">+F80-F81</f>
        <v>3.9509973075681444</v>
      </c>
      <c r="G82" s="1690">
        <f ca="1">+G80-G81</f>
        <v>4.0734016128334574</v>
      </c>
      <c r="I82" s="1416">
        <v>7</v>
      </c>
      <c r="J82" s="1693" t="s">
        <v>1459</v>
      </c>
      <c r="K82" s="1621">
        <f ca="1">+K80-K81</f>
        <v>-7.7637816649911429E-4</v>
      </c>
      <c r="L82" s="1621">
        <f ca="1">+L80-L81</f>
        <v>-7.57717273280889E-4</v>
      </c>
      <c r="M82" s="1621">
        <f ca="1">+M80-M81</f>
        <v>-1.0162294013724704E-3</v>
      </c>
      <c r="N82" s="1621">
        <f ca="1">+N80-N81</f>
        <v>-1.0298561363768499E-3</v>
      </c>
      <c r="P82" s="1416">
        <v>7</v>
      </c>
      <c r="Q82" s="1467" t="s">
        <v>1459</v>
      </c>
      <c r="R82" s="1690">
        <f ca="1">+R80-R81</f>
        <v>4.8507547795558459</v>
      </c>
      <c r="S82" s="1690">
        <f ca="1">+S80-S81</f>
        <v>4.6468253452823491</v>
      </c>
      <c r="T82" s="1690">
        <f ca="1">+T80-T81</f>
        <v>3.9520135369695133</v>
      </c>
      <c r="U82" s="1690">
        <f ca="1">+U80-U81</f>
        <v>4.0744314689698271</v>
      </c>
      <c r="W82" s="1429">
        <f t="shared" ca="1" si="18"/>
        <v>3.1974423109204508E-14</v>
      </c>
    </row>
    <row r="83" spans="2:23" x14ac:dyDescent="0.4">
      <c r="B83" s="1464"/>
      <c r="C83" s="2089" t="s">
        <v>986</v>
      </c>
      <c r="D83" s="2089"/>
      <c r="E83" s="2089"/>
      <c r="F83" s="2089"/>
      <c r="G83" s="2089"/>
      <c r="I83" s="1464"/>
      <c r="J83" s="2092" t="s">
        <v>986</v>
      </c>
      <c r="K83" s="2092"/>
      <c r="L83" s="2092"/>
      <c r="M83" s="2092"/>
      <c r="N83" s="2092"/>
      <c r="P83" s="1464"/>
      <c r="Q83" s="2087" t="s">
        <v>986</v>
      </c>
      <c r="R83" s="2087"/>
      <c r="S83" s="2087"/>
      <c r="T83" s="2087"/>
      <c r="U83" s="2087"/>
    </row>
    <row r="84" spans="2:23" x14ac:dyDescent="0.4">
      <c r="B84" s="1416">
        <v>1</v>
      </c>
      <c r="C84" s="1476" t="s">
        <v>1683</v>
      </c>
      <c r="D84" s="1620">
        <f ca="1">+D40</f>
        <v>123.55217083454808</v>
      </c>
      <c r="E84" s="1620">
        <f ca="1">+E40</f>
        <v>154.50201454029323</v>
      </c>
      <c r="F84" s="1620">
        <f ca="1">+F40</f>
        <v>187.57463455374483</v>
      </c>
      <c r="G84" s="1620">
        <f ca="1">+G40</f>
        <v>204.96667919095938</v>
      </c>
      <c r="I84" s="1416">
        <v>1</v>
      </c>
      <c r="J84" s="1691" t="s">
        <v>1683</v>
      </c>
      <c r="K84" s="1620">
        <f ca="1">+K40</f>
        <v>113.61685176761992</v>
      </c>
      <c r="L84" s="1620">
        <f ca="1">+L40</f>
        <v>144.41252963850019</v>
      </c>
      <c r="M84" s="1620">
        <f ca="1">+M40</f>
        <v>174.67324745481284</v>
      </c>
      <c r="N84" s="1620">
        <f ca="1">+N40</f>
        <v>191.7784429391435</v>
      </c>
      <c r="P84" s="1416">
        <v>1</v>
      </c>
      <c r="Q84" s="727" t="s">
        <v>1683</v>
      </c>
      <c r="R84" s="1620">
        <f ca="1">+R40</f>
        <v>9.935319066928157</v>
      </c>
      <c r="S84" s="1620">
        <f ca="1">+S40</f>
        <v>10.089484901793044</v>
      </c>
      <c r="T84" s="1620">
        <f ca="1">+T40</f>
        <v>12.901387098931938</v>
      </c>
      <c r="U84" s="1620">
        <f ca="1">+U40</f>
        <v>13.188236251815932</v>
      </c>
      <c r="W84" s="1429">
        <f t="shared" ca="1" si="18"/>
        <v>0</v>
      </c>
    </row>
    <row r="85" spans="2:23" x14ac:dyDescent="0.4">
      <c r="B85" s="1416">
        <v>2</v>
      </c>
      <c r="C85" s="1696" t="s">
        <v>1681</v>
      </c>
      <c r="D85" s="1620">
        <f t="shared" ref="D85:G87" si="20">+K85+R85</f>
        <v>0</v>
      </c>
      <c r="E85" s="1620">
        <f t="shared" si="20"/>
        <v>0</v>
      </c>
      <c r="F85" s="1620">
        <f t="shared" si="20"/>
        <v>0</v>
      </c>
      <c r="G85" s="1620">
        <f t="shared" si="20"/>
        <v>0</v>
      </c>
      <c r="I85" s="1416">
        <v>2</v>
      </c>
      <c r="J85" s="1692" t="s">
        <v>1681</v>
      </c>
      <c r="K85" s="1620"/>
      <c r="L85" s="1620">
        <f>+L41</f>
        <v>0</v>
      </c>
      <c r="M85" s="1620">
        <f>+M41</f>
        <v>0</v>
      </c>
      <c r="N85" s="1620">
        <f>+N41</f>
        <v>0</v>
      </c>
      <c r="P85" s="1416">
        <v>2</v>
      </c>
      <c r="Q85" s="1466" t="s">
        <v>1681</v>
      </c>
      <c r="R85" s="1620">
        <v>0</v>
      </c>
      <c r="S85" s="1620">
        <f>+S41</f>
        <v>0</v>
      </c>
      <c r="T85" s="1620">
        <f>+T41</f>
        <v>0</v>
      </c>
      <c r="U85" s="1620">
        <f>+U41</f>
        <v>0</v>
      </c>
      <c r="W85" s="1429">
        <f t="shared" si="18"/>
        <v>0</v>
      </c>
    </row>
    <row r="86" spans="2:23" x14ac:dyDescent="0.4">
      <c r="B86" s="1416">
        <v>3</v>
      </c>
      <c r="C86" s="1696" t="s">
        <v>1703</v>
      </c>
      <c r="D86" s="1620">
        <f t="shared" ca="1" si="20"/>
        <v>-0.25</v>
      </c>
      <c r="E86" s="1620">
        <f t="shared" ca="1" si="20"/>
        <v>-10.991058436910144</v>
      </c>
      <c r="F86" s="1620">
        <f t="shared" ca="1" si="20"/>
        <v>-22.91032856120232</v>
      </c>
      <c r="G86" s="1620">
        <f t="shared" ca="1" si="20"/>
        <v>-36.789002581288507</v>
      </c>
      <c r="I86" s="1416">
        <v>3</v>
      </c>
      <c r="J86" s="1692" t="s">
        <v>1703</v>
      </c>
      <c r="K86" s="1620">
        <f ca="1">+K113</f>
        <v>0</v>
      </c>
      <c r="L86" s="1620">
        <f ca="1">+L113</f>
        <v>-10.641058436910145</v>
      </c>
      <c r="M86" s="1620">
        <f ca="1">+M113</f>
        <v>-23.41032856120232</v>
      </c>
      <c r="N86" s="1620">
        <f ca="1">+N113</f>
        <v>-36.889002581288509</v>
      </c>
      <c r="P86" s="1416">
        <v>3</v>
      </c>
      <c r="Q86" s="1466" t="s">
        <v>1703</v>
      </c>
      <c r="R86" s="1620">
        <f>+R113</f>
        <v>-0.25</v>
      </c>
      <c r="S86" s="1620">
        <f>+S113</f>
        <v>-0.35</v>
      </c>
      <c r="T86" s="1620">
        <f>+T113</f>
        <v>0.5</v>
      </c>
      <c r="U86" s="1620">
        <f>+U113</f>
        <v>9.9999999999999978E-2</v>
      </c>
      <c r="W86" s="1429"/>
    </row>
    <row r="87" spans="2:23" x14ac:dyDescent="0.4">
      <c r="B87" s="1416">
        <v>4</v>
      </c>
      <c r="C87" s="1696" t="s">
        <v>1714</v>
      </c>
      <c r="D87" s="1620">
        <f t="shared" ca="1" si="20"/>
        <v>-7.2811101266782998</v>
      </c>
      <c r="E87" s="1620">
        <f t="shared" ca="1" si="20"/>
        <v>-6.1490311076765556</v>
      </c>
      <c r="F87" s="1620">
        <f t="shared" ca="1" si="20"/>
        <v>-3.7892672658727169</v>
      </c>
      <c r="G87" s="1620">
        <f t="shared" si="20"/>
        <v>0</v>
      </c>
      <c r="I87" s="1416">
        <v>4</v>
      </c>
      <c r="J87" s="1692" t="s">
        <v>1714</v>
      </c>
      <c r="K87" s="1620">
        <f ca="1">+K116</f>
        <v>-7.3068601266783002</v>
      </c>
      <c r="L87" s="1620">
        <f ca="1">+L116</f>
        <v>-6.2108311076765554</v>
      </c>
      <c r="M87" s="1620">
        <f ca="1">+M116</f>
        <v>-3.7995672658727169</v>
      </c>
      <c r="N87" s="1620">
        <f>+N116</f>
        <v>0</v>
      </c>
      <c r="P87" s="1416">
        <v>4</v>
      </c>
      <c r="Q87" s="1466" t="s">
        <v>1714</v>
      </c>
      <c r="R87" s="1620">
        <f>+R116</f>
        <v>2.5750000000000002E-2</v>
      </c>
      <c r="S87" s="1620">
        <f>+S116</f>
        <v>6.1800000000000001E-2</v>
      </c>
      <c r="T87" s="1620">
        <f>+T116</f>
        <v>1.0299999999999998E-2</v>
      </c>
      <c r="U87" s="1620">
        <f>+U116</f>
        <v>0</v>
      </c>
      <c r="W87" s="1429"/>
    </row>
    <row r="88" spans="2:23" x14ac:dyDescent="0.4">
      <c r="B88" s="1345">
        <v>5</v>
      </c>
      <c r="C88" s="1697" t="s">
        <v>1684</v>
      </c>
      <c r="D88" s="1621">
        <f ca="1">SUM(D84:D87)</f>
        <v>116.02106070786978</v>
      </c>
      <c r="E88" s="1621">
        <f ca="1">SUM(E84:E87)</f>
        <v>137.36192499570652</v>
      </c>
      <c r="F88" s="1621">
        <f ca="1">SUM(F84:F87)</f>
        <v>160.87503872666977</v>
      </c>
      <c r="G88" s="1621">
        <f ca="1">SUM(G84:G87)</f>
        <v>168.17767660967087</v>
      </c>
      <c r="I88" s="1345">
        <v>5</v>
      </c>
      <c r="J88" s="1693" t="s">
        <v>1684</v>
      </c>
      <c r="K88" s="1621">
        <f ca="1">SUM(K84:K87)</f>
        <v>106.30999164094162</v>
      </c>
      <c r="L88" s="1621">
        <f ca="1">SUM(L84:L87)</f>
        <v>127.56064009391348</v>
      </c>
      <c r="M88" s="1621">
        <f ca="1">SUM(M84:M87)</f>
        <v>147.46335162773778</v>
      </c>
      <c r="N88" s="1621">
        <f ca="1">SUM(N84:N87)</f>
        <v>154.88944035785499</v>
      </c>
      <c r="P88" s="1345">
        <v>5</v>
      </c>
      <c r="Q88" s="1467" t="s">
        <v>1684</v>
      </c>
      <c r="R88" s="1621">
        <f ca="1">SUM(R84:R87)</f>
        <v>9.7110690669281574</v>
      </c>
      <c r="S88" s="1621">
        <f ca="1">SUM(S84:S87)</f>
        <v>9.8012849017930446</v>
      </c>
      <c r="T88" s="1621">
        <f ca="1">SUM(T84:T87)</f>
        <v>13.411687098931939</v>
      </c>
      <c r="U88" s="1621">
        <f ca="1">SUM(U84:U87)</f>
        <v>13.288236251815931</v>
      </c>
      <c r="W88" s="1429">
        <f t="shared" ca="1" si="18"/>
        <v>-9.9475983006414026E-14</v>
      </c>
    </row>
    <row r="89" spans="2:23" x14ac:dyDescent="0.4">
      <c r="B89" s="1345">
        <v>6</v>
      </c>
      <c r="C89" s="1476" t="s">
        <v>1697</v>
      </c>
      <c r="D89" s="1620">
        <f ca="1">+'F14.2'!$U$154-'F14.2'!$R$154</f>
        <v>120.82302057122729</v>
      </c>
      <c r="E89" s="1620">
        <f ca="1">+'F14.3'!$U$154-'F14.3'!$R$154</f>
        <v>142.05291637753425</v>
      </c>
      <c r="F89" s="1620">
        <f ca="1">+'F14.4'!$U$154-'F14.4'!$R$154</f>
        <v>164.75073266718834</v>
      </c>
      <c r="G89" s="1620">
        <f ca="1">+'F14.5'!$U$154-'F14.5'!$R$154</f>
        <v>172.37199407384415</v>
      </c>
      <c r="I89" s="1345">
        <v>6</v>
      </c>
      <c r="J89" s="1691" t="s">
        <v>1697</v>
      </c>
      <c r="K89" s="1620">
        <f ca="1">+'F14.2'!$U$65-'F14.2'!$R$65</f>
        <v>106.33317512986631</v>
      </c>
      <c r="L89" s="1620">
        <f ca="1">+'F14.3'!$U$65-'F14.3'!$R$65</f>
        <v>127.57483471834621</v>
      </c>
      <c r="M89" s="1620">
        <f ca="1">+'F14.4'!$U$65-'F14.4'!$R$65</f>
        <v>147.42793724914327</v>
      </c>
      <c r="N89" s="1620">
        <f ca="1">+'F14.5'!$U$65-'F14.5'!$R$65</f>
        <v>155.03000650040369</v>
      </c>
      <c r="P89" s="1345">
        <v>6</v>
      </c>
      <c r="Q89" s="727" t="s">
        <v>1697</v>
      </c>
      <c r="R89" s="1620">
        <f>+'F14.2'!$U$124-'F14.2'!$R$124</f>
        <v>14.489845441360981</v>
      </c>
      <c r="S89" s="1620">
        <f>+'F14.3'!$U$124-'F14.3'!$R$124</f>
        <v>14.478081659188017</v>
      </c>
      <c r="T89" s="1620">
        <f>+'F14.4'!$U$124-'F14.4'!$R$124</f>
        <v>17.322795418045093</v>
      </c>
      <c r="U89" s="1620">
        <f>+'F14.5'!$U$124-'F14.5'!$R$124</f>
        <v>17.341987573440473</v>
      </c>
      <c r="W89" s="1429">
        <f t="shared" ca="1" si="18"/>
        <v>0</v>
      </c>
    </row>
    <row r="90" spans="2:23" x14ac:dyDescent="0.4">
      <c r="B90" s="1345">
        <v>7</v>
      </c>
      <c r="C90" s="1697" t="s">
        <v>1459</v>
      </c>
      <c r="D90" s="1621">
        <f ca="1">+D88-D89</f>
        <v>-4.80195986335751</v>
      </c>
      <c r="E90" s="1621">
        <f ca="1">+E88-E89</f>
        <v>-4.6909913818277289</v>
      </c>
      <c r="F90" s="1621">
        <f ca="1">+F88-F89</f>
        <v>-3.8756939405185733</v>
      </c>
      <c r="G90" s="1621">
        <f ca="1">+G88-G89</f>
        <v>-4.194317464173281</v>
      </c>
      <c r="I90" s="1345">
        <v>7</v>
      </c>
      <c r="J90" s="1693" t="s">
        <v>1459</v>
      </c>
      <c r="K90" s="1621">
        <f ca="1">+K88-K89</f>
        <v>-2.3183488924686912E-2</v>
      </c>
      <c r="L90" s="1621">
        <f ca="1">+L88-L89</f>
        <v>-1.4194624432732894E-2</v>
      </c>
      <c r="M90" s="1621">
        <f ca="1">+M88-M89</f>
        <v>3.5414378594509799E-2</v>
      </c>
      <c r="N90" s="1621">
        <f ca="1">+N88-N89</f>
        <v>-0.1405661425486926</v>
      </c>
      <c r="P90" s="1345">
        <v>7</v>
      </c>
      <c r="Q90" s="1467" t="s">
        <v>1459</v>
      </c>
      <c r="R90" s="1621">
        <f ca="1">+R88-R89</f>
        <v>-4.7787763744328231</v>
      </c>
      <c r="S90" s="1621">
        <f ca="1">+S88-S89</f>
        <v>-4.6767967573949729</v>
      </c>
      <c r="T90" s="1621">
        <f ca="1">+T88-T89</f>
        <v>-3.9111083191131542</v>
      </c>
      <c r="U90" s="1621">
        <f ca="1">+U88-U89</f>
        <v>-4.0537513216245422</v>
      </c>
      <c r="W90" s="1429">
        <f t="shared" ca="1" si="18"/>
        <v>0</v>
      </c>
    </row>
    <row r="91" spans="2:23" x14ac:dyDescent="0.4">
      <c r="B91" s="1464"/>
      <c r="C91" s="2090" t="s">
        <v>1486</v>
      </c>
      <c r="D91" s="2090"/>
      <c r="E91" s="2090"/>
      <c r="F91" s="2090"/>
      <c r="G91" s="2090"/>
      <c r="I91" s="1464"/>
      <c r="J91" s="2092" t="s">
        <v>1486</v>
      </c>
      <c r="K91" s="2092"/>
      <c r="L91" s="2092"/>
      <c r="M91" s="2092"/>
      <c r="N91" s="2092"/>
      <c r="P91" s="1464"/>
      <c r="Q91" s="2087" t="s">
        <v>1486</v>
      </c>
      <c r="R91" s="2087"/>
      <c r="S91" s="2087"/>
      <c r="T91" s="2087"/>
      <c r="U91" s="2087"/>
    </row>
    <row r="92" spans="2:23" x14ac:dyDescent="0.4">
      <c r="B92" s="1416">
        <v>1</v>
      </c>
      <c r="C92" s="1476" t="s">
        <v>1685</v>
      </c>
      <c r="D92" s="1620">
        <f t="shared" ref="D92:G93" ca="1" si="21">+D76+D84</f>
        <v>138.91213935642958</v>
      </c>
      <c r="E92" s="1620">
        <f t="shared" ca="1" si="21"/>
        <v>170.06246269045556</v>
      </c>
      <c r="F92" s="1620">
        <f t="shared" ca="1" si="21"/>
        <v>203.38903854487492</v>
      </c>
      <c r="G92" s="1620">
        <f t="shared" ca="1" si="21"/>
        <v>221.0302126991327</v>
      </c>
      <c r="I92" s="1416">
        <v>1</v>
      </c>
      <c r="J92" s="1691" t="s">
        <v>1685</v>
      </c>
      <c r="K92" s="1620">
        <f t="shared" ref="K92:N95" ca="1" si="22">+K76+K84</f>
        <v>122.34356087975839</v>
      </c>
      <c r="L92" s="1620">
        <f t="shared" ca="1" si="22"/>
        <v>153.51022135180324</v>
      </c>
      <c r="M92" s="1620">
        <f t="shared" ca="1" si="22"/>
        <v>184.13501278117772</v>
      </c>
      <c r="N92" s="1620">
        <f t="shared" ca="1" si="22"/>
        <v>201.41115342752309</v>
      </c>
      <c r="P92" s="1416">
        <v>1</v>
      </c>
      <c r="Q92" s="727" t="s">
        <v>1685</v>
      </c>
      <c r="R92" s="1620">
        <f t="shared" ref="R92:U93" ca="1" si="23">+R76+R84</f>
        <v>16.568578476671199</v>
      </c>
      <c r="S92" s="1620">
        <f t="shared" ca="1" si="23"/>
        <v>16.552241338652312</v>
      </c>
      <c r="T92" s="1620">
        <f t="shared" ca="1" si="23"/>
        <v>19.254025763697125</v>
      </c>
      <c r="U92" s="1620">
        <f t="shared" ca="1" si="23"/>
        <v>19.619059271609665</v>
      </c>
      <c r="W92" s="1429">
        <f t="shared" ca="1" si="18"/>
        <v>-1.1368683772161603E-13</v>
      </c>
    </row>
    <row r="93" spans="2:23" x14ac:dyDescent="0.4">
      <c r="B93" s="1416">
        <v>2</v>
      </c>
      <c r="C93" s="1696" t="s">
        <v>1681</v>
      </c>
      <c r="D93" s="1620">
        <f t="shared" si="21"/>
        <v>0</v>
      </c>
      <c r="E93" s="1620">
        <f t="shared" si="21"/>
        <v>0</v>
      </c>
      <c r="F93" s="1620">
        <f t="shared" si="21"/>
        <v>0</v>
      </c>
      <c r="G93" s="1620">
        <f t="shared" si="21"/>
        <v>0</v>
      </c>
      <c r="I93" s="1416">
        <v>2</v>
      </c>
      <c r="J93" s="1692" t="s">
        <v>1681</v>
      </c>
      <c r="K93" s="1620">
        <f t="shared" si="22"/>
        <v>0</v>
      </c>
      <c r="L93" s="1620">
        <f t="shared" si="22"/>
        <v>0</v>
      </c>
      <c r="M93" s="1620">
        <f t="shared" si="22"/>
        <v>0</v>
      </c>
      <c r="N93" s="1620">
        <f t="shared" si="22"/>
        <v>0</v>
      </c>
      <c r="P93" s="1416">
        <v>2</v>
      </c>
      <c r="Q93" s="1466" t="s">
        <v>1681</v>
      </c>
      <c r="R93" s="1620">
        <f t="shared" si="23"/>
        <v>0</v>
      </c>
      <c r="S93" s="1620">
        <f t="shared" si="23"/>
        <v>0</v>
      </c>
      <c r="T93" s="1620">
        <f t="shared" si="23"/>
        <v>0</v>
      </c>
      <c r="U93" s="1620">
        <f t="shared" si="23"/>
        <v>0</v>
      </c>
      <c r="W93" s="1429">
        <f t="shared" si="18"/>
        <v>0</v>
      </c>
    </row>
    <row r="94" spans="2:23" x14ac:dyDescent="0.4">
      <c r="B94" s="1416">
        <v>3</v>
      </c>
      <c r="C94" s="1696" t="s">
        <v>1703</v>
      </c>
      <c r="D94" s="1620">
        <f t="shared" ref="D94:G95" ca="1" si="24">+D78+D86</f>
        <v>13.678998240950706</v>
      </c>
      <c r="E94" s="1620">
        <f t="shared" ca="1" si="24"/>
        <v>12.223938631341035</v>
      </c>
      <c r="F94" s="1620">
        <f t="shared" ca="1" si="24"/>
        <v>11.912167041174449</v>
      </c>
      <c r="G94" s="1620">
        <f t="shared" ca="1" si="24"/>
        <v>7.3194918483887363</v>
      </c>
      <c r="I94" s="1416">
        <v>3</v>
      </c>
      <c r="J94" s="1692" t="s">
        <v>1703</v>
      </c>
      <c r="K94" s="1620">
        <f t="shared" ca="1" si="22"/>
        <v>13.928998240950706</v>
      </c>
      <c r="L94" s="1620">
        <f t="shared" ca="1" si="22"/>
        <v>12.573938631341035</v>
      </c>
      <c r="M94" s="1620">
        <f t="shared" ca="1" si="22"/>
        <v>11.412167041174449</v>
      </c>
      <c r="N94" s="1620">
        <f t="shared" ca="1" si="22"/>
        <v>7.2194918483887349</v>
      </c>
      <c r="P94" s="1416">
        <v>3</v>
      </c>
      <c r="Q94" s="1466" t="s">
        <v>1703</v>
      </c>
      <c r="R94" s="1620">
        <f t="shared" ref="R94:U95" si="25">+R78+R86</f>
        <v>-0.25</v>
      </c>
      <c r="S94" s="1620">
        <f t="shared" si="25"/>
        <v>-0.35</v>
      </c>
      <c r="T94" s="1620">
        <f t="shared" si="25"/>
        <v>0.5</v>
      </c>
      <c r="U94" s="1620">
        <f t="shared" si="25"/>
        <v>9.9999999999999978E-2</v>
      </c>
      <c r="W94" s="1429"/>
    </row>
    <row r="95" spans="2:23" x14ac:dyDescent="0.4">
      <c r="B95" s="1416">
        <v>4</v>
      </c>
      <c r="C95" s="1696" t="s">
        <v>1714</v>
      </c>
      <c r="D95" s="1620">
        <f t="shared" ca="1" si="24"/>
        <v>3.2399265446531356</v>
      </c>
      <c r="E95" s="1620">
        <f t="shared" ca="1" si="24"/>
        <v>1.9808608656250088</v>
      </c>
      <c r="F95" s="1620">
        <f t="shared" ca="1" si="24"/>
        <v>0.75390766038403934</v>
      </c>
      <c r="G95" s="1620">
        <f t="shared" si="24"/>
        <v>0</v>
      </c>
      <c r="I95" s="1416">
        <v>4</v>
      </c>
      <c r="J95" s="1692" t="s">
        <v>1714</v>
      </c>
      <c r="K95" s="1620">
        <f t="shared" ca="1" si="22"/>
        <v>3.2141765446531352</v>
      </c>
      <c r="L95" s="1620">
        <f t="shared" ca="1" si="22"/>
        <v>1.919060865625009</v>
      </c>
      <c r="M95" s="1620">
        <f t="shared" ca="1" si="22"/>
        <v>0.74360766038403936</v>
      </c>
      <c r="N95" s="1620">
        <f t="shared" si="22"/>
        <v>0</v>
      </c>
      <c r="P95" s="1416">
        <v>4</v>
      </c>
      <c r="Q95" s="1466" t="s">
        <v>1714</v>
      </c>
      <c r="R95" s="1620">
        <f t="shared" si="25"/>
        <v>2.5750000000000002E-2</v>
      </c>
      <c r="S95" s="1620">
        <f t="shared" si="25"/>
        <v>6.1800000000000001E-2</v>
      </c>
      <c r="T95" s="1620">
        <f t="shared" si="25"/>
        <v>1.0299999999999998E-2</v>
      </c>
      <c r="U95" s="1620">
        <f t="shared" si="25"/>
        <v>0</v>
      </c>
      <c r="W95" s="1429"/>
    </row>
    <row r="96" spans="2:23" x14ac:dyDescent="0.4">
      <c r="B96" s="1345">
        <v>5</v>
      </c>
      <c r="C96" s="1697" t="s">
        <v>1686</v>
      </c>
      <c r="D96" s="1621">
        <f ca="1">SUM(D92:D95)</f>
        <v>155.83106414203343</v>
      </c>
      <c r="E96" s="1621">
        <f ca="1">SUM(E92:E95)</f>
        <v>184.26726218742161</v>
      </c>
      <c r="F96" s="1621">
        <f ca="1">SUM(F92:F95)</f>
        <v>216.05511324643342</v>
      </c>
      <c r="G96" s="1621">
        <f ca="1">SUM(G92:G95)</f>
        <v>228.34970454752144</v>
      </c>
      <c r="I96" s="1345">
        <v>5</v>
      </c>
      <c r="J96" s="1693" t="s">
        <v>1686</v>
      </c>
      <c r="K96" s="1621">
        <f ca="1">SUM(K92:K95)</f>
        <v>139.48673566536223</v>
      </c>
      <c r="L96" s="1621">
        <f ca="1">SUM(L92:L95)</f>
        <v>168.00322084876927</v>
      </c>
      <c r="M96" s="1621">
        <f ca="1">SUM(M92:M95)</f>
        <v>196.29078748273622</v>
      </c>
      <c r="N96" s="1621">
        <f ca="1">SUM(N92:N95)</f>
        <v>208.63064527591183</v>
      </c>
      <c r="P96" s="1345">
        <v>5</v>
      </c>
      <c r="Q96" s="1467" t="s">
        <v>1686</v>
      </c>
      <c r="R96" s="1621">
        <f ca="1">SUM(R92:R95)</f>
        <v>16.344328476671198</v>
      </c>
      <c r="S96" s="1621">
        <f ca="1">SUM(S92:S95)</f>
        <v>16.264041338652312</v>
      </c>
      <c r="T96" s="1621">
        <f ca="1">SUM(T92:T95)</f>
        <v>19.764325763697126</v>
      </c>
      <c r="U96" s="1621">
        <f ca="1">SUM(U92:U95)</f>
        <v>19.719059271609666</v>
      </c>
      <c r="W96" s="1429">
        <f t="shared" ca="1" si="18"/>
        <v>0</v>
      </c>
    </row>
    <row r="97" spans="2:23" x14ac:dyDescent="0.4">
      <c r="B97" s="1416">
        <v>6</v>
      </c>
      <c r="C97" s="1476" t="s">
        <v>1697</v>
      </c>
      <c r="D97" s="1620">
        <f ca="1">+D81+D89</f>
        <v>155.78304560400159</v>
      </c>
      <c r="E97" s="1620">
        <f ca="1">+E81+E89</f>
        <v>184.31218594124024</v>
      </c>
      <c r="F97" s="1620">
        <f ca="1">+F81+F89</f>
        <v>215.97980987938382</v>
      </c>
      <c r="G97" s="1620">
        <f ca="1">+G81+G89</f>
        <v>228.47062039886126</v>
      </c>
      <c r="I97" s="1416">
        <v>6</v>
      </c>
      <c r="J97" s="1691" t="s">
        <v>1697</v>
      </c>
      <c r="K97" s="1620">
        <f ca="1">+K81+K89</f>
        <v>139.51069553245341</v>
      </c>
      <c r="L97" s="1620">
        <f ca="1">+L81+L89</f>
        <v>168.0181731904753</v>
      </c>
      <c r="M97" s="1620">
        <f ca="1">+M81+M89</f>
        <v>196.25638933354304</v>
      </c>
      <c r="N97" s="1620">
        <f ca="1">+N81+N89</f>
        <v>208.77224127459689</v>
      </c>
      <c r="P97" s="1416">
        <v>6</v>
      </c>
      <c r="Q97" s="727" t="s">
        <v>1697</v>
      </c>
      <c r="R97" s="1620">
        <f>+R81+R89</f>
        <v>16.272350071548175</v>
      </c>
      <c r="S97" s="1620">
        <f>+S81+S89</f>
        <v>16.294012750764935</v>
      </c>
      <c r="T97" s="1620">
        <f>+T81+T89</f>
        <v>19.723420545840767</v>
      </c>
      <c r="U97" s="1620">
        <f>+U81+U89</f>
        <v>19.698379124264378</v>
      </c>
      <c r="W97" s="1429">
        <f t="shared" ca="1" si="18"/>
        <v>0</v>
      </c>
    </row>
    <row r="98" spans="2:23" x14ac:dyDescent="0.4">
      <c r="B98" s="1416">
        <v>7</v>
      </c>
      <c r="C98" s="1697" t="s">
        <v>1459</v>
      </c>
      <c r="D98" s="1621">
        <f ca="1">+D96-D97</f>
        <v>4.8018538031840308E-2</v>
      </c>
      <c r="E98" s="1621">
        <f ca="1">+E96-E97</f>
        <v>-4.4923753818636669E-2</v>
      </c>
      <c r="F98" s="1621">
        <f ca="1">+F96-F97</f>
        <v>7.5303367049599501E-2</v>
      </c>
      <c r="G98" s="1621">
        <f ca="1">+G96-G97</f>
        <v>-0.12091585133981653</v>
      </c>
      <c r="I98" s="1416">
        <v>7</v>
      </c>
      <c r="J98" s="1693" t="s">
        <v>1459</v>
      </c>
      <c r="K98" s="1621">
        <f ca="1">+K96-K97</f>
        <v>-2.3959867091178921E-2</v>
      </c>
      <c r="L98" s="1621">
        <f ca="1">+L96-L97</f>
        <v>-1.4952341706020889E-2</v>
      </c>
      <c r="M98" s="1621">
        <f ca="1">+M96-M97</f>
        <v>3.4398149193179961E-2</v>
      </c>
      <c r="N98" s="1621">
        <f ca="1">+N96-N97</f>
        <v>-0.14159599868506234</v>
      </c>
      <c r="P98" s="1416">
        <v>7</v>
      </c>
      <c r="Q98" s="1467" t="s">
        <v>1459</v>
      </c>
      <c r="R98" s="1621">
        <f ca="1">+R96-R97</f>
        <v>7.1978405123022782E-2</v>
      </c>
      <c r="S98" s="1621">
        <f ca="1">+S96-S97</f>
        <v>-2.9971412112622886E-2</v>
      </c>
      <c r="T98" s="1621">
        <f ca="1">+T96-T97</f>
        <v>4.0905217856359144E-2</v>
      </c>
      <c r="U98" s="1621">
        <f ca="1">+U96-U97</f>
        <v>2.0680147345288447E-2</v>
      </c>
      <c r="W98" s="1429">
        <f t="shared" ca="1" si="18"/>
        <v>2.1316282072803006E-14</v>
      </c>
    </row>
    <row r="100" spans="2:23" x14ac:dyDescent="0.4">
      <c r="B100" s="2096" t="s">
        <v>1701</v>
      </c>
      <c r="C100" s="2096"/>
      <c r="D100" s="2096"/>
      <c r="E100" s="2096"/>
      <c r="F100" s="2096"/>
      <c r="G100" s="2096"/>
      <c r="I100" s="2096" t="s">
        <v>1701</v>
      </c>
      <c r="J100" s="2096"/>
      <c r="K100" s="2096"/>
      <c r="L100" s="2096"/>
      <c r="M100" s="2096"/>
      <c r="N100" s="2096"/>
      <c r="P100" s="2096" t="s">
        <v>1701</v>
      </c>
      <c r="Q100" s="2096"/>
      <c r="R100" s="2096"/>
      <c r="S100" s="2096"/>
      <c r="T100" s="2096"/>
      <c r="U100" s="2096"/>
    </row>
    <row r="101" spans="2:23" x14ac:dyDescent="0.4">
      <c r="B101" s="1481"/>
      <c r="C101" s="1481"/>
      <c r="D101" s="1482">
        <v>0</v>
      </c>
      <c r="E101" s="1482">
        <v>0.5</v>
      </c>
      <c r="F101" s="1482">
        <f>100%-D101-E101</f>
        <v>0.5</v>
      </c>
      <c r="G101" s="1483"/>
      <c r="I101" s="1481"/>
      <c r="J101" s="1481"/>
      <c r="K101" s="1500">
        <v>0.12</v>
      </c>
      <c r="L101" s="1500">
        <v>0.2</v>
      </c>
      <c r="M101" s="1500">
        <v>0.3</v>
      </c>
      <c r="N101" s="1500">
        <f>100%-SUM(K101:M101)</f>
        <v>0.38</v>
      </c>
      <c r="P101" s="1481"/>
      <c r="Q101" s="1481"/>
      <c r="R101" s="1482"/>
      <c r="S101" s="1482"/>
      <c r="T101" s="1482"/>
      <c r="U101" s="1483"/>
    </row>
    <row r="102" spans="2:23" x14ac:dyDescent="0.4">
      <c r="B102" s="1484" t="s">
        <v>878</v>
      </c>
      <c r="C102" s="1484" t="s">
        <v>111</v>
      </c>
      <c r="D102" s="1484" t="s">
        <v>872</v>
      </c>
      <c r="E102" s="1484" t="s">
        <v>873</v>
      </c>
      <c r="F102" s="1484" t="s">
        <v>874</v>
      </c>
      <c r="G102" s="1484" t="s">
        <v>875</v>
      </c>
      <c r="I102" s="1484" t="s">
        <v>878</v>
      </c>
      <c r="J102" s="1484" t="s">
        <v>111</v>
      </c>
      <c r="K102" s="1484" t="s">
        <v>872</v>
      </c>
      <c r="L102" s="1484" t="s">
        <v>873</v>
      </c>
      <c r="M102" s="1484" t="s">
        <v>874</v>
      </c>
      <c r="N102" s="1484" t="s">
        <v>875</v>
      </c>
      <c r="P102" s="1484" t="s">
        <v>878</v>
      </c>
      <c r="Q102" s="1484" t="s">
        <v>111</v>
      </c>
      <c r="R102" s="1484" t="s">
        <v>872</v>
      </c>
      <c r="S102" s="1484" t="s">
        <v>873</v>
      </c>
      <c r="T102" s="1484" t="s">
        <v>874</v>
      </c>
      <c r="U102" s="1484" t="s">
        <v>875</v>
      </c>
    </row>
    <row r="103" spans="2:23" x14ac:dyDescent="0.4">
      <c r="B103" s="1484"/>
      <c r="C103" s="1484"/>
      <c r="D103" s="2097" t="s">
        <v>1510</v>
      </c>
      <c r="E103" s="2098"/>
      <c r="F103" s="2098"/>
      <c r="G103" s="2098"/>
      <c r="I103" s="1484"/>
      <c r="J103" s="1484"/>
      <c r="K103" s="2097" t="s">
        <v>1510</v>
      </c>
      <c r="L103" s="2098"/>
      <c r="M103" s="2098"/>
      <c r="N103" s="2098"/>
      <c r="P103" s="1484"/>
      <c r="Q103" s="1484"/>
      <c r="R103" s="2097" t="s">
        <v>1510</v>
      </c>
      <c r="S103" s="2098"/>
      <c r="T103" s="2098"/>
      <c r="U103" s="2098"/>
    </row>
    <row r="104" spans="2:23" x14ac:dyDescent="0.4">
      <c r="B104" s="1416">
        <v>1</v>
      </c>
      <c r="C104" s="1485" t="s">
        <v>1702</v>
      </c>
      <c r="D104" s="1469">
        <v>0</v>
      </c>
      <c r="E104" s="1469">
        <f>+D106</f>
        <v>0</v>
      </c>
      <c r="F104" s="1469">
        <f>+E106</f>
        <v>0</v>
      </c>
      <c r="G104" s="1469">
        <f>+F106</f>
        <v>0</v>
      </c>
      <c r="I104" s="1416">
        <v>1</v>
      </c>
      <c r="J104" s="1485" t="s">
        <v>1702</v>
      </c>
      <c r="K104" s="1469">
        <f>+K7</f>
        <v>116.0749853412559</v>
      </c>
      <c r="L104" s="1469">
        <f>+K106</f>
        <v>102.14598710030519</v>
      </c>
      <c r="M104" s="1469">
        <f>+L106</f>
        <v>78.930990032054012</v>
      </c>
      <c r="N104" s="1469">
        <f>+M106</f>
        <v>44.108494429677243</v>
      </c>
      <c r="P104" s="1416">
        <v>1</v>
      </c>
      <c r="Q104" s="1485" t="s">
        <v>1702</v>
      </c>
      <c r="R104" s="1469">
        <f>+R7</f>
        <v>0</v>
      </c>
      <c r="S104" s="1469">
        <f>+R106</f>
        <v>0</v>
      </c>
      <c r="T104" s="1469">
        <f>+S106</f>
        <v>0</v>
      </c>
      <c r="U104" s="1469">
        <f>+T106</f>
        <v>0</v>
      </c>
    </row>
    <row r="105" spans="2:23" x14ac:dyDescent="0.4">
      <c r="B105" s="1416">
        <v>2</v>
      </c>
      <c r="C105" s="1485" t="s">
        <v>1703</v>
      </c>
      <c r="D105" s="1469">
        <f>-$N$187*D101</f>
        <v>0</v>
      </c>
      <c r="E105" s="1469">
        <f>-$N$187*E101</f>
        <v>0</v>
      </c>
      <c r="F105" s="1469">
        <f>-$N$187*F101</f>
        <v>0</v>
      </c>
      <c r="G105" s="1469">
        <f>-$N$187*G101</f>
        <v>0</v>
      </c>
      <c r="I105" s="1416">
        <v>2</v>
      </c>
      <c r="J105" s="1485" t="s">
        <v>1703</v>
      </c>
      <c r="K105" s="1469">
        <f>$K$104*K101</f>
        <v>13.928998240950706</v>
      </c>
      <c r="L105" s="1469">
        <f>$K$104*L101</f>
        <v>23.214997068251179</v>
      </c>
      <c r="M105" s="1469">
        <f>$K$104*M101</f>
        <v>34.822495602376769</v>
      </c>
      <c r="N105" s="1469">
        <f>$K$104*N101</f>
        <v>44.108494429677243</v>
      </c>
      <c r="P105" s="1416">
        <v>2</v>
      </c>
      <c r="Q105" s="1485" t="s">
        <v>1703</v>
      </c>
      <c r="R105" s="1469">
        <f>-$N$187*R101</f>
        <v>0</v>
      </c>
      <c r="S105" s="1469">
        <f>-$N$187*S101</f>
        <v>0</v>
      </c>
      <c r="T105" s="1469">
        <f>-$N$187*T101</f>
        <v>0</v>
      </c>
      <c r="U105" s="1469">
        <f>-$N$187*U101</f>
        <v>0</v>
      </c>
    </row>
    <row r="106" spans="2:23" x14ac:dyDescent="0.4">
      <c r="B106" s="1416">
        <v>4</v>
      </c>
      <c r="C106" s="1485" t="s">
        <v>1704</v>
      </c>
      <c r="D106" s="1469">
        <f>+D104+D105</f>
        <v>0</v>
      </c>
      <c r="E106" s="1469">
        <f>+E104+E105</f>
        <v>0</v>
      </c>
      <c r="F106" s="1469">
        <f>+F104+F105</f>
        <v>0</v>
      </c>
      <c r="G106" s="1469">
        <f>+G104+G105</f>
        <v>0</v>
      </c>
      <c r="I106" s="1416">
        <v>4</v>
      </c>
      <c r="J106" s="1485" t="s">
        <v>1704</v>
      </c>
      <c r="K106" s="1469">
        <f>+K104-K105</f>
        <v>102.14598710030519</v>
      </c>
      <c r="L106" s="1469">
        <f>+L104-L105</f>
        <v>78.930990032054012</v>
      </c>
      <c r="M106" s="1469">
        <f>+M104-M105</f>
        <v>44.108494429677243</v>
      </c>
      <c r="N106" s="1469">
        <f>+N104-N105</f>
        <v>0</v>
      </c>
      <c r="P106" s="1416">
        <v>4</v>
      </c>
      <c r="Q106" s="1485" t="s">
        <v>1704</v>
      </c>
      <c r="R106" s="1469">
        <f>+R104+R105</f>
        <v>0</v>
      </c>
      <c r="S106" s="1469">
        <f>+S104+S105</f>
        <v>0</v>
      </c>
      <c r="T106" s="1469">
        <f>+T104+T105</f>
        <v>0</v>
      </c>
      <c r="U106" s="1469">
        <f>+U104+U105</f>
        <v>0</v>
      </c>
    </row>
    <row r="107" spans="2:23" x14ac:dyDescent="0.4">
      <c r="B107" s="1416">
        <v>5</v>
      </c>
      <c r="C107" s="1485" t="s">
        <v>1705</v>
      </c>
      <c r="D107" s="1486">
        <f>+Assum!$M$55</f>
        <v>0.10300000000000001</v>
      </c>
      <c r="E107" s="1486">
        <f>+Assum!$N$55</f>
        <v>0.10300000000000001</v>
      </c>
      <c r="F107" s="1486">
        <f>+Assum!$O$55</f>
        <v>0.10300000000000001</v>
      </c>
      <c r="G107" s="1486">
        <f>+Assum!$P$55</f>
        <v>0.10300000000000001</v>
      </c>
      <c r="I107" s="1416">
        <v>5</v>
      </c>
      <c r="J107" s="1485" t="s">
        <v>1705</v>
      </c>
      <c r="K107" s="1486">
        <f>+Assum!$M$55</f>
        <v>0.10300000000000001</v>
      </c>
      <c r="L107" s="1486">
        <f>+Assum!$N$55</f>
        <v>0.10300000000000001</v>
      </c>
      <c r="M107" s="1486">
        <f>+Assum!$O$55</f>
        <v>0.10300000000000001</v>
      </c>
      <c r="N107" s="1486">
        <f>+Assum!$P$55</f>
        <v>0.10300000000000001</v>
      </c>
      <c r="P107" s="1416">
        <v>5</v>
      </c>
      <c r="Q107" s="1485" t="s">
        <v>1705</v>
      </c>
      <c r="R107" s="1486">
        <f>+Assum!$M$55</f>
        <v>0.10300000000000001</v>
      </c>
      <c r="S107" s="1486">
        <f>+Assum!$N$55</f>
        <v>0.10300000000000001</v>
      </c>
      <c r="T107" s="1486">
        <f>+Assum!$O$55</f>
        <v>0.10300000000000001</v>
      </c>
      <c r="U107" s="1486">
        <f>+Assum!$P$55</f>
        <v>0.10300000000000001</v>
      </c>
    </row>
    <row r="108" spans="2:23" x14ac:dyDescent="0.4">
      <c r="B108" s="1416">
        <v>6</v>
      </c>
      <c r="C108" s="1487" t="s">
        <v>1706</v>
      </c>
      <c r="D108" s="1469">
        <f>+SUM(E107:G107)*$S$85</f>
        <v>0</v>
      </c>
      <c r="E108" s="1469">
        <f>+SUM(F107:G107)*$S$85</f>
        <v>0</v>
      </c>
      <c r="F108" s="1469">
        <f>+SUM(G107)*$S$85</f>
        <v>0</v>
      </c>
      <c r="G108" s="1469"/>
      <c r="I108" s="1416">
        <v>6</v>
      </c>
      <c r="J108" s="1487" t="s">
        <v>1706</v>
      </c>
      <c r="K108" s="1469">
        <f>+SUM(L105:N105)*K107</f>
        <v>10.521036671331435</v>
      </c>
      <c r="L108" s="1469">
        <f>+SUM(M105:N105)*L107</f>
        <v>8.1298919733015644</v>
      </c>
      <c r="M108" s="1469">
        <f>+SUM(N105:O105)*M107</f>
        <v>4.5431749262567562</v>
      </c>
      <c r="N108" s="1469"/>
      <c r="P108" s="1416">
        <v>6</v>
      </c>
      <c r="Q108" s="1487" t="s">
        <v>1706</v>
      </c>
      <c r="R108" s="1469">
        <f>AVERAGE(R104,R106)*R107</f>
        <v>0</v>
      </c>
      <c r="S108" s="1469">
        <f>AVERAGE(S104,S106)*S107</f>
        <v>0</v>
      </c>
      <c r="T108" s="1469">
        <f>AVERAGE(T104,T106)*T107</f>
        <v>0</v>
      </c>
      <c r="U108" s="1469">
        <f>AVERAGE(U104,U106)*U107</f>
        <v>0</v>
      </c>
    </row>
    <row r="109" spans="2:23" x14ac:dyDescent="0.4">
      <c r="B109" s="1474"/>
      <c r="C109" s="1488"/>
      <c r="D109" s="1478"/>
      <c r="E109" s="1478"/>
      <c r="F109" s="1478"/>
      <c r="G109" s="1478"/>
      <c r="I109" s="1474"/>
      <c r="J109" s="1488"/>
      <c r="K109" s="1500">
        <v>0</v>
      </c>
      <c r="L109" s="1500">
        <v>0.15</v>
      </c>
      <c r="M109" s="1500">
        <v>0.33</v>
      </c>
      <c r="N109" s="1500">
        <f>100%-SUM(K109:M109)</f>
        <v>0.52</v>
      </c>
      <c r="P109" s="1474"/>
      <c r="Q109" s="1488"/>
      <c r="R109" s="1500">
        <v>0</v>
      </c>
      <c r="S109" s="1500">
        <v>0</v>
      </c>
      <c r="T109" s="1500">
        <v>0</v>
      </c>
      <c r="U109" s="1500">
        <v>0</v>
      </c>
    </row>
    <row r="110" spans="2:23" x14ac:dyDescent="0.4">
      <c r="B110" s="1489" t="s">
        <v>555</v>
      </c>
      <c r="C110" s="1489" t="s">
        <v>111</v>
      </c>
      <c r="D110" s="1484" t="s">
        <v>872</v>
      </c>
      <c r="E110" s="1484" t="s">
        <v>873</v>
      </c>
      <c r="F110" s="1484" t="s">
        <v>874</v>
      </c>
      <c r="G110" s="1484" t="s">
        <v>875</v>
      </c>
      <c r="I110" s="1489" t="s">
        <v>555</v>
      </c>
      <c r="J110" s="1489" t="s">
        <v>111</v>
      </c>
      <c r="K110" s="1484" t="s">
        <v>872</v>
      </c>
      <c r="L110" s="1484" t="s">
        <v>873</v>
      </c>
      <c r="M110" s="1484" t="s">
        <v>874</v>
      </c>
      <c r="N110" s="1484" t="s">
        <v>875</v>
      </c>
      <c r="P110" s="1489" t="s">
        <v>555</v>
      </c>
      <c r="Q110" s="1489" t="s">
        <v>111</v>
      </c>
      <c r="R110" s="1484" t="s">
        <v>872</v>
      </c>
      <c r="S110" s="1484" t="s">
        <v>873</v>
      </c>
      <c r="T110" s="1484" t="s">
        <v>874</v>
      </c>
      <c r="U110" s="1484" t="s">
        <v>875</v>
      </c>
    </row>
    <row r="111" spans="2:23" x14ac:dyDescent="0.4">
      <c r="B111" s="1484"/>
      <c r="C111" s="1484"/>
      <c r="D111" s="2097" t="s">
        <v>986</v>
      </c>
      <c r="E111" s="2098"/>
      <c r="F111" s="2098"/>
      <c r="G111" s="2098"/>
      <c r="I111" s="1484"/>
      <c r="J111" s="1484"/>
      <c r="K111" s="2097" t="s">
        <v>986</v>
      </c>
      <c r="L111" s="2098"/>
      <c r="M111" s="2098"/>
      <c r="N111" s="2098"/>
      <c r="P111" s="1484"/>
      <c r="Q111" s="1484"/>
      <c r="R111" s="2097" t="s">
        <v>986</v>
      </c>
      <c r="S111" s="2098"/>
      <c r="T111" s="2098"/>
      <c r="U111" s="2098"/>
    </row>
    <row r="112" spans="2:23" x14ac:dyDescent="0.4">
      <c r="B112" s="1416">
        <v>1</v>
      </c>
      <c r="C112" s="1485" t="s">
        <v>1702</v>
      </c>
      <c r="D112" s="1469">
        <v>0</v>
      </c>
      <c r="E112" s="1469">
        <f>+D114</f>
        <v>0</v>
      </c>
      <c r="F112" s="1469">
        <f>+E114</f>
        <v>0</v>
      </c>
      <c r="G112" s="1469">
        <f>+F114</f>
        <v>0</v>
      </c>
      <c r="I112" s="1416">
        <v>1</v>
      </c>
      <c r="J112" s="1485" t="s">
        <v>1702</v>
      </c>
      <c r="K112" s="1469">
        <f ca="1">+K41</f>
        <v>-70.940389579400971</v>
      </c>
      <c r="L112" s="1469">
        <f ca="1">+K114</f>
        <v>-70.940389579400971</v>
      </c>
      <c r="M112" s="1469">
        <f ca="1">+L114</f>
        <v>-60.299331142490828</v>
      </c>
      <c r="N112" s="1469">
        <f ca="1">+M114</f>
        <v>-36.889002581288509</v>
      </c>
      <c r="P112" s="1416">
        <v>1</v>
      </c>
      <c r="Q112" s="1485" t="s">
        <v>1702</v>
      </c>
      <c r="R112" s="1469">
        <f>+R41</f>
        <v>0</v>
      </c>
      <c r="S112" s="1469">
        <f>+R114</f>
        <v>-0.25</v>
      </c>
      <c r="T112" s="1469">
        <f>+S114</f>
        <v>-0.6</v>
      </c>
      <c r="U112" s="1469">
        <f>+T114</f>
        <v>-9.9999999999999978E-2</v>
      </c>
    </row>
    <row r="113" spans="2:24" x14ac:dyDescent="0.4">
      <c r="B113" s="1416">
        <v>2</v>
      </c>
      <c r="C113" s="1485" t="s">
        <v>1707</v>
      </c>
      <c r="D113" s="1469">
        <f>-$N$195*D101</f>
        <v>0</v>
      </c>
      <c r="E113" s="1469">
        <f>-$N$195*E101</f>
        <v>0</v>
      </c>
      <c r="F113" s="1469">
        <f>-$N$195*F101</f>
        <v>0</v>
      </c>
      <c r="G113" s="1469">
        <f>-$N$195*G101</f>
        <v>0</v>
      </c>
      <c r="I113" s="1416">
        <v>2</v>
      </c>
      <c r="J113" s="1485" t="s">
        <v>1707</v>
      </c>
      <c r="K113" s="1469">
        <f ca="1">$K$112*K109</f>
        <v>0</v>
      </c>
      <c r="L113" s="1469">
        <f ca="1">$K$112*L109</f>
        <v>-10.641058436910145</v>
      </c>
      <c r="M113" s="1469">
        <f ca="1">$K$112*M109</f>
        <v>-23.41032856120232</v>
      </c>
      <c r="N113" s="1469">
        <f ca="1">$K$112*N109</f>
        <v>-36.889002581288509</v>
      </c>
      <c r="P113" s="1416">
        <v>2</v>
      </c>
      <c r="Q113" s="1485" t="s">
        <v>1707</v>
      </c>
      <c r="R113" s="1469">
        <v>-0.25</v>
      </c>
      <c r="S113" s="1469">
        <v>-0.35</v>
      </c>
      <c r="T113" s="1469">
        <v>0.5</v>
      </c>
      <c r="U113" s="1469">
        <f>-U112</f>
        <v>9.9999999999999978E-2</v>
      </c>
      <c r="W113" s="1428">
        <f ca="1">SUM(R98:U98)/SUM(R88:U88)</f>
        <v>2.2416631298194951E-3</v>
      </c>
    </row>
    <row r="114" spans="2:24" x14ac:dyDescent="0.4">
      <c r="B114" s="1416">
        <v>4</v>
      </c>
      <c r="C114" s="1485" t="s">
        <v>1704</v>
      </c>
      <c r="D114" s="1469">
        <f>+D112+D113</f>
        <v>0</v>
      </c>
      <c r="E114" s="1469">
        <f>+E112+E113</f>
        <v>0</v>
      </c>
      <c r="F114" s="1469">
        <f>+F112+F113</f>
        <v>0</v>
      </c>
      <c r="G114" s="1469">
        <f>+G112+G113</f>
        <v>0</v>
      </c>
      <c r="I114" s="1416">
        <v>4</v>
      </c>
      <c r="J114" s="1485" t="s">
        <v>1704</v>
      </c>
      <c r="K114" s="1469">
        <f ca="1">+K112-K113</f>
        <v>-70.940389579400971</v>
      </c>
      <c r="L114" s="1469">
        <f ca="1">+L112-L113</f>
        <v>-60.299331142490828</v>
      </c>
      <c r="M114" s="1469">
        <f ca="1">+M112-M113</f>
        <v>-36.889002581288509</v>
      </c>
      <c r="N114" s="1469">
        <f ca="1">+N112-N113</f>
        <v>0</v>
      </c>
      <c r="P114" s="1416">
        <v>4</v>
      </c>
      <c r="Q114" s="1485" t="s">
        <v>1704</v>
      </c>
      <c r="R114" s="1469">
        <f>+R112+R113</f>
        <v>-0.25</v>
      </c>
      <c r="S114" s="1469">
        <f>+S112+S113</f>
        <v>-0.6</v>
      </c>
      <c r="T114" s="1469">
        <f>+T112+T113</f>
        <v>-9.9999999999999978E-2</v>
      </c>
      <c r="U114" s="1469">
        <f>+U112+U113</f>
        <v>0</v>
      </c>
    </row>
    <row r="115" spans="2:24" x14ac:dyDescent="0.4">
      <c r="B115" s="1416">
        <v>5</v>
      </c>
      <c r="C115" s="1485" t="s">
        <v>1705</v>
      </c>
      <c r="D115" s="1486">
        <f>+D107</f>
        <v>0.10300000000000001</v>
      </c>
      <c r="E115" s="1486">
        <f>+E107</f>
        <v>0.10300000000000001</v>
      </c>
      <c r="F115" s="1486">
        <f>+F107</f>
        <v>0.10300000000000001</v>
      </c>
      <c r="G115" s="1486">
        <f>+G107</f>
        <v>0.10300000000000001</v>
      </c>
      <c r="I115" s="1416">
        <v>5</v>
      </c>
      <c r="J115" s="1485" t="s">
        <v>1705</v>
      </c>
      <c r="K115" s="1486">
        <f>+K107</f>
        <v>0.10300000000000001</v>
      </c>
      <c r="L115" s="1486">
        <f>+L107</f>
        <v>0.10300000000000001</v>
      </c>
      <c r="M115" s="1486">
        <f>+M107</f>
        <v>0.10300000000000001</v>
      </c>
      <c r="N115" s="1486">
        <f>+N107</f>
        <v>0.10300000000000001</v>
      </c>
      <c r="P115" s="1416">
        <v>5</v>
      </c>
      <c r="Q115" s="1485" t="s">
        <v>1705</v>
      </c>
      <c r="R115" s="1486">
        <f>+R107</f>
        <v>0.10300000000000001</v>
      </c>
      <c r="S115" s="1486">
        <f>+S107</f>
        <v>0.10300000000000001</v>
      </c>
      <c r="T115" s="1486">
        <f>+T107</f>
        <v>0.10300000000000001</v>
      </c>
      <c r="U115" s="1486">
        <f>+U107</f>
        <v>0.10300000000000001</v>
      </c>
    </row>
    <row r="116" spans="2:24" x14ac:dyDescent="0.4">
      <c r="B116" s="1416">
        <v>6</v>
      </c>
      <c r="C116" s="1487" t="s">
        <v>1706</v>
      </c>
      <c r="D116" s="1469">
        <f>AVERAGE(D112,D114)*D115</f>
        <v>0</v>
      </c>
      <c r="E116" s="1469">
        <f>AVERAGE(E112,E114)*E115</f>
        <v>0</v>
      </c>
      <c r="F116" s="1469">
        <f>AVERAGE(F112,F114)*F115</f>
        <v>0</v>
      </c>
      <c r="G116" s="1469">
        <f>AVERAGE(G112,G114)*G115</f>
        <v>0</v>
      </c>
      <c r="I116" s="1416">
        <v>6</v>
      </c>
      <c r="J116" s="1487" t="s">
        <v>1706</v>
      </c>
      <c r="K116" s="1469">
        <f ca="1">+SUM(L113:N113)*K115</f>
        <v>-7.3068601266783002</v>
      </c>
      <c r="L116" s="1469">
        <f ca="1">+SUM(M113:N113)*L115</f>
        <v>-6.2108311076765554</v>
      </c>
      <c r="M116" s="1469">
        <f ca="1">+SUM(N113:O113)*M115</f>
        <v>-3.7995672658727169</v>
      </c>
      <c r="N116" s="1469"/>
      <c r="P116" s="1416">
        <v>6</v>
      </c>
      <c r="Q116" s="1487" t="s">
        <v>1706</v>
      </c>
      <c r="R116" s="1469">
        <f>+SUM(S113:U113)*R115</f>
        <v>2.5750000000000002E-2</v>
      </c>
      <c r="S116" s="1469">
        <f>+SUM(T113:U113)*S115</f>
        <v>6.1800000000000001E-2</v>
      </c>
      <c r="T116" s="1469">
        <f>+SUM(U113:V113)*T115</f>
        <v>1.0299999999999998E-2</v>
      </c>
      <c r="U116" s="1469"/>
    </row>
    <row r="117" spans="2:24" x14ac:dyDescent="0.4">
      <c r="B117" s="1474"/>
      <c r="C117" s="1326"/>
      <c r="D117" s="1326"/>
      <c r="E117" s="1326"/>
      <c r="F117" s="1326"/>
      <c r="G117" s="1326"/>
      <c r="I117" s="1478"/>
    </row>
    <row r="118" spans="2:24" x14ac:dyDescent="0.4">
      <c r="B118" s="1474"/>
      <c r="C118" s="1491" t="s">
        <v>111</v>
      </c>
      <c r="D118" s="1492" t="s">
        <v>124</v>
      </c>
      <c r="E118" s="1492" t="s">
        <v>125</v>
      </c>
      <c r="F118" s="1492" t="s">
        <v>126</v>
      </c>
      <c r="G118" s="1492" t="s">
        <v>127</v>
      </c>
      <c r="I118" s="1326"/>
      <c r="J118" s="1491" t="s">
        <v>111</v>
      </c>
      <c r="K118" s="1492" t="s">
        <v>124</v>
      </c>
      <c r="L118" s="1492" t="s">
        <v>125</v>
      </c>
      <c r="M118" s="1492" t="s">
        <v>126</v>
      </c>
      <c r="N118" s="1492" t="s">
        <v>127</v>
      </c>
      <c r="Q118" s="1491" t="s">
        <v>111</v>
      </c>
      <c r="R118" s="1492" t="s">
        <v>124</v>
      </c>
      <c r="S118" s="1492" t="s">
        <v>125</v>
      </c>
      <c r="T118" s="1492" t="s">
        <v>126</v>
      </c>
      <c r="U118" s="1492" t="s">
        <v>127</v>
      </c>
    </row>
    <row r="119" spans="2:24" x14ac:dyDescent="0.4">
      <c r="B119" s="1474"/>
      <c r="C119" s="2093" t="s">
        <v>1708</v>
      </c>
      <c r="D119" s="2094"/>
      <c r="E119" s="2094"/>
      <c r="F119" s="2094"/>
      <c r="G119" s="2095"/>
      <c r="I119" s="1326"/>
      <c r="J119" s="2093" t="s">
        <v>1708</v>
      </c>
      <c r="K119" s="2094"/>
      <c r="L119" s="2094"/>
      <c r="M119" s="2094"/>
      <c r="N119" s="2095"/>
      <c r="Q119" s="2093" t="s">
        <v>1708</v>
      </c>
      <c r="R119" s="2094"/>
      <c r="S119" s="2094"/>
      <c r="T119" s="2094"/>
      <c r="U119" s="2095"/>
    </row>
    <row r="120" spans="2:24" x14ac:dyDescent="0.4">
      <c r="B120" s="1474"/>
      <c r="C120" s="1496" t="s">
        <v>1682</v>
      </c>
      <c r="D120" s="1494">
        <f ca="1">+D80</f>
        <v>39.810003434163654</v>
      </c>
      <c r="E120" s="1494">
        <f ca="1">+E80</f>
        <v>46.905337191715077</v>
      </c>
      <c r="F120" s="1494">
        <f ca="1">+F80</f>
        <v>55.180074519763608</v>
      </c>
      <c r="G120" s="1494">
        <f ca="1">+G80</f>
        <v>60.172027937850558</v>
      </c>
      <c r="I120" s="1326"/>
      <c r="J120" s="1496" t="s">
        <v>1682</v>
      </c>
      <c r="K120" s="1694">
        <f ca="1">+K80</f>
        <v>33.176744024420614</v>
      </c>
      <c r="L120" s="1694">
        <f ca="1">+L80</f>
        <v>40.442580754855797</v>
      </c>
      <c r="M120" s="1694">
        <f ca="1">+M80</f>
        <v>48.827435854998413</v>
      </c>
      <c r="N120" s="1694">
        <f ca="1">+N80</f>
        <v>53.741204918056823</v>
      </c>
      <c r="Q120" s="1496" t="s">
        <v>1682</v>
      </c>
      <c r="R120" s="1494">
        <f ca="1">+R80</f>
        <v>6.6332594097430402</v>
      </c>
      <c r="S120" s="1494">
        <f ca="1">+S80</f>
        <v>6.4627564368592676</v>
      </c>
      <c r="T120" s="1494">
        <f ca="1">+T80</f>
        <v>6.3526386647651867</v>
      </c>
      <c r="U120" s="1494">
        <f ca="1">+U80</f>
        <v>6.4308230197937313</v>
      </c>
      <c r="W120" s="1429">
        <f ca="1">+SUM(D120:G120)-SUM(K120:N120)-SUM(R120:U120)</f>
        <v>0</v>
      </c>
      <c r="X120" s="1493"/>
    </row>
    <row r="121" spans="2:24" x14ac:dyDescent="0.4">
      <c r="B121" s="1474"/>
      <c r="C121" s="1496" t="s">
        <v>1684</v>
      </c>
      <c r="D121" s="1494">
        <f ca="1">+D88</f>
        <v>116.02106070786978</v>
      </c>
      <c r="E121" s="1494">
        <f ca="1">+E88</f>
        <v>137.36192499570652</v>
      </c>
      <c r="F121" s="1494">
        <f ca="1">+F88</f>
        <v>160.87503872666977</v>
      </c>
      <c r="G121" s="1494">
        <f ca="1">+G88</f>
        <v>168.17767660967087</v>
      </c>
      <c r="I121" s="1326"/>
      <c r="J121" s="1496" t="s">
        <v>1684</v>
      </c>
      <c r="K121" s="1694">
        <f ca="1">+K88</f>
        <v>106.30999164094162</v>
      </c>
      <c r="L121" s="1694">
        <f ca="1">+L88</f>
        <v>127.56064009391348</v>
      </c>
      <c r="M121" s="1694">
        <f ca="1">+M88</f>
        <v>147.46335162773778</v>
      </c>
      <c r="N121" s="1694">
        <f ca="1">+N88</f>
        <v>154.88944035785499</v>
      </c>
      <c r="Q121" s="1496" t="s">
        <v>1684</v>
      </c>
      <c r="R121" s="1494">
        <f ca="1">+R88</f>
        <v>9.7110690669281574</v>
      </c>
      <c r="S121" s="1494">
        <f ca="1">+S88</f>
        <v>9.8012849017930446</v>
      </c>
      <c r="T121" s="1494">
        <f ca="1">+T88</f>
        <v>13.411687098931939</v>
      </c>
      <c r="U121" s="1494">
        <f ca="1">+U88</f>
        <v>13.288236251815931</v>
      </c>
      <c r="W121" s="1429">
        <f ca="1">+SUM(D121:G121)-SUM(K121:N121)-SUM(R121:U121)</f>
        <v>-9.9475983006414026E-14</v>
      </c>
      <c r="X121" s="1493"/>
    </row>
    <row r="122" spans="2:24" x14ac:dyDescent="0.4">
      <c r="B122" s="1474"/>
      <c r="C122" s="1497" t="s">
        <v>1686</v>
      </c>
      <c r="D122" s="1495">
        <f ca="1">+D96</f>
        <v>155.83106414203343</v>
      </c>
      <c r="E122" s="1495">
        <f ca="1">+E96</f>
        <v>184.26726218742161</v>
      </c>
      <c r="F122" s="1495">
        <f ca="1">+F96</f>
        <v>216.05511324643342</v>
      </c>
      <c r="G122" s="1495">
        <f ca="1">+G96</f>
        <v>228.34970454752144</v>
      </c>
      <c r="I122" s="1326"/>
      <c r="J122" s="1497" t="s">
        <v>1686</v>
      </c>
      <c r="K122" s="1695">
        <f ca="1">+K96</f>
        <v>139.48673566536223</v>
      </c>
      <c r="L122" s="1695">
        <f ca="1">+L96</f>
        <v>168.00322084876927</v>
      </c>
      <c r="M122" s="1695">
        <f ca="1">+M96</f>
        <v>196.29078748273622</v>
      </c>
      <c r="N122" s="1695">
        <f ca="1">+N96</f>
        <v>208.63064527591183</v>
      </c>
      <c r="Q122" s="1497" t="s">
        <v>1686</v>
      </c>
      <c r="R122" s="1495">
        <f ca="1">+R96</f>
        <v>16.344328476671198</v>
      </c>
      <c r="S122" s="1495">
        <f ca="1">+S96</f>
        <v>16.264041338652312</v>
      </c>
      <c r="T122" s="1495">
        <f ca="1">+T96</f>
        <v>19.764325763697126</v>
      </c>
      <c r="U122" s="1495">
        <f ca="1">+U96</f>
        <v>19.719059271609666</v>
      </c>
      <c r="W122" s="1429">
        <f ca="1">+SUM(D122:G122)-SUM(K122:N122)-SUM(R122:U122)</f>
        <v>0</v>
      </c>
    </row>
    <row r="123" spans="2:24" x14ac:dyDescent="0.4">
      <c r="B123" s="1474"/>
      <c r="C123" s="1496" t="s">
        <v>1687</v>
      </c>
      <c r="D123" s="1495">
        <f>+D17</f>
        <v>174.567599</v>
      </c>
      <c r="E123" s="1495">
        <f>+E17</f>
        <v>215.14139899999998</v>
      </c>
      <c r="F123" s="1495">
        <f>+F17</f>
        <v>259.71479900000003</v>
      </c>
      <c r="G123" s="1495">
        <f>+G17</f>
        <v>280.73879899999997</v>
      </c>
      <c r="I123" s="1326"/>
      <c r="J123" s="1496" t="s">
        <v>1687</v>
      </c>
      <c r="K123" s="1695">
        <f>+K17</f>
        <v>162.93045249876553</v>
      </c>
      <c r="L123" s="1695">
        <f>+L17</f>
        <v>203.50425249876554</v>
      </c>
      <c r="M123" s="1695">
        <f>+M17</f>
        <v>244.26020333168742</v>
      </c>
      <c r="N123" s="1695">
        <f>+N17</f>
        <v>265.28420333168748</v>
      </c>
      <c r="Q123" s="1496" t="s">
        <v>1687</v>
      </c>
      <c r="R123" s="1495">
        <f>+R17</f>
        <v>11.63714650123443</v>
      </c>
      <c r="S123" s="1495">
        <f>+S17</f>
        <v>11.637146501234428</v>
      </c>
      <c r="T123" s="1495">
        <f>+T17</f>
        <v>15.454595668312564</v>
      </c>
      <c r="U123" s="1495">
        <f>+U17</f>
        <v>15.454595668312564</v>
      </c>
      <c r="W123" s="1429">
        <f>+SUM(D123:G123)-SUM(K123:N123)-SUM(R123:U123)</f>
        <v>-1.2079226507921703E-13</v>
      </c>
    </row>
    <row r="124" spans="2:24" x14ac:dyDescent="0.4">
      <c r="B124" s="1474"/>
      <c r="C124" s="1498" t="s">
        <v>1712</v>
      </c>
      <c r="D124" s="1499">
        <f ca="1">+D122/D123*10</f>
        <v>8.9266888606306267</v>
      </c>
      <c r="E124" s="1499">
        <f ca="1">+E122/E123*10</f>
        <v>8.5649374338883817</v>
      </c>
      <c r="F124" s="1499">
        <f ca="1">+F122/F123*10</f>
        <v>8.3189373142511371</v>
      </c>
      <c r="G124" s="1499">
        <f ca="1">+G122/G123*10</f>
        <v>8.1338847840380435</v>
      </c>
      <c r="I124" s="1326"/>
      <c r="J124" s="1498" t="s">
        <v>1712</v>
      </c>
      <c r="K124" s="1499">
        <f ca="1">+K122/K123*10</f>
        <v>8.5611212346211989</v>
      </c>
      <c r="L124" s="1499">
        <f ca="1">+L122/L123*10</f>
        <v>8.255514014371192</v>
      </c>
      <c r="M124" s="1499">
        <f ca="1">+M122/M123*10</f>
        <v>8.0361346140446681</v>
      </c>
      <c r="N124" s="1499">
        <f ca="1">+N122/N123*10</f>
        <v>7.8644202201161173</v>
      </c>
      <c r="Q124" s="1498" t="s">
        <v>1712</v>
      </c>
      <c r="R124" s="1499">
        <f ca="1">+R122/R123*10</f>
        <v>14.044962375387682</v>
      </c>
      <c r="S124" s="1499">
        <f ca="1">+S122/S123*10</f>
        <v>13.975970257766438</v>
      </c>
      <c r="T124" s="1499">
        <f ca="1">+T122/T123*10</f>
        <v>12.788639824606378</v>
      </c>
      <c r="U124" s="1499">
        <f ca="1">+U122/U123*10</f>
        <v>12.759349836657828</v>
      </c>
    </row>
    <row r="125" spans="2:24" x14ac:dyDescent="0.4">
      <c r="B125" s="1474"/>
      <c r="C125" s="1498" t="s">
        <v>1715</v>
      </c>
      <c r="D125" s="1495">
        <f ca="1">+D120/D123*10</f>
        <v>2.2804921223762524</v>
      </c>
      <c r="E125" s="1495">
        <f ca="1">+E120/E123*10</f>
        <v>2.1802097322847231</v>
      </c>
      <c r="F125" s="1495">
        <f ca="1">+F120/F123*10</f>
        <v>2.1246411345147722</v>
      </c>
      <c r="G125" s="1495">
        <f ca="1">+G120/G123*10</f>
        <v>2.1433456348814319</v>
      </c>
      <c r="I125" s="1326"/>
      <c r="J125" s="1498" t="s">
        <v>1715</v>
      </c>
      <c r="K125" s="1495">
        <f ca="1">+K120/K123*10</f>
        <v>2.0362518802107901</v>
      </c>
      <c r="L125" s="1495">
        <f ca="1">+L120/L123*10</f>
        <v>1.9873088772482101</v>
      </c>
      <c r="M125" s="1495">
        <f ca="1">+M120/M123*10</f>
        <v>1.9989926803055322</v>
      </c>
      <c r="N125" s="1495">
        <f ca="1">+N120/N123*10</f>
        <v>2.0257973992844067</v>
      </c>
      <c r="Q125" s="1498" t="s">
        <v>1715</v>
      </c>
      <c r="R125" s="1495">
        <f ca="1">+R120/R123*10</f>
        <v>5.7000738188175308</v>
      </c>
      <c r="S125" s="1495">
        <f ca="1">+S120/S123*10</f>
        <v>5.5535576837274681</v>
      </c>
      <c r="T125" s="1495">
        <f ca="1">+T120/T123*10</f>
        <v>4.1105175451405458</v>
      </c>
      <c r="U125" s="1495">
        <f ca="1">+U120/U123*10</f>
        <v>4.1611072575513655</v>
      </c>
    </row>
    <row r="126" spans="2:24" x14ac:dyDescent="0.4">
      <c r="B126" s="1474"/>
      <c r="C126" s="1498" t="s">
        <v>1713</v>
      </c>
      <c r="D126" s="1495">
        <f ca="1">+D121/D123*10</f>
        <v>6.6461967382543747</v>
      </c>
      <c r="E126" s="1495">
        <f ca="1">+E121/E123*10</f>
        <v>6.3847277016036577</v>
      </c>
      <c r="F126" s="1495">
        <f ca="1">+F121/F123*10</f>
        <v>6.194296179736364</v>
      </c>
      <c r="G126" s="1495">
        <f ca="1">+G121/G123*10</f>
        <v>5.9905391491566107</v>
      </c>
      <c r="I126" s="1326"/>
      <c r="J126" s="1498" t="s">
        <v>1713</v>
      </c>
      <c r="K126" s="1495">
        <f ca="1">+K121/K123*10</f>
        <v>6.5248693544104093</v>
      </c>
      <c r="L126" s="1495">
        <f ca="1">+L121/L123*10</f>
        <v>6.2682051371229832</v>
      </c>
      <c r="M126" s="1495">
        <f ca="1">+M121/M123*10</f>
        <v>6.037141933739135</v>
      </c>
      <c r="N126" s="1495">
        <f ca="1">+N121/N123*10</f>
        <v>5.8386228208317092</v>
      </c>
      <c r="Q126" s="1498" t="s">
        <v>1713</v>
      </c>
      <c r="R126" s="1495">
        <f ca="1">+R121/R123*10</f>
        <v>8.3448885565701527</v>
      </c>
      <c r="S126" s="1495">
        <f ca="1">+S121/S123*10</f>
        <v>8.4224125740389706</v>
      </c>
      <c r="T126" s="1495">
        <f ca="1">+T121/T123*10</f>
        <v>8.6781222794658301</v>
      </c>
      <c r="U126" s="1495">
        <f ca="1">+U121/U123*10</f>
        <v>8.5982425791064578</v>
      </c>
    </row>
    <row r="127" spans="2:24" x14ac:dyDescent="0.4">
      <c r="B127" s="1474"/>
      <c r="C127" s="1498" t="s">
        <v>1716</v>
      </c>
      <c r="D127" s="1499">
        <f>+$D$19</f>
        <v>9.2552304166770583</v>
      </c>
      <c r="E127" s="1499">
        <f>+$D$19</f>
        <v>9.2552304166770583</v>
      </c>
      <c r="F127" s="1499">
        <f>+$D$19</f>
        <v>9.2552304166770583</v>
      </c>
      <c r="G127" s="1499">
        <f>+$D$19</f>
        <v>9.2552304166770583</v>
      </c>
      <c r="I127" s="1326"/>
      <c r="J127" s="1498" t="s">
        <v>1716</v>
      </c>
      <c r="K127" s="1499">
        <f>+$K$19</f>
        <v>8.9429124973793641</v>
      </c>
      <c r="L127" s="1499">
        <f>+$K$19</f>
        <v>8.9429124973793641</v>
      </c>
      <c r="M127" s="1499">
        <f>+$K$19</f>
        <v>8.9429124973793641</v>
      </c>
      <c r="N127" s="1499">
        <f>+$K$19</f>
        <v>8.9429124973793641</v>
      </c>
      <c r="Q127" s="1498" t="s">
        <v>1716</v>
      </c>
      <c r="R127" s="1499">
        <f>+$R$19</f>
        <v>13.451316837522821</v>
      </c>
      <c r="S127" s="1499">
        <f>+$R$19</f>
        <v>13.451316837522821</v>
      </c>
      <c r="T127" s="1499">
        <f>+$R$19</f>
        <v>13.451316837522821</v>
      </c>
      <c r="U127" s="1499">
        <f>+$R$19</f>
        <v>13.451316837522821</v>
      </c>
    </row>
    <row r="128" spans="2:24" x14ac:dyDescent="0.4">
      <c r="B128" s="1474"/>
      <c r="C128" s="1498" t="s">
        <v>1709</v>
      </c>
      <c r="D128" s="1499">
        <f ca="1">+D124-D127</f>
        <v>-0.32854155604643154</v>
      </c>
      <c r="E128" s="1499">
        <f ca="1">+E124-E127</f>
        <v>-0.69029298278867657</v>
      </c>
      <c r="F128" s="1499">
        <f ca="1">+F124-F127</f>
        <v>-0.93629310242592112</v>
      </c>
      <c r="G128" s="1499">
        <f ca="1">+G124-G127</f>
        <v>-1.1213456326390148</v>
      </c>
      <c r="I128" s="1326"/>
      <c r="J128" s="1498" t="s">
        <v>1709</v>
      </c>
      <c r="K128" s="1499">
        <f ca="1">+K124-K127</f>
        <v>-0.38179126275816522</v>
      </c>
      <c r="L128" s="1499">
        <f ca="1">+L124-L127</f>
        <v>-0.68739848300817208</v>
      </c>
      <c r="M128" s="1499">
        <f ca="1">+M124-M127</f>
        <v>-0.906777883334696</v>
      </c>
      <c r="N128" s="1499">
        <f ca="1">+N124-N127</f>
        <v>-1.0784922772632468</v>
      </c>
      <c r="Q128" s="1498" t="s">
        <v>1709</v>
      </c>
      <c r="R128" s="1499">
        <f ca="1">+R124-R127</f>
        <v>0.59364553786486063</v>
      </c>
      <c r="S128" s="1499">
        <f ca="1">+S124-S127</f>
        <v>0.52465342024361661</v>
      </c>
      <c r="T128" s="1499">
        <f ca="1">+T124-T127</f>
        <v>-0.66267701291644343</v>
      </c>
      <c r="U128" s="1499">
        <f ca="1">+U124-U127</f>
        <v>-0.69196700086499341</v>
      </c>
    </row>
    <row r="129" spans="2:21" x14ac:dyDescent="0.4">
      <c r="B129" s="1474"/>
      <c r="C129" s="1480" t="s">
        <v>1710</v>
      </c>
      <c r="D129" s="1490">
        <f ca="1">+D128/D127</f>
        <v>-3.5497933736412489E-2</v>
      </c>
      <c r="E129" s="1490">
        <f ca="1">+E128/E127</f>
        <v>-7.4584094799502051E-2</v>
      </c>
      <c r="F129" s="1490">
        <f ca="1">+F128/F127</f>
        <v>-0.10116367289341696</v>
      </c>
      <c r="G129" s="1490">
        <f ca="1">+G128/G127</f>
        <v>-0.12115804600806641</v>
      </c>
      <c r="I129" s="1326"/>
      <c r="J129" s="1480" t="s">
        <v>1710</v>
      </c>
      <c r="K129" s="1490">
        <f ca="1">+K128/K127</f>
        <v>-4.2692049471583844E-2</v>
      </c>
      <c r="L129" s="1490">
        <f ca="1">+L128/L127</f>
        <v>-7.6865169284571183E-2</v>
      </c>
      <c r="M129" s="1490">
        <f ca="1">+M128/M127</f>
        <v>-0.10139626028996915</v>
      </c>
      <c r="N129" s="1490">
        <f ca="1">+N128/N127</f>
        <v>-0.12059743149441401</v>
      </c>
      <c r="Q129" s="1480" t="s">
        <v>1710</v>
      </c>
      <c r="R129" s="1490">
        <f ca="1">+R128/R127</f>
        <v>4.4132893830057585E-2</v>
      </c>
      <c r="S129" s="1490">
        <f ca="1">+S128/S127</f>
        <v>3.9003870519210532E-2</v>
      </c>
      <c r="T129" s="1490">
        <f ca="1">+T128/T127</f>
        <v>-4.9264843057438626E-2</v>
      </c>
      <c r="U129" s="1490">
        <f ca="1">+U128/U127</f>
        <v>-5.1442324139948314E-2</v>
      </c>
    </row>
    <row r="130" spans="2:21" x14ac:dyDescent="0.4">
      <c r="B130" s="1474"/>
      <c r="C130" s="1480" t="s">
        <v>1711</v>
      </c>
      <c r="D130" s="1490">
        <f ca="1">+D124/D127-1</f>
        <v>-3.5497933736412524E-2</v>
      </c>
      <c r="E130" s="1490">
        <f ca="1">+E124/D124-1</f>
        <v>-4.0524704332160266E-2</v>
      </c>
      <c r="F130" s="1490">
        <f ca="1">+F124/E124-1</f>
        <v>-2.8721764932445493E-2</v>
      </c>
      <c r="G130" s="1490">
        <f ca="1">+G124/F124-1</f>
        <v>-2.2244731895753156E-2</v>
      </c>
      <c r="I130" s="1326"/>
      <c r="J130" s="1480" t="s">
        <v>1711</v>
      </c>
      <c r="K130" s="1490">
        <f ca="1">+K124/K127-1</f>
        <v>-4.2692049471583893E-2</v>
      </c>
      <c r="L130" s="1490">
        <f ca="1">+L124/K124-1</f>
        <v>-3.5697102269049763E-2</v>
      </c>
      <c r="M130" s="1490">
        <f ca="1">+M124/L124-1</f>
        <v>-2.6573681535108307E-2</v>
      </c>
      <c r="N130" s="1490">
        <f ca="1">+N124/M124-1</f>
        <v>-2.1367784659610756E-2</v>
      </c>
      <c r="Q130" s="1480" t="s">
        <v>1711</v>
      </c>
      <c r="R130" s="1490">
        <f ca="1">+R124/R127-1</f>
        <v>4.4132893830057585E-2</v>
      </c>
      <c r="S130" s="1490">
        <f ca="1">+S124/R124-1</f>
        <v>-4.9122322849468603E-3</v>
      </c>
      <c r="T130" s="1490">
        <f ca="1">+T124/S124-1</f>
        <v>-8.4955134510268482E-2</v>
      </c>
      <c r="U130" s="1490">
        <f ca="1">+U124/T124-1</f>
        <v>-2.2903129926447052E-3</v>
      </c>
    </row>
  </sheetData>
  <mergeCells count="69">
    <mergeCell ref="J60:N60"/>
    <mergeCell ref="Q60:U60"/>
    <mergeCell ref="C66:G66"/>
    <mergeCell ref="J66:N66"/>
    <mergeCell ref="Q66:U66"/>
    <mergeCell ref="I52:N52"/>
    <mergeCell ref="P52:U52"/>
    <mergeCell ref="C54:G54"/>
    <mergeCell ref="J54:N54"/>
    <mergeCell ref="Q54:U54"/>
    <mergeCell ref="J119:N119"/>
    <mergeCell ref="Q119:U119"/>
    <mergeCell ref="Q91:U91"/>
    <mergeCell ref="B100:G100"/>
    <mergeCell ref="D103:G103"/>
    <mergeCell ref="D111:G111"/>
    <mergeCell ref="C119:G119"/>
    <mergeCell ref="I100:N100"/>
    <mergeCell ref="K103:N103"/>
    <mergeCell ref="K111:N111"/>
    <mergeCell ref="P100:U100"/>
    <mergeCell ref="R103:U103"/>
    <mergeCell ref="R111:U111"/>
    <mergeCell ref="Q33:U33"/>
    <mergeCell ref="Q39:U39"/>
    <mergeCell ref="Q45:U45"/>
    <mergeCell ref="P73:U73"/>
    <mergeCell ref="Q75:U75"/>
    <mergeCell ref="Q83:U83"/>
    <mergeCell ref="J83:N83"/>
    <mergeCell ref="J91:N91"/>
    <mergeCell ref="P2:U2"/>
    <mergeCell ref="P3:U3"/>
    <mergeCell ref="Q5:U5"/>
    <mergeCell ref="Q9:U9"/>
    <mergeCell ref="Q13:U13"/>
    <mergeCell ref="P23:U23"/>
    <mergeCell ref="Q25:U25"/>
    <mergeCell ref="P31:U31"/>
    <mergeCell ref="I31:N31"/>
    <mergeCell ref="J33:N33"/>
    <mergeCell ref="J39:N39"/>
    <mergeCell ref="J45:N45"/>
    <mergeCell ref="I73:N73"/>
    <mergeCell ref="J75:N75"/>
    <mergeCell ref="C83:G83"/>
    <mergeCell ref="C91:G91"/>
    <mergeCell ref="B2:G2"/>
    <mergeCell ref="I2:N2"/>
    <mergeCell ref="I3:N3"/>
    <mergeCell ref="J5:N5"/>
    <mergeCell ref="J9:N9"/>
    <mergeCell ref="J13:N13"/>
    <mergeCell ref="I23:N23"/>
    <mergeCell ref="J25:N25"/>
    <mergeCell ref="B31:G31"/>
    <mergeCell ref="C33:G33"/>
    <mergeCell ref="C39:G39"/>
    <mergeCell ref="C45:G45"/>
    <mergeCell ref="B73:G73"/>
    <mergeCell ref="C75:G75"/>
    <mergeCell ref="B3:G3"/>
    <mergeCell ref="C5:G5"/>
    <mergeCell ref="C9:G9"/>
    <mergeCell ref="C13:G13"/>
    <mergeCell ref="B23:G23"/>
    <mergeCell ref="C25:G25"/>
    <mergeCell ref="B52:G52"/>
    <mergeCell ref="C60:G60"/>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23A36-EDAA-421F-9D84-7AFC2C160117}">
  <dimension ref="C3:AE55"/>
  <sheetViews>
    <sheetView showGridLines="0" topLeftCell="F5" zoomScale="80" zoomScaleNormal="80" workbookViewId="0">
      <selection activeCell="C12" sqref="C12:S12"/>
    </sheetView>
  </sheetViews>
  <sheetFormatPr defaultColWidth="8.86328125" defaultRowHeight="13.15" x14ac:dyDescent="0.35"/>
  <cols>
    <col min="1" max="2" width="8.86328125" style="729"/>
    <col min="3" max="3" width="20.6640625" style="729" customWidth="1"/>
    <col min="4" max="4" width="13.86328125" style="729" bestFit="1" customWidth="1"/>
    <col min="5" max="5" width="13.796875" style="729" bestFit="1" customWidth="1"/>
    <col min="6" max="6" width="12.86328125" style="729" bestFit="1" customWidth="1"/>
    <col min="7" max="10" width="8.1328125" style="1326" customWidth="1"/>
    <col min="11" max="11" width="8.86328125" style="729" bestFit="1" customWidth="1"/>
    <col min="12" max="12" width="13.796875" style="729" bestFit="1" customWidth="1"/>
    <col min="13" max="13" width="12.86328125" style="729" customWidth="1"/>
    <col min="14" max="17" width="8" style="729" customWidth="1"/>
    <col min="18" max="18" width="13.796875" style="729" bestFit="1" customWidth="1"/>
    <col min="19" max="19" width="12.86328125" style="729" bestFit="1" customWidth="1"/>
    <col min="20" max="23" width="12.86328125" style="729" customWidth="1"/>
    <col min="24" max="24" width="12" style="1187" bestFit="1" customWidth="1"/>
    <col min="25" max="16384" width="8.86328125" style="729"/>
  </cols>
  <sheetData>
    <row r="3" spans="3:31" ht="27.6" customHeight="1" x14ac:dyDescent="0.35">
      <c r="C3" s="1319" t="s">
        <v>1513</v>
      </c>
      <c r="D3" s="2099" t="s">
        <v>1514</v>
      </c>
      <c r="E3" s="2099"/>
      <c r="F3" s="2099"/>
      <c r="G3" s="2099"/>
      <c r="H3" s="2099"/>
      <c r="I3" s="2099"/>
      <c r="J3" s="2099"/>
      <c r="K3" s="2100" t="s">
        <v>1515</v>
      </c>
      <c r="L3" s="2101"/>
      <c r="M3" s="2101"/>
      <c r="N3" s="2101"/>
      <c r="O3" s="2101"/>
      <c r="P3" s="2101"/>
      <c r="Q3" s="2102"/>
      <c r="R3" s="2100" t="s">
        <v>1516</v>
      </c>
      <c r="S3" s="2101"/>
      <c r="T3" s="2101"/>
      <c r="U3" s="2101"/>
      <c r="V3" s="2101"/>
      <c r="W3" s="2102"/>
      <c r="X3" s="1323" t="s">
        <v>1517</v>
      </c>
    </row>
    <row r="4" spans="3:31" s="728" customFormat="1" ht="46.8" customHeight="1" x14ac:dyDescent="0.35">
      <c r="C4" s="1319"/>
      <c r="D4" s="1321"/>
      <c r="E4" s="1320" t="s">
        <v>1518</v>
      </c>
      <c r="F4" s="1320" t="s">
        <v>1537</v>
      </c>
      <c r="G4" s="1320" t="s">
        <v>124</v>
      </c>
      <c r="H4" s="1320" t="s">
        <v>125</v>
      </c>
      <c r="I4" s="1320" t="s">
        <v>126</v>
      </c>
      <c r="J4" s="1320" t="s">
        <v>127</v>
      </c>
      <c r="K4" s="1322"/>
      <c r="L4" s="1320" t="s">
        <v>1518</v>
      </c>
      <c r="M4" s="1320" t="s">
        <v>1537</v>
      </c>
      <c r="N4" s="1320" t="s">
        <v>124</v>
      </c>
      <c r="O4" s="1320" t="s">
        <v>125</v>
      </c>
      <c r="P4" s="1320" t="s">
        <v>126</v>
      </c>
      <c r="Q4" s="1320" t="s">
        <v>127</v>
      </c>
      <c r="R4" s="1320" t="s">
        <v>1518</v>
      </c>
      <c r="S4" s="1320" t="s">
        <v>1537</v>
      </c>
      <c r="T4" s="1320" t="s">
        <v>124</v>
      </c>
      <c r="U4" s="1320" t="s">
        <v>125</v>
      </c>
      <c r="V4" s="1320" t="s">
        <v>126</v>
      </c>
      <c r="W4" s="1320" t="s">
        <v>127</v>
      </c>
      <c r="X4" s="1324"/>
      <c r="Z4" s="1320" t="s">
        <v>123</v>
      </c>
      <c r="AA4" s="1320" t="s">
        <v>124</v>
      </c>
      <c r="AB4" s="1320" t="s">
        <v>125</v>
      </c>
      <c r="AC4" s="1320" t="s">
        <v>126</v>
      </c>
      <c r="AD4" s="1320" t="s">
        <v>127</v>
      </c>
    </row>
    <row r="5" spans="3:31" ht="13.9" x14ac:dyDescent="0.35">
      <c r="C5" s="365"/>
      <c r="D5" s="364"/>
      <c r="E5" s="2107" t="s">
        <v>1567</v>
      </c>
      <c r="F5" s="2108"/>
      <c r="G5" s="2107" t="s">
        <v>1568</v>
      </c>
      <c r="H5" s="2109"/>
      <c r="I5" s="2109"/>
      <c r="J5" s="2108"/>
      <c r="K5" s="1313"/>
      <c r="L5" s="2107" t="s">
        <v>1567</v>
      </c>
      <c r="M5" s="2108"/>
      <c r="N5" s="2107" t="s">
        <v>1568</v>
      </c>
      <c r="O5" s="2109"/>
      <c r="P5" s="2109"/>
      <c r="Q5" s="2108"/>
      <c r="R5" s="2103" t="s">
        <v>1569</v>
      </c>
      <c r="S5" s="2104"/>
      <c r="T5" s="1454"/>
      <c r="U5" s="1454"/>
      <c r="V5" s="1454"/>
      <c r="W5" s="1454"/>
      <c r="X5" s="1316"/>
      <c r="Z5" s="1507">
        <f>+Z7/Z6-1</f>
        <v>-0.13800424628450114</v>
      </c>
      <c r="AA5" s="1507">
        <f ca="1">+AA7/AA6-1</f>
        <v>-0.20152547444230462</v>
      </c>
      <c r="AB5" s="1507">
        <f ca="1">+AB7/AB6-1</f>
        <v>-0.21906786867671524</v>
      </c>
      <c r="AC5" s="1507">
        <f ca="1">+AC7/AC6-1</f>
        <v>-0.17779078589406039</v>
      </c>
      <c r="AD5" s="1507">
        <f ca="1">+AD7/AD6-1</f>
        <v>-0.18235885754041659</v>
      </c>
    </row>
    <row r="6" spans="3:31" ht="13.9" x14ac:dyDescent="0.35">
      <c r="C6" s="2110" t="s">
        <v>1147</v>
      </c>
      <c r="D6" s="2111"/>
      <c r="E6" s="2111"/>
      <c r="F6" s="2111"/>
      <c r="G6" s="2111"/>
      <c r="H6" s="2111"/>
      <c r="I6" s="2111"/>
      <c r="J6" s="2111"/>
      <c r="K6" s="2111"/>
      <c r="L6" s="2111"/>
      <c r="M6" s="2111"/>
      <c r="N6" s="2111"/>
      <c r="O6" s="2111"/>
      <c r="P6" s="2111"/>
      <c r="Q6" s="2111"/>
      <c r="R6" s="2111"/>
      <c r="S6" s="2112"/>
      <c r="T6" s="1501"/>
      <c r="U6" s="1501"/>
      <c r="V6" s="1501"/>
      <c r="W6" s="1501"/>
      <c r="X6" s="1316"/>
      <c r="Z6" s="729">
        <v>9.42</v>
      </c>
      <c r="AA6" s="1506">
        <f>+AA14+T14</f>
        <v>9.25</v>
      </c>
      <c r="AB6" s="1506">
        <f>+AB14+U14</f>
        <v>9.0500000000000007</v>
      </c>
      <c r="AC6" s="1506">
        <f>+AC14+V14</f>
        <v>8.33</v>
      </c>
      <c r="AD6" s="1506">
        <f>+AD14+W14</f>
        <v>8.25</v>
      </c>
      <c r="AE6" s="729" t="s">
        <v>1719</v>
      </c>
    </row>
    <row r="7" spans="3:31" ht="13.9" x14ac:dyDescent="0.35">
      <c r="C7" s="1315" t="s">
        <v>1519</v>
      </c>
      <c r="D7" s="364" t="s">
        <v>1520</v>
      </c>
      <c r="E7" s="1314">
        <v>549</v>
      </c>
      <c r="F7" s="1314">
        <v>600</v>
      </c>
      <c r="G7" s="1325">
        <f>+'F14.2'!$E13</f>
        <v>650</v>
      </c>
      <c r="H7" s="1325">
        <f>+'F14.3'!$E13</f>
        <v>700</v>
      </c>
      <c r="I7" s="1325">
        <f>+'F14.4'!$E13</f>
        <v>730</v>
      </c>
      <c r="J7" s="1325">
        <f>+'F14.5'!$E13</f>
        <v>750</v>
      </c>
      <c r="K7" s="1314" t="s">
        <v>1521</v>
      </c>
      <c r="L7" s="1316">
        <v>7.11</v>
      </c>
      <c r="M7" s="1316">
        <v>7.38</v>
      </c>
      <c r="N7" s="1502">
        <f>+'F14.2'!$F13</f>
        <v>5.37</v>
      </c>
      <c r="O7" s="1502">
        <f>+'F14.3'!$F13</f>
        <v>5.0999999999999996</v>
      </c>
      <c r="P7" s="1502">
        <f>+'F14.4'!$F13</f>
        <v>4.87</v>
      </c>
      <c r="Q7" s="1502">
        <f>+'F14.5'!$F13</f>
        <v>4.74</v>
      </c>
      <c r="R7" s="1316">
        <v>0.6</v>
      </c>
      <c r="S7" s="1316">
        <v>0.74</v>
      </c>
      <c r="T7" s="1316">
        <f ca="1">+'Gap Adjustment'!K125*0.99</f>
        <v>2.0158893614086821</v>
      </c>
      <c r="U7" s="1316">
        <f ca="1">+'Gap Adjustment'!L125*0.99</f>
        <v>1.9674357884757281</v>
      </c>
      <c r="V7" s="1316">
        <f ca="1">+'Gap Adjustment'!M125*0.99</f>
        <v>1.9790027535024768</v>
      </c>
      <c r="W7" s="1316">
        <f ca="1">+'Gap Adjustment'!N125*0.99</f>
        <v>2.0055394252915626</v>
      </c>
      <c r="X7" s="1776">
        <v>0.99</v>
      </c>
      <c r="Z7" s="1506">
        <f>+M7+S7</f>
        <v>8.1199999999999992</v>
      </c>
      <c r="AA7" s="1506">
        <f ca="1">+N7+T7</f>
        <v>7.3858893614086822</v>
      </c>
      <c r="AB7" s="1506">
        <f ca="1">+O7+U7</f>
        <v>7.067435788475728</v>
      </c>
      <c r="AC7" s="1506">
        <f ca="1">+P7+V7</f>
        <v>6.8490027535024769</v>
      </c>
      <c r="AD7" s="1506">
        <f ca="1">+Q7+W7</f>
        <v>6.7455394252915628</v>
      </c>
      <c r="AE7" s="729" t="s">
        <v>1720</v>
      </c>
    </row>
    <row r="8" spans="3:31" ht="13.9" x14ac:dyDescent="0.35">
      <c r="C8" s="1317" t="s">
        <v>1522</v>
      </c>
      <c r="D8" s="364" t="s">
        <v>1520</v>
      </c>
      <c r="E8" s="1314">
        <v>549</v>
      </c>
      <c r="F8" s="1314">
        <v>600</v>
      </c>
      <c r="G8" s="1325">
        <f>+'F14.2'!$E18</f>
        <v>650</v>
      </c>
      <c r="H8" s="1325">
        <f>+'F14.3'!$E18</f>
        <v>700</v>
      </c>
      <c r="I8" s="1325">
        <f>+'F14.4'!$E18</f>
        <v>730</v>
      </c>
      <c r="J8" s="1325">
        <f>+'F14.5'!$E18</f>
        <v>750</v>
      </c>
      <c r="K8" s="1314" t="s">
        <v>1521</v>
      </c>
      <c r="L8" s="1316">
        <v>11.23</v>
      </c>
      <c r="M8" s="1316">
        <v>11.93</v>
      </c>
      <c r="N8" s="1502">
        <f>+'F14.2'!$F18</f>
        <v>4.2</v>
      </c>
      <c r="O8" s="1502">
        <f>+'F14.3'!$F18</f>
        <v>4</v>
      </c>
      <c r="P8" s="1502">
        <f>+'F14.4'!$F18</f>
        <v>4</v>
      </c>
      <c r="Q8" s="1502">
        <f>+'F14.5'!$F18</f>
        <v>4</v>
      </c>
      <c r="R8" s="1316">
        <v>0.6</v>
      </c>
      <c r="S8" s="1316">
        <v>0.74</v>
      </c>
      <c r="T8" s="1316">
        <f ca="1">+T7</f>
        <v>2.0158893614086821</v>
      </c>
      <c r="U8" s="1316">
        <f ca="1">+U7</f>
        <v>1.9674357884757281</v>
      </c>
      <c r="V8" s="1316">
        <f ca="1">+V7</f>
        <v>1.9790027535024768</v>
      </c>
      <c r="W8" s="1316">
        <f ca="1">+W7</f>
        <v>2.0055394252915626</v>
      </c>
      <c r="X8" s="1776">
        <v>0.98</v>
      </c>
      <c r="AA8" s="1507">
        <f ca="1">+AA7/Z7-1</f>
        <v>-9.0407714112231141E-2</v>
      </c>
      <c r="AB8" s="1507">
        <f ca="1">+AB7/AA7-1</f>
        <v>-4.3116482978593829E-2</v>
      </c>
      <c r="AC8" s="1507">
        <f ca="1">+AC7/AB7-1</f>
        <v>-3.0906971285035389E-2</v>
      </c>
      <c r="AD8" s="1507">
        <f ca="1">+AD7/AC7-1</f>
        <v>-1.5106334737273186E-2</v>
      </c>
    </row>
    <row r="9" spans="3:31" ht="13.9" x14ac:dyDescent="0.35">
      <c r="C9" s="1317" t="s">
        <v>1531</v>
      </c>
      <c r="D9" s="364"/>
      <c r="E9" s="1314"/>
      <c r="F9" s="1314"/>
      <c r="G9" s="1325"/>
      <c r="H9" s="1325"/>
      <c r="I9" s="1325"/>
      <c r="J9" s="1325"/>
      <c r="K9" s="1314"/>
      <c r="L9" s="1316"/>
      <c r="M9" s="1316"/>
      <c r="N9" s="1325"/>
      <c r="O9" s="1325"/>
      <c r="P9" s="1325"/>
      <c r="Q9" s="1325"/>
      <c r="R9" s="1316"/>
      <c r="S9" s="1316"/>
      <c r="T9" s="1316"/>
      <c r="U9" s="1316"/>
      <c r="V9" s="1316"/>
      <c r="W9" s="1316"/>
      <c r="X9" s="1776"/>
    </row>
    <row r="10" spans="3:31" ht="13.9" x14ac:dyDescent="0.35">
      <c r="C10" s="1318" t="s">
        <v>1529</v>
      </c>
      <c r="D10" s="364" t="s">
        <v>1524</v>
      </c>
      <c r="E10" s="1314">
        <v>583</v>
      </c>
      <c r="F10" s="1314">
        <v>600</v>
      </c>
      <c r="G10" s="1325">
        <f>+'F14.2'!$D51</f>
        <v>650</v>
      </c>
      <c r="H10" s="1325">
        <f>+'F14.3'!$D51</f>
        <v>700</v>
      </c>
      <c r="I10" s="1325">
        <f>+'F14.4'!$D51</f>
        <v>750</v>
      </c>
      <c r="J10" s="1325">
        <f>+'F14.5'!$D51</f>
        <v>780</v>
      </c>
      <c r="K10" s="1314" t="s">
        <v>821</v>
      </c>
      <c r="L10" s="1316">
        <v>5.24</v>
      </c>
      <c r="M10" s="1316">
        <v>5.43</v>
      </c>
      <c r="N10" s="1502">
        <f>+'F14.2'!$F51</f>
        <v>6.45</v>
      </c>
      <c r="O10" s="1502">
        <f>+'F14.3'!$F51</f>
        <v>6.25</v>
      </c>
      <c r="P10" s="1502">
        <f>+'F14.4'!$F51</f>
        <v>6</v>
      </c>
      <c r="Q10" s="1502">
        <f>+'F14.5'!$F51</f>
        <v>5.8</v>
      </c>
      <c r="R10" s="1316">
        <v>1.17</v>
      </c>
      <c r="S10" s="1316">
        <v>1.47</v>
      </c>
      <c r="T10" s="1316">
        <f ca="1">+T8</f>
        <v>2.0158893614086821</v>
      </c>
      <c r="U10" s="1316">
        <f ca="1">+U8</f>
        <v>1.9674357884757281</v>
      </c>
      <c r="V10" s="1316">
        <f ca="1">+V8</f>
        <v>1.9790027535024768</v>
      </c>
      <c r="W10" s="1316">
        <f ca="1">+W8</f>
        <v>2.0055394252915626</v>
      </c>
      <c r="X10" s="1776">
        <v>0.98</v>
      </c>
    </row>
    <row r="11" spans="3:31" ht="13.9" x14ac:dyDescent="0.35">
      <c r="C11" s="365"/>
      <c r="D11" s="364"/>
      <c r="E11" s="1450"/>
      <c r="F11" s="1451"/>
      <c r="G11" s="1450"/>
      <c r="H11" s="1452"/>
      <c r="I11" s="1452"/>
      <c r="J11" s="1451"/>
      <c r="K11" s="1313"/>
      <c r="L11" s="1450"/>
      <c r="M11" s="1451"/>
      <c r="N11" s="1450"/>
      <c r="O11" s="1452"/>
      <c r="P11" s="1452"/>
      <c r="Q11" s="1451"/>
      <c r="R11" s="1453"/>
      <c r="S11" s="1454"/>
      <c r="T11" s="1454"/>
      <c r="U11" s="1454"/>
      <c r="V11" s="1454"/>
      <c r="W11" s="1454"/>
      <c r="X11" s="1776"/>
    </row>
    <row r="12" spans="3:31" ht="13.9" x14ac:dyDescent="0.35">
      <c r="C12" s="2110" t="s">
        <v>1148</v>
      </c>
      <c r="D12" s="2111"/>
      <c r="E12" s="2111"/>
      <c r="F12" s="2111"/>
      <c r="G12" s="2111"/>
      <c r="H12" s="2111"/>
      <c r="I12" s="2111"/>
      <c r="J12" s="2111"/>
      <c r="K12" s="2111"/>
      <c r="L12" s="2111"/>
      <c r="M12" s="2111"/>
      <c r="N12" s="2111"/>
      <c r="O12" s="2111"/>
      <c r="P12" s="2111"/>
      <c r="Q12" s="2111"/>
      <c r="R12" s="2111"/>
      <c r="S12" s="2112"/>
      <c r="T12" s="1501"/>
      <c r="U12" s="1501"/>
      <c r="V12" s="1501"/>
      <c r="W12" s="1501"/>
      <c r="X12" s="1776"/>
    </row>
    <row r="13" spans="3:31" ht="13.9" x14ac:dyDescent="0.35">
      <c r="C13" s="365"/>
      <c r="D13" s="364"/>
      <c r="E13" s="1450"/>
      <c r="F13" s="1451"/>
      <c r="G13" s="1450"/>
      <c r="H13" s="1452"/>
      <c r="I13" s="1452"/>
      <c r="J13" s="1451"/>
      <c r="K13" s="1313"/>
      <c r="L13" s="1450"/>
      <c r="M13" s="1451"/>
      <c r="N13" s="1505">
        <v>0.89</v>
      </c>
      <c r="O13" s="1505">
        <v>0.89</v>
      </c>
      <c r="P13" s="1505">
        <v>0.85</v>
      </c>
      <c r="Q13" s="1505">
        <v>0.85</v>
      </c>
      <c r="R13" s="1453"/>
      <c r="S13" s="1454"/>
      <c r="T13" s="1454"/>
      <c r="U13" s="1454"/>
      <c r="V13" s="1454"/>
      <c r="W13" s="1454"/>
      <c r="X13" s="1776"/>
      <c r="AA13" s="1664">
        <f ca="1">+'Gap Adjustment'!R98</f>
        <v>7.1978405123022782E-2</v>
      </c>
      <c r="AB13" s="1664">
        <f ca="1">+'Gap Adjustment'!S98</f>
        <v>-2.9971412112622886E-2</v>
      </c>
      <c r="AC13" s="1664">
        <f ca="1">+'Gap Adjustment'!T98</f>
        <v>4.0905217856359144E-2</v>
      </c>
      <c r="AD13" s="1664">
        <f ca="1">+'Gap Adjustment'!U98</f>
        <v>2.0680147345288447E-2</v>
      </c>
    </row>
    <row r="14" spans="3:31" ht="13.9" x14ac:dyDescent="0.35">
      <c r="C14" s="1315" t="s">
        <v>1519</v>
      </c>
      <c r="D14" s="364" t="s">
        <v>1520</v>
      </c>
      <c r="E14" s="1314">
        <v>549</v>
      </c>
      <c r="F14" s="1314">
        <v>600</v>
      </c>
      <c r="G14" s="1325">
        <f>+'F14.2'!$E78</f>
        <v>650</v>
      </c>
      <c r="H14" s="1325">
        <f>+'F14.3'!$E78</f>
        <v>700</v>
      </c>
      <c r="I14" s="1325">
        <f>+'F14.4'!$E78</f>
        <v>730</v>
      </c>
      <c r="J14" s="1325">
        <f>+'F14.5'!$E78</f>
        <v>750</v>
      </c>
      <c r="K14" s="1314" t="s">
        <v>1521</v>
      </c>
      <c r="L14" s="1316">
        <v>7.11</v>
      </c>
      <c r="M14" s="1316">
        <v>7.38</v>
      </c>
      <c r="N14" s="1502">
        <f t="shared" ref="N14:Q15" si="0">ROUND(+AA14*N$13,2)</f>
        <v>7.51</v>
      </c>
      <c r="O14" s="1502">
        <f t="shared" si="0"/>
        <v>7.32</v>
      </c>
      <c r="P14" s="1502">
        <f t="shared" si="0"/>
        <v>6.39</v>
      </c>
      <c r="Q14" s="1502">
        <f t="shared" si="0"/>
        <v>6.33</v>
      </c>
      <c r="R14" s="1316">
        <v>0.6</v>
      </c>
      <c r="S14" s="1316">
        <v>0.74</v>
      </c>
      <c r="T14" s="1502">
        <f>+'F14.2'!$H78</f>
        <v>0.81</v>
      </c>
      <c r="U14" s="1502">
        <f>+'F14.3'!$H78</f>
        <v>0.82</v>
      </c>
      <c r="V14" s="1502">
        <f>+'F14.4'!$H78</f>
        <v>0.81</v>
      </c>
      <c r="W14" s="1502">
        <f>+'F14.5'!$H78</f>
        <v>0.8</v>
      </c>
      <c r="X14" s="1776">
        <v>0.99</v>
      </c>
      <c r="AA14" s="1502">
        <v>8.44</v>
      </c>
      <c r="AB14" s="1502">
        <v>8.23</v>
      </c>
      <c r="AC14" s="1502">
        <v>7.52</v>
      </c>
      <c r="AD14" s="1502">
        <v>7.45</v>
      </c>
    </row>
    <row r="15" spans="3:31" ht="13.9" x14ac:dyDescent="0.35">
      <c r="C15" s="1317" t="s">
        <v>1522</v>
      </c>
      <c r="D15" s="364" t="s">
        <v>1520</v>
      </c>
      <c r="E15" s="1314">
        <v>549</v>
      </c>
      <c r="F15" s="1314">
        <v>600</v>
      </c>
      <c r="G15" s="1325">
        <f>+'F14.2'!$E83</f>
        <v>650</v>
      </c>
      <c r="H15" s="1325">
        <f>+'F14.3'!$E83</f>
        <v>700</v>
      </c>
      <c r="I15" s="1325">
        <f>+'F14.4'!$E83</f>
        <v>730</v>
      </c>
      <c r="J15" s="1325">
        <f>+'F14.5'!$E83</f>
        <v>750</v>
      </c>
      <c r="K15" s="1314" t="s">
        <v>1521</v>
      </c>
      <c r="L15" s="1316">
        <v>11.23</v>
      </c>
      <c r="M15" s="1316">
        <v>11.93</v>
      </c>
      <c r="N15" s="1502">
        <f t="shared" si="0"/>
        <v>12.21</v>
      </c>
      <c r="O15" s="1502">
        <f t="shared" si="0"/>
        <v>11.83</v>
      </c>
      <c r="P15" s="1502">
        <f t="shared" si="0"/>
        <v>10.6</v>
      </c>
      <c r="Q15" s="1502">
        <f t="shared" si="0"/>
        <v>10.4</v>
      </c>
      <c r="R15" s="1316">
        <v>0.6</v>
      </c>
      <c r="S15" s="1316">
        <v>0.74</v>
      </c>
      <c r="T15" s="1502">
        <f>+'F14.2'!$H83</f>
        <v>0.81</v>
      </c>
      <c r="U15" s="1502">
        <f>+'F14.3'!$H83</f>
        <v>0.82</v>
      </c>
      <c r="V15" s="1502">
        <f>+'F14.4'!$H83</f>
        <v>0.81</v>
      </c>
      <c r="W15" s="1502">
        <f>+'F14.5'!$H83</f>
        <v>0.8</v>
      </c>
      <c r="X15" s="1776">
        <v>0.98</v>
      </c>
      <c r="AA15" s="1502">
        <v>13.72</v>
      </c>
      <c r="AB15" s="1502">
        <v>13.29</v>
      </c>
      <c r="AC15" s="1502">
        <v>12.47</v>
      </c>
      <c r="AD15" s="1502">
        <v>12.23</v>
      </c>
    </row>
    <row r="16" spans="3:31" ht="13.9" x14ac:dyDescent="0.35">
      <c r="C16" s="1317" t="s">
        <v>1523</v>
      </c>
      <c r="D16" s="364" t="s">
        <v>1524</v>
      </c>
      <c r="E16" s="1314">
        <v>424</v>
      </c>
      <c r="F16" s="1314">
        <v>430</v>
      </c>
      <c r="G16" s="1325">
        <f>+'F14.2'!$D92</f>
        <v>435</v>
      </c>
      <c r="H16" s="1325">
        <f>+'F14.3'!$D92</f>
        <v>440</v>
      </c>
      <c r="I16" s="1325">
        <f>+'F14.4'!$D92</f>
        <v>445</v>
      </c>
      <c r="J16" s="1325">
        <f>+'F14.5'!$D92</f>
        <v>450</v>
      </c>
      <c r="K16" s="1314"/>
      <c r="L16" s="1316"/>
      <c r="M16" s="1316"/>
      <c r="N16" s="1325"/>
      <c r="O16" s="1325"/>
      <c r="P16" s="1325"/>
      <c r="Q16" s="1325"/>
      <c r="R16" s="1316"/>
      <c r="S16" s="1316"/>
      <c r="T16" s="1325"/>
      <c r="U16" s="1325"/>
      <c r="V16" s="1325"/>
      <c r="W16" s="1325"/>
      <c r="X16" s="1776"/>
      <c r="AA16" s="1325"/>
      <c r="AB16" s="1325"/>
      <c r="AC16" s="1325"/>
      <c r="AD16" s="1325"/>
    </row>
    <row r="17" spans="3:30" ht="13.9" x14ac:dyDescent="0.35">
      <c r="C17" s="1318" t="s">
        <v>1106</v>
      </c>
      <c r="D17" s="364"/>
      <c r="E17" s="1314"/>
      <c r="F17" s="1314"/>
      <c r="G17" s="1325"/>
      <c r="H17" s="1325"/>
      <c r="I17" s="1325"/>
      <c r="J17" s="1325"/>
      <c r="K17" s="1314" t="s">
        <v>821</v>
      </c>
      <c r="L17" s="1316">
        <v>4</v>
      </c>
      <c r="M17" s="1316">
        <v>3.64</v>
      </c>
      <c r="N17" s="1502">
        <f t="shared" ref="N17:Q20" si="1">ROUND(+AA17*N$13,2)</f>
        <v>3.52</v>
      </c>
      <c r="O17" s="1502">
        <f t="shared" si="1"/>
        <v>3.38</v>
      </c>
      <c r="P17" s="1502">
        <f t="shared" si="1"/>
        <v>2.52</v>
      </c>
      <c r="Q17" s="1502">
        <f t="shared" si="1"/>
        <v>2.34</v>
      </c>
      <c r="R17" s="1316">
        <v>1.17</v>
      </c>
      <c r="S17" s="1316">
        <v>1.47</v>
      </c>
      <c r="T17" s="1502">
        <f>+'F14.2'!$H93</f>
        <v>1.6</v>
      </c>
      <c r="U17" s="1502">
        <f>+'F14.3'!$H93</f>
        <v>1.63</v>
      </c>
      <c r="V17" s="1502">
        <f>+'F14.4'!$H93</f>
        <v>1.62</v>
      </c>
      <c r="W17" s="1502">
        <f>+'F14.5'!$H93</f>
        <v>1.59</v>
      </c>
      <c r="X17" s="1776">
        <v>1</v>
      </c>
      <c r="AA17" s="1502">
        <v>3.96</v>
      </c>
      <c r="AB17" s="1502">
        <v>3.8</v>
      </c>
      <c r="AC17" s="1502">
        <v>2.97</v>
      </c>
      <c r="AD17" s="1502">
        <v>2.75</v>
      </c>
    </row>
    <row r="18" spans="3:30" ht="13.9" x14ac:dyDescent="0.35">
      <c r="C18" s="1318" t="s">
        <v>1525</v>
      </c>
      <c r="D18" s="364"/>
      <c r="E18" s="1314"/>
      <c r="F18" s="1314"/>
      <c r="G18" s="1325"/>
      <c r="H18" s="1325"/>
      <c r="I18" s="1325"/>
      <c r="J18" s="1325"/>
      <c r="K18" s="1314" t="s">
        <v>821</v>
      </c>
      <c r="L18" s="1316">
        <v>8.75</v>
      </c>
      <c r="M18" s="1316">
        <v>9.44</v>
      </c>
      <c r="N18" s="1502">
        <f t="shared" si="1"/>
        <v>9.61</v>
      </c>
      <c r="O18" s="1502">
        <f t="shared" si="1"/>
        <v>9.48</v>
      </c>
      <c r="P18" s="1502">
        <f t="shared" si="1"/>
        <v>8.93</v>
      </c>
      <c r="Q18" s="1502">
        <f t="shared" si="1"/>
        <v>8.98</v>
      </c>
      <c r="R18" s="1316">
        <v>1.17</v>
      </c>
      <c r="S18" s="1316">
        <v>1.47</v>
      </c>
      <c r="T18" s="1502">
        <f>+'F14.2'!$H94</f>
        <v>1.6</v>
      </c>
      <c r="U18" s="1502">
        <f>+'F14.3'!$H94</f>
        <v>1.63</v>
      </c>
      <c r="V18" s="1502">
        <f>+'F14.4'!$H94</f>
        <v>1.62</v>
      </c>
      <c r="W18" s="1502">
        <f>+'F14.5'!$H94</f>
        <v>1.59</v>
      </c>
      <c r="X18" s="1776">
        <v>1</v>
      </c>
      <c r="AA18" s="1502">
        <v>10.8</v>
      </c>
      <c r="AB18" s="1502">
        <v>10.65</v>
      </c>
      <c r="AC18" s="1502">
        <v>10.51</v>
      </c>
      <c r="AD18" s="1502">
        <v>10.56</v>
      </c>
    </row>
    <row r="19" spans="3:30" ht="13.9" x14ac:dyDescent="0.35">
      <c r="C19" s="1318" t="s">
        <v>1526</v>
      </c>
      <c r="D19" s="364"/>
      <c r="E19" s="1314"/>
      <c r="F19" s="1314"/>
      <c r="G19" s="1325"/>
      <c r="H19" s="1325"/>
      <c r="I19" s="1325"/>
      <c r="J19" s="1325"/>
      <c r="K19" s="1314" t="s">
        <v>821</v>
      </c>
      <c r="L19" s="1316">
        <v>12.37</v>
      </c>
      <c r="M19" s="1316">
        <v>13.07</v>
      </c>
      <c r="N19" s="1502">
        <f t="shared" si="1"/>
        <v>13.38</v>
      </c>
      <c r="O19" s="1502">
        <f t="shared" si="1"/>
        <v>13.18</v>
      </c>
      <c r="P19" s="1502">
        <f t="shared" si="1"/>
        <v>11.62</v>
      </c>
      <c r="Q19" s="1502">
        <f t="shared" si="1"/>
        <v>11.06</v>
      </c>
      <c r="R19" s="1316">
        <v>1.17</v>
      </c>
      <c r="S19" s="1316">
        <v>1.47</v>
      </c>
      <c r="T19" s="1502">
        <f>+'F14.2'!$H95</f>
        <v>1.6</v>
      </c>
      <c r="U19" s="1502">
        <f>+'F14.3'!$H95</f>
        <v>1.63</v>
      </c>
      <c r="V19" s="1502">
        <f>+'F14.4'!$H95</f>
        <v>1.62</v>
      </c>
      <c r="W19" s="1502">
        <f>+'F14.5'!$H95</f>
        <v>1.59</v>
      </c>
      <c r="X19" s="1776">
        <v>1</v>
      </c>
      <c r="AA19" s="1502">
        <v>15.03</v>
      </c>
      <c r="AB19" s="1502">
        <v>14.81</v>
      </c>
      <c r="AC19" s="1502">
        <v>13.67</v>
      </c>
      <c r="AD19" s="1502">
        <v>13.01</v>
      </c>
    </row>
    <row r="20" spans="3:30" ht="13.9" x14ac:dyDescent="0.35">
      <c r="C20" s="1318" t="s">
        <v>1527</v>
      </c>
      <c r="D20" s="364"/>
      <c r="E20" s="1314"/>
      <c r="F20" s="1314"/>
      <c r="G20" s="1325"/>
      <c r="H20" s="1325"/>
      <c r="I20" s="1325"/>
      <c r="J20" s="1325"/>
      <c r="K20" s="1314" t="s">
        <v>821</v>
      </c>
      <c r="L20" s="1316">
        <v>14.14</v>
      </c>
      <c r="M20" s="1316">
        <v>15.03</v>
      </c>
      <c r="N20" s="1502">
        <f t="shared" si="1"/>
        <v>15.6</v>
      </c>
      <c r="O20" s="1502">
        <f t="shared" si="1"/>
        <v>15.47</v>
      </c>
      <c r="P20" s="1502">
        <f t="shared" si="1"/>
        <v>14.24</v>
      </c>
      <c r="Q20" s="1502">
        <f t="shared" si="1"/>
        <v>14.11</v>
      </c>
      <c r="R20" s="1316">
        <v>1.17</v>
      </c>
      <c r="S20" s="1316">
        <v>1.47</v>
      </c>
      <c r="T20" s="1502">
        <f>+'F14.2'!$H96</f>
        <v>1.6</v>
      </c>
      <c r="U20" s="1502">
        <f>+'F14.3'!$H96</f>
        <v>1.63</v>
      </c>
      <c r="V20" s="1502">
        <f>+'F14.4'!$H96</f>
        <v>1.62</v>
      </c>
      <c r="W20" s="1502">
        <f>+'F14.5'!$H96</f>
        <v>1.59</v>
      </c>
      <c r="X20" s="1776">
        <v>1</v>
      </c>
      <c r="AA20" s="1502">
        <v>17.53</v>
      </c>
      <c r="AB20" s="1502">
        <v>17.38</v>
      </c>
      <c r="AC20" s="1502">
        <v>16.75</v>
      </c>
      <c r="AD20" s="1502">
        <v>16.600000000000001</v>
      </c>
    </row>
    <row r="21" spans="3:30" ht="13.9" x14ac:dyDescent="0.35">
      <c r="C21" s="1317" t="s">
        <v>1528</v>
      </c>
      <c r="D21" s="364"/>
      <c r="E21" s="1314"/>
      <c r="F21" s="1314"/>
      <c r="G21" s="1325"/>
      <c r="H21" s="1325"/>
      <c r="I21" s="1325"/>
      <c r="J21" s="1325"/>
      <c r="K21" s="1314"/>
      <c r="L21" s="1316"/>
      <c r="M21" s="1316"/>
      <c r="N21" s="1325"/>
      <c r="O21" s="1325"/>
      <c r="P21" s="1325"/>
      <c r="Q21" s="1325"/>
      <c r="R21" s="1316"/>
      <c r="S21" s="1316"/>
      <c r="T21" s="1325"/>
      <c r="U21" s="1325"/>
      <c r="V21" s="1325"/>
      <c r="W21" s="1325"/>
      <c r="X21" s="1776"/>
      <c r="AA21" s="1325"/>
      <c r="AB21" s="1325"/>
      <c r="AC21" s="1325"/>
      <c r="AD21" s="1325"/>
    </row>
    <row r="22" spans="3:30" ht="13.9" x14ac:dyDescent="0.35">
      <c r="C22" s="1318" t="s">
        <v>1529</v>
      </c>
      <c r="D22" s="364" t="s">
        <v>1524</v>
      </c>
      <c r="E22" s="1314">
        <v>517</v>
      </c>
      <c r="F22" s="1314">
        <v>520</v>
      </c>
      <c r="G22" s="1325">
        <f>+'F14.2'!$D99</f>
        <v>540</v>
      </c>
      <c r="H22" s="1325">
        <f>+'F14.3'!$D99</f>
        <v>560</v>
      </c>
      <c r="I22" s="1325">
        <f>+'F14.4'!$D99</f>
        <v>580</v>
      </c>
      <c r="J22" s="1325">
        <f>+'F14.5'!$D99</f>
        <v>600</v>
      </c>
      <c r="K22" s="1314" t="s">
        <v>821</v>
      </c>
      <c r="L22" s="1316">
        <v>7.24</v>
      </c>
      <c r="M22" s="1316">
        <v>7.57</v>
      </c>
      <c r="N22" s="1502">
        <f t="shared" ref="N22:Q24" si="2">ROUND(+AA22*N$13,2)</f>
        <v>7.57</v>
      </c>
      <c r="O22" s="1502">
        <f t="shared" si="2"/>
        <v>7.4</v>
      </c>
      <c r="P22" s="1502">
        <f t="shared" si="2"/>
        <v>6.81</v>
      </c>
      <c r="Q22" s="1502">
        <f t="shared" si="2"/>
        <v>6.77</v>
      </c>
      <c r="R22" s="1316">
        <v>1.17</v>
      </c>
      <c r="S22" s="1316">
        <v>1.47</v>
      </c>
      <c r="T22" s="1502">
        <f>+'F14.2'!$H99</f>
        <v>1.6</v>
      </c>
      <c r="U22" s="1502">
        <f>+'F14.3'!$H99</f>
        <v>1.63</v>
      </c>
      <c r="V22" s="1502">
        <f>+'F14.4'!$H99</f>
        <v>1.62</v>
      </c>
      <c r="W22" s="1502">
        <f>+'F14.5'!$H99</f>
        <v>1.59</v>
      </c>
      <c r="X22" s="1776">
        <v>0.98</v>
      </c>
      <c r="AA22" s="1502">
        <v>8.51</v>
      </c>
      <c r="AB22" s="1502">
        <v>8.31</v>
      </c>
      <c r="AC22" s="1502">
        <v>8.01</v>
      </c>
      <c r="AD22" s="1502">
        <v>7.96</v>
      </c>
    </row>
    <row r="23" spans="3:30" ht="13.9" x14ac:dyDescent="0.35">
      <c r="C23" s="1318" t="s">
        <v>1530</v>
      </c>
      <c r="D23" s="364" t="s">
        <v>1520</v>
      </c>
      <c r="E23" s="1314">
        <v>517</v>
      </c>
      <c r="F23" s="1314">
        <v>525</v>
      </c>
      <c r="G23" s="1325">
        <f>+'F14.2'!$E100</f>
        <v>550</v>
      </c>
      <c r="H23" s="1325">
        <f>+'F14.3'!$E100</f>
        <v>575</v>
      </c>
      <c r="I23" s="1325">
        <f>+'F14.4'!$E100</f>
        <v>600</v>
      </c>
      <c r="J23" s="1325">
        <f>+'F14.5'!$E100</f>
        <v>625</v>
      </c>
      <c r="K23" s="1314" t="s">
        <v>1521</v>
      </c>
      <c r="L23" s="1316">
        <v>11.06</v>
      </c>
      <c r="M23" s="1316">
        <v>10.91</v>
      </c>
      <c r="N23" s="1502">
        <f t="shared" si="2"/>
        <v>11.04</v>
      </c>
      <c r="O23" s="1502">
        <f t="shared" si="2"/>
        <v>10.88</v>
      </c>
      <c r="P23" s="1502">
        <f t="shared" si="2"/>
        <v>10.18</v>
      </c>
      <c r="Q23" s="1502">
        <f t="shared" si="2"/>
        <v>10.14</v>
      </c>
      <c r="R23" s="1316">
        <v>1.17</v>
      </c>
      <c r="S23" s="1316">
        <v>1.39</v>
      </c>
      <c r="T23" s="1502">
        <f>+'F14.2'!$H100</f>
        <v>1.52</v>
      </c>
      <c r="U23" s="1502">
        <f>+'F14.3'!$H100</f>
        <v>1.55</v>
      </c>
      <c r="V23" s="1502">
        <f>+'F14.4'!$H100</f>
        <v>1.54</v>
      </c>
      <c r="W23" s="1502">
        <f>+'F14.5'!$H100</f>
        <v>1.51</v>
      </c>
      <c r="X23" s="1776">
        <v>0.98859259259259247</v>
      </c>
      <c r="AA23" s="1502">
        <v>12.4</v>
      </c>
      <c r="AB23" s="1502">
        <v>12.22</v>
      </c>
      <c r="AC23" s="1502">
        <v>11.98</v>
      </c>
      <c r="AD23" s="1502">
        <v>11.93</v>
      </c>
    </row>
    <row r="24" spans="3:30" ht="13.9" x14ac:dyDescent="0.35">
      <c r="C24" s="1318" t="s">
        <v>1143</v>
      </c>
      <c r="D24" s="364" t="s">
        <v>1520</v>
      </c>
      <c r="E24" s="1314">
        <v>517</v>
      </c>
      <c r="F24" s="1314">
        <v>525</v>
      </c>
      <c r="G24" s="1325">
        <f>+'F14.2'!$E105</f>
        <v>550</v>
      </c>
      <c r="H24" s="1325">
        <f>+'F14.3'!$E105</f>
        <v>575</v>
      </c>
      <c r="I24" s="1325">
        <f>+'F14.4'!$E105</f>
        <v>600</v>
      </c>
      <c r="J24" s="1325">
        <f>+'F14.5'!$E105</f>
        <v>625</v>
      </c>
      <c r="K24" s="1314" t="s">
        <v>1521</v>
      </c>
      <c r="L24" s="1316">
        <v>13.07</v>
      </c>
      <c r="M24" s="1316">
        <v>12.94</v>
      </c>
      <c r="N24" s="1502">
        <f t="shared" si="2"/>
        <v>13.25</v>
      </c>
      <c r="O24" s="1502">
        <f t="shared" si="2"/>
        <v>13.15</v>
      </c>
      <c r="P24" s="1502">
        <f t="shared" si="2"/>
        <v>12.21</v>
      </c>
      <c r="Q24" s="1502">
        <f t="shared" si="2"/>
        <v>12.17</v>
      </c>
      <c r="R24" s="1316">
        <v>1.17</v>
      </c>
      <c r="S24" s="1316">
        <v>1.39</v>
      </c>
      <c r="T24" s="1502">
        <f>+'F14.2'!$H105</f>
        <v>1.52</v>
      </c>
      <c r="U24" s="1502">
        <f>+'F14.3'!$H105</f>
        <v>1.55</v>
      </c>
      <c r="V24" s="1502">
        <f>+'F14.4'!$H105</f>
        <v>1.54</v>
      </c>
      <c r="W24" s="1502">
        <f>+'F14.5'!$H105</f>
        <v>1.51</v>
      </c>
      <c r="X24" s="1776">
        <v>0.99016666666666675</v>
      </c>
      <c r="AA24" s="1502">
        <v>14.89</v>
      </c>
      <c r="AB24" s="1502">
        <v>14.78</v>
      </c>
      <c r="AC24" s="1502">
        <v>14.37</v>
      </c>
      <c r="AD24" s="1502">
        <v>14.32</v>
      </c>
    </row>
    <row r="25" spans="3:30" ht="13.9" x14ac:dyDescent="0.35">
      <c r="C25" s="1317" t="s">
        <v>1531</v>
      </c>
      <c r="D25" s="364"/>
      <c r="E25" s="1314"/>
      <c r="F25" s="1314"/>
      <c r="G25" s="1325"/>
      <c r="H25" s="1325"/>
      <c r="I25" s="1325"/>
      <c r="J25" s="1325"/>
      <c r="K25" s="1314"/>
      <c r="L25" s="1316"/>
      <c r="M25" s="1316"/>
      <c r="N25" s="1325"/>
      <c r="O25" s="1325"/>
      <c r="P25" s="1325"/>
      <c r="Q25" s="1325"/>
      <c r="R25" s="1316"/>
      <c r="S25" s="1316"/>
      <c r="T25" s="1325"/>
      <c r="U25" s="1325"/>
      <c r="V25" s="1325"/>
      <c r="W25" s="1325"/>
      <c r="X25" s="1776"/>
      <c r="AA25" s="1325"/>
      <c r="AB25" s="1325"/>
      <c r="AC25" s="1325"/>
      <c r="AD25" s="1325"/>
    </row>
    <row r="26" spans="3:30" ht="13.9" x14ac:dyDescent="0.35">
      <c r="C26" s="1318" t="s">
        <v>1529</v>
      </c>
      <c r="D26" s="364" t="s">
        <v>1524</v>
      </c>
      <c r="E26" s="1314">
        <v>583</v>
      </c>
      <c r="F26" s="1314">
        <v>600</v>
      </c>
      <c r="G26" s="1325">
        <f>+'F14.2'!$D115</f>
        <v>650</v>
      </c>
      <c r="H26" s="1325">
        <f>+'F14.3'!$D115</f>
        <v>700</v>
      </c>
      <c r="I26" s="1325">
        <f>+'F14.4'!$D115</f>
        <v>750</v>
      </c>
      <c r="J26" s="1325">
        <f>+'F14.5'!$D115</f>
        <v>780</v>
      </c>
      <c r="K26" s="1314" t="s">
        <v>821</v>
      </c>
      <c r="L26" s="1316">
        <v>5.24</v>
      </c>
      <c r="M26" s="1316">
        <v>5.43</v>
      </c>
      <c r="N26" s="1502">
        <f>ROUND(+AA26*N$13,2)</f>
        <v>5.57</v>
      </c>
      <c r="O26" s="1502">
        <f>ROUND(+AB26*O$13,2)</f>
        <v>5.42</v>
      </c>
      <c r="P26" s="1502">
        <f>ROUND(+AC26*P$13,2)</f>
        <v>5.16</v>
      </c>
      <c r="Q26" s="1502">
        <f>ROUND(+AD26*Q$13,2)</f>
        <v>5.19</v>
      </c>
      <c r="R26" s="1316">
        <v>1.17</v>
      </c>
      <c r="S26" s="1316">
        <v>1.47</v>
      </c>
      <c r="T26" s="1502">
        <f>+'F14.2'!$H115</f>
        <v>1.52</v>
      </c>
      <c r="U26" s="1502">
        <f>+'F14.3'!$H115</f>
        <v>1.63</v>
      </c>
      <c r="V26" s="1502">
        <f>+'F14.4'!$H115</f>
        <v>1.62</v>
      </c>
      <c r="W26" s="1502">
        <f>+'F14.5'!$H115</f>
        <v>1.59</v>
      </c>
      <c r="X26" s="1776">
        <v>0.98</v>
      </c>
      <c r="AA26" s="1502">
        <v>6.26</v>
      </c>
      <c r="AB26" s="1502">
        <v>6.09</v>
      </c>
      <c r="AC26" s="1502">
        <v>6.07</v>
      </c>
      <c r="AD26" s="1502">
        <v>6.1</v>
      </c>
    </row>
    <row r="27" spans="3:30" ht="13.9" x14ac:dyDescent="0.35">
      <c r="C27" s="1318" t="s">
        <v>1141</v>
      </c>
      <c r="D27" s="364" t="s">
        <v>1520</v>
      </c>
      <c r="E27" s="1314">
        <v>388</v>
      </c>
      <c r="F27" s="1314">
        <v>400</v>
      </c>
      <c r="G27" s="1325"/>
      <c r="H27" s="1325"/>
      <c r="I27" s="1325"/>
      <c r="J27" s="1325"/>
      <c r="K27" s="1314" t="s">
        <v>1521</v>
      </c>
      <c r="L27" s="1316">
        <v>6.21</v>
      </c>
      <c r="M27" s="1316">
        <v>6.6</v>
      </c>
      <c r="N27" s="1325"/>
      <c r="O27" s="1325"/>
      <c r="P27" s="1325"/>
      <c r="Q27" s="1325"/>
      <c r="R27" s="1316">
        <v>1.17</v>
      </c>
      <c r="S27" s="1316">
        <v>1.39</v>
      </c>
      <c r="T27" s="1325"/>
      <c r="U27" s="1325"/>
      <c r="V27" s="1325"/>
      <c r="W27" s="1325"/>
      <c r="X27" s="1776"/>
    </row>
    <row r="28" spans="3:30" ht="27" x14ac:dyDescent="0.35">
      <c r="C28" s="1317" t="s">
        <v>1532</v>
      </c>
      <c r="D28" s="364"/>
      <c r="E28" s="1314"/>
      <c r="F28" s="1314"/>
      <c r="G28" s="1325"/>
      <c r="H28" s="1325"/>
      <c r="I28" s="1325"/>
      <c r="J28" s="1325"/>
      <c r="K28" s="1314"/>
      <c r="L28" s="1316"/>
      <c r="M28" s="1316"/>
      <c r="N28" s="1325"/>
      <c r="O28" s="1325"/>
      <c r="P28" s="1325"/>
      <c r="Q28" s="1325"/>
      <c r="R28" s="1316"/>
      <c r="S28" s="1316"/>
      <c r="T28" s="1325"/>
      <c r="U28" s="1325"/>
      <c r="V28" s="1325"/>
      <c r="W28" s="1325"/>
      <c r="X28" s="1776"/>
    </row>
    <row r="29" spans="3:30" ht="13.9" x14ac:dyDescent="0.35">
      <c r="C29" s="1318" t="s">
        <v>1529</v>
      </c>
      <c r="D29" s="364" t="s">
        <v>1520</v>
      </c>
      <c r="E29" s="1314">
        <v>129</v>
      </c>
      <c r="F29" s="1314">
        <v>140</v>
      </c>
      <c r="G29" s="1325"/>
      <c r="H29" s="1325"/>
      <c r="I29" s="1325"/>
      <c r="J29" s="1325"/>
      <c r="K29" s="1314" t="s">
        <v>821</v>
      </c>
      <c r="L29" s="1316">
        <v>3.48</v>
      </c>
      <c r="M29" s="1316">
        <v>3.49</v>
      </c>
      <c r="N29" s="1325"/>
      <c r="O29" s="1325"/>
      <c r="P29" s="1325"/>
      <c r="Q29" s="1325"/>
      <c r="R29" s="1316">
        <v>1.17</v>
      </c>
      <c r="S29" s="1316">
        <v>1.47</v>
      </c>
      <c r="T29" s="1325"/>
      <c r="U29" s="1325"/>
      <c r="V29" s="1325"/>
      <c r="W29" s="1325"/>
      <c r="X29" s="1316"/>
    </row>
    <row r="30" spans="3:30" ht="13.9" x14ac:dyDescent="0.35">
      <c r="C30" s="1318" t="s">
        <v>1533</v>
      </c>
      <c r="D30" s="364" t="s">
        <v>1520</v>
      </c>
      <c r="E30" s="1314">
        <v>156</v>
      </c>
      <c r="F30" s="1314">
        <v>175</v>
      </c>
      <c r="G30" s="1325"/>
      <c r="H30" s="1325"/>
      <c r="I30" s="1325"/>
      <c r="J30" s="1325"/>
      <c r="K30" s="1314" t="s">
        <v>1521</v>
      </c>
      <c r="L30" s="1316">
        <v>5.38</v>
      </c>
      <c r="M30" s="1316">
        <v>5.18</v>
      </c>
      <c r="N30" s="1325"/>
      <c r="O30" s="1325"/>
      <c r="P30" s="1325"/>
      <c r="Q30" s="1325"/>
      <c r="R30" s="1316">
        <v>1.17</v>
      </c>
      <c r="S30" s="1316">
        <v>1.39</v>
      </c>
      <c r="T30" s="1325"/>
      <c r="U30" s="1325"/>
      <c r="V30" s="1325"/>
      <c r="W30" s="1325"/>
      <c r="X30" s="1776"/>
    </row>
    <row r="31" spans="3:30" ht="13.9" x14ac:dyDescent="0.35">
      <c r="C31" s="1318" t="s">
        <v>1534</v>
      </c>
      <c r="D31" s="364" t="s">
        <v>1520</v>
      </c>
      <c r="E31" s="1314">
        <v>194</v>
      </c>
      <c r="F31" s="1314">
        <v>200</v>
      </c>
      <c r="G31" s="1325">
        <f>+'F14.2'!$E110</f>
        <v>250</v>
      </c>
      <c r="H31" s="1325">
        <f>+'F14.3'!$E110</f>
        <v>300</v>
      </c>
      <c r="I31" s="1325">
        <f>+'F14.4'!$E110</f>
        <v>350</v>
      </c>
      <c r="J31" s="1325">
        <f>+'F14.5'!$E110</f>
        <v>385</v>
      </c>
      <c r="K31" s="1314" t="s">
        <v>1521</v>
      </c>
      <c r="L31" s="1316">
        <v>7.14</v>
      </c>
      <c r="M31" s="1316">
        <v>6.94</v>
      </c>
      <c r="N31" s="1502">
        <f>ROUND(+AA31*N$13,2)</f>
        <v>6.93</v>
      </c>
      <c r="O31" s="1502">
        <f>ROUND(+AB31*O$13,2)</f>
        <v>6.67</v>
      </c>
      <c r="P31" s="1502">
        <f>ROUND(+AC31*P$13,2)</f>
        <v>6.13</v>
      </c>
      <c r="Q31" s="1502">
        <f>ROUND(+AD31*Q$13,2)</f>
        <v>5.93</v>
      </c>
      <c r="R31" s="1316">
        <v>1.17</v>
      </c>
      <c r="S31" s="1316">
        <v>1.39</v>
      </c>
      <c r="T31" s="1502">
        <f>+'F14.2'!$H110</f>
        <v>1.52</v>
      </c>
      <c r="U31" s="1502">
        <f>+'F14.3'!$H110</f>
        <v>1.55</v>
      </c>
      <c r="V31" s="1502">
        <f>+'F14.4'!$H110</f>
        <v>1.54</v>
      </c>
      <c r="W31" s="1502">
        <f>+'F14.5'!$H110</f>
        <v>1.51</v>
      </c>
      <c r="X31" s="1776">
        <v>0.95020833333333332</v>
      </c>
      <c r="AA31" s="1502">
        <v>7.79</v>
      </c>
      <c r="AB31" s="1502">
        <v>7.49</v>
      </c>
      <c r="AC31" s="1502">
        <v>7.21</v>
      </c>
      <c r="AD31" s="1502">
        <v>6.98</v>
      </c>
    </row>
    <row r="32" spans="3:30" ht="13.9" x14ac:dyDescent="0.35">
      <c r="C32" s="1317" t="s">
        <v>1535</v>
      </c>
      <c r="D32" s="364"/>
      <c r="E32" s="1314"/>
      <c r="F32" s="1314"/>
      <c r="G32" s="1325"/>
      <c r="H32" s="1325"/>
      <c r="I32" s="1325"/>
      <c r="J32" s="1325"/>
      <c r="K32" s="1314"/>
      <c r="L32" s="1316"/>
      <c r="M32" s="1316"/>
      <c r="N32" s="1325"/>
      <c r="O32" s="1325"/>
      <c r="P32" s="1325"/>
      <c r="Q32" s="1325"/>
      <c r="R32" s="1316"/>
      <c r="S32" s="1316"/>
      <c r="T32" s="1325"/>
      <c r="U32" s="1325"/>
      <c r="V32" s="1325"/>
      <c r="W32" s="1325"/>
      <c r="X32" s="1776"/>
      <c r="AA32" s="1325"/>
      <c r="AB32" s="1325"/>
      <c r="AC32" s="1325"/>
      <c r="AD32" s="1325"/>
    </row>
    <row r="33" spans="3:30" ht="13.9" x14ac:dyDescent="0.35">
      <c r="C33" s="1318" t="s">
        <v>1529</v>
      </c>
      <c r="D33" s="364" t="s">
        <v>1524</v>
      </c>
      <c r="E33" s="1314">
        <v>464</v>
      </c>
      <c r="F33" s="1314">
        <v>500</v>
      </c>
      <c r="G33" s="1325"/>
      <c r="H33" s="1325"/>
      <c r="I33" s="1325"/>
      <c r="J33" s="1325"/>
      <c r="K33" s="1314" t="s">
        <v>821</v>
      </c>
      <c r="L33" s="1316">
        <v>5.25</v>
      </c>
      <c r="M33" s="1316">
        <v>5</v>
      </c>
      <c r="N33" s="1325"/>
      <c r="O33" s="1325"/>
      <c r="P33" s="1325"/>
      <c r="Q33" s="1325"/>
      <c r="R33" s="1316">
        <v>1.17</v>
      </c>
      <c r="S33" s="1316">
        <v>1.47</v>
      </c>
      <c r="T33" s="1325"/>
      <c r="U33" s="1325"/>
      <c r="V33" s="1325"/>
      <c r="W33" s="1325"/>
      <c r="X33" s="1776"/>
      <c r="AA33" s="1325"/>
      <c r="AB33" s="1325"/>
      <c r="AC33" s="1325"/>
      <c r="AD33" s="1325"/>
    </row>
    <row r="34" spans="3:30" ht="13.9" x14ac:dyDescent="0.35">
      <c r="C34" s="1318" t="s">
        <v>1530</v>
      </c>
      <c r="D34" s="364" t="s">
        <v>1520</v>
      </c>
      <c r="E34" s="1314">
        <v>464</v>
      </c>
      <c r="F34" s="1314">
        <v>500</v>
      </c>
      <c r="G34" s="1325"/>
      <c r="H34" s="1325"/>
      <c r="I34" s="1325"/>
      <c r="J34" s="1325"/>
      <c r="K34" s="1314" t="s">
        <v>1521</v>
      </c>
      <c r="L34" s="1316">
        <v>8.31</v>
      </c>
      <c r="M34" s="1316">
        <v>8.26</v>
      </c>
      <c r="N34" s="1325"/>
      <c r="O34" s="1325"/>
      <c r="P34" s="1325"/>
      <c r="Q34" s="1325"/>
      <c r="R34" s="1316">
        <v>1.17</v>
      </c>
      <c r="S34" s="1316">
        <v>1.39</v>
      </c>
      <c r="T34" s="1325"/>
      <c r="U34" s="1325"/>
      <c r="V34" s="1325"/>
      <c r="W34" s="1325"/>
      <c r="X34" s="1776"/>
      <c r="AA34" s="1325"/>
      <c r="AB34" s="1325"/>
      <c r="AC34" s="1325"/>
      <c r="AD34" s="1325"/>
    </row>
    <row r="35" spans="3:30" ht="13.9" x14ac:dyDescent="0.35">
      <c r="C35" s="1318" t="s">
        <v>1143</v>
      </c>
      <c r="D35" s="364" t="s">
        <v>1520</v>
      </c>
      <c r="E35" s="1314">
        <v>464</v>
      </c>
      <c r="F35" s="1314">
        <v>500</v>
      </c>
      <c r="G35" s="1325"/>
      <c r="H35" s="1325"/>
      <c r="I35" s="1325"/>
      <c r="J35" s="1325"/>
      <c r="K35" s="1314" t="s">
        <v>1521</v>
      </c>
      <c r="L35" s="1316">
        <v>8.61</v>
      </c>
      <c r="M35" s="1316">
        <v>8.49</v>
      </c>
      <c r="N35" s="1325"/>
      <c r="O35" s="1325"/>
      <c r="P35" s="1325"/>
      <c r="Q35" s="1325"/>
      <c r="R35" s="1316">
        <v>1.17</v>
      </c>
      <c r="S35" s="1316">
        <v>1.39</v>
      </c>
      <c r="T35" s="1325"/>
      <c r="U35" s="1325"/>
      <c r="V35" s="1325"/>
      <c r="W35" s="1325"/>
      <c r="X35" s="1776">
        <v>0.98</v>
      </c>
      <c r="AA35" s="1325"/>
      <c r="AB35" s="1325"/>
      <c r="AC35" s="1325"/>
      <c r="AD35" s="1325"/>
    </row>
    <row r="36" spans="3:30" ht="27" x14ac:dyDescent="0.35">
      <c r="C36" s="1317" t="s">
        <v>1536</v>
      </c>
      <c r="D36" s="364"/>
      <c r="E36" s="1314">
        <v>80</v>
      </c>
      <c r="F36" s="1314"/>
      <c r="G36" s="1325">
        <f>+'F14.2'!$E117</f>
        <v>0</v>
      </c>
      <c r="H36" s="1325">
        <f>+'F14.3'!$E117</f>
        <v>0</v>
      </c>
      <c r="I36" s="1325">
        <f>+'F14.4'!$E117</f>
        <v>0</v>
      </c>
      <c r="J36" s="1325">
        <f>+'F14.5'!$E117</f>
        <v>0</v>
      </c>
      <c r="K36" s="1314" t="s">
        <v>1521</v>
      </c>
      <c r="L36" s="1316">
        <v>5.59</v>
      </c>
      <c r="M36" s="1316">
        <v>6.48</v>
      </c>
      <c r="N36" s="1502">
        <f>ROUND(+AA36*N$13,2)</f>
        <v>6.88</v>
      </c>
      <c r="O36" s="1502">
        <f>ROUND(+AB36*O$13,2)</f>
        <v>6.86</v>
      </c>
      <c r="P36" s="1502">
        <f>ROUND(+AC36*P$13,2)</f>
        <v>6.56</v>
      </c>
      <c r="Q36" s="1502">
        <f>ROUND(+AD36*Q$13,2)</f>
        <v>6.92</v>
      </c>
      <c r="R36" s="1316">
        <v>1.17</v>
      </c>
      <c r="S36" s="1316">
        <v>1.39</v>
      </c>
      <c r="T36" s="1502">
        <f>+'F14.2'!$H117</f>
        <v>1.52</v>
      </c>
      <c r="U36" s="1502">
        <f>+'F14.3'!$H117</f>
        <v>1.55</v>
      </c>
      <c r="V36" s="1502">
        <f>+'F14.4'!$H117</f>
        <v>1.54</v>
      </c>
      <c r="W36" s="1502">
        <f>+'F14.5'!$H117</f>
        <v>1.51</v>
      </c>
      <c r="X36" s="1776">
        <v>0.99166666666666659</v>
      </c>
      <c r="AA36" s="1502">
        <v>7.73</v>
      </c>
      <c r="AB36" s="1502">
        <v>7.71</v>
      </c>
      <c r="AC36" s="1502">
        <v>7.72</v>
      </c>
      <c r="AD36" s="1502">
        <v>8.14</v>
      </c>
    </row>
    <row r="37" spans="3:30" x14ac:dyDescent="0.35">
      <c r="X37" s="1777"/>
    </row>
    <row r="40" spans="3:30" ht="13.5" x14ac:dyDescent="0.35">
      <c r="C40" s="2105" t="s">
        <v>1518</v>
      </c>
      <c r="D40" s="2105"/>
      <c r="E40" s="2105"/>
    </row>
    <row r="41" spans="3:30" ht="14.25" x14ac:dyDescent="0.35">
      <c r="C41" s="1320" t="s">
        <v>1539</v>
      </c>
      <c r="D41" s="1340"/>
      <c r="E41" s="1341" t="s">
        <v>932</v>
      </c>
    </row>
    <row r="42" spans="3:30" ht="14.25" x14ac:dyDescent="0.45">
      <c r="C42" s="1325" t="s">
        <v>1540</v>
      </c>
      <c r="D42" s="724"/>
      <c r="E42" s="1312">
        <v>-1.5</v>
      </c>
    </row>
    <row r="43" spans="3:30" ht="27.75" x14ac:dyDescent="0.45">
      <c r="C43" s="1325" t="s">
        <v>1541</v>
      </c>
      <c r="D43" s="724"/>
      <c r="E43" s="1312">
        <v>0</v>
      </c>
    </row>
    <row r="44" spans="3:30" ht="14.25" x14ac:dyDescent="0.45">
      <c r="C44" s="1325" t="s">
        <v>1542</v>
      </c>
      <c r="D44" s="724"/>
      <c r="E44" s="1312">
        <v>0.8</v>
      </c>
    </row>
    <row r="45" spans="3:30" ht="14.25" x14ac:dyDescent="0.45">
      <c r="C45" s="1325" t="s">
        <v>1543</v>
      </c>
      <c r="D45" s="724"/>
      <c r="E45" s="1312">
        <v>1.1000000000000001</v>
      </c>
    </row>
    <row r="48" spans="3:30" ht="13.5" x14ac:dyDescent="0.35">
      <c r="C48" s="2106" t="s">
        <v>1537</v>
      </c>
      <c r="D48" s="2106"/>
      <c r="E48" s="2106"/>
    </row>
    <row r="49" spans="3:5" ht="13.5" x14ac:dyDescent="0.35">
      <c r="C49" s="1320" t="s">
        <v>1539</v>
      </c>
      <c r="D49" s="1320" t="s">
        <v>1550</v>
      </c>
      <c r="E49" s="1320" t="s">
        <v>932</v>
      </c>
    </row>
    <row r="50" spans="3:5" ht="14.25" x14ac:dyDescent="0.45">
      <c r="C50" s="208" t="s">
        <v>1544</v>
      </c>
      <c r="D50" s="1312">
        <v>0</v>
      </c>
      <c r="E50" s="1354">
        <v>0</v>
      </c>
    </row>
    <row r="51" spans="3:5" ht="14.25" x14ac:dyDescent="0.45">
      <c r="C51" s="208" t="s">
        <v>1545</v>
      </c>
      <c r="D51" s="1312">
        <v>0</v>
      </c>
      <c r="E51" s="1354">
        <v>0</v>
      </c>
    </row>
    <row r="52" spans="3:5" ht="14.25" x14ac:dyDescent="0.45">
      <c r="C52" s="208" t="s">
        <v>1546</v>
      </c>
      <c r="D52" s="1312">
        <f>-0.8</f>
        <v>-0.8</v>
      </c>
      <c r="E52" s="1355">
        <f>(+E53*3+E54*6)/9</f>
        <v>-0.21666666666666667</v>
      </c>
    </row>
    <row r="53" spans="3:5" ht="14.25" x14ac:dyDescent="0.45">
      <c r="C53" s="208" t="s">
        <v>1547</v>
      </c>
      <c r="D53" s="1312"/>
      <c r="E53" s="1354">
        <f>-15%</f>
        <v>-0.15</v>
      </c>
    </row>
    <row r="54" spans="3:5" ht="14.25" x14ac:dyDescent="0.45">
      <c r="C54" s="208" t="s">
        <v>1548</v>
      </c>
      <c r="D54" s="1312"/>
      <c r="E54" s="1354">
        <f>-25%</f>
        <v>-0.25</v>
      </c>
    </row>
    <row r="55" spans="3:5" ht="14.25" x14ac:dyDescent="0.45">
      <c r="C55" s="208" t="s">
        <v>1549</v>
      </c>
      <c r="D55" s="1312">
        <v>0</v>
      </c>
      <c r="E55" s="1354">
        <f>20%</f>
        <v>0.2</v>
      </c>
    </row>
  </sheetData>
  <mergeCells count="12">
    <mergeCell ref="C48:E48"/>
    <mergeCell ref="E5:F5"/>
    <mergeCell ref="G5:J5"/>
    <mergeCell ref="L5:M5"/>
    <mergeCell ref="N5:Q5"/>
    <mergeCell ref="C6:S6"/>
    <mergeCell ref="C12:S12"/>
    <mergeCell ref="D3:J3"/>
    <mergeCell ref="K3:Q3"/>
    <mergeCell ref="R5:S5"/>
    <mergeCell ref="C40:E40"/>
    <mergeCell ref="R3:W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B85E-D3BD-434D-B7BA-7749421E86F8}">
  <dimension ref="A2:AB155"/>
  <sheetViews>
    <sheetView showGridLines="0" view="pageBreakPreview" topLeftCell="A69" zoomScale="70" zoomScaleNormal="80" zoomScaleSheetLayoutView="70" workbookViewId="0">
      <selection activeCell="C93" sqref="C93:C96"/>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7" width="13.6640625" style="1" customWidth="1"/>
    <col min="28" max="28" width="8.6640625" style="1"/>
    <col min="29" max="29" width="11.6640625" style="1" customWidth="1"/>
    <col min="30" max="30" width="12.46484375" style="1" customWidth="1"/>
    <col min="31" max="16384" width="8.6640625" style="1"/>
  </cols>
  <sheetData>
    <row r="2" spans="1:28"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20"/>
      <c r="AA2" s="120"/>
    </row>
    <row r="3" spans="1:28"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53"/>
      <c r="AA3" s="53"/>
    </row>
    <row r="4" spans="1:28" x14ac:dyDescent="0.4">
      <c r="B4" s="2079" t="s">
        <v>751</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c r="Z4" s="123"/>
      <c r="AA4" s="123"/>
    </row>
    <row r="5" spans="1:28" x14ac:dyDescent="0.4">
      <c r="B5" s="123"/>
      <c r="C5" s="123"/>
      <c r="D5" s="123"/>
      <c r="E5" s="123"/>
      <c r="F5" s="123"/>
      <c r="G5" s="123"/>
      <c r="H5" s="123"/>
      <c r="I5" s="123"/>
      <c r="J5" s="123"/>
      <c r="K5" s="1332"/>
      <c r="L5" s="1327"/>
      <c r="M5" s="1327"/>
      <c r="N5" s="1327"/>
      <c r="O5" s="123"/>
      <c r="P5" s="123"/>
      <c r="Q5" s="123"/>
      <c r="R5" s="123"/>
      <c r="S5" s="123"/>
      <c r="T5" s="123"/>
    </row>
    <row r="6" spans="1:28" x14ac:dyDescent="0.4">
      <c r="B6" s="123"/>
      <c r="C6" s="123"/>
      <c r="D6" s="123"/>
      <c r="E6" s="123"/>
      <c r="F6" s="123"/>
      <c r="G6" s="123"/>
      <c r="H6" s="123"/>
      <c r="I6" s="123"/>
      <c r="J6" s="123"/>
      <c r="K6" s="1332"/>
      <c r="L6" s="1327"/>
      <c r="M6" s="1327"/>
      <c r="N6" s="1327"/>
      <c r="O6" s="123"/>
      <c r="P6" s="123"/>
      <c r="Q6" s="123"/>
      <c r="R6" s="123"/>
      <c r="S6" s="123"/>
      <c r="T6" s="123"/>
    </row>
    <row r="7" spans="1:28" x14ac:dyDescent="0.4">
      <c r="B7" s="131" t="s">
        <v>744</v>
      </c>
      <c r="C7" s="103"/>
      <c r="D7" s="103"/>
      <c r="E7" s="103"/>
      <c r="F7" s="103"/>
      <c r="G7" s="103"/>
      <c r="H7" s="103"/>
      <c r="I7" s="103"/>
      <c r="J7" s="103"/>
      <c r="K7" s="1333"/>
      <c r="L7" s="1328"/>
      <c r="M7" s="1328"/>
      <c r="N7" s="1328"/>
      <c r="O7" s="103"/>
      <c r="P7" s="103"/>
      <c r="Q7" s="103"/>
      <c r="R7" s="103"/>
      <c r="S7" s="103"/>
      <c r="T7" s="103"/>
      <c r="U7" s="103"/>
      <c r="V7" s="103"/>
      <c r="W7" s="1328"/>
      <c r="X7" s="103"/>
      <c r="Y7" s="103"/>
      <c r="Z7" s="103"/>
      <c r="AA7" s="103"/>
    </row>
    <row r="8" spans="1:28" x14ac:dyDescent="0.4">
      <c r="B8" s="131" t="s">
        <v>1603</v>
      </c>
      <c r="C8" s="103"/>
      <c r="D8" s="103"/>
      <c r="E8" s="103"/>
      <c r="F8" s="103"/>
      <c r="G8" s="103"/>
      <c r="H8" s="103"/>
      <c r="I8" s="103"/>
      <c r="J8" s="103"/>
      <c r="K8" s="1333"/>
      <c r="L8" s="1328"/>
      <c r="M8" s="1328"/>
      <c r="N8" s="1328"/>
      <c r="O8" s="103"/>
      <c r="P8" s="103"/>
      <c r="Q8" s="103"/>
      <c r="R8" s="103"/>
      <c r="S8" s="103"/>
      <c r="T8" s="103"/>
      <c r="U8" s="103"/>
      <c r="V8" s="103"/>
      <c r="W8" s="1328"/>
      <c r="X8" s="103"/>
      <c r="Y8" s="103"/>
      <c r="Z8" s="103"/>
      <c r="AA8" s="103"/>
    </row>
    <row r="9" spans="1:28"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c r="Z9" s="103"/>
      <c r="AA9" s="103"/>
    </row>
    <row r="10" spans="1:28"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1718</v>
      </c>
      <c r="AA10" s="1947" t="s">
        <v>1717</v>
      </c>
      <c r="AB10" s="1947" t="s">
        <v>1570</v>
      </c>
    </row>
    <row r="11" spans="1:28"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c r="AA11" s="1947"/>
      <c r="AB11" s="1947"/>
    </row>
    <row r="12" spans="1:28"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80"/>
      <c r="AA12" s="80"/>
      <c r="AB12" s="2"/>
    </row>
    <row r="13" spans="1:28" s="6" customFormat="1" ht="13.5" x14ac:dyDescent="0.35">
      <c r="A13" s="1364">
        <f>+'F13.1'!A13</f>
        <v>0.9</v>
      </c>
      <c r="B13" s="517" t="s">
        <v>1129</v>
      </c>
      <c r="C13" s="128">
        <f>+'F13.2'!C13</f>
        <v>3</v>
      </c>
      <c r="D13" s="128"/>
      <c r="E13" s="128">
        <v>650</v>
      </c>
      <c r="F13" s="1365">
        <v>5.37</v>
      </c>
      <c r="G13" s="128"/>
      <c r="H13" s="1365">
        <f ca="1">+'Tariff Schedule'!$T$7</f>
        <v>2.0158893614086821</v>
      </c>
      <c r="I13" s="128"/>
      <c r="J13" s="128"/>
      <c r="K13" s="1336">
        <f>AVERAGE('Sales Proj'!C16:N16)+AVERAGE('Sales Proj'!C19:N19)*1000</f>
        <v>25500</v>
      </c>
      <c r="L13" s="630">
        <f>+'F1 SEZ'!K12</f>
        <v>162.55679999999998</v>
      </c>
      <c r="M13" s="630">
        <f>+L13/AB13</f>
        <v>164.19878787878787</v>
      </c>
      <c r="N13" s="630"/>
      <c r="O13" s="630">
        <f>(K13*E13)*12/10^7*A13</f>
        <v>17.901</v>
      </c>
      <c r="P13" s="630">
        <f>(M13*F13)/10</f>
        <v>88.174749090909089</v>
      </c>
      <c r="Q13" s="630">
        <f>SUM(Q14:Q17)</f>
        <v>0</v>
      </c>
      <c r="R13" s="630">
        <f ca="1">(M13*H13)/10</f>
        <v>33.100658964104937</v>
      </c>
      <c r="S13" s="630"/>
      <c r="T13" s="630"/>
      <c r="U13" s="630">
        <f ca="1">SUM(N13:T13)</f>
        <v>139.17640805501401</v>
      </c>
      <c r="V13" s="128"/>
      <c r="W13" s="630">
        <f ca="1">+U13+V13</f>
        <v>139.17640805501401</v>
      </c>
      <c r="X13" s="1222">
        <f ca="1">IFERROR(W13/L13*10,0)</f>
        <v>8.5617093874272889</v>
      </c>
      <c r="Y13" s="1503">
        <f ca="1">+X13/'Gap Adjustment'!$K$124</f>
        <v>1.0000687004412123</v>
      </c>
      <c r="Z13" s="1222">
        <f ca="1">(U13-R13)/L13*10</f>
        <v>6.5254575072164975</v>
      </c>
      <c r="AA13" s="1503">
        <f ca="1">+Z13/'Gap Adjustment'!$K$126</f>
        <v>1.0000901401659008</v>
      </c>
      <c r="AB13" s="1366">
        <f>+'Tariff Schedule'!X14</f>
        <v>0.99</v>
      </c>
    </row>
    <row r="14" spans="1:28" x14ac:dyDescent="0.4">
      <c r="A14" s="1339"/>
      <c r="B14" s="1360" t="s">
        <v>1544</v>
      </c>
      <c r="C14" s="75"/>
      <c r="D14" s="75"/>
      <c r="E14" s="75"/>
      <c r="F14" s="75"/>
      <c r="G14" s="1221"/>
      <c r="H14" s="75"/>
      <c r="I14" s="75"/>
      <c r="J14" s="75"/>
      <c r="K14" s="1306"/>
      <c r="L14" s="628"/>
      <c r="M14" s="628">
        <f>+$M$13*Assum!E125</f>
        <v>40.204861673667004</v>
      </c>
      <c r="N14" s="628"/>
      <c r="O14" s="628"/>
      <c r="P14" s="628"/>
      <c r="Q14" s="628">
        <f>+G14*M14/10</f>
        <v>0</v>
      </c>
      <c r="R14" s="628"/>
      <c r="S14" s="628"/>
      <c r="T14" s="628"/>
      <c r="U14" s="628"/>
      <c r="V14" s="75"/>
      <c r="W14" s="628"/>
      <c r="X14" s="1221"/>
      <c r="Y14" s="75"/>
      <c r="Z14" s="75"/>
      <c r="AA14" s="75"/>
      <c r="AB14" s="1358"/>
    </row>
    <row r="15" spans="1:28" x14ac:dyDescent="0.4">
      <c r="A15" s="1339"/>
      <c r="B15" s="1360" t="s">
        <v>1545</v>
      </c>
      <c r="C15" s="75"/>
      <c r="D15" s="75"/>
      <c r="E15" s="75"/>
      <c r="F15" s="75"/>
      <c r="G15" s="1221"/>
      <c r="H15" s="75"/>
      <c r="I15" s="75"/>
      <c r="J15" s="75"/>
      <c r="K15" s="1306"/>
      <c r="L15" s="628"/>
      <c r="M15" s="628">
        <f>+$M$13*Assum!E126</f>
        <v>20.726822579287003</v>
      </c>
      <c r="N15" s="628"/>
      <c r="O15" s="628"/>
      <c r="P15" s="628"/>
      <c r="Q15" s="628">
        <f>+G15*M15/10</f>
        <v>0</v>
      </c>
      <c r="R15" s="628"/>
      <c r="S15" s="628"/>
      <c r="T15" s="628"/>
      <c r="U15" s="628"/>
      <c r="V15" s="75"/>
      <c r="W15" s="628"/>
      <c r="X15" s="1221"/>
      <c r="Y15" s="75"/>
      <c r="Z15" s="75"/>
      <c r="AA15" s="75"/>
      <c r="AB15" s="1358"/>
    </row>
    <row r="16" spans="1:28" x14ac:dyDescent="0.4">
      <c r="A16" s="1339"/>
      <c r="B16" s="1360" t="s">
        <v>1546</v>
      </c>
      <c r="C16" s="75"/>
      <c r="D16" s="75"/>
      <c r="E16" s="75"/>
      <c r="F16" s="75"/>
      <c r="G16" s="1221"/>
      <c r="H16" s="75"/>
      <c r="I16" s="75"/>
      <c r="J16" s="75"/>
      <c r="K16" s="1306"/>
      <c r="L16" s="628"/>
      <c r="M16" s="628">
        <f>+$M$13*Assum!E127</f>
        <v>55.200732871384858</v>
      </c>
      <c r="N16" s="628"/>
      <c r="O16" s="628"/>
      <c r="P16" s="628"/>
      <c r="Q16" s="628">
        <f>+G16*M16/10</f>
        <v>0</v>
      </c>
      <c r="R16" s="628"/>
      <c r="S16" s="628"/>
      <c r="T16" s="628"/>
      <c r="U16" s="628"/>
      <c r="V16" s="75"/>
      <c r="W16" s="628"/>
      <c r="X16" s="1221"/>
      <c r="Y16" s="75"/>
      <c r="Z16" s="75"/>
      <c r="AA16" s="75"/>
      <c r="AB16" s="1358"/>
    </row>
    <row r="17" spans="1:28" x14ac:dyDescent="0.4">
      <c r="A17" s="1339"/>
      <c r="B17" s="1360" t="s">
        <v>1549</v>
      </c>
      <c r="C17" s="75"/>
      <c r="D17" s="75"/>
      <c r="E17" s="75"/>
      <c r="F17" s="75"/>
      <c r="G17" s="1221"/>
      <c r="H17" s="75"/>
      <c r="I17" s="75"/>
      <c r="J17" s="75"/>
      <c r="K17" s="1306"/>
      <c r="L17" s="628"/>
      <c r="M17" s="628">
        <f>+$M$13*Assum!E128</f>
        <v>48.066370754448997</v>
      </c>
      <c r="N17" s="628"/>
      <c r="O17" s="628"/>
      <c r="P17" s="628"/>
      <c r="Q17" s="628">
        <f>+G17*M17/10</f>
        <v>0</v>
      </c>
      <c r="R17" s="628"/>
      <c r="S17" s="628"/>
      <c r="T17" s="628"/>
      <c r="U17" s="628"/>
      <c r="V17" s="75"/>
      <c r="W17" s="628"/>
      <c r="X17" s="1221"/>
      <c r="Y17" s="75"/>
      <c r="Z17" s="75"/>
      <c r="AA17" s="75"/>
      <c r="AB17" s="1358"/>
    </row>
    <row r="18" spans="1:28" s="6" customFormat="1" ht="13.5" x14ac:dyDescent="0.35">
      <c r="A18" s="1364">
        <f>+'F13.1'!A14</f>
        <v>0.75</v>
      </c>
      <c r="B18" s="517" t="s">
        <v>1130</v>
      </c>
      <c r="C18" s="128">
        <f>+'F13.2'!C18</f>
        <v>1</v>
      </c>
      <c r="D18" s="128"/>
      <c r="E18" s="128">
        <v>650</v>
      </c>
      <c r="F18" s="1365">
        <v>4.2</v>
      </c>
      <c r="G18" s="128"/>
      <c r="H18" s="1365">
        <f ca="1">+'Tariff Schedule'!$T$7</f>
        <v>2.0158893614086821</v>
      </c>
      <c r="I18" s="128"/>
      <c r="J18" s="128"/>
      <c r="K18" s="1336">
        <v>40</v>
      </c>
      <c r="L18" s="630">
        <f>+'F1 SEZ'!K13</f>
        <v>3.5853966485786364E-2</v>
      </c>
      <c r="M18" s="630">
        <f>+L18/AB18</f>
        <v>3.6585680087537105E-2</v>
      </c>
      <c r="N18" s="630"/>
      <c r="O18" s="630">
        <f>(K18*E18)*12/10^7*A18</f>
        <v>2.3399999999999997E-2</v>
      </c>
      <c r="P18" s="630">
        <f>(M18*F18)/10</f>
        <v>1.5365985636765583E-2</v>
      </c>
      <c r="Q18" s="630">
        <f>SUM(Q19:Q22)</f>
        <v>0</v>
      </c>
      <c r="R18" s="630">
        <f ca="1">(M18*H18)/10</f>
        <v>7.3752683268367512E-3</v>
      </c>
      <c r="S18" s="630"/>
      <c r="T18" s="630"/>
      <c r="U18" s="630">
        <f ca="1">SUM(N18:T18)</f>
        <v>4.614125396360233E-2</v>
      </c>
      <c r="V18" s="128"/>
      <c r="W18" s="630">
        <f ca="1">+U18+V18</f>
        <v>4.614125396360233E-2</v>
      </c>
      <c r="X18" s="1222">
        <f ca="1">IFERROR(W18/L18*10,0)</f>
        <v>12.869218802302996</v>
      </c>
      <c r="Y18" s="1503">
        <f ca="1">+X18/'Gap Adjustment'!$K$124</f>
        <v>1.5032165121386014</v>
      </c>
      <c r="Z18" s="1222">
        <f ca="1">(U18-R18)/L18*10</f>
        <v>10.812188841681891</v>
      </c>
      <c r="AA18" s="1503">
        <f ca="1">+Z18/'Gap Adjustment'!$K$126</f>
        <v>1.6570736139526714</v>
      </c>
      <c r="AB18" s="1366">
        <f>+'Tariff Schedule'!X15</f>
        <v>0.98</v>
      </c>
    </row>
    <row r="19" spans="1:28" x14ac:dyDescent="0.4">
      <c r="A19" s="1339"/>
      <c r="B19" s="1360" t="s">
        <v>1544</v>
      </c>
      <c r="C19" s="75"/>
      <c r="D19" s="75"/>
      <c r="E19" s="75"/>
      <c r="F19" s="75"/>
      <c r="G19" s="1221"/>
      <c r="H19" s="75"/>
      <c r="I19" s="75"/>
      <c r="J19" s="75"/>
      <c r="K19" s="1306"/>
      <c r="L19" s="628"/>
      <c r="M19" s="628">
        <f>+$M$18*Assum!F125</f>
        <v>5.152710160580074E-3</v>
      </c>
      <c r="N19" s="628"/>
      <c r="O19" s="628"/>
      <c r="P19" s="628"/>
      <c r="Q19" s="628">
        <f>+G19*M19/10</f>
        <v>0</v>
      </c>
      <c r="R19" s="628"/>
      <c r="S19" s="628"/>
      <c r="T19" s="628"/>
      <c r="U19" s="628"/>
      <c r="V19" s="75"/>
      <c r="W19" s="628"/>
      <c r="X19" s="1221"/>
      <c r="Y19" s="75"/>
      <c r="Z19" s="75"/>
      <c r="AA19" s="75"/>
      <c r="AB19" s="1358"/>
    </row>
    <row r="20" spans="1:28" x14ac:dyDescent="0.4">
      <c r="A20" s="1339"/>
      <c r="B20" s="1360" t="s">
        <v>1545</v>
      </c>
      <c r="C20" s="75"/>
      <c r="D20" s="75"/>
      <c r="E20" s="75"/>
      <c r="F20" s="75"/>
      <c r="G20" s="1221"/>
      <c r="H20" s="75"/>
      <c r="I20" s="75"/>
      <c r="J20" s="75"/>
      <c r="K20" s="1306"/>
      <c r="L20" s="628"/>
      <c r="M20" s="628">
        <f>+$M$18*Assum!F126</f>
        <v>5.1974898577412882E-3</v>
      </c>
      <c r="N20" s="628"/>
      <c r="O20" s="628"/>
      <c r="P20" s="628"/>
      <c r="Q20" s="628">
        <f>+G20*M20/10</f>
        <v>0</v>
      </c>
      <c r="R20" s="628"/>
      <c r="S20" s="628"/>
      <c r="T20" s="628"/>
      <c r="U20" s="628"/>
      <c r="V20" s="75"/>
      <c r="W20" s="628"/>
      <c r="X20" s="1221"/>
      <c r="Y20" s="75"/>
      <c r="Z20" s="75"/>
      <c r="AA20" s="75"/>
      <c r="AB20" s="1358"/>
    </row>
    <row r="21" spans="1:28" x14ac:dyDescent="0.4">
      <c r="A21" s="1339"/>
      <c r="B21" s="1360" t="s">
        <v>1546</v>
      </c>
      <c r="C21" s="75"/>
      <c r="D21" s="75"/>
      <c r="E21" s="75"/>
      <c r="F21" s="75"/>
      <c r="G21" s="1221"/>
      <c r="H21" s="75"/>
      <c r="I21" s="75"/>
      <c r="J21" s="75"/>
      <c r="K21" s="1306"/>
      <c r="L21" s="628"/>
      <c r="M21" s="628">
        <f>+$M$18*Assum!F127</f>
        <v>1.5685703060152257E-2</v>
      </c>
      <c r="N21" s="628"/>
      <c r="O21" s="628"/>
      <c r="P21" s="628"/>
      <c r="Q21" s="628">
        <f>+G21*M21/10</f>
        <v>0</v>
      </c>
      <c r="R21" s="628"/>
      <c r="S21" s="628"/>
      <c r="T21" s="628"/>
      <c r="U21" s="628"/>
      <c r="V21" s="75"/>
      <c r="W21" s="628"/>
      <c r="X21" s="1221"/>
      <c r="Y21" s="75"/>
      <c r="Z21" s="75"/>
      <c r="AA21" s="75"/>
      <c r="AB21" s="1358"/>
    </row>
    <row r="22" spans="1:28" x14ac:dyDescent="0.4">
      <c r="A22" s="1339"/>
      <c r="B22" s="1360" t="s">
        <v>1549</v>
      </c>
      <c r="C22" s="75"/>
      <c r="D22" s="75"/>
      <c r="E22" s="75"/>
      <c r="F22" s="75"/>
      <c r="G22" s="1221"/>
      <c r="H22" s="75"/>
      <c r="I22" s="75"/>
      <c r="J22" s="75"/>
      <c r="K22" s="1306"/>
      <c r="L22" s="628"/>
      <c r="M22" s="628">
        <f>+$M$18*Assum!F128</f>
        <v>1.0549777009063484E-2</v>
      </c>
      <c r="N22" s="628"/>
      <c r="O22" s="628"/>
      <c r="P22" s="628"/>
      <c r="Q22" s="628">
        <f>+G22*M22/10</f>
        <v>0</v>
      </c>
      <c r="R22" s="628"/>
      <c r="S22" s="628"/>
      <c r="T22" s="628"/>
      <c r="U22" s="628"/>
      <c r="V22" s="75"/>
      <c r="W22" s="628"/>
      <c r="X22" s="1221"/>
      <c r="Y22" s="75"/>
      <c r="Z22" s="75"/>
      <c r="AA22" s="75"/>
      <c r="AB22" s="1358"/>
    </row>
    <row r="23" spans="1:28" hidden="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75"/>
      <c r="AA23" s="75"/>
      <c r="AB23" s="2"/>
    </row>
    <row r="24" spans="1:28" ht="25.5" hidden="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75"/>
      <c r="AA24" s="75"/>
      <c r="AB24" s="2"/>
    </row>
    <row r="25" spans="1:28" x14ac:dyDescent="0.4">
      <c r="B25" s="518" t="s">
        <v>162</v>
      </c>
      <c r="C25" s="128">
        <f>SUM(C13:C24)</f>
        <v>4</v>
      </c>
      <c r="D25" s="1309">
        <f>SUM(D13:D24)</f>
        <v>0</v>
      </c>
      <c r="E25" s="1309"/>
      <c r="F25" s="1309"/>
      <c r="G25" s="1309"/>
      <c r="H25" s="1309"/>
      <c r="I25" s="1309">
        <f>SUM(I13:I24)</f>
        <v>0</v>
      </c>
      <c r="J25" s="1309">
        <f>SUM(J13:J24)</f>
        <v>0</v>
      </c>
      <c r="K25" s="1336">
        <f>SUM(K13:K24)</f>
        <v>25540</v>
      </c>
      <c r="L25" s="630">
        <f>+L13+L18</f>
        <v>162.59265396648576</v>
      </c>
      <c r="M25" s="630">
        <f>+M13+M18</f>
        <v>164.23537355887541</v>
      </c>
      <c r="N25" s="630">
        <f t="shared" ref="N25:W25" si="0">+N13+N18</f>
        <v>0</v>
      </c>
      <c r="O25" s="630">
        <f t="shared" si="0"/>
        <v>17.924399999999999</v>
      </c>
      <c r="P25" s="630">
        <f t="shared" si="0"/>
        <v>88.190115076545851</v>
      </c>
      <c r="Q25" s="630">
        <f t="shared" si="0"/>
        <v>0</v>
      </c>
      <c r="R25" s="630">
        <f t="shared" ca="1" si="0"/>
        <v>33.108034232431777</v>
      </c>
      <c r="S25" s="630">
        <f t="shared" si="0"/>
        <v>0</v>
      </c>
      <c r="T25" s="630">
        <f t="shared" si="0"/>
        <v>0</v>
      </c>
      <c r="U25" s="630">
        <f t="shared" ca="1" si="0"/>
        <v>139.22254930897762</v>
      </c>
      <c r="V25" s="630">
        <f t="shared" si="0"/>
        <v>0</v>
      </c>
      <c r="W25" s="630">
        <f t="shared" ca="1" si="0"/>
        <v>139.22254930897762</v>
      </c>
      <c r="X25" s="1221">
        <f ca="1">IFERROR(W25/L25*10,0)</f>
        <v>8.5626592538230373</v>
      </c>
      <c r="Y25" s="1503">
        <f ca="1">+X25/'Gap Adjustment'!$K$124</f>
        <v>1.0001796516086723</v>
      </c>
      <c r="Z25" s="1222">
        <f ca="1">(U25-R25)/L25*10</f>
        <v>6.5264027917533465</v>
      </c>
      <c r="AA25" s="1503">
        <f ca="1">+Z25/'Gap Adjustment'!$K$126</f>
        <v>1.0002350142600021</v>
      </c>
      <c r="AB25" s="2"/>
    </row>
    <row r="26" spans="1:28"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75"/>
      <c r="AA26" s="75"/>
      <c r="AB26" s="2"/>
    </row>
    <row r="27" spans="1:28" hidden="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75"/>
      <c r="AA27" s="75"/>
      <c r="AB27" s="2"/>
    </row>
    <row r="28" spans="1:28" hidden="1" x14ac:dyDescent="0.4">
      <c r="B28" s="520" t="s">
        <v>1106</v>
      </c>
      <c r="C28" s="1306">
        <f>+'F13 SEZ'!C211</f>
        <v>0</v>
      </c>
      <c r="D28" s="75"/>
      <c r="E28" s="75"/>
      <c r="F28" s="1359"/>
      <c r="G28" s="75"/>
      <c r="H28" s="75"/>
      <c r="I28" s="75"/>
      <c r="J28" s="75"/>
      <c r="K28" s="1306"/>
      <c r="L28" s="628">
        <f>+'F1 SEZ'!K19</f>
        <v>0</v>
      </c>
      <c r="M28" s="628"/>
      <c r="N28" s="628"/>
      <c r="O28" s="628"/>
      <c r="P28" s="628"/>
      <c r="Q28" s="628"/>
      <c r="R28" s="628"/>
      <c r="S28" s="628"/>
      <c r="T28" s="628"/>
      <c r="U28" s="628">
        <f>SUM(N28:T28)</f>
        <v>0</v>
      </c>
      <c r="V28" s="75"/>
      <c r="W28" s="628">
        <f>+U28+V28</f>
        <v>0</v>
      </c>
      <c r="X28" s="75"/>
      <c r="Y28" s="75"/>
      <c r="Z28" s="75"/>
      <c r="AA28" s="75"/>
      <c r="AB28" s="2"/>
    </row>
    <row r="29" spans="1:28" hidden="1" x14ac:dyDescent="0.4">
      <c r="B29" s="520" t="s">
        <v>1107</v>
      </c>
      <c r="C29" s="1306">
        <f>+'F13 SEZ'!C212</f>
        <v>0</v>
      </c>
      <c r="D29" s="75"/>
      <c r="E29" s="75"/>
      <c r="F29" s="1359"/>
      <c r="G29" s="75"/>
      <c r="H29" s="75"/>
      <c r="I29" s="75"/>
      <c r="J29" s="75"/>
      <c r="K29" s="1306"/>
      <c r="L29" s="628">
        <f>+'F1 SEZ'!K20</f>
        <v>0</v>
      </c>
      <c r="M29" s="628"/>
      <c r="N29" s="628"/>
      <c r="O29" s="628"/>
      <c r="P29" s="628"/>
      <c r="Q29" s="628"/>
      <c r="R29" s="628"/>
      <c r="S29" s="628"/>
      <c r="T29" s="628"/>
      <c r="U29" s="628">
        <f>SUM(N29:T29)</f>
        <v>0</v>
      </c>
      <c r="V29" s="75"/>
      <c r="W29" s="628">
        <f>+U29+V29</f>
        <v>0</v>
      </c>
      <c r="X29" s="75"/>
      <c r="Y29" s="75"/>
      <c r="Z29" s="75"/>
      <c r="AA29" s="75"/>
      <c r="AB29" s="2"/>
    </row>
    <row r="30" spans="1:28" hidden="1" x14ac:dyDescent="0.4">
      <c r="B30" s="520" t="s">
        <v>1108</v>
      </c>
      <c r="C30" s="1306">
        <f>+'F13 SEZ'!C213</f>
        <v>0</v>
      </c>
      <c r="D30" s="75"/>
      <c r="E30" s="75"/>
      <c r="F30" s="1359"/>
      <c r="G30" s="75"/>
      <c r="H30" s="75"/>
      <c r="I30" s="75"/>
      <c r="J30" s="75"/>
      <c r="K30" s="1306"/>
      <c r="L30" s="628">
        <f>+'F1 SEZ'!K21</f>
        <v>0</v>
      </c>
      <c r="M30" s="628"/>
      <c r="N30" s="628"/>
      <c r="O30" s="628"/>
      <c r="P30" s="628"/>
      <c r="Q30" s="628"/>
      <c r="R30" s="628"/>
      <c r="S30" s="628"/>
      <c r="T30" s="628"/>
      <c r="U30" s="628">
        <f>SUM(N30:T30)</f>
        <v>0</v>
      </c>
      <c r="V30" s="75"/>
      <c r="W30" s="628">
        <f>+U30+V30</f>
        <v>0</v>
      </c>
      <c r="X30" s="75"/>
      <c r="Y30" s="75"/>
      <c r="Z30" s="75"/>
      <c r="AA30" s="75"/>
      <c r="AB30" s="2"/>
    </row>
    <row r="31" spans="1:28" hidden="1" x14ac:dyDescent="0.4">
      <c r="B31" s="520" t="s">
        <v>1109</v>
      </c>
      <c r="C31" s="1306">
        <f>+'F13 SEZ'!C214</f>
        <v>0</v>
      </c>
      <c r="D31" s="75"/>
      <c r="E31" s="75"/>
      <c r="F31" s="1359"/>
      <c r="G31" s="75"/>
      <c r="H31" s="75"/>
      <c r="I31" s="75"/>
      <c r="J31" s="75"/>
      <c r="K31" s="1306"/>
      <c r="L31" s="628">
        <f>+'F1 SEZ'!K22</f>
        <v>0</v>
      </c>
      <c r="M31" s="628"/>
      <c r="N31" s="628"/>
      <c r="O31" s="628"/>
      <c r="P31" s="628"/>
      <c r="Q31" s="628"/>
      <c r="R31" s="628"/>
      <c r="S31" s="628"/>
      <c r="T31" s="628"/>
      <c r="U31" s="628">
        <f>SUM(N31:T31)</f>
        <v>0</v>
      </c>
      <c r="V31" s="75"/>
      <c r="W31" s="628">
        <f>+U31+V31</f>
        <v>0</v>
      </c>
      <c r="X31" s="75"/>
      <c r="Y31" s="75"/>
      <c r="Z31" s="75"/>
      <c r="AA31" s="75"/>
      <c r="AB31" s="2"/>
    </row>
    <row r="32" spans="1:28" hidden="1" x14ac:dyDescent="0.4">
      <c r="B32" s="520" t="s">
        <v>1110</v>
      </c>
      <c r="C32" s="1306">
        <f>+'F13 SEZ'!C215</f>
        <v>0</v>
      </c>
      <c r="D32" s="75"/>
      <c r="E32" s="75"/>
      <c r="F32" s="75"/>
      <c r="G32" s="75"/>
      <c r="H32" s="75"/>
      <c r="I32" s="75"/>
      <c r="J32" s="75"/>
      <c r="K32" s="1306"/>
      <c r="L32" s="628">
        <f>+'F1 SEZ'!K23</f>
        <v>0</v>
      </c>
      <c r="M32" s="628"/>
      <c r="N32" s="628"/>
      <c r="O32" s="628"/>
      <c r="P32" s="628"/>
      <c r="Q32" s="628"/>
      <c r="R32" s="628"/>
      <c r="S32" s="628"/>
      <c r="T32" s="628"/>
      <c r="U32" s="628">
        <f>SUM(N32:T32)</f>
        <v>0</v>
      </c>
      <c r="V32" s="75"/>
      <c r="W32" s="628">
        <f>+U32+V32</f>
        <v>0</v>
      </c>
      <c r="X32" s="75"/>
      <c r="Y32" s="75"/>
      <c r="Z32" s="75"/>
      <c r="AA32" s="75"/>
      <c r="AB32" s="2"/>
    </row>
    <row r="33" spans="1:28" hidden="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75"/>
      <c r="AA33" s="75"/>
      <c r="AB33" s="2"/>
    </row>
    <row r="34" spans="1:28" ht="25.5" hidden="1" x14ac:dyDescent="0.4">
      <c r="B34" s="1363" t="s">
        <v>1139</v>
      </c>
      <c r="C34" s="1307">
        <f>SUM(C35:C41)</f>
        <v>0</v>
      </c>
      <c r="D34" s="75"/>
      <c r="E34" s="75"/>
      <c r="F34" s="75"/>
      <c r="G34" s="75"/>
      <c r="H34" s="75"/>
      <c r="I34" s="75"/>
      <c r="J34" s="75"/>
      <c r="K34" s="1306"/>
      <c r="L34" s="628">
        <f>+'F1 SEZ'!K24</f>
        <v>0</v>
      </c>
      <c r="M34" s="628"/>
      <c r="N34" s="628"/>
      <c r="O34" s="628"/>
      <c r="P34" s="628"/>
      <c r="Q34" s="628"/>
      <c r="R34" s="628"/>
      <c r="S34" s="628"/>
      <c r="T34" s="628"/>
      <c r="U34" s="628">
        <f>SUM(N34:T34)</f>
        <v>0</v>
      </c>
      <c r="V34" s="75"/>
      <c r="W34" s="628">
        <f>+U34+V34</f>
        <v>0</v>
      </c>
      <c r="X34" s="75"/>
      <c r="Y34" s="75"/>
      <c r="Z34" s="75"/>
      <c r="AA34" s="75"/>
      <c r="AB34" s="2"/>
    </row>
    <row r="35" spans="1:28" hidden="1" x14ac:dyDescent="0.4">
      <c r="B35" s="1362" t="s">
        <v>1140</v>
      </c>
      <c r="C35" s="1306">
        <f>+'F13 SEZ'!C217</f>
        <v>0</v>
      </c>
      <c r="D35" s="75"/>
      <c r="E35" s="75"/>
      <c r="F35" s="75"/>
      <c r="G35" s="75"/>
      <c r="H35" s="75"/>
      <c r="I35" s="75"/>
      <c r="J35" s="75"/>
      <c r="K35" s="1306"/>
      <c r="L35" s="628">
        <f>+'F1 SEZ'!K25</f>
        <v>0</v>
      </c>
      <c r="M35" s="628"/>
      <c r="N35" s="628"/>
      <c r="O35" s="628"/>
      <c r="P35" s="628"/>
      <c r="Q35" s="628"/>
      <c r="R35" s="628"/>
      <c r="S35" s="628"/>
      <c r="T35" s="628"/>
      <c r="U35" s="628">
        <f>SUM(N35:T35)</f>
        <v>0</v>
      </c>
      <c r="V35" s="75"/>
      <c r="W35" s="628">
        <f>+U35+V35</f>
        <v>0</v>
      </c>
      <c r="X35" s="75"/>
      <c r="Y35" s="75"/>
      <c r="Z35" s="75"/>
      <c r="AA35" s="75"/>
      <c r="AB35" s="2"/>
    </row>
    <row r="36" spans="1:28" hidden="1" x14ac:dyDescent="0.4">
      <c r="B36" s="1362" t="s">
        <v>1144</v>
      </c>
      <c r="C36" s="1306">
        <f>+'F13 SEZ'!C218</f>
        <v>0</v>
      </c>
      <c r="D36" s="75"/>
      <c r="E36" s="75"/>
      <c r="F36" s="75"/>
      <c r="G36" s="75"/>
      <c r="H36" s="75"/>
      <c r="I36" s="75"/>
      <c r="J36" s="75"/>
      <c r="K36" s="1306"/>
      <c r="L36" s="628">
        <f>+'F1 SEZ'!K26</f>
        <v>0</v>
      </c>
      <c r="M36" s="628"/>
      <c r="N36" s="628"/>
      <c r="O36" s="628"/>
      <c r="P36" s="628"/>
      <c r="Q36" s="628"/>
      <c r="R36" s="628"/>
      <c r="S36" s="628"/>
      <c r="T36" s="628"/>
      <c r="U36" s="628">
        <f>SUM(N36:T36)</f>
        <v>0</v>
      </c>
      <c r="V36" s="75"/>
      <c r="W36" s="628">
        <f>+U36+V36</f>
        <v>0</v>
      </c>
      <c r="X36" s="75"/>
      <c r="Y36" s="75"/>
      <c r="Z36" s="75"/>
      <c r="AA36" s="75"/>
      <c r="AB36" s="2"/>
    </row>
    <row r="37" spans="1:28" hidden="1" x14ac:dyDescent="0.4">
      <c r="A37" s="1339"/>
      <c r="B37" s="1360" t="s">
        <v>1544</v>
      </c>
      <c r="C37" s="75"/>
      <c r="D37" s="75"/>
      <c r="E37" s="75"/>
      <c r="F37" s="75"/>
      <c r="G37" s="1221">
        <f>+$F36*'Tariff Schedule'!E$50</f>
        <v>0</v>
      </c>
      <c r="H37" s="75"/>
      <c r="I37" s="75"/>
      <c r="J37" s="75"/>
      <c r="K37" s="1306"/>
      <c r="L37" s="628"/>
      <c r="M37" s="628"/>
      <c r="N37" s="628"/>
      <c r="O37" s="628"/>
      <c r="P37" s="628"/>
      <c r="Q37" s="628">
        <f>+G37*M37/10</f>
        <v>0</v>
      </c>
      <c r="R37" s="628"/>
      <c r="S37" s="628"/>
      <c r="T37" s="628"/>
      <c r="U37" s="628"/>
      <c r="V37" s="75"/>
      <c r="W37" s="628"/>
      <c r="X37" s="1221"/>
      <c r="Y37" s="75"/>
      <c r="Z37" s="75"/>
      <c r="AA37" s="75"/>
      <c r="AB37" s="1358"/>
    </row>
    <row r="38" spans="1:28" hidden="1" x14ac:dyDescent="0.4">
      <c r="A38" s="1339"/>
      <c r="B38" s="1360" t="s">
        <v>1545</v>
      </c>
      <c r="C38" s="75"/>
      <c r="D38" s="75"/>
      <c r="E38" s="75"/>
      <c r="F38" s="75"/>
      <c r="G38" s="1221">
        <f>+$F36*'Tariff Schedule'!E$51</f>
        <v>0</v>
      </c>
      <c r="H38" s="75"/>
      <c r="I38" s="75"/>
      <c r="J38" s="75"/>
      <c r="K38" s="1306"/>
      <c r="L38" s="628"/>
      <c r="M38" s="628"/>
      <c r="N38" s="628"/>
      <c r="O38" s="628"/>
      <c r="P38" s="628"/>
      <c r="Q38" s="628">
        <f>+G38*M38/10</f>
        <v>0</v>
      </c>
      <c r="R38" s="628"/>
      <c r="S38" s="628"/>
      <c r="T38" s="628"/>
      <c r="U38" s="628"/>
      <c r="V38" s="75"/>
      <c r="W38" s="628"/>
      <c r="X38" s="1221"/>
      <c r="Y38" s="75"/>
      <c r="Z38" s="75"/>
      <c r="AA38" s="75"/>
      <c r="AB38" s="1358"/>
    </row>
    <row r="39" spans="1:28" hidden="1" x14ac:dyDescent="0.4">
      <c r="A39" s="1339"/>
      <c r="B39" s="1360" t="s">
        <v>1546</v>
      </c>
      <c r="C39" s="75"/>
      <c r="D39" s="75"/>
      <c r="E39" s="75"/>
      <c r="F39" s="75"/>
      <c r="G39" s="1221">
        <f>+$F36*'Tariff Schedule'!E$52</f>
        <v>0</v>
      </c>
      <c r="H39" s="75"/>
      <c r="I39" s="75"/>
      <c r="J39" s="75"/>
      <c r="K39" s="1306"/>
      <c r="L39" s="628"/>
      <c r="M39" s="628"/>
      <c r="N39" s="628"/>
      <c r="O39" s="628"/>
      <c r="P39" s="628"/>
      <c r="Q39" s="628">
        <f>+G39*M39/10</f>
        <v>0</v>
      </c>
      <c r="R39" s="628"/>
      <c r="S39" s="628"/>
      <c r="T39" s="628"/>
      <c r="U39" s="628"/>
      <c r="V39" s="75"/>
      <c r="W39" s="628"/>
      <c r="X39" s="1221"/>
      <c r="Y39" s="75"/>
      <c r="Z39" s="75"/>
      <c r="AA39" s="75"/>
      <c r="AB39" s="1358"/>
    </row>
    <row r="40" spans="1:28" hidden="1" x14ac:dyDescent="0.4">
      <c r="A40" s="1339"/>
      <c r="B40" s="1360" t="s">
        <v>1549</v>
      </c>
      <c r="C40" s="75"/>
      <c r="D40" s="75"/>
      <c r="E40" s="75"/>
      <c r="F40" s="75"/>
      <c r="G40" s="1221">
        <f>+$F36*'Tariff Schedule'!E$55</f>
        <v>0</v>
      </c>
      <c r="H40" s="75"/>
      <c r="I40" s="75"/>
      <c r="J40" s="75"/>
      <c r="K40" s="1306"/>
      <c r="L40" s="628"/>
      <c r="M40" s="628"/>
      <c r="N40" s="628"/>
      <c r="O40" s="628"/>
      <c r="P40" s="628"/>
      <c r="Q40" s="628">
        <f>+G40*M40/10</f>
        <v>0</v>
      </c>
      <c r="R40" s="628"/>
      <c r="S40" s="628"/>
      <c r="T40" s="628"/>
      <c r="U40" s="628"/>
      <c r="V40" s="75"/>
      <c r="W40" s="628"/>
      <c r="X40" s="1221"/>
      <c r="Y40" s="75"/>
      <c r="Z40" s="75"/>
      <c r="AA40" s="75"/>
      <c r="AB40" s="1358"/>
    </row>
    <row r="41" spans="1:28" hidden="1" x14ac:dyDescent="0.4">
      <c r="B41" s="1362" t="s">
        <v>1143</v>
      </c>
      <c r="C41" s="1306">
        <f>+'F13 SEZ'!C219</f>
        <v>0</v>
      </c>
      <c r="D41" s="75"/>
      <c r="E41" s="75"/>
      <c r="F41" s="75"/>
      <c r="G41" s="75"/>
      <c r="H41" s="75"/>
      <c r="I41" s="75"/>
      <c r="J41" s="75"/>
      <c r="K41" s="1306"/>
      <c r="L41" s="628">
        <f>+'F1 SEZ'!K27</f>
        <v>0</v>
      </c>
      <c r="M41" s="628"/>
      <c r="N41" s="628"/>
      <c r="O41" s="628"/>
      <c r="P41" s="628"/>
      <c r="Q41" s="628"/>
      <c r="R41" s="628"/>
      <c r="S41" s="628"/>
      <c r="T41" s="628"/>
      <c r="U41" s="628">
        <f>SUM(N41:T41)</f>
        <v>0</v>
      </c>
      <c r="V41" s="75"/>
      <c r="W41" s="628">
        <f>+U41+V41</f>
        <v>0</v>
      </c>
      <c r="X41" s="75"/>
      <c r="Y41" s="75"/>
      <c r="Z41" s="75"/>
      <c r="AA41" s="75"/>
      <c r="AB41" s="2"/>
    </row>
    <row r="42" spans="1:28" hidden="1" x14ac:dyDescent="0.4">
      <c r="A42" s="1339"/>
      <c r="B42" s="1360" t="s">
        <v>1544</v>
      </c>
      <c r="C42" s="75"/>
      <c r="D42" s="75"/>
      <c r="E42" s="75"/>
      <c r="F42" s="75"/>
      <c r="G42" s="1221">
        <f>+$F41*'Tariff Schedule'!E$50</f>
        <v>0</v>
      </c>
      <c r="H42" s="75"/>
      <c r="I42" s="75"/>
      <c r="J42" s="75"/>
      <c r="K42" s="1306"/>
      <c r="L42" s="628"/>
      <c r="M42" s="628"/>
      <c r="N42" s="628"/>
      <c r="O42" s="628"/>
      <c r="P42" s="628"/>
      <c r="Q42" s="628">
        <f>+G42*M42/10</f>
        <v>0</v>
      </c>
      <c r="R42" s="628"/>
      <c r="S42" s="628"/>
      <c r="T42" s="628"/>
      <c r="U42" s="628"/>
      <c r="V42" s="75"/>
      <c r="W42" s="628"/>
      <c r="X42" s="1221"/>
      <c r="Y42" s="75"/>
      <c r="Z42" s="75"/>
      <c r="AA42" s="75"/>
      <c r="AB42" s="1358"/>
    </row>
    <row r="43" spans="1:28" hidden="1" x14ac:dyDescent="0.4">
      <c r="A43" s="1339"/>
      <c r="B43" s="1360" t="s">
        <v>1545</v>
      </c>
      <c r="C43" s="75"/>
      <c r="D43" s="75"/>
      <c r="E43" s="75"/>
      <c r="F43" s="75"/>
      <c r="G43" s="1221">
        <f>+$F41*'Tariff Schedule'!E$51</f>
        <v>0</v>
      </c>
      <c r="H43" s="75"/>
      <c r="I43" s="75"/>
      <c r="J43" s="75"/>
      <c r="K43" s="1306"/>
      <c r="L43" s="628"/>
      <c r="M43" s="628"/>
      <c r="N43" s="628"/>
      <c r="O43" s="628"/>
      <c r="P43" s="628"/>
      <c r="Q43" s="628">
        <f>+G43*M43/10</f>
        <v>0</v>
      </c>
      <c r="R43" s="628"/>
      <c r="S43" s="628"/>
      <c r="T43" s="628"/>
      <c r="U43" s="628"/>
      <c r="V43" s="75"/>
      <c r="W43" s="628"/>
      <c r="X43" s="1221"/>
      <c r="Y43" s="75"/>
      <c r="Z43" s="75"/>
      <c r="AA43" s="75"/>
      <c r="AB43" s="1358"/>
    </row>
    <row r="44" spans="1:28" hidden="1" x14ac:dyDescent="0.4">
      <c r="A44" s="1339"/>
      <c r="B44" s="1360" t="s">
        <v>1546</v>
      </c>
      <c r="C44" s="75"/>
      <c r="D44" s="75"/>
      <c r="E44" s="75"/>
      <c r="F44" s="75"/>
      <c r="G44" s="1221">
        <f>+$F41*'Tariff Schedule'!E$52</f>
        <v>0</v>
      </c>
      <c r="H44" s="75"/>
      <c r="I44" s="75"/>
      <c r="J44" s="75"/>
      <c r="K44" s="1306"/>
      <c r="L44" s="628"/>
      <c r="M44" s="628"/>
      <c r="N44" s="628"/>
      <c r="O44" s="628"/>
      <c r="P44" s="628"/>
      <c r="Q44" s="628">
        <f>+G44*M44/10</f>
        <v>0</v>
      </c>
      <c r="R44" s="628"/>
      <c r="S44" s="628"/>
      <c r="T44" s="628"/>
      <c r="U44" s="628"/>
      <c r="V44" s="75"/>
      <c r="W44" s="628"/>
      <c r="X44" s="1221"/>
      <c r="Y44" s="75"/>
      <c r="Z44" s="75"/>
      <c r="AA44" s="75"/>
      <c r="AB44" s="1358"/>
    </row>
    <row r="45" spans="1:28" hidden="1" x14ac:dyDescent="0.4">
      <c r="A45" s="1339"/>
      <c r="B45" s="1360" t="s">
        <v>1549</v>
      </c>
      <c r="C45" s="75"/>
      <c r="D45" s="75"/>
      <c r="E45" s="75"/>
      <c r="F45" s="75"/>
      <c r="G45" s="1221">
        <f>+$F41*'Tariff Schedule'!E$55</f>
        <v>0</v>
      </c>
      <c r="H45" s="75"/>
      <c r="I45" s="75"/>
      <c r="J45" s="75"/>
      <c r="K45" s="1306"/>
      <c r="L45" s="628"/>
      <c r="M45" s="628"/>
      <c r="N45" s="628"/>
      <c r="O45" s="628"/>
      <c r="P45" s="628"/>
      <c r="Q45" s="628">
        <f>+G45*M45/10</f>
        <v>0</v>
      </c>
      <c r="R45" s="628"/>
      <c r="S45" s="628"/>
      <c r="T45" s="628"/>
      <c r="U45" s="628"/>
      <c r="V45" s="75"/>
      <c r="W45" s="628"/>
      <c r="X45" s="1221"/>
      <c r="Y45" s="75"/>
      <c r="Z45" s="75"/>
      <c r="AA45" s="75"/>
      <c r="AB45" s="1358"/>
    </row>
    <row r="46" spans="1:28" ht="25.5" hidden="1" x14ac:dyDescent="0.4">
      <c r="B46" s="519" t="s">
        <v>1111</v>
      </c>
      <c r="C46" s="1306">
        <f>+'F13 SEZ'!C220</f>
        <v>0</v>
      </c>
      <c r="D46" s="75"/>
      <c r="E46" s="75"/>
      <c r="F46" s="75"/>
      <c r="G46" s="75"/>
      <c r="H46" s="75"/>
      <c r="I46" s="75"/>
      <c r="J46" s="75"/>
      <c r="K46" s="1306"/>
      <c r="L46" s="628">
        <f>+'F1 SEZ'!K28</f>
        <v>0</v>
      </c>
      <c r="M46" s="628"/>
      <c r="N46" s="628"/>
      <c r="O46" s="628"/>
      <c r="P46" s="628"/>
      <c r="Q46" s="628"/>
      <c r="R46" s="628"/>
      <c r="S46" s="628"/>
      <c r="T46" s="628"/>
      <c r="U46" s="628">
        <f>SUM(N46:T46)</f>
        <v>0</v>
      </c>
      <c r="V46" s="75"/>
      <c r="W46" s="628">
        <f>+U46+V46</f>
        <v>0</v>
      </c>
      <c r="X46" s="75"/>
      <c r="Y46" s="75"/>
      <c r="Z46" s="75"/>
      <c r="AA46" s="75"/>
      <c r="AB46" s="2"/>
    </row>
    <row r="47" spans="1:28" hidden="1" x14ac:dyDescent="0.4">
      <c r="A47" s="1339"/>
      <c r="B47" s="1360" t="s">
        <v>1544</v>
      </c>
      <c r="C47" s="75"/>
      <c r="D47" s="75"/>
      <c r="E47" s="75"/>
      <c r="F47" s="75"/>
      <c r="G47" s="1221">
        <f>+$F46*'Tariff Schedule'!E$50</f>
        <v>0</v>
      </c>
      <c r="H47" s="75"/>
      <c r="I47" s="75"/>
      <c r="J47" s="75"/>
      <c r="K47" s="1306"/>
      <c r="L47" s="628"/>
      <c r="M47" s="628"/>
      <c r="N47" s="628"/>
      <c r="O47" s="628"/>
      <c r="P47" s="628"/>
      <c r="Q47" s="628">
        <f>+G47*M47/10</f>
        <v>0</v>
      </c>
      <c r="R47" s="628"/>
      <c r="S47" s="628"/>
      <c r="T47" s="628"/>
      <c r="U47" s="628"/>
      <c r="V47" s="75"/>
      <c r="W47" s="628"/>
      <c r="X47" s="1221"/>
      <c r="Y47" s="75"/>
      <c r="Z47" s="75"/>
      <c r="AA47" s="75"/>
      <c r="AB47" s="1358"/>
    </row>
    <row r="48" spans="1:28" hidden="1" x14ac:dyDescent="0.4">
      <c r="A48" s="1339"/>
      <c r="B48" s="1360" t="s">
        <v>1545</v>
      </c>
      <c r="C48" s="75"/>
      <c r="D48" s="75"/>
      <c r="E48" s="75"/>
      <c r="F48" s="75"/>
      <c r="G48" s="1221">
        <f>+$F46*'Tariff Schedule'!E$51</f>
        <v>0</v>
      </c>
      <c r="H48" s="75"/>
      <c r="I48" s="75"/>
      <c r="J48" s="75"/>
      <c r="K48" s="1306"/>
      <c r="L48" s="628"/>
      <c r="M48" s="628"/>
      <c r="N48" s="628"/>
      <c r="O48" s="628"/>
      <c r="P48" s="628"/>
      <c r="Q48" s="628">
        <f>+G48*M48/10</f>
        <v>0</v>
      </c>
      <c r="R48" s="628"/>
      <c r="S48" s="628"/>
      <c r="T48" s="628"/>
      <c r="U48" s="628"/>
      <c r="V48" s="75"/>
      <c r="W48" s="628"/>
      <c r="X48" s="1221"/>
      <c r="Y48" s="75"/>
      <c r="Z48" s="75"/>
      <c r="AA48" s="75"/>
      <c r="AB48" s="1358"/>
    </row>
    <row r="49" spans="1:28" hidden="1" x14ac:dyDescent="0.4">
      <c r="A49" s="1339"/>
      <c r="B49" s="1360" t="s">
        <v>1546</v>
      </c>
      <c r="C49" s="75"/>
      <c r="D49" s="75"/>
      <c r="E49" s="75"/>
      <c r="F49" s="75"/>
      <c r="G49" s="1221">
        <f>+$F46*'Tariff Schedule'!E$52</f>
        <v>0</v>
      </c>
      <c r="H49" s="75"/>
      <c r="I49" s="75"/>
      <c r="J49" s="75"/>
      <c r="K49" s="1306"/>
      <c r="L49" s="628"/>
      <c r="M49" s="628"/>
      <c r="N49" s="628"/>
      <c r="O49" s="628"/>
      <c r="P49" s="628"/>
      <c r="Q49" s="628">
        <f>+G49*M49/10</f>
        <v>0</v>
      </c>
      <c r="R49" s="628"/>
      <c r="S49" s="628"/>
      <c r="T49" s="628"/>
      <c r="U49" s="628"/>
      <c r="V49" s="75"/>
      <c r="W49" s="628"/>
      <c r="X49" s="1221"/>
      <c r="Y49" s="75"/>
      <c r="Z49" s="75"/>
      <c r="AA49" s="75"/>
      <c r="AB49" s="1358"/>
    </row>
    <row r="50" spans="1:28" hidden="1" x14ac:dyDescent="0.4">
      <c r="A50" s="1339"/>
      <c r="B50" s="1360" t="s">
        <v>1549</v>
      </c>
      <c r="C50" s="75"/>
      <c r="D50" s="75"/>
      <c r="E50" s="75"/>
      <c r="F50" s="75"/>
      <c r="G50" s="1221">
        <f>+$F46*'Tariff Schedule'!E$55</f>
        <v>0</v>
      </c>
      <c r="H50" s="75"/>
      <c r="I50" s="75"/>
      <c r="J50" s="75"/>
      <c r="K50" s="1306"/>
      <c r="L50" s="628"/>
      <c r="M50" s="628"/>
      <c r="N50" s="628"/>
      <c r="O50" s="628"/>
      <c r="P50" s="628"/>
      <c r="Q50" s="628">
        <f>+G50*M50/10</f>
        <v>0</v>
      </c>
      <c r="R50" s="628"/>
      <c r="S50" s="628"/>
      <c r="T50" s="628"/>
      <c r="U50" s="628"/>
      <c r="V50" s="75"/>
      <c r="W50" s="628"/>
      <c r="X50" s="1221"/>
      <c r="Y50" s="75"/>
      <c r="Z50" s="75"/>
      <c r="AA50" s="75"/>
      <c r="AB50" s="1358"/>
    </row>
    <row r="51" spans="1:28" s="6" customFormat="1" ht="25.5" x14ac:dyDescent="0.35">
      <c r="B51" s="1363" t="s">
        <v>1135</v>
      </c>
      <c r="C51" s="128">
        <f>+'F13.2'!C51</f>
        <v>1</v>
      </c>
      <c r="D51" s="128">
        <v>650</v>
      </c>
      <c r="E51" s="128"/>
      <c r="F51" s="1365">
        <v>6.45</v>
      </c>
      <c r="G51" s="128"/>
      <c r="H51" s="1365">
        <f ca="1">+'Tariff Schedule'!$T$7</f>
        <v>2.0158893614086821</v>
      </c>
      <c r="I51" s="128"/>
      <c r="J51" s="128"/>
      <c r="K51" s="1336">
        <v>19</v>
      </c>
      <c r="L51" s="630">
        <f>+'F1 SEZ'!K29</f>
        <v>0.33779853227978168</v>
      </c>
      <c r="M51" s="630">
        <f>+L51/AB51</f>
        <v>0.34469237987732826</v>
      </c>
      <c r="N51" s="630">
        <f>+C51*D51*12/10^7</f>
        <v>7.7999999999999999E-4</v>
      </c>
      <c r="O51" s="630"/>
      <c r="P51" s="630">
        <f>(L51*F51)/10</f>
        <v>0.21788005332045918</v>
      </c>
      <c r="Q51" s="630"/>
      <c r="R51" s="630">
        <f ca="1">(M51*H51)/10</f>
        <v>6.948617015533462E-2</v>
      </c>
      <c r="S51" s="630"/>
      <c r="T51" s="630"/>
      <c r="U51" s="630">
        <f ca="1">SUM(N51:T51)</f>
        <v>0.28814622347579377</v>
      </c>
      <c r="V51" s="128"/>
      <c r="W51" s="630">
        <f ca="1">+U51+V51</f>
        <v>0.28814622347579377</v>
      </c>
      <c r="X51" s="1222">
        <f ca="1">IFERROR(W51/L51*10,0)</f>
        <v>8.530120647094364</v>
      </c>
      <c r="Y51" s="1503">
        <f ca="1">+X51/'Gap Adjustment'!$K$124</f>
        <v>0.996378910346291</v>
      </c>
      <c r="Z51" s="1222">
        <f ca="1">(U51-R51)/L51*10</f>
        <v>6.4730906864732596</v>
      </c>
      <c r="AA51" s="1503">
        <f ca="1">+Z51/'Gap Adjustment'!$K$126</f>
        <v>0.99206441307485327</v>
      </c>
      <c r="AB51" s="1366">
        <f>+'Tariff Schedule'!X26</f>
        <v>0.98</v>
      </c>
    </row>
    <row r="52" spans="1:28" ht="38.25" hidden="1" x14ac:dyDescent="0.4">
      <c r="B52" s="519" t="s">
        <v>1136</v>
      </c>
      <c r="C52" s="1306">
        <f>+'F13 SEZ'!C222</f>
        <v>0</v>
      </c>
      <c r="D52" s="75"/>
      <c r="E52" s="75"/>
      <c r="F52" s="75"/>
      <c r="G52" s="75"/>
      <c r="H52" s="75"/>
      <c r="I52" s="75"/>
      <c r="J52" s="75"/>
      <c r="K52" s="1306"/>
      <c r="L52" s="628">
        <f>+'F1 SEZ'!K30</f>
        <v>0</v>
      </c>
      <c r="M52" s="628"/>
      <c r="N52" s="628"/>
      <c r="O52" s="628"/>
      <c r="P52" s="628"/>
      <c r="Q52" s="628"/>
      <c r="R52" s="628"/>
      <c r="S52" s="628"/>
      <c r="T52" s="628"/>
      <c r="U52" s="628">
        <f>SUM(N52:T52)</f>
        <v>0</v>
      </c>
      <c r="V52" s="75"/>
      <c r="W52" s="628">
        <f>+U52+V52</f>
        <v>0</v>
      </c>
      <c r="X52" s="75"/>
      <c r="Y52" s="75"/>
      <c r="Z52" s="75"/>
      <c r="AA52" s="75"/>
      <c r="AB52" s="2"/>
    </row>
    <row r="53" spans="1:28" hidden="1" x14ac:dyDescent="0.4">
      <c r="A53" s="1339"/>
      <c r="B53" s="1360" t="s">
        <v>1544</v>
      </c>
      <c r="C53" s="75"/>
      <c r="D53" s="75"/>
      <c r="E53" s="75"/>
      <c r="F53" s="75"/>
      <c r="G53" s="1221">
        <f>+$F52*'Tariff Schedule'!E$50</f>
        <v>0</v>
      </c>
      <c r="H53" s="75"/>
      <c r="I53" s="75"/>
      <c r="J53" s="75"/>
      <c r="K53" s="1306"/>
      <c r="L53" s="628"/>
      <c r="M53" s="628"/>
      <c r="N53" s="628"/>
      <c r="O53" s="628"/>
      <c r="P53" s="628"/>
      <c r="Q53" s="628">
        <f>+G53*M53/10</f>
        <v>0</v>
      </c>
      <c r="R53" s="628"/>
      <c r="S53" s="628"/>
      <c r="T53" s="628"/>
      <c r="U53" s="628"/>
      <c r="V53" s="75"/>
      <c r="W53" s="628"/>
      <c r="X53" s="1221"/>
      <c r="Y53" s="75"/>
      <c r="Z53" s="75"/>
      <c r="AA53" s="75"/>
      <c r="AB53" s="1358"/>
    </row>
    <row r="54" spans="1:28" hidden="1" x14ac:dyDescent="0.4">
      <c r="A54" s="1339"/>
      <c r="B54" s="1360" t="s">
        <v>1545</v>
      </c>
      <c r="C54" s="75"/>
      <c r="D54" s="75"/>
      <c r="E54" s="75"/>
      <c r="F54" s="75"/>
      <c r="G54" s="1221">
        <f>+$F52*'Tariff Schedule'!E$51</f>
        <v>0</v>
      </c>
      <c r="H54" s="75"/>
      <c r="I54" s="75"/>
      <c r="J54" s="75"/>
      <c r="K54" s="1306"/>
      <c r="L54" s="628"/>
      <c r="M54" s="628"/>
      <c r="N54" s="628"/>
      <c r="O54" s="628"/>
      <c r="P54" s="628"/>
      <c r="Q54" s="628">
        <f>+G54*M54/10</f>
        <v>0</v>
      </c>
      <c r="R54" s="628"/>
      <c r="S54" s="628"/>
      <c r="T54" s="628"/>
      <c r="U54" s="628"/>
      <c r="V54" s="75"/>
      <c r="W54" s="628"/>
      <c r="X54" s="1221"/>
      <c r="Y54" s="75"/>
      <c r="Z54" s="75"/>
      <c r="AA54" s="75"/>
      <c r="AB54" s="1358"/>
    </row>
    <row r="55" spans="1:28" hidden="1" x14ac:dyDescent="0.4">
      <c r="A55" s="1339"/>
      <c r="B55" s="1360" t="s">
        <v>1546</v>
      </c>
      <c r="C55" s="75"/>
      <c r="D55" s="75"/>
      <c r="E55" s="75"/>
      <c r="F55" s="75"/>
      <c r="G55" s="1221">
        <f>+$F52*'Tariff Schedule'!E$52</f>
        <v>0</v>
      </c>
      <c r="H55" s="75"/>
      <c r="I55" s="75"/>
      <c r="J55" s="75"/>
      <c r="K55" s="1306"/>
      <c r="L55" s="628"/>
      <c r="M55" s="628"/>
      <c r="N55" s="628"/>
      <c r="O55" s="628"/>
      <c r="P55" s="628"/>
      <c r="Q55" s="628">
        <f>+G55*M55/10</f>
        <v>0</v>
      </c>
      <c r="R55" s="628"/>
      <c r="S55" s="628"/>
      <c r="T55" s="628"/>
      <c r="U55" s="628"/>
      <c r="V55" s="75"/>
      <c r="W55" s="628"/>
      <c r="X55" s="1221"/>
      <c r="Y55" s="75"/>
      <c r="Z55" s="75"/>
      <c r="AA55" s="75"/>
      <c r="AB55" s="1358"/>
    </row>
    <row r="56" spans="1:28" hidden="1" x14ac:dyDescent="0.4">
      <c r="A56" s="1339"/>
      <c r="B56" s="1360" t="s">
        <v>1549</v>
      </c>
      <c r="C56" s="75"/>
      <c r="D56" s="75"/>
      <c r="E56" s="75"/>
      <c r="F56" s="75"/>
      <c r="G56" s="1221">
        <f>+$F52*'Tariff Schedule'!E$55</f>
        <v>0</v>
      </c>
      <c r="H56" s="75"/>
      <c r="I56" s="75"/>
      <c r="J56" s="75"/>
      <c r="K56" s="1306"/>
      <c r="L56" s="628"/>
      <c r="M56" s="628"/>
      <c r="N56" s="628"/>
      <c r="O56" s="628"/>
      <c r="P56" s="628"/>
      <c r="Q56" s="628">
        <f>+G56*M56/10</f>
        <v>0</v>
      </c>
      <c r="R56" s="628"/>
      <c r="S56" s="628"/>
      <c r="T56" s="628"/>
      <c r="U56" s="628"/>
      <c r="V56" s="75"/>
      <c r="W56" s="628"/>
      <c r="X56" s="1221"/>
      <c r="Y56" s="75"/>
      <c r="Z56" s="75"/>
      <c r="AA56" s="75"/>
      <c r="AB56" s="1358"/>
    </row>
    <row r="57" spans="1:28" hidden="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75"/>
      <c r="AA57" s="75"/>
      <c r="AB57" s="2"/>
    </row>
    <row r="58" spans="1:28" ht="25.5" hidden="1" x14ac:dyDescent="0.4">
      <c r="B58" s="519" t="s">
        <v>1142</v>
      </c>
      <c r="C58" s="1306">
        <f>+'F13 SEZ'!C223</f>
        <v>0</v>
      </c>
      <c r="D58" s="75"/>
      <c r="E58" s="75"/>
      <c r="F58" s="75"/>
      <c r="G58" s="75"/>
      <c r="H58" s="75"/>
      <c r="I58" s="75"/>
      <c r="J58" s="75"/>
      <c r="K58" s="1306"/>
      <c r="L58" s="628">
        <f>+'F1 SEZ'!K31</f>
        <v>0</v>
      </c>
      <c r="M58" s="628"/>
      <c r="N58" s="628"/>
      <c r="O58" s="628"/>
      <c r="P58" s="628"/>
      <c r="Q58" s="628"/>
      <c r="R58" s="628"/>
      <c r="S58" s="628"/>
      <c r="T58" s="628"/>
      <c r="U58" s="628">
        <f>SUM(N58:T58)</f>
        <v>0</v>
      </c>
      <c r="V58" s="75"/>
      <c r="W58" s="628">
        <f>+U58+V58</f>
        <v>0</v>
      </c>
      <c r="X58" s="75"/>
      <c r="Y58" s="75"/>
      <c r="Z58" s="75"/>
      <c r="AA58" s="75"/>
      <c r="AB58" s="2"/>
    </row>
    <row r="59" spans="1:28" hidden="1" x14ac:dyDescent="0.4">
      <c r="A59" s="1339"/>
      <c r="B59" s="1360" t="s">
        <v>1544</v>
      </c>
      <c r="C59" s="75"/>
      <c r="D59" s="75"/>
      <c r="E59" s="75"/>
      <c r="F59" s="75"/>
      <c r="G59" s="1221">
        <f>+$F58*'Tariff Schedule'!E$50</f>
        <v>0</v>
      </c>
      <c r="H59" s="75"/>
      <c r="I59" s="75"/>
      <c r="J59" s="75"/>
      <c r="K59" s="1306"/>
      <c r="L59" s="628"/>
      <c r="M59" s="628"/>
      <c r="N59" s="628"/>
      <c r="O59" s="628"/>
      <c r="P59" s="628"/>
      <c r="Q59" s="628">
        <f>+G59*M59/10</f>
        <v>0</v>
      </c>
      <c r="R59" s="628"/>
      <c r="S59" s="628"/>
      <c r="T59" s="628"/>
      <c r="U59" s="628"/>
      <c r="V59" s="75"/>
      <c r="W59" s="628"/>
      <c r="X59" s="1221"/>
      <c r="Y59" s="75"/>
      <c r="Z59" s="75"/>
      <c r="AA59" s="75"/>
      <c r="AB59" s="1358"/>
    </row>
    <row r="60" spans="1:28" hidden="1" x14ac:dyDescent="0.4">
      <c r="A60" s="1339"/>
      <c r="B60" s="1360" t="s">
        <v>1545</v>
      </c>
      <c r="C60" s="75"/>
      <c r="D60" s="75"/>
      <c r="E60" s="75"/>
      <c r="F60" s="75"/>
      <c r="G60" s="1221">
        <f>+$F58*'Tariff Schedule'!E$51</f>
        <v>0</v>
      </c>
      <c r="H60" s="75"/>
      <c r="I60" s="75"/>
      <c r="J60" s="75"/>
      <c r="K60" s="1306"/>
      <c r="L60" s="628"/>
      <c r="M60" s="628"/>
      <c r="N60" s="628"/>
      <c r="O60" s="628"/>
      <c r="P60" s="628"/>
      <c r="Q60" s="628">
        <f>+G60*M60/10</f>
        <v>0</v>
      </c>
      <c r="R60" s="628"/>
      <c r="S60" s="628"/>
      <c r="T60" s="628"/>
      <c r="U60" s="628"/>
      <c r="V60" s="75"/>
      <c r="W60" s="628"/>
      <c r="X60" s="1221"/>
      <c r="Y60" s="75"/>
      <c r="Z60" s="75"/>
      <c r="AA60" s="75"/>
      <c r="AB60" s="1358"/>
    </row>
    <row r="61" spans="1:28" hidden="1" x14ac:dyDescent="0.4">
      <c r="A61" s="1339"/>
      <c r="B61" s="1360" t="s">
        <v>1546</v>
      </c>
      <c r="C61" s="75"/>
      <c r="D61" s="75"/>
      <c r="E61" s="75"/>
      <c r="F61" s="75"/>
      <c r="G61" s="1221">
        <f>+$F58*'Tariff Schedule'!E$52</f>
        <v>0</v>
      </c>
      <c r="H61" s="75"/>
      <c r="I61" s="75"/>
      <c r="J61" s="75"/>
      <c r="K61" s="1306"/>
      <c r="L61" s="628"/>
      <c r="M61" s="628"/>
      <c r="N61" s="628"/>
      <c r="O61" s="628"/>
      <c r="P61" s="628"/>
      <c r="Q61" s="628">
        <f>+G61*M61/10</f>
        <v>0</v>
      </c>
      <c r="R61" s="628"/>
      <c r="S61" s="628"/>
      <c r="T61" s="628"/>
      <c r="U61" s="628"/>
      <c r="V61" s="75"/>
      <c r="W61" s="628"/>
      <c r="X61" s="1221"/>
      <c r="Y61" s="75"/>
      <c r="Z61" s="75"/>
      <c r="AA61" s="75"/>
      <c r="AB61" s="1358"/>
    </row>
    <row r="62" spans="1:28" hidden="1" x14ac:dyDescent="0.4">
      <c r="A62" s="1339"/>
      <c r="B62" s="1360" t="s">
        <v>1549</v>
      </c>
      <c r="C62" s="75"/>
      <c r="D62" s="75"/>
      <c r="E62" s="75"/>
      <c r="F62" s="75"/>
      <c r="G62" s="1221">
        <f>+$F58*'Tariff Schedule'!E$55</f>
        <v>0</v>
      </c>
      <c r="H62" s="75"/>
      <c r="I62" s="75"/>
      <c r="J62" s="75"/>
      <c r="K62" s="1306"/>
      <c r="L62" s="628"/>
      <c r="M62" s="628"/>
      <c r="N62" s="628"/>
      <c r="O62" s="628"/>
      <c r="P62" s="628"/>
      <c r="Q62" s="628">
        <f>+G62*M62/10</f>
        <v>0</v>
      </c>
      <c r="R62" s="628"/>
      <c r="S62" s="628"/>
      <c r="T62" s="628"/>
      <c r="U62" s="628"/>
      <c r="V62" s="75"/>
      <c r="W62" s="628"/>
      <c r="X62" s="1221"/>
      <c r="Y62" s="75"/>
      <c r="Z62" s="75"/>
      <c r="AA62" s="75"/>
      <c r="AB62" s="1358"/>
    </row>
    <row r="63" spans="1:28" x14ac:dyDescent="0.4">
      <c r="B63" s="518" t="s">
        <v>162</v>
      </c>
      <c r="C63" s="1308">
        <f>+C27+C34+C46+C51+C52+C58</f>
        <v>1</v>
      </c>
      <c r="D63" s="1308"/>
      <c r="E63" s="1310"/>
      <c r="F63" s="1310"/>
      <c r="G63" s="1310"/>
      <c r="H63" s="1310"/>
      <c r="I63" s="1310"/>
      <c r="J63" s="1310"/>
      <c r="K63" s="1308">
        <f>+K27+K34+K46+K51+K52+K58</f>
        <v>19</v>
      </c>
      <c r="L63" s="630">
        <f>+L27+L34+L46+L51+L52+L58</f>
        <v>0.33779853227978168</v>
      </c>
      <c r="M63" s="630">
        <f t="shared" ref="M63:W63" si="1">+M27+M34+M46+M51+M52+M58</f>
        <v>0.34469237987732826</v>
      </c>
      <c r="N63" s="630">
        <f t="shared" si="1"/>
        <v>7.7999999999999999E-4</v>
      </c>
      <c r="O63" s="630">
        <f t="shared" si="1"/>
        <v>0</v>
      </c>
      <c r="P63" s="630">
        <f t="shared" si="1"/>
        <v>0.21788005332045918</v>
      </c>
      <c r="Q63" s="630">
        <f t="shared" si="1"/>
        <v>0</v>
      </c>
      <c r="R63" s="630">
        <f t="shared" ca="1" si="1"/>
        <v>6.948617015533462E-2</v>
      </c>
      <c r="S63" s="630">
        <f t="shared" si="1"/>
        <v>0</v>
      </c>
      <c r="T63" s="630">
        <f t="shared" si="1"/>
        <v>0</v>
      </c>
      <c r="U63" s="630">
        <f t="shared" ca="1" si="1"/>
        <v>0.28814622347579377</v>
      </c>
      <c r="V63" s="630">
        <f t="shared" si="1"/>
        <v>0</v>
      </c>
      <c r="W63" s="630">
        <f t="shared" ca="1" si="1"/>
        <v>0.28814622347579377</v>
      </c>
      <c r="X63" s="1222">
        <f ca="1">IFERROR(W63/L63*10,0)</f>
        <v>8.530120647094364</v>
      </c>
      <c r="Y63" s="75"/>
      <c r="Z63" s="75"/>
      <c r="AA63" s="75"/>
      <c r="AB63" s="2"/>
    </row>
    <row r="64" spans="1:28"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75"/>
      <c r="Z64" s="75"/>
      <c r="AA64" s="75"/>
      <c r="AB64" s="2"/>
    </row>
    <row r="65" spans="1:28" x14ac:dyDescent="0.4">
      <c r="B65" s="119" t="s">
        <v>164</v>
      </c>
      <c r="C65" s="1308">
        <f t="shared" ref="C65:W65" si="2">+C63+C25</f>
        <v>5</v>
      </c>
      <c r="D65" s="1309">
        <f t="shared" si="2"/>
        <v>0</v>
      </c>
      <c r="E65" s="1309">
        <f t="shared" si="2"/>
        <v>0</v>
      </c>
      <c r="F65" s="1309">
        <f t="shared" si="2"/>
        <v>0</v>
      </c>
      <c r="G65" s="1309">
        <f t="shared" si="2"/>
        <v>0</v>
      </c>
      <c r="H65" s="1309">
        <f t="shared" si="2"/>
        <v>0</v>
      </c>
      <c r="I65" s="1309">
        <f t="shared" si="2"/>
        <v>0</v>
      </c>
      <c r="J65" s="1309">
        <f t="shared" si="2"/>
        <v>0</v>
      </c>
      <c r="K65" s="1336">
        <f t="shared" si="2"/>
        <v>25559</v>
      </c>
      <c r="L65" s="630">
        <f t="shared" si="2"/>
        <v>162.93045249876553</v>
      </c>
      <c r="M65" s="630">
        <f t="shared" si="2"/>
        <v>164.58006593875274</v>
      </c>
      <c r="N65" s="630">
        <f t="shared" si="2"/>
        <v>7.7999999999999999E-4</v>
      </c>
      <c r="O65" s="630">
        <f t="shared" si="2"/>
        <v>17.924399999999999</v>
      </c>
      <c r="P65" s="630">
        <f t="shared" si="2"/>
        <v>88.407995129866308</v>
      </c>
      <c r="Q65" s="630">
        <f t="shared" si="2"/>
        <v>0</v>
      </c>
      <c r="R65" s="630">
        <f t="shared" ca="1" si="2"/>
        <v>33.177520402587113</v>
      </c>
      <c r="S65" s="630">
        <f t="shared" si="2"/>
        <v>0</v>
      </c>
      <c r="T65" s="630">
        <f t="shared" si="2"/>
        <v>0</v>
      </c>
      <c r="U65" s="630">
        <f t="shared" ca="1" si="2"/>
        <v>139.51069553245341</v>
      </c>
      <c r="V65" s="1309">
        <f t="shared" si="2"/>
        <v>0</v>
      </c>
      <c r="W65" s="630">
        <f t="shared" ca="1" si="2"/>
        <v>139.51069553245341</v>
      </c>
      <c r="X65" s="1222">
        <f ca="1">IFERROR(W65/L65*10,0)</f>
        <v>8.5625917925631754</v>
      </c>
      <c r="Y65" s="1503">
        <f ca="1">+X65/'Gap Adjustment'!$K$124</f>
        <v>1.0001717716525296</v>
      </c>
      <c r="Z65" s="1222">
        <f ca="1">(U65-R65)/L65*10</f>
        <v>6.5262922614587326</v>
      </c>
      <c r="AA65" s="1503">
        <f ca="1">+Z65/'Gap Adjustment'!$K$126</f>
        <v>1.0002180744120741</v>
      </c>
      <c r="AB65" s="2"/>
    </row>
    <row r="66" spans="1:28"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75"/>
      <c r="AA66" s="75"/>
      <c r="AB66" s="2"/>
    </row>
    <row r="67" spans="1:28" x14ac:dyDescent="0.4">
      <c r="B67" s="118"/>
      <c r="C67" s="103"/>
      <c r="D67" s="103"/>
      <c r="E67" s="103"/>
      <c r="F67" s="103"/>
      <c r="G67" s="103"/>
      <c r="H67" s="103"/>
      <c r="I67" s="103"/>
      <c r="J67" s="103"/>
      <c r="K67" s="1333"/>
      <c r="L67" s="1328"/>
      <c r="M67" s="1328"/>
      <c r="N67" s="1328"/>
      <c r="O67" s="103"/>
      <c r="P67" s="103"/>
      <c r="Q67" s="103"/>
      <c r="R67" s="1504">
        <f ca="1">+'Gap Adjustment'!K80-R65</f>
        <v>-7.7637816649911429E-4</v>
      </c>
      <c r="S67" s="103"/>
      <c r="T67" s="103"/>
      <c r="U67" s="103"/>
      <c r="V67" s="103"/>
      <c r="W67" s="1328">
        <f ca="1">+'Gap Adjustment'!K96-W65</f>
        <v>-2.3959867091178921E-2</v>
      </c>
      <c r="X67" s="103"/>
      <c r="Y67" s="103"/>
      <c r="Z67" s="103"/>
      <c r="AA67" s="103"/>
    </row>
    <row r="68" spans="1:28" x14ac:dyDescent="0.4">
      <c r="B68" s="7" t="s">
        <v>1608</v>
      </c>
      <c r="C68" s="7"/>
      <c r="D68" s="7"/>
      <c r="E68" s="7"/>
      <c r="F68" s="7"/>
      <c r="G68" s="7"/>
      <c r="H68" s="7"/>
      <c r="I68" s="7"/>
      <c r="J68" s="7"/>
      <c r="K68" s="1337"/>
      <c r="L68" s="1330"/>
      <c r="M68" s="1330"/>
      <c r="N68" s="1330"/>
      <c r="O68" s="7"/>
      <c r="P68" s="7"/>
      <c r="Q68" s="7"/>
      <c r="R68" s="7"/>
      <c r="S68" s="7"/>
      <c r="T68" s="7"/>
      <c r="U68" s="7"/>
      <c r="V68" s="7"/>
      <c r="W68" s="1330"/>
      <c r="X68" s="7"/>
      <c r="Y68" s="7"/>
      <c r="Z68" s="7"/>
      <c r="AA68" s="7"/>
    </row>
    <row r="69" spans="1:28"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c r="Z69" s="7"/>
      <c r="AA69" s="7"/>
    </row>
    <row r="70" spans="1:28"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c r="Z70" s="7"/>
      <c r="AA70" s="7"/>
    </row>
    <row r="72" spans="1:28" x14ac:dyDescent="0.4">
      <c r="B72" s="131" t="s">
        <v>744</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c r="Z72" s="103"/>
      <c r="AA72" s="103"/>
    </row>
    <row r="73" spans="1:28" x14ac:dyDescent="0.4">
      <c r="B73" s="131" t="s">
        <v>1604</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c r="Z73" s="103"/>
      <c r="AA73" s="103"/>
    </row>
    <row r="74" spans="1:28"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c r="Z74" s="103"/>
      <c r="AA74" s="103"/>
    </row>
    <row r="75" spans="1:28"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947" t="s">
        <v>1718</v>
      </c>
      <c r="AA75" s="1947" t="s">
        <v>1717</v>
      </c>
      <c r="AB75" s="1947" t="s">
        <v>1570</v>
      </c>
    </row>
    <row r="76" spans="1:28"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947"/>
      <c r="AA76" s="1947"/>
      <c r="AB76" s="1947"/>
    </row>
    <row r="77" spans="1:28"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80"/>
      <c r="AA77" s="80"/>
      <c r="AB77" s="2"/>
    </row>
    <row r="78" spans="1:28" s="6" customFormat="1" ht="13.5" x14ac:dyDescent="0.35">
      <c r="A78" s="1364">
        <f>+'F13.1'!A48</f>
        <v>0.9</v>
      </c>
      <c r="B78" s="517" t="s">
        <v>1129</v>
      </c>
      <c r="C78" s="128">
        <f>+'F13.2'!C78</f>
        <v>1</v>
      </c>
      <c r="D78" s="128"/>
      <c r="E78" s="128">
        <v>650</v>
      </c>
      <c r="F78" s="1365">
        <f>+'Tariff Schedule'!N14</f>
        <v>7.51</v>
      </c>
      <c r="G78" s="128"/>
      <c r="H78" s="1365">
        <v>0.81</v>
      </c>
      <c r="I78" s="128"/>
      <c r="J78" s="128"/>
      <c r="K78" s="1336">
        <v>211</v>
      </c>
      <c r="L78" s="630">
        <f>+'F1 Non-SEZ'!K12</f>
        <v>0.18479900000000216</v>
      </c>
      <c r="M78" s="630">
        <f>+L78/AB78</f>
        <v>0.18666565656565876</v>
      </c>
      <c r="N78" s="630"/>
      <c r="O78" s="630">
        <f>(K78*E78)*12/10^7*A78</f>
        <v>0.148122</v>
      </c>
      <c r="P78" s="630">
        <f>(M78*F78)/10</f>
        <v>0.14018590808080972</v>
      </c>
      <c r="Q78" s="630">
        <f>SUM(Q79:Q82)</f>
        <v>0</v>
      </c>
      <c r="R78" s="630">
        <f>(M78*H78)/10</f>
        <v>1.5119918181818359E-2</v>
      </c>
      <c r="S78" s="630"/>
      <c r="T78" s="630"/>
      <c r="U78" s="630">
        <f>SUM(N78:T78)</f>
        <v>0.3034278262626281</v>
      </c>
      <c r="V78" s="128"/>
      <c r="W78" s="630">
        <f>+U78+V78</f>
        <v>0.3034278262626281</v>
      </c>
      <c r="X78" s="1222">
        <f>IFERROR(W78/L78*10,0)</f>
        <v>16.419343517152395</v>
      </c>
      <c r="Y78" s="1503"/>
      <c r="Z78" s="1222"/>
      <c r="AA78" s="1503"/>
      <c r="AB78" s="1366">
        <f>+'Tariff Schedule'!X14</f>
        <v>0.99</v>
      </c>
    </row>
    <row r="79" spans="1:28" x14ac:dyDescent="0.4">
      <c r="A79" s="1339"/>
      <c r="B79" s="1360" t="s">
        <v>1544</v>
      </c>
      <c r="C79" s="75"/>
      <c r="D79" s="75"/>
      <c r="E79" s="75"/>
      <c r="F79" s="75"/>
      <c r="G79" s="1221"/>
      <c r="H79" s="75"/>
      <c r="I79" s="75"/>
      <c r="J79" s="75"/>
      <c r="K79" s="1306"/>
      <c r="L79" s="628"/>
      <c r="M79" s="628">
        <f>+$M$78*Assum!E125</f>
        <v>4.5705982354672804E-2</v>
      </c>
      <c r="N79" s="628"/>
      <c r="O79" s="628"/>
      <c r="P79" s="628"/>
      <c r="Q79" s="628">
        <f>+G79*M79/10</f>
        <v>0</v>
      </c>
      <c r="R79" s="628"/>
      <c r="S79" s="628"/>
      <c r="T79" s="628"/>
      <c r="U79" s="628"/>
      <c r="V79" s="75"/>
      <c r="W79" s="628"/>
      <c r="X79" s="1221"/>
      <c r="Y79" s="75"/>
      <c r="Z79" s="75"/>
      <c r="AA79" s="75"/>
      <c r="AB79" s="1358"/>
    </row>
    <row r="80" spans="1:28" x14ac:dyDescent="0.4">
      <c r="A80" s="1339"/>
      <c r="B80" s="1360" t="s">
        <v>1545</v>
      </c>
      <c r="C80" s="75"/>
      <c r="D80" s="75"/>
      <c r="E80" s="75"/>
      <c r="F80" s="75"/>
      <c r="G80" s="1221"/>
      <c r="H80" s="75"/>
      <c r="I80" s="75"/>
      <c r="J80" s="75"/>
      <c r="K80" s="1306"/>
      <c r="L80" s="628"/>
      <c r="M80" s="628">
        <f>+$M$78*Assum!E126</f>
        <v>2.3562816725167475E-2</v>
      </c>
      <c r="N80" s="628"/>
      <c r="O80" s="628"/>
      <c r="P80" s="628"/>
      <c r="Q80" s="628">
        <f>+G80*M80/10</f>
        <v>0</v>
      </c>
      <c r="R80" s="628"/>
      <c r="S80" s="628"/>
      <c r="T80" s="628"/>
      <c r="U80" s="628"/>
      <c r="V80" s="75"/>
      <c r="W80" s="628"/>
      <c r="X80" s="1221"/>
      <c r="Y80" s="75"/>
      <c r="Z80" s="75"/>
      <c r="AA80" s="75"/>
      <c r="AB80" s="1358"/>
    </row>
    <row r="81" spans="1:28" x14ac:dyDescent="0.4">
      <c r="A81" s="1339"/>
      <c r="B81" s="1360" t="s">
        <v>1546</v>
      </c>
      <c r="C81" s="75"/>
      <c r="D81" s="75"/>
      <c r="E81" s="75"/>
      <c r="F81" s="75"/>
      <c r="G81" s="1221"/>
      <c r="H81" s="75"/>
      <c r="I81" s="75"/>
      <c r="J81" s="75"/>
      <c r="K81" s="1306"/>
      <c r="L81" s="628"/>
      <c r="M81" s="628">
        <f>+$M$78*Assum!E127</f>
        <v>6.2753697377773004E-2</v>
      </c>
      <c r="N81" s="628"/>
      <c r="O81" s="628"/>
      <c r="P81" s="628"/>
      <c r="Q81" s="628">
        <f>+G81*M81/10</f>
        <v>0</v>
      </c>
      <c r="R81" s="628"/>
      <c r="S81" s="628"/>
      <c r="T81" s="628"/>
      <c r="U81" s="628"/>
      <c r="V81" s="75"/>
      <c r="W81" s="628"/>
      <c r="X81" s="1221"/>
      <c r="Y81" s="75"/>
      <c r="Z81" s="75"/>
      <c r="AA81" s="75"/>
      <c r="AB81" s="1358"/>
    </row>
    <row r="82" spans="1:28" x14ac:dyDescent="0.4">
      <c r="A82" s="1339"/>
      <c r="B82" s="1360" t="s">
        <v>1549</v>
      </c>
      <c r="C82" s="75"/>
      <c r="D82" s="75"/>
      <c r="E82" s="75"/>
      <c r="F82" s="75"/>
      <c r="G82" s="1221"/>
      <c r="H82" s="75"/>
      <c r="I82" s="75"/>
      <c r="J82" s="75"/>
      <c r="K82" s="1306"/>
      <c r="L82" s="628"/>
      <c r="M82" s="628">
        <f>+$M$78*Assum!E128</f>
        <v>5.4643160108045465E-2</v>
      </c>
      <c r="N82" s="628"/>
      <c r="O82" s="628"/>
      <c r="P82" s="628"/>
      <c r="Q82" s="628">
        <f>+G82*M82/10</f>
        <v>0</v>
      </c>
      <c r="R82" s="628"/>
      <c r="S82" s="628"/>
      <c r="T82" s="628"/>
      <c r="U82" s="628"/>
      <c r="V82" s="75"/>
      <c r="W82" s="628"/>
      <c r="X82" s="1221"/>
      <c r="Y82" s="75"/>
      <c r="Z82" s="75"/>
      <c r="AA82" s="75"/>
      <c r="AB82" s="1358"/>
    </row>
    <row r="83" spans="1:28" s="6" customFormat="1" ht="13.5" x14ac:dyDescent="0.35">
      <c r="A83" s="1364">
        <f>+'F13.1'!A49</f>
        <v>0.75</v>
      </c>
      <c r="B83" s="517" t="s">
        <v>1130</v>
      </c>
      <c r="C83" s="128">
        <f>+'F13.2'!C83</f>
        <v>3</v>
      </c>
      <c r="D83" s="128"/>
      <c r="E83" s="128">
        <v>650</v>
      </c>
      <c r="F83" s="1365">
        <f>+'Tariff Schedule'!N15</f>
        <v>12.21</v>
      </c>
      <c r="G83" s="128"/>
      <c r="H83" s="1365">
        <v>0.81</v>
      </c>
      <c r="I83" s="128"/>
      <c r="J83" s="128"/>
      <c r="K83" s="1336">
        <v>475</v>
      </c>
      <c r="L83" s="630">
        <f>+'F1 Non-SEZ'!K13</f>
        <v>0.71129286803162961</v>
      </c>
      <c r="M83" s="630">
        <f>+L83/AB83</f>
        <v>0.72580904901186694</v>
      </c>
      <c r="N83" s="630"/>
      <c r="O83" s="630">
        <f>(K83*E83)*12/10^7*A83</f>
        <v>0.27787499999999998</v>
      </c>
      <c r="P83" s="630">
        <f>(M83*F83)/10</f>
        <v>0.88621284884348961</v>
      </c>
      <c r="Q83" s="630">
        <f>SUM(Q84:Q87)</f>
        <v>0</v>
      </c>
      <c r="R83" s="630">
        <f>(M83*H83)/10</f>
        <v>5.8790532969961229E-2</v>
      </c>
      <c r="S83" s="630"/>
      <c r="T83" s="630"/>
      <c r="U83" s="630">
        <f>SUM(N83:T83)</f>
        <v>1.2228783818134508</v>
      </c>
      <c r="V83" s="128"/>
      <c r="W83" s="630">
        <f>+U83+V83</f>
        <v>1.2228783818134508</v>
      </c>
      <c r="X83" s="1222">
        <f>IFERROR(W83/L83*10,0)</f>
        <v>17.192332958399241</v>
      </c>
      <c r="Y83" s="1503"/>
      <c r="Z83" s="1222"/>
      <c r="AA83" s="1503"/>
      <c r="AB83" s="1366">
        <f>+'Tariff Schedule'!X15</f>
        <v>0.98</v>
      </c>
    </row>
    <row r="84" spans="1:28" x14ac:dyDescent="0.4">
      <c r="A84" s="1339"/>
      <c r="B84" s="1360" t="s">
        <v>1544</v>
      </c>
      <c r="C84" s="75"/>
      <c r="D84" s="75"/>
      <c r="E84" s="75"/>
      <c r="F84" s="75"/>
      <c r="G84" s="1221"/>
      <c r="H84" s="75"/>
      <c r="I84" s="75"/>
      <c r="J84" s="75"/>
      <c r="K84" s="1306"/>
      <c r="L84" s="628"/>
      <c r="M84" s="628">
        <f>+$M$83*Assum!F125</f>
        <v>0.10222260875118724</v>
      </c>
      <c r="N84" s="628"/>
      <c r="O84" s="628"/>
      <c r="P84" s="628"/>
      <c r="Q84" s="628">
        <f>+G84*M84/10</f>
        <v>0</v>
      </c>
      <c r="R84" s="628"/>
      <c r="S84" s="628"/>
      <c r="T84" s="628"/>
      <c r="U84" s="628"/>
      <c r="V84" s="75"/>
      <c r="W84" s="628"/>
      <c r="X84" s="1221"/>
      <c r="Y84" s="75"/>
      <c r="Z84" s="75"/>
      <c r="AA84" s="75"/>
      <c r="AB84" s="1358"/>
    </row>
    <row r="85" spans="1:28" x14ac:dyDescent="0.4">
      <c r="A85" s="1339"/>
      <c r="B85" s="1360" t="s">
        <v>1545</v>
      </c>
      <c r="C85" s="75"/>
      <c r="D85" s="75"/>
      <c r="E85" s="75"/>
      <c r="F85" s="75"/>
      <c r="G85" s="1221"/>
      <c r="H85" s="75"/>
      <c r="I85" s="75"/>
      <c r="J85" s="75"/>
      <c r="K85" s="1306"/>
      <c r="L85" s="628"/>
      <c r="M85" s="628">
        <f>+$M$83*Assum!F126</f>
        <v>0.10311097571153499</v>
      </c>
      <c r="N85" s="628"/>
      <c r="O85" s="628"/>
      <c r="P85" s="628"/>
      <c r="Q85" s="628">
        <f>+G85*M85/10</f>
        <v>0</v>
      </c>
      <c r="R85" s="628"/>
      <c r="S85" s="628"/>
      <c r="T85" s="628"/>
      <c r="U85" s="628"/>
      <c r="V85" s="75"/>
      <c r="W85" s="628"/>
      <c r="X85" s="1221"/>
      <c r="Y85" s="75"/>
      <c r="Z85" s="75"/>
      <c r="AA85" s="75"/>
      <c r="AB85" s="1358"/>
    </row>
    <row r="86" spans="1:28" x14ac:dyDescent="0.4">
      <c r="A86" s="1339"/>
      <c r="B86" s="1360" t="s">
        <v>1546</v>
      </c>
      <c r="C86" s="75"/>
      <c r="D86" s="75"/>
      <c r="E86" s="75"/>
      <c r="F86" s="75"/>
      <c r="G86" s="1221"/>
      <c r="H86" s="75"/>
      <c r="I86" s="75"/>
      <c r="J86" s="75"/>
      <c r="K86" s="1306"/>
      <c r="L86" s="628"/>
      <c r="M86" s="628">
        <f>+$M$83*Assum!F127</f>
        <v>0.31118254994663547</v>
      </c>
      <c r="N86" s="628"/>
      <c r="O86" s="628"/>
      <c r="P86" s="628"/>
      <c r="Q86" s="628">
        <f>+G86*M86/10</f>
        <v>0</v>
      </c>
      <c r="R86" s="628"/>
      <c r="S86" s="628"/>
      <c r="T86" s="628"/>
      <c r="U86" s="628"/>
      <c r="V86" s="75"/>
      <c r="W86" s="628"/>
      <c r="X86" s="1221"/>
      <c r="Y86" s="75"/>
      <c r="Z86" s="75"/>
      <c r="AA86" s="75"/>
      <c r="AB86" s="1358"/>
    </row>
    <row r="87" spans="1:28" x14ac:dyDescent="0.4">
      <c r="A87" s="1339"/>
      <c r="B87" s="1360" t="s">
        <v>1549</v>
      </c>
      <c r="C87" s="75"/>
      <c r="D87" s="75"/>
      <c r="E87" s="75"/>
      <c r="F87" s="75"/>
      <c r="G87" s="1221"/>
      <c r="H87" s="75"/>
      <c r="I87" s="75"/>
      <c r="J87" s="75"/>
      <c r="K87" s="1306"/>
      <c r="L87" s="628"/>
      <c r="M87" s="628">
        <f>+$M$83*Assum!F128</f>
        <v>0.20929291460250921</v>
      </c>
      <c r="N87" s="628"/>
      <c r="O87" s="628"/>
      <c r="P87" s="628"/>
      <c r="Q87" s="628">
        <f>+G87*M87/10</f>
        <v>0</v>
      </c>
      <c r="R87" s="628"/>
      <c r="S87" s="628"/>
      <c r="T87" s="628"/>
      <c r="U87" s="628"/>
      <c r="V87" s="75"/>
      <c r="W87" s="628"/>
      <c r="X87" s="1221"/>
      <c r="Y87" s="75"/>
      <c r="Z87" s="75"/>
      <c r="AA87" s="75"/>
      <c r="AB87" s="1358"/>
    </row>
    <row r="88" spans="1:28"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75"/>
      <c r="AA88" s="75"/>
      <c r="AB88" s="2"/>
    </row>
    <row r="89" spans="1:28"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75"/>
      <c r="AA89" s="75"/>
      <c r="AB89" s="2"/>
    </row>
    <row r="90" spans="1:28" x14ac:dyDescent="0.4">
      <c r="B90" s="518" t="s">
        <v>162</v>
      </c>
      <c r="C90" s="128">
        <f>SUM(C78:C89)</f>
        <v>4</v>
      </c>
      <c r="D90" s="1309"/>
      <c r="E90" s="1309"/>
      <c r="F90" s="1309"/>
      <c r="G90" s="1309"/>
      <c r="H90" s="1309"/>
      <c r="I90" s="1309"/>
      <c r="J90" s="1309"/>
      <c r="K90" s="1336">
        <f>SUM(K78:K89)</f>
        <v>686</v>
      </c>
      <c r="L90" s="630">
        <f>SUM(L78:L89)</f>
        <v>0.89609186803163177</v>
      </c>
      <c r="M90" s="630">
        <f>SUM(M78:M89)</f>
        <v>1.8249494111550515</v>
      </c>
      <c r="N90" s="630">
        <f t="shared" ref="N90:W90" si="3">+N78+N83</f>
        <v>0</v>
      </c>
      <c r="O90" s="630">
        <f t="shared" si="3"/>
        <v>0.42599699999999996</v>
      </c>
      <c r="P90" s="630">
        <f t="shared" si="3"/>
        <v>1.0263987569242994</v>
      </c>
      <c r="Q90" s="630">
        <f t="shared" si="3"/>
        <v>0</v>
      </c>
      <c r="R90" s="630">
        <f t="shared" si="3"/>
        <v>7.3910451151779591E-2</v>
      </c>
      <c r="S90" s="630">
        <f t="shared" si="3"/>
        <v>0</v>
      </c>
      <c r="T90" s="630">
        <f t="shared" si="3"/>
        <v>0</v>
      </c>
      <c r="U90" s="630">
        <f t="shared" si="3"/>
        <v>1.526306208076079</v>
      </c>
      <c r="V90" s="630">
        <f t="shared" si="3"/>
        <v>0</v>
      </c>
      <c r="W90" s="630">
        <f t="shared" si="3"/>
        <v>1.526306208076079</v>
      </c>
      <c r="X90" s="1222">
        <f>IFERROR(W90/L90*10,0)</f>
        <v>17.032921093556904</v>
      </c>
      <c r="Y90" s="1503"/>
      <c r="Z90" s="1222"/>
      <c r="AA90" s="1503"/>
      <c r="AB90" s="2"/>
    </row>
    <row r="91" spans="1:28"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75"/>
      <c r="AA91" s="75"/>
      <c r="AB91" s="2"/>
    </row>
    <row r="92" spans="1:28" s="6" customFormat="1" ht="13.5" x14ac:dyDescent="0.35">
      <c r="B92" s="1363" t="s">
        <v>1133</v>
      </c>
      <c r="C92" s="128"/>
      <c r="D92" s="128">
        <v>435</v>
      </c>
      <c r="E92" s="128"/>
      <c r="F92" s="128"/>
      <c r="G92" s="128"/>
      <c r="H92" s="128"/>
      <c r="I92" s="128"/>
      <c r="J92" s="128"/>
      <c r="K92" s="1336"/>
      <c r="L92" s="630">
        <f>SUM(L93:L96)</f>
        <v>8.6118653808040513</v>
      </c>
      <c r="M92" s="630">
        <f t="shared" ref="M92:W92" si="4">SUM(M93:M96)</f>
        <v>8.6118653808040513</v>
      </c>
      <c r="N92" s="630">
        <f t="shared" si="4"/>
        <v>1.295604</v>
      </c>
      <c r="O92" s="630">
        <f t="shared" si="4"/>
        <v>0</v>
      </c>
      <c r="P92" s="630">
        <f t="shared" si="4"/>
        <v>9.7036807731927048</v>
      </c>
      <c r="Q92" s="630">
        <f t="shared" si="4"/>
        <v>0</v>
      </c>
      <c r="R92" s="630">
        <f t="shared" si="4"/>
        <v>1.3778984609286484</v>
      </c>
      <c r="S92" s="630">
        <f t="shared" si="4"/>
        <v>0</v>
      </c>
      <c r="T92" s="630">
        <f t="shared" si="4"/>
        <v>0</v>
      </c>
      <c r="U92" s="630">
        <f t="shared" si="4"/>
        <v>12.377183234121352</v>
      </c>
      <c r="V92" s="630">
        <f t="shared" si="4"/>
        <v>0</v>
      </c>
      <c r="W92" s="630">
        <f t="shared" si="4"/>
        <v>12.377183234121352</v>
      </c>
      <c r="X92" s="1222">
        <f>IFERROR(W92/L92*10,0)</f>
        <v>14.37224420821793</v>
      </c>
      <c r="Y92" s="1503"/>
      <c r="Z92" s="1222"/>
      <c r="AA92" s="1503"/>
      <c r="AB92" s="3"/>
    </row>
    <row r="93" spans="1:28" x14ac:dyDescent="0.4">
      <c r="B93" s="520" t="s">
        <v>1106</v>
      </c>
      <c r="C93" s="19">
        <f>+'F13.2'!C93</f>
        <v>1424</v>
      </c>
      <c r="D93" s="75"/>
      <c r="E93" s="75"/>
      <c r="F93" s="1359">
        <f>+'Tariff Schedule'!N17</f>
        <v>3.52</v>
      </c>
      <c r="G93" s="1359"/>
      <c r="H93" s="1359">
        <v>1.6</v>
      </c>
      <c r="I93" s="75"/>
      <c r="J93" s="75"/>
      <c r="K93" s="1306"/>
      <c r="L93" s="628">
        <f>+'F1 Non-SEZ'!K19</f>
        <v>2.0022014349328505</v>
      </c>
      <c r="M93" s="628">
        <f>+L93/AB93</f>
        <v>2.0022014349328505</v>
      </c>
      <c r="N93" s="628">
        <f>+C93*$D$92*12/10^7</f>
        <v>0.74332799999999999</v>
      </c>
      <c r="O93" s="628"/>
      <c r="P93" s="628">
        <f>+L93*F93/10</f>
        <v>0.70477490509636342</v>
      </c>
      <c r="Q93" s="628">
        <f>+L93*Assum!$G$127*G93/10</f>
        <v>0</v>
      </c>
      <c r="R93" s="628">
        <f>(L93*H93)/10</f>
        <v>0.32035222958925613</v>
      </c>
      <c r="S93" s="628"/>
      <c r="T93" s="628"/>
      <c r="U93" s="628">
        <f>SUM(N93:T93)</f>
        <v>1.7684551346856194</v>
      </c>
      <c r="V93" s="75"/>
      <c r="W93" s="628">
        <f>+U93+V93</f>
        <v>1.7684551346856194</v>
      </c>
      <c r="X93" s="1221">
        <f>IFERROR(W93/L93*10,0)</f>
        <v>8.8325535274872564</v>
      </c>
      <c r="Y93" s="75"/>
      <c r="Z93" s="75"/>
      <c r="AA93" s="75"/>
      <c r="AB93" s="1358">
        <f>+'Tariff Schedule'!X17</f>
        <v>1</v>
      </c>
    </row>
    <row r="94" spans="1:28" x14ac:dyDescent="0.4">
      <c r="B94" s="520" t="s">
        <v>1107</v>
      </c>
      <c r="C94" s="19">
        <f>+'F13.2'!C94</f>
        <v>553</v>
      </c>
      <c r="D94" s="75"/>
      <c r="E94" s="75"/>
      <c r="F94" s="1359">
        <f>+'Tariff Schedule'!N18</f>
        <v>9.61</v>
      </c>
      <c r="G94" s="1359"/>
      <c r="H94" s="1359">
        <f>+$H$93</f>
        <v>1.6</v>
      </c>
      <c r="I94" s="75"/>
      <c r="J94" s="75"/>
      <c r="K94" s="1306"/>
      <c r="L94" s="628">
        <f>+'F1 Non-SEZ'!K20</f>
        <v>1.9389082816511378</v>
      </c>
      <c r="M94" s="628">
        <f>+L94/AB94</f>
        <v>1.9389082816511378</v>
      </c>
      <c r="N94" s="628">
        <f>+C94*$D$92*12/10^7</f>
        <v>0.28866599999999998</v>
      </c>
      <c r="O94" s="628"/>
      <c r="P94" s="628">
        <f>+L94*F94/10</f>
        <v>1.8632908586667434</v>
      </c>
      <c r="Q94" s="628">
        <f>+L94*Assum!$G$127*G94/10</f>
        <v>0</v>
      </c>
      <c r="R94" s="628">
        <f>(L94*H94)/10</f>
        <v>0.3102253250641821</v>
      </c>
      <c r="S94" s="628"/>
      <c r="T94" s="628"/>
      <c r="U94" s="628">
        <f>SUM(N94:T94)</f>
        <v>2.4621821837309255</v>
      </c>
      <c r="V94" s="75"/>
      <c r="W94" s="628">
        <f>+U94+V94</f>
        <v>2.4621821837309255</v>
      </c>
      <c r="X94" s="1221">
        <f>IFERROR(W94/L94*10,0)</f>
        <v>12.698806885461222</v>
      </c>
      <c r="Y94" s="75"/>
      <c r="Z94" s="75"/>
      <c r="AA94" s="75"/>
      <c r="AB94" s="1358">
        <f>+'Tariff Schedule'!X18</f>
        <v>1</v>
      </c>
    </row>
    <row r="95" spans="1:28" x14ac:dyDescent="0.4">
      <c r="B95" s="520" t="s">
        <v>1108</v>
      </c>
      <c r="C95" s="19">
        <f>+'F13.2'!C95</f>
        <v>294</v>
      </c>
      <c r="D95" s="75"/>
      <c r="E95" s="75"/>
      <c r="F95" s="1359">
        <f>+'Tariff Schedule'!N19</f>
        <v>13.38</v>
      </c>
      <c r="G95" s="1359"/>
      <c r="H95" s="1359">
        <f>+$H$93</f>
        <v>1.6</v>
      </c>
      <c r="I95" s="75"/>
      <c r="J95" s="75"/>
      <c r="K95" s="1306"/>
      <c r="L95" s="628">
        <f>+'F1 Non-SEZ'!K21</f>
        <v>0.67911633672838101</v>
      </c>
      <c r="M95" s="628">
        <f>+L95/AB95</f>
        <v>0.67911633672838101</v>
      </c>
      <c r="N95" s="628">
        <f>+C95*$D$92*12/10^7</f>
        <v>0.15346799999999999</v>
      </c>
      <c r="O95" s="628"/>
      <c r="P95" s="628">
        <f>+L95*F95/10</f>
        <v>0.90865765854257385</v>
      </c>
      <c r="Q95" s="628">
        <f>+L95*Assum!$G$127*G95/10</f>
        <v>0</v>
      </c>
      <c r="R95" s="628">
        <f>(L95*H95)/10</f>
        <v>0.10865861387654097</v>
      </c>
      <c r="S95" s="628"/>
      <c r="T95" s="628"/>
      <c r="U95" s="628">
        <f>SUM(N95:T95)</f>
        <v>1.1707842724191146</v>
      </c>
      <c r="V95" s="75"/>
      <c r="W95" s="628">
        <f>+U95+V95</f>
        <v>1.1707842724191146</v>
      </c>
      <c r="X95" s="1221">
        <f>IFERROR(W95/L95*10,0)</f>
        <v>17.23981899860231</v>
      </c>
      <c r="Y95" s="75"/>
      <c r="Z95" s="75"/>
      <c r="AA95" s="75"/>
      <c r="AB95" s="1358">
        <f>+'Tariff Schedule'!X19</f>
        <v>1</v>
      </c>
    </row>
    <row r="96" spans="1:28" x14ac:dyDescent="0.4">
      <c r="B96" s="520" t="s">
        <v>1109</v>
      </c>
      <c r="C96" s="19">
        <f>+'F13.2'!C96</f>
        <v>211</v>
      </c>
      <c r="D96" s="75"/>
      <c r="E96" s="75"/>
      <c r="F96" s="1359">
        <f>+'Tariff Schedule'!N20</f>
        <v>15.6</v>
      </c>
      <c r="G96" s="1359"/>
      <c r="H96" s="1359">
        <f>+$H$93</f>
        <v>1.6</v>
      </c>
      <c r="I96" s="75"/>
      <c r="J96" s="75"/>
      <c r="K96" s="1306"/>
      <c r="L96" s="628">
        <f>+'F1 Non-SEZ'!K22</f>
        <v>3.9916393274916824</v>
      </c>
      <c r="M96" s="628">
        <f>+L96/AB96</f>
        <v>3.9916393274916824</v>
      </c>
      <c r="N96" s="628">
        <f>+C96*$D$92*12/10^7</f>
        <v>0.110142</v>
      </c>
      <c r="O96" s="628"/>
      <c r="P96" s="628">
        <f>+L96*F96/10</f>
        <v>6.2269573508870248</v>
      </c>
      <c r="Q96" s="628">
        <f>+L96*Assum!$G$127*G96/10</f>
        <v>0</v>
      </c>
      <c r="R96" s="628">
        <f>(L96*H96)/10</f>
        <v>0.63866229239866923</v>
      </c>
      <c r="S96" s="628"/>
      <c r="T96" s="628"/>
      <c r="U96" s="628">
        <f>SUM(N96:T96)</f>
        <v>6.9757616432856935</v>
      </c>
      <c r="V96" s="75"/>
      <c r="W96" s="628">
        <f>+U96+V96</f>
        <v>6.9757616432856935</v>
      </c>
      <c r="X96" s="1221">
        <f>IFERROR(W96/L96*10,0)</f>
        <v>17.475931743736005</v>
      </c>
      <c r="Y96" s="75"/>
      <c r="Z96" s="75"/>
      <c r="AA96" s="75"/>
      <c r="AB96" s="1358">
        <f>+'Tariff Schedule'!X20</f>
        <v>1</v>
      </c>
    </row>
    <row r="97" spans="1:28" x14ac:dyDescent="0.4">
      <c r="B97" s="520" t="s">
        <v>1110</v>
      </c>
      <c r="C97" s="75"/>
      <c r="D97" s="75"/>
      <c r="E97" s="75"/>
      <c r="F97" s="75"/>
      <c r="G97" s="75"/>
      <c r="H97" s="75"/>
      <c r="I97" s="75"/>
      <c r="J97" s="75"/>
      <c r="K97" s="1306"/>
      <c r="L97" s="628"/>
      <c r="M97" s="628"/>
      <c r="N97" s="628"/>
      <c r="O97" s="628"/>
      <c r="P97" s="628"/>
      <c r="Q97" s="628"/>
      <c r="R97" s="628"/>
      <c r="S97" s="628"/>
      <c r="T97" s="628"/>
      <c r="U97" s="628"/>
      <c r="V97" s="75"/>
      <c r="W97" s="628"/>
      <c r="X97" s="75"/>
      <c r="Y97" s="75"/>
      <c r="Z97" s="75"/>
      <c r="AA97" s="75"/>
      <c r="AB97" s="2"/>
    </row>
    <row r="98" spans="1:28" s="6" customFormat="1" ht="25.5" x14ac:dyDescent="0.35">
      <c r="B98" s="1363" t="s">
        <v>1139</v>
      </c>
      <c r="C98" s="128"/>
      <c r="D98" s="128"/>
      <c r="E98" s="128"/>
      <c r="F98" s="128"/>
      <c r="G98" s="128"/>
      <c r="H98" s="128"/>
      <c r="I98" s="128"/>
      <c r="J98" s="128"/>
      <c r="K98" s="1336"/>
      <c r="L98" s="630">
        <f t="shared" ref="L98:R98" si="5">+L99+L100+L105</f>
        <v>1.1032567611925073</v>
      </c>
      <c r="M98" s="630">
        <f t="shared" si="5"/>
        <v>1.1186876083226089</v>
      </c>
      <c r="N98" s="630">
        <f t="shared" si="5"/>
        <v>2.7216000000000001E-2</v>
      </c>
      <c r="O98" s="630">
        <f t="shared" si="5"/>
        <v>0.119592</v>
      </c>
      <c r="P98" s="630">
        <f t="shared" si="5"/>
        <v>1.1500086268417431</v>
      </c>
      <c r="Q98" s="630">
        <f t="shared" si="5"/>
        <v>0</v>
      </c>
      <c r="R98" s="630">
        <f t="shared" si="5"/>
        <v>0.17168803758410628</v>
      </c>
      <c r="S98" s="630"/>
      <c r="T98" s="630"/>
      <c r="U98" s="630">
        <f>+U99+U100+U105</f>
        <v>1.4685046644258493</v>
      </c>
      <c r="V98" s="128"/>
      <c r="W98" s="630">
        <f>+W99+W100+W105</f>
        <v>1.4685046644258493</v>
      </c>
      <c r="X98" s="1222">
        <f>IFERROR(W98/L98*10,0)</f>
        <v>13.310633717200577</v>
      </c>
      <c r="Y98" s="1503"/>
      <c r="Z98" s="1222"/>
      <c r="AA98" s="1503"/>
      <c r="AB98" s="3"/>
    </row>
    <row r="99" spans="1:28" s="6" customFormat="1" x14ac:dyDescent="0.35">
      <c r="B99" s="1361" t="s">
        <v>1140</v>
      </c>
      <c r="C99" s="128">
        <f>+'F13.2'!C99</f>
        <v>42</v>
      </c>
      <c r="D99" s="128">
        <v>540</v>
      </c>
      <c r="E99" s="128"/>
      <c r="F99" s="1365">
        <f>+'Tariff Schedule'!N22</f>
        <v>7.57</v>
      </c>
      <c r="G99" s="128"/>
      <c r="H99" s="1359">
        <f>+$H$93</f>
        <v>1.6</v>
      </c>
      <c r="I99" s="128"/>
      <c r="J99" s="128"/>
      <c r="K99" s="1336"/>
      <c r="L99" s="630">
        <f>+'F1 Non-SEZ'!K25</f>
        <v>0.33636889514339563</v>
      </c>
      <c r="M99" s="630">
        <f>+L99/AB99</f>
        <v>0.34323356647285269</v>
      </c>
      <c r="N99" s="630">
        <f>+C99*D99*12/10^7</f>
        <v>2.7216000000000001E-2</v>
      </c>
      <c r="O99" s="630"/>
      <c r="P99" s="630">
        <f>+L99*F99/10</f>
        <v>0.25463125362355049</v>
      </c>
      <c r="Q99" s="630"/>
      <c r="R99" s="630">
        <f>(L99*H99)/10</f>
        <v>5.381902322294331E-2</v>
      </c>
      <c r="S99" s="630"/>
      <c r="T99" s="630"/>
      <c r="U99" s="630">
        <f>SUM(N99:T99)</f>
        <v>0.33566627684649381</v>
      </c>
      <c r="V99" s="128"/>
      <c r="W99" s="630">
        <f>+U99+V99</f>
        <v>0.33566627684649381</v>
      </c>
      <c r="X99" s="1222">
        <f>IFERROR(W99/L99*10,0)</f>
        <v>9.9791116745024162</v>
      </c>
      <c r="Y99" s="1503"/>
      <c r="Z99" s="1222"/>
      <c r="AA99" s="1503"/>
      <c r="AB99" s="1366">
        <f>+'Tariff Schedule'!X22</f>
        <v>0.98</v>
      </c>
    </row>
    <row r="100" spans="1:28" s="6" customFormat="1" ht="13.5" x14ac:dyDescent="0.35">
      <c r="A100" s="1364">
        <f>+'F13.1'!A62</f>
        <v>0.4</v>
      </c>
      <c r="B100" s="1361" t="s">
        <v>1144</v>
      </c>
      <c r="C100" s="128">
        <f>+'F13.2'!C100</f>
        <v>9</v>
      </c>
      <c r="D100" s="128"/>
      <c r="E100" s="128">
        <v>550</v>
      </c>
      <c r="F100" s="1365">
        <f>+'Tariff Schedule'!N23</f>
        <v>11.04</v>
      </c>
      <c r="G100" s="128"/>
      <c r="H100" s="1365">
        <v>1.52</v>
      </c>
      <c r="I100" s="128"/>
      <c r="J100" s="128"/>
      <c r="K100" s="1336">
        <v>383</v>
      </c>
      <c r="L100" s="630">
        <f>+'F1 Non-SEZ'!K26</f>
        <v>0.59091548630067836</v>
      </c>
      <c r="M100" s="630">
        <f>+L100/AB100</f>
        <v>0.59773408250106086</v>
      </c>
      <c r="N100" s="630"/>
      <c r="O100" s="630">
        <f>(K100*E100)*12/10^7*A100</f>
        <v>0.10111200000000001</v>
      </c>
      <c r="P100" s="630">
        <f>+M100*F100/10</f>
        <v>0.65989842708117119</v>
      </c>
      <c r="Q100" s="630">
        <f>SUM(Q101:Q104)</f>
        <v>0</v>
      </c>
      <c r="R100" s="630">
        <f>(M100*H100)/10</f>
        <v>9.0855580540161254E-2</v>
      </c>
      <c r="S100" s="630"/>
      <c r="T100" s="630"/>
      <c r="U100" s="630">
        <f>SUM(N100:T100)</f>
        <v>0.85186600762133247</v>
      </c>
      <c r="V100" s="128"/>
      <c r="W100" s="630">
        <f>+U100+V100</f>
        <v>0.85186600762133247</v>
      </c>
      <c r="X100" s="1222">
        <f>IFERROR(W100/L100*10,0)</f>
        <v>14.416037950778522</v>
      </c>
      <c r="Y100" s="1503"/>
      <c r="Z100" s="1222"/>
      <c r="AA100" s="1503"/>
      <c r="AB100" s="1366">
        <f>+'Tariff Schedule'!X23</f>
        <v>0.98859259259259247</v>
      </c>
    </row>
    <row r="101" spans="1:28" x14ac:dyDescent="0.4">
      <c r="A101" s="1339"/>
      <c r="B101" s="1360" t="s">
        <v>1544</v>
      </c>
      <c r="C101" s="75"/>
      <c r="D101" s="75"/>
      <c r="E101" s="75"/>
      <c r="F101" s="75"/>
      <c r="G101" s="1221"/>
      <c r="H101" s="75"/>
      <c r="I101" s="75"/>
      <c r="J101" s="75"/>
      <c r="K101" s="1306"/>
      <c r="L101" s="628"/>
      <c r="M101" s="628">
        <f>+$M$100*Assum!H125</f>
        <v>8.0171145873950009E-2</v>
      </c>
      <c r="N101" s="628"/>
      <c r="O101" s="628"/>
      <c r="P101" s="628"/>
      <c r="Q101" s="628">
        <f>+G101*M101/10</f>
        <v>0</v>
      </c>
      <c r="R101" s="628"/>
      <c r="S101" s="628"/>
      <c r="T101" s="628"/>
      <c r="U101" s="628"/>
      <c r="V101" s="75"/>
      <c r="W101" s="628"/>
      <c r="X101" s="1221"/>
      <c r="Y101" s="75"/>
      <c r="Z101" s="75"/>
      <c r="AA101" s="75"/>
      <c r="AB101" s="1358"/>
    </row>
    <row r="102" spans="1:28" x14ac:dyDescent="0.4">
      <c r="A102" s="1339"/>
      <c r="B102" s="1360" t="s">
        <v>1545</v>
      </c>
      <c r="C102" s="75"/>
      <c r="D102" s="75"/>
      <c r="E102" s="75"/>
      <c r="F102" s="75"/>
      <c r="G102" s="1221"/>
      <c r="H102" s="75"/>
      <c r="I102" s="75"/>
      <c r="J102" s="75"/>
      <c r="K102" s="1306"/>
      <c r="L102" s="628"/>
      <c r="M102" s="628">
        <f>+$M$100*Assum!H126</f>
        <v>9.3382960963758602E-2</v>
      </c>
      <c r="N102" s="628"/>
      <c r="O102" s="628"/>
      <c r="P102" s="628"/>
      <c r="Q102" s="628">
        <f>+G102*M102/10</f>
        <v>0</v>
      </c>
      <c r="R102" s="628"/>
      <c r="S102" s="628"/>
      <c r="T102" s="628"/>
      <c r="U102" s="628"/>
      <c r="V102" s="75"/>
      <c r="W102" s="628"/>
      <c r="X102" s="1221"/>
      <c r="Y102" s="75"/>
      <c r="Z102" s="75"/>
      <c r="AA102" s="75"/>
      <c r="AB102" s="1358"/>
    </row>
    <row r="103" spans="1:28" x14ac:dyDescent="0.4">
      <c r="A103" s="1339"/>
      <c r="B103" s="1360" t="s">
        <v>1546</v>
      </c>
      <c r="C103" s="75"/>
      <c r="D103" s="75"/>
      <c r="E103" s="75"/>
      <c r="F103" s="75"/>
      <c r="G103" s="1221"/>
      <c r="H103" s="75"/>
      <c r="I103" s="75"/>
      <c r="J103" s="75"/>
      <c r="K103" s="1306"/>
      <c r="L103" s="628"/>
      <c r="M103" s="628">
        <f>+$M$100*Assum!H127</f>
        <v>0.27414488381461311</v>
      </c>
      <c r="N103" s="628"/>
      <c r="O103" s="628"/>
      <c r="P103" s="628"/>
      <c r="Q103" s="628">
        <f>+G103*M103/10</f>
        <v>0</v>
      </c>
      <c r="R103" s="628"/>
      <c r="S103" s="628"/>
      <c r="T103" s="628"/>
      <c r="U103" s="628"/>
      <c r="V103" s="75"/>
      <c r="W103" s="628"/>
      <c r="X103" s="1221"/>
      <c r="Y103" s="75"/>
      <c r="Z103" s="75"/>
      <c r="AA103" s="75"/>
      <c r="AB103" s="1358"/>
    </row>
    <row r="104" spans="1:28" x14ac:dyDescent="0.4">
      <c r="A104" s="1339"/>
      <c r="B104" s="1360" t="s">
        <v>1549</v>
      </c>
      <c r="C104" s="75"/>
      <c r="D104" s="75"/>
      <c r="E104" s="75"/>
      <c r="F104" s="75"/>
      <c r="G104" s="1221"/>
      <c r="H104" s="75"/>
      <c r="I104" s="75"/>
      <c r="J104" s="75"/>
      <c r="K104" s="1306"/>
      <c r="L104" s="628"/>
      <c r="M104" s="628">
        <f>+$M$100*Assum!H128</f>
        <v>0.15003509184873923</v>
      </c>
      <c r="N104" s="628"/>
      <c r="O104" s="628"/>
      <c r="P104" s="628"/>
      <c r="Q104" s="628">
        <f>+G104*M104/10</f>
        <v>0</v>
      </c>
      <c r="R104" s="628"/>
      <c r="S104" s="628"/>
      <c r="T104" s="628"/>
      <c r="U104" s="628"/>
      <c r="V104" s="75"/>
      <c r="W104" s="628"/>
      <c r="X104" s="1221"/>
      <c r="Y104" s="75"/>
      <c r="Z104" s="75"/>
      <c r="AA104" s="75"/>
      <c r="AB104" s="1358"/>
    </row>
    <row r="105" spans="1:28" s="6" customFormat="1" ht="13.5" x14ac:dyDescent="0.35">
      <c r="A105" s="1364">
        <f>+'F13.1'!A63</f>
        <v>0.4</v>
      </c>
      <c r="B105" s="1361" t="s">
        <v>1143</v>
      </c>
      <c r="C105" s="128">
        <f>+'F13.2'!C105</f>
        <v>1</v>
      </c>
      <c r="D105" s="128"/>
      <c r="E105" s="128">
        <v>550</v>
      </c>
      <c r="F105" s="1365">
        <f>+'Tariff Schedule'!N24</f>
        <v>13.25</v>
      </c>
      <c r="G105" s="128"/>
      <c r="H105" s="1365">
        <f>+$H$100</f>
        <v>1.52</v>
      </c>
      <c r="I105" s="128"/>
      <c r="J105" s="128"/>
      <c r="K105" s="1336">
        <v>70</v>
      </c>
      <c r="L105" s="630">
        <f>+'F1 Non-SEZ'!K27</f>
        <v>0.17597237974843327</v>
      </c>
      <c r="M105" s="630">
        <f>+L105/AB105</f>
        <v>0.17771995934869542</v>
      </c>
      <c r="N105" s="630"/>
      <c r="O105" s="630">
        <f>(K105*E105)*12/10^7*A105</f>
        <v>1.848E-2</v>
      </c>
      <c r="P105" s="630">
        <f>+M105*F105/10</f>
        <v>0.23547894613702142</v>
      </c>
      <c r="Q105" s="630">
        <f>SUM(Q106:Q109)</f>
        <v>0</v>
      </c>
      <c r="R105" s="630">
        <f>(M105*H105)/10</f>
        <v>2.7013433821001704E-2</v>
      </c>
      <c r="S105" s="630"/>
      <c r="T105" s="630"/>
      <c r="U105" s="630">
        <f>SUM(N105:T105)</f>
        <v>0.2809723799580231</v>
      </c>
      <c r="V105" s="128"/>
      <c r="W105" s="630">
        <f>+U105+V105</f>
        <v>0.2809723799580231</v>
      </c>
      <c r="X105" s="1222">
        <f>IFERROR(W105/L105*10,0)</f>
        <v>15.96684549925936</v>
      </c>
      <c r="Y105" s="1503"/>
      <c r="Z105" s="1222"/>
      <c r="AA105" s="1503"/>
      <c r="AB105" s="1366">
        <f>+'Tariff Schedule'!X24</f>
        <v>0.99016666666666675</v>
      </c>
    </row>
    <row r="106" spans="1:28" x14ac:dyDescent="0.4">
      <c r="A106" s="1339"/>
      <c r="B106" s="1360" t="s">
        <v>1544</v>
      </c>
      <c r="C106" s="75"/>
      <c r="D106" s="75"/>
      <c r="E106" s="75"/>
      <c r="F106" s="75"/>
      <c r="G106" s="1221"/>
      <c r="H106" s="75"/>
      <c r="I106" s="75"/>
      <c r="J106" s="75"/>
      <c r="K106" s="1306"/>
      <c r="L106" s="628"/>
      <c r="M106" s="628">
        <f>+$M$105*Assum!I125</f>
        <v>1.2786756317214692E-2</v>
      </c>
      <c r="N106" s="628"/>
      <c r="O106" s="628"/>
      <c r="P106" s="628"/>
      <c r="Q106" s="628">
        <f>+G106*M106/10</f>
        <v>0</v>
      </c>
      <c r="R106" s="628"/>
      <c r="S106" s="628"/>
      <c r="T106" s="628"/>
      <c r="U106" s="628"/>
      <c r="V106" s="75"/>
      <c r="W106" s="628"/>
      <c r="X106" s="1221"/>
      <c r="Y106" s="75"/>
      <c r="Z106" s="75"/>
      <c r="AA106" s="75"/>
      <c r="AB106" s="1358"/>
    </row>
    <row r="107" spans="1:28" x14ac:dyDescent="0.4">
      <c r="A107" s="1339"/>
      <c r="B107" s="1360" t="s">
        <v>1545</v>
      </c>
      <c r="C107" s="75"/>
      <c r="D107" s="75"/>
      <c r="E107" s="75"/>
      <c r="F107" s="75"/>
      <c r="G107" s="1221"/>
      <c r="H107" s="75"/>
      <c r="I107" s="75"/>
      <c r="J107" s="75"/>
      <c r="K107" s="1306"/>
      <c r="L107" s="628"/>
      <c r="M107" s="628">
        <f>+$M$105*Assum!I126</f>
        <v>3.4242912964762784E-2</v>
      </c>
      <c r="N107" s="628"/>
      <c r="O107" s="628"/>
      <c r="P107" s="628"/>
      <c r="Q107" s="628">
        <f>+G107*M107/10</f>
        <v>0</v>
      </c>
      <c r="R107" s="628"/>
      <c r="S107" s="628"/>
      <c r="T107" s="628"/>
      <c r="U107" s="628"/>
      <c r="V107" s="75"/>
      <c r="W107" s="628"/>
      <c r="X107" s="1221"/>
      <c r="Y107" s="75"/>
      <c r="Z107" s="75"/>
      <c r="AA107" s="75"/>
      <c r="AB107" s="1358"/>
    </row>
    <row r="108" spans="1:28" x14ac:dyDescent="0.4">
      <c r="A108" s="1339"/>
      <c r="B108" s="1360" t="s">
        <v>1546</v>
      </c>
      <c r="C108" s="75"/>
      <c r="D108" s="75"/>
      <c r="E108" s="75"/>
      <c r="F108" s="75"/>
      <c r="G108" s="1221"/>
      <c r="H108" s="75"/>
      <c r="I108" s="75"/>
      <c r="J108" s="75"/>
      <c r="K108" s="1306"/>
      <c r="L108" s="628"/>
      <c r="M108" s="628">
        <f>+$M$105*Assum!I127</f>
        <v>0.10561382733161367</v>
      </c>
      <c r="N108" s="628"/>
      <c r="O108" s="628"/>
      <c r="P108" s="628"/>
      <c r="Q108" s="628">
        <f>+G108*M108/10</f>
        <v>0</v>
      </c>
      <c r="R108" s="628"/>
      <c r="S108" s="628"/>
      <c r="T108" s="628"/>
      <c r="U108" s="628"/>
      <c r="V108" s="75"/>
      <c r="W108" s="628"/>
      <c r="X108" s="1221"/>
      <c r="Y108" s="75"/>
      <c r="Z108" s="75"/>
      <c r="AA108" s="75"/>
      <c r="AB108" s="1358"/>
    </row>
    <row r="109" spans="1:28" x14ac:dyDescent="0.4">
      <c r="A109" s="1339"/>
      <c r="B109" s="1360" t="s">
        <v>1549</v>
      </c>
      <c r="C109" s="75"/>
      <c r="D109" s="75"/>
      <c r="E109" s="75"/>
      <c r="F109" s="75"/>
      <c r="G109" s="1221"/>
      <c r="H109" s="75"/>
      <c r="I109" s="75"/>
      <c r="J109" s="75"/>
      <c r="K109" s="1306"/>
      <c r="L109" s="628"/>
      <c r="M109" s="628">
        <f>+$M$105*Assum!I128</f>
        <v>2.507646273510427E-2</v>
      </c>
      <c r="N109" s="628"/>
      <c r="O109" s="628"/>
      <c r="P109" s="628"/>
      <c r="Q109" s="628">
        <f>+G109*M109/10</f>
        <v>0</v>
      </c>
      <c r="R109" s="628"/>
      <c r="S109" s="628"/>
      <c r="T109" s="628"/>
      <c r="U109" s="628"/>
      <c r="V109" s="75"/>
      <c r="W109" s="628"/>
      <c r="X109" s="1221"/>
      <c r="Y109" s="75"/>
      <c r="Z109" s="75"/>
      <c r="AA109" s="75"/>
      <c r="AB109" s="1358"/>
    </row>
    <row r="110" spans="1:28" s="6" customFormat="1" ht="38.25" x14ac:dyDescent="0.35">
      <c r="A110" s="1364">
        <f>+'F13.1'!A64</f>
        <v>0.4</v>
      </c>
      <c r="B110" s="1363" t="s">
        <v>1111</v>
      </c>
      <c r="C110" s="128">
        <f>+'F13.2'!C110</f>
        <v>2</v>
      </c>
      <c r="D110" s="128"/>
      <c r="E110" s="128">
        <v>250</v>
      </c>
      <c r="F110" s="1365">
        <f>+'Tariff Schedule'!N31</f>
        <v>6.93</v>
      </c>
      <c r="G110" s="128"/>
      <c r="H110" s="1365">
        <f>+$H$100</f>
        <v>1.52</v>
      </c>
      <c r="I110" s="128"/>
      <c r="J110" s="128"/>
      <c r="K110" s="1336">
        <v>160</v>
      </c>
      <c r="L110" s="630">
        <f>+'F1 Non-SEZ'!K28</f>
        <v>0.97996764932994562</v>
      </c>
      <c r="M110" s="630">
        <f>+L110/AB110</f>
        <v>0.9999669891121894</v>
      </c>
      <c r="N110" s="630"/>
      <c r="O110" s="630">
        <f>(K110*E110)*12/10^7*A110</f>
        <v>1.9200000000000002E-2</v>
      </c>
      <c r="P110" s="630">
        <f>+M110*F110/10</f>
        <v>0.69297712345474727</v>
      </c>
      <c r="Q110" s="630">
        <f>SUM(Q111:Q114)</f>
        <v>0</v>
      </c>
      <c r="R110" s="630">
        <f>(M110*H110)/10</f>
        <v>0.15199498234505279</v>
      </c>
      <c r="S110" s="630"/>
      <c r="T110" s="630"/>
      <c r="U110" s="630">
        <f>SUM(N110:T110)</f>
        <v>0.86417210579980008</v>
      </c>
      <c r="V110" s="128"/>
      <c r="W110" s="630">
        <f>+U110+V110</f>
        <v>0.86417210579980008</v>
      </c>
      <c r="X110" s="1222">
        <f>IFERROR(W110/L110*10,0)</f>
        <v>8.8183738145915243</v>
      </c>
      <c r="Y110" s="1503"/>
      <c r="Z110" s="1222"/>
      <c r="AA110" s="1503"/>
      <c r="AB110" s="1366">
        <f>+'Tariff Schedule'!X35</f>
        <v>0.98</v>
      </c>
    </row>
    <row r="111" spans="1:28" x14ac:dyDescent="0.4">
      <c r="A111" s="1339"/>
      <c r="B111" s="1360" t="s">
        <v>1544</v>
      </c>
      <c r="C111" s="75"/>
      <c r="D111" s="75"/>
      <c r="E111" s="75"/>
      <c r="F111" s="75"/>
      <c r="G111" s="1221"/>
      <c r="H111" s="75"/>
      <c r="I111" s="75"/>
      <c r="J111" s="75"/>
      <c r="K111" s="1306"/>
      <c r="L111" s="628"/>
      <c r="M111" s="628">
        <f>+$M$110*Assum!J125</f>
        <v>0.21917196858040372</v>
      </c>
      <c r="N111" s="628"/>
      <c r="O111" s="628"/>
      <c r="P111" s="628"/>
      <c r="Q111" s="628">
        <f>+G111*M111/10</f>
        <v>0</v>
      </c>
      <c r="R111" s="628"/>
      <c r="S111" s="628"/>
      <c r="T111" s="628"/>
      <c r="U111" s="628"/>
      <c r="V111" s="75"/>
      <c r="W111" s="628"/>
      <c r="X111" s="1221"/>
      <c r="Y111" s="75"/>
      <c r="Z111" s="75"/>
      <c r="AA111" s="75"/>
      <c r="AB111" s="1358"/>
    </row>
    <row r="112" spans="1:28" x14ac:dyDescent="0.4">
      <c r="A112" s="1339"/>
      <c r="B112" s="1360" t="s">
        <v>1545</v>
      </c>
      <c r="C112" s="75"/>
      <c r="D112" s="75"/>
      <c r="E112" s="75"/>
      <c r="F112" s="75"/>
      <c r="G112" s="1221"/>
      <c r="H112" s="75"/>
      <c r="I112" s="75"/>
      <c r="J112" s="75"/>
      <c r="K112" s="1306"/>
      <c r="L112" s="628"/>
      <c r="M112" s="628">
        <f>+$M$110*Assum!J126</f>
        <v>0.1314045829667497</v>
      </c>
      <c r="N112" s="628"/>
      <c r="O112" s="628"/>
      <c r="P112" s="628"/>
      <c r="Q112" s="628">
        <f>+G112*M112/10</f>
        <v>0</v>
      </c>
      <c r="R112" s="628"/>
      <c r="S112" s="628"/>
      <c r="T112" s="628"/>
      <c r="U112" s="628"/>
      <c r="V112" s="75"/>
      <c r="W112" s="628"/>
      <c r="X112" s="1221"/>
      <c r="Y112" s="75"/>
      <c r="Z112" s="75"/>
      <c r="AA112" s="75"/>
      <c r="AB112" s="1358"/>
    </row>
    <row r="113" spans="1:28" x14ac:dyDescent="0.4">
      <c r="A113" s="1339"/>
      <c r="B113" s="1360" t="s">
        <v>1546</v>
      </c>
      <c r="C113" s="75"/>
      <c r="D113" s="75"/>
      <c r="E113" s="75"/>
      <c r="F113" s="75"/>
      <c r="G113" s="1221"/>
      <c r="H113" s="75"/>
      <c r="I113" s="75"/>
      <c r="J113" s="75"/>
      <c r="K113" s="1306"/>
      <c r="L113" s="628"/>
      <c r="M113" s="628">
        <f>+$M$110*Assum!J127</f>
        <v>0.36032985002972473</v>
      </c>
      <c r="N113" s="628"/>
      <c r="O113" s="628"/>
      <c r="P113" s="628"/>
      <c r="Q113" s="628">
        <f>+G113*M113/10</f>
        <v>0</v>
      </c>
      <c r="R113" s="628"/>
      <c r="S113" s="628"/>
      <c r="T113" s="628"/>
      <c r="U113" s="628"/>
      <c r="V113" s="75"/>
      <c r="W113" s="628"/>
      <c r="X113" s="1221"/>
      <c r="Y113" s="75"/>
      <c r="Z113" s="75"/>
      <c r="AA113" s="75"/>
      <c r="AB113" s="1358"/>
    </row>
    <row r="114" spans="1:28" x14ac:dyDescent="0.4">
      <c r="A114" s="1339"/>
      <c r="B114" s="1360" t="s">
        <v>1549</v>
      </c>
      <c r="C114" s="75"/>
      <c r="D114" s="75"/>
      <c r="E114" s="75"/>
      <c r="F114" s="75"/>
      <c r="G114" s="1221"/>
      <c r="H114" s="75"/>
      <c r="I114" s="75"/>
      <c r="J114" s="75"/>
      <c r="K114" s="1306"/>
      <c r="L114" s="628"/>
      <c r="M114" s="628">
        <f>+$M$110*Assum!J128</f>
        <v>0.28906058753531122</v>
      </c>
      <c r="N114" s="628"/>
      <c r="O114" s="628"/>
      <c r="P114" s="628"/>
      <c r="Q114" s="628">
        <f>+G114*M114/10</f>
        <v>0</v>
      </c>
      <c r="R114" s="628"/>
      <c r="S114" s="628"/>
      <c r="T114" s="628"/>
      <c r="U114" s="628"/>
      <c r="V114" s="75"/>
      <c r="W114" s="628"/>
      <c r="X114" s="1221"/>
      <c r="Y114" s="75"/>
      <c r="Z114" s="75"/>
      <c r="AA114" s="75"/>
      <c r="AB114" s="1358"/>
    </row>
    <row r="115" spans="1:28" s="6" customFormat="1" ht="25.5" x14ac:dyDescent="0.35">
      <c r="B115" s="1363" t="s">
        <v>1135</v>
      </c>
      <c r="C115" s="128">
        <f>+'F13.2'!C115</f>
        <v>1</v>
      </c>
      <c r="D115" s="128">
        <v>650</v>
      </c>
      <c r="E115" s="128"/>
      <c r="F115" s="1365">
        <f>+'Tariff Schedule'!N26</f>
        <v>5.57</v>
      </c>
      <c r="G115" s="128"/>
      <c r="H115" s="1365">
        <f>+$H$100</f>
        <v>1.52</v>
      </c>
      <c r="I115" s="128"/>
      <c r="J115" s="128"/>
      <c r="K115" s="1336">
        <v>19</v>
      </c>
      <c r="L115" s="630">
        <f>+'F1 Non-SEZ'!K29</f>
        <v>2.5576530844487053E-2</v>
      </c>
      <c r="M115" s="630">
        <f>+L115/AB115</f>
        <v>2.6098500861721483E-2</v>
      </c>
      <c r="N115" s="630">
        <f>+C115*D115*12/10^7</f>
        <v>7.7999999999999999E-4</v>
      </c>
      <c r="O115" s="630"/>
      <c r="P115" s="630">
        <f>+L115*F115/10</f>
        <v>1.4246127680379288E-2</v>
      </c>
      <c r="Q115" s="630"/>
      <c r="R115" s="630">
        <f>(L115*H115)/10</f>
        <v>3.8876326883620317E-3</v>
      </c>
      <c r="S115" s="630"/>
      <c r="T115" s="630"/>
      <c r="U115" s="630">
        <f>SUM(N115:T115)</f>
        <v>1.891376036874132E-2</v>
      </c>
      <c r="V115" s="128"/>
      <c r="W115" s="630">
        <f>+U115+V115</f>
        <v>1.891376036874132E-2</v>
      </c>
      <c r="X115" s="1222">
        <f>IFERROR(W115/L115*10,0)</f>
        <v>7.3949670828083107</v>
      </c>
      <c r="Y115" s="1503"/>
      <c r="Z115" s="1222"/>
      <c r="AA115" s="1503"/>
      <c r="AB115" s="1366">
        <f>+'Tariff Schedule'!X26</f>
        <v>0.98</v>
      </c>
    </row>
    <row r="116" spans="1:28"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128"/>
      <c r="AA116" s="128"/>
      <c r="AB116" s="3"/>
    </row>
    <row r="117" spans="1:28" s="6" customFormat="1" ht="25.5" x14ac:dyDescent="0.35">
      <c r="A117" s="1364">
        <f>+'F13.1'!A67</f>
        <v>0.4</v>
      </c>
      <c r="B117" s="1363" t="s">
        <v>1142</v>
      </c>
      <c r="C117" s="128">
        <f>+'F13.2'!C117</f>
        <v>10</v>
      </c>
      <c r="D117" s="128"/>
      <c r="E117" s="128">
        <v>0</v>
      </c>
      <c r="F117" s="1365">
        <f>+'Tariff Schedule'!N36</f>
        <v>6.88</v>
      </c>
      <c r="G117" s="128"/>
      <c r="H117" s="1365">
        <f>+$H$100</f>
        <v>1.52</v>
      </c>
      <c r="I117" s="128"/>
      <c r="J117" s="128"/>
      <c r="K117" s="1336">
        <v>105</v>
      </c>
      <c r="L117" s="630">
        <f>+'F1 Non-SEZ'!K31</f>
        <v>2.0388311031803674E-2</v>
      </c>
      <c r="M117" s="630">
        <f>+L117/AB117</f>
        <v>2.0559641376608748E-2</v>
      </c>
      <c r="N117" s="630"/>
      <c r="O117" s="630">
        <f>(K117*E117)*12/10^7*A117</f>
        <v>0</v>
      </c>
      <c r="P117" s="630">
        <f>+M117*F117/10</f>
        <v>1.4145033267106819E-2</v>
      </c>
      <c r="Q117" s="630">
        <f>SUM(Q118:Q121)</f>
        <v>0</v>
      </c>
      <c r="R117" s="630">
        <f>(M117*H117)/10</f>
        <v>3.1250654892445292E-3</v>
      </c>
      <c r="S117" s="630"/>
      <c r="T117" s="630"/>
      <c r="U117" s="630">
        <f>SUM(N117:T117)</f>
        <v>1.7270098756351347E-2</v>
      </c>
      <c r="V117" s="128"/>
      <c r="W117" s="630">
        <f>+U117+V117</f>
        <v>1.7270098756351347E-2</v>
      </c>
      <c r="X117" s="1222">
        <f>IFERROR(W117/L117*10,0)</f>
        <v>8.4705882352941178</v>
      </c>
      <c r="Y117" s="1503"/>
      <c r="Z117" s="1222"/>
      <c r="AA117" s="1503"/>
      <c r="AB117" s="1366">
        <f>+'Tariff Schedule'!X36</f>
        <v>0.99166666666666659</v>
      </c>
    </row>
    <row r="118" spans="1:28" x14ac:dyDescent="0.4">
      <c r="A118" s="1339"/>
      <c r="B118" s="1360" t="s">
        <v>1544</v>
      </c>
      <c r="C118" s="75"/>
      <c r="D118" s="75"/>
      <c r="E118" s="75"/>
      <c r="F118" s="75"/>
      <c r="G118" s="1221"/>
      <c r="H118" s="75"/>
      <c r="I118" s="75"/>
      <c r="J118" s="75"/>
      <c r="K118" s="1306"/>
      <c r="L118" s="628"/>
      <c r="M118" s="628">
        <f>+$M$117*Assum!K125</f>
        <v>8.2952814692777363E-3</v>
      </c>
      <c r="N118" s="628"/>
      <c r="O118" s="628"/>
      <c r="P118" s="628"/>
      <c r="Q118" s="628">
        <f>+G118*M118/10</f>
        <v>0</v>
      </c>
      <c r="R118" s="628"/>
      <c r="S118" s="628"/>
      <c r="T118" s="628"/>
      <c r="U118" s="628"/>
      <c r="V118" s="75"/>
      <c r="W118" s="628"/>
      <c r="X118" s="1221"/>
      <c r="Y118" s="75"/>
      <c r="Z118" s="75"/>
      <c r="AA118" s="75"/>
      <c r="AB118" s="1358"/>
    </row>
    <row r="119" spans="1:28" x14ac:dyDescent="0.4">
      <c r="A119" s="1339"/>
      <c r="B119" s="1360" t="s">
        <v>1545</v>
      </c>
      <c r="C119" s="75"/>
      <c r="D119" s="75"/>
      <c r="E119" s="75"/>
      <c r="F119" s="75"/>
      <c r="G119" s="1221"/>
      <c r="H119" s="75"/>
      <c r="I119" s="75"/>
      <c r="J119" s="75"/>
      <c r="K119" s="1306"/>
      <c r="L119" s="628"/>
      <c r="M119" s="628">
        <f>+$M$117*Assum!K126</f>
        <v>1.5790116566466615E-3</v>
      </c>
      <c r="N119" s="628"/>
      <c r="O119" s="628"/>
      <c r="P119" s="628"/>
      <c r="Q119" s="628">
        <f>+G119*M119/10</f>
        <v>0</v>
      </c>
      <c r="R119" s="628"/>
      <c r="S119" s="628"/>
      <c r="T119" s="628"/>
      <c r="U119" s="628"/>
      <c r="V119" s="75"/>
      <c r="W119" s="628"/>
      <c r="X119" s="1221"/>
      <c r="Y119" s="75"/>
      <c r="Z119" s="75"/>
      <c r="AA119" s="75"/>
      <c r="AB119" s="1358"/>
    </row>
    <row r="120" spans="1:28" x14ac:dyDescent="0.4">
      <c r="A120" s="1339"/>
      <c r="B120" s="1360" t="s">
        <v>1546</v>
      </c>
      <c r="C120" s="75"/>
      <c r="D120" s="75"/>
      <c r="E120" s="75"/>
      <c r="F120" s="75"/>
      <c r="G120" s="1221"/>
      <c r="H120" s="75"/>
      <c r="I120" s="75"/>
      <c r="J120" s="75"/>
      <c r="K120" s="1306"/>
      <c r="L120" s="628"/>
      <c r="M120" s="628">
        <f>+$M$117*Assum!K127</f>
        <v>4.6650653193031771E-3</v>
      </c>
      <c r="N120" s="628"/>
      <c r="O120" s="628"/>
      <c r="P120" s="628"/>
      <c r="Q120" s="628">
        <f>+G120*M120/10</f>
        <v>0</v>
      </c>
      <c r="R120" s="628"/>
      <c r="S120" s="628"/>
      <c r="T120" s="628"/>
      <c r="U120" s="628"/>
      <c r="V120" s="75"/>
      <c r="W120" s="628"/>
      <c r="X120" s="1221"/>
      <c r="Y120" s="75"/>
      <c r="Z120" s="75"/>
      <c r="AA120" s="75"/>
      <c r="AB120" s="1358"/>
    </row>
    <row r="121" spans="1:28" x14ac:dyDescent="0.4">
      <c r="A121" s="1339"/>
      <c r="B121" s="1360" t="s">
        <v>1549</v>
      </c>
      <c r="C121" s="75"/>
      <c r="D121" s="75"/>
      <c r="E121" s="75"/>
      <c r="F121" s="75"/>
      <c r="G121" s="1221"/>
      <c r="H121" s="75"/>
      <c r="I121" s="75"/>
      <c r="J121" s="75"/>
      <c r="K121" s="1306"/>
      <c r="L121" s="628"/>
      <c r="M121" s="628">
        <f>+$M$117*Assum!K128</f>
        <v>6.0202829313811728E-3</v>
      </c>
      <c r="N121" s="628"/>
      <c r="O121" s="628"/>
      <c r="P121" s="628"/>
      <c r="Q121" s="628">
        <f>+G121*M121/10</f>
        <v>0</v>
      </c>
      <c r="R121" s="628"/>
      <c r="S121" s="628"/>
      <c r="T121" s="628"/>
      <c r="U121" s="628"/>
      <c r="V121" s="75"/>
      <c r="W121" s="628"/>
      <c r="X121" s="1221"/>
      <c r="Y121" s="75"/>
      <c r="Z121" s="75"/>
      <c r="AA121" s="75"/>
      <c r="AB121" s="1358"/>
    </row>
    <row r="122" spans="1:28" x14ac:dyDescent="0.4">
      <c r="B122" s="518" t="s">
        <v>162</v>
      </c>
      <c r="C122" s="1308">
        <f>SUM(C93:C117)</f>
        <v>2547</v>
      </c>
      <c r="D122" s="1310"/>
      <c r="E122" s="1310"/>
      <c r="F122" s="1310"/>
      <c r="G122" s="1310"/>
      <c r="H122" s="1310"/>
      <c r="I122" s="1310"/>
      <c r="J122" s="1310"/>
      <c r="K122" s="1336">
        <f>+K100+K105+K110+K115+K117</f>
        <v>737</v>
      </c>
      <c r="L122" s="630">
        <f t="shared" ref="L122:W122" si="6">+L92+L99+L100+L105+L110+L115+L117</f>
        <v>10.741054633202797</v>
      </c>
      <c r="M122" s="630">
        <f t="shared" si="6"/>
        <v>10.777178120477181</v>
      </c>
      <c r="N122" s="630">
        <f t="shared" si="6"/>
        <v>1.3235999999999999</v>
      </c>
      <c r="O122" s="630">
        <f t="shared" si="6"/>
        <v>0.138792</v>
      </c>
      <c r="P122" s="630">
        <f t="shared" si="6"/>
        <v>11.575057684436683</v>
      </c>
      <c r="Q122" s="630">
        <f t="shared" si="6"/>
        <v>0</v>
      </c>
      <c r="R122" s="630">
        <f t="shared" si="6"/>
        <v>1.7085941790354142</v>
      </c>
      <c r="S122" s="630">
        <f t="shared" si="6"/>
        <v>0</v>
      </c>
      <c r="T122" s="630">
        <f t="shared" si="6"/>
        <v>0</v>
      </c>
      <c r="U122" s="630">
        <f t="shared" si="6"/>
        <v>14.746043863472094</v>
      </c>
      <c r="V122" s="630">
        <f t="shared" si="6"/>
        <v>0</v>
      </c>
      <c r="W122" s="630">
        <f t="shared" si="6"/>
        <v>14.746043863472094</v>
      </c>
      <c r="X122" s="1222">
        <f>IFERROR(W122/L122*10,0)</f>
        <v>13.728674107930757</v>
      </c>
      <c r="Y122" s="1503"/>
      <c r="Z122" s="1222"/>
      <c r="AA122" s="1503"/>
      <c r="AB122" s="2"/>
    </row>
    <row r="123" spans="1:28"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75"/>
      <c r="AA123" s="75"/>
      <c r="AB123" s="2"/>
    </row>
    <row r="124" spans="1:28" x14ac:dyDescent="0.4">
      <c r="B124" s="119" t="s">
        <v>164</v>
      </c>
      <c r="C124" s="1308">
        <f>+C122+C90</f>
        <v>2551</v>
      </c>
      <c r="D124" s="1309"/>
      <c r="E124" s="1309"/>
      <c r="F124" s="1309"/>
      <c r="G124" s="1309"/>
      <c r="H124" s="1309"/>
      <c r="I124" s="1309"/>
      <c r="J124" s="1309"/>
      <c r="K124" s="1336">
        <f t="shared" ref="K124:W124" si="7">+K122+K90</f>
        <v>1423</v>
      </c>
      <c r="L124" s="630">
        <f t="shared" si="7"/>
        <v>11.63714650123443</v>
      </c>
      <c r="M124" s="630">
        <f t="shared" si="7"/>
        <v>12.602127531632233</v>
      </c>
      <c r="N124" s="630">
        <f t="shared" si="7"/>
        <v>1.3235999999999999</v>
      </c>
      <c r="O124" s="630">
        <f t="shared" si="7"/>
        <v>0.56478899999999999</v>
      </c>
      <c r="P124" s="630">
        <f t="shared" si="7"/>
        <v>12.601456441360982</v>
      </c>
      <c r="Q124" s="630">
        <f t="shared" si="7"/>
        <v>0</v>
      </c>
      <c r="R124" s="630">
        <f t="shared" si="7"/>
        <v>1.7825046301871939</v>
      </c>
      <c r="S124" s="630">
        <f t="shared" si="7"/>
        <v>0</v>
      </c>
      <c r="T124" s="630">
        <f t="shared" si="7"/>
        <v>0</v>
      </c>
      <c r="U124" s="630">
        <f t="shared" si="7"/>
        <v>16.272350071548175</v>
      </c>
      <c r="V124" s="1309">
        <f t="shared" si="7"/>
        <v>0</v>
      </c>
      <c r="W124" s="630">
        <f t="shared" si="7"/>
        <v>16.272350071548175</v>
      </c>
      <c r="X124" s="1222">
        <f>IFERROR(W124/L124*10,0)</f>
        <v>13.983110094748792</v>
      </c>
      <c r="Y124" s="1503"/>
      <c r="Z124" s="1222"/>
      <c r="AA124" s="1503"/>
      <c r="AB124" s="2"/>
    </row>
    <row r="125" spans="1:28" x14ac:dyDescent="0.4">
      <c r="AB125" s="2"/>
    </row>
    <row r="126" spans="1:28" x14ac:dyDescent="0.4">
      <c r="B126" s="131" t="s">
        <v>744</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c r="Z126" s="103"/>
      <c r="AA126" s="103"/>
    </row>
    <row r="127" spans="1:28" x14ac:dyDescent="0.4">
      <c r="B127" s="131" t="s">
        <v>1605</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c r="Z127" s="103"/>
      <c r="AA127" s="103"/>
    </row>
    <row r="128" spans="1:28"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c r="Z128" s="103"/>
      <c r="AA128" s="103"/>
    </row>
    <row r="129" spans="2:28"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947" t="s">
        <v>1718</v>
      </c>
      <c r="AA129" s="1947" t="s">
        <v>1717</v>
      </c>
      <c r="AB129" s="1947" t="s">
        <v>1570</v>
      </c>
    </row>
    <row r="130" spans="2:28"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947"/>
      <c r="AA130" s="1947"/>
      <c r="AB130" s="1947"/>
    </row>
    <row r="131" spans="2:28"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80"/>
      <c r="AA131" s="80"/>
      <c r="AB131" s="2"/>
    </row>
    <row r="132" spans="2:28" x14ac:dyDescent="0.4">
      <c r="B132" s="429" t="s">
        <v>1129</v>
      </c>
      <c r="C132" s="75">
        <f>+C13+C78</f>
        <v>4</v>
      </c>
      <c r="D132" s="75"/>
      <c r="E132" s="75"/>
      <c r="F132" s="75"/>
      <c r="G132" s="75"/>
      <c r="H132" s="75"/>
      <c r="I132" s="75"/>
      <c r="J132" s="75"/>
      <c r="K132" s="1306">
        <f t="shared" ref="K132:T132" si="8">+K13+K78</f>
        <v>25711</v>
      </c>
      <c r="L132" s="628">
        <f t="shared" si="8"/>
        <v>162.74159899999998</v>
      </c>
      <c r="M132" s="628">
        <f t="shared" si="8"/>
        <v>164.38545353535352</v>
      </c>
      <c r="N132" s="628">
        <f t="shared" si="8"/>
        <v>0</v>
      </c>
      <c r="O132" s="628">
        <f t="shared" si="8"/>
        <v>18.049122000000001</v>
      </c>
      <c r="P132" s="628">
        <f t="shared" si="8"/>
        <v>88.314934998989898</v>
      </c>
      <c r="Q132" s="628">
        <f t="shared" si="8"/>
        <v>0</v>
      </c>
      <c r="R132" s="628">
        <f t="shared" ca="1" si="8"/>
        <v>33.115778882286754</v>
      </c>
      <c r="S132" s="628">
        <f t="shared" si="8"/>
        <v>0</v>
      </c>
      <c r="T132" s="628">
        <f t="shared" si="8"/>
        <v>0</v>
      </c>
      <c r="U132" s="628">
        <f ca="1">SUM(N132:T132)</f>
        <v>139.47983588127664</v>
      </c>
      <c r="V132" s="75"/>
      <c r="W132" s="628">
        <f ca="1">+U132+V132</f>
        <v>139.47983588127664</v>
      </c>
      <c r="X132" s="1221">
        <f ca="1">IFERROR(W132/L132*10,0)</f>
        <v>8.5706320165427812</v>
      </c>
      <c r="Y132" s="1503"/>
      <c r="Z132" s="1222"/>
      <c r="AA132" s="1503"/>
      <c r="AB132" s="2"/>
    </row>
    <row r="133" spans="2:28" x14ac:dyDescent="0.4">
      <c r="B133" s="429" t="s">
        <v>1130</v>
      </c>
      <c r="C133" s="75">
        <f>+C18+C83</f>
        <v>4</v>
      </c>
      <c r="D133" s="75"/>
      <c r="E133" s="75"/>
      <c r="F133" s="75"/>
      <c r="G133" s="75"/>
      <c r="H133" s="75"/>
      <c r="I133" s="75"/>
      <c r="J133" s="75"/>
      <c r="K133" s="1306">
        <f t="shared" ref="K133:T133" si="9">+K18+K83</f>
        <v>515</v>
      </c>
      <c r="L133" s="628">
        <f t="shared" si="9"/>
        <v>0.74714683451741593</v>
      </c>
      <c r="M133" s="628">
        <f t="shared" si="9"/>
        <v>0.76239472909940409</v>
      </c>
      <c r="N133" s="628">
        <f t="shared" si="9"/>
        <v>0</v>
      </c>
      <c r="O133" s="628">
        <f t="shared" si="9"/>
        <v>0.30127499999999996</v>
      </c>
      <c r="P133" s="628">
        <f t="shared" si="9"/>
        <v>0.90157883448025522</v>
      </c>
      <c r="Q133" s="628">
        <f t="shared" si="9"/>
        <v>0</v>
      </c>
      <c r="R133" s="628">
        <f t="shared" ca="1" si="9"/>
        <v>6.6165801296797985E-2</v>
      </c>
      <c r="S133" s="628">
        <f t="shared" si="9"/>
        <v>0</v>
      </c>
      <c r="T133" s="628">
        <f t="shared" si="9"/>
        <v>0</v>
      </c>
      <c r="U133" s="628">
        <f ca="1">SUM(N133:T133)</f>
        <v>1.2690196357770533</v>
      </c>
      <c r="V133" s="75"/>
      <c r="W133" s="628">
        <f ca="1">+U133+V133</f>
        <v>1.2690196357770533</v>
      </c>
      <c r="X133" s="1221">
        <f ca="1">IFERROR(W133/L133*10,0)</f>
        <v>16.984876026366575</v>
      </c>
      <c r="Y133" s="1503"/>
      <c r="Z133" s="1222"/>
      <c r="AA133" s="1503"/>
      <c r="AB133" s="2"/>
    </row>
    <row r="134" spans="2:28"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75"/>
      <c r="AA134" s="75"/>
      <c r="AB134" s="2"/>
    </row>
    <row r="135" spans="2:28"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75"/>
      <c r="AA135" s="75"/>
      <c r="AB135" s="2"/>
    </row>
    <row r="136" spans="2:28" x14ac:dyDescent="0.4">
      <c r="B136" s="518" t="s">
        <v>162</v>
      </c>
      <c r="C136" s="128">
        <f>SUM(C132:C135)</f>
        <v>8</v>
      </c>
      <c r="D136" s="1309"/>
      <c r="E136" s="1309"/>
      <c r="F136" s="1309"/>
      <c r="G136" s="1309"/>
      <c r="H136" s="1309"/>
      <c r="I136" s="1309"/>
      <c r="J136" s="1309"/>
      <c r="K136" s="1336">
        <f t="shared" ref="K136:W136" si="10">SUM(K132:K135)</f>
        <v>26226</v>
      </c>
      <c r="L136" s="630">
        <f t="shared" si="10"/>
        <v>163.4887458345174</v>
      </c>
      <c r="M136" s="630">
        <f t="shared" si="10"/>
        <v>165.14784826445293</v>
      </c>
      <c r="N136" s="630">
        <f t="shared" si="10"/>
        <v>0</v>
      </c>
      <c r="O136" s="630">
        <f t="shared" si="10"/>
        <v>18.350397000000001</v>
      </c>
      <c r="P136" s="630">
        <f t="shared" si="10"/>
        <v>89.21651383347016</v>
      </c>
      <c r="Q136" s="630">
        <f t="shared" si="10"/>
        <v>0</v>
      </c>
      <c r="R136" s="630">
        <f t="shared" ca="1" si="10"/>
        <v>33.181944683583552</v>
      </c>
      <c r="S136" s="630">
        <f t="shared" si="10"/>
        <v>0</v>
      </c>
      <c r="T136" s="630">
        <f t="shared" si="10"/>
        <v>0</v>
      </c>
      <c r="U136" s="630">
        <f t="shared" ca="1" si="10"/>
        <v>140.7488555170537</v>
      </c>
      <c r="V136" s="1309">
        <f t="shared" si="10"/>
        <v>0</v>
      </c>
      <c r="W136" s="630">
        <f t="shared" ca="1" si="10"/>
        <v>140.7488555170537</v>
      </c>
      <c r="X136" s="1221">
        <f ca="1">IFERROR(W136/L136*10,0)</f>
        <v>8.609085279761036</v>
      </c>
      <c r="Y136" s="1503"/>
      <c r="Z136" s="1222"/>
      <c r="AA136" s="1503"/>
      <c r="AB136" s="2"/>
    </row>
    <row r="137" spans="2:28"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75"/>
      <c r="AA137" s="75"/>
      <c r="AB137" s="2"/>
    </row>
    <row r="138" spans="2:28" x14ac:dyDescent="0.4">
      <c r="B138" s="519" t="s">
        <v>1133</v>
      </c>
      <c r="C138" s="75"/>
      <c r="D138" s="75"/>
      <c r="E138" s="75"/>
      <c r="F138" s="75"/>
      <c r="G138" s="75"/>
      <c r="H138" s="75"/>
      <c r="I138" s="75"/>
      <c r="J138" s="75"/>
      <c r="K138" s="1306"/>
      <c r="L138" s="628">
        <f>SUM(L139:L142)</f>
        <v>8.6118653808040513</v>
      </c>
      <c r="M138" s="628">
        <f>SUM(M139:M142)</f>
        <v>8.6118653808040513</v>
      </c>
      <c r="N138" s="628"/>
      <c r="O138" s="628"/>
      <c r="P138" s="628"/>
      <c r="Q138" s="628"/>
      <c r="R138" s="628"/>
      <c r="S138" s="628"/>
      <c r="T138" s="628"/>
      <c r="U138" s="628">
        <f>SUM(U139:U142)</f>
        <v>12.377183234121352</v>
      </c>
      <c r="V138" s="628">
        <f>SUM(V139:V142)</f>
        <v>0</v>
      </c>
      <c r="W138" s="628">
        <f>SUM(W139:W142)</f>
        <v>12.377183234121352</v>
      </c>
      <c r="X138" s="1221">
        <f>IFERROR(W138/L138*10,0)</f>
        <v>14.37224420821793</v>
      </c>
      <c r="Y138" s="1503"/>
      <c r="Z138" s="1222"/>
      <c r="AA138" s="1503"/>
      <c r="AB138" s="2"/>
    </row>
    <row r="139" spans="2:28" x14ac:dyDescent="0.4">
      <c r="B139" s="520" t="s">
        <v>1106</v>
      </c>
      <c r="C139" s="75">
        <f>+C28+C93</f>
        <v>1424</v>
      </c>
      <c r="D139" s="75"/>
      <c r="E139" s="75"/>
      <c r="F139" s="75"/>
      <c r="G139" s="75"/>
      <c r="H139" s="75"/>
      <c r="I139" s="75"/>
      <c r="J139" s="75"/>
      <c r="K139" s="1306">
        <f t="shared" ref="K139:T139" si="11">+K28+K93</f>
        <v>0</v>
      </c>
      <c r="L139" s="628">
        <f t="shared" si="11"/>
        <v>2.0022014349328505</v>
      </c>
      <c r="M139" s="628">
        <f t="shared" si="11"/>
        <v>2.0022014349328505</v>
      </c>
      <c r="N139" s="628">
        <f t="shared" si="11"/>
        <v>0.74332799999999999</v>
      </c>
      <c r="O139" s="628">
        <f t="shared" si="11"/>
        <v>0</v>
      </c>
      <c r="P139" s="628">
        <f t="shared" si="11"/>
        <v>0.70477490509636342</v>
      </c>
      <c r="Q139" s="628">
        <f t="shared" si="11"/>
        <v>0</v>
      </c>
      <c r="R139" s="628">
        <f t="shared" si="11"/>
        <v>0.32035222958925613</v>
      </c>
      <c r="S139" s="628">
        <f t="shared" si="11"/>
        <v>0</v>
      </c>
      <c r="T139" s="628">
        <f t="shared" si="11"/>
        <v>0</v>
      </c>
      <c r="U139" s="628">
        <f>SUM(N139:T139)</f>
        <v>1.7684551346856194</v>
      </c>
      <c r="V139" s="75"/>
      <c r="W139" s="628">
        <f>+U139+V139</f>
        <v>1.7684551346856194</v>
      </c>
      <c r="X139" s="1221">
        <f>IFERROR(W139/L139*10,0)</f>
        <v>8.8325535274872564</v>
      </c>
      <c r="Y139" s="1503"/>
      <c r="Z139" s="1222"/>
      <c r="AA139" s="1503"/>
      <c r="AB139" s="2"/>
    </row>
    <row r="140" spans="2:28" x14ac:dyDescent="0.4">
      <c r="B140" s="520" t="s">
        <v>1107</v>
      </c>
      <c r="C140" s="75">
        <f>+C29+C94</f>
        <v>553</v>
      </c>
      <c r="D140" s="75"/>
      <c r="E140" s="75"/>
      <c r="F140" s="75"/>
      <c r="G140" s="75"/>
      <c r="H140" s="75"/>
      <c r="I140" s="75"/>
      <c r="J140" s="75"/>
      <c r="K140" s="1306">
        <f t="shared" ref="K140:T140" si="12">+K29+K94</f>
        <v>0</v>
      </c>
      <c r="L140" s="628">
        <f t="shared" si="12"/>
        <v>1.9389082816511378</v>
      </c>
      <c r="M140" s="628">
        <f t="shared" si="12"/>
        <v>1.9389082816511378</v>
      </c>
      <c r="N140" s="628">
        <f t="shared" si="12"/>
        <v>0.28866599999999998</v>
      </c>
      <c r="O140" s="628">
        <f t="shared" si="12"/>
        <v>0</v>
      </c>
      <c r="P140" s="628">
        <f t="shared" si="12"/>
        <v>1.8632908586667434</v>
      </c>
      <c r="Q140" s="628">
        <f t="shared" si="12"/>
        <v>0</v>
      </c>
      <c r="R140" s="628">
        <f t="shared" si="12"/>
        <v>0.3102253250641821</v>
      </c>
      <c r="S140" s="628">
        <f t="shared" si="12"/>
        <v>0</v>
      </c>
      <c r="T140" s="628">
        <f t="shared" si="12"/>
        <v>0</v>
      </c>
      <c r="U140" s="628">
        <f>SUM(N140:T140)</f>
        <v>2.4621821837309255</v>
      </c>
      <c r="V140" s="75"/>
      <c r="W140" s="628">
        <f>+U140+V140</f>
        <v>2.4621821837309255</v>
      </c>
      <c r="X140" s="1221">
        <f>IFERROR(W140/L140*10,0)</f>
        <v>12.698806885461222</v>
      </c>
      <c r="Y140" s="1503"/>
      <c r="Z140" s="1222"/>
      <c r="AA140" s="1503"/>
      <c r="AB140" s="2"/>
    </row>
    <row r="141" spans="2:28" x14ac:dyDescent="0.4">
      <c r="B141" s="520" t="s">
        <v>1108</v>
      </c>
      <c r="C141" s="75">
        <f>+C30+C95</f>
        <v>294</v>
      </c>
      <c r="D141" s="75"/>
      <c r="E141" s="75"/>
      <c r="F141" s="75"/>
      <c r="G141" s="75"/>
      <c r="H141" s="75"/>
      <c r="I141" s="75"/>
      <c r="J141" s="75"/>
      <c r="K141" s="1306">
        <f t="shared" ref="K141:T141" si="13">+K30+K95</f>
        <v>0</v>
      </c>
      <c r="L141" s="628">
        <f t="shared" si="13"/>
        <v>0.67911633672838101</v>
      </c>
      <c r="M141" s="628">
        <f t="shared" si="13"/>
        <v>0.67911633672838101</v>
      </c>
      <c r="N141" s="628">
        <f t="shared" si="13"/>
        <v>0.15346799999999999</v>
      </c>
      <c r="O141" s="628">
        <f t="shared" si="13"/>
        <v>0</v>
      </c>
      <c r="P141" s="628">
        <f t="shared" si="13"/>
        <v>0.90865765854257385</v>
      </c>
      <c r="Q141" s="628">
        <f t="shared" si="13"/>
        <v>0</v>
      </c>
      <c r="R141" s="628">
        <f t="shared" si="13"/>
        <v>0.10865861387654097</v>
      </c>
      <c r="S141" s="628">
        <f t="shared" si="13"/>
        <v>0</v>
      </c>
      <c r="T141" s="628">
        <f t="shared" si="13"/>
        <v>0</v>
      </c>
      <c r="U141" s="628">
        <f>SUM(N141:T141)</f>
        <v>1.1707842724191146</v>
      </c>
      <c r="V141" s="75"/>
      <c r="W141" s="628">
        <f>+U141+V141</f>
        <v>1.1707842724191146</v>
      </c>
      <c r="X141" s="1221">
        <f>IFERROR(W141/L141*10,0)</f>
        <v>17.23981899860231</v>
      </c>
      <c r="Y141" s="1503"/>
      <c r="Z141" s="1222"/>
      <c r="AA141" s="1503"/>
      <c r="AB141" s="2"/>
    </row>
    <row r="142" spans="2:28" x14ac:dyDescent="0.4">
      <c r="B142" s="520" t="s">
        <v>1109</v>
      </c>
      <c r="C142" s="75">
        <f>+C31+C96</f>
        <v>211</v>
      </c>
      <c r="D142" s="75"/>
      <c r="E142" s="75"/>
      <c r="F142" s="75"/>
      <c r="G142" s="75"/>
      <c r="H142" s="75"/>
      <c r="I142" s="75"/>
      <c r="J142" s="75"/>
      <c r="K142" s="1306">
        <f t="shared" ref="K142:T142" si="14">+K31+K96</f>
        <v>0</v>
      </c>
      <c r="L142" s="628">
        <f t="shared" si="14"/>
        <v>3.9916393274916824</v>
      </c>
      <c r="M142" s="628">
        <f t="shared" si="14"/>
        <v>3.9916393274916824</v>
      </c>
      <c r="N142" s="628">
        <f t="shared" si="14"/>
        <v>0.110142</v>
      </c>
      <c r="O142" s="628">
        <f t="shared" si="14"/>
        <v>0</v>
      </c>
      <c r="P142" s="628">
        <f t="shared" si="14"/>
        <v>6.2269573508870248</v>
      </c>
      <c r="Q142" s="628">
        <f t="shared" si="14"/>
        <v>0</v>
      </c>
      <c r="R142" s="628">
        <f t="shared" si="14"/>
        <v>0.63866229239866923</v>
      </c>
      <c r="S142" s="628">
        <f t="shared" si="14"/>
        <v>0</v>
      </c>
      <c r="T142" s="628">
        <f t="shared" si="14"/>
        <v>0</v>
      </c>
      <c r="U142" s="628">
        <f>SUM(N142:T142)</f>
        <v>6.9757616432856935</v>
      </c>
      <c r="V142" s="75"/>
      <c r="W142" s="628">
        <f>+U142+V142</f>
        <v>6.9757616432856935</v>
      </c>
      <c r="X142" s="1221">
        <f>IFERROR(W142/L142*10,0)</f>
        <v>17.475931743736005</v>
      </c>
      <c r="Y142" s="1503"/>
      <c r="Z142" s="1222"/>
      <c r="AA142" s="1503"/>
      <c r="AB142" s="2"/>
    </row>
    <row r="143" spans="2:28" x14ac:dyDescent="0.4">
      <c r="B143" s="520" t="s">
        <v>1110</v>
      </c>
      <c r="C143" s="75"/>
      <c r="D143" s="75"/>
      <c r="E143" s="75"/>
      <c r="F143" s="75"/>
      <c r="G143" s="75"/>
      <c r="H143" s="75"/>
      <c r="I143" s="75"/>
      <c r="J143" s="75"/>
      <c r="K143" s="1306">
        <f t="shared" ref="K143:T143" si="15">+K32+K97</f>
        <v>0</v>
      </c>
      <c r="L143" s="628">
        <f t="shared" si="15"/>
        <v>0</v>
      </c>
      <c r="M143" s="628">
        <f t="shared" si="15"/>
        <v>0</v>
      </c>
      <c r="N143" s="628">
        <f t="shared" si="15"/>
        <v>0</v>
      </c>
      <c r="O143" s="628">
        <f t="shared" si="15"/>
        <v>0</v>
      </c>
      <c r="P143" s="628">
        <f t="shared" si="15"/>
        <v>0</v>
      </c>
      <c r="Q143" s="628">
        <f t="shared" si="15"/>
        <v>0</v>
      </c>
      <c r="R143" s="628">
        <f t="shared" si="15"/>
        <v>0</v>
      </c>
      <c r="S143" s="628">
        <f t="shared" si="15"/>
        <v>0</v>
      </c>
      <c r="T143" s="628">
        <f t="shared" si="15"/>
        <v>0</v>
      </c>
      <c r="U143" s="628"/>
      <c r="V143" s="75"/>
      <c r="W143" s="628"/>
      <c r="X143" s="75"/>
      <c r="Y143" s="75"/>
      <c r="Z143" s="75"/>
      <c r="AA143" s="75"/>
      <c r="AB143" s="2"/>
    </row>
    <row r="144" spans="2:28"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75"/>
      <c r="AA144" s="75"/>
      <c r="AB144" s="2"/>
    </row>
    <row r="145" spans="2:28" x14ac:dyDescent="0.4">
      <c r="B145" s="520" t="s">
        <v>1140</v>
      </c>
      <c r="C145" s="75">
        <f>+C35+C99</f>
        <v>42</v>
      </c>
      <c r="D145" s="75"/>
      <c r="E145" s="75"/>
      <c r="F145" s="75"/>
      <c r="G145" s="75"/>
      <c r="H145" s="75"/>
      <c r="I145" s="75"/>
      <c r="J145" s="75"/>
      <c r="K145" s="1306">
        <f t="shared" ref="K145:T145" si="16">+K35+K99</f>
        <v>0</v>
      </c>
      <c r="L145" s="628">
        <f t="shared" si="16"/>
        <v>0.33636889514339563</v>
      </c>
      <c r="M145" s="628">
        <f t="shared" si="16"/>
        <v>0.34323356647285269</v>
      </c>
      <c r="N145" s="628">
        <f t="shared" si="16"/>
        <v>2.7216000000000001E-2</v>
      </c>
      <c r="O145" s="628">
        <f t="shared" si="16"/>
        <v>0</v>
      </c>
      <c r="P145" s="628">
        <f t="shared" si="16"/>
        <v>0.25463125362355049</v>
      </c>
      <c r="Q145" s="628">
        <f t="shared" si="16"/>
        <v>0</v>
      </c>
      <c r="R145" s="628">
        <f t="shared" si="16"/>
        <v>5.381902322294331E-2</v>
      </c>
      <c r="S145" s="628">
        <f t="shared" si="16"/>
        <v>0</v>
      </c>
      <c r="T145" s="628">
        <f t="shared" si="16"/>
        <v>0</v>
      </c>
      <c r="U145" s="628">
        <f t="shared" ref="U145:U151" si="17">SUM(N145:T145)</f>
        <v>0.33566627684649381</v>
      </c>
      <c r="V145" s="75"/>
      <c r="W145" s="628">
        <f t="shared" ref="W145:W152" si="18">+U145+V145</f>
        <v>0.33566627684649381</v>
      </c>
      <c r="X145" s="1221">
        <f t="shared" ref="X145:X151" si="19">IFERROR(W145/L145*10,0)</f>
        <v>9.9791116745024162</v>
      </c>
      <c r="Y145" s="1503"/>
      <c r="Z145" s="1222"/>
      <c r="AA145" s="1503"/>
      <c r="AB145" s="2"/>
    </row>
    <row r="146" spans="2:28" x14ac:dyDescent="0.4">
      <c r="B146" s="520" t="s">
        <v>1144</v>
      </c>
      <c r="C146" s="75">
        <f>+C36+C100</f>
        <v>9</v>
      </c>
      <c r="D146" s="75"/>
      <c r="E146" s="75"/>
      <c r="F146" s="75"/>
      <c r="G146" s="75"/>
      <c r="H146" s="75"/>
      <c r="I146" s="75"/>
      <c r="J146" s="75"/>
      <c r="K146" s="1306">
        <f t="shared" ref="K146:T146" si="20">+K36+K100</f>
        <v>383</v>
      </c>
      <c r="L146" s="628">
        <f t="shared" si="20"/>
        <v>0.59091548630067836</v>
      </c>
      <c r="M146" s="628">
        <f t="shared" si="20"/>
        <v>0.59773408250106086</v>
      </c>
      <c r="N146" s="628">
        <f t="shared" si="20"/>
        <v>0</v>
      </c>
      <c r="O146" s="628">
        <f t="shared" si="20"/>
        <v>0.10111200000000001</v>
      </c>
      <c r="P146" s="628">
        <f t="shared" si="20"/>
        <v>0.65989842708117119</v>
      </c>
      <c r="Q146" s="628">
        <f t="shared" si="20"/>
        <v>0</v>
      </c>
      <c r="R146" s="628">
        <f t="shared" si="20"/>
        <v>9.0855580540161254E-2</v>
      </c>
      <c r="S146" s="628">
        <f t="shared" si="20"/>
        <v>0</v>
      </c>
      <c r="T146" s="628">
        <f t="shared" si="20"/>
        <v>0</v>
      </c>
      <c r="U146" s="628">
        <f t="shared" si="17"/>
        <v>0.85186600762133247</v>
      </c>
      <c r="V146" s="75"/>
      <c r="W146" s="628">
        <f t="shared" si="18"/>
        <v>0.85186600762133247</v>
      </c>
      <c r="X146" s="1221">
        <f t="shared" si="19"/>
        <v>14.416037950778522</v>
      </c>
      <c r="Y146" s="1503"/>
      <c r="Z146" s="1222"/>
      <c r="AA146" s="1503"/>
      <c r="AB146" s="2"/>
    </row>
    <row r="147" spans="2:28" x14ac:dyDescent="0.4">
      <c r="B147" s="520" t="s">
        <v>1143</v>
      </c>
      <c r="C147" s="75">
        <f>+C41+C105</f>
        <v>1</v>
      </c>
      <c r="D147" s="75"/>
      <c r="E147" s="75"/>
      <c r="F147" s="75"/>
      <c r="G147" s="75"/>
      <c r="H147" s="75"/>
      <c r="I147" s="75"/>
      <c r="J147" s="75"/>
      <c r="K147" s="1306">
        <f t="shared" ref="K147:T147" si="21">+K41+K105</f>
        <v>70</v>
      </c>
      <c r="L147" s="628">
        <f t="shared" si="21"/>
        <v>0.17597237974843327</v>
      </c>
      <c r="M147" s="628">
        <f t="shared" si="21"/>
        <v>0.17771995934869542</v>
      </c>
      <c r="N147" s="628">
        <f t="shared" si="21"/>
        <v>0</v>
      </c>
      <c r="O147" s="628">
        <f t="shared" si="21"/>
        <v>1.848E-2</v>
      </c>
      <c r="P147" s="628">
        <f t="shared" si="21"/>
        <v>0.23547894613702142</v>
      </c>
      <c r="Q147" s="628">
        <f t="shared" si="21"/>
        <v>0</v>
      </c>
      <c r="R147" s="628">
        <f t="shared" si="21"/>
        <v>2.7013433821001704E-2</v>
      </c>
      <c r="S147" s="628">
        <f t="shared" si="21"/>
        <v>0</v>
      </c>
      <c r="T147" s="628">
        <f t="shared" si="21"/>
        <v>0</v>
      </c>
      <c r="U147" s="628">
        <f t="shared" si="17"/>
        <v>0.2809723799580231</v>
      </c>
      <c r="V147" s="75"/>
      <c r="W147" s="628">
        <f t="shared" si="18"/>
        <v>0.2809723799580231</v>
      </c>
      <c r="X147" s="1221">
        <f t="shared" si="19"/>
        <v>15.96684549925936</v>
      </c>
      <c r="Y147" s="1503"/>
      <c r="Z147" s="1222"/>
      <c r="AA147" s="1503"/>
      <c r="AB147" s="2"/>
    </row>
    <row r="148" spans="2:28" ht="25.5" x14ac:dyDescent="0.4">
      <c r="B148" s="519" t="s">
        <v>1111</v>
      </c>
      <c r="C148" s="75">
        <f>+C46+C110</f>
        <v>2</v>
      </c>
      <c r="D148" s="75"/>
      <c r="E148" s="75"/>
      <c r="F148" s="75"/>
      <c r="G148" s="75"/>
      <c r="H148" s="75"/>
      <c r="I148" s="75"/>
      <c r="J148" s="75"/>
      <c r="K148" s="1306">
        <f t="shared" ref="K148:T148" si="22">+K46+K110</f>
        <v>160</v>
      </c>
      <c r="L148" s="628">
        <f t="shared" si="22"/>
        <v>0.97996764932994562</v>
      </c>
      <c r="M148" s="628">
        <f t="shared" si="22"/>
        <v>0.9999669891121894</v>
      </c>
      <c r="N148" s="628">
        <f t="shared" si="22"/>
        <v>0</v>
      </c>
      <c r="O148" s="628">
        <f t="shared" si="22"/>
        <v>1.9200000000000002E-2</v>
      </c>
      <c r="P148" s="628">
        <f t="shared" si="22"/>
        <v>0.69297712345474727</v>
      </c>
      <c r="Q148" s="628">
        <f t="shared" si="22"/>
        <v>0</v>
      </c>
      <c r="R148" s="628">
        <f t="shared" si="22"/>
        <v>0.15199498234505279</v>
      </c>
      <c r="S148" s="628">
        <f t="shared" si="22"/>
        <v>0</v>
      </c>
      <c r="T148" s="628">
        <f t="shared" si="22"/>
        <v>0</v>
      </c>
      <c r="U148" s="628">
        <f t="shared" si="17"/>
        <v>0.86417210579980008</v>
      </c>
      <c r="V148" s="75"/>
      <c r="W148" s="628">
        <f t="shared" si="18"/>
        <v>0.86417210579980008</v>
      </c>
      <c r="X148" s="1221">
        <f t="shared" si="19"/>
        <v>8.8183738145915243</v>
      </c>
      <c r="Y148" s="1503"/>
      <c r="Z148" s="1222"/>
      <c r="AA148" s="1503"/>
      <c r="AB148" s="2"/>
    </row>
    <row r="149" spans="2:28" ht="25.5" x14ac:dyDescent="0.4">
      <c r="B149" s="519" t="s">
        <v>1135</v>
      </c>
      <c r="C149" s="75">
        <f>+C51+C115</f>
        <v>2</v>
      </c>
      <c r="D149" s="75"/>
      <c r="E149" s="75"/>
      <c r="F149" s="75"/>
      <c r="G149" s="75"/>
      <c r="H149" s="75"/>
      <c r="I149" s="75"/>
      <c r="J149" s="75"/>
      <c r="K149" s="1306">
        <f t="shared" ref="K149:T149" si="23">+K51+K115</f>
        <v>38</v>
      </c>
      <c r="L149" s="628">
        <f t="shared" si="23"/>
        <v>0.36337506312426876</v>
      </c>
      <c r="M149" s="628">
        <f t="shared" si="23"/>
        <v>0.37079088073904976</v>
      </c>
      <c r="N149" s="628">
        <f t="shared" si="23"/>
        <v>1.56E-3</v>
      </c>
      <c r="O149" s="628">
        <f t="shared" si="23"/>
        <v>0</v>
      </c>
      <c r="P149" s="628">
        <f t="shared" si="23"/>
        <v>0.23212618100083846</v>
      </c>
      <c r="Q149" s="628">
        <f t="shared" si="23"/>
        <v>0</v>
      </c>
      <c r="R149" s="628">
        <f t="shared" ca="1" si="23"/>
        <v>7.3373802843696656E-2</v>
      </c>
      <c r="S149" s="628">
        <f t="shared" si="23"/>
        <v>0</v>
      </c>
      <c r="T149" s="628">
        <f t="shared" si="23"/>
        <v>0</v>
      </c>
      <c r="U149" s="628">
        <f t="shared" ca="1" si="17"/>
        <v>0.30705998384453514</v>
      </c>
      <c r="V149" s="75"/>
      <c r="W149" s="628">
        <f t="shared" ca="1" si="18"/>
        <v>0.30705998384453514</v>
      </c>
      <c r="X149" s="1221">
        <f t="shared" ca="1" si="19"/>
        <v>8.4502216856726147</v>
      </c>
      <c r="Y149" s="1503"/>
      <c r="Z149" s="1222"/>
      <c r="AA149" s="1503"/>
      <c r="AB149" s="2"/>
    </row>
    <row r="150" spans="2:28" ht="38.25" x14ac:dyDescent="0.4">
      <c r="B150" s="519" t="s">
        <v>1136</v>
      </c>
      <c r="C150" s="75">
        <f>+C52+C116</f>
        <v>0</v>
      </c>
      <c r="D150" s="75"/>
      <c r="E150" s="75"/>
      <c r="F150" s="75"/>
      <c r="G150" s="75"/>
      <c r="H150" s="75"/>
      <c r="I150" s="75"/>
      <c r="J150" s="75"/>
      <c r="K150" s="1306">
        <f t="shared" ref="K150:T150" si="24">+K52+K116</f>
        <v>0</v>
      </c>
      <c r="L150" s="628">
        <f t="shared" si="24"/>
        <v>0</v>
      </c>
      <c r="M150" s="628">
        <f t="shared" si="24"/>
        <v>0</v>
      </c>
      <c r="N150" s="628">
        <f t="shared" si="24"/>
        <v>0</v>
      </c>
      <c r="O150" s="628">
        <f t="shared" si="24"/>
        <v>0</v>
      </c>
      <c r="P150" s="628">
        <f t="shared" si="24"/>
        <v>0</v>
      </c>
      <c r="Q150" s="628">
        <f t="shared" si="24"/>
        <v>0</v>
      </c>
      <c r="R150" s="628">
        <f t="shared" si="24"/>
        <v>0</v>
      </c>
      <c r="S150" s="628">
        <f t="shared" si="24"/>
        <v>0</v>
      </c>
      <c r="T150" s="628">
        <f t="shared" si="24"/>
        <v>0</v>
      </c>
      <c r="U150" s="628">
        <f t="shared" si="17"/>
        <v>0</v>
      </c>
      <c r="V150" s="75"/>
      <c r="W150" s="628">
        <f t="shared" si="18"/>
        <v>0</v>
      </c>
      <c r="X150" s="1221">
        <f t="shared" si="19"/>
        <v>0</v>
      </c>
      <c r="Y150" s="1503"/>
      <c r="Z150" s="1222"/>
      <c r="AA150" s="1503"/>
      <c r="AB150" s="2"/>
    </row>
    <row r="151" spans="2:28" ht="25.5" x14ac:dyDescent="0.4">
      <c r="B151" s="519" t="s">
        <v>1142</v>
      </c>
      <c r="C151" s="75">
        <f>+C58+C117</f>
        <v>10</v>
      </c>
      <c r="D151" s="75"/>
      <c r="E151" s="75"/>
      <c r="F151" s="75"/>
      <c r="G151" s="75"/>
      <c r="H151" s="75"/>
      <c r="I151" s="75"/>
      <c r="J151" s="75"/>
      <c r="K151" s="1306">
        <f t="shared" ref="K151:T151" si="25">+K58+K117</f>
        <v>105</v>
      </c>
      <c r="L151" s="628">
        <f t="shared" si="25"/>
        <v>2.0388311031803674E-2</v>
      </c>
      <c r="M151" s="628">
        <f t="shared" si="25"/>
        <v>2.0559641376608748E-2</v>
      </c>
      <c r="N151" s="628">
        <f t="shared" si="25"/>
        <v>0</v>
      </c>
      <c r="O151" s="628">
        <f t="shared" si="25"/>
        <v>0</v>
      </c>
      <c r="P151" s="628">
        <f t="shared" si="25"/>
        <v>1.4145033267106819E-2</v>
      </c>
      <c r="Q151" s="628">
        <f t="shared" si="25"/>
        <v>0</v>
      </c>
      <c r="R151" s="628">
        <f t="shared" si="25"/>
        <v>3.1250654892445292E-3</v>
      </c>
      <c r="S151" s="628">
        <f t="shared" si="25"/>
        <v>0</v>
      </c>
      <c r="T151" s="628">
        <f t="shared" si="25"/>
        <v>0</v>
      </c>
      <c r="U151" s="628">
        <f t="shared" si="17"/>
        <v>1.7270098756351347E-2</v>
      </c>
      <c r="V151" s="75"/>
      <c r="W151" s="628">
        <f t="shared" si="18"/>
        <v>1.7270098756351347E-2</v>
      </c>
      <c r="X151" s="1221">
        <f t="shared" si="19"/>
        <v>8.4705882352941178</v>
      </c>
      <c r="Y151" s="1503"/>
      <c r="Z151" s="1222"/>
      <c r="AA151" s="1503"/>
      <c r="AB151" s="2"/>
    </row>
    <row r="152" spans="2:28" x14ac:dyDescent="0.4">
      <c r="B152" s="518" t="s">
        <v>162</v>
      </c>
      <c r="C152" s="1308">
        <f>SUM(C139:C151)</f>
        <v>2548</v>
      </c>
      <c r="D152" s="1310"/>
      <c r="E152" s="1310"/>
      <c r="F152" s="1310"/>
      <c r="G152" s="1310"/>
      <c r="H152" s="1310"/>
      <c r="I152" s="1310"/>
      <c r="J152" s="1310"/>
      <c r="K152" s="1336">
        <f t="shared" ref="K152:V152" si="26">SUM(K139:K151)</f>
        <v>756</v>
      </c>
      <c r="L152" s="630">
        <f t="shared" si="26"/>
        <v>11.078853165482577</v>
      </c>
      <c r="M152" s="630">
        <f t="shared" si="26"/>
        <v>11.121870500354509</v>
      </c>
      <c r="N152" s="630">
        <f t="shared" si="26"/>
        <v>1.3243799999999999</v>
      </c>
      <c r="O152" s="630">
        <f t="shared" si="26"/>
        <v>0.138792</v>
      </c>
      <c r="P152" s="630">
        <f t="shared" si="26"/>
        <v>11.792937737757141</v>
      </c>
      <c r="Q152" s="630">
        <f t="shared" si="26"/>
        <v>0</v>
      </c>
      <c r="R152" s="630">
        <f t="shared" ca="1" si="26"/>
        <v>1.7780803491907489</v>
      </c>
      <c r="S152" s="630">
        <f t="shared" si="26"/>
        <v>0</v>
      </c>
      <c r="T152" s="630">
        <f t="shared" si="26"/>
        <v>0</v>
      </c>
      <c r="U152" s="630">
        <f t="shared" ca="1" si="26"/>
        <v>15.034190086947888</v>
      </c>
      <c r="V152" s="1310">
        <f t="shared" si="26"/>
        <v>0</v>
      </c>
      <c r="W152" s="630">
        <f t="shared" ca="1" si="18"/>
        <v>15.034190086947888</v>
      </c>
      <c r="X152" s="1222">
        <f ca="1">IFERROR(W152/L152*10,0)</f>
        <v>13.570168195557109</v>
      </c>
      <c r="Y152" s="1503"/>
      <c r="Z152" s="1222"/>
      <c r="AA152" s="1503"/>
      <c r="AB152" s="2"/>
    </row>
    <row r="153" spans="2:28"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75"/>
      <c r="AA153" s="75"/>
      <c r="AB153" s="2"/>
    </row>
    <row r="154" spans="2:28" x14ac:dyDescent="0.4">
      <c r="B154" s="119" t="s">
        <v>164</v>
      </c>
      <c r="C154" s="1308">
        <f>+C152+C136</f>
        <v>2556</v>
      </c>
      <c r="D154" s="1309"/>
      <c r="E154" s="1309"/>
      <c r="F154" s="1309"/>
      <c r="G154" s="1309"/>
      <c r="H154" s="1309"/>
      <c r="I154" s="1309"/>
      <c r="J154" s="1309"/>
      <c r="K154" s="1336">
        <f t="shared" ref="K154:W154" si="27">+K152+K136</f>
        <v>26982</v>
      </c>
      <c r="L154" s="630">
        <f t="shared" si="27"/>
        <v>174.56759899999997</v>
      </c>
      <c r="M154" s="630">
        <f t="shared" si="27"/>
        <v>176.26971876480744</v>
      </c>
      <c r="N154" s="630">
        <f t="shared" si="27"/>
        <v>1.3243799999999999</v>
      </c>
      <c r="O154" s="630">
        <f t="shared" si="27"/>
        <v>18.489189</v>
      </c>
      <c r="P154" s="630">
        <f t="shared" si="27"/>
        <v>101.0094515712273</v>
      </c>
      <c r="Q154" s="630">
        <f t="shared" si="27"/>
        <v>0</v>
      </c>
      <c r="R154" s="630">
        <f t="shared" ca="1" si="27"/>
        <v>34.960025032774304</v>
      </c>
      <c r="S154" s="630">
        <f t="shared" si="27"/>
        <v>0</v>
      </c>
      <c r="T154" s="630">
        <f t="shared" si="27"/>
        <v>0</v>
      </c>
      <c r="U154" s="630">
        <f t="shared" ca="1" si="27"/>
        <v>155.78304560400159</v>
      </c>
      <c r="V154" s="1309">
        <f t="shared" si="27"/>
        <v>0</v>
      </c>
      <c r="W154" s="630">
        <f t="shared" ca="1" si="27"/>
        <v>155.78304560400159</v>
      </c>
      <c r="X154" s="1222">
        <f ca="1">IFERROR(W154/L154*10,0)</f>
        <v>8.9239381475368535</v>
      </c>
      <c r="Y154" s="1503"/>
      <c r="Z154" s="1222"/>
      <c r="AA154" s="1503"/>
      <c r="AB154" s="2"/>
    </row>
    <row r="155" spans="2:28" x14ac:dyDescent="0.4">
      <c r="L155" s="561">
        <f>+'F1'!K34-L154</f>
        <v>0</v>
      </c>
      <c r="N155" s="561">
        <f t="shared" ref="N155:W155" si="28">+N65+N124-N154</f>
        <v>0</v>
      </c>
      <c r="O155" s="561">
        <f t="shared" si="28"/>
        <v>0</v>
      </c>
      <c r="P155" s="561">
        <f t="shared" si="28"/>
        <v>0</v>
      </c>
      <c r="Q155" s="561">
        <f t="shared" si="28"/>
        <v>0</v>
      </c>
      <c r="R155" s="561">
        <f t="shared" ca="1" si="28"/>
        <v>0</v>
      </c>
      <c r="S155" s="561">
        <f t="shared" si="28"/>
        <v>0</v>
      </c>
      <c r="T155" s="561">
        <f t="shared" si="28"/>
        <v>0</v>
      </c>
      <c r="U155" s="561">
        <f t="shared" ca="1" si="28"/>
        <v>0</v>
      </c>
      <c r="V155" s="561">
        <f t="shared" si="28"/>
        <v>0</v>
      </c>
      <c r="W155" s="561">
        <f t="shared" ca="1" si="28"/>
        <v>0</v>
      </c>
      <c r="X155" s="561"/>
      <c r="AB155" s="2"/>
    </row>
  </sheetData>
  <mergeCells count="41">
    <mergeCell ref="AA75:AA76"/>
    <mergeCell ref="Z129:Z130"/>
    <mergeCell ref="AA129:AA130"/>
    <mergeCell ref="V129:V130"/>
    <mergeCell ref="W129:W130"/>
    <mergeCell ref="X129:X130"/>
    <mergeCell ref="Y129:Y130"/>
    <mergeCell ref="AB129:AB130"/>
    <mergeCell ref="B129:B130"/>
    <mergeCell ref="C129:C130"/>
    <mergeCell ref="D129:I129"/>
    <mergeCell ref="J129:M129"/>
    <mergeCell ref="N129:U129"/>
    <mergeCell ref="AB10:AB11"/>
    <mergeCell ref="A11:A12"/>
    <mergeCell ref="B75:B76"/>
    <mergeCell ref="C75:C76"/>
    <mergeCell ref="D75:I75"/>
    <mergeCell ref="J75:M75"/>
    <mergeCell ref="N75:U75"/>
    <mergeCell ref="V75:V76"/>
    <mergeCell ref="W75:W76"/>
    <mergeCell ref="X75:X76"/>
    <mergeCell ref="Y75:Y76"/>
    <mergeCell ref="AB75:AB76"/>
    <mergeCell ref="A76:A77"/>
    <mergeCell ref="Z10:Z11"/>
    <mergeCell ref="AA10:AA11"/>
    <mergeCell ref="Z75:Z76"/>
    <mergeCell ref="B2:Y2"/>
    <mergeCell ref="B3:Y3"/>
    <mergeCell ref="B4:Y4"/>
    <mergeCell ref="B10:B11"/>
    <mergeCell ref="C10:C11"/>
    <mergeCell ref="D10:I10"/>
    <mergeCell ref="J10:M10"/>
    <mergeCell ref="N10:U10"/>
    <mergeCell ref="V10:V11"/>
    <mergeCell ref="W10:W11"/>
    <mergeCell ref="X10:X11"/>
    <mergeCell ref="Y10:Y11"/>
  </mergeCells>
  <pageMargins left="0.7" right="0.7" top="0.75" bottom="0.75" header="0.3" footer="0.3"/>
  <pageSetup scale="37" orientation="landscape" r:id="rId1"/>
  <rowBreaks count="2" manualBreakCount="2">
    <brk id="71" min="1" max="25" man="1"/>
    <brk id="125" min="1" max="2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A29A-A82B-4798-B0CE-265A11442905}">
  <dimension ref="A2:AB155"/>
  <sheetViews>
    <sheetView showGridLines="0" view="pageBreakPreview" topLeftCell="A140" zoomScale="70" zoomScaleNormal="80" zoomScaleSheetLayoutView="70" workbookViewId="0">
      <selection activeCell="M5" sqref="M1:M1048576"/>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7" width="13.6640625" style="1" customWidth="1"/>
    <col min="28" max="28" width="8.6640625" style="1"/>
    <col min="29" max="29" width="11.6640625" style="1" customWidth="1"/>
    <col min="30" max="30" width="12.46484375" style="1" customWidth="1"/>
    <col min="31" max="16384" width="8.6640625" style="1"/>
  </cols>
  <sheetData>
    <row r="2" spans="1:28"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20"/>
      <c r="AA2" s="120"/>
    </row>
    <row r="3" spans="1:28"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53"/>
      <c r="AA3" s="53"/>
    </row>
    <row r="4" spans="1:28" x14ac:dyDescent="0.4">
      <c r="B4" s="2079" t="s">
        <v>752</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c r="Z4" s="123"/>
      <c r="AA4" s="123"/>
    </row>
    <row r="5" spans="1:28" x14ac:dyDescent="0.4">
      <c r="B5" s="123"/>
      <c r="C5" s="123"/>
      <c r="D5" s="123"/>
      <c r="E5" s="123"/>
      <c r="F5" s="123"/>
      <c r="G5" s="123"/>
      <c r="H5" s="123"/>
      <c r="I5" s="123"/>
      <c r="J5" s="123"/>
      <c r="K5" s="1332"/>
      <c r="L5" s="1327"/>
      <c r="M5" s="1327"/>
      <c r="N5" s="1327"/>
      <c r="O5" s="123"/>
      <c r="P5" s="123"/>
      <c r="Q5" s="123"/>
      <c r="R5" s="123"/>
      <c r="S5" s="123"/>
      <c r="T5" s="123"/>
    </row>
    <row r="6" spans="1:28" x14ac:dyDescent="0.4">
      <c r="B6" s="123"/>
      <c r="C6" s="123"/>
      <c r="D6" s="123"/>
      <c r="E6" s="123"/>
      <c r="F6" s="123"/>
      <c r="G6" s="123"/>
      <c r="H6" s="123"/>
      <c r="I6" s="123"/>
      <c r="J6" s="123"/>
      <c r="K6" s="1332"/>
      <c r="L6" s="1327"/>
      <c r="M6" s="1327"/>
      <c r="N6" s="1327"/>
      <c r="O6" s="123"/>
      <c r="P6" s="123"/>
      <c r="Q6" s="123"/>
      <c r="R6" s="123"/>
      <c r="S6" s="123"/>
      <c r="T6" s="123"/>
    </row>
    <row r="7" spans="1:28" x14ac:dyDescent="0.4">
      <c r="B7" s="131" t="s">
        <v>746</v>
      </c>
      <c r="C7" s="103"/>
      <c r="D7" s="103"/>
      <c r="E7" s="103"/>
      <c r="F7" s="103"/>
      <c r="G7" s="103"/>
      <c r="H7" s="103"/>
      <c r="I7" s="103"/>
      <c r="J7" s="103"/>
      <c r="K7" s="1333"/>
      <c r="L7" s="1328"/>
      <c r="M7" s="1328"/>
      <c r="N7" s="1328"/>
      <c r="O7" s="103"/>
      <c r="P7" s="103"/>
      <c r="Q7" s="103"/>
      <c r="R7" s="103"/>
      <c r="S7" s="103"/>
      <c r="T7" s="103"/>
      <c r="U7" s="103"/>
      <c r="V7" s="103"/>
      <c r="W7" s="1328"/>
      <c r="X7" s="103"/>
      <c r="Y7" s="103"/>
      <c r="Z7" s="103"/>
      <c r="AA7" s="103"/>
    </row>
    <row r="8" spans="1:28" x14ac:dyDescent="0.4">
      <c r="B8" s="131" t="s">
        <v>1603</v>
      </c>
      <c r="C8" s="103"/>
      <c r="D8" s="103"/>
      <c r="E8" s="103"/>
      <c r="F8" s="103"/>
      <c r="G8" s="103"/>
      <c r="H8" s="103"/>
      <c r="I8" s="103"/>
      <c r="J8" s="103"/>
      <c r="K8" s="1333"/>
      <c r="L8" s="1328"/>
      <c r="M8" s="1328"/>
      <c r="N8" s="1328"/>
      <c r="O8" s="103"/>
      <c r="P8" s="103"/>
      <c r="Q8" s="103"/>
      <c r="R8" s="103"/>
      <c r="S8" s="103"/>
      <c r="T8" s="103"/>
      <c r="U8" s="103"/>
      <c r="V8" s="103"/>
      <c r="W8" s="1328"/>
      <c r="X8" s="103"/>
      <c r="Y8" s="103"/>
      <c r="Z8" s="103"/>
      <c r="AA8" s="103"/>
    </row>
    <row r="9" spans="1:28"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c r="Z9" s="103"/>
      <c r="AA9" s="103"/>
    </row>
    <row r="10" spans="1:28"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1718</v>
      </c>
      <c r="AA10" s="1947" t="s">
        <v>1717</v>
      </c>
      <c r="AB10" s="1947" t="s">
        <v>1570</v>
      </c>
    </row>
    <row r="11" spans="1:28"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c r="AA11" s="1947"/>
      <c r="AB11" s="1947"/>
    </row>
    <row r="12" spans="1:28"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80"/>
      <c r="AA12" s="80"/>
      <c r="AB12" s="2"/>
    </row>
    <row r="13" spans="1:28" s="6" customFormat="1" ht="13.5" x14ac:dyDescent="0.35">
      <c r="A13" s="1364">
        <f>+'F14.2'!A13</f>
        <v>0.9</v>
      </c>
      <c r="B13" s="517" t="s">
        <v>1129</v>
      </c>
      <c r="C13" s="128">
        <f>+'F13.3'!C13</f>
        <v>4</v>
      </c>
      <c r="D13" s="128"/>
      <c r="E13" s="128">
        <v>700</v>
      </c>
      <c r="F13" s="1365">
        <v>5.0999999999999996</v>
      </c>
      <c r="G13" s="128"/>
      <c r="H13" s="1365">
        <f ca="1">+'Tariff Schedule'!$U$7</f>
        <v>1.9674357884757281</v>
      </c>
      <c r="I13" s="128"/>
      <c r="J13" s="128"/>
      <c r="K13" s="1336">
        <f>AVERAGE('Sales Proj'!C29:N29)+AVERAGE('Sales Proj'!C32:N32)*1000</f>
        <v>30000</v>
      </c>
      <c r="L13" s="630">
        <f>+'F1 SEZ'!L12</f>
        <v>203.13059999999999</v>
      </c>
      <c r="M13" s="630">
        <f>+L13/AB13</f>
        <v>205.18242424242422</v>
      </c>
      <c r="N13" s="630"/>
      <c r="O13" s="630">
        <f>(K13*E13)*12/10^7*A13</f>
        <v>22.68</v>
      </c>
      <c r="P13" s="630">
        <f>(M13*F13)/10</f>
        <v>104.64303636363634</v>
      </c>
      <c r="Q13" s="630">
        <f>SUM(Q14:Q17)</f>
        <v>0</v>
      </c>
      <c r="R13" s="630">
        <f ca="1">(M13*H13)/10</f>
        <v>40.368324462075527</v>
      </c>
      <c r="S13" s="630"/>
      <c r="T13" s="630"/>
      <c r="U13" s="630">
        <f ca="1">SUM(N13:T13)</f>
        <v>167.69136082571185</v>
      </c>
      <c r="V13" s="128"/>
      <c r="W13" s="630">
        <f ca="1">+U13+V13</f>
        <v>167.69136082571185</v>
      </c>
      <c r="X13" s="1222">
        <f ca="1">IFERROR(W13/L13*10,0)</f>
        <v>8.2553470932351818</v>
      </c>
      <c r="Y13" s="1503">
        <f ca="1">+X13/'Gap Adjustment'!$L$124</f>
        <v>0.99997978064894333</v>
      </c>
      <c r="Z13" s="1222">
        <f ca="1">(U13-R13)/L13*10</f>
        <v>6.268038215986973</v>
      </c>
      <c r="AA13" s="1503">
        <f ca="1">+Z13/'Gap Adjustment'!$L$126</f>
        <v>0.99997337018614441</v>
      </c>
      <c r="AB13" s="1366">
        <f>+'Tariff Schedule'!X14</f>
        <v>0.99</v>
      </c>
    </row>
    <row r="14" spans="1:28" x14ac:dyDescent="0.4">
      <c r="A14" s="1339"/>
      <c r="B14" s="1360" t="s">
        <v>1544</v>
      </c>
      <c r="C14" s="75"/>
      <c r="D14" s="75"/>
      <c r="E14" s="75"/>
      <c r="F14" s="75"/>
      <c r="G14" s="1221"/>
      <c r="H14" s="75"/>
      <c r="I14" s="75"/>
      <c r="J14" s="75"/>
      <c r="K14" s="1306"/>
      <c r="L14" s="628"/>
      <c r="M14" s="628">
        <f>+$M$13*Assum!E125</f>
        <v>50.239901835475244</v>
      </c>
      <c r="N14" s="628"/>
      <c r="O14" s="628"/>
      <c r="P14" s="628"/>
      <c r="Q14" s="628">
        <f>+G14*M14/10</f>
        <v>0</v>
      </c>
      <c r="R14" s="628"/>
      <c r="S14" s="628"/>
      <c r="T14" s="628"/>
      <c r="U14" s="628"/>
      <c r="V14" s="75"/>
      <c r="W14" s="628"/>
      <c r="X14" s="1221"/>
      <c r="Y14" s="75"/>
      <c r="Z14" s="75"/>
      <c r="AA14" s="75"/>
      <c r="AB14" s="1358"/>
    </row>
    <row r="15" spans="1:28" x14ac:dyDescent="0.4">
      <c r="A15" s="1339"/>
      <c r="B15" s="1360" t="s">
        <v>1545</v>
      </c>
      <c r="C15" s="75"/>
      <c r="D15" s="75"/>
      <c r="E15" s="75"/>
      <c r="F15" s="75"/>
      <c r="G15" s="1221"/>
      <c r="H15" s="75"/>
      <c r="I15" s="75"/>
      <c r="J15" s="75"/>
      <c r="K15" s="1306"/>
      <c r="L15" s="628"/>
      <c r="M15" s="628">
        <f>+$M$13*Assum!E126</f>
        <v>25.900189389949336</v>
      </c>
      <c r="N15" s="628"/>
      <c r="O15" s="628"/>
      <c r="P15" s="628"/>
      <c r="Q15" s="628">
        <f>+G15*M15/10</f>
        <v>0</v>
      </c>
      <c r="R15" s="628"/>
      <c r="S15" s="628"/>
      <c r="T15" s="628"/>
      <c r="U15" s="628"/>
      <c r="V15" s="75"/>
      <c r="W15" s="628"/>
      <c r="X15" s="1221"/>
      <c r="Y15" s="75"/>
      <c r="Z15" s="75"/>
      <c r="AA15" s="75"/>
      <c r="AB15" s="1358"/>
    </row>
    <row r="16" spans="1:28" x14ac:dyDescent="0.4">
      <c r="A16" s="1339"/>
      <c r="B16" s="1360" t="s">
        <v>1546</v>
      </c>
      <c r="C16" s="75"/>
      <c r="D16" s="75"/>
      <c r="E16" s="75"/>
      <c r="F16" s="75"/>
      <c r="G16" s="1221"/>
      <c r="H16" s="75"/>
      <c r="I16" s="75"/>
      <c r="J16" s="75"/>
      <c r="K16" s="1306"/>
      <c r="L16" s="628"/>
      <c r="M16" s="628">
        <f>+$M$13*Assum!E127</f>
        <v>68.978707680048615</v>
      </c>
      <c r="N16" s="628"/>
      <c r="O16" s="628"/>
      <c r="P16" s="628"/>
      <c r="Q16" s="628">
        <f>+G16*M16/10</f>
        <v>0</v>
      </c>
      <c r="R16" s="628"/>
      <c r="S16" s="628"/>
      <c r="T16" s="628"/>
      <c r="U16" s="628"/>
      <c r="V16" s="75"/>
      <c r="W16" s="628"/>
      <c r="X16" s="1221"/>
      <c r="Y16" s="75"/>
      <c r="Z16" s="75"/>
      <c r="AA16" s="75"/>
      <c r="AB16" s="1358"/>
    </row>
    <row r="17" spans="1:28" x14ac:dyDescent="0.4">
      <c r="A17" s="1339"/>
      <c r="B17" s="1360" t="s">
        <v>1549</v>
      </c>
      <c r="C17" s="75"/>
      <c r="D17" s="75"/>
      <c r="E17" s="75"/>
      <c r="F17" s="75"/>
      <c r="G17" s="1221"/>
      <c r="H17" s="75"/>
      <c r="I17" s="75"/>
      <c r="J17" s="75"/>
      <c r="K17" s="1306"/>
      <c r="L17" s="628"/>
      <c r="M17" s="628">
        <f>+$M$13*Assum!E128</f>
        <v>60.063625336951006</v>
      </c>
      <c r="N17" s="628"/>
      <c r="O17" s="628"/>
      <c r="P17" s="628"/>
      <c r="Q17" s="628">
        <f>+G17*M17/10</f>
        <v>0</v>
      </c>
      <c r="R17" s="628"/>
      <c r="S17" s="628"/>
      <c r="T17" s="628"/>
      <c r="U17" s="628"/>
      <c r="V17" s="75"/>
      <c r="W17" s="628"/>
      <c r="X17" s="1221"/>
      <c r="Y17" s="75"/>
      <c r="Z17" s="75"/>
      <c r="AA17" s="75"/>
      <c r="AB17" s="1358"/>
    </row>
    <row r="18" spans="1:28" s="6" customFormat="1" ht="13.5" x14ac:dyDescent="0.35">
      <c r="A18" s="1364">
        <f>+'F14.2'!A18</f>
        <v>0.75</v>
      </c>
      <c r="B18" s="517" t="s">
        <v>1130</v>
      </c>
      <c r="C18" s="128">
        <f>+'F13.3'!C18</f>
        <v>1</v>
      </c>
      <c r="D18" s="128"/>
      <c r="E18" s="128">
        <v>700</v>
      </c>
      <c r="F18" s="1365">
        <v>4</v>
      </c>
      <c r="G18" s="128"/>
      <c r="H18" s="1365">
        <f ca="1">+'Tariff Schedule'!$U$7</f>
        <v>1.9674357884757281</v>
      </c>
      <c r="I18" s="128"/>
      <c r="J18" s="128"/>
      <c r="K18" s="1336">
        <f>+'F13.3'!K18</f>
        <v>40</v>
      </c>
      <c r="L18" s="630">
        <f>+'F1 SEZ'!L13</f>
        <v>3.5853966485786364E-2</v>
      </c>
      <c r="M18" s="630">
        <f>+L18/AB18</f>
        <v>3.6585680087537105E-2</v>
      </c>
      <c r="N18" s="630"/>
      <c r="O18" s="630">
        <f>(K18*E18)*12/10^7*A18</f>
        <v>2.52E-2</v>
      </c>
      <c r="P18" s="630">
        <f>(M18*F18)/10</f>
        <v>1.4634272035014842E-2</v>
      </c>
      <c r="Q18" s="630">
        <f>SUM(Q19:Q22)</f>
        <v>0</v>
      </c>
      <c r="R18" s="630">
        <f ca="1">(M18*H18)/10</f>
        <v>7.1979976349944314E-3</v>
      </c>
      <c r="S18" s="630"/>
      <c r="T18" s="630"/>
      <c r="U18" s="630">
        <f ca="1">SUM(N18:T18)</f>
        <v>4.7032269670009272E-2</v>
      </c>
      <c r="V18" s="128"/>
      <c r="W18" s="630">
        <f ca="1">+U18+V18</f>
        <v>4.7032269670009272E-2</v>
      </c>
      <c r="X18" s="1222">
        <f ca="1">IFERROR(W18/L18*10,0)</f>
        <v>13.117731252594977</v>
      </c>
      <c r="Y18" s="1503">
        <f ca="1">+X18/'Gap Adjustment'!$L$124</f>
        <v>1.588966020741972</v>
      </c>
      <c r="Z18" s="1222">
        <f ca="1">(U18-R18)/L18*10</f>
        <v>11.110143713334031</v>
      </c>
      <c r="AA18" s="1503">
        <f ca="1">+Z18/'Gap Adjustment'!$L$126</f>
        <v>1.772460133369762</v>
      </c>
      <c r="AB18" s="1366">
        <f>+'Tariff Schedule'!X15</f>
        <v>0.98</v>
      </c>
    </row>
    <row r="19" spans="1:28" x14ac:dyDescent="0.4">
      <c r="A19" s="1339"/>
      <c r="B19" s="1360" t="s">
        <v>1544</v>
      </c>
      <c r="C19" s="75"/>
      <c r="D19" s="75"/>
      <c r="E19" s="75"/>
      <c r="F19" s="75"/>
      <c r="G19" s="1221"/>
      <c r="H19" s="75"/>
      <c r="I19" s="75"/>
      <c r="J19" s="75"/>
      <c r="K19" s="1306"/>
      <c r="L19" s="628"/>
      <c r="M19" s="628">
        <f>+$M$18*Assum!F125</f>
        <v>5.152710160580074E-3</v>
      </c>
      <c r="N19" s="628"/>
      <c r="O19" s="628"/>
      <c r="P19" s="628"/>
      <c r="Q19" s="628">
        <f>+G19*M19/10</f>
        <v>0</v>
      </c>
      <c r="R19" s="628"/>
      <c r="S19" s="628"/>
      <c r="T19" s="628"/>
      <c r="U19" s="628"/>
      <c r="V19" s="75"/>
      <c r="W19" s="628"/>
      <c r="X19" s="1221"/>
      <c r="Y19" s="75"/>
      <c r="Z19" s="75"/>
      <c r="AA19" s="75"/>
      <c r="AB19" s="1358"/>
    </row>
    <row r="20" spans="1:28" x14ac:dyDescent="0.4">
      <c r="A20" s="1339"/>
      <c r="B20" s="1360" t="s">
        <v>1545</v>
      </c>
      <c r="C20" s="75"/>
      <c r="D20" s="75"/>
      <c r="E20" s="75"/>
      <c r="F20" s="75"/>
      <c r="G20" s="1221"/>
      <c r="H20" s="75"/>
      <c r="I20" s="75"/>
      <c r="J20" s="75"/>
      <c r="K20" s="1306"/>
      <c r="L20" s="628"/>
      <c r="M20" s="628">
        <f>+$M$18*Assum!F126</f>
        <v>5.1974898577412882E-3</v>
      </c>
      <c r="N20" s="628"/>
      <c r="O20" s="628"/>
      <c r="P20" s="628"/>
      <c r="Q20" s="628">
        <f>+G20*M20/10</f>
        <v>0</v>
      </c>
      <c r="R20" s="628"/>
      <c r="S20" s="628"/>
      <c r="T20" s="628"/>
      <c r="U20" s="628"/>
      <c r="V20" s="75"/>
      <c r="W20" s="628"/>
      <c r="X20" s="1221"/>
      <c r="Y20" s="75"/>
      <c r="Z20" s="75"/>
      <c r="AA20" s="75"/>
      <c r="AB20" s="1358"/>
    </row>
    <row r="21" spans="1:28" x14ac:dyDescent="0.4">
      <c r="A21" s="1339"/>
      <c r="B21" s="1360" t="s">
        <v>1546</v>
      </c>
      <c r="C21" s="75"/>
      <c r="D21" s="75"/>
      <c r="E21" s="75"/>
      <c r="F21" s="75"/>
      <c r="G21" s="1221"/>
      <c r="H21" s="75"/>
      <c r="I21" s="75"/>
      <c r="J21" s="75"/>
      <c r="K21" s="1306"/>
      <c r="L21" s="628"/>
      <c r="M21" s="628">
        <f>+$M$18*Assum!F127</f>
        <v>1.5685703060152257E-2</v>
      </c>
      <c r="N21" s="628"/>
      <c r="O21" s="628"/>
      <c r="P21" s="628"/>
      <c r="Q21" s="628">
        <f>+G21*M21/10</f>
        <v>0</v>
      </c>
      <c r="R21" s="628"/>
      <c r="S21" s="628"/>
      <c r="T21" s="628"/>
      <c r="U21" s="628"/>
      <c r="V21" s="75"/>
      <c r="W21" s="628"/>
      <c r="X21" s="1221"/>
      <c r="Y21" s="75"/>
      <c r="Z21" s="75"/>
      <c r="AA21" s="75"/>
      <c r="AB21" s="1358"/>
    </row>
    <row r="22" spans="1:28" x14ac:dyDescent="0.4">
      <c r="A22" s="1339"/>
      <c r="B22" s="1360" t="s">
        <v>1549</v>
      </c>
      <c r="C22" s="75"/>
      <c r="D22" s="75"/>
      <c r="E22" s="75"/>
      <c r="F22" s="75"/>
      <c r="G22" s="1221"/>
      <c r="H22" s="75"/>
      <c r="I22" s="75"/>
      <c r="J22" s="75"/>
      <c r="K22" s="1306"/>
      <c r="L22" s="628"/>
      <c r="M22" s="628">
        <f>+$M$18*Assum!F128</f>
        <v>1.0549777009063484E-2</v>
      </c>
      <c r="N22" s="628"/>
      <c r="O22" s="628"/>
      <c r="P22" s="628"/>
      <c r="Q22" s="628">
        <f>+G22*M22/10</f>
        <v>0</v>
      </c>
      <c r="R22" s="628"/>
      <c r="S22" s="628"/>
      <c r="T22" s="628"/>
      <c r="U22" s="628"/>
      <c r="V22" s="75"/>
      <c r="W22" s="628"/>
      <c r="X22" s="1221"/>
      <c r="Y22" s="75"/>
      <c r="Z22" s="75"/>
      <c r="AA22" s="75"/>
      <c r="AB22" s="1358"/>
    </row>
    <row r="23" spans="1:28" hidden="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75"/>
      <c r="AA23" s="75"/>
      <c r="AB23" s="2"/>
    </row>
    <row r="24" spans="1:28" ht="25.5" hidden="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75"/>
      <c r="AA24" s="75"/>
      <c r="AB24" s="2"/>
    </row>
    <row r="25" spans="1:28" x14ac:dyDescent="0.4">
      <c r="B25" s="518" t="s">
        <v>162</v>
      </c>
      <c r="C25" s="128">
        <f>SUM(C13:C24)</f>
        <v>5</v>
      </c>
      <c r="D25" s="1309">
        <f>SUM(D13:D24)</f>
        <v>0</v>
      </c>
      <c r="E25" s="1309"/>
      <c r="F25" s="1309"/>
      <c r="G25" s="1309"/>
      <c r="H25" s="1309"/>
      <c r="I25" s="1309">
        <f>SUM(I13:I24)</f>
        <v>0</v>
      </c>
      <c r="J25" s="1309">
        <f>SUM(J13:J24)</f>
        <v>0</v>
      </c>
      <c r="K25" s="1336">
        <f>SUM(K13:K24)</f>
        <v>30040</v>
      </c>
      <c r="L25" s="630">
        <f>+L13+L18</f>
        <v>203.16645396648576</v>
      </c>
      <c r="M25" s="630">
        <f>+M13+M18</f>
        <v>205.21900992251176</v>
      </c>
      <c r="N25" s="630">
        <f t="shared" ref="N25:W25" si="0">+N13+N18</f>
        <v>0</v>
      </c>
      <c r="O25" s="630">
        <f t="shared" si="0"/>
        <v>22.705200000000001</v>
      </c>
      <c r="P25" s="630">
        <f t="shared" si="0"/>
        <v>104.65767063567135</v>
      </c>
      <c r="Q25" s="630">
        <f t="shared" si="0"/>
        <v>0</v>
      </c>
      <c r="R25" s="630">
        <f t="shared" ca="1" si="0"/>
        <v>40.375522459710524</v>
      </c>
      <c r="S25" s="630">
        <f t="shared" si="0"/>
        <v>0</v>
      </c>
      <c r="T25" s="630">
        <f t="shared" si="0"/>
        <v>0</v>
      </c>
      <c r="U25" s="630">
        <f t="shared" ca="1" si="0"/>
        <v>167.73839309538187</v>
      </c>
      <c r="V25" s="630">
        <f t="shared" si="0"/>
        <v>0</v>
      </c>
      <c r="W25" s="630">
        <f t="shared" ca="1" si="0"/>
        <v>167.73839309538187</v>
      </c>
      <c r="X25" s="1221">
        <f ca="1">IFERROR(W25/L25*10,0)</f>
        <v>8.2562051864650794</v>
      </c>
      <c r="Y25" s="1503">
        <f ca="1">+X25/'Gap Adjustment'!$L$124</f>
        <v>1.0000837224784167</v>
      </c>
      <c r="Z25" s="1222">
        <f ca="1">(U25-R25)/L25*10</f>
        <v>6.2688927305233699</v>
      </c>
      <c r="AA25" s="1503">
        <f ca="1">+Z25/'Gap Adjustment'!$L$126</f>
        <v>1.0001096954208333</v>
      </c>
      <c r="AB25" s="2"/>
    </row>
    <row r="26" spans="1:28"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75"/>
      <c r="AA26" s="75"/>
      <c r="AB26" s="2"/>
    </row>
    <row r="27" spans="1:28" hidden="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75"/>
      <c r="AA27" s="75"/>
      <c r="AB27" s="2"/>
    </row>
    <row r="28" spans="1:28" hidden="1" x14ac:dyDescent="0.4">
      <c r="B28" s="520" t="s">
        <v>1106</v>
      </c>
      <c r="C28" s="1306">
        <f>+'F13 SEZ'!C211</f>
        <v>0</v>
      </c>
      <c r="D28" s="75"/>
      <c r="E28" s="75"/>
      <c r="F28" s="1359"/>
      <c r="G28" s="75"/>
      <c r="H28" s="75"/>
      <c r="I28" s="75"/>
      <c r="J28" s="75"/>
      <c r="K28" s="1306"/>
      <c r="L28" s="628">
        <f>+'F1 SEZ'!L19</f>
        <v>0</v>
      </c>
      <c r="M28" s="628"/>
      <c r="N28" s="628"/>
      <c r="O28" s="628"/>
      <c r="P28" s="628"/>
      <c r="Q28" s="628"/>
      <c r="R28" s="628"/>
      <c r="S28" s="628"/>
      <c r="T28" s="628"/>
      <c r="U28" s="628">
        <f>SUM(N28:T28)</f>
        <v>0</v>
      </c>
      <c r="V28" s="75"/>
      <c r="W28" s="628">
        <f>+U28+V28</f>
        <v>0</v>
      </c>
      <c r="X28" s="75"/>
      <c r="Y28" s="75"/>
      <c r="Z28" s="75"/>
      <c r="AA28" s="75"/>
      <c r="AB28" s="2"/>
    </row>
    <row r="29" spans="1:28" hidden="1" x14ac:dyDescent="0.4">
      <c r="B29" s="520" t="s">
        <v>1107</v>
      </c>
      <c r="C29" s="1306">
        <f>+'F13 SEZ'!C212</f>
        <v>0</v>
      </c>
      <c r="D29" s="75"/>
      <c r="E29" s="75"/>
      <c r="F29" s="1359"/>
      <c r="G29" s="75"/>
      <c r="H29" s="75"/>
      <c r="I29" s="75"/>
      <c r="J29" s="75"/>
      <c r="K29" s="1306"/>
      <c r="L29" s="628">
        <f>+'F1 SEZ'!L20</f>
        <v>0</v>
      </c>
      <c r="M29" s="628"/>
      <c r="N29" s="628"/>
      <c r="O29" s="628"/>
      <c r="P29" s="628"/>
      <c r="Q29" s="628"/>
      <c r="R29" s="628"/>
      <c r="S29" s="628"/>
      <c r="T29" s="628"/>
      <c r="U29" s="628">
        <f>SUM(N29:T29)</f>
        <v>0</v>
      </c>
      <c r="V29" s="75"/>
      <c r="W29" s="628">
        <f>+U29+V29</f>
        <v>0</v>
      </c>
      <c r="X29" s="75"/>
      <c r="Y29" s="75"/>
      <c r="Z29" s="75"/>
      <c r="AA29" s="75"/>
      <c r="AB29" s="2"/>
    </row>
    <row r="30" spans="1:28" hidden="1" x14ac:dyDescent="0.4">
      <c r="B30" s="520" t="s">
        <v>1108</v>
      </c>
      <c r="C30" s="1306">
        <f>+'F13 SEZ'!C213</f>
        <v>0</v>
      </c>
      <c r="D30" s="75"/>
      <c r="E30" s="75"/>
      <c r="F30" s="1359"/>
      <c r="G30" s="75"/>
      <c r="H30" s="75"/>
      <c r="I30" s="75"/>
      <c r="J30" s="75"/>
      <c r="K30" s="1306"/>
      <c r="L30" s="628">
        <f>+'F1 SEZ'!L21</f>
        <v>0</v>
      </c>
      <c r="M30" s="628"/>
      <c r="N30" s="628"/>
      <c r="O30" s="628"/>
      <c r="P30" s="628"/>
      <c r="Q30" s="628"/>
      <c r="R30" s="628"/>
      <c r="S30" s="628"/>
      <c r="T30" s="628"/>
      <c r="U30" s="628">
        <f>SUM(N30:T30)</f>
        <v>0</v>
      </c>
      <c r="V30" s="75"/>
      <c r="W30" s="628">
        <f>+U30+V30</f>
        <v>0</v>
      </c>
      <c r="X30" s="75"/>
      <c r="Y30" s="75"/>
      <c r="Z30" s="75"/>
      <c r="AA30" s="75"/>
      <c r="AB30" s="2"/>
    </row>
    <row r="31" spans="1:28" hidden="1" x14ac:dyDescent="0.4">
      <c r="B31" s="520" t="s">
        <v>1109</v>
      </c>
      <c r="C31" s="1306">
        <f>+'F13 SEZ'!C214</f>
        <v>0</v>
      </c>
      <c r="D31" s="75"/>
      <c r="E31" s="75"/>
      <c r="F31" s="1359"/>
      <c r="G31" s="75"/>
      <c r="H31" s="75"/>
      <c r="I31" s="75"/>
      <c r="J31" s="75"/>
      <c r="K31" s="1306"/>
      <c r="L31" s="628">
        <f>+'F1 SEZ'!L22</f>
        <v>0</v>
      </c>
      <c r="M31" s="628"/>
      <c r="N31" s="628"/>
      <c r="O31" s="628"/>
      <c r="P31" s="628"/>
      <c r="Q31" s="628"/>
      <c r="R31" s="628"/>
      <c r="S31" s="628"/>
      <c r="T31" s="628"/>
      <c r="U31" s="628">
        <f>SUM(N31:T31)</f>
        <v>0</v>
      </c>
      <c r="V31" s="75"/>
      <c r="W31" s="628">
        <f>+U31+V31</f>
        <v>0</v>
      </c>
      <c r="X31" s="75"/>
      <c r="Y31" s="75"/>
      <c r="Z31" s="75"/>
      <c r="AA31" s="75"/>
      <c r="AB31" s="2"/>
    </row>
    <row r="32" spans="1:28" hidden="1" x14ac:dyDescent="0.4">
      <c r="B32" s="520" t="s">
        <v>1110</v>
      </c>
      <c r="C32" s="1306">
        <f>+'F13 SEZ'!C215</f>
        <v>0</v>
      </c>
      <c r="D32" s="75"/>
      <c r="E32" s="75"/>
      <c r="F32" s="75"/>
      <c r="G32" s="75"/>
      <c r="H32" s="75"/>
      <c r="I32" s="75"/>
      <c r="J32" s="75"/>
      <c r="K32" s="1306"/>
      <c r="L32" s="628">
        <f>+'F1 SEZ'!L23</f>
        <v>0</v>
      </c>
      <c r="M32" s="628"/>
      <c r="N32" s="628"/>
      <c r="O32" s="628"/>
      <c r="P32" s="628"/>
      <c r="Q32" s="628"/>
      <c r="R32" s="628"/>
      <c r="S32" s="628"/>
      <c r="T32" s="628"/>
      <c r="U32" s="628">
        <f>SUM(N32:T32)</f>
        <v>0</v>
      </c>
      <c r="V32" s="75"/>
      <c r="W32" s="628">
        <f>+U32+V32</f>
        <v>0</v>
      </c>
      <c r="X32" s="75"/>
      <c r="Y32" s="75"/>
      <c r="Z32" s="75"/>
      <c r="AA32" s="75"/>
      <c r="AB32" s="2"/>
    </row>
    <row r="33" spans="1:28" hidden="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75"/>
      <c r="AA33" s="75"/>
      <c r="AB33" s="2"/>
    </row>
    <row r="34" spans="1:28" ht="25.5" hidden="1" x14ac:dyDescent="0.4">
      <c r="B34" s="1363" t="s">
        <v>1139</v>
      </c>
      <c r="C34" s="1307">
        <f>SUM(C35:C41)</f>
        <v>0</v>
      </c>
      <c r="D34" s="75"/>
      <c r="E34" s="75"/>
      <c r="F34" s="75"/>
      <c r="G34" s="75"/>
      <c r="H34" s="75"/>
      <c r="I34" s="75"/>
      <c r="J34" s="75"/>
      <c r="K34" s="1306"/>
      <c r="L34" s="628">
        <f>+'F1 SEZ'!L24</f>
        <v>0</v>
      </c>
      <c r="M34" s="628"/>
      <c r="N34" s="628"/>
      <c r="O34" s="628"/>
      <c r="P34" s="628"/>
      <c r="Q34" s="628"/>
      <c r="R34" s="628"/>
      <c r="S34" s="628"/>
      <c r="T34" s="628"/>
      <c r="U34" s="628">
        <f>SUM(N34:T34)</f>
        <v>0</v>
      </c>
      <c r="V34" s="75"/>
      <c r="W34" s="628">
        <f>+U34+V34</f>
        <v>0</v>
      </c>
      <c r="X34" s="75"/>
      <c r="Y34" s="75"/>
      <c r="Z34" s="75"/>
      <c r="AA34" s="75"/>
      <c r="AB34" s="2"/>
    </row>
    <row r="35" spans="1:28" hidden="1" x14ac:dyDescent="0.4">
      <c r="B35" s="1362" t="s">
        <v>1140</v>
      </c>
      <c r="C35" s="1306">
        <f>+'F13 SEZ'!C217</f>
        <v>0</v>
      </c>
      <c r="D35" s="75"/>
      <c r="E35" s="75"/>
      <c r="F35" s="75"/>
      <c r="G35" s="75"/>
      <c r="H35" s="75"/>
      <c r="I35" s="75"/>
      <c r="J35" s="75"/>
      <c r="K35" s="1306"/>
      <c r="L35" s="628">
        <f>+'F1 SEZ'!L25</f>
        <v>0</v>
      </c>
      <c r="M35" s="628"/>
      <c r="N35" s="628"/>
      <c r="O35" s="628"/>
      <c r="P35" s="628"/>
      <c r="Q35" s="628"/>
      <c r="R35" s="628"/>
      <c r="S35" s="628"/>
      <c r="T35" s="628"/>
      <c r="U35" s="628">
        <f>SUM(N35:T35)</f>
        <v>0</v>
      </c>
      <c r="V35" s="75"/>
      <c r="W35" s="628">
        <f>+U35+V35</f>
        <v>0</v>
      </c>
      <c r="X35" s="75"/>
      <c r="Y35" s="75"/>
      <c r="Z35" s="75"/>
      <c r="AA35" s="75"/>
      <c r="AB35" s="2"/>
    </row>
    <row r="36" spans="1:28" hidden="1" x14ac:dyDescent="0.4">
      <c r="B36" s="1362" t="s">
        <v>1144</v>
      </c>
      <c r="C36" s="1306">
        <f>+'F13 SEZ'!C218</f>
        <v>0</v>
      </c>
      <c r="D36" s="75"/>
      <c r="E36" s="75"/>
      <c r="F36" s="75"/>
      <c r="G36" s="75"/>
      <c r="H36" s="75"/>
      <c r="I36" s="75"/>
      <c r="J36" s="75"/>
      <c r="K36" s="1306"/>
      <c r="L36" s="628">
        <f>+'F1 SEZ'!L26</f>
        <v>0</v>
      </c>
      <c r="M36" s="628"/>
      <c r="N36" s="628"/>
      <c r="O36" s="628"/>
      <c r="P36" s="628"/>
      <c r="Q36" s="628"/>
      <c r="R36" s="628"/>
      <c r="S36" s="628"/>
      <c r="T36" s="628"/>
      <c r="U36" s="628">
        <f>SUM(N36:T36)</f>
        <v>0</v>
      </c>
      <c r="V36" s="75"/>
      <c r="W36" s="628">
        <f>+U36+V36</f>
        <v>0</v>
      </c>
      <c r="X36" s="75"/>
      <c r="Y36" s="75"/>
      <c r="Z36" s="75"/>
      <c r="AA36" s="75"/>
      <c r="AB36" s="2"/>
    </row>
    <row r="37" spans="1:28" hidden="1" x14ac:dyDescent="0.4">
      <c r="A37" s="1339"/>
      <c r="B37" s="1360" t="s">
        <v>1544</v>
      </c>
      <c r="C37" s="75"/>
      <c r="D37" s="75"/>
      <c r="E37" s="75"/>
      <c r="F37" s="75"/>
      <c r="G37" s="1221"/>
      <c r="H37" s="75"/>
      <c r="I37" s="75"/>
      <c r="J37" s="75"/>
      <c r="K37" s="1306"/>
      <c r="L37" s="628"/>
      <c r="M37" s="628"/>
      <c r="N37" s="628"/>
      <c r="O37" s="628"/>
      <c r="P37" s="628"/>
      <c r="Q37" s="628">
        <f>+G37*M37/10</f>
        <v>0</v>
      </c>
      <c r="R37" s="628"/>
      <c r="S37" s="628"/>
      <c r="T37" s="628"/>
      <c r="U37" s="628"/>
      <c r="V37" s="75"/>
      <c r="W37" s="628"/>
      <c r="X37" s="1221"/>
      <c r="Y37" s="75"/>
      <c r="Z37" s="75"/>
      <c r="AA37" s="75"/>
      <c r="AB37" s="1358"/>
    </row>
    <row r="38" spans="1:28" hidden="1" x14ac:dyDescent="0.4">
      <c r="A38" s="1339"/>
      <c r="B38" s="1360" t="s">
        <v>1545</v>
      </c>
      <c r="C38" s="75"/>
      <c r="D38" s="75"/>
      <c r="E38" s="75"/>
      <c r="F38" s="75"/>
      <c r="G38" s="1221"/>
      <c r="H38" s="75"/>
      <c r="I38" s="75"/>
      <c r="J38" s="75"/>
      <c r="K38" s="1306"/>
      <c r="L38" s="628"/>
      <c r="M38" s="628"/>
      <c r="N38" s="628"/>
      <c r="O38" s="628"/>
      <c r="P38" s="628"/>
      <c r="Q38" s="628">
        <f>+G38*M38/10</f>
        <v>0</v>
      </c>
      <c r="R38" s="628"/>
      <c r="S38" s="628"/>
      <c r="T38" s="628"/>
      <c r="U38" s="628"/>
      <c r="V38" s="75"/>
      <c r="W38" s="628"/>
      <c r="X38" s="1221"/>
      <c r="Y38" s="75"/>
      <c r="Z38" s="75"/>
      <c r="AA38" s="75"/>
      <c r="AB38" s="1358"/>
    </row>
    <row r="39" spans="1:28" hidden="1" x14ac:dyDescent="0.4">
      <c r="A39" s="1339"/>
      <c r="B39" s="1360" t="s">
        <v>1546</v>
      </c>
      <c r="C39" s="75"/>
      <c r="D39" s="75"/>
      <c r="E39" s="75"/>
      <c r="F39" s="75"/>
      <c r="G39" s="1221"/>
      <c r="H39" s="75"/>
      <c r="I39" s="75"/>
      <c r="J39" s="75"/>
      <c r="K39" s="1306"/>
      <c r="L39" s="628"/>
      <c r="M39" s="628"/>
      <c r="N39" s="628"/>
      <c r="O39" s="628"/>
      <c r="P39" s="628"/>
      <c r="Q39" s="628">
        <f>+G39*M39/10</f>
        <v>0</v>
      </c>
      <c r="R39" s="628"/>
      <c r="S39" s="628"/>
      <c r="T39" s="628"/>
      <c r="U39" s="628"/>
      <c r="V39" s="75"/>
      <c r="W39" s="628"/>
      <c r="X39" s="1221"/>
      <c r="Y39" s="75"/>
      <c r="Z39" s="75"/>
      <c r="AA39" s="75"/>
      <c r="AB39" s="1358"/>
    </row>
    <row r="40" spans="1:28" hidden="1" x14ac:dyDescent="0.4">
      <c r="A40" s="1339"/>
      <c r="B40" s="1360" t="s">
        <v>1549</v>
      </c>
      <c r="C40" s="75"/>
      <c r="D40" s="75"/>
      <c r="E40" s="75"/>
      <c r="F40" s="75"/>
      <c r="G40" s="1221"/>
      <c r="H40" s="75"/>
      <c r="I40" s="75"/>
      <c r="J40" s="75"/>
      <c r="K40" s="1306"/>
      <c r="L40" s="628"/>
      <c r="M40" s="628"/>
      <c r="N40" s="628"/>
      <c r="O40" s="628"/>
      <c r="P40" s="628"/>
      <c r="Q40" s="628">
        <f>+G40*M40/10</f>
        <v>0</v>
      </c>
      <c r="R40" s="628"/>
      <c r="S40" s="628"/>
      <c r="T40" s="628"/>
      <c r="U40" s="628"/>
      <c r="V40" s="75"/>
      <c r="W40" s="628"/>
      <c r="X40" s="1221"/>
      <c r="Y40" s="75"/>
      <c r="Z40" s="75"/>
      <c r="AA40" s="75"/>
      <c r="AB40" s="1358"/>
    </row>
    <row r="41" spans="1:28" hidden="1" x14ac:dyDescent="0.4">
      <c r="B41" s="1362" t="s">
        <v>1143</v>
      </c>
      <c r="C41" s="1306">
        <f>+'F13 SEZ'!C219</f>
        <v>0</v>
      </c>
      <c r="D41" s="75"/>
      <c r="E41" s="75"/>
      <c r="F41" s="75"/>
      <c r="G41" s="75"/>
      <c r="H41" s="75"/>
      <c r="I41" s="75"/>
      <c r="J41" s="75"/>
      <c r="K41" s="1306"/>
      <c r="L41" s="628">
        <f>+'F1 SEZ'!L27</f>
        <v>0</v>
      </c>
      <c r="M41" s="628"/>
      <c r="N41" s="628"/>
      <c r="O41" s="628"/>
      <c r="P41" s="628"/>
      <c r="Q41" s="628"/>
      <c r="R41" s="628"/>
      <c r="S41" s="628"/>
      <c r="T41" s="628"/>
      <c r="U41" s="628">
        <f>SUM(N41:T41)</f>
        <v>0</v>
      </c>
      <c r="V41" s="75"/>
      <c r="W41" s="628">
        <f>+U41+V41</f>
        <v>0</v>
      </c>
      <c r="X41" s="75"/>
      <c r="Y41" s="75"/>
      <c r="Z41" s="75"/>
      <c r="AA41" s="75"/>
      <c r="AB41" s="2"/>
    </row>
    <row r="42" spans="1:28" hidden="1" x14ac:dyDescent="0.4">
      <c r="A42" s="1339"/>
      <c r="B42" s="1360" t="s">
        <v>1544</v>
      </c>
      <c r="C42" s="75"/>
      <c r="D42" s="75"/>
      <c r="E42" s="75"/>
      <c r="F42" s="75"/>
      <c r="G42" s="1221"/>
      <c r="H42" s="75"/>
      <c r="I42" s="75"/>
      <c r="J42" s="75"/>
      <c r="K42" s="1306"/>
      <c r="L42" s="628"/>
      <c r="M42" s="628"/>
      <c r="N42" s="628"/>
      <c r="O42" s="628"/>
      <c r="P42" s="628"/>
      <c r="Q42" s="628">
        <f>+G42*M42/10</f>
        <v>0</v>
      </c>
      <c r="R42" s="628"/>
      <c r="S42" s="628"/>
      <c r="T42" s="628"/>
      <c r="U42" s="628"/>
      <c r="V42" s="75"/>
      <c r="W42" s="628"/>
      <c r="X42" s="1221"/>
      <c r="Y42" s="75"/>
      <c r="Z42" s="75"/>
      <c r="AA42" s="75"/>
      <c r="AB42" s="1358"/>
    </row>
    <row r="43" spans="1:28" hidden="1" x14ac:dyDescent="0.4">
      <c r="A43" s="1339"/>
      <c r="B43" s="1360" t="s">
        <v>1545</v>
      </c>
      <c r="C43" s="75"/>
      <c r="D43" s="75"/>
      <c r="E43" s="75"/>
      <c r="F43" s="75"/>
      <c r="G43" s="1221"/>
      <c r="H43" s="75"/>
      <c r="I43" s="75"/>
      <c r="J43" s="75"/>
      <c r="K43" s="1306"/>
      <c r="L43" s="628"/>
      <c r="M43" s="628"/>
      <c r="N43" s="628"/>
      <c r="O43" s="628"/>
      <c r="P43" s="628"/>
      <c r="Q43" s="628">
        <f>+G43*M43/10</f>
        <v>0</v>
      </c>
      <c r="R43" s="628"/>
      <c r="S43" s="628"/>
      <c r="T43" s="628"/>
      <c r="U43" s="628"/>
      <c r="V43" s="75"/>
      <c r="W43" s="628"/>
      <c r="X43" s="1221"/>
      <c r="Y43" s="75"/>
      <c r="Z43" s="75"/>
      <c r="AA43" s="75"/>
      <c r="AB43" s="1358"/>
    </row>
    <row r="44" spans="1:28" hidden="1" x14ac:dyDescent="0.4">
      <c r="A44" s="1339"/>
      <c r="B44" s="1360" t="s">
        <v>1546</v>
      </c>
      <c r="C44" s="75"/>
      <c r="D44" s="75"/>
      <c r="E44" s="75"/>
      <c r="F44" s="75"/>
      <c r="G44" s="1221"/>
      <c r="H44" s="75"/>
      <c r="I44" s="75"/>
      <c r="J44" s="75"/>
      <c r="K44" s="1306"/>
      <c r="L44" s="628"/>
      <c r="M44" s="628"/>
      <c r="N44" s="628"/>
      <c r="O44" s="628"/>
      <c r="P44" s="628"/>
      <c r="Q44" s="628">
        <f>+G44*M44/10</f>
        <v>0</v>
      </c>
      <c r="R44" s="628"/>
      <c r="S44" s="628"/>
      <c r="T44" s="628"/>
      <c r="U44" s="628"/>
      <c r="V44" s="75"/>
      <c r="W44" s="628"/>
      <c r="X44" s="1221"/>
      <c r="Y44" s="75"/>
      <c r="Z44" s="75"/>
      <c r="AA44" s="75"/>
      <c r="AB44" s="1358"/>
    </row>
    <row r="45" spans="1:28" hidden="1" x14ac:dyDescent="0.4">
      <c r="A45" s="1339"/>
      <c r="B45" s="1360" t="s">
        <v>1549</v>
      </c>
      <c r="C45" s="75"/>
      <c r="D45" s="75"/>
      <c r="E45" s="75"/>
      <c r="F45" s="75"/>
      <c r="G45" s="1221"/>
      <c r="H45" s="75"/>
      <c r="I45" s="75"/>
      <c r="J45" s="75"/>
      <c r="K45" s="1306"/>
      <c r="L45" s="628"/>
      <c r="M45" s="628"/>
      <c r="N45" s="628"/>
      <c r="O45" s="628"/>
      <c r="P45" s="628"/>
      <c r="Q45" s="628">
        <f>+G45*M45/10</f>
        <v>0</v>
      </c>
      <c r="R45" s="628"/>
      <c r="S45" s="628"/>
      <c r="T45" s="628"/>
      <c r="U45" s="628"/>
      <c r="V45" s="75"/>
      <c r="W45" s="628"/>
      <c r="X45" s="1221"/>
      <c r="Y45" s="75"/>
      <c r="Z45" s="75"/>
      <c r="AA45" s="75"/>
      <c r="AB45" s="1358"/>
    </row>
    <row r="46" spans="1:28" ht="25.5" hidden="1" x14ac:dyDescent="0.4">
      <c r="B46" s="519" t="s">
        <v>1111</v>
      </c>
      <c r="C46" s="1306">
        <f>+'F13 SEZ'!C220</f>
        <v>0</v>
      </c>
      <c r="D46" s="75"/>
      <c r="E46" s="75"/>
      <c r="F46" s="75"/>
      <c r="G46" s="75"/>
      <c r="H46" s="75"/>
      <c r="I46" s="75"/>
      <c r="J46" s="75"/>
      <c r="K46" s="1306"/>
      <c r="L46" s="628">
        <f>+'F1 SEZ'!L28</f>
        <v>0</v>
      </c>
      <c r="M46" s="628"/>
      <c r="N46" s="628"/>
      <c r="O46" s="628"/>
      <c r="P46" s="628"/>
      <c r="Q46" s="628"/>
      <c r="R46" s="628"/>
      <c r="S46" s="628"/>
      <c r="T46" s="628"/>
      <c r="U46" s="628">
        <f>SUM(N46:T46)</f>
        <v>0</v>
      </c>
      <c r="V46" s="75"/>
      <c r="W46" s="628">
        <f>+U46+V46</f>
        <v>0</v>
      </c>
      <c r="X46" s="75"/>
      <c r="Y46" s="75"/>
      <c r="Z46" s="75"/>
      <c r="AA46" s="75"/>
      <c r="AB46" s="2"/>
    </row>
    <row r="47" spans="1:28" hidden="1" x14ac:dyDescent="0.4">
      <c r="A47" s="1339"/>
      <c r="B47" s="1360" t="s">
        <v>1544</v>
      </c>
      <c r="C47" s="75"/>
      <c r="D47" s="75"/>
      <c r="E47" s="75"/>
      <c r="F47" s="75"/>
      <c r="G47" s="1221"/>
      <c r="H47" s="75"/>
      <c r="I47" s="75"/>
      <c r="J47" s="75"/>
      <c r="K47" s="1306"/>
      <c r="L47" s="628"/>
      <c r="M47" s="628"/>
      <c r="N47" s="628"/>
      <c r="O47" s="628"/>
      <c r="P47" s="628"/>
      <c r="Q47" s="628">
        <f>+G47*M47/10</f>
        <v>0</v>
      </c>
      <c r="R47" s="628"/>
      <c r="S47" s="628"/>
      <c r="T47" s="628"/>
      <c r="U47" s="628"/>
      <c r="V47" s="75"/>
      <c r="W47" s="628"/>
      <c r="X47" s="1221"/>
      <c r="Y47" s="75"/>
      <c r="Z47" s="75"/>
      <c r="AA47" s="75"/>
      <c r="AB47" s="1358"/>
    </row>
    <row r="48" spans="1:28" hidden="1" x14ac:dyDescent="0.4">
      <c r="A48" s="1339"/>
      <c r="B48" s="1360" t="s">
        <v>1545</v>
      </c>
      <c r="C48" s="75"/>
      <c r="D48" s="75"/>
      <c r="E48" s="75"/>
      <c r="F48" s="75"/>
      <c r="G48" s="1221"/>
      <c r="H48" s="75"/>
      <c r="I48" s="75"/>
      <c r="J48" s="75"/>
      <c r="K48" s="1306"/>
      <c r="L48" s="628"/>
      <c r="M48" s="628"/>
      <c r="N48" s="628"/>
      <c r="O48" s="628"/>
      <c r="P48" s="628"/>
      <c r="Q48" s="628">
        <f>+G48*M48/10</f>
        <v>0</v>
      </c>
      <c r="R48" s="628"/>
      <c r="S48" s="628"/>
      <c r="T48" s="628"/>
      <c r="U48" s="628"/>
      <c r="V48" s="75"/>
      <c r="W48" s="628"/>
      <c r="X48" s="1221"/>
      <c r="Y48" s="75"/>
      <c r="Z48" s="75"/>
      <c r="AA48" s="75"/>
      <c r="AB48" s="1358"/>
    </row>
    <row r="49" spans="1:28" hidden="1" x14ac:dyDescent="0.4">
      <c r="A49" s="1339"/>
      <c r="B49" s="1360" t="s">
        <v>1546</v>
      </c>
      <c r="C49" s="75"/>
      <c r="D49" s="75"/>
      <c r="E49" s="75"/>
      <c r="F49" s="75"/>
      <c r="G49" s="1221"/>
      <c r="H49" s="75"/>
      <c r="I49" s="75"/>
      <c r="J49" s="75"/>
      <c r="K49" s="1306"/>
      <c r="L49" s="628"/>
      <c r="M49" s="628"/>
      <c r="N49" s="628"/>
      <c r="O49" s="628"/>
      <c r="P49" s="628"/>
      <c r="Q49" s="628">
        <f>+G49*M49/10</f>
        <v>0</v>
      </c>
      <c r="R49" s="628"/>
      <c r="S49" s="628"/>
      <c r="T49" s="628"/>
      <c r="U49" s="628"/>
      <c r="V49" s="75"/>
      <c r="W49" s="628"/>
      <c r="X49" s="1221"/>
      <c r="Y49" s="75"/>
      <c r="Z49" s="75"/>
      <c r="AA49" s="75"/>
      <c r="AB49" s="1358"/>
    </row>
    <row r="50" spans="1:28" hidden="1" x14ac:dyDescent="0.4">
      <c r="A50" s="1339"/>
      <c r="B50" s="1360" t="s">
        <v>1549</v>
      </c>
      <c r="C50" s="75"/>
      <c r="D50" s="75"/>
      <c r="E50" s="75"/>
      <c r="F50" s="75"/>
      <c r="G50" s="1221"/>
      <c r="H50" s="75"/>
      <c r="I50" s="75"/>
      <c r="J50" s="75"/>
      <c r="K50" s="1306"/>
      <c r="L50" s="628"/>
      <c r="M50" s="628"/>
      <c r="N50" s="628"/>
      <c r="O50" s="628"/>
      <c r="P50" s="628"/>
      <c r="Q50" s="628">
        <f>+G50*M50/10</f>
        <v>0</v>
      </c>
      <c r="R50" s="628"/>
      <c r="S50" s="628"/>
      <c r="T50" s="628"/>
      <c r="U50" s="628"/>
      <c r="V50" s="75"/>
      <c r="W50" s="628"/>
      <c r="X50" s="1221"/>
      <c r="Y50" s="75"/>
      <c r="Z50" s="75"/>
      <c r="AA50" s="75"/>
      <c r="AB50" s="1358"/>
    </row>
    <row r="51" spans="1:28" s="6" customFormat="1" ht="25.5" x14ac:dyDescent="0.35">
      <c r="B51" s="1363" t="s">
        <v>1135</v>
      </c>
      <c r="C51" s="128">
        <f>+'F13.3'!C51</f>
        <v>1</v>
      </c>
      <c r="D51" s="128">
        <v>700</v>
      </c>
      <c r="E51" s="128"/>
      <c r="F51" s="1365">
        <v>6.25</v>
      </c>
      <c r="G51" s="128"/>
      <c r="H51" s="1365">
        <f ca="1">+'Tariff Schedule'!$U$7</f>
        <v>1.9674357884757281</v>
      </c>
      <c r="I51" s="128"/>
      <c r="J51" s="128"/>
      <c r="K51" s="1336">
        <v>19</v>
      </c>
      <c r="L51" s="630">
        <f>+'F1 SEZ'!L29</f>
        <v>0.33779853227978168</v>
      </c>
      <c r="M51" s="630">
        <f>+L51/AB51</f>
        <v>0.34469237987732826</v>
      </c>
      <c r="N51" s="630">
        <f>+C51*D51*12/10^7</f>
        <v>8.4000000000000003E-4</v>
      </c>
      <c r="O51" s="630"/>
      <c r="P51" s="630">
        <f>(L51*F51)/10</f>
        <v>0.21112408267486354</v>
      </c>
      <c r="Q51" s="630"/>
      <c r="R51" s="630">
        <f ca="1">(M51*H51)/10</f>
        <v>6.7816012418552646E-2</v>
      </c>
      <c r="S51" s="630"/>
      <c r="T51" s="630"/>
      <c r="U51" s="630">
        <f ca="1">SUM(N51:T51)</f>
        <v>0.27978009509341617</v>
      </c>
      <c r="V51" s="128"/>
      <c r="W51" s="630">
        <f ca="1">+U51+V51</f>
        <v>0.27978009509341617</v>
      </c>
      <c r="X51" s="1222">
        <f ca="1">IFERROR(W51/L51*10,0)</f>
        <v>8.2824544323859968</v>
      </c>
      <c r="Y51" s="1503">
        <f ca="1">+X51/'Gap Adjustment'!$L$124</f>
        <v>1.0032633241210549</v>
      </c>
      <c r="Z51" s="1222">
        <f ca="1">(U51-R51)/L51*10</f>
        <v>6.2748668931250489</v>
      </c>
      <c r="AA51" s="1503">
        <f ca="1">+Z51/'Gap Adjustment'!$L$126</f>
        <v>1.0010627852561194</v>
      </c>
      <c r="AB51" s="1366">
        <f>+'Tariff Schedule'!X26</f>
        <v>0.98</v>
      </c>
    </row>
    <row r="52" spans="1:28" ht="38.25" hidden="1" x14ac:dyDescent="0.4">
      <c r="B52" s="519" t="s">
        <v>1136</v>
      </c>
      <c r="C52" s="1306">
        <f>+'F13 SEZ'!C222</f>
        <v>0</v>
      </c>
      <c r="D52" s="75"/>
      <c r="E52" s="75"/>
      <c r="F52" s="75"/>
      <c r="G52" s="75"/>
      <c r="H52" s="75"/>
      <c r="I52" s="75"/>
      <c r="J52" s="75"/>
      <c r="K52" s="1306"/>
      <c r="L52" s="628">
        <f>+'F1 SEZ'!L30</f>
        <v>0</v>
      </c>
      <c r="M52" s="628"/>
      <c r="N52" s="628"/>
      <c r="O52" s="628"/>
      <c r="P52" s="628"/>
      <c r="Q52" s="628"/>
      <c r="R52" s="628"/>
      <c r="S52" s="628"/>
      <c r="T52" s="628"/>
      <c r="U52" s="628">
        <f>SUM(N52:T52)</f>
        <v>0</v>
      </c>
      <c r="V52" s="75"/>
      <c r="W52" s="628">
        <f>+U52+V52</f>
        <v>0</v>
      </c>
      <c r="X52" s="75"/>
      <c r="Y52" s="75"/>
      <c r="Z52" s="75"/>
      <c r="AA52" s="75"/>
      <c r="AB52" s="2"/>
    </row>
    <row r="53" spans="1:28" hidden="1" x14ac:dyDescent="0.4">
      <c r="A53" s="1339"/>
      <c r="B53" s="1360" t="s">
        <v>1544</v>
      </c>
      <c r="C53" s="75"/>
      <c r="D53" s="75"/>
      <c r="E53" s="75"/>
      <c r="F53" s="75"/>
      <c r="G53" s="1221"/>
      <c r="H53" s="75"/>
      <c r="I53" s="75"/>
      <c r="J53" s="75"/>
      <c r="K53" s="1306"/>
      <c r="L53" s="628"/>
      <c r="M53" s="628"/>
      <c r="N53" s="628"/>
      <c r="O53" s="628"/>
      <c r="P53" s="628"/>
      <c r="Q53" s="628">
        <f>+G53*M53/10</f>
        <v>0</v>
      </c>
      <c r="R53" s="628"/>
      <c r="S53" s="628"/>
      <c r="T53" s="628"/>
      <c r="U53" s="628"/>
      <c r="V53" s="75"/>
      <c r="W53" s="628"/>
      <c r="X53" s="1221"/>
      <c r="Y53" s="75"/>
      <c r="Z53" s="75"/>
      <c r="AA53" s="75"/>
      <c r="AB53" s="1358"/>
    </row>
    <row r="54" spans="1:28" hidden="1" x14ac:dyDescent="0.4">
      <c r="A54" s="1339"/>
      <c r="B54" s="1360" t="s">
        <v>1545</v>
      </c>
      <c r="C54" s="75"/>
      <c r="D54" s="75"/>
      <c r="E54" s="75"/>
      <c r="F54" s="75"/>
      <c r="G54" s="1221"/>
      <c r="H54" s="75"/>
      <c r="I54" s="75"/>
      <c r="J54" s="75"/>
      <c r="K54" s="1306"/>
      <c r="L54" s="628"/>
      <c r="M54" s="628"/>
      <c r="N54" s="628"/>
      <c r="O54" s="628"/>
      <c r="P54" s="628"/>
      <c r="Q54" s="628">
        <f>+G54*M54/10</f>
        <v>0</v>
      </c>
      <c r="R54" s="628"/>
      <c r="S54" s="628"/>
      <c r="T54" s="628"/>
      <c r="U54" s="628"/>
      <c r="V54" s="75"/>
      <c r="W54" s="628"/>
      <c r="X54" s="1221"/>
      <c r="Y54" s="75"/>
      <c r="Z54" s="75"/>
      <c r="AA54" s="75"/>
      <c r="AB54" s="1358"/>
    </row>
    <row r="55" spans="1:28" hidden="1" x14ac:dyDescent="0.4">
      <c r="A55" s="1339"/>
      <c r="B55" s="1360" t="s">
        <v>1546</v>
      </c>
      <c r="C55" s="75"/>
      <c r="D55" s="75"/>
      <c r="E55" s="75"/>
      <c r="F55" s="75"/>
      <c r="G55" s="1221"/>
      <c r="H55" s="75"/>
      <c r="I55" s="75"/>
      <c r="J55" s="75"/>
      <c r="K55" s="1306"/>
      <c r="L55" s="628"/>
      <c r="M55" s="628"/>
      <c r="N55" s="628"/>
      <c r="O55" s="628"/>
      <c r="P55" s="628"/>
      <c r="Q55" s="628">
        <f>+G55*M55/10</f>
        <v>0</v>
      </c>
      <c r="R55" s="628"/>
      <c r="S55" s="628"/>
      <c r="T55" s="628"/>
      <c r="U55" s="628"/>
      <c r="V55" s="75"/>
      <c r="W55" s="628"/>
      <c r="X55" s="1221"/>
      <c r="Y55" s="75"/>
      <c r="Z55" s="75"/>
      <c r="AA55" s="75"/>
      <c r="AB55" s="1358"/>
    </row>
    <row r="56" spans="1:28" hidden="1" x14ac:dyDescent="0.4">
      <c r="A56" s="1339"/>
      <c r="B56" s="1360" t="s">
        <v>1549</v>
      </c>
      <c r="C56" s="75"/>
      <c r="D56" s="75"/>
      <c r="E56" s="75"/>
      <c r="F56" s="75"/>
      <c r="G56" s="1221"/>
      <c r="H56" s="75"/>
      <c r="I56" s="75"/>
      <c r="J56" s="75"/>
      <c r="K56" s="1306"/>
      <c r="L56" s="628"/>
      <c r="M56" s="628"/>
      <c r="N56" s="628"/>
      <c r="O56" s="628"/>
      <c r="P56" s="628"/>
      <c r="Q56" s="628">
        <f>+G56*M56/10</f>
        <v>0</v>
      </c>
      <c r="R56" s="628"/>
      <c r="S56" s="628"/>
      <c r="T56" s="628"/>
      <c r="U56" s="628"/>
      <c r="V56" s="75"/>
      <c r="W56" s="628"/>
      <c r="X56" s="1221"/>
      <c r="Y56" s="75"/>
      <c r="Z56" s="75"/>
      <c r="AA56" s="75"/>
      <c r="AB56" s="1358"/>
    </row>
    <row r="57" spans="1:28" hidden="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75"/>
      <c r="AA57" s="75"/>
      <c r="AB57" s="2"/>
    </row>
    <row r="58" spans="1:28" ht="25.5" hidden="1" x14ac:dyDescent="0.4">
      <c r="B58" s="519" t="s">
        <v>1142</v>
      </c>
      <c r="C58" s="1306">
        <f>+'F13 SEZ'!C223</f>
        <v>0</v>
      </c>
      <c r="D58" s="75"/>
      <c r="E58" s="75"/>
      <c r="F58" s="75"/>
      <c r="G58" s="75"/>
      <c r="H58" s="75"/>
      <c r="I58" s="75"/>
      <c r="J58" s="75"/>
      <c r="K58" s="1306"/>
      <c r="L58" s="628">
        <f>+'F1 SEZ'!L31</f>
        <v>0</v>
      </c>
      <c r="M58" s="628"/>
      <c r="N58" s="628"/>
      <c r="O58" s="628"/>
      <c r="P58" s="628"/>
      <c r="Q58" s="628"/>
      <c r="R58" s="628"/>
      <c r="S58" s="628"/>
      <c r="T58" s="628"/>
      <c r="U58" s="628">
        <f>SUM(N58:T58)</f>
        <v>0</v>
      </c>
      <c r="V58" s="75"/>
      <c r="W58" s="628">
        <f>+U58+V58</f>
        <v>0</v>
      </c>
      <c r="X58" s="75"/>
      <c r="Y58" s="75"/>
      <c r="Z58" s="75"/>
      <c r="AA58" s="75"/>
      <c r="AB58" s="2"/>
    </row>
    <row r="59" spans="1:28" hidden="1" x14ac:dyDescent="0.4">
      <c r="A59" s="1339"/>
      <c r="B59" s="1360" t="s">
        <v>1544</v>
      </c>
      <c r="C59" s="75"/>
      <c r="D59" s="75"/>
      <c r="E59" s="75"/>
      <c r="F59" s="75"/>
      <c r="G59" s="1221"/>
      <c r="H59" s="75"/>
      <c r="I59" s="75"/>
      <c r="J59" s="75"/>
      <c r="K59" s="1306"/>
      <c r="L59" s="628"/>
      <c r="M59" s="628"/>
      <c r="N59" s="628"/>
      <c r="O59" s="628"/>
      <c r="P59" s="628"/>
      <c r="Q59" s="628">
        <f>+G59*M59/10</f>
        <v>0</v>
      </c>
      <c r="R59" s="628"/>
      <c r="S59" s="628"/>
      <c r="T59" s="628"/>
      <c r="U59" s="628"/>
      <c r="V59" s="75"/>
      <c r="W59" s="628"/>
      <c r="X59" s="1221"/>
      <c r="Y59" s="75"/>
      <c r="Z59" s="75"/>
      <c r="AA59" s="75"/>
      <c r="AB59" s="1358"/>
    </row>
    <row r="60" spans="1:28" hidden="1" x14ac:dyDescent="0.4">
      <c r="A60" s="1339"/>
      <c r="B60" s="1360" t="s">
        <v>1545</v>
      </c>
      <c r="C60" s="75"/>
      <c r="D60" s="75"/>
      <c r="E60" s="75"/>
      <c r="F60" s="75"/>
      <c r="G60" s="1221"/>
      <c r="H60" s="75"/>
      <c r="I60" s="75"/>
      <c r="J60" s="75"/>
      <c r="K60" s="1306"/>
      <c r="L60" s="628"/>
      <c r="M60" s="628"/>
      <c r="N60" s="628"/>
      <c r="O60" s="628"/>
      <c r="P60" s="628"/>
      <c r="Q60" s="628">
        <f>+G60*M60/10</f>
        <v>0</v>
      </c>
      <c r="R60" s="628"/>
      <c r="S60" s="628"/>
      <c r="T60" s="628"/>
      <c r="U60" s="628"/>
      <c r="V60" s="75"/>
      <c r="W60" s="628"/>
      <c r="X60" s="1221"/>
      <c r="Y60" s="75"/>
      <c r="Z60" s="75"/>
      <c r="AA60" s="75"/>
      <c r="AB60" s="1358"/>
    </row>
    <row r="61" spans="1:28" hidden="1" x14ac:dyDescent="0.4">
      <c r="A61" s="1339"/>
      <c r="B61" s="1360" t="s">
        <v>1546</v>
      </c>
      <c r="C61" s="75"/>
      <c r="D61" s="75"/>
      <c r="E61" s="75"/>
      <c r="F61" s="75"/>
      <c r="G61" s="1221"/>
      <c r="H61" s="75"/>
      <c r="I61" s="75"/>
      <c r="J61" s="75"/>
      <c r="K61" s="1306"/>
      <c r="L61" s="628"/>
      <c r="M61" s="628"/>
      <c r="N61" s="628"/>
      <c r="O61" s="628"/>
      <c r="P61" s="628"/>
      <c r="Q61" s="628">
        <f>+G61*M61/10</f>
        <v>0</v>
      </c>
      <c r="R61" s="628"/>
      <c r="S61" s="628"/>
      <c r="T61" s="628"/>
      <c r="U61" s="628"/>
      <c r="V61" s="75"/>
      <c r="W61" s="628"/>
      <c r="X61" s="1221"/>
      <c r="Y61" s="75"/>
      <c r="Z61" s="75"/>
      <c r="AA61" s="75"/>
      <c r="AB61" s="1358"/>
    </row>
    <row r="62" spans="1:28" hidden="1" x14ac:dyDescent="0.4">
      <c r="A62" s="1339"/>
      <c r="B62" s="1360" t="s">
        <v>1549</v>
      </c>
      <c r="C62" s="75"/>
      <c r="D62" s="75"/>
      <c r="E62" s="75"/>
      <c r="F62" s="75"/>
      <c r="G62" s="1221"/>
      <c r="H62" s="75"/>
      <c r="I62" s="75"/>
      <c r="J62" s="75"/>
      <c r="K62" s="1306"/>
      <c r="L62" s="628"/>
      <c r="M62" s="628"/>
      <c r="N62" s="628"/>
      <c r="O62" s="628"/>
      <c r="P62" s="628"/>
      <c r="Q62" s="628">
        <f>+G62*M62/10</f>
        <v>0</v>
      </c>
      <c r="R62" s="628"/>
      <c r="S62" s="628"/>
      <c r="T62" s="628"/>
      <c r="U62" s="628"/>
      <c r="V62" s="75"/>
      <c r="W62" s="628"/>
      <c r="X62" s="1221"/>
      <c r="Y62" s="75"/>
      <c r="Z62" s="75"/>
      <c r="AA62" s="75"/>
      <c r="AB62" s="1358"/>
    </row>
    <row r="63" spans="1:28" x14ac:dyDescent="0.4">
      <c r="B63" s="518" t="s">
        <v>162</v>
      </c>
      <c r="C63" s="1308">
        <f>+C27+C34+C46+C51+C52+C58</f>
        <v>1</v>
      </c>
      <c r="D63" s="1308"/>
      <c r="E63" s="1310"/>
      <c r="F63" s="1310"/>
      <c r="G63" s="1310"/>
      <c r="H63" s="1310"/>
      <c r="I63" s="1310"/>
      <c r="J63" s="1310"/>
      <c r="K63" s="1308">
        <f>+K27+K34+K46+K51+K52+K58</f>
        <v>19</v>
      </c>
      <c r="L63" s="630">
        <f>+L27+L34+L46+L51+L52+L58</f>
        <v>0.33779853227978168</v>
      </c>
      <c r="M63" s="630">
        <f t="shared" ref="M63:W63" si="1">+M27+M34+M46+M51+M52+M58</f>
        <v>0.34469237987732826</v>
      </c>
      <c r="N63" s="630">
        <f t="shared" si="1"/>
        <v>8.4000000000000003E-4</v>
      </c>
      <c r="O63" s="630">
        <f t="shared" si="1"/>
        <v>0</v>
      </c>
      <c r="P63" s="630">
        <f t="shared" si="1"/>
        <v>0.21112408267486354</v>
      </c>
      <c r="Q63" s="630">
        <f t="shared" si="1"/>
        <v>0</v>
      </c>
      <c r="R63" s="630">
        <f t="shared" ca="1" si="1"/>
        <v>6.7816012418552646E-2</v>
      </c>
      <c r="S63" s="630">
        <f t="shared" si="1"/>
        <v>0</v>
      </c>
      <c r="T63" s="630">
        <f t="shared" si="1"/>
        <v>0</v>
      </c>
      <c r="U63" s="630">
        <f t="shared" ca="1" si="1"/>
        <v>0.27978009509341617</v>
      </c>
      <c r="V63" s="630">
        <f t="shared" si="1"/>
        <v>0</v>
      </c>
      <c r="W63" s="630">
        <f t="shared" ca="1" si="1"/>
        <v>0.27978009509341617</v>
      </c>
      <c r="X63" s="1222">
        <f ca="1">IFERROR(W63/L63*10,0)</f>
        <v>8.2824544323859968</v>
      </c>
      <c r="Y63" s="1503">
        <f ca="1">+X63/'Gap Adjustment'!$L$124</f>
        <v>1.0032633241210549</v>
      </c>
      <c r="Z63" s="75"/>
      <c r="AA63" s="75"/>
      <c r="AB63" s="2"/>
    </row>
    <row r="64" spans="1:28"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75"/>
      <c r="Z64" s="75"/>
      <c r="AA64" s="75"/>
      <c r="AB64" s="2"/>
    </row>
    <row r="65" spans="1:28" x14ac:dyDescent="0.4">
      <c r="B65" s="119" t="s">
        <v>164</v>
      </c>
      <c r="C65" s="1308">
        <f t="shared" ref="C65:W65" si="2">+C63+C25</f>
        <v>6</v>
      </c>
      <c r="D65" s="1309">
        <f t="shared" si="2"/>
        <v>0</v>
      </c>
      <c r="E65" s="1309">
        <f t="shared" si="2"/>
        <v>0</v>
      </c>
      <c r="F65" s="1309">
        <f t="shared" si="2"/>
        <v>0</v>
      </c>
      <c r="G65" s="1309">
        <f t="shared" si="2"/>
        <v>0</v>
      </c>
      <c r="H65" s="1309">
        <f t="shared" si="2"/>
        <v>0</v>
      </c>
      <c r="I65" s="1309">
        <f t="shared" si="2"/>
        <v>0</v>
      </c>
      <c r="J65" s="1309">
        <f t="shared" si="2"/>
        <v>0</v>
      </c>
      <c r="K65" s="1336">
        <f t="shared" si="2"/>
        <v>30059</v>
      </c>
      <c r="L65" s="630">
        <f t="shared" si="2"/>
        <v>203.50425249876554</v>
      </c>
      <c r="M65" s="630">
        <f t="shared" si="2"/>
        <v>205.56370230238909</v>
      </c>
      <c r="N65" s="630">
        <f t="shared" si="2"/>
        <v>8.4000000000000003E-4</v>
      </c>
      <c r="O65" s="630">
        <f t="shared" si="2"/>
        <v>22.705200000000001</v>
      </c>
      <c r="P65" s="630">
        <f t="shared" si="2"/>
        <v>104.86879471834621</v>
      </c>
      <c r="Q65" s="630">
        <f t="shared" si="2"/>
        <v>0</v>
      </c>
      <c r="R65" s="630">
        <f t="shared" ca="1" si="2"/>
        <v>40.443338472129078</v>
      </c>
      <c r="S65" s="630">
        <f t="shared" si="2"/>
        <v>0</v>
      </c>
      <c r="T65" s="630">
        <f t="shared" si="2"/>
        <v>0</v>
      </c>
      <c r="U65" s="630">
        <f t="shared" ca="1" si="2"/>
        <v>168.0181731904753</v>
      </c>
      <c r="V65" s="1309">
        <f t="shared" si="2"/>
        <v>0</v>
      </c>
      <c r="W65" s="630">
        <f t="shared" ca="1" si="2"/>
        <v>168.0181731904753</v>
      </c>
      <c r="X65" s="1222">
        <f ca="1">IFERROR(W65/L65*10,0)</f>
        <v>8.2562487578235988</v>
      </c>
      <c r="Y65" s="1503">
        <f ca="1">+X65/'Gap Adjustment'!$L$124</f>
        <v>1.0000890003276752</v>
      </c>
      <c r="Z65" s="1222">
        <f ca="1">(U65-R65)/L65*10</f>
        <v>6.2689026470894058</v>
      </c>
      <c r="AA65" s="1503">
        <f ca="1">+Z65/'Gap Adjustment'!$L$126</f>
        <v>1.0001112774631915</v>
      </c>
      <c r="AB65" s="2"/>
    </row>
    <row r="66" spans="1:28"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75"/>
      <c r="AA66" s="75"/>
      <c r="AB66" s="2"/>
    </row>
    <row r="67" spans="1:28" x14ac:dyDescent="0.4">
      <c r="B67" s="118"/>
      <c r="C67" s="103"/>
      <c r="D67" s="103"/>
      <c r="E67" s="103"/>
      <c r="F67" s="103"/>
      <c r="G67" s="103"/>
      <c r="H67" s="103"/>
      <c r="I67" s="103"/>
      <c r="J67" s="103"/>
      <c r="K67" s="1333"/>
      <c r="L67" s="1328"/>
      <c r="M67" s="1328"/>
      <c r="N67" s="1328"/>
      <c r="O67" s="103"/>
      <c r="P67" s="103"/>
      <c r="Q67" s="103"/>
      <c r="R67" s="1504">
        <f ca="1">+'Gap Adjustment'!L80-R65</f>
        <v>-7.57717273280889E-4</v>
      </c>
      <c r="S67" s="103"/>
      <c r="T67" s="103"/>
      <c r="U67" s="103"/>
      <c r="V67" s="103"/>
      <c r="W67" s="1328">
        <f ca="1">+'Gap Adjustment'!L96-W65</f>
        <v>-1.4952341706020889E-2</v>
      </c>
      <c r="X67" s="103"/>
      <c r="Y67" s="103"/>
      <c r="Z67" s="103"/>
      <c r="AA67" s="103"/>
    </row>
    <row r="68" spans="1:28" x14ac:dyDescent="0.4">
      <c r="B68" s="7" t="s">
        <v>740</v>
      </c>
      <c r="C68" s="7"/>
      <c r="D68" s="7"/>
      <c r="E68" s="7"/>
      <c r="F68" s="7"/>
      <c r="G68" s="7"/>
      <c r="H68" s="7"/>
      <c r="I68" s="7"/>
      <c r="J68" s="7"/>
      <c r="K68" s="1337"/>
      <c r="L68" s="1330"/>
      <c r="M68" s="1330"/>
      <c r="N68" s="1330"/>
      <c r="O68" s="7"/>
      <c r="P68" s="7"/>
      <c r="Q68" s="7"/>
      <c r="R68" s="7"/>
      <c r="S68" s="7"/>
      <c r="T68" s="7"/>
      <c r="U68" s="7"/>
      <c r="V68" s="7"/>
      <c r="W68" s="1330"/>
      <c r="X68" s="7"/>
      <c r="Y68" s="7"/>
      <c r="Z68" s="7"/>
      <c r="AA68" s="7"/>
    </row>
    <row r="69" spans="1:28"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c r="Z69" s="7"/>
      <c r="AA69" s="7"/>
    </row>
    <row r="70" spans="1:28"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c r="Z70" s="7"/>
      <c r="AA70" s="7"/>
    </row>
    <row r="72" spans="1:28" x14ac:dyDescent="0.4">
      <c r="B72" s="131" t="s">
        <v>746</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c r="Z72" s="103"/>
      <c r="AA72" s="103"/>
    </row>
    <row r="73" spans="1:28" x14ac:dyDescent="0.4">
      <c r="B73" s="131" t="s">
        <v>1604</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c r="Z73" s="103"/>
      <c r="AA73" s="103"/>
    </row>
    <row r="74" spans="1:28"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c r="Z74" s="103"/>
      <c r="AA74" s="103"/>
    </row>
    <row r="75" spans="1:28"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06"/>
      <c r="AA75" s="106"/>
      <c r="AB75" s="1947" t="s">
        <v>1570</v>
      </c>
    </row>
    <row r="76" spans="1:28"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06"/>
      <c r="AA76" s="106"/>
      <c r="AB76" s="1947"/>
    </row>
    <row r="77" spans="1:28"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80"/>
      <c r="AA77" s="80"/>
      <c r="AB77" s="2"/>
    </row>
    <row r="78" spans="1:28" s="6" customFormat="1" ht="13.5" x14ac:dyDescent="0.35">
      <c r="A78" s="1364">
        <f>+'F14.2'!A78</f>
        <v>0.9</v>
      </c>
      <c r="B78" s="517" t="s">
        <v>1129</v>
      </c>
      <c r="C78" s="128">
        <f>+'F13.3'!C78</f>
        <v>1</v>
      </c>
      <c r="D78" s="128"/>
      <c r="E78" s="128">
        <v>700</v>
      </c>
      <c r="F78" s="1365">
        <f>+'Tariff Schedule'!O14</f>
        <v>7.32</v>
      </c>
      <c r="G78" s="128"/>
      <c r="H78" s="1365">
        <v>0.82</v>
      </c>
      <c r="I78" s="128"/>
      <c r="J78" s="128"/>
      <c r="K78" s="1336">
        <v>211</v>
      </c>
      <c r="L78" s="630">
        <f>+'F1 Non-SEZ'!L12</f>
        <v>0.18479900000000216</v>
      </c>
      <c r="M78" s="630">
        <f>+L78/AB78</f>
        <v>0.18666565656565876</v>
      </c>
      <c r="N78" s="630"/>
      <c r="O78" s="630">
        <f>(K78*E78)*12/10^7*A78</f>
        <v>0.15951600000000002</v>
      </c>
      <c r="P78" s="630">
        <f>(M78*F78)/10</f>
        <v>0.13663926060606221</v>
      </c>
      <c r="Q78" s="630">
        <f>SUM(Q79:Q82)</f>
        <v>0</v>
      </c>
      <c r="R78" s="630">
        <f>(M78*H78)/10</f>
        <v>1.5306583838384017E-2</v>
      </c>
      <c r="S78" s="630"/>
      <c r="T78" s="630"/>
      <c r="U78" s="630">
        <f>SUM(N78:T78)</f>
        <v>0.31146184444444625</v>
      </c>
      <c r="V78" s="128"/>
      <c r="W78" s="630">
        <f>+U78+V78</f>
        <v>0.31146184444444625</v>
      </c>
      <c r="X78" s="1222">
        <f>IFERROR(W78/L78*10,0)</f>
        <v>16.854087113265905</v>
      </c>
      <c r="Y78" s="128"/>
      <c r="Z78" s="128"/>
      <c r="AA78" s="128"/>
      <c r="AB78" s="1366">
        <f>+'Tariff Schedule'!X14</f>
        <v>0.99</v>
      </c>
    </row>
    <row r="79" spans="1:28" x14ac:dyDescent="0.4">
      <c r="A79" s="1339"/>
      <c r="B79" s="1360" t="s">
        <v>1544</v>
      </c>
      <c r="C79" s="75"/>
      <c r="D79" s="75"/>
      <c r="E79" s="75"/>
      <c r="F79" s="75"/>
      <c r="G79" s="1221"/>
      <c r="H79" s="75"/>
      <c r="I79" s="75"/>
      <c r="J79" s="75"/>
      <c r="K79" s="1306"/>
      <c r="L79" s="628"/>
      <c r="M79" s="628">
        <f>+$M$78*Assum!E125</f>
        <v>4.5705982354672804E-2</v>
      </c>
      <c r="N79" s="628"/>
      <c r="O79" s="628"/>
      <c r="P79" s="628"/>
      <c r="Q79" s="628">
        <f>+G79*M79/10</f>
        <v>0</v>
      </c>
      <c r="R79" s="628"/>
      <c r="S79" s="628"/>
      <c r="T79" s="628"/>
      <c r="U79" s="628"/>
      <c r="V79" s="75"/>
      <c r="W79" s="628"/>
      <c r="X79" s="1221"/>
      <c r="Y79" s="75"/>
      <c r="Z79" s="75"/>
      <c r="AA79" s="75"/>
      <c r="AB79" s="1358"/>
    </row>
    <row r="80" spans="1:28" x14ac:dyDescent="0.4">
      <c r="A80" s="1339"/>
      <c r="B80" s="1360" t="s">
        <v>1545</v>
      </c>
      <c r="C80" s="75"/>
      <c r="D80" s="75"/>
      <c r="E80" s="75"/>
      <c r="F80" s="75"/>
      <c r="G80" s="1221"/>
      <c r="H80" s="75"/>
      <c r="I80" s="75"/>
      <c r="J80" s="75"/>
      <c r="K80" s="1306"/>
      <c r="L80" s="628"/>
      <c r="M80" s="628">
        <f>+$M$78*Assum!E126</f>
        <v>2.3562816725167475E-2</v>
      </c>
      <c r="N80" s="628"/>
      <c r="O80" s="628"/>
      <c r="P80" s="628"/>
      <c r="Q80" s="628">
        <f>+G80*M80/10</f>
        <v>0</v>
      </c>
      <c r="R80" s="628"/>
      <c r="S80" s="628"/>
      <c r="T80" s="628"/>
      <c r="U80" s="628"/>
      <c r="V80" s="75"/>
      <c r="W80" s="628"/>
      <c r="X80" s="1221"/>
      <c r="Y80" s="75"/>
      <c r="Z80" s="75"/>
      <c r="AA80" s="75"/>
      <c r="AB80" s="1358"/>
    </row>
    <row r="81" spans="1:28" x14ac:dyDescent="0.4">
      <c r="A81" s="1339"/>
      <c r="B81" s="1360" t="s">
        <v>1546</v>
      </c>
      <c r="C81" s="75"/>
      <c r="D81" s="75"/>
      <c r="E81" s="75"/>
      <c r="F81" s="75"/>
      <c r="G81" s="1221"/>
      <c r="H81" s="75"/>
      <c r="I81" s="75"/>
      <c r="J81" s="75"/>
      <c r="K81" s="1306"/>
      <c r="L81" s="628"/>
      <c r="M81" s="628">
        <f>+$M$78*Assum!E127</f>
        <v>6.2753697377773004E-2</v>
      </c>
      <c r="N81" s="628"/>
      <c r="O81" s="628"/>
      <c r="P81" s="628"/>
      <c r="Q81" s="628">
        <f>+G81*M81/10</f>
        <v>0</v>
      </c>
      <c r="R81" s="628"/>
      <c r="S81" s="628"/>
      <c r="T81" s="628"/>
      <c r="U81" s="628"/>
      <c r="V81" s="75"/>
      <c r="W81" s="628"/>
      <c r="X81" s="1221"/>
      <c r="Y81" s="75"/>
      <c r="Z81" s="75"/>
      <c r="AA81" s="75"/>
      <c r="AB81" s="1358"/>
    </row>
    <row r="82" spans="1:28" x14ac:dyDescent="0.4">
      <c r="A82" s="1339"/>
      <c r="B82" s="1360" t="s">
        <v>1549</v>
      </c>
      <c r="C82" s="75"/>
      <c r="D82" s="75"/>
      <c r="E82" s="75"/>
      <c r="F82" s="75"/>
      <c r="G82" s="1221"/>
      <c r="H82" s="75"/>
      <c r="I82" s="75"/>
      <c r="J82" s="75"/>
      <c r="K82" s="1306"/>
      <c r="L82" s="628"/>
      <c r="M82" s="628">
        <f>+$M$78*Assum!E128</f>
        <v>5.4643160108045465E-2</v>
      </c>
      <c r="N82" s="628"/>
      <c r="O82" s="628"/>
      <c r="P82" s="628"/>
      <c r="Q82" s="628">
        <f>+G82*M82/10</f>
        <v>0</v>
      </c>
      <c r="R82" s="628"/>
      <c r="S82" s="628"/>
      <c r="T82" s="628"/>
      <c r="U82" s="628"/>
      <c r="V82" s="75"/>
      <c r="W82" s="628"/>
      <c r="X82" s="1221"/>
      <c r="Y82" s="75"/>
      <c r="Z82" s="75"/>
      <c r="AA82" s="75"/>
      <c r="AB82" s="1358"/>
    </row>
    <row r="83" spans="1:28" s="6" customFormat="1" ht="13.5" x14ac:dyDescent="0.35">
      <c r="A83" s="1364">
        <f>+'F14.2'!A83</f>
        <v>0.75</v>
      </c>
      <c r="B83" s="517" t="s">
        <v>1130</v>
      </c>
      <c r="C83" s="128">
        <f>+'F13.3'!C83</f>
        <v>3</v>
      </c>
      <c r="D83" s="128"/>
      <c r="E83" s="128">
        <v>700</v>
      </c>
      <c r="F83" s="1365">
        <f>+'Tariff Schedule'!O15</f>
        <v>11.83</v>
      </c>
      <c r="G83" s="128"/>
      <c r="H83" s="1365">
        <v>0.82</v>
      </c>
      <c r="I83" s="128"/>
      <c r="J83" s="128"/>
      <c r="K83" s="1336">
        <v>475</v>
      </c>
      <c r="L83" s="630">
        <f>+'F1 Non-SEZ'!L13</f>
        <v>0.71129286803162928</v>
      </c>
      <c r="M83" s="630">
        <f>+L83/AB83</f>
        <v>0.7258090490118666</v>
      </c>
      <c r="N83" s="630"/>
      <c r="O83" s="630">
        <f>(K83*E83)*12/10^7*A83</f>
        <v>0.29925000000000002</v>
      </c>
      <c r="P83" s="630">
        <f>(M83*F83)/10</f>
        <v>0.85863210498103815</v>
      </c>
      <c r="Q83" s="630">
        <f>SUM(Q84:Q87)</f>
        <v>0</v>
      </c>
      <c r="R83" s="630">
        <f>(M83*H83)/10</f>
        <v>5.9516342018973059E-2</v>
      </c>
      <c r="S83" s="630"/>
      <c r="T83" s="630"/>
      <c r="U83" s="630">
        <f>SUM(N83:T83)</f>
        <v>1.2173984470000112</v>
      </c>
      <c r="V83" s="128"/>
      <c r="W83" s="630">
        <f>+U83+V83</f>
        <v>1.2173984470000112</v>
      </c>
      <c r="X83" s="1222">
        <f>IFERROR(W83/L83*10,0)</f>
        <v>17.115291066659154</v>
      </c>
      <c r="Y83" s="128"/>
      <c r="Z83" s="128"/>
      <c r="AA83" s="128"/>
      <c r="AB83" s="1366">
        <f>+'Tariff Schedule'!X15</f>
        <v>0.98</v>
      </c>
    </row>
    <row r="84" spans="1:28" x14ac:dyDescent="0.4">
      <c r="A84" s="1339"/>
      <c r="B84" s="1360" t="s">
        <v>1544</v>
      </c>
      <c r="C84" s="75"/>
      <c r="D84" s="75"/>
      <c r="E84" s="75"/>
      <c r="F84" s="75"/>
      <c r="G84" s="1221"/>
      <c r="H84" s="75"/>
      <c r="I84" s="75"/>
      <c r="J84" s="75"/>
      <c r="K84" s="1306"/>
      <c r="L84" s="628"/>
      <c r="M84" s="628">
        <f>+$M$83*Assum!F125</f>
        <v>0.1022226087511872</v>
      </c>
      <c r="N84" s="628"/>
      <c r="O84" s="628"/>
      <c r="P84" s="628"/>
      <c r="Q84" s="628">
        <f>+G84*M84/10</f>
        <v>0</v>
      </c>
      <c r="R84" s="628"/>
      <c r="S84" s="628"/>
      <c r="T84" s="628"/>
      <c r="U84" s="628"/>
      <c r="V84" s="75"/>
      <c r="W84" s="628"/>
      <c r="X84" s="1221"/>
      <c r="Y84" s="75"/>
      <c r="Z84" s="75"/>
      <c r="AA84" s="75"/>
      <c r="AB84" s="1358"/>
    </row>
    <row r="85" spans="1:28" x14ac:dyDescent="0.4">
      <c r="A85" s="1339"/>
      <c r="B85" s="1360" t="s">
        <v>1545</v>
      </c>
      <c r="C85" s="75"/>
      <c r="D85" s="75"/>
      <c r="E85" s="75"/>
      <c r="F85" s="75"/>
      <c r="G85" s="1221"/>
      <c r="H85" s="75"/>
      <c r="I85" s="75"/>
      <c r="J85" s="75"/>
      <c r="K85" s="1306"/>
      <c r="L85" s="628"/>
      <c r="M85" s="628">
        <f>+$M$83*Assum!F126</f>
        <v>0.10311097571153495</v>
      </c>
      <c r="N85" s="628"/>
      <c r="O85" s="628"/>
      <c r="P85" s="628"/>
      <c r="Q85" s="628">
        <f>+G85*M85/10</f>
        <v>0</v>
      </c>
      <c r="R85" s="628"/>
      <c r="S85" s="628"/>
      <c r="T85" s="628"/>
      <c r="U85" s="628"/>
      <c r="V85" s="75"/>
      <c r="W85" s="628"/>
      <c r="X85" s="1221"/>
      <c r="Y85" s="75"/>
      <c r="Z85" s="75"/>
      <c r="AA85" s="75"/>
      <c r="AB85" s="1358"/>
    </row>
    <row r="86" spans="1:28" x14ac:dyDescent="0.4">
      <c r="A86" s="1339"/>
      <c r="B86" s="1360" t="s">
        <v>1546</v>
      </c>
      <c r="C86" s="75"/>
      <c r="D86" s="75"/>
      <c r="E86" s="75"/>
      <c r="F86" s="75"/>
      <c r="G86" s="1221"/>
      <c r="H86" s="75"/>
      <c r="I86" s="75"/>
      <c r="J86" s="75"/>
      <c r="K86" s="1306"/>
      <c r="L86" s="628"/>
      <c r="M86" s="628">
        <f>+$M$83*Assum!F127</f>
        <v>0.3111825499466353</v>
      </c>
      <c r="N86" s="628"/>
      <c r="O86" s="628"/>
      <c r="P86" s="628"/>
      <c r="Q86" s="628">
        <f>+G86*M86/10</f>
        <v>0</v>
      </c>
      <c r="R86" s="628"/>
      <c r="S86" s="628"/>
      <c r="T86" s="628"/>
      <c r="U86" s="628"/>
      <c r="V86" s="75"/>
      <c r="W86" s="628"/>
      <c r="X86" s="1221"/>
      <c r="Y86" s="75"/>
      <c r="Z86" s="75"/>
      <c r="AA86" s="75"/>
      <c r="AB86" s="1358"/>
    </row>
    <row r="87" spans="1:28" x14ac:dyDescent="0.4">
      <c r="A87" s="1339"/>
      <c r="B87" s="1360" t="s">
        <v>1549</v>
      </c>
      <c r="C87" s="75"/>
      <c r="D87" s="75"/>
      <c r="E87" s="75"/>
      <c r="F87" s="75"/>
      <c r="G87" s="1221"/>
      <c r="H87" s="75"/>
      <c r="I87" s="75"/>
      <c r="J87" s="75"/>
      <c r="K87" s="1306"/>
      <c r="L87" s="628"/>
      <c r="M87" s="628">
        <f>+$M$83*Assum!F128</f>
        <v>0.20929291460250912</v>
      </c>
      <c r="N87" s="628"/>
      <c r="O87" s="628"/>
      <c r="P87" s="628"/>
      <c r="Q87" s="628">
        <f>+G87*M87/10</f>
        <v>0</v>
      </c>
      <c r="R87" s="628"/>
      <c r="S87" s="628"/>
      <c r="T87" s="628"/>
      <c r="U87" s="628"/>
      <c r="V87" s="75"/>
      <c r="W87" s="628"/>
      <c r="X87" s="1221"/>
      <c r="Y87" s="75"/>
      <c r="Z87" s="75"/>
      <c r="AA87" s="75"/>
      <c r="AB87" s="1358"/>
    </row>
    <row r="88" spans="1:28"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75"/>
      <c r="AA88" s="75"/>
      <c r="AB88" s="2"/>
    </row>
    <row r="89" spans="1:28"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75"/>
      <c r="AA89" s="75"/>
      <c r="AB89" s="2"/>
    </row>
    <row r="90" spans="1:28" x14ac:dyDescent="0.4">
      <c r="B90" s="518" t="s">
        <v>162</v>
      </c>
      <c r="C90" s="128">
        <f>SUM(C78:C89)</f>
        <v>4</v>
      </c>
      <c r="D90" s="1309"/>
      <c r="E90" s="1309"/>
      <c r="F90" s="1309"/>
      <c r="G90" s="1309"/>
      <c r="H90" s="1309"/>
      <c r="I90" s="1309"/>
      <c r="J90" s="1309"/>
      <c r="K90" s="1336">
        <f>SUM(K78:K89)</f>
        <v>686</v>
      </c>
      <c r="L90" s="630">
        <f>SUM(L78:L89)</f>
        <v>0.89609186803163143</v>
      </c>
      <c r="M90" s="630">
        <f>SUM(M78:M89)</f>
        <v>1.8249494111550508</v>
      </c>
      <c r="N90" s="630">
        <f t="shared" ref="N90:W90" si="3">+N78+N83</f>
        <v>0</v>
      </c>
      <c r="O90" s="630">
        <f t="shared" si="3"/>
        <v>0.45876600000000001</v>
      </c>
      <c r="P90" s="630">
        <f t="shared" si="3"/>
        <v>0.99527136558710039</v>
      </c>
      <c r="Q90" s="630">
        <f t="shared" si="3"/>
        <v>0</v>
      </c>
      <c r="R90" s="630">
        <f t="shared" si="3"/>
        <v>7.4822925857357073E-2</v>
      </c>
      <c r="S90" s="630">
        <f t="shared" si="3"/>
        <v>0</v>
      </c>
      <c r="T90" s="630">
        <f t="shared" si="3"/>
        <v>0</v>
      </c>
      <c r="U90" s="630">
        <f t="shared" si="3"/>
        <v>1.5288602914444573</v>
      </c>
      <c r="V90" s="630">
        <f t="shared" si="3"/>
        <v>0</v>
      </c>
      <c r="W90" s="630">
        <f t="shared" si="3"/>
        <v>1.5288602914444573</v>
      </c>
      <c r="X90" s="1222">
        <f>IFERROR(W90/L90*10,0)</f>
        <v>17.061423565898153</v>
      </c>
      <c r="Y90" s="75"/>
      <c r="Z90" s="75"/>
      <c r="AA90" s="75"/>
      <c r="AB90" s="2"/>
    </row>
    <row r="91" spans="1:28"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75"/>
      <c r="AA91" s="75"/>
      <c r="AB91" s="2"/>
    </row>
    <row r="92" spans="1:28" s="6" customFormat="1" ht="13.5" x14ac:dyDescent="0.35">
      <c r="B92" s="1363" t="s">
        <v>1133</v>
      </c>
      <c r="C92" s="128"/>
      <c r="D92" s="128">
        <v>440</v>
      </c>
      <c r="E92" s="128"/>
      <c r="F92" s="128"/>
      <c r="G92" s="128"/>
      <c r="H92" s="128"/>
      <c r="I92" s="128"/>
      <c r="J92" s="128"/>
      <c r="K92" s="1336"/>
      <c r="L92" s="630">
        <f>SUM(L93:L96)</f>
        <v>8.6118653808040513</v>
      </c>
      <c r="M92" s="630">
        <f t="shared" ref="M92:W92" si="4">SUM(M93:M96)</f>
        <v>8.6118653808040513</v>
      </c>
      <c r="N92" s="630">
        <f t="shared" si="4"/>
        <v>1.434048</v>
      </c>
      <c r="O92" s="630">
        <f t="shared" si="4"/>
        <v>0</v>
      </c>
      <c r="P92" s="630">
        <f t="shared" si="4"/>
        <v>9.5849705074502189</v>
      </c>
      <c r="Q92" s="630">
        <f t="shared" si="4"/>
        <v>0</v>
      </c>
      <c r="R92" s="630">
        <f t="shared" si="4"/>
        <v>1.4037340570710601</v>
      </c>
      <c r="S92" s="630">
        <f t="shared" si="4"/>
        <v>0</v>
      </c>
      <c r="T92" s="630">
        <f t="shared" si="4"/>
        <v>0</v>
      </c>
      <c r="U92" s="630">
        <f t="shared" si="4"/>
        <v>12.422752564521279</v>
      </c>
      <c r="V92" s="630">
        <f t="shared" si="4"/>
        <v>0</v>
      </c>
      <c r="W92" s="630">
        <f t="shared" si="4"/>
        <v>12.422752564521279</v>
      </c>
      <c r="X92" s="1222">
        <f>IFERROR(W92/L92*10,0)</f>
        <v>14.425158795691047</v>
      </c>
      <c r="Y92" s="128"/>
      <c r="Z92" s="128"/>
      <c r="AA92" s="128"/>
      <c r="AB92" s="3"/>
    </row>
    <row r="93" spans="1:28" x14ac:dyDescent="0.4">
      <c r="B93" s="520" t="s">
        <v>1106</v>
      </c>
      <c r="C93" s="128">
        <f>+'F13.3'!C93</f>
        <v>1558</v>
      </c>
      <c r="D93" s="75"/>
      <c r="E93" s="75"/>
      <c r="F93" s="1359">
        <f>+'Tariff Schedule'!O17</f>
        <v>3.38</v>
      </c>
      <c r="G93" s="1359"/>
      <c r="H93" s="1359">
        <v>1.63</v>
      </c>
      <c r="I93" s="75"/>
      <c r="J93" s="75"/>
      <c r="K93" s="1306"/>
      <c r="L93" s="628">
        <f>+'F1 Non-SEZ'!L19</f>
        <v>2.0022014349328505</v>
      </c>
      <c r="M93" s="628">
        <f>+L93/AB93</f>
        <v>2.0022014349328505</v>
      </c>
      <c r="N93" s="628">
        <f>+C93*$D$92*12/10^7</f>
        <v>0.82262400000000002</v>
      </c>
      <c r="O93" s="628"/>
      <c r="P93" s="628">
        <f>+L93*F93/10</f>
        <v>0.67674408500730343</v>
      </c>
      <c r="Q93" s="628">
        <f>+L93*Assum!$G$127*G93/10</f>
        <v>0</v>
      </c>
      <c r="R93" s="628">
        <f>(L93*H93)/10</f>
        <v>0.32635883389405462</v>
      </c>
      <c r="S93" s="628"/>
      <c r="T93" s="628"/>
      <c r="U93" s="628">
        <f>SUM(N93:T93)</f>
        <v>1.8257269189013581</v>
      </c>
      <c r="V93" s="75"/>
      <c r="W93" s="628">
        <f>+U93+V93</f>
        <v>1.8257269189013581</v>
      </c>
      <c r="X93" s="1221">
        <f>IFERROR(W93/L93*10,0)</f>
        <v>9.1185975948648199</v>
      </c>
      <c r="Y93" s="75"/>
      <c r="Z93" s="75"/>
      <c r="AA93" s="75"/>
      <c r="AB93" s="1358">
        <f>+'Tariff Schedule'!X17</f>
        <v>1</v>
      </c>
    </row>
    <row r="94" spans="1:28" x14ac:dyDescent="0.4">
      <c r="B94" s="520" t="s">
        <v>1107</v>
      </c>
      <c r="C94" s="128">
        <f>+'F13.3'!C94</f>
        <v>605</v>
      </c>
      <c r="D94" s="75"/>
      <c r="E94" s="75"/>
      <c r="F94" s="1359">
        <f>+'Tariff Schedule'!O18</f>
        <v>9.48</v>
      </c>
      <c r="G94" s="1359"/>
      <c r="H94" s="1359">
        <v>1.63</v>
      </c>
      <c r="I94" s="75"/>
      <c r="J94" s="75"/>
      <c r="K94" s="1306"/>
      <c r="L94" s="628">
        <f>+'F1 Non-SEZ'!L20</f>
        <v>1.9389082816511376</v>
      </c>
      <c r="M94" s="628">
        <f>+L94/AB94</f>
        <v>1.9389082816511376</v>
      </c>
      <c r="N94" s="628">
        <f>+C94*$D$92*12/10^7</f>
        <v>0.31944</v>
      </c>
      <c r="O94" s="628"/>
      <c r="P94" s="628">
        <f>+L94*F94/10</f>
        <v>1.8380850510052784</v>
      </c>
      <c r="Q94" s="628">
        <f>+L94*Assum!$G$127*G94/10</f>
        <v>0</v>
      </c>
      <c r="R94" s="628">
        <f>(L94*H94)/10</f>
        <v>0.31604204990913543</v>
      </c>
      <c r="S94" s="628"/>
      <c r="T94" s="628"/>
      <c r="U94" s="628">
        <f>SUM(N94:T94)</f>
        <v>2.4735671009144138</v>
      </c>
      <c r="V94" s="75"/>
      <c r="W94" s="628">
        <f>+U94+V94</f>
        <v>2.4735671009144138</v>
      </c>
      <c r="X94" s="1221">
        <f>IFERROR(W94/L94*10,0)</f>
        <v>12.757525068735953</v>
      </c>
      <c r="Y94" s="75"/>
      <c r="Z94" s="75"/>
      <c r="AA94" s="75"/>
      <c r="AB94" s="1358">
        <f>+'Tariff Schedule'!X18</f>
        <v>1</v>
      </c>
    </row>
    <row r="95" spans="1:28" x14ac:dyDescent="0.4">
      <c r="B95" s="520" t="s">
        <v>1108</v>
      </c>
      <c r="C95" s="128">
        <f>+'F13.3'!C95</f>
        <v>322</v>
      </c>
      <c r="D95" s="75"/>
      <c r="E95" s="75"/>
      <c r="F95" s="1359">
        <f>+'Tariff Schedule'!O19</f>
        <v>13.18</v>
      </c>
      <c r="G95" s="1359"/>
      <c r="H95" s="1359">
        <v>1.63</v>
      </c>
      <c r="I95" s="75"/>
      <c r="J95" s="75"/>
      <c r="K95" s="1306"/>
      <c r="L95" s="628">
        <f>+'F1 Non-SEZ'!L21</f>
        <v>0.67911633672838123</v>
      </c>
      <c r="M95" s="628">
        <f>+L95/AB95</f>
        <v>0.67911633672838123</v>
      </c>
      <c r="N95" s="628">
        <f>+C95*$D$92*12/10^7</f>
        <v>0.170016</v>
      </c>
      <c r="O95" s="628"/>
      <c r="P95" s="628">
        <f>+L95*F95/10</f>
        <v>0.89507533180800647</v>
      </c>
      <c r="Q95" s="628">
        <f>+L95*Assum!$G$127*G95/10</f>
        <v>0</v>
      </c>
      <c r="R95" s="628">
        <f>(L95*H95)/10</f>
        <v>0.11069596288672615</v>
      </c>
      <c r="S95" s="628"/>
      <c r="T95" s="628"/>
      <c r="U95" s="628">
        <f>SUM(N95:T95)</f>
        <v>1.1757872946947325</v>
      </c>
      <c r="V95" s="75"/>
      <c r="W95" s="628">
        <f>+U95+V95</f>
        <v>1.1757872946947325</v>
      </c>
      <c r="X95" s="1221">
        <f>IFERROR(W95/L95*10,0)</f>
        <v>17.313488589584605</v>
      </c>
      <c r="Y95" s="75"/>
      <c r="Z95" s="75"/>
      <c r="AA95" s="75"/>
      <c r="AB95" s="1358">
        <f>+'Tariff Schedule'!X19</f>
        <v>1</v>
      </c>
    </row>
    <row r="96" spans="1:28" x14ac:dyDescent="0.4">
      <c r="B96" s="520" t="s">
        <v>1109</v>
      </c>
      <c r="C96" s="128">
        <f>+'F13.3'!C96</f>
        <v>231</v>
      </c>
      <c r="D96" s="75"/>
      <c r="E96" s="75"/>
      <c r="F96" s="1359">
        <f>+'Tariff Schedule'!O20</f>
        <v>15.47</v>
      </c>
      <c r="G96" s="1359"/>
      <c r="H96" s="1359">
        <v>1.63</v>
      </c>
      <c r="I96" s="75"/>
      <c r="J96" s="75"/>
      <c r="K96" s="1306"/>
      <c r="L96" s="628">
        <f>+'F1 Non-SEZ'!L22</f>
        <v>3.991639327491681</v>
      </c>
      <c r="M96" s="628">
        <f>+L96/AB96</f>
        <v>3.991639327491681</v>
      </c>
      <c r="N96" s="628">
        <f>+C96*$D$92*12/10^7</f>
        <v>0.12196799999999999</v>
      </c>
      <c r="O96" s="628"/>
      <c r="P96" s="628">
        <f>+L96*F96/10</f>
        <v>6.1750660396296313</v>
      </c>
      <c r="Q96" s="628">
        <f>+L96*Assum!$G$127*G96/10</f>
        <v>0</v>
      </c>
      <c r="R96" s="628">
        <f>(L96*H96)/10</f>
        <v>0.65063721038114397</v>
      </c>
      <c r="S96" s="628"/>
      <c r="T96" s="628"/>
      <c r="U96" s="628">
        <f>SUM(N96:T96)</f>
        <v>6.9476712500107753</v>
      </c>
      <c r="V96" s="75"/>
      <c r="W96" s="628">
        <f>+U96+V96</f>
        <v>6.9476712500107753</v>
      </c>
      <c r="X96" s="1221">
        <f>IFERROR(W96/L96*10,0)</f>
        <v>17.405558668990878</v>
      </c>
      <c r="Y96" s="75"/>
      <c r="Z96" s="75"/>
      <c r="AA96" s="75"/>
      <c r="AB96" s="1358">
        <f>+'Tariff Schedule'!X20</f>
        <v>1</v>
      </c>
    </row>
    <row r="97" spans="1:28" x14ac:dyDescent="0.4">
      <c r="B97" s="520" t="s">
        <v>1110</v>
      </c>
      <c r="C97" s="75"/>
      <c r="D97" s="75"/>
      <c r="E97" s="75"/>
      <c r="F97" s="75"/>
      <c r="G97" s="75"/>
      <c r="H97" s="75"/>
      <c r="I97" s="75"/>
      <c r="J97" s="75"/>
      <c r="K97" s="1306"/>
      <c r="L97" s="628"/>
      <c r="M97" s="628"/>
      <c r="N97" s="628"/>
      <c r="O97" s="628"/>
      <c r="P97" s="628"/>
      <c r="Q97" s="628"/>
      <c r="R97" s="628"/>
      <c r="S97" s="628"/>
      <c r="T97" s="628"/>
      <c r="U97" s="628"/>
      <c r="V97" s="75"/>
      <c r="W97" s="628"/>
      <c r="X97" s="75"/>
      <c r="Y97" s="75"/>
      <c r="Z97" s="75"/>
      <c r="AA97" s="75"/>
      <c r="AB97" s="2"/>
    </row>
    <row r="98" spans="1:28" s="6" customFormat="1" ht="25.5" x14ac:dyDescent="0.35">
      <c r="B98" s="1363" t="s">
        <v>1139</v>
      </c>
      <c r="C98" s="128"/>
      <c r="D98" s="128"/>
      <c r="E98" s="128"/>
      <c r="F98" s="128"/>
      <c r="G98" s="128"/>
      <c r="H98" s="128"/>
      <c r="I98" s="128"/>
      <c r="J98" s="128"/>
      <c r="K98" s="1336"/>
      <c r="L98" s="630">
        <f t="shared" ref="L98:R98" si="5">+L99+L100+L105</f>
        <v>1.1032567611925073</v>
      </c>
      <c r="M98" s="630">
        <f t="shared" si="5"/>
        <v>1.1186876083226089</v>
      </c>
      <c r="N98" s="630">
        <f t="shared" si="5"/>
        <v>2.8223999999999999E-2</v>
      </c>
      <c r="O98" s="630">
        <f t="shared" si="5"/>
        <v>0.12502800000000003</v>
      </c>
      <c r="P98" s="630">
        <f t="shared" si="5"/>
        <v>1.1329494107108016</v>
      </c>
      <c r="Q98" s="630">
        <f t="shared" si="5"/>
        <v>0</v>
      </c>
      <c r="R98" s="630">
        <f t="shared" si="5"/>
        <v>0.17502350639508571</v>
      </c>
      <c r="S98" s="630"/>
      <c r="T98" s="630"/>
      <c r="U98" s="630">
        <f>+U99+U100+U105</f>
        <v>1.4612249171058873</v>
      </c>
      <c r="V98" s="128"/>
      <c r="W98" s="630">
        <f>+W99+W100+W105</f>
        <v>1.4612249171058873</v>
      </c>
      <c r="X98" s="1222">
        <f>IFERROR(W98/L98*10,0)</f>
        <v>13.244649554891041</v>
      </c>
      <c r="Y98" s="128"/>
      <c r="Z98" s="128"/>
      <c r="AA98" s="128"/>
      <c r="AB98" s="3"/>
    </row>
    <row r="99" spans="1:28" s="6" customFormat="1" ht="13.5" x14ac:dyDescent="0.35">
      <c r="B99" s="1361" t="s">
        <v>1140</v>
      </c>
      <c r="C99" s="128">
        <f>+'F13.3'!C99</f>
        <v>42</v>
      </c>
      <c r="D99" s="128">
        <v>560</v>
      </c>
      <c r="E99" s="128"/>
      <c r="F99" s="1365">
        <f>+'Tariff Schedule'!O22</f>
        <v>7.4</v>
      </c>
      <c r="G99" s="128"/>
      <c r="H99" s="1365">
        <v>1.63</v>
      </c>
      <c r="I99" s="128"/>
      <c r="J99" s="128"/>
      <c r="K99" s="1336"/>
      <c r="L99" s="630">
        <f>+'F1 Non-SEZ'!L25</f>
        <v>0.33636889514339563</v>
      </c>
      <c r="M99" s="630">
        <f>+L99/AB99</f>
        <v>0.34323356647285269</v>
      </c>
      <c r="N99" s="630">
        <f>+C99*D99*12/10^7</f>
        <v>2.8223999999999999E-2</v>
      </c>
      <c r="O99" s="630"/>
      <c r="P99" s="630">
        <f>+L99*F99/10</f>
        <v>0.24891298240611279</v>
      </c>
      <c r="Q99" s="630"/>
      <c r="R99" s="630">
        <f>(L99*H99)/10</f>
        <v>5.4828129908373477E-2</v>
      </c>
      <c r="S99" s="630"/>
      <c r="T99" s="630"/>
      <c r="U99" s="630">
        <f>SUM(N99:T99)</f>
        <v>0.33196511231448628</v>
      </c>
      <c r="V99" s="128"/>
      <c r="W99" s="630">
        <f>+U99+V99</f>
        <v>0.33196511231448628</v>
      </c>
      <c r="X99" s="1222">
        <f>IFERROR(W99/L99*10,0)</f>
        <v>9.8690787735580603</v>
      </c>
      <c r="Y99" s="128"/>
      <c r="Z99" s="128"/>
      <c r="AA99" s="128"/>
      <c r="AB99" s="1366">
        <f>+'Tariff Schedule'!X22</f>
        <v>0.98</v>
      </c>
    </row>
    <row r="100" spans="1:28" s="6" customFormat="1" ht="13.5" x14ac:dyDescent="0.35">
      <c r="A100" s="1364">
        <f>+'F14.2'!A100</f>
        <v>0.4</v>
      </c>
      <c r="B100" s="1361" t="s">
        <v>1144</v>
      </c>
      <c r="C100" s="128">
        <f>+'F13.3'!C100</f>
        <v>9</v>
      </c>
      <c r="D100" s="128"/>
      <c r="E100" s="128">
        <v>575</v>
      </c>
      <c r="F100" s="1365">
        <f>+'Tariff Schedule'!O23</f>
        <v>10.88</v>
      </c>
      <c r="G100" s="128"/>
      <c r="H100" s="1365">
        <v>1.55</v>
      </c>
      <c r="I100" s="128"/>
      <c r="J100" s="128"/>
      <c r="K100" s="1336">
        <v>383</v>
      </c>
      <c r="L100" s="630">
        <f>+'F1 Non-SEZ'!L26</f>
        <v>0.59091548630067836</v>
      </c>
      <c r="M100" s="630">
        <f>+L100/AB100</f>
        <v>0.59773408250106086</v>
      </c>
      <c r="N100" s="630"/>
      <c r="O100" s="630">
        <f>(K100*E100)*12/10^7*A100</f>
        <v>0.10570800000000001</v>
      </c>
      <c r="P100" s="630">
        <f>+M100*F100/10</f>
        <v>0.65033468176115428</v>
      </c>
      <c r="Q100" s="630">
        <f>SUM(Q101:Q104)</f>
        <v>0</v>
      </c>
      <c r="R100" s="630">
        <f>(M100*H100)/10</f>
        <v>9.2648782787664447E-2</v>
      </c>
      <c r="S100" s="630"/>
      <c r="T100" s="630"/>
      <c r="U100" s="630">
        <f>SUM(N100:T100)</f>
        <v>0.84869146454881872</v>
      </c>
      <c r="V100" s="128"/>
      <c r="W100" s="630">
        <f>+U100+V100</f>
        <v>0.84869146454881872</v>
      </c>
      <c r="X100" s="1222">
        <f>IFERROR(W100/L100*10,0)</f>
        <v>14.362315495603291</v>
      </c>
      <c r="Y100" s="128"/>
      <c r="Z100" s="128"/>
      <c r="AA100" s="128"/>
      <c r="AB100" s="1366">
        <f>+'Tariff Schedule'!X23</f>
        <v>0.98859259259259247</v>
      </c>
    </row>
    <row r="101" spans="1:28" x14ac:dyDescent="0.4">
      <c r="A101" s="1339"/>
      <c r="B101" s="1360" t="s">
        <v>1544</v>
      </c>
      <c r="C101" s="75"/>
      <c r="D101" s="75"/>
      <c r="E101" s="75"/>
      <c r="F101" s="75"/>
      <c r="G101" s="1221"/>
      <c r="H101" s="75"/>
      <c r="I101" s="75"/>
      <c r="J101" s="75"/>
      <c r="K101" s="1306"/>
      <c r="L101" s="628"/>
      <c r="M101" s="628">
        <f>+$M$100*Assum!H125</f>
        <v>8.0171145873950009E-2</v>
      </c>
      <c r="N101" s="628"/>
      <c r="O101" s="628"/>
      <c r="P101" s="628"/>
      <c r="Q101" s="628">
        <f>+G101*M101/10</f>
        <v>0</v>
      </c>
      <c r="R101" s="628"/>
      <c r="S101" s="628"/>
      <c r="T101" s="628"/>
      <c r="U101" s="628"/>
      <c r="V101" s="75"/>
      <c r="W101" s="628"/>
      <c r="X101" s="1221"/>
      <c r="Y101" s="75"/>
      <c r="Z101" s="75"/>
      <c r="AA101" s="75"/>
      <c r="AB101" s="1358"/>
    </row>
    <row r="102" spans="1:28" x14ac:dyDescent="0.4">
      <c r="A102" s="1339"/>
      <c r="B102" s="1360" t="s">
        <v>1545</v>
      </c>
      <c r="C102" s="75"/>
      <c r="D102" s="75"/>
      <c r="E102" s="75"/>
      <c r="F102" s="75"/>
      <c r="G102" s="1221"/>
      <c r="H102" s="75"/>
      <c r="I102" s="75"/>
      <c r="J102" s="75"/>
      <c r="K102" s="1306"/>
      <c r="L102" s="628"/>
      <c r="M102" s="628">
        <f>+$M$100*Assum!H126</f>
        <v>9.3382960963758602E-2</v>
      </c>
      <c r="N102" s="628"/>
      <c r="O102" s="628"/>
      <c r="P102" s="628"/>
      <c r="Q102" s="628">
        <f>+G102*M102/10</f>
        <v>0</v>
      </c>
      <c r="R102" s="628"/>
      <c r="S102" s="628"/>
      <c r="T102" s="628"/>
      <c r="U102" s="628"/>
      <c r="V102" s="75"/>
      <c r="W102" s="628"/>
      <c r="X102" s="1221"/>
      <c r="Y102" s="75"/>
      <c r="Z102" s="75"/>
      <c r="AA102" s="75"/>
      <c r="AB102" s="1358"/>
    </row>
    <row r="103" spans="1:28" x14ac:dyDescent="0.4">
      <c r="A103" s="1339"/>
      <c r="B103" s="1360" t="s">
        <v>1546</v>
      </c>
      <c r="C103" s="75"/>
      <c r="D103" s="75"/>
      <c r="E103" s="75"/>
      <c r="F103" s="75"/>
      <c r="G103" s="1221"/>
      <c r="H103" s="75"/>
      <c r="I103" s="75"/>
      <c r="J103" s="75"/>
      <c r="K103" s="1306"/>
      <c r="L103" s="628"/>
      <c r="M103" s="628">
        <f>+$M$100*Assum!H127</f>
        <v>0.27414488381461311</v>
      </c>
      <c r="N103" s="628"/>
      <c r="O103" s="628"/>
      <c r="P103" s="628"/>
      <c r="Q103" s="628">
        <f>+G103*M103/10</f>
        <v>0</v>
      </c>
      <c r="R103" s="628"/>
      <c r="S103" s="628"/>
      <c r="T103" s="628"/>
      <c r="U103" s="628"/>
      <c r="V103" s="75"/>
      <c r="W103" s="628"/>
      <c r="X103" s="1221"/>
      <c r="Y103" s="75"/>
      <c r="Z103" s="75"/>
      <c r="AA103" s="75"/>
      <c r="AB103" s="1358"/>
    </row>
    <row r="104" spans="1:28" x14ac:dyDescent="0.4">
      <c r="A104" s="1339"/>
      <c r="B104" s="1360" t="s">
        <v>1549</v>
      </c>
      <c r="C104" s="75"/>
      <c r="D104" s="75"/>
      <c r="E104" s="75"/>
      <c r="F104" s="75"/>
      <c r="G104" s="1221"/>
      <c r="H104" s="75"/>
      <c r="I104" s="75"/>
      <c r="J104" s="75"/>
      <c r="K104" s="1306"/>
      <c r="L104" s="628"/>
      <c r="M104" s="628">
        <f>+$M$100*Assum!H128</f>
        <v>0.15003509184873923</v>
      </c>
      <c r="N104" s="628"/>
      <c r="O104" s="628"/>
      <c r="P104" s="628"/>
      <c r="Q104" s="628">
        <f>+G104*M104/10</f>
        <v>0</v>
      </c>
      <c r="R104" s="628"/>
      <c r="S104" s="628"/>
      <c r="T104" s="628"/>
      <c r="U104" s="628"/>
      <c r="V104" s="75"/>
      <c r="W104" s="628"/>
      <c r="X104" s="1221"/>
      <c r="Y104" s="75"/>
      <c r="Z104" s="75"/>
      <c r="AA104" s="75"/>
      <c r="AB104" s="1358"/>
    </row>
    <row r="105" spans="1:28" s="6" customFormat="1" ht="13.5" x14ac:dyDescent="0.35">
      <c r="A105" s="1364">
        <f>+'F14.2'!A105</f>
        <v>0.4</v>
      </c>
      <c r="B105" s="1361" t="s">
        <v>1143</v>
      </c>
      <c r="C105" s="128">
        <f>+'F13.3'!C105</f>
        <v>1</v>
      </c>
      <c r="D105" s="128"/>
      <c r="E105" s="128">
        <v>575</v>
      </c>
      <c r="F105" s="1365">
        <f>+'Tariff Schedule'!O24</f>
        <v>13.15</v>
      </c>
      <c r="G105" s="128"/>
      <c r="H105" s="1365">
        <v>1.55</v>
      </c>
      <c r="I105" s="128"/>
      <c r="J105" s="128"/>
      <c r="K105" s="1336">
        <v>70</v>
      </c>
      <c r="L105" s="630">
        <f>+'F1 Non-SEZ'!L27</f>
        <v>0.17597237974843327</v>
      </c>
      <c r="M105" s="630">
        <f>+L105/AB105</f>
        <v>0.17771995934869542</v>
      </c>
      <c r="N105" s="630"/>
      <c r="O105" s="630">
        <f>(K105*E105)*12/10^7*A105</f>
        <v>1.9320000000000004E-2</v>
      </c>
      <c r="P105" s="630">
        <f>+M105*F105/10</f>
        <v>0.23370174654353448</v>
      </c>
      <c r="Q105" s="630">
        <f>SUM(Q106:Q109)</f>
        <v>0</v>
      </c>
      <c r="R105" s="630">
        <f>(M105*H105)/10</f>
        <v>2.754659369904779E-2</v>
      </c>
      <c r="S105" s="630"/>
      <c r="T105" s="630"/>
      <c r="U105" s="630">
        <f>SUM(N105:T105)</f>
        <v>0.28056834024258226</v>
      </c>
      <c r="V105" s="128"/>
      <c r="W105" s="630">
        <f>+U105+V105</f>
        <v>0.28056834024258226</v>
      </c>
      <c r="X105" s="1222">
        <f>IFERROR(W105/L105*10,0)</f>
        <v>15.943885093994714</v>
      </c>
      <c r="Y105" s="128"/>
      <c r="Z105" s="128"/>
      <c r="AA105" s="128"/>
      <c r="AB105" s="1366">
        <f>+'Tariff Schedule'!X24</f>
        <v>0.99016666666666675</v>
      </c>
    </row>
    <row r="106" spans="1:28" x14ac:dyDescent="0.4">
      <c r="A106" s="1339"/>
      <c r="B106" s="1360" t="s">
        <v>1544</v>
      </c>
      <c r="C106" s="75"/>
      <c r="D106" s="75"/>
      <c r="E106" s="75"/>
      <c r="F106" s="75"/>
      <c r="G106" s="1221"/>
      <c r="H106" s="75"/>
      <c r="I106" s="75"/>
      <c r="J106" s="75"/>
      <c r="K106" s="1306"/>
      <c r="L106" s="628"/>
      <c r="M106" s="628">
        <f>+$M$105*Assum!I125</f>
        <v>1.2786756317214692E-2</v>
      </c>
      <c r="N106" s="628"/>
      <c r="O106" s="628"/>
      <c r="P106" s="628"/>
      <c r="Q106" s="628">
        <f>+G106*M106/10</f>
        <v>0</v>
      </c>
      <c r="R106" s="628"/>
      <c r="S106" s="628"/>
      <c r="T106" s="628"/>
      <c r="U106" s="628"/>
      <c r="V106" s="75"/>
      <c r="W106" s="628"/>
      <c r="X106" s="1221"/>
      <c r="Y106" s="75"/>
      <c r="Z106" s="75"/>
      <c r="AA106" s="75"/>
      <c r="AB106" s="1358"/>
    </row>
    <row r="107" spans="1:28" x14ac:dyDescent="0.4">
      <c r="A107" s="1339"/>
      <c r="B107" s="1360" t="s">
        <v>1545</v>
      </c>
      <c r="C107" s="75"/>
      <c r="D107" s="75"/>
      <c r="E107" s="75"/>
      <c r="F107" s="75"/>
      <c r="G107" s="1221"/>
      <c r="H107" s="75"/>
      <c r="I107" s="75"/>
      <c r="J107" s="75"/>
      <c r="K107" s="1306"/>
      <c r="L107" s="628"/>
      <c r="M107" s="628">
        <f>+$M$105*Assum!I126</f>
        <v>3.4242912964762784E-2</v>
      </c>
      <c r="N107" s="628"/>
      <c r="O107" s="628"/>
      <c r="P107" s="628"/>
      <c r="Q107" s="628">
        <f>+G107*M107/10</f>
        <v>0</v>
      </c>
      <c r="R107" s="628"/>
      <c r="S107" s="628"/>
      <c r="T107" s="628"/>
      <c r="U107" s="628"/>
      <c r="V107" s="75"/>
      <c r="W107" s="628"/>
      <c r="X107" s="1221"/>
      <c r="Y107" s="75"/>
      <c r="Z107" s="75"/>
      <c r="AA107" s="75"/>
      <c r="AB107" s="1358"/>
    </row>
    <row r="108" spans="1:28" x14ac:dyDescent="0.4">
      <c r="A108" s="1339"/>
      <c r="B108" s="1360" t="s">
        <v>1546</v>
      </c>
      <c r="C108" s="75"/>
      <c r="D108" s="75"/>
      <c r="E108" s="75"/>
      <c r="F108" s="75"/>
      <c r="G108" s="1221"/>
      <c r="H108" s="75"/>
      <c r="I108" s="75"/>
      <c r="J108" s="75"/>
      <c r="K108" s="1306"/>
      <c r="L108" s="628"/>
      <c r="M108" s="628">
        <f>+$M$105*Assum!I127</f>
        <v>0.10561382733161367</v>
      </c>
      <c r="N108" s="628"/>
      <c r="O108" s="628"/>
      <c r="P108" s="628"/>
      <c r="Q108" s="628">
        <f>+G108*M108/10</f>
        <v>0</v>
      </c>
      <c r="R108" s="628"/>
      <c r="S108" s="628"/>
      <c r="T108" s="628"/>
      <c r="U108" s="628"/>
      <c r="V108" s="75"/>
      <c r="W108" s="628"/>
      <c r="X108" s="1221"/>
      <c r="Y108" s="75"/>
      <c r="Z108" s="75"/>
      <c r="AA108" s="75"/>
      <c r="AB108" s="1358"/>
    </row>
    <row r="109" spans="1:28" x14ac:dyDescent="0.4">
      <c r="A109" s="1339"/>
      <c r="B109" s="1360" t="s">
        <v>1549</v>
      </c>
      <c r="C109" s="75"/>
      <c r="D109" s="75"/>
      <c r="E109" s="75"/>
      <c r="F109" s="75"/>
      <c r="G109" s="1221"/>
      <c r="H109" s="75"/>
      <c r="I109" s="75"/>
      <c r="J109" s="75"/>
      <c r="K109" s="1306"/>
      <c r="L109" s="628"/>
      <c r="M109" s="628">
        <f>+$M$105*Assum!I128</f>
        <v>2.507646273510427E-2</v>
      </c>
      <c r="N109" s="628"/>
      <c r="O109" s="628"/>
      <c r="P109" s="628"/>
      <c r="Q109" s="628">
        <f>+G109*M109/10</f>
        <v>0</v>
      </c>
      <c r="R109" s="628"/>
      <c r="S109" s="628"/>
      <c r="T109" s="628"/>
      <c r="U109" s="628"/>
      <c r="V109" s="75"/>
      <c r="W109" s="628"/>
      <c r="X109" s="1221"/>
      <c r="Y109" s="75"/>
      <c r="Z109" s="75"/>
      <c r="AA109" s="75"/>
      <c r="AB109" s="1358"/>
    </row>
    <row r="110" spans="1:28" s="6" customFormat="1" ht="38.25" x14ac:dyDescent="0.35">
      <c r="A110" s="1364">
        <f>+'F14.2'!A110</f>
        <v>0.4</v>
      </c>
      <c r="B110" s="1363" t="s">
        <v>1111</v>
      </c>
      <c r="C110" s="128">
        <f>+'F13.3'!C110</f>
        <v>2</v>
      </c>
      <c r="D110" s="128"/>
      <c r="E110" s="128">
        <v>300</v>
      </c>
      <c r="F110" s="1365">
        <f>+'Tariff Schedule'!O31</f>
        <v>6.67</v>
      </c>
      <c r="G110" s="128"/>
      <c r="H110" s="1365">
        <v>1.55</v>
      </c>
      <c r="I110" s="128"/>
      <c r="J110" s="128"/>
      <c r="K110" s="1336">
        <v>160</v>
      </c>
      <c r="L110" s="630">
        <f>+'F1 Non-SEZ'!L28</f>
        <v>0.97996764932994562</v>
      </c>
      <c r="M110" s="630">
        <f>+L110/AB110</f>
        <v>0.9999669891121894</v>
      </c>
      <c r="N110" s="630"/>
      <c r="O110" s="630">
        <f>(K110*E110)*12/10^7*A110</f>
        <v>2.3040000000000001E-2</v>
      </c>
      <c r="P110" s="630">
        <f>+M110*F110/10</f>
        <v>0.66697798173783029</v>
      </c>
      <c r="Q110" s="630">
        <f>SUM(Q111:Q114)</f>
        <v>0</v>
      </c>
      <c r="R110" s="630">
        <f>(M110*H110)/10</f>
        <v>0.15499488331238936</v>
      </c>
      <c r="S110" s="630"/>
      <c r="T110" s="630"/>
      <c r="U110" s="630">
        <f>SUM(N110:T110)</f>
        <v>0.84501286505021955</v>
      </c>
      <c r="V110" s="128"/>
      <c r="W110" s="630">
        <f>+U110+V110</f>
        <v>0.84501286505021955</v>
      </c>
      <c r="X110" s="1222">
        <f>IFERROR(W110/L110*10,0)</f>
        <v>8.6228649040404388</v>
      </c>
      <c r="Y110" s="128"/>
      <c r="Z110" s="128"/>
      <c r="AA110" s="128"/>
      <c r="AB110" s="1366">
        <f>+'Tariff Schedule'!X35</f>
        <v>0.98</v>
      </c>
    </row>
    <row r="111" spans="1:28" x14ac:dyDescent="0.4">
      <c r="A111" s="1339"/>
      <c r="B111" s="1360" t="s">
        <v>1544</v>
      </c>
      <c r="C111" s="75"/>
      <c r="D111" s="75"/>
      <c r="E111" s="75"/>
      <c r="F111" s="75"/>
      <c r="G111" s="1221"/>
      <c r="H111" s="75"/>
      <c r="I111" s="75"/>
      <c r="J111" s="75"/>
      <c r="K111" s="1306"/>
      <c r="L111" s="628"/>
      <c r="M111" s="628">
        <f>+$M$110*Assum!J125</f>
        <v>0.21917196858040372</v>
      </c>
      <c r="N111" s="628"/>
      <c r="O111" s="628"/>
      <c r="P111" s="628"/>
      <c r="Q111" s="628">
        <f>+G111*M111/10</f>
        <v>0</v>
      </c>
      <c r="R111" s="628"/>
      <c r="S111" s="628"/>
      <c r="T111" s="628"/>
      <c r="U111" s="628"/>
      <c r="V111" s="75"/>
      <c r="W111" s="628"/>
      <c r="X111" s="1221"/>
      <c r="Y111" s="75"/>
      <c r="Z111" s="75"/>
      <c r="AA111" s="75"/>
      <c r="AB111" s="1358"/>
    </row>
    <row r="112" spans="1:28" x14ac:dyDescent="0.4">
      <c r="A112" s="1339"/>
      <c r="B112" s="1360" t="s">
        <v>1545</v>
      </c>
      <c r="C112" s="75"/>
      <c r="D112" s="75"/>
      <c r="E112" s="75"/>
      <c r="F112" s="75"/>
      <c r="G112" s="1221"/>
      <c r="H112" s="75"/>
      <c r="I112" s="75"/>
      <c r="J112" s="75"/>
      <c r="K112" s="1306"/>
      <c r="L112" s="628"/>
      <c r="M112" s="628">
        <f>+$M$110*Assum!J126</f>
        <v>0.1314045829667497</v>
      </c>
      <c r="N112" s="628"/>
      <c r="O112" s="628"/>
      <c r="P112" s="628"/>
      <c r="Q112" s="628">
        <f>+G112*M112/10</f>
        <v>0</v>
      </c>
      <c r="R112" s="628"/>
      <c r="S112" s="628"/>
      <c r="T112" s="628"/>
      <c r="U112" s="628"/>
      <c r="V112" s="75"/>
      <c r="W112" s="628"/>
      <c r="X112" s="1221"/>
      <c r="Y112" s="75"/>
      <c r="Z112" s="75"/>
      <c r="AA112" s="75"/>
      <c r="AB112" s="1358"/>
    </row>
    <row r="113" spans="1:28" x14ac:dyDescent="0.4">
      <c r="A113" s="1339"/>
      <c r="B113" s="1360" t="s">
        <v>1546</v>
      </c>
      <c r="C113" s="75"/>
      <c r="D113" s="75"/>
      <c r="E113" s="75"/>
      <c r="F113" s="75"/>
      <c r="G113" s="1221"/>
      <c r="H113" s="75"/>
      <c r="I113" s="75"/>
      <c r="J113" s="75"/>
      <c r="K113" s="1306"/>
      <c r="L113" s="628"/>
      <c r="M113" s="628">
        <f>+$M$110*Assum!J127</f>
        <v>0.36032985002972473</v>
      </c>
      <c r="N113" s="628"/>
      <c r="O113" s="628"/>
      <c r="P113" s="628"/>
      <c r="Q113" s="628">
        <f>+G113*M113/10</f>
        <v>0</v>
      </c>
      <c r="R113" s="628"/>
      <c r="S113" s="628"/>
      <c r="T113" s="628"/>
      <c r="U113" s="628"/>
      <c r="V113" s="75"/>
      <c r="W113" s="628"/>
      <c r="X113" s="1221"/>
      <c r="Y113" s="75"/>
      <c r="Z113" s="75"/>
      <c r="AA113" s="75"/>
      <c r="AB113" s="1358"/>
    </row>
    <row r="114" spans="1:28" x14ac:dyDescent="0.4">
      <c r="A114" s="1339"/>
      <c r="B114" s="1360" t="s">
        <v>1549</v>
      </c>
      <c r="C114" s="75"/>
      <c r="D114" s="75"/>
      <c r="E114" s="75"/>
      <c r="F114" s="75"/>
      <c r="G114" s="1221"/>
      <c r="H114" s="75"/>
      <c r="I114" s="75"/>
      <c r="J114" s="75"/>
      <c r="K114" s="1306"/>
      <c r="L114" s="628"/>
      <c r="M114" s="628">
        <f>+$M$110*Assum!J128</f>
        <v>0.28906058753531122</v>
      </c>
      <c r="N114" s="628"/>
      <c r="O114" s="628"/>
      <c r="P114" s="628"/>
      <c r="Q114" s="628">
        <f>+G114*M114/10</f>
        <v>0</v>
      </c>
      <c r="R114" s="628"/>
      <c r="S114" s="628"/>
      <c r="T114" s="628"/>
      <c r="U114" s="628"/>
      <c r="V114" s="75"/>
      <c r="W114" s="628"/>
      <c r="X114" s="1221"/>
      <c r="Y114" s="75"/>
      <c r="Z114" s="75"/>
      <c r="AA114" s="75"/>
      <c r="AB114" s="1358"/>
    </row>
    <row r="115" spans="1:28" s="6" customFormat="1" ht="25.5" x14ac:dyDescent="0.35">
      <c r="B115" s="1363" t="s">
        <v>1135</v>
      </c>
      <c r="C115" s="128">
        <f>+'F13.3'!C115</f>
        <v>1</v>
      </c>
      <c r="D115" s="128">
        <v>700</v>
      </c>
      <c r="E115" s="128"/>
      <c r="F115" s="1365">
        <f>+'Tariff Schedule'!O26</f>
        <v>5.42</v>
      </c>
      <c r="G115" s="128"/>
      <c r="H115" s="1365">
        <v>1.63</v>
      </c>
      <c r="I115" s="128"/>
      <c r="J115" s="128"/>
      <c r="K115" s="1336">
        <v>19</v>
      </c>
      <c r="L115" s="630">
        <f>+'F1 Non-SEZ'!L29</f>
        <v>2.557653084448705E-2</v>
      </c>
      <c r="M115" s="630">
        <f>+L115/AB115</f>
        <v>2.6098500861721479E-2</v>
      </c>
      <c r="N115" s="630">
        <f>+C115*D115*12/10^7</f>
        <v>8.4000000000000003E-4</v>
      </c>
      <c r="O115" s="630"/>
      <c r="P115" s="630">
        <f>+L115*F115/10</f>
        <v>1.3862479717711981E-2</v>
      </c>
      <c r="Q115" s="630"/>
      <c r="R115" s="630">
        <f>(L115*H115)/10</f>
        <v>4.1689745276513885E-3</v>
      </c>
      <c r="S115" s="630"/>
      <c r="T115" s="630"/>
      <c r="U115" s="630">
        <f>SUM(N115:T115)</f>
        <v>1.8871454245363371E-2</v>
      </c>
      <c r="V115" s="128"/>
      <c r="W115" s="630">
        <f>+U115+V115</f>
        <v>1.8871454245363371E-2</v>
      </c>
      <c r="X115" s="1222">
        <f>IFERROR(W115/L115*10,0)</f>
        <v>7.3784260891781814</v>
      </c>
      <c r="Y115" s="128"/>
      <c r="Z115" s="128"/>
      <c r="AA115" s="128"/>
      <c r="AB115" s="1366">
        <f>+'Tariff Schedule'!X26</f>
        <v>0.98</v>
      </c>
    </row>
    <row r="116" spans="1:28"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128"/>
      <c r="AA116" s="128"/>
      <c r="AB116" s="3"/>
    </row>
    <row r="117" spans="1:28" s="6" customFormat="1" ht="25.5" x14ac:dyDescent="0.35">
      <c r="A117" s="1364">
        <f>+'F14.2'!A117</f>
        <v>0.4</v>
      </c>
      <c r="B117" s="1363" t="s">
        <v>1142</v>
      </c>
      <c r="C117" s="128">
        <f>+'F13.3'!C117</f>
        <v>10</v>
      </c>
      <c r="D117" s="128"/>
      <c r="E117" s="128">
        <v>0</v>
      </c>
      <c r="F117" s="1365">
        <f>+'Tariff Schedule'!O36</f>
        <v>6.86</v>
      </c>
      <c r="G117" s="128"/>
      <c r="H117" s="1365">
        <v>1.55</v>
      </c>
      <c r="I117" s="128"/>
      <c r="J117" s="128"/>
      <c r="K117" s="1336">
        <v>105</v>
      </c>
      <c r="L117" s="630">
        <f>+'F1 Non-SEZ'!L31</f>
        <v>2.0388311031803674E-2</v>
      </c>
      <c r="M117" s="630">
        <f>+L117/AB117</f>
        <v>2.0559641376608748E-2</v>
      </c>
      <c r="N117" s="630"/>
      <c r="O117" s="630">
        <f>(K117*E117)*12/10^7*A117</f>
        <v>0</v>
      </c>
      <c r="P117" s="630">
        <f>+M117*F117/10</f>
        <v>1.4103913984353603E-2</v>
      </c>
      <c r="Q117" s="630">
        <f>SUM(Q118:Q121)</f>
        <v>0</v>
      </c>
      <c r="R117" s="630">
        <f>(M117*H117)/10</f>
        <v>3.186744413374356E-3</v>
      </c>
      <c r="S117" s="630"/>
      <c r="T117" s="630"/>
      <c r="U117" s="630">
        <f>SUM(N117:T117)</f>
        <v>1.7290658397727959E-2</v>
      </c>
      <c r="V117" s="128"/>
      <c r="W117" s="630">
        <f>+U117+V117</f>
        <v>1.7290658397727959E-2</v>
      </c>
      <c r="X117" s="1222">
        <f>IFERROR(W117/L117*10,0)</f>
        <v>8.4806722689075649</v>
      </c>
      <c r="Y117" s="128"/>
      <c r="Z117" s="128"/>
      <c r="AA117" s="128"/>
      <c r="AB117" s="1366">
        <f>+'Tariff Schedule'!X36</f>
        <v>0.99166666666666659</v>
      </c>
    </row>
    <row r="118" spans="1:28" x14ac:dyDescent="0.4">
      <c r="A118" s="1339"/>
      <c r="B118" s="1360" t="s">
        <v>1544</v>
      </c>
      <c r="C118" s="75"/>
      <c r="D118" s="75"/>
      <c r="E118" s="75"/>
      <c r="F118" s="75"/>
      <c r="G118" s="1221"/>
      <c r="H118" s="75"/>
      <c r="I118" s="75"/>
      <c r="J118" s="75"/>
      <c r="K118" s="1306"/>
      <c r="L118" s="628"/>
      <c r="M118" s="628">
        <f>+$M$117*Assum!K125</f>
        <v>8.2952814692777363E-3</v>
      </c>
      <c r="N118" s="628"/>
      <c r="O118" s="628"/>
      <c r="P118" s="628"/>
      <c r="Q118" s="628">
        <f>+G118*M118/10</f>
        <v>0</v>
      </c>
      <c r="R118" s="628"/>
      <c r="S118" s="628"/>
      <c r="T118" s="628"/>
      <c r="U118" s="628"/>
      <c r="V118" s="75"/>
      <c r="W118" s="628"/>
      <c r="X118" s="1221"/>
      <c r="Y118" s="75"/>
      <c r="Z118" s="75"/>
      <c r="AA118" s="75"/>
      <c r="AB118" s="1358"/>
    </row>
    <row r="119" spans="1:28" x14ac:dyDescent="0.4">
      <c r="A119" s="1339"/>
      <c r="B119" s="1360" t="s">
        <v>1545</v>
      </c>
      <c r="C119" s="75"/>
      <c r="D119" s="75"/>
      <c r="E119" s="75"/>
      <c r="F119" s="75"/>
      <c r="G119" s="1221"/>
      <c r="H119" s="75"/>
      <c r="I119" s="75"/>
      <c r="J119" s="75"/>
      <c r="K119" s="1306"/>
      <c r="L119" s="628"/>
      <c r="M119" s="628">
        <f>+$M$117*Assum!K126</f>
        <v>1.5790116566466615E-3</v>
      </c>
      <c r="N119" s="628"/>
      <c r="O119" s="628"/>
      <c r="P119" s="628"/>
      <c r="Q119" s="628">
        <f>+G119*M119/10</f>
        <v>0</v>
      </c>
      <c r="R119" s="628"/>
      <c r="S119" s="628"/>
      <c r="T119" s="628"/>
      <c r="U119" s="628"/>
      <c r="V119" s="75"/>
      <c r="W119" s="628"/>
      <c r="X119" s="1221"/>
      <c r="Y119" s="75"/>
      <c r="Z119" s="75"/>
      <c r="AA119" s="75"/>
      <c r="AB119" s="1358"/>
    </row>
    <row r="120" spans="1:28" x14ac:dyDescent="0.4">
      <c r="A120" s="1339"/>
      <c r="B120" s="1360" t="s">
        <v>1546</v>
      </c>
      <c r="C120" s="75"/>
      <c r="D120" s="75"/>
      <c r="E120" s="75"/>
      <c r="F120" s="75"/>
      <c r="G120" s="1221"/>
      <c r="H120" s="75"/>
      <c r="I120" s="75"/>
      <c r="J120" s="75"/>
      <c r="K120" s="1306"/>
      <c r="L120" s="628"/>
      <c r="M120" s="628">
        <f>+$M$117*Assum!K127</f>
        <v>4.6650653193031771E-3</v>
      </c>
      <c r="N120" s="628"/>
      <c r="O120" s="628"/>
      <c r="P120" s="628"/>
      <c r="Q120" s="628">
        <f>+G120*M120/10</f>
        <v>0</v>
      </c>
      <c r="R120" s="628"/>
      <c r="S120" s="628"/>
      <c r="T120" s="628"/>
      <c r="U120" s="628"/>
      <c r="V120" s="75"/>
      <c r="W120" s="628"/>
      <c r="X120" s="1221"/>
      <c r="Y120" s="75"/>
      <c r="Z120" s="75"/>
      <c r="AA120" s="75"/>
      <c r="AB120" s="1358"/>
    </row>
    <row r="121" spans="1:28" x14ac:dyDescent="0.4">
      <c r="A121" s="1339"/>
      <c r="B121" s="1360" t="s">
        <v>1549</v>
      </c>
      <c r="C121" s="75"/>
      <c r="D121" s="75"/>
      <c r="E121" s="75"/>
      <c r="F121" s="75"/>
      <c r="G121" s="1221"/>
      <c r="H121" s="75"/>
      <c r="I121" s="75"/>
      <c r="J121" s="75"/>
      <c r="K121" s="1306"/>
      <c r="L121" s="628"/>
      <c r="M121" s="628">
        <f>+$M$117*Assum!K128</f>
        <v>6.0202829313811728E-3</v>
      </c>
      <c r="N121" s="628"/>
      <c r="O121" s="628"/>
      <c r="P121" s="628"/>
      <c r="Q121" s="628">
        <f>+G121*M121/10</f>
        <v>0</v>
      </c>
      <c r="R121" s="628"/>
      <c r="S121" s="628"/>
      <c r="T121" s="628"/>
      <c r="U121" s="628"/>
      <c r="V121" s="75"/>
      <c r="W121" s="628"/>
      <c r="X121" s="1221"/>
      <c r="Y121" s="75"/>
      <c r="Z121" s="75"/>
      <c r="AA121" s="75"/>
      <c r="AB121" s="1358"/>
    </row>
    <row r="122" spans="1:28" x14ac:dyDescent="0.4">
      <c r="B122" s="518" t="s">
        <v>162</v>
      </c>
      <c r="C122" s="1308">
        <f>SUM(C93:C117)</f>
        <v>2781</v>
      </c>
      <c r="D122" s="1310"/>
      <c r="E122" s="1310"/>
      <c r="F122" s="1310"/>
      <c r="G122" s="1310"/>
      <c r="H122" s="1310"/>
      <c r="I122" s="1310"/>
      <c r="J122" s="1310"/>
      <c r="K122" s="1336">
        <f>+K100+K105+K110+K115+K117</f>
        <v>737</v>
      </c>
      <c r="L122" s="630">
        <f t="shared" ref="L122:W122" si="6">+L92+L99+L100+L105+L110+L115+L117</f>
        <v>10.741054633202797</v>
      </c>
      <c r="M122" s="630">
        <f t="shared" si="6"/>
        <v>10.777178120477181</v>
      </c>
      <c r="N122" s="630">
        <f t="shared" si="6"/>
        <v>1.463112</v>
      </c>
      <c r="O122" s="630">
        <f t="shared" si="6"/>
        <v>0.14806800000000003</v>
      </c>
      <c r="P122" s="630">
        <f t="shared" si="6"/>
        <v>11.412864293600917</v>
      </c>
      <c r="Q122" s="630">
        <f t="shared" si="6"/>
        <v>0</v>
      </c>
      <c r="R122" s="630">
        <f t="shared" si="6"/>
        <v>1.7411081657195611</v>
      </c>
      <c r="S122" s="630">
        <f t="shared" si="6"/>
        <v>0</v>
      </c>
      <c r="T122" s="630">
        <f t="shared" si="6"/>
        <v>0</v>
      </c>
      <c r="U122" s="630">
        <f t="shared" si="6"/>
        <v>14.765152459320477</v>
      </c>
      <c r="V122" s="630">
        <f t="shared" si="6"/>
        <v>0</v>
      </c>
      <c r="W122" s="630">
        <f t="shared" si="6"/>
        <v>14.765152459320477</v>
      </c>
      <c r="X122" s="1222">
        <f>IFERROR(W122/L122*10,0)</f>
        <v>13.746464349672305</v>
      </c>
      <c r="Y122" s="75"/>
      <c r="Z122" s="75"/>
      <c r="AA122" s="75"/>
      <c r="AB122" s="2"/>
    </row>
    <row r="123" spans="1:28"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75"/>
      <c r="AA123" s="75"/>
      <c r="AB123" s="2"/>
    </row>
    <row r="124" spans="1:28" x14ac:dyDescent="0.4">
      <c r="B124" s="119" t="s">
        <v>164</v>
      </c>
      <c r="C124" s="1308">
        <f>+C122+C90</f>
        <v>2785</v>
      </c>
      <c r="D124" s="1309"/>
      <c r="E124" s="1309"/>
      <c r="F124" s="1309"/>
      <c r="G124" s="1309"/>
      <c r="H124" s="1309"/>
      <c r="I124" s="1309"/>
      <c r="J124" s="1309"/>
      <c r="K124" s="1336">
        <f t="shared" ref="K124:W124" si="7">+K122+K90</f>
        <v>1423</v>
      </c>
      <c r="L124" s="630">
        <f t="shared" si="7"/>
        <v>11.637146501234428</v>
      </c>
      <c r="M124" s="630">
        <f t="shared" si="7"/>
        <v>12.602127531632233</v>
      </c>
      <c r="N124" s="630">
        <f t="shared" si="7"/>
        <v>1.463112</v>
      </c>
      <c r="O124" s="630">
        <f t="shared" si="7"/>
        <v>0.6068340000000001</v>
      </c>
      <c r="P124" s="630">
        <f t="shared" si="7"/>
        <v>12.408135659188018</v>
      </c>
      <c r="Q124" s="630">
        <f t="shared" si="7"/>
        <v>0</v>
      </c>
      <c r="R124" s="630">
        <f t="shared" si="7"/>
        <v>1.8159310915769182</v>
      </c>
      <c r="S124" s="630">
        <f t="shared" si="7"/>
        <v>0</v>
      </c>
      <c r="T124" s="630">
        <f t="shared" si="7"/>
        <v>0</v>
      </c>
      <c r="U124" s="630">
        <f t="shared" si="7"/>
        <v>16.294012750764935</v>
      </c>
      <c r="V124" s="1309">
        <f t="shared" si="7"/>
        <v>0</v>
      </c>
      <c r="W124" s="630">
        <f t="shared" si="7"/>
        <v>16.294012750764935</v>
      </c>
      <c r="X124" s="1222">
        <f>IFERROR(W124/L124*10,0)</f>
        <v>14.001725207323396</v>
      </c>
      <c r="Y124" s="75"/>
      <c r="Z124" s="75"/>
      <c r="AA124" s="75"/>
      <c r="AB124" s="2"/>
    </row>
    <row r="125" spans="1:28" x14ac:dyDescent="0.4">
      <c r="AB125" s="2"/>
    </row>
    <row r="126" spans="1:28" x14ac:dyDescent="0.4">
      <c r="B126" s="131" t="s">
        <v>746</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c r="Z126" s="103"/>
      <c r="AA126" s="103"/>
    </row>
    <row r="127" spans="1:28" x14ac:dyDescent="0.4">
      <c r="B127" s="131" t="s">
        <v>1605</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c r="Z127" s="103"/>
      <c r="AA127" s="103"/>
    </row>
    <row r="128" spans="1:28"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c r="Z128" s="103"/>
      <c r="AA128" s="103"/>
    </row>
    <row r="129" spans="2:28"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06"/>
      <c r="AA129" s="106"/>
      <c r="AB129" s="1947" t="s">
        <v>1570</v>
      </c>
    </row>
    <row r="130" spans="2:28"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06"/>
      <c r="AA130" s="106"/>
      <c r="AB130" s="1947"/>
    </row>
    <row r="131" spans="2:28"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80"/>
      <c r="AA131" s="80"/>
      <c r="AB131" s="2"/>
    </row>
    <row r="132" spans="2:28" x14ac:dyDescent="0.4">
      <c r="B132" s="429" t="s">
        <v>1129</v>
      </c>
      <c r="C132" s="75">
        <f>+C13+C78</f>
        <v>5</v>
      </c>
      <c r="D132" s="75"/>
      <c r="E132" s="75"/>
      <c r="F132" s="75"/>
      <c r="G132" s="75"/>
      <c r="H132" s="75"/>
      <c r="I132" s="75"/>
      <c r="J132" s="75"/>
      <c r="K132" s="1306">
        <f t="shared" ref="K132:T132" si="8">+K13+K78</f>
        <v>30211</v>
      </c>
      <c r="L132" s="628">
        <f t="shared" si="8"/>
        <v>203.31539899999999</v>
      </c>
      <c r="M132" s="628">
        <f t="shared" si="8"/>
        <v>205.36908989898987</v>
      </c>
      <c r="N132" s="628">
        <f t="shared" si="8"/>
        <v>0</v>
      </c>
      <c r="O132" s="628">
        <f t="shared" si="8"/>
        <v>22.839516</v>
      </c>
      <c r="P132" s="628">
        <f t="shared" si="8"/>
        <v>104.7796756242424</v>
      </c>
      <c r="Q132" s="628">
        <f t="shared" si="8"/>
        <v>0</v>
      </c>
      <c r="R132" s="628">
        <f t="shared" ca="1" si="8"/>
        <v>40.383631045913909</v>
      </c>
      <c r="S132" s="628">
        <f t="shared" si="8"/>
        <v>0</v>
      </c>
      <c r="T132" s="628">
        <f t="shared" si="8"/>
        <v>0</v>
      </c>
      <c r="U132" s="628">
        <f ca="1">SUM(N132:T132)</f>
        <v>168.00282267015632</v>
      </c>
      <c r="V132" s="75"/>
      <c r="W132" s="628">
        <f ca="1">+U132+V132</f>
        <v>168.00282267015632</v>
      </c>
      <c r="X132" s="1221">
        <f ca="1">IFERROR(W132/L132*10,0)</f>
        <v>8.2631627263095968</v>
      </c>
      <c r="Y132" s="75"/>
      <c r="Z132" s="75"/>
      <c r="AA132" s="75"/>
      <c r="AB132" s="2"/>
    </row>
    <row r="133" spans="2:28" x14ac:dyDescent="0.4">
      <c r="B133" s="429" t="s">
        <v>1130</v>
      </c>
      <c r="C133" s="75">
        <f>+C18+C83</f>
        <v>4</v>
      </c>
      <c r="D133" s="75"/>
      <c r="E133" s="75"/>
      <c r="F133" s="75"/>
      <c r="G133" s="75"/>
      <c r="H133" s="75"/>
      <c r="I133" s="75"/>
      <c r="J133" s="75"/>
      <c r="K133" s="1306">
        <f t="shared" ref="K133:T133" si="9">+K18+K83</f>
        <v>515</v>
      </c>
      <c r="L133" s="628">
        <f t="shared" si="9"/>
        <v>0.74714683451741559</v>
      </c>
      <c r="M133" s="628">
        <f t="shared" si="9"/>
        <v>0.76239472909940376</v>
      </c>
      <c r="N133" s="628">
        <f t="shared" si="9"/>
        <v>0</v>
      </c>
      <c r="O133" s="628">
        <f t="shared" si="9"/>
        <v>0.32445000000000002</v>
      </c>
      <c r="P133" s="628">
        <f t="shared" si="9"/>
        <v>0.87326637701605303</v>
      </c>
      <c r="Q133" s="628">
        <f t="shared" si="9"/>
        <v>0</v>
      </c>
      <c r="R133" s="628">
        <f t="shared" ca="1" si="9"/>
        <v>6.6714339653967489E-2</v>
      </c>
      <c r="S133" s="628">
        <f t="shared" si="9"/>
        <v>0</v>
      </c>
      <c r="T133" s="628">
        <f t="shared" si="9"/>
        <v>0</v>
      </c>
      <c r="U133" s="628">
        <f ca="1">SUM(N133:T133)</f>
        <v>1.2644307166700206</v>
      </c>
      <c r="V133" s="75"/>
      <c r="W133" s="628">
        <f ca="1">+U133+V133</f>
        <v>1.2644307166700206</v>
      </c>
      <c r="X133" s="1221">
        <f ca="1">IFERROR(W133/L133*10,0)</f>
        <v>16.923456785930441</v>
      </c>
      <c r="Y133" s="75"/>
      <c r="Z133" s="75"/>
      <c r="AA133" s="75"/>
      <c r="AB133" s="2"/>
    </row>
    <row r="134" spans="2:28"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75"/>
      <c r="AA134" s="75"/>
      <c r="AB134" s="2"/>
    </row>
    <row r="135" spans="2:28"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75"/>
      <c r="AA135" s="75"/>
      <c r="AB135" s="2"/>
    </row>
    <row r="136" spans="2:28" x14ac:dyDescent="0.4">
      <c r="B136" s="518" t="s">
        <v>162</v>
      </c>
      <c r="C136" s="128">
        <f>SUM(C132:C135)</f>
        <v>9</v>
      </c>
      <c r="D136" s="1309"/>
      <c r="E136" s="1309"/>
      <c r="F136" s="1309"/>
      <c r="G136" s="1309"/>
      <c r="H136" s="1309"/>
      <c r="I136" s="1309"/>
      <c r="J136" s="1309"/>
      <c r="K136" s="1336">
        <f t="shared" ref="K136:W136" si="10">SUM(K132:K135)</f>
        <v>30726</v>
      </c>
      <c r="L136" s="630">
        <f t="shared" si="10"/>
        <v>204.06254583451741</v>
      </c>
      <c r="M136" s="630">
        <f t="shared" si="10"/>
        <v>206.13148462808928</v>
      </c>
      <c r="N136" s="630">
        <f t="shared" si="10"/>
        <v>0</v>
      </c>
      <c r="O136" s="630">
        <f t="shared" si="10"/>
        <v>23.163965999999999</v>
      </c>
      <c r="P136" s="630">
        <f t="shared" si="10"/>
        <v>105.65294200125845</v>
      </c>
      <c r="Q136" s="630">
        <f t="shared" si="10"/>
        <v>0</v>
      </c>
      <c r="R136" s="630">
        <f t="shared" ca="1" si="10"/>
        <v>40.450345385567879</v>
      </c>
      <c r="S136" s="630">
        <f t="shared" si="10"/>
        <v>0</v>
      </c>
      <c r="T136" s="630">
        <f t="shared" si="10"/>
        <v>0</v>
      </c>
      <c r="U136" s="630">
        <f t="shared" ca="1" si="10"/>
        <v>169.26725338682635</v>
      </c>
      <c r="V136" s="1309">
        <f t="shared" si="10"/>
        <v>0</v>
      </c>
      <c r="W136" s="630">
        <f t="shared" ca="1" si="10"/>
        <v>169.26725338682635</v>
      </c>
      <c r="X136" s="1221">
        <f ca="1">IFERROR(W136/L136*10,0)</f>
        <v>8.2948711971912772</v>
      </c>
      <c r="Y136" s="75"/>
      <c r="Z136" s="75"/>
      <c r="AA136" s="75"/>
      <c r="AB136" s="2"/>
    </row>
    <row r="137" spans="2:28"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75"/>
      <c r="AA137" s="75"/>
      <c r="AB137" s="2"/>
    </row>
    <row r="138" spans="2:28" x14ac:dyDescent="0.4">
      <c r="B138" s="519" t="s">
        <v>1133</v>
      </c>
      <c r="C138" s="75"/>
      <c r="D138" s="75"/>
      <c r="E138" s="75"/>
      <c r="F138" s="75"/>
      <c r="G138" s="75"/>
      <c r="H138" s="75"/>
      <c r="I138" s="75"/>
      <c r="J138" s="75"/>
      <c r="K138" s="1306"/>
      <c r="L138" s="628"/>
      <c r="M138" s="628"/>
      <c r="N138" s="628"/>
      <c r="O138" s="628"/>
      <c r="P138" s="628"/>
      <c r="Q138" s="628"/>
      <c r="R138" s="628"/>
      <c r="S138" s="628"/>
      <c r="T138" s="628"/>
      <c r="U138" s="628"/>
      <c r="V138" s="75"/>
      <c r="W138" s="628"/>
      <c r="X138" s="75"/>
      <c r="Y138" s="75"/>
      <c r="Z138" s="75"/>
      <c r="AA138" s="75"/>
      <c r="AB138" s="2"/>
    </row>
    <row r="139" spans="2:28" x14ac:dyDescent="0.4">
      <c r="B139" s="520" t="s">
        <v>1106</v>
      </c>
      <c r="C139" s="75">
        <f>+C28+C93</f>
        <v>1558</v>
      </c>
      <c r="D139" s="75"/>
      <c r="E139" s="75"/>
      <c r="F139" s="75"/>
      <c r="G139" s="75"/>
      <c r="H139" s="75"/>
      <c r="I139" s="75"/>
      <c r="J139" s="75"/>
      <c r="K139" s="1306">
        <f t="shared" ref="K139:T139" si="11">+K28+K93</f>
        <v>0</v>
      </c>
      <c r="L139" s="628">
        <f t="shared" si="11"/>
        <v>2.0022014349328505</v>
      </c>
      <c r="M139" s="628">
        <f t="shared" si="11"/>
        <v>2.0022014349328505</v>
      </c>
      <c r="N139" s="628">
        <f t="shared" si="11"/>
        <v>0.82262400000000002</v>
      </c>
      <c r="O139" s="628">
        <f t="shared" si="11"/>
        <v>0</v>
      </c>
      <c r="P139" s="628">
        <f t="shared" si="11"/>
        <v>0.67674408500730343</v>
      </c>
      <c r="Q139" s="628">
        <f t="shared" si="11"/>
        <v>0</v>
      </c>
      <c r="R139" s="628">
        <f t="shared" si="11"/>
        <v>0.32635883389405462</v>
      </c>
      <c r="S139" s="628">
        <f t="shared" si="11"/>
        <v>0</v>
      </c>
      <c r="T139" s="628">
        <f t="shared" si="11"/>
        <v>0</v>
      </c>
      <c r="U139" s="628">
        <f>SUM(N139:T139)</f>
        <v>1.8257269189013581</v>
      </c>
      <c r="V139" s="75"/>
      <c r="W139" s="628">
        <f>+U139+V139</f>
        <v>1.8257269189013581</v>
      </c>
      <c r="X139" s="1221">
        <f>IFERROR(W139/L139*10,0)</f>
        <v>9.1185975948648199</v>
      </c>
      <c r="Y139" s="75"/>
      <c r="Z139" s="75"/>
      <c r="AA139" s="75"/>
      <c r="AB139" s="2"/>
    </row>
    <row r="140" spans="2:28" x14ac:dyDescent="0.4">
      <c r="B140" s="520" t="s">
        <v>1107</v>
      </c>
      <c r="C140" s="75">
        <f>+C29+C94</f>
        <v>605</v>
      </c>
      <c r="D140" s="75"/>
      <c r="E140" s="75"/>
      <c r="F140" s="75"/>
      <c r="G140" s="75"/>
      <c r="H140" s="75"/>
      <c r="I140" s="75"/>
      <c r="J140" s="75"/>
      <c r="K140" s="1306">
        <f t="shared" ref="K140:T140" si="12">+K29+K94</f>
        <v>0</v>
      </c>
      <c r="L140" s="628">
        <f t="shared" si="12"/>
        <v>1.9389082816511376</v>
      </c>
      <c r="M140" s="628">
        <f t="shared" si="12"/>
        <v>1.9389082816511376</v>
      </c>
      <c r="N140" s="628">
        <f t="shared" si="12"/>
        <v>0.31944</v>
      </c>
      <c r="O140" s="628">
        <f t="shared" si="12"/>
        <v>0</v>
      </c>
      <c r="P140" s="628">
        <f t="shared" si="12"/>
        <v>1.8380850510052784</v>
      </c>
      <c r="Q140" s="628">
        <f t="shared" si="12"/>
        <v>0</v>
      </c>
      <c r="R140" s="628">
        <f t="shared" si="12"/>
        <v>0.31604204990913543</v>
      </c>
      <c r="S140" s="628">
        <f t="shared" si="12"/>
        <v>0</v>
      </c>
      <c r="T140" s="628">
        <f t="shared" si="12"/>
        <v>0</v>
      </c>
      <c r="U140" s="628">
        <f>SUM(N140:T140)</f>
        <v>2.4735671009144138</v>
      </c>
      <c r="V140" s="75"/>
      <c r="W140" s="628">
        <f>+U140+V140</f>
        <v>2.4735671009144138</v>
      </c>
      <c r="X140" s="1221">
        <f>IFERROR(W140/L140*10,0)</f>
        <v>12.757525068735953</v>
      </c>
      <c r="Y140" s="75"/>
      <c r="Z140" s="75"/>
      <c r="AA140" s="75"/>
      <c r="AB140" s="2"/>
    </row>
    <row r="141" spans="2:28" x14ac:dyDescent="0.4">
      <c r="B141" s="520" t="s">
        <v>1108</v>
      </c>
      <c r="C141" s="75">
        <f>+C30+C95</f>
        <v>322</v>
      </c>
      <c r="D141" s="75"/>
      <c r="E141" s="75"/>
      <c r="F141" s="75"/>
      <c r="G141" s="75"/>
      <c r="H141" s="75"/>
      <c r="I141" s="75"/>
      <c r="J141" s="75"/>
      <c r="K141" s="1306">
        <f t="shared" ref="K141:T141" si="13">+K30+K95</f>
        <v>0</v>
      </c>
      <c r="L141" s="628">
        <f t="shared" si="13"/>
        <v>0.67911633672838123</v>
      </c>
      <c r="M141" s="628">
        <f t="shared" si="13"/>
        <v>0.67911633672838123</v>
      </c>
      <c r="N141" s="628">
        <f t="shared" si="13"/>
        <v>0.170016</v>
      </c>
      <c r="O141" s="628">
        <f t="shared" si="13"/>
        <v>0</v>
      </c>
      <c r="P141" s="628">
        <f t="shared" si="13"/>
        <v>0.89507533180800647</v>
      </c>
      <c r="Q141" s="628">
        <f t="shared" si="13"/>
        <v>0</v>
      </c>
      <c r="R141" s="628">
        <f t="shared" si="13"/>
        <v>0.11069596288672615</v>
      </c>
      <c r="S141" s="628">
        <f t="shared" si="13"/>
        <v>0</v>
      </c>
      <c r="T141" s="628">
        <f t="shared" si="13"/>
        <v>0</v>
      </c>
      <c r="U141" s="628">
        <f>SUM(N141:T141)</f>
        <v>1.1757872946947325</v>
      </c>
      <c r="V141" s="75"/>
      <c r="W141" s="628">
        <f>+U141+V141</f>
        <v>1.1757872946947325</v>
      </c>
      <c r="X141" s="1221">
        <f>IFERROR(W141/L141*10,0)</f>
        <v>17.313488589584605</v>
      </c>
      <c r="Y141" s="75"/>
      <c r="Z141" s="75"/>
      <c r="AA141" s="75"/>
      <c r="AB141" s="2"/>
    </row>
    <row r="142" spans="2:28" x14ac:dyDescent="0.4">
      <c r="B142" s="520" t="s">
        <v>1109</v>
      </c>
      <c r="C142" s="75">
        <f>+C31+C96</f>
        <v>231</v>
      </c>
      <c r="D142" s="75"/>
      <c r="E142" s="75"/>
      <c r="F142" s="75"/>
      <c r="G142" s="75"/>
      <c r="H142" s="75"/>
      <c r="I142" s="75"/>
      <c r="J142" s="75"/>
      <c r="K142" s="1306">
        <f t="shared" ref="K142:T142" si="14">+K31+K96</f>
        <v>0</v>
      </c>
      <c r="L142" s="628">
        <f t="shared" si="14"/>
        <v>3.991639327491681</v>
      </c>
      <c r="M142" s="628">
        <f t="shared" si="14"/>
        <v>3.991639327491681</v>
      </c>
      <c r="N142" s="628">
        <f t="shared" si="14"/>
        <v>0.12196799999999999</v>
      </c>
      <c r="O142" s="628">
        <f t="shared" si="14"/>
        <v>0</v>
      </c>
      <c r="P142" s="628">
        <f t="shared" si="14"/>
        <v>6.1750660396296313</v>
      </c>
      <c r="Q142" s="628">
        <f t="shared" si="14"/>
        <v>0</v>
      </c>
      <c r="R142" s="628">
        <f t="shared" si="14"/>
        <v>0.65063721038114397</v>
      </c>
      <c r="S142" s="628">
        <f t="shared" si="14"/>
        <v>0</v>
      </c>
      <c r="T142" s="628">
        <f t="shared" si="14"/>
        <v>0</v>
      </c>
      <c r="U142" s="628">
        <f>SUM(N142:T142)</f>
        <v>6.9476712500107753</v>
      </c>
      <c r="V142" s="75"/>
      <c r="W142" s="628">
        <f>+U142+V142</f>
        <v>6.9476712500107753</v>
      </c>
      <c r="X142" s="1221">
        <f>IFERROR(W142/L142*10,0)</f>
        <v>17.405558668990878</v>
      </c>
      <c r="Y142" s="75"/>
      <c r="Z142" s="75"/>
      <c r="AA142" s="75"/>
      <c r="AB142" s="2"/>
    </row>
    <row r="143" spans="2:28" x14ac:dyDescent="0.4">
      <c r="B143" s="520" t="s">
        <v>1110</v>
      </c>
      <c r="C143" s="75"/>
      <c r="D143" s="75"/>
      <c r="E143" s="75"/>
      <c r="F143" s="75"/>
      <c r="G143" s="75"/>
      <c r="H143" s="75"/>
      <c r="I143" s="75"/>
      <c r="J143" s="75"/>
      <c r="K143" s="1306">
        <f t="shared" ref="K143:T143" si="15">+K32+K97</f>
        <v>0</v>
      </c>
      <c r="L143" s="628">
        <f t="shared" si="15"/>
        <v>0</v>
      </c>
      <c r="M143" s="628">
        <f t="shared" si="15"/>
        <v>0</v>
      </c>
      <c r="N143" s="628">
        <f t="shared" si="15"/>
        <v>0</v>
      </c>
      <c r="O143" s="628">
        <f t="shared" si="15"/>
        <v>0</v>
      </c>
      <c r="P143" s="628">
        <f t="shared" si="15"/>
        <v>0</v>
      </c>
      <c r="Q143" s="628">
        <f t="shared" si="15"/>
        <v>0</v>
      </c>
      <c r="R143" s="628">
        <f t="shared" si="15"/>
        <v>0</v>
      </c>
      <c r="S143" s="628">
        <f t="shared" si="15"/>
        <v>0</v>
      </c>
      <c r="T143" s="628">
        <f t="shared" si="15"/>
        <v>0</v>
      </c>
      <c r="U143" s="628"/>
      <c r="V143" s="75"/>
      <c r="W143" s="628"/>
      <c r="X143" s="75"/>
      <c r="Y143" s="75"/>
      <c r="Z143" s="75"/>
      <c r="AA143" s="75"/>
      <c r="AB143" s="2"/>
    </row>
    <row r="144" spans="2:28"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75"/>
      <c r="AA144" s="75"/>
      <c r="AB144" s="2"/>
    </row>
    <row r="145" spans="2:28" x14ac:dyDescent="0.4">
      <c r="B145" s="520" t="s">
        <v>1140</v>
      </c>
      <c r="C145" s="75">
        <f>+C35+C99</f>
        <v>42</v>
      </c>
      <c r="D145" s="75"/>
      <c r="E145" s="75"/>
      <c r="F145" s="75"/>
      <c r="G145" s="75"/>
      <c r="H145" s="75"/>
      <c r="I145" s="75"/>
      <c r="J145" s="75"/>
      <c r="K145" s="1306">
        <f t="shared" ref="K145:T145" si="16">+K35+K99</f>
        <v>0</v>
      </c>
      <c r="L145" s="628">
        <f t="shared" si="16"/>
        <v>0.33636889514339563</v>
      </c>
      <c r="M145" s="628">
        <f t="shared" si="16"/>
        <v>0.34323356647285269</v>
      </c>
      <c r="N145" s="628">
        <f t="shared" si="16"/>
        <v>2.8223999999999999E-2</v>
      </c>
      <c r="O145" s="628">
        <f t="shared" si="16"/>
        <v>0</v>
      </c>
      <c r="P145" s="628">
        <f t="shared" si="16"/>
        <v>0.24891298240611279</v>
      </c>
      <c r="Q145" s="628">
        <f t="shared" si="16"/>
        <v>0</v>
      </c>
      <c r="R145" s="628">
        <f t="shared" si="16"/>
        <v>5.4828129908373477E-2</v>
      </c>
      <c r="S145" s="628">
        <f t="shared" si="16"/>
        <v>0</v>
      </c>
      <c r="T145" s="628">
        <f t="shared" si="16"/>
        <v>0</v>
      </c>
      <c r="U145" s="628">
        <f t="shared" ref="U145:U151" si="17">SUM(N145:T145)</f>
        <v>0.33196511231448628</v>
      </c>
      <c r="V145" s="75"/>
      <c r="W145" s="628">
        <f t="shared" ref="W145:W152" si="18">+U145+V145</f>
        <v>0.33196511231448628</v>
      </c>
      <c r="X145" s="1221">
        <f t="shared" ref="X145:X151" si="19">IFERROR(W145/L145*10,0)</f>
        <v>9.8690787735580603</v>
      </c>
      <c r="Y145" s="75"/>
      <c r="Z145" s="75"/>
      <c r="AA145" s="75"/>
      <c r="AB145" s="2"/>
    </row>
    <row r="146" spans="2:28" x14ac:dyDescent="0.4">
      <c r="B146" s="520" t="s">
        <v>1144</v>
      </c>
      <c r="C146" s="75">
        <f>+C36+C100</f>
        <v>9</v>
      </c>
      <c r="D146" s="75"/>
      <c r="E146" s="75"/>
      <c r="F146" s="75"/>
      <c r="G146" s="75"/>
      <c r="H146" s="75"/>
      <c r="I146" s="75"/>
      <c r="J146" s="75"/>
      <c r="K146" s="1306">
        <f t="shared" ref="K146:T146" si="20">+K36+K100</f>
        <v>383</v>
      </c>
      <c r="L146" s="628">
        <f t="shared" si="20"/>
        <v>0.59091548630067836</v>
      </c>
      <c r="M146" s="628">
        <f t="shared" si="20"/>
        <v>0.59773408250106086</v>
      </c>
      <c r="N146" s="628">
        <f t="shared" si="20"/>
        <v>0</v>
      </c>
      <c r="O146" s="628">
        <f t="shared" si="20"/>
        <v>0.10570800000000001</v>
      </c>
      <c r="P146" s="628">
        <f t="shared" si="20"/>
        <v>0.65033468176115428</v>
      </c>
      <c r="Q146" s="628">
        <f t="shared" si="20"/>
        <v>0</v>
      </c>
      <c r="R146" s="628">
        <f t="shared" si="20"/>
        <v>9.2648782787664447E-2</v>
      </c>
      <c r="S146" s="628">
        <f t="shared" si="20"/>
        <v>0</v>
      </c>
      <c r="T146" s="628">
        <f t="shared" si="20"/>
        <v>0</v>
      </c>
      <c r="U146" s="628">
        <f t="shared" si="17"/>
        <v>0.84869146454881872</v>
      </c>
      <c r="V146" s="75"/>
      <c r="W146" s="628">
        <f t="shared" si="18"/>
        <v>0.84869146454881872</v>
      </c>
      <c r="X146" s="1221">
        <f t="shared" si="19"/>
        <v>14.362315495603291</v>
      </c>
      <c r="Y146" s="75"/>
      <c r="Z146" s="75"/>
      <c r="AA146" s="75"/>
      <c r="AB146" s="2"/>
    </row>
    <row r="147" spans="2:28" x14ac:dyDescent="0.4">
      <c r="B147" s="520" t="s">
        <v>1143</v>
      </c>
      <c r="C147" s="75">
        <f>+C41+C105</f>
        <v>1</v>
      </c>
      <c r="D147" s="75"/>
      <c r="E147" s="75"/>
      <c r="F147" s="75"/>
      <c r="G147" s="75"/>
      <c r="H147" s="75"/>
      <c r="I147" s="75"/>
      <c r="J147" s="75"/>
      <c r="K147" s="1306">
        <f t="shared" ref="K147:T147" si="21">+K41+K105</f>
        <v>70</v>
      </c>
      <c r="L147" s="628">
        <f t="shared" si="21"/>
        <v>0.17597237974843327</v>
      </c>
      <c r="M147" s="628">
        <f t="shared" si="21"/>
        <v>0.17771995934869542</v>
      </c>
      <c r="N147" s="628">
        <f t="shared" si="21"/>
        <v>0</v>
      </c>
      <c r="O147" s="628">
        <f t="shared" si="21"/>
        <v>1.9320000000000004E-2</v>
      </c>
      <c r="P147" s="628">
        <f t="shared" si="21"/>
        <v>0.23370174654353448</v>
      </c>
      <c r="Q147" s="628">
        <f t="shared" si="21"/>
        <v>0</v>
      </c>
      <c r="R147" s="628">
        <f t="shared" si="21"/>
        <v>2.754659369904779E-2</v>
      </c>
      <c r="S147" s="628">
        <f t="shared" si="21"/>
        <v>0</v>
      </c>
      <c r="T147" s="628">
        <f t="shared" si="21"/>
        <v>0</v>
      </c>
      <c r="U147" s="628">
        <f t="shared" si="17"/>
        <v>0.28056834024258226</v>
      </c>
      <c r="V147" s="75"/>
      <c r="W147" s="628">
        <f t="shared" si="18"/>
        <v>0.28056834024258226</v>
      </c>
      <c r="X147" s="1221">
        <f t="shared" si="19"/>
        <v>15.943885093994714</v>
      </c>
      <c r="Y147" s="75"/>
      <c r="Z147" s="75"/>
      <c r="AA147" s="75"/>
      <c r="AB147" s="2"/>
    </row>
    <row r="148" spans="2:28" ht="25.5" x14ac:dyDescent="0.4">
      <c r="B148" s="519" t="s">
        <v>1111</v>
      </c>
      <c r="C148" s="75">
        <f>+C46+C110</f>
        <v>2</v>
      </c>
      <c r="D148" s="75"/>
      <c r="E148" s="75"/>
      <c r="F148" s="75"/>
      <c r="G148" s="75"/>
      <c r="H148" s="75"/>
      <c r="I148" s="75"/>
      <c r="J148" s="75"/>
      <c r="K148" s="1306">
        <f t="shared" ref="K148:T148" si="22">+K46+K110</f>
        <v>160</v>
      </c>
      <c r="L148" s="628">
        <f t="shared" si="22"/>
        <v>0.97996764932994562</v>
      </c>
      <c r="M148" s="628">
        <f t="shared" si="22"/>
        <v>0.9999669891121894</v>
      </c>
      <c r="N148" s="628">
        <f t="shared" si="22"/>
        <v>0</v>
      </c>
      <c r="O148" s="628">
        <f t="shared" si="22"/>
        <v>2.3040000000000001E-2</v>
      </c>
      <c r="P148" s="628">
        <f t="shared" si="22"/>
        <v>0.66697798173783029</v>
      </c>
      <c r="Q148" s="628">
        <f t="shared" si="22"/>
        <v>0</v>
      </c>
      <c r="R148" s="628">
        <f t="shared" si="22"/>
        <v>0.15499488331238936</v>
      </c>
      <c r="S148" s="628">
        <f t="shared" si="22"/>
        <v>0</v>
      </c>
      <c r="T148" s="628">
        <f t="shared" si="22"/>
        <v>0</v>
      </c>
      <c r="U148" s="628">
        <f t="shared" si="17"/>
        <v>0.84501286505021955</v>
      </c>
      <c r="V148" s="75"/>
      <c r="W148" s="628">
        <f t="shared" si="18"/>
        <v>0.84501286505021955</v>
      </c>
      <c r="X148" s="1221">
        <f t="shared" si="19"/>
        <v>8.6228649040404388</v>
      </c>
      <c r="Y148" s="75"/>
      <c r="Z148" s="75"/>
      <c r="AA148" s="75"/>
      <c r="AB148" s="2"/>
    </row>
    <row r="149" spans="2:28" ht="25.5" x14ac:dyDescent="0.4">
      <c r="B149" s="519" t="s">
        <v>1135</v>
      </c>
      <c r="C149" s="75">
        <f>+C51+C115</f>
        <v>2</v>
      </c>
      <c r="D149" s="75"/>
      <c r="E149" s="75"/>
      <c r="F149" s="75"/>
      <c r="G149" s="75"/>
      <c r="H149" s="75"/>
      <c r="I149" s="75"/>
      <c r="J149" s="75"/>
      <c r="K149" s="1306">
        <f t="shared" ref="K149:T149" si="23">+K51+K115</f>
        <v>38</v>
      </c>
      <c r="L149" s="628">
        <f t="shared" si="23"/>
        <v>0.3633750631242687</v>
      </c>
      <c r="M149" s="628">
        <f t="shared" si="23"/>
        <v>0.37079088073904976</v>
      </c>
      <c r="N149" s="628">
        <f t="shared" si="23"/>
        <v>1.6800000000000001E-3</v>
      </c>
      <c r="O149" s="628">
        <f t="shared" si="23"/>
        <v>0</v>
      </c>
      <c r="P149" s="628">
        <f t="shared" si="23"/>
        <v>0.22498656239257553</v>
      </c>
      <c r="Q149" s="628">
        <f t="shared" si="23"/>
        <v>0</v>
      </c>
      <c r="R149" s="628">
        <f t="shared" ca="1" si="23"/>
        <v>7.1984986946204033E-2</v>
      </c>
      <c r="S149" s="628">
        <f t="shared" si="23"/>
        <v>0</v>
      </c>
      <c r="T149" s="628">
        <f t="shared" si="23"/>
        <v>0</v>
      </c>
      <c r="U149" s="628">
        <f t="shared" ca="1" si="17"/>
        <v>0.29865154933877958</v>
      </c>
      <c r="V149" s="75"/>
      <c r="W149" s="628">
        <f t="shared" ca="1" si="18"/>
        <v>0.29865154933877958</v>
      </c>
      <c r="X149" s="1221">
        <f t="shared" ca="1" si="19"/>
        <v>8.2188234594580685</v>
      </c>
      <c r="Y149" s="75"/>
      <c r="Z149" s="75"/>
      <c r="AA149" s="75"/>
      <c r="AB149" s="2"/>
    </row>
    <row r="150" spans="2:28" ht="38.25" x14ac:dyDescent="0.4">
      <c r="B150" s="519" t="s">
        <v>1136</v>
      </c>
      <c r="C150" s="75">
        <f>+C52+C116</f>
        <v>0</v>
      </c>
      <c r="D150" s="75"/>
      <c r="E150" s="75"/>
      <c r="F150" s="75"/>
      <c r="G150" s="75"/>
      <c r="H150" s="75"/>
      <c r="I150" s="75"/>
      <c r="J150" s="75"/>
      <c r="K150" s="1306">
        <f t="shared" ref="K150:T150" si="24">+K52+K116</f>
        <v>0</v>
      </c>
      <c r="L150" s="628">
        <f t="shared" si="24"/>
        <v>0</v>
      </c>
      <c r="M150" s="628">
        <f t="shared" si="24"/>
        <v>0</v>
      </c>
      <c r="N150" s="628">
        <f t="shared" si="24"/>
        <v>0</v>
      </c>
      <c r="O150" s="628">
        <f t="shared" si="24"/>
        <v>0</v>
      </c>
      <c r="P150" s="628">
        <f t="shared" si="24"/>
        <v>0</v>
      </c>
      <c r="Q150" s="628">
        <f t="shared" si="24"/>
        <v>0</v>
      </c>
      <c r="R150" s="628">
        <f t="shared" si="24"/>
        <v>0</v>
      </c>
      <c r="S150" s="628">
        <f t="shared" si="24"/>
        <v>0</v>
      </c>
      <c r="T150" s="628">
        <f t="shared" si="24"/>
        <v>0</v>
      </c>
      <c r="U150" s="628">
        <f t="shared" si="17"/>
        <v>0</v>
      </c>
      <c r="V150" s="75"/>
      <c r="W150" s="628">
        <f t="shared" si="18"/>
        <v>0</v>
      </c>
      <c r="X150" s="1221">
        <f t="shared" si="19"/>
        <v>0</v>
      </c>
      <c r="Y150" s="75"/>
      <c r="Z150" s="75"/>
      <c r="AA150" s="75"/>
      <c r="AB150" s="2"/>
    </row>
    <row r="151" spans="2:28" ht="25.5" x14ac:dyDescent="0.4">
      <c r="B151" s="519" t="s">
        <v>1142</v>
      </c>
      <c r="C151" s="75">
        <f>+C58+C117</f>
        <v>10</v>
      </c>
      <c r="D151" s="75"/>
      <c r="E151" s="75"/>
      <c r="F151" s="75"/>
      <c r="G151" s="75"/>
      <c r="H151" s="75"/>
      <c r="I151" s="75"/>
      <c r="J151" s="75"/>
      <c r="K151" s="1306">
        <f t="shared" ref="K151:T151" si="25">+K58+K117</f>
        <v>105</v>
      </c>
      <c r="L151" s="628">
        <f t="shared" si="25"/>
        <v>2.0388311031803674E-2</v>
      </c>
      <c r="M151" s="628">
        <f t="shared" si="25"/>
        <v>2.0559641376608748E-2</v>
      </c>
      <c r="N151" s="628">
        <f t="shared" si="25"/>
        <v>0</v>
      </c>
      <c r="O151" s="628">
        <f t="shared" si="25"/>
        <v>0</v>
      </c>
      <c r="P151" s="628">
        <f t="shared" si="25"/>
        <v>1.4103913984353603E-2</v>
      </c>
      <c r="Q151" s="628">
        <f t="shared" si="25"/>
        <v>0</v>
      </c>
      <c r="R151" s="628">
        <f t="shared" si="25"/>
        <v>3.186744413374356E-3</v>
      </c>
      <c r="S151" s="628">
        <f t="shared" si="25"/>
        <v>0</v>
      </c>
      <c r="T151" s="628">
        <f t="shared" si="25"/>
        <v>0</v>
      </c>
      <c r="U151" s="628">
        <f t="shared" si="17"/>
        <v>1.7290658397727959E-2</v>
      </c>
      <c r="V151" s="75"/>
      <c r="W151" s="628">
        <f t="shared" si="18"/>
        <v>1.7290658397727959E-2</v>
      </c>
      <c r="X151" s="1221">
        <f t="shared" si="19"/>
        <v>8.4806722689075649</v>
      </c>
      <c r="Y151" s="75"/>
      <c r="Z151" s="75"/>
      <c r="AA151" s="75"/>
      <c r="AB151" s="2"/>
    </row>
    <row r="152" spans="2:28" x14ac:dyDescent="0.4">
      <c r="B152" s="518" t="s">
        <v>162</v>
      </c>
      <c r="C152" s="1308">
        <f>SUM(C139:C151)</f>
        <v>2782</v>
      </c>
      <c r="D152" s="1310"/>
      <c r="E152" s="1310"/>
      <c r="F152" s="1310"/>
      <c r="G152" s="1310"/>
      <c r="H152" s="1310"/>
      <c r="I152" s="1310"/>
      <c r="J152" s="1310"/>
      <c r="K152" s="1336">
        <f t="shared" ref="K152:V152" si="26">SUM(K139:K151)</f>
        <v>756</v>
      </c>
      <c r="L152" s="630">
        <f t="shared" si="26"/>
        <v>11.078853165482577</v>
      </c>
      <c r="M152" s="630">
        <f t="shared" si="26"/>
        <v>11.121870500354509</v>
      </c>
      <c r="N152" s="630">
        <f t="shared" si="26"/>
        <v>1.4639519999999999</v>
      </c>
      <c r="O152" s="630">
        <f t="shared" si="26"/>
        <v>0.14806800000000003</v>
      </c>
      <c r="P152" s="630">
        <f t="shared" si="26"/>
        <v>11.623988376275779</v>
      </c>
      <c r="Q152" s="630">
        <f t="shared" si="26"/>
        <v>0</v>
      </c>
      <c r="R152" s="630">
        <f t="shared" ca="1" si="26"/>
        <v>1.8089241781381138</v>
      </c>
      <c r="S152" s="630">
        <f t="shared" si="26"/>
        <v>0</v>
      </c>
      <c r="T152" s="630">
        <f t="shared" si="26"/>
        <v>0</v>
      </c>
      <c r="U152" s="630">
        <f t="shared" ca="1" si="26"/>
        <v>15.044932554413894</v>
      </c>
      <c r="V152" s="1310">
        <f t="shared" si="26"/>
        <v>0</v>
      </c>
      <c r="W152" s="630">
        <f t="shared" ca="1" si="18"/>
        <v>15.044932554413894</v>
      </c>
      <c r="X152" s="1222">
        <f ca="1">IFERROR(W152/L152*10,0)</f>
        <v>13.579864566928359</v>
      </c>
      <c r="Y152" s="75"/>
      <c r="Z152" s="75"/>
      <c r="AA152" s="75"/>
      <c r="AB152" s="2"/>
    </row>
    <row r="153" spans="2:28"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75"/>
      <c r="AA153" s="75"/>
      <c r="AB153" s="2"/>
    </row>
    <row r="154" spans="2:28" x14ac:dyDescent="0.4">
      <c r="B154" s="119" t="s">
        <v>164</v>
      </c>
      <c r="C154" s="1308">
        <f>+C152+C136</f>
        <v>2791</v>
      </c>
      <c r="D154" s="1309"/>
      <c r="E154" s="1309"/>
      <c r="F154" s="1309"/>
      <c r="G154" s="1309"/>
      <c r="H154" s="1309"/>
      <c r="I154" s="1309"/>
      <c r="J154" s="1309"/>
      <c r="K154" s="1336">
        <f t="shared" ref="K154:W154" si="27">+K152+K136</f>
        <v>31482</v>
      </c>
      <c r="L154" s="630">
        <f t="shared" si="27"/>
        <v>215.14139899999998</v>
      </c>
      <c r="M154" s="630">
        <f t="shared" si="27"/>
        <v>217.25335512844379</v>
      </c>
      <c r="N154" s="630">
        <f t="shared" si="27"/>
        <v>1.4639519999999999</v>
      </c>
      <c r="O154" s="630">
        <f t="shared" si="27"/>
        <v>23.312033999999997</v>
      </c>
      <c r="P154" s="630">
        <f t="shared" si="27"/>
        <v>117.27693037753423</v>
      </c>
      <c r="Q154" s="630">
        <f t="shared" si="27"/>
        <v>0</v>
      </c>
      <c r="R154" s="630">
        <f t="shared" ca="1" si="27"/>
        <v>42.259269563705992</v>
      </c>
      <c r="S154" s="630">
        <f t="shared" si="27"/>
        <v>0</v>
      </c>
      <c r="T154" s="630">
        <f t="shared" si="27"/>
        <v>0</v>
      </c>
      <c r="U154" s="630">
        <f t="shared" ca="1" si="27"/>
        <v>184.31218594124024</v>
      </c>
      <c r="V154" s="1309">
        <f t="shared" si="27"/>
        <v>0</v>
      </c>
      <c r="W154" s="630">
        <f t="shared" ca="1" si="27"/>
        <v>184.31218594124024</v>
      </c>
      <c r="X154" s="1222">
        <f ca="1">IFERROR(W154/L154*10,0)</f>
        <v>8.5670255375275435</v>
      </c>
      <c r="Y154" s="75"/>
      <c r="Z154" s="75"/>
      <c r="AA154" s="75"/>
      <c r="AB154" s="2"/>
    </row>
    <row r="155" spans="2:28" x14ac:dyDescent="0.4">
      <c r="L155" s="561">
        <f>+'F1'!L34-L154</f>
        <v>0</v>
      </c>
      <c r="N155" s="561">
        <f t="shared" ref="N155:W155" si="28">+N65+N124-N154</f>
        <v>0</v>
      </c>
      <c r="O155" s="561">
        <f t="shared" si="28"/>
        <v>0</v>
      </c>
      <c r="P155" s="561">
        <f t="shared" si="28"/>
        <v>0</v>
      </c>
      <c r="Q155" s="561">
        <f t="shared" si="28"/>
        <v>0</v>
      </c>
      <c r="R155" s="561">
        <f t="shared" ca="1" si="28"/>
        <v>0</v>
      </c>
      <c r="S155" s="561">
        <f t="shared" si="28"/>
        <v>0</v>
      </c>
      <c r="T155" s="561">
        <f t="shared" si="28"/>
        <v>0</v>
      </c>
      <c r="U155" s="561">
        <f t="shared" ca="1" si="28"/>
        <v>0</v>
      </c>
      <c r="V155" s="561">
        <f t="shared" si="28"/>
        <v>0</v>
      </c>
      <c r="W155" s="561">
        <f t="shared" ca="1" si="28"/>
        <v>0</v>
      </c>
      <c r="X155" s="561"/>
      <c r="AB155" s="2"/>
    </row>
  </sheetData>
  <mergeCells count="37">
    <mergeCell ref="V129:V130"/>
    <mergeCell ref="W129:W130"/>
    <mergeCell ref="X129:X130"/>
    <mergeCell ref="Y129:Y130"/>
    <mergeCell ref="AB129:AB130"/>
    <mergeCell ref="B129:B130"/>
    <mergeCell ref="C129:C130"/>
    <mergeCell ref="D129:I129"/>
    <mergeCell ref="J129:M129"/>
    <mergeCell ref="N129:U129"/>
    <mergeCell ref="AB10:AB11"/>
    <mergeCell ref="A11:A12"/>
    <mergeCell ref="B75:B76"/>
    <mergeCell ref="C75:C76"/>
    <mergeCell ref="D75:I75"/>
    <mergeCell ref="J75:M75"/>
    <mergeCell ref="N75:U75"/>
    <mergeCell ref="V75:V76"/>
    <mergeCell ref="W75:W76"/>
    <mergeCell ref="X75:X76"/>
    <mergeCell ref="Y75:Y76"/>
    <mergeCell ref="AB75:AB76"/>
    <mergeCell ref="A76:A77"/>
    <mergeCell ref="Z10:Z11"/>
    <mergeCell ref="AA10:AA11"/>
    <mergeCell ref="B2:Y2"/>
    <mergeCell ref="B3:Y3"/>
    <mergeCell ref="B4:Y4"/>
    <mergeCell ref="B10:B11"/>
    <mergeCell ref="C10:C11"/>
    <mergeCell ref="D10:I10"/>
    <mergeCell ref="J10:M10"/>
    <mergeCell ref="N10:U10"/>
    <mergeCell ref="V10:V11"/>
    <mergeCell ref="W10:W11"/>
    <mergeCell ref="X10:X11"/>
    <mergeCell ref="Y10:Y11"/>
  </mergeCells>
  <pageMargins left="0.7" right="0.7" top="0.75" bottom="0.75" header="0.3" footer="0.3"/>
  <pageSetup scale="37" orientation="landscape" r:id="rId1"/>
  <rowBreaks count="2" manualBreakCount="2">
    <brk id="71" min="1" max="25" man="1"/>
    <brk id="125" min="1" max="2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D1BA0-EAE0-48D9-8D97-A2BB8E6C3904}">
  <dimension ref="A2:AC155"/>
  <sheetViews>
    <sheetView showGridLines="0" view="pageBreakPreview" topLeftCell="C149" zoomScale="70" zoomScaleNormal="80" zoomScaleSheetLayoutView="70" workbookViewId="0">
      <selection activeCell="M1" sqref="M1:M1048576"/>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7" width="13.6640625" style="1" customWidth="1"/>
    <col min="28" max="28" width="8.6640625" style="1"/>
    <col min="29" max="29" width="11.6640625" style="1" customWidth="1"/>
    <col min="30" max="30" width="12.46484375" style="1" customWidth="1"/>
    <col min="31" max="16384" width="8.6640625" style="1"/>
  </cols>
  <sheetData>
    <row r="2" spans="1:28"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20"/>
      <c r="AA2" s="120"/>
    </row>
    <row r="3" spans="1:28"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53"/>
      <c r="AA3" s="53"/>
    </row>
    <row r="4" spans="1:28" x14ac:dyDescent="0.4">
      <c r="B4" s="2079" t="s">
        <v>1606</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c r="Z4" s="123"/>
      <c r="AA4" s="123"/>
    </row>
    <row r="5" spans="1:28" x14ac:dyDescent="0.4">
      <c r="B5" s="123"/>
      <c r="C5" s="123"/>
      <c r="D5" s="123"/>
      <c r="E5" s="123"/>
      <c r="F5" s="123"/>
      <c r="G5" s="123"/>
      <c r="H5" s="123"/>
      <c r="I5" s="123"/>
      <c r="J5" s="123"/>
      <c r="K5" s="1332"/>
      <c r="L5" s="1327"/>
      <c r="M5" s="1327"/>
      <c r="N5" s="1327"/>
      <c r="O5" s="123"/>
      <c r="P5" s="123"/>
      <c r="Q5" s="123"/>
      <c r="R5" s="123"/>
      <c r="S5" s="123"/>
      <c r="T5" s="123"/>
    </row>
    <row r="6" spans="1:28" x14ac:dyDescent="0.4">
      <c r="B6" s="123"/>
      <c r="C6" s="123"/>
      <c r="D6" s="123"/>
      <c r="E6" s="123"/>
      <c r="F6" s="123"/>
      <c r="G6" s="123"/>
      <c r="H6" s="123"/>
      <c r="I6" s="123"/>
      <c r="J6" s="123"/>
      <c r="K6" s="1332"/>
      <c r="L6" s="1327"/>
      <c r="M6" s="1327"/>
      <c r="N6" s="1327"/>
      <c r="O6" s="123"/>
      <c r="P6" s="123"/>
      <c r="Q6" s="123"/>
      <c r="R6" s="123"/>
      <c r="S6" s="123"/>
      <c r="T6" s="123"/>
    </row>
    <row r="7" spans="1:28" x14ac:dyDescent="0.4">
      <c r="B7" s="131" t="s">
        <v>748</v>
      </c>
      <c r="C7" s="103"/>
      <c r="D7" s="103"/>
      <c r="E7" s="103"/>
      <c r="F7" s="103"/>
      <c r="G7" s="103"/>
      <c r="H7" s="103"/>
      <c r="I7" s="103"/>
      <c r="J7" s="103"/>
      <c r="K7" s="1333"/>
      <c r="L7" s="1328"/>
      <c r="M7" s="1328"/>
      <c r="N7" s="1328"/>
      <c r="O7" s="103"/>
      <c r="P7" s="103"/>
      <c r="Q7" s="103"/>
      <c r="R7" s="103"/>
      <c r="S7" s="103"/>
      <c r="T7" s="103"/>
      <c r="U7" s="103"/>
      <c r="V7" s="103"/>
      <c r="W7" s="1328"/>
      <c r="X7" s="103"/>
      <c r="Y7" s="103"/>
      <c r="Z7" s="103"/>
      <c r="AA7" s="103"/>
    </row>
    <row r="8" spans="1:28" x14ac:dyDescent="0.4">
      <c r="B8" s="131" t="s">
        <v>1607</v>
      </c>
      <c r="C8" s="103"/>
      <c r="D8" s="103"/>
      <c r="E8" s="103"/>
      <c r="F8" s="103"/>
      <c r="G8" s="103"/>
      <c r="H8" s="103"/>
      <c r="I8" s="103"/>
      <c r="J8" s="103"/>
      <c r="K8" s="1333"/>
      <c r="L8" s="1328"/>
      <c r="M8" s="1328"/>
      <c r="N8" s="1328"/>
      <c r="O8" s="103"/>
      <c r="P8" s="103"/>
      <c r="Q8" s="103"/>
      <c r="R8" s="103"/>
      <c r="S8" s="103"/>
      <c r="T8" s="103"/>
      <c r="U8" s="103"/>
      <c r="V8" s="103"/>
      <c r="W8" s="1328"/>
      <c r="X8" s="103"/>
      <c r="Y8" s="103"/>
      <c r="Z8" s="103"/>
      <c r="AA8" s="103"/>
    </row>
    <row r="9" spans="1:28"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c r="Z9" s="103"/>
      <c r="AA9" s="103"/>
    </row>
    <row r="10" spans="1:28"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1718</v>
      </c>
      <c r="AA10" s="1947" t="s">
        <v>1717</v>
      </c>
      <c r="AB10" s="1947" t="s">
        <v>1570</v>
      </c>
    </row>
    <row r="11" spans="1:28"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c r="AA11" s="1947"/>
      <c r="AB11" s="1947"/>
    </row>
    <row r="12" spans="1:28"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80"/>
      <c r="AA12" s="80"/>
      <c r="AB12" s="2"/>
    </row>
    <row r="13" spans="1:28" s="6" customFormat="1" ht="13.5" x14ac:dyDescent="0.35">
      <c r="A13" s="1364">
        <f>+'F14.2'!A13</f>
        <v>0.9</v>
      </c>
      <c r="B13" s="517" t="s">
        <v>1129</v>
      </c>
      <c r="C13" s="128">
        <f>+'F13.4'!C13</f>
        <v>4</v>
      </c>
      <c r="D13" s="128"/>
      <c r="E13" s="128">
        <v>730</v>
      </c>
      <c r="F13" s="1365">
        <v>4.87</v>
      </c>
      <c r="G13" s="128"/>
      <c r="H13" s="1365">
        <f ca="1">+'Tariff Schedule'!$V$7</f>
        <v>1.9790027535024768</v>
      </c>
      <c r="I13" s="128"/>
      <c r="J13" s="128"/>
      <c r="K13" s="1336">
        <f>AVERAGE('Sales Proj'!C42:N42)+AVERAGE('Sales Proj'!C45:N45)*1000</f>
        <v>34500</v>
      </c>
      <c r="L13" s="630">
        <f>+'F1 SEZ'!M12</f>
        <v>243.762</v>
      </c>
      <c r="M13" s="630">
        <f>+L13/AB13</f>
        <v>246.22424242424242</v>
      </c>
      <c r="N13" s="630"/>
      <c r="O13" s="630">
        <f>(K13*E13)*12/10^7*A13</f>
        <v>27.199800000000003</v>
      </c>
      <c r="P13" s="630">
        <f>(M13*F13)/10</f>
        <v>119.91120606060606</v>
      </c>
      <c r="Q13" s="630">
        <f>SUM(Q14:Q17)</f>
        <v>0</v>
      </c>
      <c r="R13" s="630">
        <f ca="1">(M13*H13)/10</f>
        <v>48.727845373663712</v>
      </c>
      <c r="S13" s="630"/>
      <c r="T13" s="630"/>
      <c r="U13" s="630">
        <f ca="1">SUM(N13:T13)</f>
        <v>195.83885143426977</v>
      </c>
      <c r="V13" s="128"/>
      <c r="W13" s="630">
        <f ca="1">+U13+V13</f>
        <v>195.83885143426977</v>
      </c>
      <c r="X13" s="1222">
        <f ca="1">IFERROR(W13/L13*10,0)</f>
        <v>8.0340188968858879</v>
      </c>
      <c r="Y13" s="1503">
        <f ca="1">+X13/'Gap Adjustment'!$M$124</f>
        <v>0.99973672452486262</v>
      </c>
      <c r="Z13" s="1222">
        <f ca="1">(U13-R13)/L13*10</f>
        <v>6.0350262165803557</v>
      </c>
      <c r="AA13" s="1503">
        <f ca="1">+Z13/'Gap Adjustment'!$M$126</f>
        <v>0.99964954987277088</v>
      </c>
      <c r="AB13" s="1366">
        <f>+'Tariff Schedule'!X14</f>
        <v>0.99</v>
      </c>
    </row>
    <row r="14" spans="1:28" x14ac:dyDescent="0.4">
      <c r="A14" s="1339"/>
      <c r="B14" s="1360" t="s">
        <v>1544</v>
      </c>
      <c r="C14" s="75"/>
      <c r="D14" s="75"/>
      <c r="E14" s="75"/>
      <c r="F14" s="75"/>
      <c r="G14" s="1221"/>
      <c r="H14" s="75"/>
      <c r="I14" s="75"/>
      <c r="J14" s="75"/>
      <c r="K14" s="1306"/>
      <c r="L14" s="628"/>
      <c r="M14" s="628">
        <f>+$M$13*Assum!E125</f>
        <v>60.289188094846949</v>
      </c>
      <c r="N14" s="628"/>
      <c r="O14" s="628"/>
      <c r="P14" s="628"/>
      <c r="Q14" s="628">
        <f>+G14*M14/10</f>
        <v>0</v>
      </c>
      <c r="R14" s="628"/>
      <c r="S14" s="628"/>
      <c r="T14" s="628"/>
      <c r="U14" s="628"/>
      <c r="V14" s="75"/>
      <c r="W14" s="628"/>
      <c r="X14" s="1221"/>
      <c r="Y14" s="75"/>
      <c r="Z14" s="75"/>
      <c r="AA14" s="75"/>
      <c r="AB14" s="1358"/>
    </row>
    <row r="15" spans="1:28" x14ac:dyDescent="0.4">
      <c r="A15" s="1339"/>
      <c r="B15" s="1360" t="s">
        <v>1545</v>
      </c>
      <c r="C15" s="75"/>
      <c r="D15" s="75"/>
      <c r="E15" s="75"/>
      <c r="F15" s="75"/>
      <c r="G15" s="1221"/>
      <c r="H15" s="75"/>
      <c r="I15" s="75"/>
      <c r="J15" s="75"/>
      <c r="K15" s="1306"/>
      <c r="L15" s="628"/>
      <c r="M15" s="628">
        <f>+$M$13*Assum!E126</f>
        <v>31.080900494917216</v>
      </c>
      <c r="N15" s="628"/>
      <c r="O15" s="628"/>
      <c r="P15" s="628"/>
      <c r="Q15" s="628">
        <f>+G15*M15/10</f>
        <v>0</v>
      </c>
      <c r="R15" s="628"/>
      <c r="S15" s="628"/>
      <c r="T15" s="628"/>
      <c r="U15" s="628"/>
      <c r="V15" s="75"/>
      <c r="W15" s="628"/>
      <c r="X15" s="1221"/>
      <c r="Y15" s="75"/>
      <c r="Z15" s="75"/>
      <c r="AA15" s="75"/>
      <c r="AB15" s="1358"/>
    </row>
    <row r="16" spans="1:28" x14ac:dyDescent="0.4">
      <c r="A16" s="1339"/>
      <c r="B16" s="1360" t="s">
        <v>1546</v>
      </c>
      <c r="C16" s="75"/>
      <c r="D16" s="75"/>
      <c r="E16" s="75"/>
      <c r="F16" s="75"/>
      <c r="G16" s="1221"/>
      <c r="H16" s="75"/>
      <c r="I16" s="75"/>
      <c r="J16" s="75"/>
      <c r="K16" s="1306"/>
      <c r="L16" s="628"/>
      <c r="M16" s="628">
        <f>+$M$13*Assum!E127</f>
        <v>82.77624218854281</v>
      </c>
      <c r="N16" s="628"/>
      <c r="O16" s="628"/>
      <c r="P16" s="628"/>
      <c r="Q16" s="628">
        <f>+G16*M16/10</f>
        <v>0</v>
      </c>
      <c r="R16" s="628"/>
      <c r="S16" s="628"/>
      <c r="T16" s="628"/>
      <c r="U16" s="628"/>
      <c r="V16" s="75"/>
      <c r="W16" s="628"/>
      <c r="X16" s="1221"/>
      <c r="Y16" s="75"/>
      <c r="Z16" s="75"/>
      <c r="AA16" s="75"/>
      <c r="AB16" s="1358"/>
    </row>
    <row r="17" spans="1:29" x14ac:dyDescent="0.4">
      <c r="A17" s="1339"/>
      <c r="B17" s="1360" t="s">
        <v>1549</v>
      </c>
      <c r="C17" s="75"/>
      <c r="D17" s="75"/>
      <c r="E17" s="75"/>
      <c r="F17" s="75"/>
      <c r="G17" s="1221"/>
      <c r="H17" s="75"/>
      <c r="I17" s="75"/>
      <c r="J17" s="75"/>
      <c r="K17" s="1306"/>
      <c r="L17" s="628"/>
      <c r="M17" s="628">
        <f>+$M$13*Assum!E128</f>
        <v>72.07791164593543</v>
      </c>
      <c r="N17" s="628"/>
      <c r="O17" s="628"/>
      <c r="P17" s="628"/>
      <c r="Q17" s="628">
        <f>+G17*M17/10</f>
        <v>0</v>
      </c>
      <c r="R17" s="628"/>
      <c r="S17" s="628"/>
      <c r="T17" s="628"/>
      <c r="U17" s="628"/>
      <c r="V17" s="75"/>
      <c r="W17" s="628"/>
      <c r="X17" s="1221"/>
      <c r="Y17" s="75"/>
      <c r="Z17" s="75"/>
      <c r="AA17" s="75"/>
      <c r="AB17" s="1358"/>
    </row>
    <row r="18" spans="1:29" s="6" customFormat="1" ht="13.5" x14ac:dyDescent="0.35">
      <c r="A18" s="1364">
        <f>+'F14.2'!A18</f>
        <v>0.75</v>
      </c>
      <c r="B18" s="517" t="s">
        <v>1130</v>
      </c>
      <c r="C18" s="128">
        <f>+'F13.4'!C18</f>
        <v>1</v>
      </c>
      <c r="D18" s="128"/>
      <c r="E18" s="128">
        <v>730</v>
      </c>
      <c r="F18" s="1365">
        <v>4</v>
      </c>
      <c r="G18" s="128"/>
      <c r="H18" s="1365">
        <f ca="1">+'Tariff Schedule'!$V$7</f>
        <v>1.9790027535024768</v>
      </c>
      <c r="I18" s="128"/>
      <c r="J18" s="128"/>
      <c r="K18" s="1336">
        <f>+'F13.4'!K18</f>
        <v>40</v>
      </c>
      <c r="L18" s="630">
        <f>+'F1 SEZ'!M13</f>
        <v>4.780528864771514E-2</v>
      </c>
      <c r="M18" s="630">
        <f>+L18/AB18</f>
        <v>4.8780906783382795E-2</v>
      </c>
      <c r="N18" s="630"/>
      <c r="O18" s="630">
        <f>(K18*E18)*12/10^7*A18</f>
        <v>2.6280000000000001E-2</v>
      </c>
      <c r="P18" s="630">
        <f>(M18*F18)/10</f>
        <v>1.9512362713353118E-2</v>
      </c>
      <c r="Q18" s="630">
        <f>SUM(Q19:Q22)</f>
        <v>0</v>
      </c>
      <c r="R18" s="630">
        <f ca="1">(M18*H18)/10</f>
        <v>9.6537548842662198E-3</v>
      </c>
      <c r="S18" s="630"/>
      <c r="T18" s="630"/>
      <c r="U18" s="630">
        <f ca="1">SUM(N18:T18)</f>
        <v>5.5446117597619332E-2</v>
      </c>
      <c r="V18" s="128"/>
      <c r="W18" s="630">
        <f ca="1">+U18+V18</f>
        <v>5.5446117597619332E-2</v>
      </c>
      <c r="X18" s="1222">
        <f ca="1">IFERROR(W18/L18*10,0)</f>
        <v>11.598322940001616</v>
      </c>
      <c r="Y18" s="1503">
        <f ca="1">+X18/'Gap Adjustment'!$M$124</f>
        <v>1.4432713608021632</v>
      </c>
      <c r="Z18" s="1222">
        <f ca="1">(U18-R18)/L18*10</f>
        <v>9.5789323752031699</v>
      </c>
      <c r="AA18" s="1503">
        <f ca="1">+Z18/'Gap Adjustment'!$M$126</f>
        <v>1.5866667506474224</v>
      </c>
      <c r="AB18" s="1366">
        <f>+'Tariff Schedule'!X15</f>
        <v>0.98</v>
      </c>
      <c r="AC18" s="1622"/>
    </row>
    <row r="19" spans="1:29" x14ac:dyDescent="0.4">
      <c r="A19" s="1339"/>
      <c r="B19" s="1360" t="s">
        <v>1544</v>
      </c>
      <c r="C19" s="75"/>
      <c r="D19" s="75"/>
      <c r="E19" s="75"/>
      <c r="F19" s="75"/>
      <c r="G19" s="1221"/>
      <c r="H19" s="75"/>
      <c r="I19" s="75"/>
      <c r="J19" s="75"/>
      <c r="K19" s="1306"/>
      <c r="L19" s="628"/>
      <c r="M19" s="628">
        <f>+$M$18*Assum!F125</f>
        <v>6.870280214106763E-3</v>
      </c>
      <c r="N19" s="628"/>
      <c r="O19" s="628"/>
      <c r="P19" s="628"/>
      <c r="Q19" s="628">
        <f>+G19*M19/10</f>
        <v>0</v>
      </c>
      <c r="R19" s="628"/>
      <c r="S19" s="628"/>
      <c r="T19" s="628"/>
      <c r="U19" s="628"/>
      <c r="V19" s="75"/>
      <c r="W19" s="628"/>
      <c r="X19" s="1221"/>
      <c r="Y19" s="75"/>
      <c r="Z19" s="75"/>
      <c r="AA19" s="75"/>
      <c r="AB19" s="1358"/>
    </row>
    <row r="20" spans="1:29" x14ac:dyDescent="0.4">
      <c r="A20" s="1339"/>
      <c r="B20" s="1360" t="s">
        <v>1545</v>
      </c>
      <c r="C20" s="75"/>
      <c r="D20" s="75"/>
      <c r="E20" s="75"/>
      <c r="F20" s="75"/>
      <c r="G20" s="1221"/>
      <c r="H20" s="75"/>
      <c r="I20" s="75"/>
      <c r="J20" s="75"/>
      <c r="K20" s="1306"/>
      <c r="L20" s="628"/>
      <c r="M20" s="628">
        <f>+$M$18*Assum!F126</f>
        <v>6.9299864769883828E-3</v>
      </c>
      <c r="N20" s="628"/>
      <c r="O20" s="628"/>
      <c r="P20" s="628"/>
      <c r="Q20" s="628">
        <f>+G20*M20/10</f>
        <v>0</v>
      </c>
      <c r="R20" s="628"/>
      <c r="S20" s="628"/>
      <c r="T20" s="628"/>
      <c r="U20" s="628"/>
      <c r="V20" s="75"/>
      <c r="W20" s="628"/>
      <c r="X20" s="1221"/>
      <c r="Y20" s="75"/>
      <c r="Z20" s="75"/>
      <c r="AA20" s="75"/>
      <c r="AB20" s="1358"/>
    </row>
    <row r="21" spans="1:29" x14ac:dyDescent="0.4">
      <c r="A21" s="1339"/>
      <c r="B21" s="1360" t="s">
        <v>1546</v>
      </c>
      <c r="C21" s="75"/>
      <c r="D21" s="75"/>
      <c r="E21" s="75"/>
      <c r="F21" s="75"/>
      <c r="G21" s="1221"/>
      <c r="H21" s="75"/>
      <c r="I21" s="75"/>
      <c r="J21" s="75"/>
      <c r="K21" s="1306"/>
      <c r="L21" s="628"/>
      <c r="M21" s="628">
        <f>+$M$18*Assum!F127</f>
        <v>2.0914270746869672E-2</v>
      </c>
      <c r="N21" s="628"/>
      <c r="O21" s="628"/>
      <c r="P21" s="628"/>
      <c r="Q21" s="628">
        <f>+G21*M21/10</f>
        <v>0</v>
      </c>
      <c r="R21" s="628"/>
      <c r="S21" s="628"/>
      <c r="T21" s="628"/>
      <c r="U21" s="628"/>
      <c r="V21" s="75"/>
      <c r="W21" s="628"/>
      <c r="X21" s="1221"/>
      <c r="Y21" s="75"/>
      <c r="Z21" s="75"/>
      <c r="AA21" s="75"/>
      <c r="AB21" s="1358"/>
    </row>
    <row r="22" spans="1:29" x14ac:dyDescent="0.4">
      <c r="A22" s="1339"/>
      <c r="B22" s="1360" t="s">
        <v>1549</v>
      </c>
      <c r="C22" s="75"/>
      <c r="D22" s="75"/>
      <c r="E22" s="75"/>
      <c r="F22" s="75"/>
      <c r="G22" s="1221"/>
      <c r="H22" s="75"/>
      <c r="I22" s="75"/>
      <c r="J22" s="75"/>
      <c r="K22" s="1306"/>
      <c r="L22" s="628"/>
      <c r="M22" s="628">
        <f>+$M$18*Assum!F128</f>
        <v>1.4066369345417976E-2</v>
      </c>
      <c r="N22" s="628"/>
      <c r="O22" s="628"/>
      <c r="P22" s="628"/>
      <c r="Q22" s="628">
        <f>+G22*M22/10</f>
        <v>0</v>
      </c>
      <c r="R22" s="628"/>
      <c r="S22" s="628"/>
      <c r="T22" s="628"/>
      <c r="U22" s="628"/>
      <c r="V22" s="75"/>
      <c r="W22" s="628"/>
      <c r="X22" s="1221"/>
      <c r="Y22" s="75"/>
      <c r="Z22" s="75"/>
      <c r="AA22" s="75"/>
      <c r="AB22" s="1358"/>
    </row>
    <row r="23" spans="1:29" ht="13.8" hidden="1" customHeight="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75"/>
      <c r="AA23" s="75"/>
      <c r="AB23" s="2"/>
    </row>
    <row r="24" spans="1:29" ht="26.45" hidden="1" customHeight="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75"/>
      <c r="AA24" s="75"/>
      <c r="AB24" s="2"/>
    </row>
    <row r="25" spans="1:29" x14ac:dyDescent="0.4">
      <c r="B25" s="518" t="s">
        <v>162</v>
      </c>
      <c r="C25" s="128">
        <f>SUM(C13:C24)</f>
        <v>5</v>
      </c>
      <c r="D25" s="1309">
        <f>SUM(D13:D24)</f>
        <v>0</v>
      </c>
      <c r="E25" s="1309"/>
      <c r="F25" s="1309"/>
      <c r="G25" s="1309"/>
      <c r="H25" s="1309"/>
      <c r="I25" s="1309">
        <f>SUM(I13:I24)</f>
        <v>0</v>
      </c>
      <c r="J25" s="1309">
        <f>SUM(J13:J24)</f>
        <v>0</v>
      </c>
      <c r="K25" s="1336">
        <f>SUM(K13:K24)</f>
        <v>34540</v>
      </c>
      <c r="L25" s="630">
        <f>+M13+M18</f>
        <v>246.2730233310258</v>
      </c>
      <c r="M25" s="630">
        <f>+M13+M18</f>
        <v>246.2730233310258</v>
      </c>
      <c r="N25" s="630">
        <f t="shared" ref="N25:W25" si="0">+N13+N18</f>
        <v>0</v>
      </c>
      <c r="O25" s="630">
        <f t="shared" si="0"/>
        <v>27.226080000000003</v>
      </c>
      <c r="P25" s="630">
        <f t="shared" si="0"/>
        <v>119.93071842331942</v>
      </c>
      <c r="Q25" s="630">
        <f t="shared" si="0"/>
        <v>0</v>
      </c>
      <c r="R25" s="630">
        <f t="shared" ca="1" si="0"/>
        <v>48.737499128547981</v>
      </c>
      <c r="S25" s="630">
        <f t="shared" si="0"/>
        <v>0</v>
      </c>
      <c r="T25" s="630">
        <f t="shared" si="0"/>
        <v>0</v>
      </c>
      <c r="U25" s="630">
        <f t="shared" ca="1" si="0"/>
        <v>195.8942975518674</v>
      </c>
      <c r="V25" s="630">
        <f t="shared" si="0"/>
        <v>0</v>
      </c>
      <c r="W25" s="630">
        <f t="shared" ca="1" si="0"/>
        <v>195.8942975518674</v>
      </c>
      <c r="X25" s="1221">
        <f ca="1">IFERROR(W25/L25*10,0)</f>
        <v>7.9543546793006934</v>
      </c>
      <c r="Y25" s="1503">
        <f ca="1">+X25/'Gap Adjustment'!$M$124</f>
        <v>0.9898234737629894</v>
      </c>
      <c r="Z25" s="1222">
        <f ca="1">(U25-R25)/L25*10</f>
        <v>5.9753519257982157</v>
      </c>
      <c r="AA25" s="1503">
        <f ca="1">+Z25/'Gap Adjustment'!$M$126</f>
        <v>0.98976502314852</v>
      </c>
      <c r="AB25" s="2"/>
    </row>
    <row r="26" spans="1:29"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75"/>
      <c r="AA26" s="75"/>
      <c r="AB26" s="2"/>
    </row>
    <row r="27" spans="1:29" ht="13.8" hidden="1" customHeight="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75"/>
      <c r="AA27" s="75"/>
      <c r="AB27" s="2"/>
    </row>
    <row r="28" spans="1:29" ht="13.8" hidden="1" customHeight="1" x14ac:dyDescent="0.4">
      <c r="B28" s="520" t="s">
        <v>1106</v>
      </c>
      <c r="C28" s="1306">
        <f>+'F13 SEZ'!C211</f>
        <v>0</v>
      </c>
      <c r="D28" s="75"/>
      <c r="E28" s="75"/>
      <c r="F28" s="1359"/>
      <c r="G28" s="75"/>
      <c r="H28" s="75"/>
      <c r="I28" s="75"/>
      <c r="J28" s="75"/>
      <c r="K28" s="1306"/>
      <c r="L28" s="628">
        <f>+'F1 SEZ'!M19</f>
        <v>0</v>
      </c>
      <c r="M28" s="628"/>
      <c r="N28" s="628"/>
      <c r="O28" s="628"/>
      <c r="P28" s="628"/>
      <c r="Q28" s="628"/>
      <c r="R28" s="628"/>
      <c r="S28" s="628"/>
      <c r="T28" s="628"/>
      <c r="U28" s="628">
        <f>SUM(N28:T28)</f>
        <v>0</v>
      </c>
      <c r="V28" s="75"/>
      <c r="W28" s="628">
        <f>+U28+V28</f>
        <v>0</v>
      </c>
      <c r="X28" s="75"/>
      <c r="Y28" s="75"/>
      <c r="Z28" s="75"/>
      <c r="AA28" s="75"/>
      <c r="AB28" s="2"/>
    </row>
    <row r="29" spans="1:29" ht="13.8" hidden="1" customHeight="1" x14ac:dyDescent="0.4">
      <c r="B29" s="520" t="s">
        <v>1107</v>
      </c>
      <c r="C29" s="1306">
        <f>+'F13 SEZ'!C212</f>
        <v>0</v>
      </c>
      <c r="D29" s="75"/>
      <c r="E29" s="75"/>
      <c r="F29" s="1359"/>
      <c r="G29" s="75"/>
      <c r="H29" s="75"/>
      <c r="I29" s="75"/>
      <c r="J29" s="75"/>
      <c r="K29" s="1306"/>
      <c r="L29" s="628">
        <f>+'F1 SEZ'!M20</f>
        <v>0</v>
      </c>
      <c r="M29" s="628"/>
      <c r="N29" s="628"/>
      <c r="O29" s="628"/>
      <c r="P29" s="628"/>
      <c r="Q29" s="628"/>
      <c r="R29" s="628"/>
      <c r="S29" s="628"/>
      <c r="T29" s="628"/>
      <c r="U29" s="628">
        <f>SUM(N29:T29)</f>
        <v>0</v>
      </c>
      <c r="V29" s="75"/>
      <c r="W29" s="628">
        <f>+U29+V29</f>
        <v>0</v>
      </c>
      <c r="X29" s="75"/>
      <c r="Y29" s="75"/>
      <c r="Z29" s="75"/>
      <c r="AA29" s="75"/>
      <c r="AB29" s="2"/>
    </row>
    <row r="30" spans="1:29" ht="13.8" hidden="1" customHeight="1" x14ac:dyDescent="0.4">
      <c r="B30" s="520" t="s">
        <v>1108</v>
      </c>
      <c r="C30" s="1306">
        <f>+'F13 SEZ'!C213</f>
        <v>0</v>
      </c>
      <c r="D30" s="75"/>
      <c r="E30" s="75"/>
      <c r="F30" s="1359"/>
      <c r="G30" s="75"/>
      <c r="H30" s="75"/>
      <c r="I30" s="75"/>
      <c r="J30" s="75"/>
      <c r="K30" s="1306"/>
      <c r="L30" s="628">
        <f>+'F1 SEZ'!M21</f>
        <v>0</v>
      </c>
      <c r="M30" s="628"/>
      <c r="N30" s="628"/>
      <c r="O30" s="628"/>
      <c r="P30" s="628"/>
      <c r="Q30" s="628"/>
      <c r="R30" s="628"/>
      <c r="S30" s="628"/>
      <c r="T30" s="628"/>
      <c r="U30" s="628">
        <f>SUM(N30:T30)</f>
        <v>0</v>
      </c>
      <c r="V30" s="75"/>
      <c r="W30" s="628">
        <f>+U30+V30</f>
        <v>0</v>
      </c>
      <c r="X30" s="75"/>
      <c r="Y30" s="75"/>
      <c r="Z30" s="75"/>
      <c r="AA30" s="75"/>
      <c r="AB30" s="2"/>
    </row>
    <row r="31" spans="1:29" ht="13.8" hidden="1" customHeight="1" x14ac:dyDescent="0.4">
      <c r="B31" s="520" t="s">
        <v>1109</v>
      </c>
      <c r="C31" s="1306">
        <f>+'F13 SEZ'!C214</f>
        <v>0</v>
      </c>
      <c r="D31" s="75"/>
      <c r="E31" s="75"/>
      <c r="F31" s="1359"/>
      <c r="G31" s="75"/>
      <c r="H31" s="75"/>
      <c r="I31" s="75"/>
      <c r="J31" s="75"/>
      <c r="K31" s="1306"/>
      <c r="L31" s="628">
        <f>+'F1 SEZ'!M22</f>
        <v>0</v>
      </c>
      <c r="M31" s="628"/>
      <c r="N31" s="628"/>
      <c r="O31" s="628"/>
      <c r="P31" s="628"/>
      <c r="Q31" s="628"/>
      <c r="R31" s="628"/>
      <c r="S31" s="628"/>
      <c r="T31" s="628"/>
      <c r="U31" s="628">
        <f>SUM(N31:T31)</f>
        <v>0</v>
      </c>
      <c r="V31" s="75"/>
      <c r="W31" s="628">
        <f>+U31+V31</f>
        <v>0</v>
      </c>
      <c r="X31" s="75"/>
      <c r="Y31" s="75"/>
      <c r="Z31" s="75"/>
      <c r="AA31" s="75"/>
      <c r="AB31" s="2"/>
    </row>
    <row r="32" spans="1:29" ht="13.8" hidden="1" customHeight="1" x14ac:dyDescent="0.4">
      <c r="B32" s="520" t="s">
        <v>1110</v>
      </c>
      <c r="C32" s="1306">
        <f>+'F13 SEZ'!C215</f>
        <v>0</v>
      </c>
      <c r="D32" s="75"/>
      <c r="E32" s="75"/>
      <c r="F32" s="75"/>
      <c r="G32" s="75"/>
      <c r="H32" s="75"/>
      <c r="I32" s="75"/>
      <c r="J32" s="75"/>
      <c r="K32" s="1306"/>
      <c r="L32" s="628">
        <f>+'F1 SEZ'!M23</f>
        <v>0</v>
      </c>
      <c r="M32" s="628"/>
      <c r="N32" s="628"/>
      <c r="O32" s="628"/>
      <c r="P32" s="628"/>
      <c r="Q32" s="628"/>
      <c r="R32" s="628"/>
      <c r="S32" s="628"/>
      <c r="T32" s="628"/>
      <c r="U32" s="628">
        <f>SUM(N32:T32)</f>
        <v>0</v>
      </c>
      <c r="V32" s="75"/>
      <c r="W32" s="628">
        <f>+U32+V32</f>
        <v>0</v>
      </c>
      <c r="X32" s="75"/>
      <c r="Y32" s="75"/>
      <c r="Z32" s="75"/>
      <c r="AA32" s="75"/>
      <c r="AB32" s="2"/>
    </row>
    <row r="33" spans="1:28" ht="13.8" hidden="1" customHeight="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75"/>
      <c r="AA33" s="75"/>
      <c r="AB33" s="2"/>
    </row>
    <row r="34" spans="1:28" ht="26.45" hidden="1" customHeight="1" x14ac:dyDescent="0.4">
      <c r="B34" s="1363" t="s">
        <v>1139</v>
      </c>
      <c r="C34" s="1307">
        <f>SUM(C35:C41)</f>
        <v>0</v>
      </c>
      <c r="D34" s="75"/>
      <c r="E34" s="75"/>
      <c r="F34" s="75"/>
      <c r="G34" s="75"/>
      <c r="H34" s="75"/>
      <c r="I34" s="75"/>
      <c r="J34" s="75"/>
      <c r="K34" s="1306"/>
      <c r="L34" s="628">
        <f>+'F1 SEZ'!M24</f>
        <v>0</v>
      </c>
      <c r="M34" s="628"/>
      <c r="N34" s="628"/>
      <c r="O34" s="628"/>
      <c r="P34" s="628"/>
      <c r="Q34" s="628"/>
      <c r="R34" s="628"/>
      <c r="S34" s="628"/>
      <c r="T34" s="628"/>
      <c r="U34" s="628">
        <f>SUM(N34:T34)</f>
        <v>0</v>
      </c>
      <c r="V34" s="75"/>
      <c r="W34" s="628">
        <f>+U34+V34</f>
        <v>0</v>
      </c>
      <c r="X34" s="75"/>
      <c r="Y34" s="75"/>
      <c r="Z34" s="75"/>
      <c r="AA34" s="75"/>
      <c r="AB34" s="2"/>
    </row>
    <row r="35" spans="1:28" ht="13.8" hidden="1" customHeight="1" x14ac:dyDescent="0.4">
      <c r="B35" s="1362" t="s">
        <v>1140</v>
      </c>
      <c r="C35" s="1306">
        <f>+'F13 SEZ'!C217</f>
        <v>0</v>
      </c>
      <c r="D35" s="75"/>
      <c r="E35" s="75"/>
      <c r="F35" s="75"/>
      <c r="G35" s="75"/>
      <c r="H35" s="75"/>
      <c r="I35" s="75"/>
      <c r="J35" s="75"/>
      <c r="K35" s="1306"/>
      <c r="L35" s="628">
        <f>+'F1 SEZ'!M25</f>
        <v>0</v>
      </c>
      <c r="M35" s="628"/>
      <c r="N35" s="628"/>
      <c r="O35" s="628"/>
      <c r="P35" s="628"/>
      <c r="Q35" s="628"/>
      <c r="R35" s="628"/>
      <c r="S35" s="628"/>
      <c r="T35" s="628"/>
      <c r="U35" s="628">
        <f>SUM(N35:T35)</f>
        <v>0</v>
      </c>
      <c r="V35" s="75"/>
      <c r="W35" s="628">
        <f>+U35+V35</f>
        <v>0</v>
      </c>
      <c r="X35" s="75"/>
      <c r="Y35" s="75"/>
      <c r="Z35" s="75"/>
      <c r="AA35" s="75"/>
      <c r="AB35" s="2"/>
    </row>
    <row r="36" spans="1:28" ht="13.8" hidden="1" customHeight="1" x14ac:dyDescent="0.4">
      <c r="B36" s="1362" t="s">
        <v>1144</v>
      </c>
      <c r="C36" s="1306">
        <f>+'F13 SEZ'!C218</f>
        <v>0</v>
      </c>
      <c r="D36" s="75"/>
      <c r="E36" s="75"/>
      <c r="F36" s="75"/>
      <c r="G36" s="75"/>
      <c r="H36" s="75"/>
      <c r="I36" s="75"/>
      <c r="J36" s="75"/>
      <c r="K36" s="1306"/>
      <c r="L36" s="628">
        <f>+'F1 SEZ'!M26</f>
        <v>0</v>
      </c>
      <c r="M36" s="628"/>
      <c r="N36" s="628"/>
      <c r="O36" s="628"/>
      <c r="P36" s="628"/>
      <c r="Q36" s="628"/>
      <c r="R36" s="628"/>
      <c r="S36" s="628"/>
      <c r="T36" s="628"/>
      <c r="U36" s="628">
        <f>SUM(N36:T36)</f>
        <v>0</v>
      </c>
      <c r="V36" s="75"/>
      <c r="W36" s="628">
        <f>+U36+V36</f>
        <v>0</v>
      </c>
      <c r="X36" s="75"/>
      <c r="Y36" s="75"/>
      <c r="Z36" s="75"/>
      <c r="AA36" s="75"/>
      <c r="AB36" s="2"/>
    </row>
    <row r="37" spans="1:28" ht="13.8" hidden="1" customHeight="1" x14ac:dyDescent="0.4">
      <c r="A37" s="1339"/>
      <c r="B37" s="1360" t="s">
        <v>1544</v>
      </c>
      <c r="C37" s="75"/>
      <c r="D37" s="75"/>
      <c r="E37" s="75"/>
      <c r="F37" s="75"/>
      <c r="G37" s="1221"/>
      <c r="H37" s="75"/>
      <c r="I37" s="75"/>
      <c r="J37" s="75"/>
      <c r="K37" s="1306"/>
      <c r="L37" s="628"/>
      <c r="M37" s="628"/>
      <c r="N37" s="628"/>
      <c r="O37" s="628"/>
      <c r="P37" s="628"/>
      <c r="Q37" s="628">
        <f>+G37*M37/10</f>
        <v>0</v>
      </c>
      <c r="R37" s="628"/>
      <c r="S37" s="628"/>
      <c r="T37" s="628"/>
      <c r="U37" s="628"/>
      <c r="V37" s="75"/>
      <c r="W37" s="628"/>
      <c r="X37" s="1221"/>
      <c r="Y37" s="75"/>
      <c r="Z37" s="75"/>
      <c r="AA37" s="75"/>
      <c r="AB37" s="1358"/>
    </row>
    <row r="38" spans="1:28" ht="13.8" hidden="1" customHeight="1" x14ac:dyDescent="0.4">
      <c r="A38" s="1339"/>
      <c r="B38" s="1360" t="s">
        <v>1545</v>
      </c>
      <c r="C38" s="75"/>
      <c r="D38" s="75"/>
      <c r="E38" s="75"/>
      <c r="F38" s="75"/>
      <c r="G38" s="1221"/>
      <c r="H38" s="75"/>
      <c r="I38" s="75"/>
      <c r="J38" s="75"/>
      <c r="K38" s="1306"/>
      <c r="L38" s="628"/>
      <c r="M38" s="628"/>
      <c r="N38" s="628"/>
      <c r="O38" s="628"/>
      <c r="P38" s="628"/>
      <c r="Q38" s="628">
        <f>+G38*M38/10</f>
        <v>0</v>
      </c>
      <c r="R38" s="628"/>
      <c r="S38" s="628"/>
      <c r="T38" s="628"/>
      <c r="U38" s="628"/>
      <c r="V38" s="75"/>
      <c r="W38" s="628"/>
      <c r="X38" s="1221"/>
      <c r="Y38" s="75"/>
      <c r="Z38" s="75"/>
      <c r="AA38" s="75"/>
      <c r="AB38" s="1358"/>
    </row>
    <row r="39" spans="1:28" ht="13.8" hidden="1" customHeight="1" x14ac:dyDescent="0.4">
      <c r="A39" s="1339"/>
      <c r="B39" s="1360" t="s">
        <v>1546</v>
      </c>
      <c r="C39" s="75"/>
      <c r="D39" s="75"/>
      <c r="E39" s="75"/>
      <c r="F39" s="75"/>
      <c r="G39" s="1221"/>
      <c r="H39" s="75"/>
      <c r="I39" s="75"/>
      <c r="J39" s="75"/>
      <c r="K39" s="1306"/>
      <c r="L39" s="628"/>
      <c r="M39" s="628"/>
      <c r="N39" s="628"/>
      <c r="O39" s="628"/>
      <c r="P39" s="628"/>
      <c r="Q39" s="628">
        <f>+G39*M39/10</f>
        <v>0</v>
      </c>
      <c r="R39" s="628"/>
      <c r="S39" s="628"/>
      <c r="T39" s="628"/>
      <c r="U39" s="628"/>
      <c r="V39" s="75"/>
      <c r="W39" s="628"/>
      <c r="X39" s="1221"/>
      <c r="Y39" s="75"/>
      <c r="Z39" s="75"/>
      <c r="AA39" s="75"/>
      <c r="AB39" s="1358"/>
    </row>
    <row r="40" spans="1:28" ht="13.8" hidden="1" customHeight="1" x14ac:dyDescent="0.4">
      <c r="A40" s="1339"/>
      <c r="B40" s="1360" t="s">
        <v>1549</v>
      </c>
      <c r="C40" s="75"/>
      <c r="D40" s="75"/>
      <c r="E40" s="75"/>
      <c r="F40" s="75"/>
      <c r="G40" s="1221"/>
      <c r="H40" s="75"/>
      <c r="I40" s="75"/>
      <c r="J40" s="75"/>
      <c r="K40" s="1306"/>
      <c r="L40" s="628"/>
      <c r="M40" s="628"/>
      <c r="N40" s="628"/>
      <c r="O40" s="628"/>
      <c r="P40" s="628"/>
      <c r="Q40" s="628">
        <f>+G40*M40/10</f>
        <v>0</v>
      </c>
      <c r="R40" s="628"/>
      <c r="S40" s="628"/>
      <c r="T40" s="628"/>
      <c r="U40" s="628"/>
      <c r="V40" s="75"/>
      <c r="W40" s="628"/>
      <c r="X40" s="1221"/>
      <c r="Y40" s="75"/>
      <c r="Z40" s="75"/>
      <c r="AA40" s="75"/>
      <c r="AB40" s="1358"/>
    </row>
    <row r="41" spans="1:28" ht="13.8" hidden="1" customHeight="1" x14ac:dyDescent="0.4">
      <c r="B41" s="1362" t="s">
        <v>1143</v>
      </c>
      <c r="C41" s="1306">
        <f>+'F13 SEZ'!C219</f>
        <v>0</v>
      </c>
      <c r="D41" s="75"/>
      <c r="E41" s="75"/>
      <c r="F41" s="75"/>
      <c r="G41" s="75"/>
      <c r="H41" s="75"/>
      <c r="I41" s="75"/>
      <c r="J41" s="75"/>
      <c r="K41" s="1306"/>
      <c r="L41" s="628">
        <f>+'F1 SEZ'!M27</f>
        <v>0</v>
      </c>
      <c r="M41" s="628"/>
      <c r="N41" s="628"/>
      <c r="O41" s="628"/>
      <c r="P41" s="628"/>
      <c r="Q41" s="628"/>
      <c r="R41" s="628"/>
      <c r="S41" s="628"/>
      <c r="T41" s="628"/>
      <c r="U41" s="628">
        <f>SUM(N41:T41)</f>
        <v>0</v>
      </c>
      <c r="V41" s="75"/>
      <c r="W41" s="628">
        <f>+U41+V41</f>
        <v>0</v>
      </c>
      <c r="X41" s="75"/>
      <c r="Y41" s="75"/>
      <c r="Z41" s="75"/>
      <c r="AA41" s="75"/>
      <c r="AB41" s="2"/>
    </row>
    <row r="42" spans="1:28" ht="13.8" hidden="1" customHeight="1" x14ac:dyDescent="0.4">
      <c r="A42" s="1339"/>
      <c r="B42" s="1360" t="s">
        <v>1544</v>
      </c>
      <c r="C42" s="75"/>
      <c r="D42" s="75"/>
      <c r="E42" s="75"/>
      <c r="F42" s="75"/>
      <c r="G42" s="1221"/>
      <c r="H42" s="75"/>
      <c r="I42" s="75"/>
      <c r="J42" s="75"/>
      <c r="K42" s="1306"/>
      <c r="L42" s="628"/>
      <c r="M42" s="628"/>
      <c r="N42" s="628"/>
      <c r="O42" s="628"/>
      <c r="P42" s="628"/>
      <c r="Q42" s="628">
        <f>+G42*M42/10</f>
        <v>0</v>
      </c>
      <c r="R42" s="628"/>
      <c r="S42" s="628"/>
      <c r="T42" s="628"/>
      <c r="U42" s="628"/>
      <c r="V42" s="75"/>
      <c r="W42" s="628"/>
      <c r="X42" s="1221"/>
      <c r="Y42" s="75"/>
      <c r="Z42" s="75"/>
      <c r="AA42" s="75"/>
      <c r="AB42" s="1358"/>
    </row>
    <row r="43" spans="1:28" ht="13.8" hidden="1" customHeight="1" x14ac:dyDescent="0.4">
      <c r="A43" s="1339"/>
      <c r="B43" s="1360" t="s">
        <v>1545</v>
      </c>
      <c r="C43" s="75"/>
      <c r="D43" s="75"/>
      <c r="E43" s="75"/>
      <c r="F43" s="75"/>
      <c r="G43" s="1221"/>
      <c r="H43" s="75"/>
      <c r="I43" s="75"/>
      <c r="J43" s="75"/>
      <c r="K43" s="1306"/>
      <c r="L43" s="628"/>
      <c r="M43" s="628"/>
      <c r="N43" s="628"/>
      <c r="O43" s="628"/>
      <c r="P43" s="628"/>
      <c r="Q43" s="628">
        <f>+G43*M43/10</f>
        <v>0</v>
      </c>
      <c r="R43" s="628"/>
      <c r="S43" s="628"/>
      <c r="T43" s="628"/>
      <c r="U43" s="628"/>
      <c r="V43" s="75"/>
      <c r="W43" s="628"/>
      <c r="X43" s="1221"/>
      <c r="Y43" s="75"/>
      <c r="Z43" s="75"/>
      <c r="AA43" s="75"/>
      <c r="AB43" s="1358"/>
    </row>
    <row r="44" spans="1:28" ht="13.8" hidden="1" customHeight="1" x14ac:dyDescent="0.4">
      <c r="A44" s="1339"/>
      <c r="B44" s="1360" t="s">
        <v>1546</v>
      </c>
      <c r="C44" s="75"/>
      <c r="D44" s="75"/>
      <c r="E44" s="75"/>
      <c r="F44" s="75"/>
      <c r="G44" s="1221"/>
      <c r="H44" s="75"/>
      <c r="I44" s="75"/>
      <c r="J44" s="75"/>
      <c r="K44" s="1306"/>
      <c r="L44" s="628"/>
      <c r="M44" s="628"/>
      <c r="N44" s="628"/>
      <c r="O44" s="628"/>
      <c r="P44" s="628"/>
      <c r="Q44" s="628">
        <f>+G44*M44/10</f>
        <v>0</v>
      </c>
      <c r="R44" s="628"/>
      <c r="S44" s="628"/>
      <c r="T44" s="628"/>
      <c r="U44" s="628"/>
      <c r="V44" s="75"/>
      <c r="W44" s="628"/>
      <c r="X44" s="1221"/>
      <c r="Y44" s="75"/>
      <c r="Z44" s="75"/>
      <c r="AA44" s="75"/>
      <c r="AB44" s="1358"/>
    </row>
    <row r="45" spans="1:28" ht="13.8" hidden="1" customHeight="1" x14ac:dyDescent="0.4">
      <c r="A45" s="1339"/>
      <c r="B45" s="1360" t="s">
        <v>1549</v>
      </c>
      <c r="C45" s="75"/>
      <c r="D45" s="75"/>
      <c r="E45" s="75"/>
      <c r="F45" s="75"/>
      <c r="G45" s="1221"/>
      <c r="H45" s="75"/>
      <c r="I45" s="75"/>
      <c r="J45" s="75"/>
      <c r="K45" s="1306"/>
      <c r="L45" s="628"/>
      <c r="M45" s="628"/>
      <c r="N45" s="628"/>
      <c r="O45" s="628"/>
      <c r="P45" s="628"/>
      <c r="Q45" s="628">
        <f>+G45*M45/10</f>
        <v>0</v>
      </c>
      <c r="R45" s="628"/>
      <c r="S45" s="628"/>
      <c r="T45" s="628"/>
      <c r="U45" s="628"/>
      <c r="V45" s="75"/>
      <c r="W45" s="628"/>
      <c r="X45" s="1221"/>
      <c r="Y45" s="75"/>
      <c r="Z45" s="75"/>
      <c r="AA45" s="75"/>
      <c r="AB45" s="1358"/>
    </row>
    <row r="46" spans="1:28" ht="39.6" hidden="1" customHeight="1" x14ac:dyDescent="0.4">
      <c r="B46" s="519" t="s">
        <v>1111</v>
      </c>
      <c r="C46" s="1306">
        <f>+'F13 SEZ'!C220</f>
        <v>0</v>
      </c>
      <c r="D46" s="75"/>
      <c r="E46" s="75"/>
      <c r="F46" s="75"/>
      <c r="G46" s="75"/>
      <c r="H46" s="75"/>
      <c r="I46" s="75"/>
      <c r="J46" s="75"/>
      <c r="K46" s="1306"/>
      <c r="L46" s="628">
        <f>+'F1 SEZ'!M28</f>
        <v>0</v>
      </c>
      <c r="M46" s="628"/>
      <c r="N46" s="628"/>
      <c r="O46" s="628"/>
      <c r="P46" s="628"/>
      <c r="Q46" s="628"/>
      <c r="R46" s="628"/>
      <c r="S46" s="628"/>
      <c r="T46" s="628"/>
      <c r="U46" s="628">
        <f>SUM(N46:T46)</f>
        <v>0</v>
      </c>
      <c r="V46" s="75"/>
      <c r="W46" s="628">
        <f>+U46+V46</f>
        <v>0</v>
      </c>
      <c r="X46" s="75"/>
      <c r="Y46" s="75"/>
      <c r="Z46" s="75"/>
      <c r="AA46" s="75"/>
      <c r="AB46" s="2"/>
    </row>
    <row r="47" spans="1:28" ht="13.8" hidden="1" customHeight="1" x14ac:dyDescent="0.4">
      <c r="A47" s="1339"/>
      <c r="B47" s="1360" t="s">
        <v>1544</v>
      </c>
      <c r="C47" s="75"/>
      <c r="D47" s="75"/>
      <c r="E47" s="75"/>
      <c r="F47" s="75"/>
      <c r="G47" s="1221"/>
      <c r="H47" s="75"/>
      <c r="I47" s="75"/>
      <c r="J47" s="75"/>
      <c r="K47" s="1306"/>
      <c r="L47" s="628"/>
      <c r="M47" s="628"/>
      <c r="N47" s="628"/>
      <c r="O47" s="628"/>
      <c r="P47" s="628"/>
      <c r="Q47" s="628">
        <f>+G47*M47/10</f>
        <v>0</v>
      </c>
      <c r="R47" s="628"/>
      <c r="S47" s="628"/>
      <c r="T47" s="628"/>
      <c r="U47" s="628"/>
      <c r="V47" s="75"/>
      <c r="W47" s="628"/>
      <c r="X47" s="1221"/>
      <c r="Y47" s="75"/>
      <c r="Z47" s="75"/>
      <c r="AA47" s="75"/>
      <c r="AB47" s="1358"/>
    </row>
    <row r="48" spans="1:28" ht="13.8" hidden="1" customHeight="1" x14ac:dyDescent="0.4">
      <c r="A48" s="1339"/>
      <c r="B48" s="1360" t="s">
        <v>1545</v>
      </c>
      <c r="C48" s="75"/>
      <c r="D48" s="75"/>
      <c r="E48" s="75"/>
      <c r="F48" s="75"/>
      <c r="G48" s="1221"/>
      <c r="H48" s="75"/>
      <c r="I48" s="75"/>
      <c r="J48" s="75"/>
      <c r="K48" s="1306"/>
      <c r="L48" s="628"/>
      <c r="M48" s="628"/>
      <c r="N48" s="628"/>
      <c r="O48" s="628"/>
      <c r="P48" s="628"/>
      <c r="Q48" s="628">
        <f>+G48*M48/10</f>
        <v>0</v>
      </c>
      <c r="R48" s="628"/>
      <c r="S48" s="628"/>
      <c r="T48" s="628"/>
      <c r="U48" s="628"/>
      <c r="V48" s="75"/>
      <c r="W48" s="628"/>
      <c r="X48" s="1221"/>
      <c r="Y48" s="75"/>
      <c r="Z48" s="75"/>
      <c r="AA48" s="75"/>
      <c r="AB48" s="1358"/>
    </row>
    <row r="49" spans="1:28" ht="13.8" hidden="1" customHeight="1" x14ac:dyDescent="0.4">
      <c r="A49" s="1339"/>
      <c r="B49" s="1360" t="s">
        <v>1546</v>
      </c>
      <c r="C49" s="75"/>
      <c r="D49" s="75"/>
      <c r="E49" s="75"/>
      <c r="F49" s="75"/>
      <c r="G49" s="1221"/>
      <c r="H49" s="75"/>
      <c r="I49" s="75"/>
      <c r="J49" s="75"/>
      <c r="K49" s="1306"/>
      <c r="L49" s="628"/>
      <c r="M49" s="628"/>
      <c r="N49" s="628"/>
      <c r="O49" s="628"/>
      <c r="P49" s="628"/>
      <c r="Q49" s="628">
        <f>+G49*M49/10</f>
        <v>0</v>
      </c>
      <c r="R49" s="628"/>
      <c r="S49" s="628"/>
      <c r="T49" s="628"/>
      <c r="U49" s="628"/>
      <c r="V49" s="75"/>
      <c r="W49" s="628"/>
      <c r="X49" s="1221"/>
      <c r="Y49" s="75"/>
      <c r="Z49" s="75"/>
      <c r="AA49" s="75"/>
      <c r="AB49" s="1358"/>
    </row>
    <row r="50" spans="1:28" ht="13.8" hidden="1" customHeight="1" x14ac:dyDescent="0.4">
      <c r="A50" s="1339"/>
      <c r="B50" s="1360" t="s">
        <v>1549</v>
      </c>
      <c r="C50" s="75"/>
      <c r="D50" s="75"/>
      <c r="E50" s="75"/>
      <c r="F50" s="75"/>
      <c r="G50" s="1221"/>
      <c r="H50" s="75"/>
      <c r="I50" s="75"/>
      <c r="J50" s="75"/>
      <c r="K50" s="1306"/>
      <c r="L50" s="628"/>
      <c r="M50" s="628"/>
      <c r="N50" s="628"/>
      <c r="O50" s="628"/>
      <c r="P50" s="628"/>
      <c r="Q50" s="628">
        <f>+G50*M50/10</f>
        <v>0</v>
      </c>
      <c r="R50" s="628"/>
      <c r="S50" s="628"/>
      <c r="T50" s="628"/>
      <c r="U50" s="628"/>
      <c r="V50" s="75"/>
      <c r="W50" s="628"/>
      <c r="X50" s="1221"/>
      <c r="Y50" s="75"/>
      <c r="Z50" s="75"/>
      <c r="AA50" s="75"/>
      <c r="AB50" s="1358"/>
    </row>
    <row r="51" spans="1:28" s="6" customFormat="1" ht="25.5" x14ac:dyDescent="0.35">
      <c r="B51" s="1363" t="s">
        <v>1135</v>
      </c>
      <c r="C51" s="128">
        <f>+'F13.4'!C51</f>
        <v>1</v>
      </c>
      <c r="D51" s="128">
        <v>750</v>
      </c>
      <c r="E51" s="128"/>
      <c r="F51" s="1365">
        <v>6</v>
      </c>
      <c r="G51" s="128"/>
      <c r="H51" s="1365">
        <f ca="1">+'Tariff Schedule'!$V$7</f>
        <v>1.9790027535024768</v>
      </c>
      <c r="I51" s="128"/>
      <c r="J51" s="128"/>
      <c r="K51" s="1336">
        <v>19</v>
      </c>
      <c r="L51" s="630">
        <f>+'F1 SEZ'!M29</f>
        <v>0.45039804303970876</v>
      </c>
      <c r="M51" s="630">
        <f>+L51/AB51</f>
        <v>0.45958983983643753</v>
      </c>
      <c r="N51" s="630">
        <f>+C51*D51*12/10^7</f>
        <v>8.9999999999999998E-4</v>
      </c>
      <c r="O51" s="630"/>
      <c r="P51" s="630">
        <f>(L51*F51)/10</f>
        <v>0.27023882582382525</v>
      </c>
      <c r="Q51" s="630"/>
      <c r="R51" s="630">
        <f ca="1">(M51*H51)/10</f>
        <v>9.095295585180721E-2</v>
      </c>
      <c r="S51" s="630"/>
      <c r="T51" s="630"/>
      <c r="U51" s="630">
        <f ca="1">SUM(N51:T51)</f>
        <v>0.3620917816756325</v>
      </c>
      <c r="V51" s="128"/>
      <c r="W51" s="630">
        <f ca="1">+U51+V51</f>
        <v>0.3620917816756325</v>
      </c>
      <c r="X51" s="1222">
        <f ca="1">IFERROR(W51/L51*10,0)</f>
        <v>8.0393728896310748</v>
      </c>
      <c r="Y51" s="1503">
        <f ca="1">+X51/'Gap Adjustment'!$M$124</f>
        <v>1.0004029643282415</v>
      </c>
      <c r="Z51" s="1222">
        <f ca="1">(U51-R51)/L51*10</f>
        <v>6.0199823248326298</v>
      </c>
      <c r="AA51" s="1503">
        <f ca="1">+Z51/'Gap Adjustment'!$M$126</f>
        <v>0.9971576601817812</v>
      </c>
      <c r="AB51" s="1366">
        <f>+'Tariff Schedule'!X26</f>
        <v>0.98</v>
      </c>
    </row>
    <row r="52" spans="1:28" ht="39.6" hidden="1" customHeight="1" x14ac:dyDescent="0.4">
      <c r="B52" s="519" t="s">
        <v>1136</v>
      </c>
      <c r="C52" s="1306">
        <f>+'F13 SEZ'!C222</f>
        <v>0</v>
      </c>
      <c r="D52" s="75"/>
      <c r="E52" s="75"/>
      <c r="F52" s="75"/>
      <c r="G52" s="75"/>
      <c r="H52" s="75"/>
      <c r="I52" s="75"/>
      <c r="J52" s="75"/>
      <c r="K52" s="1306"/>
      <c r="L52" s="628">
        <f>+'F1 SEZ'!M30</f>
        <v>0</v>
      </c>
      <c r="M52" s="628"/>
      <c r="N52" s="628"/>
      <c r="O52" s="628"/>
      <c r="P52" s="628"/>
      <c r="Q52" s="628"/>
      <c r="R52" s="628"/>
      <c r="S52" s="628"/>
      <c r="T52" s="628"/>
      <c r="U52" s="628">
        <f>SUM(N52:T52)</f>
        <v>0</v>
      </c>
      <c r="V52" s="75"/>
      <c r="W52" s="628">
        <f>+U52+V52</f>
        <v>0</v>
      </c>
      <c r="X52" s="75"/>
      <c r="Y52" s="75"/>
      <c r="Z52" s="75"/>
      <c r="AA52" s="75"/>
      <c r="AB52" s="2"/>
    </row>
    <row r="53" spans="1:28" ht="13.8" hidden="1" customHeight="1" x14ac:dyDescent="0.4">
      <c r="A53" s="1339"/>
      <c r="B53" s="1360" t="s">
        <v>1544</v>
      </c>
      <c r="C53" s="75"/>
      <c r="D53" s="75"/>
      <c r="E53" s="75"/>
      <c r="F53" s="75"/>
      <c r="G53" s="1221"/>
      <c r="H53" s="75"/>
      <c r="I53" s="75"/>
      <c r="J53" s="75"/>
      <c r="K53" s="1306"/>
      <c r="L53" s="628"/>
      <c r="M53" s="628"/>
      <c r="N53" s="628"/>
      <c r="O53" s="628"/>
      <c r="P53" s="628"/>
      <c r="Q53" s="628">
        <f>+G53*M53/10</f>
        <v>0</v>
      </c>
      <c r="R53" s="628"/>
      <c r="S53" s="628"/>
      <c r="T53" s="628"/>
      <c r="U53" s="628"/>
      <c r="V53" s="75"/>
      <c r="W53" s="628"/>
      <c r="X53" s="1221"/>
      <c r="Y53" s="75"/>
      <c r="Z53" s="75"/>
      <c r="AA53" s="75"/>
      <c r="AB53" s="1358"/>
    </row>
    <row r="54" spans="1:28" ht="13.8" hidden="1" customHeight="1" x14ac:dyDescent="0.4">
      <c r="A54" s="1339"/>
      <c r="B54" s="1360" t="s">
        <v>1545</v>
      </c>
      <c r="C54" s="75"/>
      <c r="D54" s="75"/>
      <c r="E54" s="75"/>
      <c r="F54" s="75"/>
      <c r="G54" s="1221"/>
      <c r="H54" s="75"/>
      <c r="I54" s="75"/>
      <c r="J54" s="75"/>
      <c r="K54" s="1306"/>
      <c r="L54" s="628"/>
      <c r="M54" s="628"/>
      <c r="N54" s="628"/>
      <c r="O54" s="628"/>
      <c r="P54" s="628"/>
      <c r="Q54" s="628">
        <f>+G54*M54/10</f>
        <v>0</v>
      </c>
      <c r="R54" s="628"/>
      <c r="S54" s="628"/>
      <c r="T54" s="628"/>
      <c r="U54" s="628"/>
      <c r="V54" s="75"/>
      <c r="W54" s="628"/>
      <c r="X54" s="1221"/>
      <c r="Y54" s="75"/>
      <c r="Z54" s="75"/>
      <c r="AA54" s="75"/>
      <c r="AB54" s="1358"/>
    </row>
    <row r="55" spans="1:28" ht="13.8" hidden="1" customHeight="1" x14ac:dyDescent="0.4">
      <c r="A55" s="1339"/>
      <c r="B55" s="1360" t="s">
        <v>1546</v>
      </c>
      <c r="C55" s="75"/>
      <c r="D55" s="75"/>
      <c r="E55" s="75"/>
      <c r="F55" s="75"/>
      <c r="G55" s="1221"/>
      <c r="H55" s="75"/>
      <c r="I55" s="75"/>
      <c r="J55" s="75"/>
      <c r="K55" s="1306"/>
      <c r="L55" s="628"/>
      <c r="M55" s="628"/>
      <c r="N55" s="628"/>
      <c r="O55" s="628"/>
      <c r="P55" s="628"/>
      <c r="Q55" s="628">
        <f>+G55*M55/10</f>
        <v>0</v>
      </c>
      <c r="R55" s="628"/>
      <c r="S55" s="628"/>
      <c r="T55" s="628"/>
      <c r="U55" s="628"/>
      <c r="V55" s="75"/>
      <c r="W55" s="628"/>
      <c r="X55" s="1221"/>
      <c r="Y55" s="75"/>
      <c r="Z55" s="75"/>
      <c r="AA55" s="75"/>
      <c r="AB55" s="1358"/>
    </row>
    <row r="56" spans="1:28" ht="13.8" hidden="1" customHeight="1" x14ac:dyDescent="0.4">
      <c r="A56" s="1339"/>
      <c r="B56" s="1360" t="s">
        <v>1549</v>
      </c>
      <c r="C56" s="75"/>
      <c r="D56" s="75"/>
      <c r="E56" s="75"/>
      <c r="F56" s="75"/>
      <c r="G56" s="1221"/>
      <c r="H56" s="75"/>
      <c r="I56" s="75"/>
      <c r="J56" s="75"/>
      <c r="K56" s="1306"/>
      <c r="L56" s="628"/>
      <c r="M56" s="628"/>
      <c r="N56" s="628"/>
      <c r="O56" s="628"/>
      <c r="P56" s="628"/>
      <c r="Q56" s="628">
        <f>+G56*M56/10</f>
        <v>0</v>
      </c>
      <c r="R56" s="628"/>
      <c r="S56" s="628"/>
      <c r="T56" s="628"/>
      <c r="U56" s="628"/>
      <c r="V56" s="75"/>
      <c r="W56" s="628"/>
      <c r="X56" s="1221"/>
      <c r="Y56" s="75"/>
      <c r="Z56" s="75"/>
      <c r="AA56" s="75"/>
      <c r="AB56" s="1358"/>
    </row>
    <row r="57" spans="1:28" ht="13.8" hidden="1" customHeight="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75"/>
      <c r="AA57" s="75"/>
      <c r="AB57" s="2"/>
    </row>
    <row r="58" spans="1:28" ht="26.45" hidden="1" customHeight="1" x14ac:dyDescent="0.4">
      <c r="B58" s="519" t="s">
        <v>1142</v>
      </c>
      <c r="C58" s="1306">
        <f>+'F13 SEZ'!C223</f>
        <v>0</v>
      </c>
      <c r="D58" s="75"/>
      <c r="E58" s="75"/>
      <c r="F58" s="75"/>
      <c r="G58" s="75"/>
      <c r="H58" s="75"/>
      <c r="I58" s="75"/>
      <c r="J58" s="75"/>
      <c r="K58" s="1306"/>
      <c r="L58" s="628">
        <f>+'F1 SEZ'!M31</f>
        <v>0</v>
      </c>
      <c r="M58" s="628"/>
      <c r="N58" s="628"/>
      <c r="O58" s="628"/>
      <c r="P58" s="628"/>
      <c r="Q58" s="628"/>
      <c r="R58" s="628"/>
      <c r="S58" s="628"/>
      <c r="T58" s="628"/>
      <c r="U58" s="628">
        <f>SUM(N58:T58)</f>
        <v>0</v>
      </c>
      <c r="V58" s="75"/>
      <c r="W58" s="628">
        <f>+U58+V58</f>
        <v>0</v>
      </c>
      <c r="X58" s="75"/>
      <c r="Y58" s="75"/>
      <c r="Z58" s="75"/>
      <c r="AA58" s="75"/>
      <c r="AB58" s="2"/>
    </row>
    <row r="59" spans="1:28" ht="13.8" hidden="1" customHeight="1" x14ac:dyDescent="0.4">
      <c r="A59" s="1339"/>
      <c r="B59" s="1360" t="s">
        <v>1544</v>
      </c>
      <c r="C59" s="75"/>
      <c r="D59" s="75"/>
      <c r="E59" s="75"/>
      <c r="F59" s="75"/>
      <c r="G59" s="1221"/>
      <c r="H59" s="75"/>
      <c r="I59" s="75"/>
      <c r="J59" s="75"/>
      <c r="K59" s="1306"/>
      <c r="L59" s="628"/>
      <c r="M59" s="628"/>
      <c r="N59" s="628"/>
      <c r="O59" s="628"/>
      <c r="P59" s="628"/>
      <c r="Q59" s="628">
        <f>+G59*M59/10</f>
        <v>0</v>
      </c>
      <c r="R59" s="628"/>
      <c r="S59" s="628"/>
      <c r="T59" s="628"/>
      <c r="U59" s="628"/>
      <c r="V59" s="75"/>
      <c r="W59" s="628"/>
      <c r="X59" s="1221"/>
      <c r="Y59" s="75"/>
      <c r="Z59" s="75"/>
      <c r="AA59" s="75"/>
      <c r="AB59" s="1358"/>
    </row>
    <row r="60" spans="1:28" ht="13.8" hidden="1" customHeight="1" x14ac:dyDescent="0.4">
      <c r="A60" s="1339"/>
      <c r="B60" s="1360" t="s">
        <v>1545</v>
      </c>
      <c r="C60" s="75"/>
      <c r="D60" s="75"/>
      <c r="E60" s="75"/>
      <c r="F60" s="75"/>
      <c r="G60" s="1221"/>
      <c r="H60" s="75"/>
      <c r="I60" s="75"/>
      <c r="J60" s="75"/>
      <c r="K60" s="1306"/>
      <c r="L60" s="628"/>
      <c r="M60" s="628"/>
      <c r="N60" s="628"/>
      <c r="O60" s="628"/>
      <c r="P60" s="628"/>
      <c r="Q60" s="628">
        <f>+G60*M60/10</f>
        <v>0</v>
      </c>
      <c r="R60" s="628"/>
      <c r="S60" s="628"/>
      <c r="T60" s="628"/>
      <c r="U60" s="628"/>
      <c r="V60" s="75"/>
      <c r="W60" s="628"/>
      <c r="X60" s="1221"/>
      <c r="Y60" s="75"/>
      <c r="Z60" s="75"/>
      <c r="AA60" s="75"/>
      <c r="AB60" s="1358"/>
    </row>
    <row r="61" spans="1:28" ht="13.8" hidden="1" customHeight="1" x14ac:dyDescent="0.4">
      <c r="A61" s="1339"/>
      <c r="B61" s="1360" t="s">
        <v>1546</v>
      </c>
      <c r="C61" s="75"/>
      <c r="D61" s="75"/>
      <c r="E61" s="75"/>
      <c r="F61" s="75"/>
      <c r="G61" s="1221"/>
      <c r="H61" s="75"/>
      <c r="I61" s="75"/>
      <c r="J61" s="75"/>
      <c r="K61" s="1306"/>
      <c r="L61" s="628"/>
      <c r="M61" s="628"/>
      <c r="N61" s="628"/>
      <c r="O61" s="628"/>
      <c r="P61" s="628"/>
      <c r="Q61" s="628">
        <f>+G61*M61/10</f>
        <v>0</v>
      </c>
      <c r="R61" s="628"/>
      <c r="S61" s="628"/>
      <c r="T61" s="628"/>
      <c r="U61" s="628"/>
      <c r="V61" s="75"/>
      <c r="W61" s="628"/>
      <c r="X61" s="1221"/>
      <c r="Y61" s="75"/>
      <c r="Z61" s="75"/>
      <c r="AA61" s="75"/>
      <c r="AB61" s="1358"/>
    </row>
    <row r="62" spans="1:28" ht="13.8" hidden="1" customHeight="1" x14ac:dyDescent="0.4">
      <c r="A62" s="1339"/>
      <c r="B62" s="1360" t="s">
        <v>1549</v>
      </c>
      <c r="C62" s="75"/>
      <c r="D62" s="75"/>
      <c r="E62" s="75"/>
      <c r="F62" s="75"/>
      <c r="G62" s="1221"/>
      <c r="H62" s="75"/>
      <c r="I62" s="75"/>
      <c r="J62" s="75"/>
      <c r="K62" s="1306"/>
      <c r="L62" s="628"/>
      <c r="M62" s="628"/>
      <c r="N62" s="628"/>
      <c r="O62" s="628"/>
      <c r="P62" s="628"/>
      <c r="Q62" s="628">
        <f>+G62*M62/10</f>
        <v>0</v>
      </c>
      <c r="R62" s="628"/>
      <c r="S62" s="628"/>
      <c r="T62" s="628"/>
      <c r="U62" s="628"/>
      <c r="V62" s="75"/>
      <c r="W62" s="628"/>
      <c r="X62" s="1221"/>
      <c r="Y62" s="75"/>
      <c r="Z62" s="75"/>
      <c r="AA62" s="75"/>
      <c r="AB62" s="1358"/>
    </row>
    <row r="63" spans="1:28" x14ac:dyDescent="0.4">
      <c r="B63" s="518" t="s">
        <v>162</v>
      </c>
      <c r="C63" s="1308">
        <f>+C27+C34+C46+C51+C52+C58</f>
        <v>1</v>
      </c>
      <c r="D63" s="1308"/>
      <c r="E63" s="1310"/>
      <c r="F63" s="1310"/>
      <c r="G63" s="1310"/>
      <c r="H63" s="1310"/>
      <c r="I63" s="1310"/>
      <c r="J63" s="1310"/>
      <c r="K63" s="1308">
        <f>+K27+K34+K46+K51+K52+K58</f>
        <v>19</v>
      </c>
      <c r="L63" s="630">
        <f t="shared" ref="L63:W63" si="1">+L27+L34+L46+L51+L52+L58</f>
        <v>0.45039804303970876</v>
      </c>
      <c r="M63" s="630">
        <f t="shared" si="1"/>
        <v>0.45958983983643753</v>
      </c>
      <c r="N63" s="630">
        <f t="shared" si="1"/>
        <v>8.9999999999999998E-4</v>
      </c>
      <c r="O63" s="630">
        <f t="shared" si="1"/>
        <v>0</v>
      </c>
      <c r="P63" s="630">
        <f t="shared" si="1"/>
        <v>0.27023882582382525</v>
      </c>
      <c r="Q63" s="630">
        <f t="shared" si="1"/>
        <v>0</v>
      </c>
      <c r="R63" s="630">
        <f t="shared" ca="1" si="1"/>
        <v>9.095295585180721E-2</v>
      </c>
      <c r="S63" s="630">
        <f t="shared" si="1"/>
        <v>0</v>
      </c>
      <c r="T63" s="630">
        <f t="shared" si="1"/>
        <v>0</v>
      </c>
      <c r="U63" s="630">
        <f t="shared" ca="1" si="1"/>
        <v>0.3620917816756325</v>
      </c>
      <c r="V63" s="630">
        <f t="shared" si="1"/>
        <v>0</v>
      </c>
      <c r="W63" s="630">
        <f t="shared" ca="1" si="1"/>
        <v>0.3620917816756325</v>
      </c>
      <c r="X63" s="1222">
        <f ca="1">IFERROR(W63/L63*10,0)</f>
        <v>8.0393728896310748</v>
      </c>
      <c r="Y63" s="1503">
        <f ca="1">+X63/'Gap Adjustment'!$M$124</f>
        <v>1.0004029643282415</v>
      </c>
      <c r="Z63" s="75"/>
      <c r="AA63" s="75"/>
      <c r="AB63" s="2"/>
    </row>
    <row r="64" spans="1:28"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1503"/>
      <c r="Z64" s="75"/>
      <c r="AA64" s="75"/>
      <c r="AB64" s="2"/>
    </row>
    <row r="65" spans="1:28" x14ac:dyDescent="0.4">
      <c r="B65" s="119" t="s">
        <v>164</v>
      </c>
      <c r="C65" s="1308">
        <f t="shared" ref="C65:K65" si="2">+C63+C25</f>
        <v>6</v>
      </c>
      <c r="D65" s="1309">
        <f t="shared" si="2"/>
        <v>0</v>
      </c>
      <c r="E65" s="1309">
        <f t="shared" si="2"/>
        <v>0</v>
      </c>
      <c r="F65" s="1309">
        <f t="shared" si="2"/>
        <v>0</v>
      </c>
      <c r="G65" s="1309">
        <f t="shared" si="2"/>
        <v>0</v>
      </c>
      <c r="H65" s="1309">
        <f t="shared" si="2"/>
        <v>0</v>
      </c>
      <c r="I65" s="1309">
        <f t="shared" si="2"/>
        <v>0</v>
      </c>
      <c r="J65" s="1309">
        <f t="shared" si="2"/>
        <v>0</v>
      </c>
      <c r="K65" s="1336">
        <f t="shared" si="2"/>
        <v>34559</v>
      </c>
      <c r="L65" s="630">
        <f>+M63+M25</f>
        <v>246.73261317086224</v>
      </c>
      <c r="M65" s="630">
        <f t="shared" ref="M65:W65" si="3">+M63+M25</f>
        <v>246.73261317086224</v>
      </c>
      <c r="N65" s="630">
        <f t="shared" si="3"/>
        <v>8.9999999999999998E-4</v>
      </c>
      <c r="O65" s="630">
        <f t="shared" si="3"/>
        <v>27.226080000000003</v>
      </c>
      <c r="P65" s="630">
        <f t="shared" si="3"/>
        <v>120.20095724914324</v>
      </c>
      <c r="Q65" s="630">
        <f t="shared" si="3"/>
        <v>0</v>
      </c>
      <c r="R65" s="630">
        <f t="shared" ca="1" si="3"/>
        <v>48.828452084399785</v>
      </c>
      <c r="S65" s="630">
        <f t="shared" si="3"/>
        <v>0</v>
      </c>
      <c r="T65" s="630">
        <f t="shared" si="3"/>
        <v>0</v>
      </c>
      <c r="U65" s="630">
        <f t="shared" ca="1" si="3"/>
        <v>196.25638933354304</v>
      </c>
      <c r="V65" s="1309">
        <f t="shared" si="3"/>
        <v>0</v>
      </c>
      <c r="W65" s="630">
        <f t="shared" ca="1" si="3"/>
        <v>196.25638933354304</v>
      </c>
      <c r="X65" s="1222">
        <f ca="1">IFERROR(W65/L65*10,0)</f>
        <v>7.9542135436159613</v>
      </c>
      <c r="Y65" s="1503">
        <f ca="1">+X65/'Gap Adjustment'!$M$124</f>
        <v>0.98980591112976946</v>
      </c>
      <c r="Z65" s="1222">
        <f ca="1">(U65-R65)/L65*10</f>
        <v>5.9752107901134854</v>
      </c>
      <c r="AA65" s="1503">
        <f ca="1">+Z65/'Gap Adjustment'!$M$126</f>
        <v>0.98974164525111763</v>
      </c>
      <c r="AB65" s="2"/>
    </row>
    <row r="66" spans="1:28"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75"/>
      <c r="AA66" s="75"/>
      <c r="AB66" s="2"/>
    </row>
    <row r="67" spans="1:28" x14ac:dyDescent="0.4">
      <c r="B67" s="118"/>
      <c r="C67" s="103"/>
      <c r="D67" s="103"/>
      <c r="E67" s="103"/>
      <c r="F67" s="103"/>
      <c r="G67" s="103"/>
      <c r="H67" s="103"/>
      <c r="I67" s="103"/>
      <c r="J67" s="103"/>
      <c r="K67" s="1333"/>
      <c r="L67" s="1328"/>
      <c r="M67" s="1328"/>
      <c r="N67" s="1328"/>
      <c r="O67" s="103"/>
      <c r="P67" s="103"/>
      <c r="Q67" s="103"/>
      <c r="R67" s="1504">
        <f ca="1">+'Gap Adjustment'!M80-R65</f>
        <v>-1.0162294013724704E-3</v>
      </c>
      <c r="S67" s="103"/>
      <c r="T67" s="103"/>
      <c r="U67" s="103"/>
      <c r="V67" s="103"/>
      <c r="W67" s="1328">
        <f ca="1">+'Gap Adjustment'!M96-W65</f>
        <v>3.4398149193179961E-2</v>
      </c>
      <c r="X67" s="103"/>
      <c r="Y67" s="103"/>
      <c r="Z67" s="103"/>
      <c r="AA67" s="103"/>
    </row>
    <row r="68" spans="1:28" x14ac:dyDescent="0.4">
      <c r="B68" s="7" t="s">
        <v>1608</v>
      </c>
      <c r="C68" s="7"/>
      <c r="D68" s="7"/>
      <c r="E68" s="7"/>
      <c r="F68" s="7"/>
      <c r="G68" s="7"/>
      <c r="H68" s="7"/>
      <c r="I68" s="7"/>
      <c r="J68" s="7"/>
      <c r="K68" s="1337"/>
      <c r="L68" s="1330"/>
      <c r="M68" s="1330"/>
      <c r="N68" s="1330"/>
      <c r="O68" s="7"/>
      <c r="P68" s="7"/>
      <c r="Q68" s="7"/>
      <c r="R68" s="7"/>
      <c r="S68" s="7"/>
      <c r="T68" s="7"/>
      <c r="U68" s="7"/>
      <c r="V68" s="7"/>
      <c r="W68" s="1330"/>
      <c r="X68" s="7"/>
      <c r="Y68" s="7"/>
      <c r="Z68" s="7"/>
      <c r="AA68" s="7"/>
    </row>
    <row r="69" spans="1:28"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c r="Z69" s="7"/>
      <c r="AA69" s="7"/>
    </row>
    <row r="70" spans="1:28"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c r="Z70" s="7"/>
      <c r="AA70" s="7"/>
    </row>
    <row r="72" spans="1:28" x14ac:dyDescent="0.4">
      <c r="B72" s="131" t="s">
        <v>748</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c r="Z72" s="103"/>
      <c r="AA72" s="103"/>
    </row>
    <row r="73" spans="1:28" x14ac:dyDescent="0.4">
      <c r="B73" s="131" t="s">
        <v>1609</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c r="Z73" s="103"/>
      <c r="AA73" s="103"/>
    </row>
    <row r="74" spans="1:28"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c r="Z74" s="103"/>
      <c r="AA74" s="103"/>
    </row>
    <row r="75" spans="1:28"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06"/>
      <c r="AA75" s="106"/>
      <c r="AB75" s="1947" t="s">
        <v>1570</v>
      </c>
    </row>
    <row r="76" spans="1:28"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06"/>
      <c r="AA76" s="106"/>
      <c r="AB76" s="1947"/>
    </row>
    <row r="77" spans="1:28"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80"/>
      <c r="AA77" s="80"/>
      <c r="AB77" s="2"/>
    </row>
    <row r="78" spans="1:28" s="6" customFormat="1" ht="13.5" x14ac:dyDescent="0.35">
      <c r="A78" s="1364">
        <f>+'F14.2'!A78</f>
        <v>0.9</v>
      </c>
      <c r="B78" s="517" t="s">
        <v>1129</v>
      </c>
      <c r="C78" s="128">
        <f>+'F13.4'!C78</f>
        <v>1</v>
      </c>
      <c r="D78" s="128"/>
      <c r="E78" s="128">
        <v>730</v>
      </c>
      <c r="F78" s="1365">
        <f>+'Tariff Schedule'!P14</f>
        <v>6.39</v>
      </c>
      <c r="G78" s="128"/>
      <c r="H78" s="1365">
        <v>0.81</v>
      </c>
      <c r="I78" s="128"/>
      <c r="J78" s="128"/>
      <c r="K78" s="1336">
        <v>211</v>
      </c>
      <c r="L78" s="630">
        <f>+'F1 Non-SEZ'!M12</f>
        <v>0.18479900000000216</v>
      </c>
      <c r="M78" s="630">
        <f>+L78/AB78</f>
        <v>0.18666565656565876</v>
      </c>
      <c r="N78" s="630"/>
      <c r="O78" s="630">
        <f>(K78*E78)*12/10^7*A78</f>
        <v>0.16635240000000001</v>
      </c>
      <c r="P78" s="630">
        <f>(M78*F78)/10</f>
        <v>0.11927935454545593</v>
      </c>
      <c r="Q78" s="630">
        <f>SUM(Q79:Q82)</f>
        <v>0</v>
      </c>
      <c r="R78" s="630">
        <f>(M78*H78)/10</f>
        <v>1.5119918181818359E-2</v>
      </c>
      <c r="S78" s="630"/>
      <c r="T78" s="630"/>
      <c r="U78" s="630">
        <f>SUM(N78:T78)</f>
        <v>0.30075167272727432</v>
      </c>
      <c r="V78" s="128"/>
      <c r="W78" s="630">
        <f>+U78+V78</f>
        <v>0.30075167272727432</v>
      </c>
      <c r="X78" s="1222">
        <f>IFERROR(W78/L78*10,0)</f>
        <v>16.274529230529971</v>
      </c>
      <c r="Y78" s="128"/>
      <c r="Z78" s="128"/>
      <c r="AA78" s="128"/>
      <c r="AB78" s="1366">
        <f>+'Tariff Schedule'!X14</f>
        <v>0.99</v>
      </c>
    </row>
    <row r="79" spans="1:28" x14ac:dyDescent="0.4">
      <c r="A79" s="1339"/>
      <c r="B79" s="1360" t="s">
        <v>1544</v>
      </c>
      <c r="C79" s="75"/>
      <c r="D79" s="75"/>
      <c r="E79" s="75"/>
      <c r="F79" s="75"/>
      <c r="G79" s="1221"/>
      <c r="H79" s="75"/>
      <c r="I79" s="75"/>
      <c r="J79" s="75"/>
      <c r="K79" s="1306"/>
      <c r="L79" s="628"/>
      <c r="M79" s="628">
        <f>+$M$78*Assum!E125</f>
        <v>4.5705982354672804E-2</v>
      </c>
      <c r="N79" s="628"/>
      <c r="O79" s="628"/>
      <c r="P79" s="628"/>
      <c r="Q79" s="628">
        <f>+G79*M79/10</f>
        <v>0</v>
      </c>
      <c r="R79" s="628"/>
      <c r="S79" s="628"/>
      <c r="T79" s="628"/>
      <c r="U79" s="628"/>
      <c r="V79" s="75"/>
      <c r="W79" s="628"/>
      <c r="X79" s="1221"/>
      <c r="Y79" s="75"/>
      <c r="Z79" s="75"/>
      <c r="AA79" s="75"/>
      <c r="AB79" s="1358"/>
    </row>
    <row r="80" spans="1:28" x14ac:dyDescent="0.4">
      <c r="A80" s="1339"/>
      <c r="B80" s="1360" t="s">
        <v>1545</v>
      </c>
      <c r="C80" s="75"/>
      <c r="D80" s="75"/>
      <c r="E80" s="75"/>
      <c r="F80" s="75"/>
      <c r="G80" s="1221"/>
      <c r="H80" s="75"/>
      <c r="I80" s="75"/>
      <c r="J80" s="75"/>
      <c r="K80" s="1306"/>
      <c r="L80" s="628"/>
      <c r="M80" s="628">
        <f>+$M$78*Assum!E126</f>
        <v>2.3562816725167475E-2</v>
      </c>
      <c r="N80" s="628"/>
      <c r="O80" s="628"/>
      <c r="P80" s="628"/>
      <c r="Q80" s="628">
        <f>+G80*M80/10</f>
        <v>0</v>
      </c>
      <c r="R80" s="628"/>
      <c r="S80" s="628"/>
      <c r="T80" s="628"/>
      <c r="U80" s="628"/>
      <c r="V80" s="75"/>
      <c r="W80" s="628"/>
      <c r="X80" s="1221"/>
      <c r="Y80" s="75"/>
      <c r="Z80" s="75"/>
      <c r="AA80" s="75"/>
      <c r="AB80" s="1358"/>
    </row>
    <row r="81" spans="1:28" x14ac:dyDescent="0.4">
      <c r="A81" s="1339"/>
      <c r="B81" s="1360" t="s">
        <v>1546</v>
      </c>
      <c r="C81" s="75"/>
      <c r="D81" s="75"/>
      <c r="E81" s="75"/>
      <c r="F81" s="75"/>
      <c r="G81" s="1221"/>
      <c r="H81" s="75"/>
      <c r="I81" s="75"/>
      <c r="J81" s="75"/>
      <c r="K81" s="1306"/>
      <c r="L81" s="628"/>
      <c r="M81" s="628">
        <f>+$M$78*Assum!E127</f>
        <v>6.2753697377773004E-2</v>
      </c>
      <c r="N81" s="628"/>
      <c r="O81" s="628"/>
      <c r="P81" s="628"/>
      <c r="Q81" s="628">
        <f>+G81*M81/10</f>
        <v>0</v>
      </c>
      <c r="R81" s="628"/>
      <c r="S81" s="628"/>
      <c r="T81" s="628"/>
      <c r="U81" s="628"/>
      <c r="V81" s="75"/>
      <c r="W81" s="628"/>
      <c r="X81" s="1221"/>
      <c r="Y81" s="75"/>
      <c r="Z81" s="75"/>
      <c r="AA81" s="75"/>
      <c r="AB81" s="1358"/>
    </row>
    <row r="82" spans="1:28" x14ac:dyDescent="0.4">
      <c r="A82" s="1339"/>
      <c r="B82" s="1360" t="s">
        <v>1549</v>
      </c>
      <c r="C82" s="75"/>
      <c r="D82" s="75"/>
      <c r="E82" s="75"/>
      <c r="F82" s="75"/>
      <c r="G82" s="1221"/>
      <c r="H82" s="75"/>
      <c r="I82" s="75"/>
      <c r="J82" s="75"/>
      <c r="K82" s="1306"/>
      <c r="L82" s="628"/>
      <c r="M82" s="628">
        <f>+$M$78*Assum!E128</f>
        <v>5.4643160108045465E-2</v>
      </c>
      <c r="N82" s="628"/>
      <c r="O82" s="628"/>
      <c r="P82" s="628"/>
      <c r="Q82" s="628">
        <f>+G82*M82/10</f>
        <v>0</v>
      </c>
      <c r="R82" s="628"/>
      <c r="S82" s="628"/>
      <c r="T82" s="628"/>
      <c r="U82" s="628"/>
      <c r="V82" s="75"/>
      <c r="W82" s="628"/>
      <c r="X82" s="1221"/>
      <c r="Y82" s="75"/>
      <c r="Z82" s="75"/>
      <c r="AA82" s="75"/>
      <c r="AB82" s="1358"/>
    </row>
    <row r="83" spans="1:28" s="6" customFormat="1" ht="13.5" x14ac:dyDescent="0.35">
      <c r="A83" s="1364">
        <f>+'F14.2'!A83</f>
        <v>0.75</v>
      </c>
      <c r="B83" s="517" t="s">
        <v>1130</v>
      </c>
      <c r="C83" s="128">
        <f>+'F13.4'!C83</f>
        <v>3</v>
      </c>
      <c r="D83" s="128"/>
      <c r="E83" s="128">
        <v>730</v>
      </c>
      <c r="F83" s="1365">
        <f>+'Tariff Schedule'!P15</f>
        <v>10.6</v>
      </c>
      <c r="G83" s="128"/>
      <c r="H83" s="1365">
        <v>0.81</v>
      </c>
      <c r="I83" s="128"/>
      <c r="J83" s="128"/>
      <c r="K83" s="1336">
        <v>475</v>
      </c>
      <c r="L83" s="630">
        <f>+'F1 Non-SEZ'!M13</f>
        <v>0.94839049070883918</v>
      </c>
      <c r="M83" s="630">
        <f>+L83/AB83</f>
        <v>0.96774539868248899</v>
      </c>
      <c r="N83" s="630"/>
      <c r="O83" s="630">
        <f>(K83*E83)*12/10^7*A83</f>
        <v>0.31207499999999999</v>
      </c>
      <c r="P83" s="630">
        <f>(M83*F83)/10</f>
        <v>1.0258101226034382</v>
      </c>
      <c r="Q83" s="630">
        <f>SUM(Q84:Q87)</f>
        <v>0</v>
      </c>
      <c r="R83" s="630">
        <f>(M83*H83)/10</f>
        <v>7.8387377293281615E-2</v>
      </c>
      <c r="S83" s="630"/>
      <c r="T83" s="630"/>
      <c r="U83" s="630">
        <f>SUM(N83:T83)</f>
        <v>1.4162724998967198</v>
      </c>
      <c r="V83" s="128"/>
      <c r="W83" s="630">
        <f>+U83+V83</f>
        <v>1.4162724998967198</v>
      </c>
      <c r="X83" s="1222">
        <f>IFERROR(W83/L83*10,0)</f>
        <v>14.933432101772548</v>
      </c>
      <c r="Y83" s="128"/>
      <c r="Z83" s="128"/>
      <c r="AA83" s="128"/>
      <c r="AB83" s="1366">
        <f>+'Tariff Schedule'!X15</f>
        <v>0.98</v>
      </c>
    </row>
    <row r="84" spans="1:28" x14ac:dyDescent="0.4">
      <c r="A84" s="1339"/>
      <c r="B84" s="1360" t="s">
        <v>1544</v>
      </c>
      <c r="C84" s="75"/>
      <c r="D84" s="75"/>
      <c r="E84" s="75"/>
      <c r="F84" s="75"/>
      <c r="G84" s="1221"/>
      <c r="H84" s="75"/>
      <c r="I84" s="75"/>
      <c r="J84" s="75"/>
      <c r="K84" s="1306"/>
      <c r="L84" s="628"/>
      <c r="M84" s="628">
        <f>+$M$83*Assum!F125</f>
        <v>0.13629681166824961</v>
      </c>
      <c r="N84" s="628"/>
      <c r="O84" s="628"/>
      <c r="P84" s="628"/>
      <c r="Q84" s="628">
        <f>+G84*M84/10</f>
        <v>0</v>
      </c>
      <c r="R84" s="628"/>
      <c r="S84" s="628"/>
      <c r="T84" s="628"/>
      <c r="U84" s="628"/>
      <c r="V84" s="75"/>
      <c r="W84" s="628"/>
      <c r="X84" s="1221"/>
      <c r="Y84" s="75"/>
      <c r="Z84" s="75"/>
      <c r="AA84" s="75"/>
      <c r="AB84" s="1358"/>
    </row>
    <row r="85" spans="1:28" x14ac:dyDescent="0.4">
      <c r="A85" s="1339"/>
      <c r="B85" s="1360" t="s">
        <v>1545</v>
      </c>
      <c r="C85" s="75"/>
      <c r="D85" s="75"/>
      <c r="E85" s="75"/>
      <c r="F85" s="75"/>
      <c r="G85" s="1221"/>
      <c r="H85" s="75"/>
      <c r="I85" s="75"/>
      <c r="J85" s="75"/>
      <c r="K85" s="1306"/>
      <c r="L85" s="628"/>
      <c r="M85" s="628">
        <f>+$M$83*Assum!F126</f>
        <v>0.13748130094871328</v>
      </c>
      <c r="N85" s="628"/>
      <c r="O85" s="628"/>
      <c r="P85" s="628"/>
      <c r="Q85" s="628">
        <f>+G85*M85/10</f>
        <v>0</v>
      </c>
      <c r="R85" s="628"/>
      <c r="S85" s="628"/>
      <c r="T85" s="628"/>
      <c r="U85" s="628"/>
      <c r="V85" s="75"/>
      <c r="W85" s="628"/>
      <c r="X85" s="1221"/>
      <c r="Y85" s="75"/>
      <c r="Z85" s="75"/>
      <c r="AA85" s="75"/>
      <c r="AB85" s="1358"/>
    </row>
    <row r="86" spans="1:28" x14ac:dyDescent="0.4">
      <c r="A86" s="1339"/>
      <c r="B86" s="1360" t="s">
        <v>1546</v>
      </c>
      <c r="C86" s="75"/>
      <c r="D86" s="75"/>
      <c r="E86" s="75"/>
      <c r="F86" s="75"/>
      <c r="G86" s="1221"/>
      <c r="H86" s="75"/>
      <c r="I86" s="75"/>
      <c r="J86" s="75"/>
      <c r="K86" s="1306"/>
      <c r="L86" s="628"/>
      <c r="M86" s="628">
        <f>+$M$83*Assum!F127</f>
        <v>0.41491006659551383</v>
      </c>
      <c r="N86" s="628"/>
      <c r="O86" s="628"/>
      <c r="P86" s="628"/>
      <c r="Q86" s="628">
        <f>+G86*M86/10</f>
        <v>0</v>
      </c>
      <c r="R86" s="628"/>
      <c r="S86" s="628"/>
      <c r="T86" s="628"/>
      <c r="U86" s="628"/>
      <c r="V86" s="75"/>
      <c r="W86" s="628"/>
      <c r="X86" s="1221"/>
      <c r="Y86" s="75"/>
      <c r="Z86" s="75"/>
      <c r="AA86" s="75"/>
      <c r="AB86" s="1358"/>
    </row>
    <row r="87" spans="1:28" x14ac:dyDescent="0.4">
      <c r="A87" s="1339"/>
      <c r="B87" s="1360" t="s">
        <v>1549</v>
      </c>
      <c r="C87" s="75"/>
      <c r="D87" s="75"/>
      <c r="E87" s="75"/>
      <c r="F87" s="75"/>
      <c r="G87" s="1221"/>
      <c r="H87" s="75"/>
      <c r="I87" s="75"/>
      <c r="J87" s="75"/>
      <c r="K87" s="1306"/>
      <c r="L87" s="628"/>
      <c r="M87" s="628">
        <f>+$M$83*Assum!F128</f>
        <v>0.27905721947001222</v>
      </c>
      <c r="N87" s="628"/>
      <c r="O87" s="628"/>
      <c r="P87" s="628"/>
      <c r="Q87" s="628">
        <f>+G87*M87/10</f>
        <v>0</v>
      </c>
      <c r="R87" s="628"/>
      <c r="S87" s="628"/>
      <c r="T87" s="628"/>
      <c r="U87" s="628"/>
      <c r="V87" s="75"/>
      <c r="W87" s="628"/>
      <c r="X87" s="1221"/>
      <c r="Y87" s="75"/>
      <c r="Z87" s="75"/>
      <c r="AA87" s="75"/>
      <c r="AB87" s="1358"/>
    </row>
    <row r="88" spans="1:28"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75"/>
      <c r="AA88" s="75"/>
      <c r="AB88" s="2"/>
    </row>
    <row r="89" spans="1:28"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75"/>
      <c r="AA89" s="75"/>
      <c r="AB89" s="2"/>
    </row>
    <row r="90" spans="1:28" x14ac:dyDescent="0.4">
      <c r="B90" s="518" t="s">
        <v>162</v>
      </c>
      <c r="C90" s="128">
        <f>SUM(C78:C89)</f>
        <v>4</v>
      </c>
      <c r="D90" s="1309"/>
      <c r="E90" s="1309"/>
      <c r="F90" s="1309"/>
      <c r="G90" s="1309"/>
      <c r="H90" s="1309"/>
      <c r="I90" s="1309"/>
      <c r="J90" s="1309"/>
      <c r="K90" s="1336">
        <f>SUM(K78:K89)</f>
        <v>686</v>
      </c>
      <c r="L90" s="630">
        <f>SUM(M78:M89)</f>
        <v>2.3088221104962954</v>
      </c>
      <c r="M90" s="630">
        <f>SUM(M78:M89)</f>
        <v>2.3088221104962954</v>
      </c>
      <c r="N90" s="630">
        <f t="shared" ref="N90:W90" si="4">+N78+N83</f>
        <v>0</v>
      </c>
      <c r="O90" s="630">
        <f t="shared" si="4"/>
        <v>0.4784274</v>
      </c>
      <c r="P90" s="630">
        <f t="shared" si="4"/>
        <v>1.1450894771488942</v>
      </c>
      <c r="Q90" s="630">
        <f t="shared" si="4"/>
        <v>0</v>
      </c>
      <c r="R90" s="630">
        <f t="shared" si="4"/>
        <v>9.3507295475099977E-2</v>
      </c>
      <c r="S90" s="630">
        <f t="shared" si="4"/>
        <v>0</v>
      </c>
      <c r="T90" s="630">
        <f t="shared" si="4"/>
        <v>0</v>
      </c>
      <c r="U90" s="630">
        <f t="shared" si="4"/>
        <v>1.7170241726239941</v>
      </c>
      <c r="V90" s="630">
        <f t="shared" si="4"/>
        <v>0</v>
      </c>
      <c r="W90" s="630">
        <f t="shared" si="4"/>
        <v>1.7170241726239941</v>
      </c>
      <c r="X90" s="1222">
        <f>IFERROR(W90/L90*10,0)</f>
        <v>7.4367971651783478</v>
      </c>
      <c r="Y90" s="75"/>
      <c r="Z90" s="75"/>
      <c r="AA90" s="75"/>
      <c r="AB90" s="2"/>
    </row>
    <row r="91" spans="1:28"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75"/>
      <c r="AA91" s="75"/>
      <c r="AB91" s="2"/>
    </row>
    <row r="92" spans="1:28" s="6" customFormat="1" ht="13.5" x14ac:dyDescent="0.35">
      <c r="B92" s="1363" t="s">
        <v>1133</v>
      </c>
      <c r="C92" s="128"/>
      <c r="D92" s="128">
        <v>445</v>
      </c>
      <c r="E92" s="128"/>
      <c r="F92" s="128"/>
      <c r="G92" s="128"/>
      <c r="H92" s="128"/>
      <c r="I92" s="128"/>
      <c r="J92" s="128"/>
      <c r="K92" s="1336"/>
      <c r="L92" s="630">
        <f>SUM(M93:M96)</f>
        <v>11.482487174405398</v>
      </c>
      <c r="M92" s="630">
        <f t="shared" ref="M92:W92" si="5">SUM(M93:M96)</f>
        <v>11.482487174405398</v>
      </c>
      <c r="N92" s="630">
        <f t="shared" si="5"/>
        <v>1.6057379999999999</v>
      </c>
      <c r="O92" s="630">
        <f t="shared" si="5"/>
        <v>0</v>
      </c>
      <c r="P92" s="630">
        <f t="shared" si="5"/>
        <v>11.612303256992101</v>
      </c>
      <c r="Q92" s="630">
        <f t="shared" si="5"/>
        <v>0</v>
      </c>
      <c r="R92" s="630">
        <f t="shared" si="5"/>
        <v>1.8601629222536746</v>
      </c>
      <c r="S92" s="630">
        <f t="shared" si="5"/>
        <v>0</v>
      </c>
      <c r="T92" s="630">
        <f t="shared" si="5"/>
        <v>0</v>
      </c>
      <c r="U92" s="630">
        <f t="shared" si="5"/>
        <v>15.078204179245777</v>
      </c>
      <c r="V92" s="630">
        <f t="shared" si="5"/>
        <v>0</v>
      </c>
      <c r="W92" s="630">
        <f t="shared" si="5"/>
        <v>15.078204179245777</v>
      </c>
      <c r="X92" s="1222">
        <f>IFERROR(W92/L92*10,0)</f>
        <v>13.131479225907848</v>
      </c>
      <c r="Y92" s="128"/>
      <c r="Z92" s="128"/>
      <c r="AA92" s="128"/>
      <c r="AB92" s="3"/>
    </row>
    <row r="93" spans="1:28" x14ac:dyDescent="0.4">
      <c r="B93" s="520" t="s">
        <v>1106</v>
      </c>
      <c r="C93" s="128">
        <f>+'F13.4'!C93</f>
        <v>1725</v>
      </c>
      <c r="D93" s="75"/>
      <c r="E93" s="75"/>
      <c r="F93" s="1359">
        <f>+'Tariff Schedule'!P17</f>
        <v>2.52</v>
      </c>
      <c r="G93" s="1359"/>
      <c r="H93" s="1359">
        <v>1.62</v>
      </c>
      <c r="I93" s="75"/>
      <c r="J93" s="75"/>
      <c r="K93" s="1306"/>
      <c r="L93" s="628">
        <f>+'F1 Non-SEZ'!M19</f>
        <v>2.6696019132437998</v>
      </c>
      <c r="M93" s="628">
        <f>+L93/AB93</f>
        <v>2.6696019132437998</v>
      </c>
      <c r="N93" s="628">
        <f>+C93*$D$92*12/10^7</f>
        <v>0.92115000000000002</v>
      </c>
      <c r="O93" s="628"/>
      <c r="P93" s="628">
        <f>+L93*F93/10</f>
        <v>0.67273968213743751</v>
      </c>
      <c r="Q93" s="628">
        <f>+L93*Assum!$G$127*G93/10</f>
        <v>0</v>
      </c>
      <c r="R93" s="628">
        <f>(L93*H93)/10</f>
        <v>0.43247550994549561</v>
      </c>
      <c r="S93" s="628"/>
      <c r="T93" s="628"/>
      <c r="U93" s="628">
        <f>SUM(N93:T93)</f>
        <v>2.0263651920829333</v>
      </c>
      <c r="V93" s="75"/>
      <c r="W93" s="628">
        <f>+U93+V93</f>
        <v>2.0263651920829333</v>
      </c>
      <c r="X93" s="1221">
        <f>IFERROR(W93/L93*10,0)</f>
        <v>7.5905144584674131</v>
      </c>
      <c r="Y93" s="75"/>
      <c r="Z93" s="75"/>
      <c r="AA93" s="75"/>
      <c r="AB93" s="1358">
        <f>+'Tariff Schedule'!X17</f>
        <v>1</v>
      </c>
    </row>
    <row r="94" spans="1:28" x14ac:dyDescent="0.4">
      <c r="B94" s="520" t="s">
        <v>1107</v>
      </c>
      <c r="C94" s="128">
        <f>+'F13.4'!C94</f>
        <v>670</v>
      </c>
      <c r="D94" s="75"/>
      <c r="E94" s="75"/>
      <c r="F94" s="1359">
        <f>+'Tariff Schedule'!P18</f>
        <v>8.93</v>
      </c>
      <c r="G94" s="1359"/>
      <c r="H94" s="1359">
        <v>1.62</v>
      </c>
      <c r="I94" s="75"/>
      <c r="J94" s="75"/>
      <c r="K94" s="1306"/>
      <c r="L94" s="628">
        <f>+'F1 Non-SEZ'!M20</f>
        <v>2.5852110422015162</v>
      </c>
      <c r="M94" s="628">
        <f>+L94/AB94</f>
        <v>2.5852110422015162</v>
      </c>
      <c r="N94" s="628">
        <f>+C94*$D$92*12/10^7</f>
        <v>0.35777999999999999</v>
      </c>
      <c r="O94" s="628"/>
      <c r="P94" s="628">
        <f>+L94*F94/10</f>
        <v>2.3085934606859539</v>
      </c>
      <c r="Q94" s="628">
        <f>+L94*Assum!$G$127*G94/10</f>
        <v>0</v>
      </c>
      <c r="R94" s="628">
        <f>(L94*H94)/10</f>
        <v>0.41880418883664572</v>
      </c>
      <c r="S94" s="628"/>
      <c r="T94" s="628"/>
      <c r="U94" s="628">
        <f>SUM(N94:T94)</f>
        <v>3.0851776495225995</v>
      </c>
      <c r="V94" s="75"/>
      <c r="W94" s="628">
        <f>+U94+V94</f>
        <v>3.0851776495225995</v>
      </c>
      <c r="X94" s="1221">
        <f>IFERROR(W94/L94*10,0)</f>
        <v>11.933948908462504</v>
      </c>
      <c r="Y94" s="75"/>
      <c r="Z94" s="75"/>
      <c r="AA94" s="75"/>
      <c r="AB94" s="1358">
        <f>+'Tariff Schedule'!X18</f>
        <v>1</v>
      </c>
    </row>
    <row r="95" spans="1:28" x14ac:dyDescent="0.4">
      <c r="B95" s="520" t="s">
        <v>1108</v>
      </c>
      <c r="C95" s="128">
        <f>+'F13.4'!C95</f>
        <v>356</v>
      </c>
      <c r="D95" s="75"/>
      <c r="E95" s="75"/>
      <c r="F95" s="1359">
        <f>+'Tariff Schedule'!P19</f>
        <v>11.62</v>
      </c>
      <c r="G95" s="1359"/>
      <c r="H95" s="1359">
        <v>1.62</v>
      </c>
      <c r="I95" s="75"/>
      <c r="J95" s="75"/>
      <c r="K95" s="1306"/>
      <c r="L95" s="628">
        <f>+'F1 Non-SEZ'!M21</f>
        <v>0.90548844897117431</v>
      </c>
      <c r="M95" s="628">
        <f>+L95/AB95</f>
        <v>0.90548844897117431</v>
      </c>
      <c r="N95" s="628">
        <f>+C95*$D$92*12/10^7</f>
        <v>0.190104</v>
      </c>
      <c r="O95" s="628"/>
      <c r="P95" s="628">
        <f>+L95*F95/10</f>
        <v>1.0521775777045046</v>
      </c>
      <c r="Q95" s="628">
        <f>+L95*Assum!$G$127*G95/10</f>
        <v>0</v>
      </c>
      <c r="R95" s="628">
        <f>(L95*H95)/10</f>
        <v>0.14668912873333023</v>
      </c>
      <c r="S95" s="628"/>
      <c r="T95" s="628"/>
      <c r="U95" s="628">
        <f>SUM(N95:T95)</f>
        <v>1.3889707064378349</v>
      </c>
      <c r="V95" s="75"/>
      <c r="W95" s="628">
        <f>+U95+V95</f>
        <v>1.3889707064378349</v>
      </c>
      <c r="X95" s="1221">
        <f>IFERROR(W95/L95*10,0)</f>
        <v>15.339463557111063</v>
      </c>
      <c r="Y95" s="75"/>
      <c r="Z95" s="75"/>
      <c r="AA95" s="75"/>
      <c r="AB95" s="1358">
        <f>+'Tariff Schedule'!X19</f>
        <v>1</v>
      </c>
    </row>
    <row r="96" spans="1:28" x14ac:dyDescent="0.4">
      <c r="B96" s="520" t="s">
        <v>1109</v>
      </c>
      <c r="C96" s="128">
        <f>+'F13.4'!C96</f>
        <v>256</v>
      </c>
      <c r="D96" s="75"/>
      <c r="E96" s="75"/>
      <c r="F96" s="1359">
        <f>+'Tariff Schedule'!P20</f>
        <v>14.24</v>
      </c>
      <c r="G96" s="1359"/>
      <c r="H96" s="1359">
        <v>1.62</v>
      </c>
      <c r="I96" s="75"/>
      <c r="J96" s="75"/>
      <c r="K96" s="1306"/>
      <c r="L96" s="628">
        <f>+'F1 Non-SEZ'!M22</f>
        <v>5.3221857699889075</v>
      </c>
      <c r="M96" s="628">
        <f>+L96/AB96</f>
        <v>5.3221857699889075</v>
      </c>
      <c r="N96" s="628">
        <f>+C96*$D$92*12/10^7</f>
        <v>0.13670399999999999</v>
      </c>
      <c r="O96" s="628"/>
      <c r="P96" s="628">
        <f>+L96*F96/10</f>
        <v>7.5787925364642046</v>
      </c>
      <c r="Q96" s="628">
        <f>+L96*Assum!$G$127*G96/10</f>
        <v>0</v>
      </c>
      <c r="R96" s="628">
        <f>(L96*H96)/10</f>
        <v>0.86219409473820308</v>
      </c>
      <c r="S96" s="628"/>
      <c r="T96" s="628"/>
      <c r="U96" s="628">
        <f>SUM(N96:T96)</f>
        <v>8.5776906312024082</v>
      </c>
      <c r="V96" s="75"/>
      <c r="W96" s="628">
        <f>+U96+V96</f>
        <v>8.5776906312024082</v>
      </c>
      <c r="X96" s="1221">
        <f>IFERROR(W96/L96*10,0)</f>
        <v>16.116856874051365</v>
      </c>
      <c r="Y96" s="75"/>
      <c r="Z96" s="75"/>
      <c r="AA96" s="75"/>
      <c r="AB96" s="1358">
        <f>+'Tariff Schedule'!X20</f>
        <v>1</v>
      </c>
    </row>
    <row r="97" spans="1:28" x14ac:dyDescent="0.4">
      <c r="B97" s="520" t="s">
        <v>1110</v>
      </c>
      <c r="C97" s="75"/>
      <c r="D97" s="75"/>
      <c r="E97" s="75"/>
      <c r="F97" s="75"/>
      <c r="G97" s="75"/>
      <c r="H97" s="75"/>
      <c r="I97" s="75"/>
      <c r="J97" s="75"/>
      <c r="K97" s="1306"/>
      <c r="L97" s="628"/>
      <c r="M97" s="628"/>
      <c r="N97" s="628"/>
      <c r="O97" s="628"/>
      <c r="P97" s="628"/>
      <c r="Q97" s="628"/>
      <c r="R97" s="628"/>
      <c r="S97" s="628"/>
      <c r="T97" s="628"/>
      <c r="U97" s="628"/>
      <c r="V97" s="75"/>
      <c r="W97" s="628"/>
      <c r="X97" s="75"/>
      <c r="Y97" s="75"/>
      <c r="Z97" s="75"/>
      <c r="AA97" s="75"/>
      <c r="AB97" s="2"/>
    </row>
    <row r="98" spans="1:28" s="6" customFormat="1" ht="25.5" x14ac:dyDescent="0.35">
      <c r="B98" s="1363" t="s">
        <v>1139</v>
      </c>
      <c r="C98" s="128"/>
      <c r="D98" s="128"/>
      <c r="E98" s="128"/>
      <c r="F98" s="128"/>
      <c r="G98" s="128"/>
      <c r="H98" s="128"/>
      <c r="I98" s="128"/>
      <c r="J98" s="128"/>
      <c r="K98" s="1336"/>
      <c r="L98" s="630">
        <f>+M99+M100+M105</f>
        <v>1.4915834777634787</v>
      </c>
      <c r="M98" s="630">
        <f t="shared" ref="M98:R98" si="6">+M99+M100+M105</f>
        <v>1.4915834777634787</v>
      </c>
      <c r="N98" s="630">
        <f t="shared" si="6"/>
        <v>6.4032000000000006E-2</v>
      </c>
      <c r="O98" s="630">
        <f t="shared" si="6"/>
        <v>0.13046400000000002</v>
      </c>
      <c r="P98" s="630">
        <f t="shared" si="6"/>
        <v>1.406075445257986</v>
      </c>
      <c r="Q98" s="630">
        <f t="shared" si="6"/>
        <v>0</v>
      </c>
      <c r="R98" s="630">
        <f t="shared" si="6"/>
        <v>0.2318822446107901</v>
      </c>
      <c r="S98" s="630"/>
      <c r="T98" s="630"/>
      <c r="U98" s="630">
        <f>+U99+U100+U105</f>
        <v>1.8324536898687762</v>
      </c>
      <c r="V98" s="128"/>
      <c r="W98" s="630">
        <f>+W99+W100+W105</f>
        <v>1.8324536898687762</v>
      </c>
      <c r="X98" s="1222">
        <f>IFERROR(W98/L98*10,0)</f>
        <v>12.285290881717245</v>
      </c>
      <c r="Y98" s="128"/>
      <c r="Z98" s="128"/>
      <c r="AA98" s="128"/>
      <c r="AB98" s="3"/>
    </row>
    <row r="99" spans="1:28" s="6" customFormat="1" x14ac:dyDescent="0.35">
      <c r="B99" s="1361" t="s">
        <v>1140</v>
      </c>
      <c r="C99" s="128">
        <f>+'F13.4'!C99</f>
        <v>92</v>
      </c>
      <c r="D99" s="128">
        <v>580</v>
      </c>
      <c r="E99" s="128"/>
      <c r="F99" s="1365">
        <f>+'Tariff Schedule'!P22</f>
        <v>6.81</v>
      </c>
      <c r="G99" s="128"/>
      <c r="H99" s="1359">
        <v>1.62</v>
      </c>
      <c r="I99" s="128"/>
      <c r="J99" s="128"/>
      <c r="K99" s="1336"/>
      <c r="L99" s="630">
        <f>+'F1 Non-SEZ'!M25</f>
        <v>0.44849186019119414</v>
      </c>
      <c r="M99" s="630">
        <f>+L99/AB99</f>
        <v>0.45764475529713688</v>
      </c>
      <c r="N99" s="630">
        <f>+C99*D99*12/10^7</f>
        <v>6.4032000000000006E-2</v>
      </c>
      <c r="O99" s="630"/>
      <c r="P99" s="630">
        <f>+L99*F99/10</f>
        <v>0.3054229567902032</v>
      </c>
      <c r="Q99" s="630"/>
      <c r="R99" s="630">
        <f>(L99*H99)/10</f>
        <v>7.2655681350973458E-2</v>
      </c>
      <c r="S99" s="630"/>
      <c r="T99" s="630"/>
      <c r="U99" s="630">
        <f>SUM(N99:T99)</f>
        <v>0.44211063814117668</v>
      </c>
      <c r="V99" s="128"/>
      <c r="W99" s="630">
        <f>+U99+V99</f>
        <v>0.44211063814117668</v>
      </c>
      <c r="X99" s="1222">
        <f>IFERROR(W99/L99*10,0)</f>
        <v>9.8577182192939432</v>
      </c>
      <c r="Y99" s="128"/>
      <c r="Z99" s="128"/>
      <c r="AA99" s="128"/>
      <c r="AB99" s="1366">
        <f>+'Tariff Schedule'!X22</f>
        <v>0.98</v>
      </c>
    </row>
    <row r="100" spans="1:28" s="6" customFormat="1" ht="13.5" x14ac:dyDescent="0.35">
      <c r="A100" s="1364">
        <f>+'F14.2'!A100</f>
        <v>0.4</v>
      </c>
      <c r="B100" s="1361" t="s">
        <v>1144</v>
      </c>
      <c r="C100" s="128">
        <f>+'F13.4'!C100</f>
        <v>9</v>
      </c>
      <c r="D100" s="128"/>
      <c r="E100" s="128">
        <v>600</v>
      </c>
      <c r="F100" s="1365">
        <f>+'Tariff Schedule'!P23</f>
        <v>10.18</v>
      </c>
      <c r="G100" s="128"/>
      <c r="H100" s="1365">
        <v>1.54</v>
      </c>
      <c r="I100" s="128"/>
      <c r="J100" s="128"/>
      <c r="K100" s="1336">
        <v>383</v>
      </c>
      <c r="L100" s="630">
        <f>+'F1 Non-SEZ'!M26</f>
        <v>0.78788731506757104</v>
      </c>
      <c r="M100" s="630">
        <f>+L100/AB100</f>
        <v>0.79697877666808115</v>
      </c>
      <c r="N100" s="630"/>
      <c r="O100" s="630">
        <f>(K100*E100)*12/10^7*A100</f>
        <v>0.11030400000000001</v>
      </c>
      <c r="P100" s="630">
        <f>+M100*F100/10</f>
        <v>0.81132439464810668</v>
      </c>
      <c r="Q100" s="630">
        <f>SUM(Q101:Q104)</f>
        <v>0</v>
      </c>
      <c r="R100" s="630">
        <f>(M100*H100)/10</f>
        <v>0.1227347316068845</v>
      </c>
      <c r="S100" s="630"/>
      <c r="T100" s="630"/>
      <c r="U100" s="630">
        <f>SUM(N100:T100)</f>
        <v>1.0443631262549913</v>
      </c>
      <c r="V100" s="128"/>
      <c r="W100" s="630">
        <f>+U100+V100</f>
        <v>1.0443631262549913</v>
      </c>
      <c r="X100" s="1222">
        <f>IFERROR(W100/L100*10,0)</f>
        <v>13.255234679916432</v>
      </c>
      <c r="Y100" s="128"/>
      <c r="Z100" s="128"/>
      <c r="AA100" s="128"/>
      <c r="AB100" s="1366">
        <f>+'Tariff Schedule'!X23</f>
        <v>0.98859259259259247</v>
      </c>
    </row>
    <row r="101" spans="1:28" x14ac:dyDescent="0.4">
      <c r="A101" s="1339"/>
      <c r="B101" s="1360" t="s">
        <v>1544</v>
      </c>
      <c r="C101" s="75"/>
      <c r="D101" s="75"/>
      <c r="E101" s="75"/>
      <c r="F101" s="75"/>
      <c r="G101" s="1221"/>
      <c r="H101" s="75"/>
      <c r="I101" s="75"/>
      <c r="J101" s="75"/>
      <c r="K101" s="1306"/>
      <c r="L101" s="628"/>
      <c r="M101" s="628">
        <f>+$M$100*Assum!H125</f>
        <v>0.10689486116526668</v>
      </c>
      <c r="N101" s="628"/>
      <c r="O101" s="628"/>
      <c r="P101" s="628"/>
      <c r="Q101" s="628">
        <f>+G101*M101/10</f>
        <v>0</v>
      </c>
      <c r="R101" s="628"/>
      <c r="S101" s="628"/>
      <c r="T101" s="628"/>
      <c r="U101" s="628"/>
      <c r="V101" s="75"/>
      <c r="W101" s="628"/>
      <c r="X101" s="1221"/>
      <c r="Y101" s="75"/>
      <c r="Z101" s="75"/>
      <c r="AA101" s="75"/>
      <c r="AB101" s="1358"/>
    </row>
    <row r="102" spans="1:28" x14ac:dyDescent="0.4">
      <c r="A102" s="1339"/>
      <c r="B102" s="1360" t="s">
        <v>1545</v>
      </c>
      <c r="C102" s="75"/>
      <c r="D102" s="75"/>
      <c r="E102" s="75"/>
      <c r="F102" s="75"/>
      <c r="G102" s="1221"/>
      <c r="H102" s="75"/>
      <c r="I102" s="75"/>
      <c r="J102" s="75"/>
      <c r="K102" s="1306"/>
      <c r="L102" s="628"/>
      <c r="M102" s="628">
        <f>+$M$100*Assum!H126</f>
        <v>0.1245106146183448</v>
      </c>
      <c r="N102" s="628"/>
      <c r="O102" s="628"/>
      <c r="P102" s="628"/>
      <c r="Q102" s="628">
        <f>+G102*M102/10</f>
        <v>0</v>
      </c>
      <c r="R102" s="628"/>
      <c r="S102" s="628"/>
      <c r="T102" s="628"/>
      <c r="U102" s="628"/>
      <c r="V102" s="75"/>
      <c r="W102" s="628"/>
      <c r="X102" s="1221"/>
      <c r="Y102" s="75"/>
      <c r="Z102" s="75"/>
      <c r="AA102" s="75"/>
      <c r="AB102" s="1358"/>
    </row>
    <row r="103" spans="1:28" x14ac:dyDescent="0.4">
      <c r="A103" s="1339"/>
      <c r="B103" s="1360" t="s">
        <v>1546</v>
      </c>
      <c r="C103" s="75"/>
      <c r="D103" s="75"/>
      <c r="E103" s="75"/>
      <c r="F103" s="75"/>
      <c r="G103" s="1221"/>
      <c r="H103" s="75"/>
      <c r="I103" s="75"/>
      <c r="J103" s="75"/>
      <c r="K103" s="1306"/>
      <c r="L103" s="628"/>
      <c r="M103" s="628">
        <f>+$M$100*Assum!H127</f>
        <v>0.36552651175281742</v>
      </c>
      <c r="N103" s="628"/>
      <c r="O103" s="628"/>
      <c r="P103" s="628"/>
      <c r="Q103" s="628">
        <f>+G103*M103/10</f>
        <v>0</v>
      </c>
      <c r="R103" s="628"/>
      <c r="S103" s="628"/>
      <c r="T103" s="628"/>
      <c r="U103" s="628"/>
      <c r="V103" s="75"/>
      <c r="W103" s="628"/>
      <c r="X103" s="1221"/>
      <c r="Y103" s="75"/>
      <c r="Z103" s="75"/>
      <c r="AA103" s="75"/>
      <c r="AB103" s="1358"/>
    </row>
    <row r="104" spans="1:28" x14ac:dyDescent="0.4">
      <c r="A104" s="1339"/>
      <c r="B104" s="1360" t="s">
        <v>1549</v>
      </c>
      <c r="C104" s="75"/>
      <c r="D104" s="75"/>
      <c r="E104" s="75"/>
      <c r="F104" s="75"/>
      <c r="G104" s="1221"/>
      <c r="H104" s="75"/>
      <c r="I104" s="75"/>
      <c r="J104" s="75"/>
      <c r="K104" s="1306"/>
      <c r="L104" s="628"/>
      <c r="M104" s="628">
        <f>+$M$100*Assum!H128</f>
        <v>0.2000467891316523</v>
      </c>
      <c r="N104" s="628"/>
      <c r="O104" s="628"/>
      <c r="P104" s="628"/>
      <c r="Q104" s="628">
        <f>+G104*M104/10</f>
        <v>0</v>
      </c>
      <c r="R104" s="628"/>
      <c r="S104" s="628"/>
      <c r="T104" s="628"/>
      <c r="U104" s="628"/>
      <c r="V104" s="75"/>
      <c r="W104" s="628"/>
      <c r="X104" s="1221"/>
      <c r="Y104" s="75"/>
      <c r="Z104" s="75"/>
      <c r="AA104" s="75"/>
      <c r="AB104" s="1358"/>
    </row>
    <row r="105" spans="1:28" s="6" customFormat="1" ht="13.5" x14ac:dyDescent="0.35">
      <c r="A105" s="1364">
        <f>+'F14.2'!A105</f>
        <v>0.4</v>
      </c>
      <c r="B105" s="1361" t="s">
        <v>1143</v>
      </c>
      <c r="C105" s="128">
        <f>+'F13.4'!C105</f>
        <v>1</v>
      </c>
      <c r="D105" s="128"/>
      <c r="E105" s="128">
        <v>600</v>
      </c>
      <c r="F105" s="1365">
        <f>+'Tariff Schedule'!P24</f>
        <v>12.21</v>
      </c>
      <c r="G105" s="128"/>
      <c r="H105" s="1365">
        <v>1.54</v>
      </c>
      <c r="I105" s="128"/>
      <c r="J105" s="128"/>
      <c r="K105" s="1336">
        <v>70</v>
      </c>
      <c r="L105" s="630">
        <f>+'F1 Non-SEZ'!M27</f>
        <v>0.23462983966457771</v>
      </c>
      <c r="M105" s="630">
        <f>+L105/AB105</f>
        <v>0.23695994579826057</v>
      </c>
      <c r="N105" s="630"/>
      <c r="O105" s="630">
        <f>(K105*E105)*12/10^7*A105</f>
        <v>2.0160000000000001E-2</v>
      </c>
      <c r="P105" s="630">
        <f>+M105*F105/10</f>
        <v>0.28932809381967617</v>
      </c>
      <c r="Q105" s="630">
        <f>SUM(Q106:Q109)</f>
        <v>0</v>
      </c>
      <c r="R105" s="630">
        <f>(M105*H105)/10</f>
        <v>3.6491831652932127E-2</v>
      </c>
      <c r="S105" s="630"/>
      <c r="T105" s="630"/>
      <c r="U105" s="630">
        <f>SUM(N105:T105)</f>
        <v>0.34597992547260831</v>
      </c>
      <c r="V105" s="128"/>
      <c r="W105" s="630">
        <f>+U105+V105</f>
        <v>0.34597992547260831</v>
      </c>
      <c r="X105" s="1222">
        <f>IFERROR(W105/L105*10,0)</f>
        <v>14.745776835854066</v>
      </c>
      <c r="Y105" s="128"/>
      <c r="Z105" s="128"/>
      <c r="AA105" s="128"/>
      <c r="AB105" s="1366">
        <f>+'Tariff Schedule'!X24</f>
        <v>0.99016666666666675</v>
      </c>
    </row>
    <row r="106" spans="1:28" x14ac:dyDescent="0.4">
      <c r="A106" s="1339"/>
      <c r="B106" s="1360" t="s">
        <v>1544</v>
      </c>
      <c r="C106" s="75"/>
      <c r="D106" s="75"/>
      <c r="E106" s="75"/>
      <c r="F106" s="75"/>
      <c r="G106" s="1221"/>
      <c r="H106" s="75"/>
      <c r="I106" s="75"/>
      <c r="J106" s="75"/>
      <c r="K106" s="1306"/>
      <c r="L106" s="628"/>
      <c r="M106" s="628">
        <f>+$M$105*Assum!I125</f>
        <v>1.7049008422952924E-2</v>
      </c>
      <c r="N106" s="628"/>
      <c r="O106" s="628"/>
      <c r="P106" s="628"/>
      <c r="Q106" s="628">
        <f>+G106*M106/10</f>
        <v>0</v>
      </c>
      <c r="R106" s="628"/>
      <c r="S106" s="628"/>
      <c r="T106" s="628"/>
      <c r="U106" s="628"/>
      <c r="V106" s="75"/>
      <c r="W106" s="628"/>
      <c r="X106" s="1221"/>
      <c r="Y106" s="75"/>
      <c r="Z106" s="75"/>
      <c r="AA106" s="75"/>
      <c r="AB106" s="1358"/>
    </row>
    <row r="107" spans="1:28" x14ac:dyDescent="0.4">
      <c r="A107" s="1339"/>
      <c r="B107" s="1360" t="s">
        <v>1545</v>
      </c>
      <c r="C107" s="75"/>
      <c r="D107" s="75"/>
      <c r="E107" s="75"/>
      <c r="F107" s="75"/>
      <c r="G107" s="1221"/>
      <c r="H107" s="75"/>
      <c r="I107" s="75"/>
      <c r="J107" s="75"/>
      <c r="K107" s="1306"/>
      <c r="L107" s="628"/>
      <c r="M107" s="628">
        <f>+$M$105*Assum!I126</f>
        <v>4.5657217286350381E-2</v>
      </c>
      <c r="N107" s="628"/>
      <c r="O107" s="628"/>
      <c r="P107" s="628"/>
      <c r="Q107" s="628">
        <f>+G107*M107/10</f>
        <v>0</v>
      </c>
      <c r="R107" s="628"/>
      <c r="S107" s="628"/>
      <c r="T107" s="628"/>
      <c r="U107" s="628"/>
      <c r="V107" s="75"/>
      <c r="W107" s="628"/>
      <c r="X107" s="1221"/>
      <c r="Y107" s="75"/>
      <c r="Z107" s="75"/>
      <c r="AA107" s="75"/>
      <c r="AB107" s="1358"/>
    </row>
    <row r="108" spans="1:28" x14ac:dyDescent="0.4">
      <c r="A108" s="1339"/>
      <c r="B108" s="1360" t="s">
        <v>1546</v>
      </c>
      <c r="C108" s="75"/>
      <c r="D108" s="75"/>
      <c r="E108" s="75"/>
      <c r="F108" s="75"/>
      <c r="G108" s="1221"/>
      <c r="H108" s="75"/>
      <c r="I108" s="75"/>
      <c r="J108" s="75"/>
      <c r="K108" s="1306"/>
      <c r="L108" s="628"/>
      <c r="M108" s="628">
        <f>+$M$105*Assum!I127</f>
        <v>0.14081843644215158</v>
      </c>
      <c r="N108" s="628"/>
      <c r="O108" s="628"/>
      <c r="P108" s="628"/>
      <c r="Q108" s="628">
        <f>+G108*M108/10</f>
        <v>0</v>
      </c>
      <c r="R108" s="628"/>
      <c r="S108" s="628"/>
      <c r="T108" s="628"/>
      <c r="U108" s="628"/>
      <c r="V108" s="75"/>
      <c r="W108" s="628"/>
      <c r="X108" s="1221"/>
      <c r="Y108" s="75"/>
      <c r="Z108" s="75"/>
      <c r="AA108" s="75"/>
      <c r="AB108" s="1358"/>
    </row>
    <row r="109" spans="1:28" x14ac:dyDescent="0.4">
      <c r="A109" s="1339"/>
      <c r="B109" s="1360" t="s">
        <v>1549</v>
      </c>
      <c r="C109" s="75"/>
      <c r="D109" s="75"/>
      <c r="E109" s="75"/>
      <c r="F109" s="75"/>
      <c r="G109" s="1221"/>
      <c r="H109" s="75"/>
      <c r="I109" s="75"/>
      <c r="J109" s="75"/>
      <c r="K109" s="1306"/>
      <c r="L109" s="628"/>
      <c r="M109" s="628">
        <f>+$M$105*Assum!I128</f>
        <v>3.3435283646805695E-2</v>
      </c>
      <c r="N109" s="628"/>
      <c r="O109" s="628"/>
      <c r="P109" s="628"/>
      <c r="Q109" s="628">
        <f>+G109*M109/10</f>
        <v>0</v>
      </c>
      <c r="R109" s="628"/>
      <c r="S109" s="628"/>
      <c r="T109" s="628"/>
      <c r="U109" s="628"/>
      <c r="V109" s="75"/>
      <c r="W109" s="628"/>
      <c r="X109" s="1221"/>
      <c r="Y109" s="75"/>
      <c r="Z109" s="75"/>
      <c r="AA109" s="75"/>
      <c r="AB109" s="1358"/>
    </row>
    <row r="110" spans="1:28" s="6" customFormat="1" ht="38.25" x14ac:dyDescent="0.35">
      <c r="A110" s="1364">
        <f>+'F14.2'!A110</f>
        <v>0.4</v>
      </c>
      <c r="B110" s="1363" t="s">
        <v>1111</v>
      </c>
      <c r="C110" s="128">
        <f>+'F13.4'!C110</f>
        <v>2</v>
      </c>
      <c r="D110" s="128"/>
      <c r="E110" s="128">
        <v>350</v>
      </c>
      <c r="F110" s="1365">
        <f>+'Tariff Schedule'!P31</f>
        <v>6.13</v>
      </c>
      <c r="G110" s="128"/>
      <c r="H110" s="1365">
        <v>1.54</v>
      </c>
      <c r="I110" s="128"/>
      <c r="J110" s="128"/>
      <c r="K110" s="1336">
        <v>160</v>
      </c>
      <c r="L110" s="630">
        <f>+'F1 Non-SEZ'!M28</f>
        <v>1.3066235324399276</v>
      </c>
      <c r="M110" s="630">
        <f>+L110/AB110</f>
        <v>1.3332893188162527</v>
      </c>
      <c r="N110" s="630"/>
      <c r="O110" s="630">
        <f>(K110*E110)*12/10^7*A110</f>
        <v>2.6880000000000001E-2</v>
      </c>
      <c r="P110" s="630">
        <f>+M110*F110/10</f>
        <v>0.81730635243436289</v>
      </c>
      <c r="Q110" s="630">
        <f>SUM(Q111:Q114)</f>
        <v>0</v>
      </c>
      <c r="R110" s="630">
        <f>(M110*H110)/10</f>
        <v>0.2053265550977029</v>
      </c>
      <c r="S110" s="630"/>
      <c r="T110" s="630"/>
      <c r="U110" s="630">
        <f>SUM(N110:T110)</f>
        <v>1.0495129075320657</v>
      </c>
      <c r="V110" s="128"/>
      <c r="W110" s="630">
        <f>+U110+V110</f>
        <v>1.0495129075320657</v>
      </c>
      <c r="X110" s="1222">
        <f>IFERROR(W110/L110*10,0)</f>
        <v>8.0322516889945685</v>
      </c>
      <c r="Y110" s="128"/>
      <c r="Z110" s="128"/>
      <c r="AA110" s="128"/>
      <c r="AB110" s="1366">
        <f>+'Tariff Schedule'!X35</f>
        <v>0.98</v>
      </c>
    </row>
    <row r="111" spans="1:28" x14ac:dyDescent="0.4">
      <c r="A111" s="1339"/>
      <c r="B111" s="1360" t="s">
        <v>1544</v>
      </c>
      <c r="C111" s="75"/>
      <c r="D111" s="75"/>
      <c r="E111" s="75"/>
      <c r="F111" s="75"/>
      <c r="G111" s="1221"/>
      <c r="H111" s="75"/>
      <c r="I111" s="75"/>
      <c r="J111" s="75"/>
      <c r="K111" s="1306"/>
      <c r="L111" s="628"/>
      <c r="M111" s="628">
        <f>+$M$110*Assum!J125</f>
        <v>0.29222929144053833</v>
      </c>
      <c r="N111" s="628"/>
      <c r="O111" s="628"/>
      <c r="P111" s="628"/>
      <c r="Q111" s="628">
        <f>+G111*M111/10</f>
        <v>0</v>
      </c>
      <c r="R111" s="628"/>
      <c r="S111" s="628"/>
      <c r="T111" s="628"/>
      <c r="U111" s="628"/>
      <c r="V111" s="75"/>
      <c r="W111" s="628"/>
      <c r="X111" s="1221"/>
      <c r="Y111" s="75"/>
      <c r="Z111" s="75"/>
      <c r="AA111" s="75"/>
      <c r="AB111" s="1358"/>
    </row>
    <row r="112" spans="1:28" x14ac:dyDescent="0.4">
      <c r="A112" s="1339"/>
      <c r="B112" s="1360" t="s">
        <v>1545</v>
      </c>
      <c r="C112" s="75"/>
      <c r="D112" s="75"/>
      <c r="E112" s="75"/>
      <c r="F112" s="75"/>
      <c r="G112" s="1221"/>
      <c r="H112" s="75"/>
      <c r="I112" s="75"/>
      <c r="J112" s="75"/>
      <c r="K112" s="1306"/>
      <c r="L112" s="628"/>
      <c r="M112" s="628">
        <f>+$M$110*Assum!J126</f>
        <v>0.17520611062233293</v>
      </c>
      <c r="N112" s="628"/>
      <c r="O112" s="628"/>
      <c r="P112" s="628"/>
      <c r="Q112" s="628">
        <f>+G112*M112/10</f>
        <v>0</v>
      </c>
      <c r="R112" s="628"/>
      <c r="S112" s="628"/>
      <c r="T112" s="628"/>
      <c r="U112" s="628"/>
      <c r="V112" s="75"/>
      <c r="W112" s="628"/>
      <c r="X112" s="1221"/>
      <c r="Y112" s="75"/>
      <c r="Z112" s="75"/>
      <c r="AA112" s="75"/>
      <c r="AB112" s="1358"/>
    </row>
    <row r="113" spans="1:28" x14ac:dyDescent="0.4">
      <c r="A113" s="1339"/>
      <c r="B113" s="1360" t="s">
        <v>1546</v>
      </c>
      <c r="C113" s="75"/>
      <c r="D113" s="75"/>
      <c r="E113" s="75"/>
      <c r="F113" s="75"/>
      <c r="G113" s="1221"/>
      <c r="H113" s="75"/>
      <c r="I113" s="75"/>
      <c r="J113" s="75"/>
      <c r="K113" s="1306"/>
      <c r="L113" s="628"/>
      <c r="M113" s="628">
        <f>+$M$110*Assum!J127</f>
        <v>0.48043980003963299</v>
      </c>
      <c r="N113" s="628"/>
      <c r="O113" s="628"/>
      <c r="P113" s="628"/>
      <c r="Q113" s="628">
        <f>+G113*M113/10</f>
        <v>0</v>
      </c>
      <c r="R113" s="628"/>
      <c r="S113" s="628"/>
      <c r="T113" s="628"/>
      <c r="U113" s="628"/>
      <c r="V113" s="75"/>
      <c r="W113" s="628"/>
      <c r="X113" s="1221"/>
      <c r="Y113" s="75"/>
      <c r="Z113" s="75"/>
      <c r="AA113" s="75"/>
      <c r="AB113" s="1358"/>
    </row>
    <row r="114" spans="1:28" x14ac:dyDescent="0.4">
      <c r="A114" s="1339"/>
      <c r="B114" s="1360" t="s">
        <v>1549</v>
      </c>
      <c r="C114" s="75"/>
      <c r="D114" s="75"/>
      <c r="E114" s="75"/>
      <c r="F114" s="75"/>
      <c r="G114" s="1221"/>
      <c r="H114" s="75"/>
      <c r="I114" s="75"/>
      <c r="J114" s="75"/>
      <c r="K114" s="1306"/>
      <c r="L114" s="628"/>
      <c r="M114" s="628">
        <f>+$M$110*Assum!J128</f>
        <v>0.38541411671374831</v>
      </c>
      <c r="N114" s="628"/>
      <c r="O114" s="628"/>
      <c r="P114" s="628"/>
      <c r="Q114" s="628">
        <f>+G114*M114/10</f>
        <v>0</v>
      </c>
      <c r="R114" s="628"/>
      <c r="S114" s="628"/>
      <c r="T114" s="628"/>
      <c r="U114" s="628"/>
      <c r="V114" s="75"/>
      <c r="W114" s="628"/>
      <c r="X114" s="1221"/>
      <c r="Y114" s="75"/>
      <c r="Z114" s="75"/>
      <c r="AA114" s="75"/>
      <c r="AB114" s="1358"/>
    </row>
    <row r="115" spans="1:28" s="6" customFormat="1" ht="25.5" x14ac:dyDescent="0.35">
      <c r="B115" s="1363" t="s">
        <v>1135</v>
      </c>
      <c r="C115" s="128">
        <f>+'F13.4'!C115</f>
        <v>1</v>
      </c>
      <c r="D115" s="128">
        <v>750</v>
      </c>
      <c r="E115" s="128"/>
      <c r="F115" s="1365">
        <f>+'Tariff Schedule'!P26</f>
        <v>5.16</v>
      </c>
      <c r="G115" s="128"/>
      <c r="H115" s="1359">
        <v>1.62</v>
      </c>
      <c r="I115" s="128"/>
      <c r="J115" s="128"/>
      <c r="K115" s="1336">
        <v>19</v>
      </c>
      <c r="L115" s="630">
        <f>+'F1 Non-SEZ'!M29</f>
        <v>3.4102041125982731E-2</v>
      </c>
      <c r="M115" s="630">
        <f>+L115/AB115</f>
        <v>3.479800114896197E-2</v>
      </c>
      <c r="N115" s="630">
        <f>+C115*D115*12/10^7</f>
        <v>8.9999999999999998E-4</v>
      </c>
      <c r="O115" s="630"/>
      <c r="P115" s="630">
        <f>+L115*F115/10</f>
        <v>1.7596653221007088E-2</v>
      </c>
      <c r="Q115" s="630"/>
      <c r="R115" s="630">
        <f>(L115*H115)/10</f>
        <v>5.5245306624092027E-3</v>
      </c>
      <c r="S115" s="630"/>
      <c r="T115" s="630"/>
      <c r="U115" s="630">
        <f>SUM(N115:T115)</f>
        <v>2.4021183883416293E-2</v>
      </c>
      <c r="V115" s="128"/>
      <c r="W115" s="630">
        <f>+U115+V115</f>
        <v>2.4021183883416293E-2</v>
      </c>
      <c r="X115" s="1222">
        <f>IFERROR(W115/L115*10,0)</f>
        <v>7.0439138216610386</v>
      </c>
      <c r="Y115" s="128"/>
      <c r="Z115" s="128"/>
      <c r="AA115" s="128"/>
      <c r="AB115" s="1366">
        <f>+'Tariff Schedule'!X26</f>
        <v>0.98</v>
      </c>
    </row>
    <row r="116" spans="1:28"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128"/>
      <c r="AA116" s="128"/>
      <c r="AB116" s="3"/>
    </row>
    <row r="117" spans="1:28" s="6" customFormat="1" ht="25.5" x14ac:dyDescent="0.35">
      <c r="A117" s="1364">
        <f>+'F14.2'!A117</f>
        <v>0.4</v>
      </c>
      <c r="B117" s="1363" t="s">
        <v>1142</v>
      </c>
      <c r="C117" s="128">
        <f>+'F13.4'!C117</f>
        <v>10</v>
      </c>
      <c r="D117" s="128"/>
      <c r="E117" s="128">
        <v>0</v>
      </c>
      <c r="F117" s="1365">
        <f>+'Tariff Schedule'!P36</f>
        <v>6.56</v>
      </c>
      <c r="G117" s="128"/>
      <c r="H117" s="1365">
        <v>1.54</v>
      </c>
      <c r="I117" s="128"/>
      <c r="J117" s="128"/>
      <c r="K117" s="1336">
        <v>105</v>
      </c>
      <c r="L117" s="630">
        <f>+'F1 Non-SEZ'!M31</f>
        <v>2.7184414709071562E-2</v>
      </c>
      <c r="M117" s="630">
        <f>+L117/AB117</f>
        <v>2.7412855168811662E-2</v>
      </c>
      <c r="N117" s="630"/>
      <c r="O117" s="630">
        <f>(K117*E117)*12/10^7*A117</f>
        <v>0</v>
      </c>
      <c r="P117" s="630">
        <f>+M117*F117/10</f>
        <v>1.7982832990740449E-2</v>
      </c>
      <c r="Q117" s="630">
        <f>SUM(Q118:Q121)</f>
        <v>0</v>
      </c>
      <c r="R117" s="630">
        <f>(M117*H117)/10</f>
        <v>4.2215796959969966E-3</v>
      </c>
      <c r="S117" s="630"/>
      <c r="T117" s="630"/>
      <c r="U117" s="630">
        <f>SUM(N117:T117)</f>
        <v>2.2204412686737444E-2</v>
      </c>
      <c r="V117" s="128"/>
      <c r="W117" s="630">
        <f>+U117+V117</f>
        <v>2.2204412686737444E-2</v>
      </c>
      <c r="X117" s="1222">
        <f>IFERROR(W117/L117*10,0)</f>
        <v>8.1680672268907557</v>
      </c>
      <c r="Y117" s="128"/>
      <c r="Z117" s="128"/>
      <c r="AA117" s="128"/>
      <c r="AB117" s="1366">
        <f>+'Tariff Schedule'!X36</f>
        <v>0.99166666666666659</v>
      </c>
    </row>
    <row r="118" spans="1:28" x14ac:dyDescent="0.4">
      <c r="A118" s="1339"/>
      <c r="B118" s="1360" t="s">
        <v>1544</v>
      </c>
      <c r="C118" s="75"/>
      <c r="D118" s="75"/>
      <c r="E118" s="75"/>
      <c r="F118" s="75"/>
      <c r="G118" s="1221"/>
      <c r="H118" s="75"/>
      <c r="I118" s="75"/>
      <c r="J118" s="75"/>
      <c r="K118" s="1306"/>
      <c r="L118" s="628"/>
      <c r="M118" s="628">
        <f>+$M$117*Assum!K125</f>
        <v>1.1060375292370314E-2</v>
      </c>
      <c r="N118" s="628"/>
      <c r="O118" s="628"/>
      <c r="P118" s="628"/>
      <c r="Q118" s="628">
        <f>+G118*M118/10</f>
        <v>0</v>
      </c>
      <c r="R118" s="628"/>
      <c r="S118" s="628"/>
      <c r="T118" s="628"/>
      <c r="U118" s="628"/>
      <c r="V118" s="75"/>
      <c r="W118" s="628"/>
      <c r="X118" s="1221"/>
      <c r="Y118" s="75"/>
      <c r="Z118" s="75"/>
      <c r="AA118" s="75"/>
      <c r="AB118" s="1358"/>
    </row>
    <row r="119" spans="1:28" x14ac:dyDescent="0.4">
      <c r="A119" s="1339"/>
      <c r="B119" s="1360" t="s">
        <v>1545</v>
      </c>
      <c r="C119" s="75"/>
      <c r="D119" s="75"/>
      <c r="E119" s="75"/>
      <c r="F119" s="75"/>
      <c r="G119" s="1221"/>
      <c r="H119" s="75"/>
      <c r="I119" s="75"/>
      <c r="J119" s="75"/>
      <c r="K119" s="1306"/>
      <c r="L119" s="628"/>
      <c r="M119" s="628">
        <f>+$M$117*Assum!K126</f>
        <v>2.105348875528882E-3</v>
      </c>
      <c r="N119" s="628"/>
      <c r="O119" s="628"/>
      <c r="P119" s="628"/>
      <c r="Q119" s="628">
        <f>+G119*M119/10</f>
        <v>0</v>
      </c>
      <c r="R119" s="628"/>
      <c r="S119" s="628"/>
      <c r="T119" s="628"/>
      <c r="U119" s="628"/>
      <c r="V119" s="75"/>
      <c r="W119" s="628"/>
      <c r="X119" s="1221"/>
      <c r="Y119" s="75"/>
      <c r="Z119" s="75"/>
      <c r="AA119" s="75"/>
      <c r="AB119" s="1358"/>
    </row>
    <row r="120" spans="1:28" x14ac:dyDescent="0.4">
      <c r="A120" s="1339"/>
      <c r="B120" s="1360" t="s">
        <v>1546</v>
      </c>
      <c r="C120" s="75"/>
      <c r="D120" s="75"/>
      <c r="E120" s="75"/>
      <c r="F120" s="75"/>
      <c r="G120" s="1221"/>
      <c r="H120" s="75"/>
      <c r="I120" s="75"/>
      <c r="J120" s="75"/>
      <c r="K120" s="1306"/>
      <c r="L120" s="628"/>
      <c r="M120" s="628">
        <f>+$M$117*Assum!K127</f>
        <v>6.2200870924042353E-3</v>
      </c>
      <c r="N120" s="628"/>
      <c r="O120" s="628"/>
      <c r="P120" s="628"/>
      <c r="Q120" s="628">
        <f>+G120*M120/10</f>
        <v>0</v>
      </c>
      <c r="R120" s="628"/>
      <c r="S120" s="628"/>
      <c r="T120" s="628"/>
      <c r="U120" s="628"/>
      <c r="V120" s="75"/>
      <c r="W120" s="628"/>
      <c r="X120" s="1221"/>
      <c r="Y120" s="75"/>
      <c r="Z120" s="75"/>
      <c r="AA120" s="75"/>
      <c r="AB120" s="1358"/>
    </row>
    <row r="121" spans="1:28" x14ac:dyDescent="0.4">
      <c r="A121" s="1339"/>
      <c r="B121" s="1360" t="s">
        <v>1549</v>
      </c>
      <c r="C121" s="75"/>
      <c r="D121" s="75"/>
      <c r="E121" s="75"/>
      <c r="F121" s="75"/>
      <c r="G121" s="1221"/>
      <c r="H121" s="75"/>
      <c r="I121" s="75"/>
      <c r="J121" s="75"/>
      <c r="K121" s="1306"/>
      <c r="L121" s="628"/>
      <c r="M121" s="628">
        <f>+$M$117*Assum!K128</f>
        <v>8.0270439085082298E-3</v>
      </c>
      <c r="N121" s="628"/>
      <c r="O121" s="628"/>
      <c r="P121" s="628"/>
      <c r="Q121" s="628">
        <f>+G121*M121/10</f>
        <v>0</v>
      </c>
      <c r="R121" s="628"/>
      <c r="S121" s="628"/>
      <c r="T121" s="628"/>
      <c r="U121" s="628"/>
      <c r="V121" s="75"/>
      <c r="W121" s="628"/>
      <c r="X121" s="1221"/>
      <c r="Y121" s="75"/>
      <c r="Z121" s="75"/>
      <c r="AA121" s="75"/>
      <c r="AB121" s="1358"/>
    </row>
    <row r="122" spans="1:28" x14ac:dyDescent="0.4">
      <c r="B122" s="518" t="s">
        <v>162</v>
      </c>
      <c r="C122" s="1308">
        <f>SUM(C93:C117)</f>
        <v>3122</v>
      </c>
      <c r="D122" s="1310"/>
      <c r="E122" s="1310"/>
      <c r="F122" s="1310"/>
      <c r="G122" s="1310"/>
      <c r="H122" s="1310"/>
      <c r="I122" s="1310"/>
      <c r="J122" s="1310"/>
      <c r="K122" s="1336">
        <f>+K100+K105+K110+K115+K117</f>
        <v>737</v>
      </c>
      <c r="L122" s="630">
        <f>+M92+M99+M100+M105+M110+M115+M117</f>
        <v>14.369570827302901</v>
      </c>
      <c r="M122" s="630">
        <f t="shared" ref="M122:W122" si="7">+M92+M99+M100+M105+M110+M115+M117</f>
        <v>14.369570827302901</v>
      </c>
      <c r="N122" s="630">
        <f t="shared" si="7"/>
        <v>1.6706699999999999</v>
      </c>
      <c r="O122" s="630">
        <f t="shared" si="7"/>
        <v>0.15734400000000004</v>
      </c>
      <c r="P122" s="630">
        <f t="shared" si="7"/>
        <v>13.871264540896199</v>
      </c>
      <c r="Q122" s="630">
        <f t="shared" si="7"/>
        <v>0</v>
      </c>
      <c r="R122" s="630">
        <f t="shared" si="7"/>
        <v>2.3071178323205732</v>
      </c>
      <c r="S122" s="630">
        <f t="shared" si="7"/>
        <v>0</v>
      </c>
      <c r="T122" s="630">
        <f t="shared" si="7"/>
        <v>0</v>
      </c>
      <c r="U122" s="630">
        <f t="shared" si="7"/>
        <v>18.006396373216774</v>
      </c>
      <c r="V122" s="630">
        <f t="shared" si="7"/>
        <v>0</v>
      </c>
      <c r="W122" s="630">
        <f t="shared" si="7"/>
        <v>18.006396373216774</v>
      </c>
      <c r="X122" s="1222">
        <f>IFERROR(W122/L122*10,0)</f>
        <v>12.530921479578028</v>
      </c>
      <c r="Y122" s="75"/>
      <c r="Z122" s="75"/>
      <c r="AA122" s="75"/>
      <c r="AB122" s="2"/>
    </row>
    <row r="123" spans="1:28"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75"/>
      <c r="AA123" s="75"/>
      <c r="AB123" s="2"/>
    </row>
    <row r="124" spans="1:28" x14ac:dyDescent="0.4">
      <c r="B124" s="119" t="s">
        <v>164</v>
      </c>
      <c r="C124" s="1308">
        <f>+C122+C90</f>
        <v>3126</v>
      </c>
      <c r="D124" s="1309"/>
      <c r="E124" s="1309"/>
      <c r="F124" s="1309"/>
      <c r="G124" s="1309"/>
      <c r="H124" s="1309"/>
      <c r="I124" s="1309"/>
      <c r="J124" s="1309"/>
      <c r="K124" s="1336">
        <f>+K122+K90</f>
        <v>1423</v>
      </c>
      <c r="L124" s="630">
        <f>+M122+M90</f>
        <v>16.678392937799195</v>
      </c>
      <c r="M124" s="630">
        <f t="shared" ref="M124:W124" si="8">+M122+M90</f>
        <v>16.678392937799195</v>
      </c>
      <c r="N124" s="630">
        <f t="shared" si="8"/>
        <v>1.6706699999999999</v>
      </c>
      <c r="O124" s="630">
        <f t="shared" si="8"/>
        <v>0.6357714000000001</v>
      </c>
      <c r="P124" s="630">
        <f t="shared" si="8"/>
        <v>15.016354018045092</v>
      </c>
      <c r="Q124" s="630">
        <f t="shared" si="8"/>
        <v>0</v>
      </c>
      <c r="R124" s="630">
        <f t="shared" si="8"/>
        <v>2.4006251277956734</v>
      </c>
      <c r="S124" s="630">
        <f t="shared" si="8"/>
        <v>0</v>
      </c>
      <c r="T124" s="630">
        <f t="shared" si="8"/>
        <v>0</v>
      </c>
      <c r="U124" s="630">
        <f t="shared" si="8"/>
        <v>19.723420545840767</v>
      </c>
      <c r="V124" s="1309">
        <f t="shared" si="8"/>
        <v>0</v>
      </c>
      <c r="W124" s="630">
        <f t="shared" si="8"/>
        <v>19.723420545840767</v>
      </c>
      <c r="X124" s="1222">
        <f>IFERROR(W124/L124*10,0)</f>
        <v>11.82573202310185</v>
      </c>
      <c r="Y124" s="75"/>
      <c r="Z124" s="75"/>
      <c r="AA124" s="75"/>
      <c r="AB124" s="2"/>
    </row>
    <row r="125" spans="1:28" x14ac:dyDescent="0.4">
      <c r="AB125" s="2"/>
    </row>
    <row r="126" spans="1:28" x14ac:dyDescent="0.4">
      <c r="B126" s="131" t="s">
        <v>748</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c r="Z126" s="103"/>
      <c r="AA126" s="103"/>
    </row>
    <row r="127" spans="1:28" x14ac:dyDescent="0.4">
      <c r="B127" s="131" t="s">
        <v>1610</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c r="Z127" s="103"/>
      <c r="AA127" s="103"/>
    </row>
    <row r="128" spans="1:28"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c r="Z128" s="103"/>
      <c r="AA128" s="103"/>
    </row>
    <row r="129" spans="2:28"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06"/>
      <c r="AA129" s="106"/>
      <c r="AB129" s="1947" t="s">
        <v>1570</v>
      </c>
    </row>
    <row r="130" spans="2:28"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06"/>
      <c r="AA130" s="106"/>
      <c r="AB130" s="1947"/>
    </row>
    <row r="131" spans="2:28"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80"/>
      <c r="AA131" s="80"/>
      <c r="AB131" s="2"/>
    </row>
    <row r="132" spans="2:28" x14ac:dyDescent="0.4">
      <c r="B132" s="429" t="s">
        <v>1129</v>
      </c>
      <c r="C132" s="75">
        <f>+C13+C78</f>
        <v>5</v>
      </c>
      <c r="D132" s="75"/>
      <c r="E132" s="75"/>
      <c r="F132" s="75"/>
      <c r="G132" s="75"/>
      <c r="H132" s="75"/>
      <c r="I132" s="75"/>
      <c r="J132" s="75"/>
      <c r="K132" s="1306">
        <f t="shared" ref="K132:T132" si="9">+K13+K78</f>
        <v>34711</v>
      </c>
      <c r="L132" s="628">
        <f t="shared" si="9"/>
        <v>243.946799</v>
      </c>
      <c r="M132" s="628">
        <f t="shared" si="9"/>
        <v>246.41090808080807</v>
      </c>
      <c r="N132" s="628">
        <f t="shared" si="9"/>
        <v>0</v>
      </c>
      <c r="O132" s="628">
        <f t="shared" si="9"/>
        <v>27.366152400000004</v>
      </c>
      <c r="P132" s="628">
        <f t="shared" si="9"/>
        <v>120.03048541515152</v>
      </c>
      <c r="Q132" s="628">
        <f t="shared" si="9"/>
        <v>0</v>
      </c>
      <c r="R132" s="628">
        <f t="shared" ca="1" si="9"/>
        <v>48.742965291845529</v>
      </c>
      <c r="S132" s="628">
        <f t="shared" si="9"/>
        <v>0</v>
      </c>
      <c r="T132" s="628">
        <f t="shared" si="9"/>
        <v>0</v>
      </c>
      <c r="U132" s="628">
        <f ca="1">SUM(N132:T132)</f>
        <v>196.13960310699704</v>
      </c>
      <c r="V132" s="75"/>
      <c r="W132" s="628">
        <f ca="1">+U132+V132</f>
        <v>196.13960310699704</v>
      </c>
      <c r="X132" s="1221">
        <f ca="1">IFERROR(W132/L132*10,0)</f>
        <v>8.040261397608953</v>
      </c>
      <c r="Y132" s="75"/>
      <c r="Z132" s="75"/>
      <c r="AA132" s="75"/>
      <c r="AB132" s="2"/>
    </row>
    <row r="133" spans="2:28" x14ac:dyDescent="0.4">
      <c r="B133" s="429" t="s">
        <v>1130</v>
      </c>
      <c r="C133" s="75">
        <f>+C18+C83</f>
        <v>4</v>
      </c>
      <c r="D133" s="75"/>
      <c r="E133" s="75"/>
      <c r="F133" s="75"/>
      <c r="G133" s="75"/>
      <c r="H133" s="75"/>
      <c r="I133" s="75"/>
      <c r="J133" s="75"/>
      <c r="K133" s="1306">
        <f t="shared" ref="K133:T133" si="10">+K18+K83</f>
        <v>515</v>
      </c>
      <c r="L133" s="628">
        <f t="shared" si="10"/>
        <v>0.99619577935655435</v>
      </c>
      <c r="M133" s="628">
        <f t="shared" si="10"/>
        <v>1.0165263054658717</v>
      </c>
      <c r="N133" s="628">
        <f t="shared" si="10"/>
        <v>0</v>
      </c>
      <c r="O133" s="628">
        <f t="shared" si="10"/>
        <v>0.33835500000000002</v>
      </c>
      <c r="P133" s="628">
        <f t="shared" si="10"/>
        <v>1.0453224853167913</v>
      </c>
      <c r="Q133" s="628">
        <f t="shared" si="10"/>
        <v>0</v>
      </c>
      <c r="R133" s="628">
        <f t="shared" ca="1" si="10"/>
        <v>8.8041132177547832E-2</v>
      </c>
      <c r="S133" s="628">
        <f t="shared" si="10"/>
        <v>0</v>
      </c>
      <c r="T133" s="628">
        <f t="shared" si="10"/>
        <v>0</v>
      </c>
      <c r="U133" s="628">
        <f ca="1">SUM(N133:T133)</f>
        <v>1.4717186174943391</v>
      </c>
      <c r="V133" s="75"/>
      <c r="W133" s="628">
        <f ca="1">+U133+V133</f>
        <v>1.4717186174943391</v>
      </c>
      <c r="X133" s="1221">
        <f ca="1">IFERROR(W133/L133*10,0)</f>
        <v>14.773387400265099</v>
      </c>
      <c r="Y133" s="75"/>
      <c r="Z133" s="75"/>
      <c r="AA133" s="75"/>
      <c r="AB133" s="2"/>
    </row>
    <row r="134" spans="2:28"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75"/>
      <c r="AA134" s="75"/>
      <c r="AB134" s="2"/>
    </row>
    <row r="135" spans="2:28"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75"/>
      <c r="AA135" s="75"/>
      <c r="AB135" s="2"/>
    </row>
    <row r="136" spans="2:28" x14ac:dyDescent="0.4">
      <c r="B136" s="518" t="s">
        <v>162</v>
      </c>
      <c r="C136" s="128">
        <f>SUM(C132:C135)</f>
        <v>9</v>
      </c>
      <c r="D136" s="1309"/>
      <c r="E136" s="1309"/>
      <c r="F136" s="1309"/>
      <c r="G136" s="1309"/>
      <c r="H136" s="1309"/>
      <c r="I136" s="1309"/>
      <c r="J136" s="1309"/>
      <c r="K136" s="1336">
        <f t="shared" ref="K136:W136" si="11">SUM(K132:K135)</f>
        <v>35226</v>
      </c>
      <c r="L136" s="630">
        <f t="shared" si="11"/>
        <v>244.94299477935655</v>
      </c>
      <c r="M136" s="630">
        <f t="shared" si="11"/>
        <v>247.42743438627394</v>
      </c>
      <c r="N136" s="630">
        <f t="shared" si="11"/>
        <v>0</v>
      </c>
      <c r="O136" s="630">
        <f t="shared" si="11"/>
        <v>27.704507400000004</v>
      </c>
      <c r="P136" s="630">
        <f t="shared" si="11"/>
        <v>121.07580790046831</v>
      </c>
      <c r="Q136" s="630">
        <f t="shared" si="11"/>
        <v>0</v>
      </c>
      <c r="R136" s="630">
        <f t="shared" ca="1" si="11"/>
        <v>48.83100642402308</v>
      </c>
      <c r="S136" s="630">
        <f t="shared" si="11"/>
        <v>0</v>
      </c>
      <c r="T136" s="630">
        <f t="shared" si="11"/>
        <v>0</v>
      </c>
      <c r="U136" s="630">
        <f t="shared" ca="1" si="11"/>
        <v>197.61132172449138</v>
      </c>
      <c r="V136" s="1309">
        <f t="shared" si="11"/>
        <v>0</v>
      </c>
      <c r="W136" s="630">
        <f t="shared" ca="1" si="11"/>
        <v>197.61132172449138</v>
      </c>
      <c r="X136" s="1221">
        <f ca="1">IFERROR(W136/L136*10,0)</f>
        <v>8.0676453679558655</v>
      </c>
      <c r="Y136" s="75"/>
      <c r="Z136" s="75"/>
      <c r="AA136" s="75"/>
      <c r="AB136" s="2"/>
    </row>
    <row r="137" spans="2:28"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75"/>
      <c r="AA137" s="75"/>
      <c r="AB137" s="2"/>
    </row>
    <row r="138" spans="2:28" x14ac:dyDescent="0.4">
      <c r="B138" s="519" t="s">
        <v>1133</v>
      </c>
      <c r="C138" s="75"/>
      <c r="D138" s="75"/>
      <c r="E138" s="75"/>
      <c r="F138" s="75"/>
      <c r="G138" s="75"/>
      <c r="H138" s="75"/>
      <c r="I138" s="75"/>
      <c r="J138" s="75"/>
      <c r="K138" s="1306"/>
      <c r="L138" s="628"/>
      <c r="M138" s="628"/>
      <c r="N138" s="628"/>
      <c r="O138" s="628"/>
      <c r="P138" s="628"/>
      <c r="Q138" s="628"/>
      <c r="R138" s="628"/>
      <c r="S138" s="628"/>
      <c r="T138" s="628"/>
      <c r="U138" s="628"/>
      <c r="V138" s="75"/>
      <c r="W138" s="628"/>
      <c r="X138" s="75"/>
      <c r="Y138" s="75"/>
      <c r="Z138" s="75"/>
      <c r="AA138" s="75"/>
      <c r="AB138" s="2"/>
    </row>
    <row r="139" spans="2:28" x14ac:dyDescent="0.4">
      <c r="B139" s="520" t="s">
        <v>1106</v>
      </c>
      <c r="C139" s="75">
        <f>+C28+C93</f>
        <v>1725</v>
      </c>
      <c r="D139" s="75"/>
      <c r="E139" s="75"/>
      <c r="F139" s="75"/>
      <c r="G139" s="75"/>
      <c r="H139" s="75"/>
      <c r="I139" s="75"/>
      <c r="J139" s="75"/>
      <c r="K139" s="1306">
        <f t="shared" ref="K139:T139" si="12">+K28+K93</f>
        <v>0</v>
      </c>
      <c r="L139" s="628">
        <f t="shared" si="12"/>
        <v>2.6696019132437998</v>
      </c>
      <c r="M139" s="628">
        <f t="shared" si="12"/>
        <v>2.6696019132437998</v>
      </c>
      <c r="N139" s="628">
        <f t="shared" si="12"/>
        <v>0.92115000000000002</v>
      </c>
      <c r="O139" s="628">
        <f t="shared" si="12"/>
        <v>0</v>
      </c>
      <c r="P139" s="628">
        <f t="shared" si="12"/>
        <v>0.67273968213743751</v>
      </c>
      <c r="Q139" s="628">
        <f t="shared" si="12"/>
        <v>0</v>
      </c>
      <c r="R139" s="628">
        <f t="shared" si="12"/>
        <v>0.43247550994549561</v>
      </c>
      <c r="S139" s="628">
        <f t="shared" si="12"/>
        <v>0</v>
      </c>
      <c r="T139" s="628">
        <f t="shared" si="12"/>
        <v>0</v>
      </c>
      <c r="U139" s="628">
        <f>SUM(N139:T139)</f>
        <v>2.0263651920829333</v>
      </c>
      <c r="V139" s="75"/>
      <c r="W139" s="628">
        <f>+U139+V139</f>
        <v>2.0263651920829333</v>
      </c>
      <c r="X139" s="1221">
        <f>IFERROR(W139/L139*10,0)</f>
        <v>7.5905144584674131</v>
      </c>
      <c r="Y139" s="75"/>
      <c r="Z139" s="75"/>
      <c r="AA139" s="75"/>
      <c r="AB139" s="2"/>
    </row>
    <row r="140" spans="2:28" x14ac:dyDescent="0.4">
      <c r="B140" s="520" t="s">
        <v>1107</v>
      </c>
      <c r="C140" s="75">
        <f>+C29+C94</f>
        <v>670</v>
      </c>
      <c r="D140" s="75"/>
      <c r="E140" s="75"/>
      <c r="F140" s="75"/>
      <c r="G140" s="75"/>
      <c r="H140" s="75"/>
      <c r="I140" s="75"/>
      <c r="J140" s="75"/>
      <c r="K140" s="1306">
        <f t="shared" ref="K140:T140" si="13">+K29+K94</f>
        <v>0</v>
      </c>
      <c r="L140" s="628">
        <f t="shared" si="13"/>
        <v>2.5852110422015162</v>
      </c>
      <c r="M140" s="628">
        <f t="shared" si="13"/>
        <v>2.5852110422015162</v>
      </c>
      <c r="N140" s="628">
        <f t="shared" si="13"/>
        <v>0.35777999999999999</v>
      </c>
      <c r="O140" s="628">
        <f t="shared" si="13"/>
        <v>0</v>
      </c>
      <c r="P140" s="628">
        <f t="shared" si="13"/>
        <v>2.3085934606859539</v>
      </c>
      <c r="Q140" s="628">
        <f t="shared" si="13"/>
        <v>0</v>
      </c>
      <c r="R140" s="628">
        <f t="shared" si="13"/>
        <v>0.41880418883664572</v>
      </c>
      <c r="S140" s="628">
        <f t="shared" si="13"/>
        <v>0</v>
      </c>
      <c r="T140" s="628">
        <f t="shared" si="13"/>
        <v>0</v>
      </c>
      <c r="U140" s="628">
        <f>SUM(N140:T140)</f>
        <v>3.0851776495225995</v>
      </c>
      <c r="V140" s="75"/>
      <c r="W140" s="628">
        <f>+U140+V140</f>
        <v>3.0851776495225995</v>
      </c>
      <c r="X140" s="1221">
        <f>IFERROR(W140/L140*10,0)</f>
        <v>11.933948908462504</v>
      </c>
      <c r="Y140" s="75"/>
      <c r="Z140" s="75"/>
      <c r="AA140" s="75"/>
      <c r="AB140" s="2"/>
    </row>
    <row r="141" spans="2:28" x14ac:dyDescent="0.4">
      <c r="B141" s="520" t="s">
        <v>1108</v>
      </c>
      <c r="C141" s="75">
        <f>+C30+C95</f>
        <v>356</v>
      </c>
      <c r="D141" s="75"/>
      <c r="E141" s="75"/>
      <c r="F141" s="75"/>
      <c r="G141" s="75"/>
      <c r="H141" s="75"/>
      <c r="I141" s="75"/>
      <c r="J141" s="75"/>
      <c r="K141" s="1306">
        <f t="shared" ref="K141:T141" si="14">+K30+K95</f>
        <v>0</v>
      </c>
      <c r="L141" s="628">
        <f t="shared" si="14"/>
        <v>0.90548844897117431</v>
      </c>
      <c r="M141" s="628">
        <f t="shared" si="14"/>
        <v>0.90548844897117431</v>
      </c>
      <c r="N141" s="628">
        <f t="shared" si="14"/>
        <v>0.190104</v>
      </c>
      <c r="O141" s="628">
        <f t="shared" si="14"/>
        <v>0</v>
      </c>
      <c r="P141" s="628">
        <f t="shared" si="14"/>
        <v>1.0521775777045046</v>
      </c>
      <c r="Q141" s="628">
        <f t="shared" si="14"/>
        <v>0</v>
      </c>
      <c r="R141" s="628">
        <f t="shared" si="14"/>
        <v>0.14668912873333023</v>
      </c>
      <c r="S141" s="628">
        <f t="shared" si="14"/>
        <v>0</v>
      </c>
      <c r="T141" s="628">
        <f t="shared" si="14"/>
        <v>0</v>
      </c>
      <c r="U141" s="628">
        <f>SUM(N141:T141)</f>
        <v>1.3889707064378349</v>
      </c>
      <c r="V141" s="75"/>
      <c r="W141" s="628">
        <f>+U141+V141</f>
        <v>1.3889707064378349</v>
      </c>
      <c r="X141" s="1221">
        <f>IFERROR(W141/L141*10,0)</f>
        <v>15.339463557111063</v>
      </c>
      <c r="Y141" s="75"/>
      <c r="Z141" s="75"/>
      <c r="AA141" s="75"/>
      <c r="AB141" s="2"/>
    </row>
    <row r="142" spans="2:28" x14ac:dyDescent="0.4">
      <c r="B142" s="520" t="s">
        <v>1109</v>
      </c>
      <c r="C142" s="75">
        <f>+C31+C96</f>
        <v>256</v>
      </c>
      <c r="D142" s="75"/>
      <c r="E142" s="75"/>
      <c r="F142" s="75"/>
      <c r="G142" s="75"/>
      <c r="H142" s="75"/>
      <c r="I142" s="75"/>
      <c r="J142" s="75"/>
      <c r="K142" s="1306">
        <f t="shared" ref="K142:T142" si="15">+K31+K96</f>
        <v>0</v>
      </c>
      <c r="L142" s="628">
        <f t="shared" si="15"/>
        <v>5.3221857699889075</v>
      </c>
      <c r="M142" s="628">
        <f t="shared" si="15"/>
        <v>5.3221857699889075</v>
      </c>
      <c r="N142" s="628">
        <f t="shared" si="15"/>
        <v>0.13670399999999999</v>
      </c>
      <c r="O142" s="628">
        <f t="shared" si="15"/>
        <v>0</v>
      </c>
      <c r="P142" s="628">
        <f t="shared" si="15"/>
        <v>7.5787925364642046</v>
      </c>
      <c r="Q142" s="628">
        <f t="shared" si="15"/>
        <v>0</v>
      </c>
      <c r="R142" s="628">
        <f t="shared" si="15"/>
        <v>0.86219409473820308</v>
      </c>
      <c r="S142" s="628">
        <f t="shared" si="15"/>
        <v>0</v>
      </c>
      <c r="T142" s="628">
        <f t="shared" si="15"/>
        <v>0</v>
      </c>
      <c r="U142" s="628">
        <f>SUM(N142:T142)</f>
        <v>8.5776906312024082</v>
      </c>
      <c r="V142" s="75"/>
      <c r="W142" s="628">
        <f>+U142+V142</f>
        <v>8.5776906312024082</v>
      </c>
      <c r="X142" s="1221">
        <f>IFERROR(W142/L142*10,0)</f>
        <v>16.116856874051365</v>
      </c>
      <c r="Y142" s="75"/>
      <c r="Z142" s="75"/>
      <c r="AA142" s="75"/>
      <c r="AB142" s="2"/>
    </row>
    <row r="143" spans="2:28" x14ac:dyDescent="0.4">
      <c r="B143" s="520" t="s">
        <v>1110</v>
      </c>
      <c r="C143" s="75"/>
      <c r="D143" s="75"/>
      <c r="E143" s="75"/>
      <c r="F143" s="75"/>
      <c r="G143" s="75"/>
      <c r="H143" s="75"/>
      <c r="I143" s="75"/>
      <c r="J143" s="75"/>
      <c r="K143" s="1306">
        <f t="shared" ref="K143:T143" si="16">+K32+K97</f>
        <v>0</v>
      </c>
      <c r="L143" s="628">
        <f t="shared" si="16"/>
        <v>0</v>
      </c>
      <c r="M143" s="628">
        <f t="shared" si="16"/>
        <v>0</v>
      </c>
      <c r="N143" s="628">
        <f t="shared" si="16"/>
        <v>0</v>
      </c>
      <c r="O143" s="628">
        <f t="shared" si="16"/>
        <v>0</v>
      </c>
      <c r="P143" s="628">
        <f t="shared" si="16"/>
        <v>0</v>
      </c>
      <c r="Q143" s="628">
        <f t="shared" si="16"/>
        <v>0</v>
      </c>
      <c r="R143" s="628">
        <f t="shared" si="16"/>
        <v>0</v>
      </c>
      <c r="S143" s="628">
        <f t="shared" si="16"/>
        <v>0</v>
      </c>
      <c r="T143" s="628">
        <f t="shared" si="16"/>
        <v>0</v>
      </c>
      <c r="U143" s="628"/>
      <c r="V143" s="75"/>
      <c r="W143" s="628"/>
      <c r="X143" s="75"/>
      <c r="Y143" s="75"/>
      <c r="Z143" s="75"/>
      <c r="AA143" s="75"/>
      <c r="AB143" s="2"/>
    </row>
    <row r="144" spans="2:28"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75"/>
      <c r="AA144" s="75"/>
      <c r="AB144" s="2"/>
    </row>
    <row r="145" spans="2:28" x14ac:dyDescent="0.4">
      <c r="B145" s="520" t="s">
        <v>1140</v>
      </c>
      <c r="C145" s="75">
        <f>+C35+C99</f>
        <v>92</v>
      </c>
      <c r="D145" s="75"/>
      <c r="E145" s="75"/>
      <c r="F145" s="75"/>
      <c r="G145" s="75"/>
      <c r="H145" s="75"/>
      <c r="I145" s="75"/>
      <c r="J145" s="75"/>
      <c r="K145" s="1306">
        <f t="shared" ref="K145:T145" si="17">+K35+K99</f>
        <v>0</v>
      </c>
      <c r="L145" s="628">
        <f t="shared" si="17"/>
        <v>0.44849186019119414</v>
      </c>
      <c r="M145" s="628">
        <f t="shared" si="17"/>
        <v>0.45764475529713688</v>
      </c>
      <c r="N145" s="628">
        <f t="shared" si="17"/>
        <v>6.4032000000000006E-2</v>
      </c>
      <c r="O145" s="628">
        <f t="shared" si="17"/>
        <v>0</v>
      </c>
      <c r="P145" s="628">
        <f t="shared" si="17"/>
        <v>0.3054229567902032</v>
      </c>
      <c r="Q145" s="628">
        <f t="shared" si="17"/>
        <v>0</v>
      </c>
      <c r="R145" s="628">
        <f t="shared" si="17"/>
        <v>7.2655681350973458E-2</v>
      </c>
      <c r="S145" s="628">
        <f t="shared" si="17"/>
        <v>0</v>
      </c>
      <c r="T145" s="628">
        <f t="shared" si="17"/>
        <v>0</v>
      </c>
      <c r="U145" s="628">
        <f t="shared" ref="U145:U151" si="18">SUM(N145:T145)</f>
        <v>0.44211063814117668</v>
      </c>
      <c r="V145" s="75"/>
      <c r="W145" s="628">
        <f t="shared" ref="W145:W152" si="19">+U145+V145</f>
        <v>0.44211063814117668</v>
      </c>
      <c r="X145" s="1221">
        <f t="shared" ref="X145:X151" si="20">IFERROR(W145/L145*10,0)</f>
        <v>9.8577182192939432</v>
      </c>
      <c r="Y145" s="75"/>
      <c r="Z145" s="75"/>
      <c r="AA145" s="75"/>
      <c r="AB145" s="2"/>
    </row>
    <row r="146" spans="2:28" x14ac:dyDescent="0.4">
      <c r="B146" s="520" t="s">
        <v>1144</v>
      </c>
      <c r="C146" s="75">
        <f>+C36+C100</f>
        <v>9</v>
      </c>
      <c r="D146" s="75"/>
      <c r="E146" s="75"/>
      <c r="F146" s="75"/>
      <c r="G146" s="75"/>
      <c r="H146" s="75"/>
      <c r="I146" s="75"/>
      <c r="J146" s="75"/>
      <c r="K146" s="1306">
        <f t="shared" ref="K146:T146" si="21">+K36+K100</f>
        <v>383</v>
      </c>
      <c r="L146" s="628">
        <f t="shared" si="21"/>
        <v>0.78788731506757104</v>
      </c>
      <c r="M146" s="628">
        <f t="shared" si="21"/>
        <v>0.79697877666808115</v>
      </c>
      <c r="N146" s="628">
        <f t="shared" si="21"/>
        <v>0</v>
      </c>
      <c r="O146" s="628">
        <f t="shared" si="21"/>
        <v>0.11030400000000001</v>
      </c>
      <c r="P146" s="628">
        <f t="shared" si="21"/>
        <v>0.81132439464810668</v>
      </c>
      <c r="Q146" s="628">
        <f t="shared" si="21"/>
        <v>0</v>
      </c>
      <c r="R146" s="628">
        <f t="shared" si="21"/>
        <v>0.1227347316068845</v>
      </c>
      <c r="S146" s="628">
        <f t="shared" si="21"/>
        <v>0</v>
      </c>
      <c r="T146" s="628">
        <f t="shared" si="21"/>
        <v>0</v>
      </c>
      <c r="U146" s="628">
        <f t="shared" si="18"/>
        <v>1.0443631262549913</v>
      </c>
      <c r="V146" s="75"/>
      <c r="W146" s="628">
        <f t="shared" si="19"/>
        <v>1.0443631262549913</v>
      </c>
      <c r="X146" s="1221">
        <f t="shared" si="20"/>
        <v>13.255234679916432</v>
      </c>
      <c r="Y146" s="75"/>
      <c r="Z146" s="75"/>
      <c r="AA146" s="75"/>
      <c r="AB146" s="2"/>
    </row>
    <row r="147" spans="2:28" x14ac:dyDescent="0.4">
      <c r="B147" s="520" t="s">
        <v>1143</v>
      </c>
      <c r="C147" s="75">
        <f>+C41+C105</f>
        <v>1</v>
      </c>
      <c r="D147" s="75"/>
      <c r="E147" s="75"/>
      <c r="F147" s="75"/>
      <c r="G147" s="75"/>
      <c r="H147" s="75"/>
      <c r="I147" s="75"/>
      <c r="J147" s="75"/>
      <c r="K147" s="1306">
        <f t="shared" ref="K147:T147" si="22">+K41+K105</f>
        <v>70</v>
      </c>
      <c r="L147" s="628">
        <f t="shared" si="22"/>
        <v>0.23462983966457771</v>
      </c>
      <c r="M147" s="628">
        <f t="shared" si="22"/>
        <v>0.23695994579826057</v>
      </c>
      <c r="N147" s="628">
        <f t="shared" si="22"/>
        <v>0</v>
      </c>
      <c r="O147" s="628">
        <f t="shared" si="22"/>
        <v>2.0160000000000001E-2</v>
      </c>
      <c r="P147" s="628">
        <f t="shared" si="22"/>
        <v>0.28932809381967617</v>
      </c>
      <c r="Q147" s="628">
        <f t="shared" si="22"/>
        <v>0</v>
      </c>
      <c r="R147" s="628">
        <f t="shared" si="22"/>
        <v>3.6491831652932127E-2</v>
      </c>
      <c r="S147" s="628">
        <f t="shared" si="22"/>
        <v>0</v>
      </c>
      <c r="T147" s="628">
        <f t="shared" si="22"/>
        <v>0</v>
      </c>
      <c r="U147" s="628">
        <f t="shared" si="18"/>
        <v>0.34597992547260831</v>
      </c>
      <c r="V147" s="75"/>
      <c r="W147" s="628">
        <f t="shared" si="19"/>
        <v>0.34597992547260831</v>
      </c>
      <c r="X147" s="1221">
        <f t="shared" si="20"/>
        <v>14.745776835854066</v>
      </c>
      <c r="Y147" s="75"/>
      <c r="Z147" s="75"/>
      <c r="AA147" s="75"/>
      <c r="AB147" s="2"/>
    </row>
    <row r="148" spans="2:28" ht="25.5" x14ac:dyDescent="0.4">
      <c r="B148" s="519" t="s">
        <v>1111</v>
      </c>
      <c r="C148" s="75">
        <f>+C46+C110</f>
        <v>2</v>
      </c>
      <c r="D148" s="75"/>
      <c r="E148" s="75"/>
      <c r="F148" s="75"/>
      <c r="G148" s="75"/>
      <c r="H148" s="75"/>
      <c r="I148" s="75"/>
      <c r="J148" s="75"/>
      <c r="K148" s="1306">
        <f t="shared" ref="K148:T148" si="23">+K46+K110</f>
        <v>160</v>
      </c>
      <c r="L148" s="628">
        <f t="shared" si="23"/>
        <v>1.3066235324399276</v>
      </c>
      <c r="M148" s="628">
        <f t="shared" si="23"/>
        <v>1.3332893188162527</v>
      </c>
      <c r="N148" s="628">
        <f t="shared" si="23"/>
        <v>0</v>
      </c>
      <c r="O148" s="628">
        <f t="shared" si="23"/>
        <v>2.6880000000000001E-2</v>
      </c>
      <c r="P148" s="628">
        <f t="shared" si="23"/>
        <v>0.81730635243436289</v>
      </c>
      <c r="Q148" s="628">
        <f t="shared" si="23"/>
        <v>0</v>
      </c>
      <c r="R148" s="628">
        <f t="shared" si="23"/>
        <v>0.2053265550977029</v>
      </c>
      <c r="S148" s="628">
        <f t="shared" si="23"/>
        <v>0</v>
      </c>
      <c r="T148" s="628">
        <f t="shared" si="23"/>
        <v>0</v>
      </c>
      <c r="U148" s="628">
        <f t="shared" si="18"/>
        <v>1.0495129075320657</v>
      </c>
      <c r="V148" s="75"/>
      <c r="W148" s="628">
        <f t="shared" si="19"/>
        <v>1.0495129075320657</v>
      </c>
      <c r="X148" s="1221">
        <f t="shared" si="20"/>
        <v>8.0322516889945685</v>
      </c>
      <c r="Y148" s="75"/>
      <c r="Z148" s="75"/>
      <c r="AA148" s="75"/>
      <c r="AB148" s="2"/>
    </row>
    <row r="149" spans="2:28" ht="25.5" x14ac:dyDescent="0.4">
      <c r="B149" s="519" t="s">
        <v>1135</v>
      </c>
      <c r="C149" s="75">
        <f>+C51+C115</f>
        <v>2</v>
      </c>
      <c r="D149" s="75"/>
      <c r="E149" s="75"/>
      <c r="F149" s="75"/>
      <c r="G149" s="75"/>
      <c r="H149" s="75"/>
      <c r="I149" s="75"/>
      <c r="J149" s="75"/>
      <c r="K149" s="1306">
        <f t="shared" ref="K149:T149" si="24">+K51+K115</f>
        <v>38</v>
      </c>
      <c r="L149" s="628">
        <f t="shared" si="24"/>
        <v>0.48450008416569151</v>
      </c>
      <c r="M149" s="628">
        <f t="shared" si="24"/>
        <v>0.49438784098539951</v>
      </c>
      <c r="N149" s="628">
        <f t="shared" si="24"/>
        <v>1.8E-3</v>
      </c>
      <c r="O149" s="628">
        <f t="shared" si="24"/>
        <v>0</v>
      </c>
      <c r="P149" s="628">
        <f t="shared" si="24"/>
        <v>0.28783547904483231</v>
      </c>
      <c r="Q149" s="628">
        <f t="shared" si="24"/>
        <v>0</v>
      </c>
      <c r="R149" s="628">
        <f t="shared" ca="1" si="24"/>
        <v>9.6477486514216407E-2</v>
      </c>
      <c r="S149" s="628">
        <f t="shared" si="24"/>
        <v>0</v>
      </c>
      <c r="T149" s="628">
        <f t="shared" si="24"/>
        <v>0</v>
      </c>
      <c r="U149" s="628">
        <f t="shared" ca="1" si="18"/>
        <v>0.38611296555904873</v>
      </c>
      <c r="V149" s="75"/>
      <c r="W149" s="628">
        <f t="shared" ca="1" si="19"/>
        <v>0.38611296555904873</v>
      </c>
      <c r="X149" s="1221">
        <f t="shared" ca="1" si="20"/>
        <v>7.9693064702751233</v>
      </c>
      <c r="Y149" s="75"/>
      <c r="Z149" s="75"/>
      <c r="AA149" s="75"/>
      <c r="AB149" s="2"/>
    </row>
    <row r="150" spans="2:28" ht="38.25" x14ac:dyDescent="0.4">
      <c r="B150" s="519" t="s">
        <v>1136</v>
      </c>
      <c r="C150" s="75">
        <f>+C52+C116</f>
        <v>0</v>
      </c>
      <c r="D150" s="75"/>
      <c r="E150" s="75"/>
      <c r="F150" s="75"/>
      <c r="G150" s="75"/>
      <c r="H150" s="75"/>
      <c r="I150" s="75"/>
      <c r="J150" s="75"/>
      <c r="K150" s="1306">
        <f t="shared" ref="K150:T150" si="25">+K52+K116</f>
        <v>0</v>
      </c>
      <c r="L150" s="628">
        <f t="shared" si="25"/>
        <v>0</v>
      </c>
      <c r="M150" s="628">
        <f t="shared" si="25"/>
        <v>0</v>
      </c>
      <c r="N150" s="628">
        <f t="shared" si="25"/>
        <v>0</v>
      </c>
      <c r="O150" s="628">
        <f t="shared" si="25"/>
        <v>0</v>
      </c>
      <c r="P150" s="628">
        <f t="shared" si="25"/>
        <v>0</v>
      </c>
      <c r="Q150" s="628">
        <f t="shared" si="25"/>
        <v>0</v>
      </c>
      <c r="R150" s="628">
        <f t="shared" si="25"/>
        <v>0</v>
      </c>
      <c r="S150" s="628">
        <f t="shared" si="25"/>
        <v>0</v>
      </c>
      <c r="T150" s="628">
        <f t="shared" si="25"/>
        <v>0</v>
      </c>
      <c r="U150" s="628">
        <f t="shared" si="18"/>
        <v>0</v>
      </c>
      <c r="V150" s="75"/>
      <c r="W150" s="628">
        <f t="shared" si="19"/>
        <v>0</v>
      </c>
      <c r="X150" s="1221">
        <f t="shared" si="20"/>
        <v>0</v>
      </c>
      <c r="Y150" s="75"/>
      <c r="Z150" s="75"/>
      <c r="AA150" s="75"/>
      <c r="AB150" s="2"/>
    </row>
    <row r="151" spans="2:28" ht="25.5" x14ac:dyDescent="0.4">
      <c r="B151" s="519" t="s">
        <v>1142</v>
      </c>
      <c r="C151" s="75">
        <f>+C58+C117</f>
        <v>10</v>
      </c>
      <c r="D151" s="75"/>
      <c r="E151" s="75"/>
      <c r="F151" s="75"/>
      <c r="G151" s="75"/>
      <c r="H151" s="75"/>
      <c r="I151" s="75"/>
      <c r="J151" s="75"/>
      <c r="K151" s="1306">
        <f t="shared" ref="K151:T151" si="26">+K58+K117</f>
        <v>105</v>
      </c>
      <c r="L151" s="628">
        <f t="shared" si="26"/>
        <v>2.7184414709071562E-2</v>
      </c>
      <c r="M151" s="628">
        <f t="shared" si="26"/>
        <v>2.7412855168811662E-2</v>
      </c>
      <c r="N151" s="628">
        <f t="shared" si="26"/>
        <v>0</v>
      </c>
      <c r="O151" s="628">
        <f t="shared" si="26"/>
        <v>0</v>
      </c>
      <c r="P151" s="628">
        <f t="shared" si="26"/>
        <v>1.7982832990740449E-2</v>
      </c>
      <c r="Q151" s="628">
        <f t="shared" si="26"/>
        <v>0</v>
      </c>
      <c r="R151" s="628">
        <f t="shared" si="26"/>
        <v>4.2215796959969966E-3</v>
      </c>
      <c r="S151" s="628">
        <f t="shared" si="26"/>
        <v>0</v>
      </c>
      <c r="T151" s="628">
        <f t="shared" si="26"/>
        <v>0</v>
      </c>
      <c r="U151" s="628">
        <f t="shared" si="18"/>
        <v>2.2204412686737444E-2</v>
      </c>
      <c r="V151" s="75"/>
      <c r="W151" s="628">
        <f t="shared" si="19"/>
        <v>2.2204412686737444E-2</v>
      </c>
      <c r="X151" s="1221">
        <f t="shared" si="20"/>
        <v>8.1680672268907557</v>
      </c>
      <c r="Y151" s="75"/>
      <c r="Z151" s="75"/>
      <c r="AA151" s="75"/>
      <c r="AB151" s="2"/>
    </row>
    <row r="152" spans="2:28" x14ac:dyDescent="0.4">
      <c r="B152" s="518" t="s">
        <v>162</v>
      </c>
      <c r="C152" s="1308">
        <f>SUM(C139:C151)</f>
        <v>3123</v>
      </c>
      <c r="D152" s="1310"/>
      <c r="E152" s="1310"/>
      <c r="F152" s="1310"/>
      <c r="G152" s="1310"/>
      <c r="H152" s="1310"/>
      <c r="I152" s="1310"/>
      <c r="J152" s="1310"/>
      <c r="K152" s="1336">
        <f t="shared" ref="K152:V152" si="27">SUM(K139:K151)</f>
        <v>756</v>
      </c>
      <c r="L152" s="630">
        <f t="shared" si="27"/>
        <v>14.77180422064343</v>
      </c>
      <c r="M152" s="630">
        <f t="shared" si="27"/>
        <v>14.829160667139339</v>
      </c>
      <c r="N152" s="630">
        <f t="shared" si="27"/>
        <v>1.67157</v>
      </c>
      <c r="O152" s="630">
        <f t="shared" si="27"/>
        <v>0.15734400000000004</v>
      </c>
      <c r="P152" s="630">
        <f t="shared" si="27"/>
        <v>14.141503366720023</v>
      </c>
      <c r="Q152" s="630">
        <f t="shared" si="27"/>
        <v>0</v>
      </c>
      <c r="R152" s="630">
        <f t="shared" ca="1" si="27"/>
        <v>2.3980707881723808</v>
      </c>
      <c r="S152" s="630">
        <f t="shared" si="27"/>
        <v>0</v>
      </c>
      <c r="T152" s="630">
        <f t="shared" si="27"/>
        <v>0</v>
      </c>
      <c r="U152" s="630">
        <f t="shared" ca="1" si="27"/>
        <v>18.368488154892407</v>
      </c>
      <c r="V152" s="1310">
        <f t="shared" si="27"/>
        <v>0</v>
      </c>
      <c r="W152" s="630">
        <f t="shared" ca="1" si="19"/>
        <v>18.368488154892407</v>
      </c>
      <c r="X152" s="1222">
        <f ca="1">IFERROR(W152/L152*10,0)</f>
        <v>12.434830492285196</v>
      </c>
      <c r="Y152" s="75"/>
      <c r="Z152" s="75"/>
      <c r="AA152" s="75"/>
      <c r="AB152" s="2"/>
    </row>
    <row r="153" spans="2:28"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75"/>
      <c r="AA153" s="75"/>
      <c r="AB153" s="2"/>
    </row>
    <row r="154" spans="2:28" x14ac:dyDescent="0.4">
      <c r="B154" s="119" t="s">
        <v>164</v>
      </c>
      <c r="C154" s="1308">
        <f>+C152+C136</f>
        <v>3132</v>
      </c>
      <c r="D154" s="1309"/>
      <c r="E154" s="1309"/>
      <c r="F154" s="1309"/>
      <c r="G154" s="1309"/>
      <c r="H154" s="1309"/>
      <c r="I154" s="1309"/>
      <c r="J154" s="1309"/>
      <c r="K154" s="1336">
        <f t="shared" ref="K154:W154" si="28">+K152+K136</f>
        <v>35982</v>
      </c>
      <c r="L154" s="630">
        <f t="shared" si="28"/>
        <v>259.71479899999997</v>
      </c>
      <c r="M154" s="630">
        <f t="shared" si="28"/>
        <v>262.25659505341326</v>
      </c>
      <c r="N154" s="630">
        <f t="shared" si="28"/>
        <v>1.67157</v>
      </c>
      <c r="O154" s="630">
        <f t="shared" si="28"/>
        <v>27.861851400000003</v>
      </c>
      <c r="P154" s="630">
        <f t="shared" si="28"/>
        <v>135.21731126718834</v>
      </c>
      <c r="Q154" s="630">
        <f t="shared" si="28"/>
        <v>0</v>
      </c>
      <c r="R154" s="630">
        <f t="shared" ca="1" si="28"/>
        <v>51.229077212195463</v>
      </c>
      <c r="S154" s="630">
        <f t="shared" si="28"/>
        <v>0</v>
      </c>
      <c r="T154" s="630">
        <f t="shared" si="28"/>
        <v>0</v>
      </c>
      <c r="U154" s="630">
        <f t="shared" ca="1" si="28"/>
        <v>215.97980987938379</v>
      </c>
      <c r="V154" s="1309">
        <f t="shared" si="28"/>
        <v>0</v>
      </c>
      <c r="W154" s="630">
        <f t="shared" ca="1" si="28"/>
        <v>215.97980987938379</v>
      </c>
      <c r="X154" s="1222">
        <f ca="1">IFERROR(W154/L154*10,0)</f>
        <v>8.31603785040312</v>
      </c>
      <c r="Y154" s="75"/>
      <c r="Z154" s="75"/>
      <c r="AA154" s="75"/>
      <c r="AB154" s="2"/>
    </row>
    <row r="155" spans="2:28" x14ac:dyDescent="0.4">
      <c r="L155" s="561">
        <f>+'F1'!M34-L154</f>
        <v>0</v>
      </c>
      <c r="N155" s="561">
        <f t="shared" ref="N155:W155" si="29">+N65+N124-N154</f>
        <v>0</v>
      </c>
      <c r="O155" s="561">
        <f t="shared" si="29"/>
        <v>0</v>
      </c>
      <c r="P155" s="561">
        <f t="shared" si="29"/>
        <v>0</v>
      </c>
      <c r="Q155" s="561">
        <f t="shared" si="29"/>
        <v>0</v>
      </c>
      <c r="R155" s="561">
        <f t="shared" ca="1" si="29"/>
        <v>0</v>
      </c>
      <c r="S155" s="561">
        <f t="shared" si="29"/>
        <v>0</v>
      </c>
      <c r="T155" s="561">
        <f t="shared" si="29"/>
        <v>0</v>
      </c>
      <c r="U155" s="561">
        <f t="shared" ca="1" si="29"/>
        <v>0</v>
      </c>
      <c r="V155" s="561">
        <f t="shared" si="29"/>
        <v>0</v>
      </c>
      <c r="W155" s="561">
        <f t="shared" ca="1" si="29"/>
        <v>0</v>
      </c>
      <c r="X155" s="561"/>
      <c r="AB155" s="2"/>
    </row>
  </sheetData>
  <mergeCells count="37">
    <mergeCell ref="V129:V130"/>
    <mergeCell ref="W129:W130"/>
    <mergeCell ref="X129:X130"/>
    <mergeCell ref="Y129:Y130"/>
    <mergeCell ref="AB129:AB130"/>
    <mergeCell ref="B129:B130"/>
    <mergeCell ref="C129:C130"/>
    <mergeCell ref="D129:I129"/>
    <mergeCell ref="J129:M129"/>
    <mergeCell ref="N129:U129"/>
    <mergeCell ref="AB10:AB11"/>
    <mergeCell ref="A11:A12"/>
    <mergeCell ref="B75:B76"/>
    <mergeCell ref="C75:C76"/>
    <mergeCell ref="D75:I75"/>
    <mergeCell ref="J75:M75"/>
    <mergeCell ref="N75:U75"/>
    <mergeCell ref="V75:V76"/>
    <mergeCell ref="W75:W76"/>
    <mergeCell ref="X75:X76"/>
    <mergeCell ref="Y75:Y76"/>
    <mergeCell ref="AB75:AB76"/>
    <mergeCell ref="A76:A77"/>
    <mergeCell ref="Z10:Z11"/>
    <mergeCell ref="AA10:AA11"/>
    <mergeCell ref="B2:Y2"/>
    <mergeCell ref="B3:Y3"/>
    <mergeCell ref="B4:Y4"/>
    <mergeCell ref="B10:B11"/>
    <mergeCell ref="C10:C11"/>
    <mergeCell ref="D10:I10"/>
    <mergeCell ref="J10:M10"/>
    <mergeCell ref="N10:U10"/>
    <mergeCell ref="V10:V11"/>
    <mergeCell ref="W10:W11"/>
    <mergeCell ref="X10:X11"/>
    <mergeCell ref="Y10:Y11"/>
  </mergeCells>
  <pageMargins left="0.7" right="0.7" top="0.75" bottom="0.75" header="0.3" footer="0.3"/>
  <pageSetup scale="37" orientation="landscape" r:id="rId1"/>
  <rowBreaks count="2" manualBreakCount="2">
    <brk id="71" min="1" max="25" man="1"/>
    <brk id="125" min="1" max="24"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FA0D-3990-4792-9EFE-79261BC2D21E}">
  <sheetPr>
    <pageSetUpPr fitToPage="1"/>
  </sheetPr>
  <dimension ref="A2:AA165"/>
  <sheetViews>
    <sheetView showGridLines="0" topLeftCell="C1" zoomScale="90" zoomScaleNormal="90" workbookViewId="0">
      <pane xSplit="2" ySplit="5" topLeftCell="E68" activePane="bottomRight" state="frozen"/>
      <selection activeCell="C90" sqref="B90:P113"/>
      <selection pane="topRight" activeCell="C90" sqref="B90:P113"/>
      <selection pane="bottomLeft" activeCell="C90" sqref="B90:P113"/>
      <selection pane="bottomRight" activeCell="O74" sqref="O74"/>
    </sheetView>
  </sheetViews>
  <sheetFormatPr defaultColWidth="9.1328125" defaultRowHeight="12.75" x14ac:dyDescent="0.35"/>
  <cols>
    <col min="1" max="1" width="11.6640625" style="797" bestFit="1" customWidth="1"/>
    <col min="2" max="2" width="13.46484375" style="797" bestFit="1" customWidth="1"/>
    <col min="3" max="3" width="43.33203125" style="797" bestFit="1" customWidth="1"/>
    <col min="4" max="4" width="6.33203125" style="797" bestFit="1" customWidth="1"/>
    <col min="5" max="5" width="9" style="829" customWidth="1"/>
    <col min="6" max="6" width="8.46484375" style="829" customWidth="1"/>
    <col min="7" max="7" width="10.1328125" style="829" customWidth="1"/>
    <col min="8" max="10" width="10.1328125" style="797" customWidth="1"/>
    <col min="11" max="11" width="8.53125" style="797" customWidth="1"/>
    <col min="12" max="12" width="8.86328125" style="797" customWidth="1"/>
    <col min="13" max="13" width="9.33203125" style="797" customWidth="1"/>
    <col min="14" max="14" width="10.53125" style="797" bestFit="1" customWidth="1"/>
    <col min="15" max="15" width="8.53125" style="797" bestFit="1" customWidth="1"/>
    <col min="16" max="16" width="10" style="797" bestFit="1" customWidth="1"/>
    <col min="17" max="18" width="9.1328125" style="797"/>
    <col min="19" max="19" width="12.53125" style="797" bestFit="1" customWidth="1"/>
    <col min="20" max="20" width="12.6640625" style="797" bestFit="1" customWidth="1"/>
    <col min="21" max="21" width="9.6640625" style="797" bestFit="1" customWidth="1"/>
    <col min="22" max="22" width="11.1328125" style="797" bestFit="1" customWidth="1"/>
    <col min="23" max="24" width="9.1328125" style="797"/>
    <col min="25" max="25" width="12.6640625" style="797" bestFit="1" customWidth="1"/>
    <col min="26" max="16384" width="9.1328125" style="797"/>
  </cols>
  <sheetData>
    <row r="2" spans="3:25" x14ac:dyDescent="0.35">
      <c r="C2" s="877" t="s">
        <v>1285</v>
      </c>
      <c r="D2" s="877"/>
      <c r="E2" s="877"/>
      <c r="F2" s="877"/>
      <c r="G2" s="877"/>
      <c r="H2" s="877"/>
      <c r="I2" s="877"/>
      <c r="J2" s="877"/>
      <c r="K2" s="877"/>
      <c r="L2" s="877"/>
      <c r="M2" s="877"/>
    </row>
    <row r="4" spans="3:25" x14ac:dyDescent="0.35">
      <c r="C4" s="798" t="s">
        <v>111</v>
      </c>
      <c r="D4" s="799" t="s">
        <v>782</v>
      </c>
      <c r="E4" s="1918">
        <v>43555</v>
      </c>
      <c r="F4" s="1918"/>
      <c r="G4" s="1918"/>
      <c r="H4" s="1918">
        <v>43921</v>
      </c>
      <c r="I4" s="1918"/>
      <c r="J4" s="1918"/>
      <c r="K4" s="1918">
        <v>44286</v>
      </c>
      <c r="L4" s="1918"/>
      <c r="M4" s="1918"/>
      <c r="N4" s="1918">
        <v>44651</v>
      </c>
      <c r="O4" s="1918"/>
      <c r="P4" s="1918"/>
      <c r="Q4" s="1918">
        <v>45016</v>
      </c>
      <c r="R4" s="1918"/>
      <c r="S4" s="1918"/>
      <c r="T4" s="1918">
        <v>45382</v>
      </c>
      <c r="U4" s="1918"/>
      <c r="V4" s="1918"/>
      <c r="W4" s="1918">
        <v>45747</v>
      </c>
      <c r="X4" s="1918"/>
      <c r="Y4" s="1918"/>
    </row>
    <row r="5" spans="3:25" x14ac:dyDescent="0.35">
      <c r="C5" s="800"/>
      <c r="D5" s="801" t="s">
        <v>1014</v>
      </c>
      <c r="E5" s="804" t="s">
        <v>1286</v>
      </c>
      <c r="F5" s="804" t="s">
        <v>1287</v>
      </c>
      <c r="G5" s="804" t="s">
        <v>1288</v>
      </c>
      <c r="H5" s="802" t="s">
        <v>1286</v>
      </c>
      <c r="I5" s="803" t="s">
        <v>1287</v>
      </c>
      <c r="J5" s="803" t="s">
        <v>1288</v>
      </c>
      <c r="K5" s="802" t="s">
        <v>1286</v>
      </c>
      <c r="L5" s="803" t="s">
        <v>1287</v>
      </c>
      <c r="M5" s="803" t="s">
        <v>1288</v>
      </c>
      <c r="N5" s="802" t="s">
        <v>1286</v>
      </c>
      <c r="O5" s="803" t="s">
        <v>1287</v>
      </c>
      <c r="P5" s="803" t="s">
        <v>1288</v>
      </c>
      <c r="Q5" s="802" t="s">
        <v>1286</v>
      </c>
      <c r="R5" s="803" t="s">
        <v>1287</v>
      </c>
      <c r="S5" s="803" t="s">
        <v>1288</v>
      </c>
      <c r="T5" s="802" t="s">
        <v>1286</v>
      </c>
      <c r="U5" s="803" t="s">
        <v>1287</v>
      </c>
      <c r="V5" s="803" t="s">
        <v>1288</v>
      </c>
      <c r="W5" s="802" t="s">
        <v>1286</v>
      </c>
      <c r="X5" s="803" t="s">
        <v>1287</v>
      </c>
      <c r="Y5" s="803" t="s">
        <v>1288</v>
      </c>
    </row>
    <row r="6" spans="3:25" x14ac:dyDescent="0.35">
      <c r="C6" s="805"/>
      <c r="D6" s="806"/>
      <c r="E6" s="808"/>
      <c r="F6" s="809"/>
      <c r="G6" s="809"/>
      <c r="H6" s="807"/>
      <c r="I6" s="807"/>
      <c r="J6" s="807"/>
      <c r="K6" s="807"/>
      <c r="L6" s="807"/>
      <c r="M6" s="807"/>
      <c r="N6" s="807"/>
      <c r="O6" s="807"/>
      <c r="P6" s="807"/>
      <c r="Q6" s="807"/>
      <c r="R6" s="807"/>
      <c r="S6" s="807"/>
      <c r="T6" s="807"/>
      <c r="U6" s="807"/>
      <c r="V6" s="807"/>
      <c r="W6" s="807"/>
      <c r="X6" s="807"/>
      <c r="Y6" s="807"/>
    </row>
    <row r="7" spans="3:25" x14ac:dyDescent="0.35">
      <c r="C7" s="810" t="s">
        <v>1289</v>
      </c>
      <c r="D7" s="806"/>
      <c r="E7" s="808"/>
      <c r="F7" s="809"/>
      <c r="G7" s="809"/>
      <c r="H7" s="807"/>
      <c r="I7" s="807"/>
      <c r="J7" s="807"/>
      <c r="K7" s="807"/>
      <c r="L7" s="807"/>
      <c r="M7" s="807"/>
      <c r="N7" s="807"/>
      <c r="O7" s="807"/>
      <c r="P7" s="807"/>
      <c r="Q7" s="807"/>
      <c r="R7" s="807"/>
      <c r="S7" s="807"/>
      <c r="T7" s="807"/>
      <c r="U7" s="807"/>
      <c r="V7" s="807"/>
      <c r="W7" s="807"/>
      <c r="X7" s="807"/>
      <c r="Y7" s="807"/>
    </row>
    <row r="8" spans="3:25" x14ac:dyDescent="0.35">
      <c r="C8" s="811" t="s">
        <v>1290</v>
      </c>
      <c r="D8" s="806">
        <v>17</v>
      </c>
      <c r="E8" s="813">
        <f>E49</f>
        <v>1.9018550390000002</v>
      </c>
      <c r="F8" s="813">
        <f>F49</f>
        <v>1.9018137850000001</v>
      </c>
      <c r="G8" s="809">
        <f>E8-F8</f>
        <v>4.1254000000101598E-5</v>
      </c>
      <c r="H8" s="813">
        <f>H49</f>
        <v>6.4824331109999997</v>
      </c>
      <c r="I8" s="813">
        <f>I49</f>
        <v>5.5144750108600009</v>
      </c>
      <c r="J8" s="809">
        <f>H8-I8</f>
        <v>0.96795810013999883</v>
      </c>
      <c r="K8" s="812">
        <f t="shared" ref="K8:Y8" si="0">K49</f>
        <v>14.460273992000001</v>
      </c>
      <c r="L8" s="812">
        <f t="shared" si="0"/>
        <v>12.325328146457</v>
      </c>
      <c r="M8" s="812">
        <f t="shared" si="0"/>
        <v>-2.134945845543001</v>
      </c>
      <c r="N8" s="812">
        <f t="shared" si="0"/>
        <v>19.462281978</v>
      </c>
      <c r="O8" s="812">
        <f t="shared" si="0"/>
        <v>14.641498524120001</v>
      </c>
      <c r="P8" s="812">
        <f t="shared" si="0"/>
        <v>-4.820783453879999</v>
      </c>
      <c r="Q8" s="812">
        <f t="shared" si="0"/>
        <v>28.838091322</v>
      </c>
      <c r="R8" s="812">
        <f t="shared" si="0"/>
        <v>23.064289244680197</v>
      </c>
      <c r="S8" s="812">
        <f t="shared" si="0"/>
        <v>-5.7738020773198038</v>
      </c>
      <c r="T8" s="812">
        <f t="shared" si="0"/>
        <v>46.990390904000002</v>
      </c>
      <c r="U8" s="812">
        <f t="shared" si="0"/>
        <v>40.972769533349997</v>
      </c>
      <c r="V8" s="812">
        <f t="shared" si="0"/>
        <v>-6.017621370650005</v>
      </c>
      <c r="W8" s="812">
        <f t="shared" si="0"/>
        <v>77.642685764999996</v>
      </c>
      <c r="X8" s="812">
        <f t="shared" si="0"/>
        <v>74.126985959057976</v>
      </c>
      <c r="Y8" s="812">
        <f t="shared" si="0"/>
        <v>-3.5156998059420204</v>
      </c>
    </row>
    <row r="9" spans="3:25" x14ac:dyDescent="0.35">
      <c r="C9" s="811" t="s">
        <v>1291</v>
      </c>
      <c r="D9" s="806">
        <v>18</v>
      </c>
      <c r="E9" s="813">
        <f>E68</f>
        <v>2.2987368999999997E-2</v>
      </c>
      <c r="F9" s="813">
        <f>F68</f>
        <v>2.298736899999998E-2</v>
      </c>
      <c r="G9" s="809">
        <f>E9-F9</f>
        <v>0</v>
      </c>
      <c r="H9" s="813">
        <f>H68</f>
        <v>4.4989000000000001E-2</v>
      </c>
      <c r="I9" s="813">
        <f>I68</f>
        <v>4.4988999999999946E-2</v>
      </c>
      <c r="J9" s="809">
        <f>H9-I9</f>
        <v>5.5511151231257827E-17</v>
      </c>
      <c r="K9" s="813">
        <f>K68</f>
        <v>1.0540478120000001</v>
      </c>
      <c r="L9" s="813">
        <f>L68</f>
        <v>1.0540478119999999</v>
      </c>
      <c r="M9" s="809">
        <f>K9-L9</f>
        <v>0</v>
      </c>
      <c r="N9" s="813">
        <f>N68</f>
        <v>0.13956358800000002</v>
      </c>
      <c r="O9" s="813">
        <f>O68</f>
        <v>0.13956358800000002</v>
      </c>
      <c r="P9" s="809">
        <f>N9-O9</f>
        <v>0</v>
      </c>
      <c r="Q9" s="813">
        <f>Q68</f>
        <v>0.37840857</v>
      </c>
      <c r="R9" s="813">
        <f>R68</f>
        <v>0.37840856999999994</v>
      </c>
      <c r="S9" s="809">
        <f>Q9-R9</f>
        <v>0</v>
      </c>
      <c r="T9" s="813">
        <f>T68</f>
        <v>0.79980193700000002</v>
      </c>
      <c r="U9" s="813">
        <f>U68</f>
        <v>0.79980193700000002</v>
      </c>
      <c r="V9" s="809">
        <f>T9-U9</f>
        <v>0</v>
      </c>
      <c r="W9" s="813">
        <f>W68</f>
        <v>1.2945031</v>
      </c>
      <c r="X9" s="813">
        <f>X68</f>
        <v>1.2945031</v>
      </c>
      <c r="Y9" s="809">
        <f>W9-X9</f>
        <v>0</v>
      </c>
    </row>
    <row r="10" spans="3:25" x14ac:dyDescent="0.35">
      <c r="C10" s="811"/>
      <c r="D10" s="806"/>
      <c r="E10" s="813"/>
      <c r="F10" s="809"/>
      <c r="G10" s="809"/>
      <c r="H10" s="807"/>
      <c r="I10" s="807"/>
      <c r="J10" s="807"/>
      <c r="K10" s="807"/>
      <c r="L10" s="807"/>
      <c r="M10" s="807"/>
      <c r="N10" s="807"/>
      <c r="O10" s="807"/>
      <c r="P10" s="807"/>
      <c r="Q10" s="807"/>
      <c r="R10" s="807"/>
      <c r="S10" s="807"/>
      <c r="T10" s="807"/>
      <c r="U10" s="807"/>
      <c r="V10" s="807"/>
      <c r="W10" s="807"/>
      <c r="X10" s="807"/>
      <c r="Y10" s="807"/>
    </row>
    <row r="11" spans="3:25" x14ac:dyDescent="0.35">
      <c r="C11" s="815" t="s">
        <v>1063</v>
      </c>
      <c r="D11" s="816"/>
      <c r="E11" s="804">
        <f t="shared" ref="E11:J11" si="1">SUM(E8:E10)</f>
        <v>1.9248424080000002</v>
      </c>
      <c r="F11" s="804">
        <f t="shared" si="1"/>
        <v>1.9248011540000001</v>
      </c>
      <c r="G11" s="804">
        <f t="shared" si="1"/>
        <v>4.1254000000101598E-5</v>
      </c>
      <c r="H11" s="804">
        <f t="shared" si="1"/>
        <v>6.5274221109999999</v>
      </c>
      <c r="I11" s="804">
        <f t="shared" si="1"/>
        <v>5.5594640108600011</v>
      </c>
      <c r="J11" s="804">
        <f t="shared" si="1"/>
        <v>0.96795810013999883</v>
      </c>
      <c r="K11" s="552">
        <f t="shared" ref="K11:Y11" si="2">SUM(K8:K10)</f>
        <v>15.514321804000001</v>
      </c>
      <c r="L11" s="552">
        <f t="shared" si="2"/>
        <v>13.379375958457</v>
      </c>
      <c r="M11" s="552">
        <f t="shared" si="2"/>
        <v>-2.134945845543001</v>
      </c>
      <c r="N11" s="552">
        <f t="shared" si="2"/>
        <v>19.601845566000001</v>
      </c>
      <c r="O11" s="552">
        <f t="shared" si="2"/>
        <v>14.781062112120001</v>
      </c>
      <c r="P11" s="552">
        <f t="shared" si="2"/>
        <v>-4.820783453879999</v>
      </c>
      <c r="Q11" s="552">
        <f t="shared" si="2"/>
        <v>29.216499892000002</v>
      </c>
      <c r="R11" s="552">
        <f t="shared" si="2"/>
        <v>23.442697814680198</v>
      </c>
      <c r="S11" s="552">
        <f t="shared" si="2"/>
        <v>-5.7738020773198038</v>
      </c>
      <c r="T11" s="552">
        <f t="shared" si="2"/>
        <v>47.790192841</v>
      </c>
      <c r="U11" s="552">
        <f t="shared" si="2"/>
        <v>41.772571470349995</v>
      </c>
      <c r="V11" s="552">
        <f t="shared" si="2"/>
        <v>-6.017621370650005</v>
      </c>
      <c r="W11" s="552">
        <f t="shared" si="2"/>
        <v>78.937188864999996</v>
      </c>
      <c r="X11" s="552">
        <f t="shared" si="2"/>
        <v>75.421489059057976</v>
      </c>
      <c r="Y11" s="552">
        <f t="shared" si="2"/>
        <v>-3.5156998059420204</v>
      </c>
    </row>
    <row r="12" spans="3:25" x14ac:dyDescent="0.35">
      <c r="C12" s="805"/>
      <c r="D12" s="806"/>
      <c r="E12" s="813"/>
      <c r="F12" s="809"/>
      <c r="G12" s="809"/>
      <c r="H12" s="807"/>
      <c r="I12" s="807"/>
      <c r="J12" s="807"/>
      <c r="K12" s="807"/>
      <c r="L12" s="807"/>
      <c r="M12" s="807"/>
      <c r="N12" s="807"/>
      <c r="O12" s="807"/>
      <c r="P12" s="807"/>
      <c r="Q12" s="807"/>
      <c r="R12" s="807"/>
      <c r="S12" s="807"/>
      <c r="T12" s="807"/>
      <c r="U12" s="807"/>
      <c r="V12" s="807"/>
      <c r="W12" s="807"/>
      <c r="X12" s="807"/>
      <c r="Y12" s="807"/>
    </row>
    <row r="13" spans="3:25" x14ac:dyDescent="0.35">
      <c r="C13" s="810" t="s">
        <v>1292</v>
      </c>
      <c r="D13" s="806"/>
      <c r="E13" s="808"/>
      <c r="F13" s="809"/>
      <c r="G13" s="809"/>
      <c r="H13" s="807"/>
      <c r="I13" s="807"/>
      <c r="J13" s="807"/>
      <c r="K13" s="807"/>
      <c r="L13" s="807"/>
      <c r="M13" s="807"/>
      <c r="N13" s="807"/>
      <c r="O13" s="807"/>
      <c r="P13" s="807"/>
      <c r="Q13" s="807"/>
      <c r="R13" s="807"/>
      <c r="S13" s="807"/>
      <c r="T13" s="807"/>
      <c r="U13" s="807"/>
      <c r="V13" s="807"/>
      <c r="W13" s="807"/>
      <c r="X13" s="807"/>
      <c r="Y13" s="807"/>
    </row>
    <row r="14" spans="3:25" x14ac:dyDescent="0.35">
      <c r="C14" s="810"/>
      <c r="D14" s="806"/>
      <c r="E14" s="808"/>
      <c r="F14" s="809"/>
      <c r="G14" s="809"/>
      <c r="H14" s="807"/>
      <c r="I14" s="807"/>
      <c r="J14" s="807"/>
      <c r="K14" s="807"/>
      <c r="L14" s="807"/>
      <c r="M14" s="807"/>
      <c r="N14" s="807"/>
      <c r="O14" s="807"/>
      <c r="P14" s="807"/>
      <c r="Q14" s="807"/>
      <c r="R14" s="807"/>
      <c r="S14" s="807"/>
      <c r="T14" s="807"/>
      <c r="U14" s="807"/>
      <c r="V14" s="807"/>
      <c r="W14" s="807"/>
      <c r="X14" s="807"/>
      <c r="Y14" s="807"/>
    </row>
    <row r="15" spans="3:25" x14ac:dyDescent="0.35">
      <c r="C15" s="811" t="s">
        <v>1293</v>
      </c>
      <c r="D15" s="806">
        <v>19</v>
      </c>
      <c r="E15" s="1748">
        <f>E87</f>
        <v>1.7245275999999998</v>
      </c>
      <c r="F15" s="1748">
        <f>F87</f>
        <v>1.7193255999999999</v>
      </c>
      <c r="G15" s="847">
        <f>E15-F15</f>
        <v>5.2019999999999289E-3</v>
      </c>
      <c r="H15" s="1748">
        <f>H87</f>
        <v>4.898828773</v>
      </c>
      <c r="I15" s="1748">
        <f>I87</f>
        <v>4.4675138874874998</v>
      </c>
      <c r="J15" s="847">
        <f>H15-I15</f>
        <v>0.43131488551250019</v>
      </c>
      <c r="K15" s="1748">
        <f>K87</f>
        <v>5.9225039150000001</v>
      </c>
      <c r="L15" s="1748">
        <f>L87</f>
        <v>4.7958462941134536</v>
      </c>
      <c r="M15" s="847">
        <f>K15-L15</f>
        <v>1.1266576208865464</v>
      </c>
      <c r="N15" s="1748">
        <f>N87</f>
        <v>12.846678014</v>
      </c>
      <c r="O15" s="1748">
        <f>O87</f>
        <v>9.4522771349059589</v>
      </c>
      <c r="P15" s="847">
        <f>N15-O15</f>
        <v>3.3944008790940412</v>
      </c>
      <c r="Q15" s="1748">
        <f>Q87</f>
        <v>17.869731722000001</v>
      </c>
      <c r="R15" s="1748">
        <f>R87</f>
        <v>13.524169951593453</v>
      </c>
      <c r="S15" s="847">
        <f>Q15-R15</f>
        <v>4.3455617704065475</v>
      </c>
      <c r="T15" s="1748">
        <f>T87</f>
        <v>27.468591708000005</v>
      </c>
      <c r="U15" s="1748">
        <f>U87</f>
        <v>23.339133661068452</v>
      </c>
      <c r="V15" s="847">
        <f>T15-U15</f>
        <v>4.1294580469315534</v>
      </c>
      <c r="W15" s="1748">
        <f>W87</f>
        <v>53.090976389000012</v>
      </c>
      <c r="X15" s="1748">
        <f>X87</f>
        <v>52.301021503068462</v>
      </c>
      <c r="Y15" s="847">
        <f>W15-X15</f>
        <v>0.78995488593155017</v>
      </c>
    </row>
    <row r="16" spans="3:25" x14ac:dyDescent="0.35">
      <c r="C16" s="811" t="s">
        <v>1294</v>
      </c>
      <c r="D16" s="806">
        <v>20</v>
      </c>
      <c r="E16" s="1748">
        <f>E97</f>
        <v>2.0867824000000001</v>
      </c>
      <c r="F16" s="847">
        <f>+'F3.2'!D105</f>
        <v>1.7302824000000001</v>
      </c>
      <c r="G16" s="847">
        <f>E16-F16</f>
        <v>0.35650000000000004</v>
      </c>
      <c r="H16" s="1748">
        <f>H97</f>
        <v>3.4646046360000002</v>
      </c>
      <c r="I16" s="1748">
        <f>I97</f>
        <v>3.4646046359999993</v>
      </c>
      <c r="J16" s="847">
        <f>H16-I16</f>
        <v>0</v>
      </c>
      <c r="K16" s="1748">
        <f>K97</f>
        <v>3.6832206000000003</v>
      </c>
      <c r="L16" s="1748">
        <f>L97</f>
        <v>3.6832205999999994</v>
      </c>
      <c r="M16" s="847">
        <f>K16-L16</f>
        <v>0</v>
      </c>
      <c r="N16" s="1748">
        <f>N97</f>
        <v>4.0704076000000002</v>
      </c>
      <c r="O16" s="1748">
        <f>O97</f>
        <v>4.0704076000000011</v>
      </c>
      <c r="P16" s="847">
        <f>N16-O16</f>
        <v>0</v>
      </c>
      <c r="Q16" s="1748">
        <f>Q97</f>
        <v>4.5189433000000001</v>
      </c>
      <c r="R16" s="1748">
        <f>R97</f>
        <v>4.5189433000000001</v>
      </c>
      <c r="S16" s="847">
        <f>Q16-R16</f>
        <v>0</v>
      </c>
      <c r="T16" s="1748">
        <f>T97</f>
        <v>3.0803383539999998</v>
      </c>
      <c r="U16" s="1748">
        <f>U97</f>
        <v>3.0803383540000002</v>
      </c>
      <c r="V16" s="847">
        <f>T16-U16</f>
        <v>0</v>
      </c>
      <c r="W16" s="1748">
        <f>W97</f>
        <v>4.571812821</v>
      </c>
      <c r="X16" s="1748">
        <f>X97</f>
        <v>4.3970017209999996</v>
      </c>
      <c r="Y16" s="847">
        <f>W16-X16</f>
        <v>0.17481110000000033</v>
      </c>
    </row>
    <row r="17" spans="2:25" x14ac:dyDescent="0.35">
      <c r="C17" s="811" t="s">
        <v>1295</v>
      </c>
      <c r="D17" s="806">
        <v>9</v>
      </c>
      <c r="E17" s="1748">
        <v>1.2589140999999999</v>
      </c>
      <c r="F17" s="847">
        <f>+'ARR-Summary'!E94</f>
        <v>1.2631278500000001</v>
      </c>
      <c r="G17" s="847">
        <f>E17-F17</f>
        <v>-4.2137500000001271E-3</v>
      </c>
      <c r="H17" s="1748">
        <v>2.8645279192698121</v>
      </c>
      <c r="I17" s="1748">
        <f>+'ARR-Summary'!F94</f>
        <v>2.8634172192698126</v>
      </c>
      <c r="J17" s="847">
        <f>H17-I17</f>
        <v>1.1106999999994649E-3</v>
      </c>
      <c r="K17" s="1748">
        <v>2.9706094342646465</v>
      </c>
      <c r="L17" s="1748">
        <f>+'ARR-Summary'!G94</f>
        <v>2.9695010244610849</v>
      </c>
      <c r="M17" s="847">
        <f>K17-L17</f>
        <v>1.1084098035616385E-3</v>
      </c>
      <c r="N17" s="1748">
        <v>3.3392507114881584</v>
      </c>
      <c r="O17" s="1748">
        <f>+'ARR-Summary'!H94</f>
        <v>3.338140011488159</v>
      </c>
      <c r="P17" s="847">
        <f>N17-O17</f>
        <v>1.1106999999994649E-3</v>
      </c>
      <c r="Q17" s="1748">
        <v>3.3667059899369778</v>
      </c>
      <c r="R17" s="1748">
        <f>+'ARR-Summary'!I94</f>
        <v>3.3770995902082115</v>
      </c>
      <c r="S17" s="847">
        <f>Q17-R17</f>
        <v>-1.0393600271233705E-2</v>
      </c>
      <c r="T17" s="1748">
        <v>3.4386201524334838</v>
      </c>
      <c r="U17" s="1748">
        <f>+'ARR-Summary'!J94</f>
        <v>3.4386201524334843</v>
      </c>
      <c r="V17" s="847">
        <f>T17-U17</f>
        <v>0</v>
      </c>
      <c r="W17" s="1748">
        <v>3.444872476186823</v>
      </c>
      <c r="X17" s="1748">
        <f>+'ARR-Summary'!K94</f>
        <v>3.4448724761868239</v>
      </c>
      <c r="Y17" s="847">
        <f>W17-X17</f>
        <v>0</v>
      </c>
    </row>
    <row r="18" spans="2:25" x14ac:dyDescent="0.35">
      <c r="C18" s="811" t="s">
        <v>1296</v>
      </c>
      <c r="D18" s="806">
        <v>21</v>
      </c>
      <c r="E18" s="1748">
        <f>E108</f>
        <v>1.5451778689999998</v>
      </c>
      <c r="F18" s="847">
        <f>F108</f>
        <v>1.1004869E-2</v>
      </c>
      <c r="G18" s="847">
        <f>E18-F18</f>
        <v>1.5341729999999998</v>
      </c>
      <c r="H18" s="1748">
        <f>H108</f>
        <v>5.2280931080000004</v>
      </c>
      <c r="I18" s="1748">
        <f>I108</f>
        <v>6.1948607999999995E-2</v>
      </c>
      <c r="J18" s="847">
        <f>H18-I18</f>
        <v>5.1661445000000006</v>
      </c>
      <c r="K18" s="1748">
        <f>K108</f>
        <v>4.5747773369999996</v>
      </c>
      <c r="L18" s="1748">
        <f>L108</f>
        <v>0.11833463700000001</v>
      </c>
      <c r="M18" s="847">
        <f>K18-L18</f>
        <v>4.4564426999999993</v>
      </c>
      <c r="N18" s="1748">
        <f>N108</f>
        <v>0.41190660299999998</v>
      </c>
      <c r="O18" s="1748">
        <f>O108</f>
        <v>0.22348830000000003</v>
      </c>
      <c r="P18" s="847">
        <f>N18-O18</f>
        <v>0.18841830299999995</v>
      </c>
      <c r="Q18" s="1748">
        <f>Q108</f>
        <v>0.25726389999999999</v>
      </c>
      <c r="R18" s="1748">
        <f>R108</f>
        <v>0.25726389999999999</v>
      </c>
      <c r="S18" s="847">
        <f>Q18-R18</f>
        <v>0</v>
      </c>
      <c r="T18" s="1748">
        <f>T108</f>
        <v>0.44022800000000001</v>
      </c>
      <c r="U18" s="1748">
        <f>U108</f>
        <v>0.44022800000000006</v>
      </c>
      <c r="V18" s="847">
        <f>T18-U18</f>
        <v>0</v>
      </c>
      <c r="W18" s="1748">
        <f>W108</f>
        <v>0.86225510000000005</v>
      </c>
      <c r="X18" s="1748">
        <f>X108</f>
        <v>0.86225510000000005</v>
      </c>
      <c r="Y18" s="847">
        <f>W18-X18</f>
        <v>0</v>
      </c>
    </row>
    <row r="19" spans="2:25" x14ac:dyDescent="0.35">
      <c r="C19" s="805" t="s">
        <v>1297</v>
      </c>
      <c r="D19" s="806">
        <v>22</v>
      </c>
      <c r="E19" s="1748">
        <f>E145</f>
        <v>0.85625481199999998</v>
      </c>
      <c r="F19" s="1748">
        <f>F145</f>
        <v>0.86145681199999991</v>
      </c>
      <c r="G19" s="847">
        <f>E19-F19</f>
        <v>-5.2019999999999289E-3</v>
      </c>
      <c r="H19" s="1748">
        <f>H145</f>
        <v>1.5489842579999999</v>
      </c>
      <c r="I19" s="1748">
        <f>I145</f>
        <v>1.6250787720000002</v>
      </c>
      <c r="J19" s="847">
        <f>H19-I19</f>
        <v>-7.6094514000000224E-2</v>
      </c>
      <c r="K19" s="1748">
        <f>K145</f>
        <v>1.3849580049999999</v>
      </c>
      <c r="L19" s="1748">
        <f>L145</f>
        <v>1.4128167850000002</v>
      </c>
      <c r="M19" s="847">
        <f>K19-L19</f>
        <v>-2.7858780000000305E-2</v>
      </c>
      <c r="N19" s="1748">
        <f>N145</f>
        <v>1.9265552120000002</v>
      </c>
      <c r="O19" s="1748">
        <f>O145</f>
        <v>2.0173084929999998</v>
      </c>
      <c r="P19" s="847">
        <f>N19-O19</f>
        <v>-9.0753280999999575E-2</v>
      </c>
      <c r="Q19" s="1748">
        <f>Q145</f>
        <v>2.1786857849999999</v>
      </c>
      <c r="R19" s="1748">
        <f>R145</f>
        <v>2.3483536190000005</v>
      </c>
      <c r="S19" s="847">
        <f>Q19-R19</f>
        <v>-0.16966783400000063</v>
      </c>
      <c r="T19" s="1748">
        <f>T145</f>
        <v>2.5766683659999998</v>
      </c>
      <c r="U19" s="1748">
        <f>U145</f>
        <v>2.7019504659999996</v>
      </c>
      <c r="V19" s="847">
        <f>T19-U19</f>
        <v>-0.12528209999999973</v>
      </c>
      <c r="W19" s="1748">
        <f>W145</f>
        <v>3.0035833419999998</v>
      </c>
      <c r="X19" s="1748">
        <f>X145</f>
        <v>3.1502306419999999</v>
      </c>
      <c r="Y19" s="847">
        <f>W19-X19</f>
        <v>-0.14664730000000015</v>
      </c>
    </row>
    <row r="20" spans="2:25" x14ac:dyDescent="0.35">
      <c r="C20" s="805"/>
      <c r="D20" s="806"/>
      <c r="E20" s="808"/>
      <c r="F20" s="809"/>
      <c r="G20" s="809"/>
      <c r="H20" s="807"/>
      <c r="I20" s="807"/>
      <c r="J20" s="807"/>
      <c r="K20" s="807"/>
      <c r="L20" s="807"/>
      <c r="M20" s="807"/>
      <c r="N20" s="807"/>
      <c r="O20" s="807"/>
      <c r="P20" s="807"/>
      <c r="Q20" s="807"/>
      <c r="R20" s="807"/>
      <c r="S20" s="807"/>
      <c r="T20" s="807"/>
      <c r="U20" s="807"/>
      <c r="V20" s="807"/>
      <c r="W20" s="807"/>
      <c r="X20" s="807"/>
      <c r="Y20" s="807"/>
    </row>
    <row r="21" spans="2:25" x14ac:dyDescent="0.35">
      <c r="C21" s="815" t="s">
        <v>1061</v>
      </c>
      <c r="D21" s="816"/>
      <c r="E21" s="804">
        <f t="shared" ref="E21:J21" si="3">+SUM(E15:E20)</f>
        <v>7.4716567810000001</v>
      </c>
      <c r="F21" s="804">
        <f t="shared" si="3"/>
        <v>5.5851975309999995</v>
      </c>
      <c r="G21" s="804">
        <f t="shared" si="3"/>
        <v>1.8864592499999997</v>
      </c>
      <c r="H21" s="804">
        <f t="shared" si="3"/>
        <v>18.005038694269814</v>
      </c>
      <c r="I21" s="804">
        <f t="shared" si="3"/>
        <v>12.482563122757313</v>
      </c>
      <c r="J21" s="804">
        <f t="shared" si="3"/>
        <v>5.5224755715125005</v>
      </c>
      <c r="K21" s="552">
        <f t="shared" ref="K21:Y21" si="4">+SUM(K15:K20)</f>
        <v>18.536069291264649</v>
      </c>
      <c r="L21" s="552">
        <f t="shared" si="4"/>
        <v>12.979719340574539</v>
      </c>
      <c r="M21" s="804">
        <f t="shared" si="4"/>
        <v>5.5563499506901071</v>
      </c>
      <c r="N21" s="552">
        <f t="shared" si="4"/>
        <v>22.594798140488159</v>
      </c>
      <c r="O21" s="552">
        <f t="shared" si="4"/>
        <v>19.101621539394117</v>
      </c>
      <c r="P21" s="804">
        <f t="shared" si="4"/>
        <v>3.4931766010940413</v>
      </c>
      <c r="Q21" s="552">
        <f t="shared" si="4"/>
        <v>28.19133069693698</v>
      </c>
      <c r="R21" s="552">
        <f t="shared" si="4"/>
        <v>24.025830360801667</v>
      </c>
      <c r="S21" s="804">
        <f t="shared" si="4"/>
        <v>4.1655003361353131</v>
      </c>
      <c r="T21" s="552">
        <f t="shared" si="4"/>
        <v>37.004446580433488</v>
      </c>
      <c r="U21" s="552">
        <f t="shared" si="4"/>
        <v>33.000270633501934</v>
      </c>
      <c r="V21" s="804">
        <f t="shared" si="4"/>
        <v>4.0041759469315537</v>
      </c>
      <c r="W21" s="552">
        <f t="shared" si="4"/>
        <v>64.973500128186842</v>
      </c>
      <c r="X21" s="552">
        <f t="shared" si="4"/>
        <v>64.15538144225529</v>
      </c>
      <c r="Y21" s="804">
        <f t="shared" si="4"/>
        <v>0.81811868593155035</v>
      </c>
    </row>
    <row r="22" spans="2:25" x14ac:dyDescent="0.35">
      <c r="C22" s="817"/>
      <c r="D22" s="818"/>
      <c r="E22" s="804"/>
      <c r="F22" s="809"/>
      <c r="G22" s="809"/>
      <c r="H22" s="819"/>
      <c r="I22" s="819"/>
      <c r="J22" s="819"/>
      <c r="K22" s="922">
        <v>2.29019643382955E-6</v>
      </c>
      <c r="L22" s="819"/>
      <c r="M22" s="819"/>
      <c r="N22" s="922">
        <v>3.0999999900416242E-8</v>
      </c>
      <c r="O22" s="819"/>
      <c r="P22" s="819"/>
      <c r="Q22" s="923">
        <v>3.3000001176120008E-8</v>
      </c>
      <c r="R22" s="819"/>
      <c r="S22" s="819"/>
      <c r="T22" s="923">
        <v>1.699999252480211E-8</v>
      </c>
      <c r="U22" s="819"/>
      <c r="V22" s="819"/>
      <c r="W22" s="819"/>
      <c r="X22" s="819"/>
      <c r="Y22" s="819"/>
    </row>
    <row r="23" spans="2:25" hidden="1" x14ac:dyDescent="0.35">
      <c r="C23" s="811" t="s">
        <v>1298</v>
      </c>
      <c r="D23" s="806"/>
      <c r="E23" s="808">
        <f>E11-E21</f>
        <v>-5.5468143730000001</v>
      </c>
      <c r="F23" s="808">
        <f>F11-F21</f>
        <v>-3.6603963769999996</v>
      </c>
      <c r="G23" s="808">
        <f>G11-G21</f>
        <v>-1.8864179959999996</v>
      </c>
      <c r="H23" s="807"/>
      <c r="I23" s="807"/>
      <c r="J23" s="807"/>
      <c r="K23" s="806"/>
      <c r="L23" s="806"/>
      <c r="M23" s="806"/>
      <c r="N23" s="806"/>
      <c r="O23" s="806"/>
      <c r="P23" s="806"/>
      <c r="Q23" s="806"/>
      <c r="R23" s="806"/>
      <c r="S23" s="806"/>
      <c r="T23" s="806"/>
      <c r="U23" s="806"/>
      <c r="V23" s="806"/>
      <c r="W23" s="806"/>
      <c r="X23" s="806"/>
      <c r="Y23" s="806"/>
    </row>
    <row r="24" spans="2:25" hidden="1" x14ac:dyDescent="0.35">
      <c r="C24" s="820" t="s">
        <v>1299</v>
      </c>
      <c r="D24" s="806"/>
      <c r="E24" s="808"/>
      <c r="F24" s="809"/>
      <c r="G24" s="809"/>
      <c r="H24" s="807"/>
      <c r="I24" s="807"/>
      <c r="J24" s="807"/>
      <c r="K24" s="806"/>
      <c r="L24" s="806"/>
      <c r="M24" s="806"/>
      <c r="N24" s="806"/>
      <c r="O24" s="806"/>
      <c r="P24" s="806"/>
      <c r="Q24" s="806"/>
      <c r="R24" s="806"/>
      <c r="S24" s="806"/>
      <c r="T24" s="806"/>
      <c r="U24" s="806"/>
      <c r="V24" s="806"/>
      <c r="W24" s="806"/>
      <c r="X24" s="806"/>
      <c r="Y24" s="806"/>
    </row>
    <row r="25" spans="2:25" hidden="1" x14ac:dyDescent="0.35">
      <c r="C25" s="811" t="s">
        <v>1300</v>
      </c>
      <c r="D25" s="806"/>
      <c r="E25" s="813">
        <v>0</v>
      </c>
      <c r="F25" s="809"/>
      <c r="G25" s="809"/>
      <c r="H25" s="807"/>
      <c r="I25" s="807"/>
      <c r="J25" s="807"/>
      <c r="K25" s="806"/>
      <c r="L25" s="806"/>
      <c r="M25" s="806"/>
      <c r="N25" s="806"/>
      <c r="O25" s="806"/>
      <c r="P25" s="806"/>
      <c r="Q25" s="806"/>
      <c r="R25" s="806"/>
      <c r="S25" s="806"/>
      <c r="T25" s="806"/>
      <c r="U25" s="806"/>
      <c r="V25" s="806"/>
      <c r="W25" s="806"/>
      <c r="X25" s="806"/>
      <c r="Y25" s="806"/>
    </row>
    <row r="26" spans="2:25" hidden="1" x14ac:dyDescent="0.35">
      <c r="C26" s="811" t="s">
        <v>1301</v>
      </c>
      <c r="D26" s="806">
        <v>11</v>
      </c>
      <c r="E26" s="813">
        <v>1.7281122</v>
      </c>
      <c r="F26" s="809"/>
      <c r="G26" s="809"/>
      <c r="H26" s="807"/>
      <c r="I26" s="807"/>
      <c r="J26" s="807"/>
      <c r="K26" s="806"/>
      <c r="L26" s="806"/>
      <c r="M26" s="806"/>
      <c r="N26" s="806"/>
      <c r="O26" s="806"/>
      <c r="P26" s="806"/>
      <c r="Q26" s="806"/>
      <c r="R26" s="806"/>
      <c r="S26" s="806"/>
      <c r="T26" s="806"/>
      <c r="U26" s="806"/>
      <c r="V26" s="806"/>
      <c r="W26" s="806"/>
      <c r="X26" s="806"/>
      <c r="Y26" s="806"/>
    </row>
    <row r="27" spans="2:25" ht="25.5" hidden="1" x14ac:dyDescent="0.35">
      <c r="C27" s="821" t="s">
        <v>1302</v>
      </c>
      <c r="D27" s="806"/>
      <c r="E27" s="813">
        <v>0</v>
      </c>
      <c r="F27" s="809"/>
      <c r="G27" s="809"/>
      <c r="H27" s="807"/>
      <c r="I27" s="807"/>
      <c r="J27" s="807"/>
      <c r="K27" s="806"/>
      <c r="L27" s="806"/>
      <c r="M27" s="806"/>
      <c r="N27" s="806"/>
      <c r="O27" s="806"/>
      <c r="P27" s="806"/>
      <c r="Q27" s="806"/>
      <c r="R27" s="806"/>
      <c r="S27" s="806"/>
      <c r="T27" s="806"/>
      <c r="U27" s="806"/>
      <c r="V27" s="806"/>
      <c r="W27" s="806"/>
      <c r="X27" s="806"/>
      <c r="Y27" s="806"/>
    </row>
    <row r="28" spans="2:25" hidden="1" x14ac:dyDescent="0.35">
      <c r="C28" s="821"/>
      <c r="D28" s="806"/>
      <c r="E28" s="808"/>
      <c r="F28" s="809"/>
      <c r="G28" s="809"/>
      <c r="H28" s="807"/>
      <c r="I28" s="807"/>
      <c r="J28" s="807"/>
      <c r="K28" s="806"/>
      <c r="L28" s="806"/>
      <c r="M28" s="806"/>
      <c r="N28" s="806"/>
      <c r="O28" s="806"/>
      <c r="P28" s="806"/>
      <c r="Q28" s="806"/>
      <c r="R28" s="806"/>
      <c r="S28" s="806"/>
      <c r="T28" s="806"/>
      <c r="U28" s="806"/>
      <c r="V28" s="806"/>
      <c r="W28" s="806"/>
      <c r="X28" s="806"/>
      <c r="Y28" s="806"/>
    </row>
    <row r="29" spans="2:25" hidden="1" x14ac:dyDescent="0.35">
      <c r="C29" s="822" t="s">
        <v>1303</v>
      </c>
      <c r="D29" s="823"/>
      <c r="E29" s="825">
        <f>+E23+E25+E26+E27</f>
        <v>-3.8187021730000001</v>
      </c>
      <c r="F29" s="809"/>
      <c r="G29" s="809"/>
      <c r="H29" s="824"/>
      <c r="I29" s="824"/>
      <c r="J29" s="824"/>
      <c r="K29" s="823"/>
      <c r="L29" s="823"/>
      <c r="M29" s="823"/>
      <c r="N29" s="823"/>
      <c r="O29" s="823"/>
      <c r="P29" s="823"/>
      <c r="Q29" s="823"/>
      <c r="R29" s="823"/>
      <c r="S29" s="823"/>
      <c r="T29" s="823"/>
      <c r="U29" s="823"/>
      <c r="V29" s="823"/>
      <c r="W29" s="823"/>
      <c r="X29" s="823"/>
      <c r="Y29" s="823"/>
    </row>
    <row r="30" spans="2:25" x14ac:dyDescent="0.35">
      <c r="T30" s="839"/>
    </row>
    <row r="32" spans="2:25" x14ac:dyDescent="0.35">
      <c r="B32" s="826"/>
      <c r="C32" s="827" t="s">
        <v>1304</v>
      </c>
      <c r="D32" s="828"/>
      <c r="K32" s="828"/>
      <c r="L32" s="1459">
        <f>+M37*10^7</f>
        <v>4.5699977135882364E-3</v>
      </c>
      <c r="M32" s="828"/>
      <c r="N32" s="828"/>
      <c r="O32" s="828"/>
      <c r="P32" s="1460">
        <f>+P37*10^7</f>
        <v>1.2000000992884452E-3</v>
      </c>
      <c r="Q32" s="828"/>
      <c r="R32" s="828"/>
      <c r="S32" s="1460">
        <f>+S37*10^7</f>
        <v>-3.1980462722458469E-3</v>
      </c>
      <c r="T32" s="828"/>
      <c r="U32" s="1207"/>
      <c r="V32" s="1460">
        <f>+V37*10^7</f>
        <v>3.4999203535335255E-3</v>
      </c>
      <c r="W32" s="828"/>
      <c r="X32" s="828"/>
      <c r="Y32" s="1460">
        <f>+Y37*10^7</f>
        <v>5.7980287238024175E-4</v>
      </c>
    </row>
    <row r="33" spans="2:25" x14ac:dyDescent="0.35">
      <c r="B33" s="830"/>
      <c r="C33" s="831" t="s">
        <v>111</v>
      </c>
      <c r="D33" s="832"/>
      <c r="E33" s="1932">
        <v>43555</v>
      </c>
      <c r="F33" s="1932"/>
      <c r="G33" s="1932"/>
      <c r="H33" s="1918">
        <v>43921</v>
      </c>
      <c r="I33" s="1918"/>
      <c r="J33" s="1918"/>
      <c r="K33" s="1918">
        <v>44286</v>
      </c>
      <c r="L33" s="1918"/>
      <c r="M33" s="1918"/>
      <c r="N33" s="1918">
        <v>44651</v>
      </c>
      <c r="O33" s="1918"/>
      <c r="P33" s="1918"/>
      <c r="Q33" s="1918">
        <v>45016</v>
      </c>
      <c r="R33" s="1918"/>
      <c r="S33" s="1918"/>
      <c r="T33" s="1918">
        <v>45382</v>
      </c>
      <c r="U33" s="1918"/>
      <c r="V33" s="1918"/>
      <c r="W33" s="1918">
        <v>45747</v>
      </c>
      <c r="X33" s="1918"/>
      <c r="Y33" s="1918"/>
    </row>
    <row r="34" spans="2:25" x14ac:dyDescent="0.35">
      <c r="B34" s="833"/>
      <c r="C34" s="834"/>
      <c r="D34" s="832"/>
      <c r="E34" s="804" t="s">
        <v>1286</v>
      </c>
      <c r="F34" s="804" t="s">
        <v>1287</v>
      </c>
      <c r="G34" s="804" t="s">
        <v>1288</v>
      </c>
      <c r="H34" s="802" t="s">
        <v>1286</v>
      </c>
      <c r="I34" s="803" t="s">
        <v>1287</v>
      </c>
      <c r="J34" s="803" t="s">
        <v>1288</v>
      </c>
      <c r="K34" s="802" t="s">
        <v>1286</v>
      </c>
      <c r="L34" s="803" t="s">
        <v>1287</v>
      </c>
      <c r="M34" s="803" t="s">
        <v>1288</v>
      </c>
      <c r="N34" s="802" t="s">
        <v>1286</v>
      </c>
      <c r="O34" s="803" t="s">
        <v>1287</v>
      </c>
      <c r="P34" s="803" t="s">
        <v>1288</v>
      </c>
      <c r="Q34" s="802" t="s">
        <v>1286</v>
      </c>
      <c r="R34" s="803" t="s">
        <v>1287</v>
      </c>
      <c r="S34" s="803" t="s">
        <v>1288</v>
      </c>
      <c r="T34" s="802" t="s">
        <v>1286</v>
      </c>
      <c r="U34" s="803" t="s">
        <v>1287</v>
      </c>
      <c r="V34" s="803" t="s">
        <v>1288</v>
      </c>
      <c r="W34" s="802" t="s">
        <v>1286</v>
      </c>
      <c r="X34" s="803" t="s">
        <v>1287</v>
      </c>
      <c r="Y34" s="803" t="s">
        <v>1288</v>
      </c>
    </row>
    <row r="35" spans="2:25" x14ac:dyDescent="0.35">
      <c r="B35" s="833"/>
      <c r="C35" s="835"/>
      <c r="D35" s="832"/>
      <c r="E35" s="701"/>
      <c r="F35" s="809"/>
      <c r="G35" s="809"/>
      <c r="H35" s="832"/>
      <c r="I35" s="832"/>
      <c r="J35" s="832"/>
      <c r="K35" s="832"/>
      <c r="L35" s="832"/>
      <c r="M35" s="832"/>
      <c r="N35" s="832"/>
      <c r="O35" s="832"/>
      <c r="P35" s="832"/>
      <c r="Q35" s="832"/>
      <c r="R35" s="832"/>
      <c r="S35" s="832"/>
      <c r="T35" s="832"/>
      <c r="U35" s="832"/>
      <c r="V35" s="832"/>
      <c r="W35" s="832"/>
      <c r="X35" s="832"/>
      <c r="Y35" s="832"/>
    </row>
    <row r="36" spans="2:25" x14ac:dyDescent="0.35">
      <c r="B36" s="833"/>
      <c r="C36" s="836" t="s">
        <v>1305</v>
      </c>
      <c r="D36" s="832"/>
      <c r="E36" s="838">
        <v>1.5261050390000002</v>
      </c>
      <c r="F36" s="837">
        <f>+F37+F38</f>
        <v>1.5260637850000001</v>
      </c>
      <c r="G36" s="837">
        <f>F36-E36</f>
        <v>-4.1254000000101598E-5</v>
      </c>
      <c r="H36" s="837">
        <v>4.3263212019999999</v>
      </c>
      <c r="I36" s="837">
        <f>I37+I38</f>
        <v>4.2905450108600007</v>
      </c>
      <c r="J36" s="837">
        <f>I36-H36</f>
        <v>-3.5776191139999192E-2</v>
      </c>
      <c r="K36" s="685">
        <f t="shared" ref="K36:Y36" si="5">K37+K38</f>
        <v>11.481098392</v>
      </c>
      <c r="L36" s="685">
        <f t="shared" si="5"/>
        <v>11.399013146456999</v>
      </c>
      <c r="M36" s="685">
        <f t="shared" si="5"/>
        <v>-8.2085245543000229E-2</v>
      </c>
      <c r="N36" s="685">
        <f t="shared" si="5"/>
        <v>14.680624578</v>
      </c>
      <c r="O36" s="685">
        <f t="shared" si="5"/>
        <v>14.592554524120001</v>
      </c>
      <c r="P36" s="685">
        <f t="shared" si="5"/>
        <v>-8.8070053879999985E-2</v>
      </c>
      <c r="Q36" s="685">
        <f t="shared" si="5"/>
        <v>21.889057621999999</v>
      </c>
      <c r="R36" s="837">
        <f t="shared" si="5"/>
        <v>21.784573244680196</v>
      </c>
      <c r="S36" s="685">
        <f t="shared" si="5"/>
        <v>-0.10448437731980463</v>
      </c>
      <c r="T36" s="685">
        <f t="shared" si="5"/>
        <v>41.587806604000001</v>
      </c>
      <c r="U36" s="888">
        <f t="shared" si="5"/>
        <v>40.870476533349994</v>
      </c>
      <c r="V36" s="685">
        <f t="shared" si="5"/>
        <v>-0.71733007065000798</v>
      </c>
      <c r="W36" s="685">
        <f t="shared" si="5"/>
        <v>76.754282445000001</v>
      </c>
      <c r="X36" s="685">
        <f t="shared" si="5"/>
        <v>73.97208683905798</v>
      </c>
      <c r="Y36" s="685">
        <f t="shared" si="5"/>
        <v>-2.7821956059420194</v>
      </c>
    </row>
    <row r="37" spans="2:25" x14ac:dyDescent="0.35">
      <c r="B37" s="833"/>
      <c r="C37" s="840" t="s">
        <v>1306</v>
      </c>
      <c r="D37" s="832"/>
      <c r="E37" s="838"/>
      <c r="F37" s="837">
        <f>+'F13'!O33</f>
        <v>1.5260637850000001</v>
      </c>
      <c r="G37" s="837"/>
      <c r="H37" s="837">
        <v>4.2905450109999999</v>
      </c>
      <c r="I37" s="837">
        <f>+'F13'!O69</f>
        <v>4.2905450108600007</v>
      </c>
      <c r="J37" s="837">
        <f>I37-H37</f>
        <v>-1.3999912340523224E-10</v>
      </c>
      <c r="K37" s="685">
        <v>11.399013146</v>
      </c>
      <c r="L37" s="685">
        <f>+'F13'!O105</f>
        <v>11.399013146456999</v>
      </c>
      <c r="M37" s="837">
        <f>L37-K37</f>
        <v>4.5699977135882364E-10</v>
      </c>
      <c r="N37" s="685">
        <v>14.592554524000001</v>
      </c>
      <c r="O37" s="685">
        <f>+'F13'!O135</f>
        <v>14.592554524120001</v>
      </c>
      <c r="P37" s="837">
        <f>O37-N37</f>
        <v>1.2000000992884452E-10</v>
      </c>
      <c r="Q37" s="685">
        <v>21.784573245000001</v>
      </c>
      <c r="R37" s="685">
        <f>+'F13'!O165</f>
        <v>21.784573244680196</v>
      </c>
      <c r="S37" s="837">
        <f>R37-Q37</f>
        <v>-3.1980462722458469E-10</v>
      </c>
      <c r="T37" s="685">
        <v>40.870476533000001</v>
      </c>
      <c r="U37" s="685">
        <f>+'F13'!O195</f>
        <v>40.870476533349994</v>
      </c>
      <c r="V37" s="837">
        <f>U37-T37</f>
        <v>3.4999203535335255E-10</v>
      </c>
      <c r="W37" s="685">
        <v>73.972086838999999</v>
      </c>
      <c r="X37" s="685">
        <f>+'F13'!O226</f>
        <v>73.97208683905798</v>
      </c>
      <c r="Y37" s="837">
        <f>X37-W37</f>
        <v>5.7980287238024175E-11</v>
      </c>
    </row>
    <row r="38" spans="2:25" x14ac:dyDescent="0.35">
      <c r="B38" s="833"/>
      <c r="C38" s="840" t="s">
        <v>1307</v>
      </c>
      <c r="D38" s="832"/>
      <c r="E38" s="838"/>
      <c r="F38" s="837"/>
      <c r="G38" s="837"/>
      <c r="H38" s="837">
        <v>3.5776200000000001E-2</v>
      </c>
      <c r="I38" s="837"/>
      <c r="J38" s="837">
        <f>I38-H38</f>
        <v>-3.5776200000000001E-2</v>
      </c>
      <c r="K38" s="685">
        <v>8.2085246000000001E-2</v>
      </c>
      <c r="L38" s="832"/>
      <c r="M38" s="837">
        <f>L38-K38</f>
        <v>-8.2085246000000001E-2</v>
      </c>
      <c r="N38" s="685">
        <v>8.8070053999999995E-2</v>
      </c>
      <c r="O38" s="832"/>
      <c r="P38" s="837">
        <f>O38-N38</f>
        <v>-8.8070053999999995E-2</v>
      </c>
      <c r="Q38" s="685">
        <v>0.104484377</v>
      </c>
      <c r="R38" s="832"/>
      <c r="S38" s="837">
        <f>R38-Q38</f>
        <v>-0.104484377</v>
      </c>
      <c r="T38" s="685">
        <v>0.71733007100000001</v>
      </c>
      <c r="U38" s="832"/>
      <c r="V38" s="837">
        <f>U38-T38</f>
        <v>-0.71733007100000001</v>
      </c>
      <c r="W38" s="685">
        <v>2.7821956059999997</v>
      </c>
      <c r="X38" s="832"/>
      <c r="Y38" s="837">
        <f>X38-W38</f>
        <v>-2.7821956059999997</v>
      </c>
    </row>
    <row r="39" spans="2:25" x14ac:dyDescent="0.35">
      <c r="B39" s="833"/>
      <c r="C39" s="836" t="s">
        <v>1308</v>
      </c>
      <c r="D39" s="832"/>
      <c r="E39" s="838">
        <v>0.37574999999999997</v>
      </c>
      <c r="F39" s="837">
        <f>+'F9'!D64</f>
        <v>0.37574999999999997</v>
      </c>
      <c r="G39" s="837">
        <f>F39-E39</f>
        <v>0</v>
      </c>
      <c r="H39" s="837">
        <v>1.22393</v>
      </c>
      <c r="I39" s="837">
        <f>+'F9'!E64</f>
        <v>1.22393</v>
      </c>
      <c r="J39" s="837">
        <f>I39-H39</f>
        <v>0</v>
      </c>
      <c r="K39" s="837">
        <v>0.926315</v>
      </c>
      <c r="L39" s="837">
        <f>+'F9'!F64</f>
        <v>0.926315</v>
      </c>
      <c r="M39" s="837">
        <f>L39-K39</f>
        <v>0</v>
      </c>
      <c r="N39" s="837">
        <f>SUM(N40:N47)</f>
        <v>4.8944000000000001E-2</v>
      </c>
      <c r="O39" s="837">
        <f>+'F9'!G64</f>
        <v>4.8944000000000001E-2</v>
      </c>
      <c r="P39" s="837">
        <f>O39-N39</f>
        <v>0</v>
      </c>
      <c r="Q39" s="837">
        <f>SUM(Q40:Q47)</f>
        <v>1.2797160000000001</v>
      </c>
      <c r="R39" s="837">
        <f>+'F9'!H64</f>
        <v>1.2797160000000001</v>
      </c>
      <c r="S39" s="837">
        <f>R39-Q39</f>
        <v>0</v>
      </c>
      <c r="T39" s="837">
        <f>SUM(T40:T47)</f>
        <v>0.10229300000000001</v>
      </c>
      <c r="U39" s="837">
        <f>+'F9'!I64</f>
        <v>0.10229300000000001</v>
      </c>
      <c r="V39" s="837">
        <f>U39-T39</f>
        <v>0</v>
      </c>
      <c r="W39" s="837">
        <f>SUM(W40:W47)</f>
        <v>0.15489912</v>
      </c>
      <c r="X39" s="837">
        <f>+'F9'!J64</f>
        <v>0.15489912</v>
      </c>
      <c r="Y39" s="837">
        <f>X39-W39</f>
        <v>0</v>
      </c>
    </row>
    <row r="40" spans="2:25" x14ac:dyDescent="0.35">
      <c r="B40" s="833"/>
      <c r="C40" s="841" t="s">
        <v>1309</v>
      </c>
      <c r="D40" s="832"/>
      <c r="E40" s="838">
        <v>3.2000000000000003E-4</v>
      </c>
      <c r="F40" s="837"/>
      <c r="G40" s="837"/>
      <c r="H40" s="837">
        <v>0</v>
      </c>
      <c r="I40" s="837"/>
      <c r="J40" s="832"/>
      <c r="K40" s="685">
        <v>0</v>
      </c>
      <c r="L40" s="832"/>
      <c r="M40" s="832"/>
      <c r="N40" s="685"/>
      <c r="O40" s="832"/>
      <c r="P40" s="832"/>
      <c r="Q40" s="685">
        <v>4.3999999999999999E-5</v>
      </c>
      <c r="R40" s="832"/>
      <c r="S40" s="832"/>
      <c r="T40" s="685">
        <v>0</v>
      </c>
      <c r="U40" s="832"/>
      <c r="V40" s="832"/>
      <c r="W40" s="685"/>
      <c r="X40" s="832"/>
      <c r="Y40" s="832"/>
    </row>
    <row r="41" spans="2:25" x14ac:dyDescent="0.35">
      <c r="B41" s="833"/>
      <c r="C41" s="841" t="s">
        <v>1310</v>
      </c>
      <c r="D41" s="832"/>
      <c r="E41" s="838">
        <v>3.2799999999999999E-3</v>
      </c>
      <c r="F41" s="837"/>
      <c r="G41" s="837"/>
      <c r="H41" s="837">
        <v>2.1784999999999999E-2</v>
      </c>
      <c r="I41" s="837"/>
      <c r="J41" s="832"/>
      <c r="K41" s="685">
        <v>9.214E-3</v>
      </c>
      <c r="L41" s="832"/>
      <c r="M41" s="832"/>
      <c r="N41" s="685">
        <v>2.42E-4</v>
      </c>
      <c r="O41" s="832"/>
      <c r="P41" s="832"/>
      <c r="Q41" s="685">
        <v>1.9404000000000001E-2</v>
      </c>
      <c r="R41" s="832"/>
      <c r="S41" s="832"/>
      <c r="T41" s="685">
        <v>9.9799999999999997E-4</v>
      </c>
      <c r="U41" s="832"/>
      <c r="V41" s="832"/>
      <c r="W41" s="837">
        <v>1.9102000000000001E-2</v>
      </c>
      <c r="X41" s="832"/>
      <c r="Y41" s="832"/>
    </row>
    <row r="42" spans="2:25" x14ac:dyDescent="0.35">
      <c r="B42" s="833"/>
      <c r="C42" s="841" t="s">
        <v>1311</v>
      </c>
      <c r="D42" s="832"/>
      <c r="E42" s="838">
        <v>9.6549999999999997E-2</v>
      </c>
      <c r="F42" s="837"/>
      <c r="G42" s="837"/>
      <c r="H42" s="837">
        <v>0.29575000000000001</v>
      </c>
      <c r="I42" s="837"/>
      <c r="J42" s="832"/>
      <c r="K42" s="685">
        <v>0.20239099999999999</v>
      </c>
      <c r="L42" s="832"/>
      <c r="M42" s="832"/>
      <c r="N42" s="685">
        <v>7.5799999999999999E-4</v>
      </c>
      <c r="O42" s="832"/>
      <c r="P42" s="832"/>
      <c r="Q42" s="685">
        <v>0</v>
      </c>
      <c r="R42" s="832"/>
      <c r="S42" s="832"/>
      <c r="T42" s="685">
        <v>0</v>
      </c>
      <c r="U42" s="832"/>
      <c r="V42" s="832"/>
      <c r="W42" s="837"/>
      <c r="X42" s="832"/>
      <c r="Y42" s="832"/>
    </row>
    <row r="43" spans="2:25" x14ac:dyDescent="0.35">
      <c r="B43" s="833"/>
      <c r="C43" s="841" t="s">
        <v>1312</v>
      </c>
      <c r="D43" s="832"/>
      <c r="E43" s="838"/>
      <c r="F43" s="837"/>
      <c r="G43" s="837"/>
      <c r="H43" s="837">
        <v>1.2E-4</v>
      </c>
      <c r="I43" s="837"/>
      <c r="J43" s="832"/>
      <c r="K43" s="685">
        <v>2.0799999999999999E-4</v>
      </c>
      <c r="L43" s="832"/>
      <c r="M43" s="832"/>
      <c r="N43" s="685">
        <v>1.024E-3</v>
      </c>
      <c r="O43" s="832"/>
      <c r="P43" s="832"/>
      <c r="Q43" s="685">
        <v>1.5280000000000001E-3</v>
      </c>
      <c r="R43" s="832"/>
      <c r="S43" s="832"/>
      <c r="T43" s="685">
        <v>1.142E-3</v>
      </c>
      <c r="U43" s="832"/>
      <c r="V43" s="832"/>
      <c r="W43" s="837">
        <v>2.0501199999999999E-3</v>
      </c>
      <c r="X43" s="832"/>
      <c r="Y43" s="832"/>
    </row>
    <row r="44" spans="2:25" x14ac:dyDescent="0.35">
      <c r="B44" s="833"/>
      <c r="C44" s="841" t="s">
        <v>1313</v>
      </c>
      <c r="D44" s="832"/>
      <c r="E44" s="838">
        <v>5.5999999999999995E-4</v>
      </c>
      <c r="F44" s="837"/>
      <c r="G44" s="837"/>
      <c r="H44" s="837">
        <v>1.06E-3</v>
      </c>
      <c r="I44" s="837"/>
      <c r="J44" s="832"/>
      <c r="K44" s="685">
        <v>5.0800000000000003E-3</v>
      </c>
      <c r="L44" s="832"/>
      <c r="M44" s="832"/>
      <c r="N44" s="685">
        <v>2.2176000000000001E-2</v>
      </c>
      <c r="O44" s="832"/>
      <c r="P44" s="832"/>
      <c r="Q44" s="685">
        <v>1.6240000000000001E-2</v>
      </c>
      <c r="R44" s="832"/>
      <c r="S44" s="832"/>
      <c r="T44" s="685">
        <v>6.8849999999999996E-3</v>
      </c>
      <c r="U44" s="832"/>
      <c r="V44" s="832"/>
      <c r="W44" s="837"/>
      <c r="X44" s="832"/>
      <c r="Y44" s="832"/>
    </row>
    <row r="45" spans="2:25" x14ac:dyDescent="0.35">
      <c r="B45" s="833"/>
      <c r="C45" s="841" t="s">
        <v>1314</v>
      </c>
      <c r="D45" s="832"/>
      <c r="E45" s="838">
        <v>3.6900000000000001E-3</v>
      </c>
      <c r="F45" s="837"/>
      <c r="G45" s="837"/>
      <c r="H45" s="837">
        <v>1.7845E-2</v>
      </c>
      <c r="I45" s="837"/>
      <c r="J45" s="832"/>
      <c r="K45" s="685">
        <v>8.1019999999999998E-3</v>
      </c>
      <c r="L45" s="832"/>
      <c r="M45" s="832"/>
      <c r="N45" s="685">
        <v>4.0999999999999999E-4</v>
      </c>
      <c r="O45" s="832"/>
      <c r="P45" s="832"/>
      <c r="Q45" s="685">
        <v>1.4144E-2</v>
      </c>
      <c r="R45" s="832"/>
      <c r="S45" s="832"/>
      <c r="T45" s="685">
        <v>9.5699999999999995E-4</v>
      </c>
      <c r="U45" s="832"/>
      <c r="V45" s="832"/>
      <c r="W45" s="837">
        <v>2.1999000000000001E-2</v>
      </c>
      <c r="X45" s="832"/>
      <c r="Y45" s="832"/>
    </row>
    <row r="46" spans="2:25" x14ac:dyDescent="0.35">
      <c r="B46" s="833"/>
      <c r="C46" s="841" t="s">
        <v>1315</v>
      </c>
      <c r="D46" s="832"/>
      <c r="E46" s="838">
        <v>0.27134999999999998</v>
      </c>
      <c r="F46" s="837"/>
      <c r="G46" s="837"/>
      <c r="H46" s="837">
        <v>0.88736999999999999</v>
      </c>
      <c r="I46" s="837"/>
      <c r="J46" s="832"/>
      <c r="K46" s="685">
        <v>0.70132000000000005</v>
      </c>
      <c r="L46" s="832"/>
      <c r="M46" s="832"/>
      <c r="N46" s="685">
        <v>2.0590000000000001E-2</v>
      </c>
      <c r="O46" s="832"/>
      <c r="P46" s="832"/>
      <c r="Q46" s="685">
        <v>1.2227399999999999</v>
      </c>
      <c r="R46" s="832"/>
      <c r="S46" s="832"/>
      <c r="T46" s="685">
        <v>9.0436000000000002E-2</v>
      </c>
      <c r="U46" s="832"/>
      <c r="V46" s="832"/>
      <c r="W46" s="837">
        <v>0.111748</v>
      </c>
      <c r="X46" s="832"/>
      <c r="Y46" s="832"/>
    </row>
    <row r="47" spans="2:25" x14ac:dyDescent="0.35">
      <c r="B47" s="833"/>
      <c r="C47" s="882" t="s">
        <v>1351</v>
      </c>
      <c r="D47" s="832"/>
      <c r="E47" s="838"/>
      <c r="F47" s="837"/>
      <c r="G47" s="837"/>
      <c r="H47" s="837"/>
      <c r="I47" s="837"/>
      <c r="J47" s="832"/>
      <c r="K47" s="685"/>
      <c r="L47" s="832"/>
      <c r="M47" s="832"/>
      <c r="N47" s="685">
        <v>3.7439999999999999E-3</v>
      </c>
      <c r="O47" s="832"/>
      <c r="P47" s="832"/>
      <c r="Q47" s="685">
        <v>5.6160000000000003E-3</v>
      </c>
      <c r="R47" s="832"/>
      <c r="S47" s="832"/>
      <c r="T47" s="685">
        <v>1.8749999999999999E-3</v>
      </c>
      <c r="U47" s="832"/>
      <c r="V47" s="832"/>
      <c r="W47" s="685"/>
      <c r="X47" s="832"/>
      <c r="Y47" s="832"/>
    </row>
    <row r="48" spans="2:25" x14ac:dyDescent="0.35">
      <c r="B48" s="833"/>
      <c r="C48" s="836" t="s">
        <v>1316</v>
      </c>
      <c r="D48" s="832"/>
      <c r="E48" s="838"/>
      <c r="F48" s="837"/>
      <c r="G48" s="837"/>
      <c r="H48" s="837">
        <v>0.93218190000000001</v>
      </c>
      <c r="I48" s="837"/>
      <c r="J48" s="837">
        <f>I48-H48</f>
        <v>-0.93218190000000001</v>
      </c>
      <c r="K48" s="685">
        <v>2.0528605999999998</v>
      </c>
      <c r="L48" s="832"/>
      <c r="M48" s="837">
        <f>L48-K48</f>
        <v>-2.0528605999999998</v>
      </c>
      <c r="N48" s="685">
        <v>4.7327133999999997</v>
      </c>
      <c r="O48" s="832"/>
      <c r="P48" s="837">
        <f>O48-N48</f>
        <v>-4.7327133999999997</v>
      </c>
      <c r="Q48" s="685">
        <v>5.6693176999999997</v>
      </c>
      <c r="R48" s="832"/>
      <c r="S48" s="837">
        <f>R48-Q48</f>
        <v>-5.6693176999999997</v>
      </c>
      <c r="T48" s="685">
        <v>5.3002912999999996</v>
      </c>
      <c r="U48" s="832"/>
      <c r="V48" s="837">
        <f>U48-T48</f>
        <v>-5.3002912999999996</v>
      </c>
      <c r="W48" s="685">
        <v>0.73350420000000005</v>
      </c>
      <c r="X48" s="832"/>
      <c r="Y48" s="837">
        <f>X48-W48</f>
        <v>-0.73350420000000005</v>
      </c>
    </row>
    <row r="49" spans="2:25" x14ac:dyDescent="0.35">
      <c r="B49" s="833"/>
      <c r="C49" s="842" t="s">
        <v>164</v>
      </c>
      <c r="D49" s="843"/>
      <c r="E49" s="843">
        <f>SUM(E36:E39)+E48</f>
        <v>1.9018550390000002</v>
      </c>
      <c r="F49" s="843">
        <f>SUM(F37:F39)+F48</f>
        <v>1.9018137850000001</v>
      </c>
      <c r="G49" s="843">
        <f>SUM(G36:G39)+G48</f>
        <v>-4.1254000000101598E-5</v>
      </c>
      <c r="H49" s="843">
        <f>SUM(H37:H39)+H48</f>
        <v>6.4824331109999997</v>
      </c>
      <c r="I49" s="843">
        <f>SUM(I37:I39)+I48</f>
        <v>5.5144750108600009</v>
      </c>
      <c r="J49" s="837">
        <f>I49-H49</f>
        <v>-0.96795810013999883</v>
      </c>
      <c r="K49" s="844">
        <f>SUM(K37:K39)+K48</f>
        <v>14.460273992000001</v>
      </c>
      <c r="L49" s="844">
        <f>SUM(L37:L39)+L48</f>
        <v>12.325328146457</v>
      </c>
      <c r="M49" s="845">
        <f>L49-K49</f>
        <v>-2.134945845543001</v>
      </c>
      <c r="N49" s="844">
        <f>SUM(N37:N39)+N48</f>
        <v>19.462281978</v>
      </c>
      <c r="O49" s="844">
        <f>SUM(O37:O39)+O48</f>
        <v>14.641498524120001</v>
      </c>
      <c r="P49" s="845">
        <f>O49-N49</f>
        <v>-4.820783453879999</v>
      </c>
      <c r="Q49" s="844">
        <f>SUM(Q37:Q39)+Q48</f>
        <v>28.838091322</v>
      </c>
      <c r="R49" s="844">
        <f>SUM(R37:R39)+R48</f>
        <v>23.064289244680197</v>
      </c>
      <c r="S49" s="845">
        <f>R49-Q49</f>
        <v>-5.7738020773198038</v>
      </c>
      <c r="T49" s="844">
        <f>SUM(T37:T39)+T48</f>
        <v>46.990390904000002</v>
      </c>
      <c r="U49" s="844">
        <f>SUM(U37:U39)+U48</f>
        <v>40.972769533349997</v>
      </c>
      <c r="V49" s="845">
        <f>U49-T49</f>
        <v>-6.017621370650005</v>
      </c>
      <c r="W49" s="844">
        <f>SUM(W37:W39)+W48</f>
        <v>77.642685764999996</v>
      </c>
      <c r="X49" s="844">
        <f>SUM(X37:X39)+X48</f>
        <v>74.126985959057976</v>
      </c>
      <c r="Y49" s="845">
        <f>X49-W49</f>
        <v>-3.5156998059420204</v>
      </c>
    </row>
    <row r="50" spans="2:25" x14ac:dyDescent="0.35">
      <c r="B50" s="833"/>
      <c r="C50" s="834"/>
      <c r="D50" s="832"/>
      <c r="E50" s="846"/>
      <c r="F50" s="1269">
        <f>+E49-F49-E48</f>
        <v>4.1254000000101598E-5</v>
      </c>
      <c r="G50" s="847"/>
      <c r="H50" s="832"/>
      <c r="I50" s="1269">
        <f>+H49-I49-H48-H38</f>
        <v>1.3999882503279437E-10</v>
      </c>
      <c r="J50" s="837"/>
      <c r="K50" s="832"/>
      <c r="L50" s="1269">
        <f>+K49-L49-K48-K38</f>
        <v>-4.5699877215810147E-10</v>
      </c>
      <c r="M50" s="832"/>
      <c r="N50" s="832"/>
      <c r="O50" s="1269">
        <f>+N49-O49-N48-N38</f>
        <v>-1.2000077320717395E-10</v>
      </c>
      <c r="P50" s="832"/>
      <c r="Q50" s="832"/>
      <c r="R50" s="1269">
        <f>+Q49-R49-Q48-Q38</f>
        <v>3.1980408599086019E-10</v>
      </c>
      <c r="S50" s="832"/>
      <c r="T50" s="832"/>
      <c r="U50" s="1269">
        <f>+T49-U49-T48-T38</f>
        <v>-3.4999458886630919E-10</v>
      </c>
      <c r="V50" s="832"/>
      <c r="W50" s="832"/>
      <c r="X50" s="1269">
        <f>+W49-X49-W48-W38</f>
        <v>-5.7979399059604475E-11</v>
      </c>
      <c r="Y50" s="832"/>
    </row>
    <row r="51" spans="2:25" x14ac:dyDescent="0.35">
      <c r="B51" s="826">
        <f>B32+1</f>
        <v>1</v>
      </c>
      <c r="C51" s="848" t="s">
        <v>1317</v>
      </c>
      <c r="D51" s="832"/>
      <c r="E51" s="834"/>
      <c r="F51" s="847"/>
      <c r="G51" s="847"/>
      <c r="H51" s="832"/>
      <c r="I51" s="832"/>
      <c r="J51" s="832"/>
      <c r="K51" s="832"/>
      <c r="L51" s="832"/>
      <c r="M51" s="832"/>
      <c r="N51" s="832"/>
      <c r="O51" s="832"/>
      <c r="P51" s="832"/>
      <c r="Q51" s="832"/>
      <c r="R51" s="832"/>
      <c r="S51" s="832"/>
      <c r="T51" s="832"/>
      <c r="U51" s="832"/>
      <c r="V51" s="832"/>
      <c r="W51" s="832"/>
      <c r="X51" s="832"/>
      <c r="Y51" s="832"/>
    </row>
    <row r="52" spans="2:25" x14ac:dyDescent="0.35">
      <c r="B52" s="833"/>
      <c r="C52" s="842" t="s">
        <v>111</v>
      </c>
      <c r="D52" s="832"/>
      <c r="E52" s="1928">
        <v>43555</v>
      </c>
      <c r="F52" s="1928"/>
      <c r="G52" s="1928"/>
      <c r="H52" s="1927">
        <v>43921</v>
      </c>
      <c r="I52" s="1927"/>
      <c r="J52" s="1927"/>
      <c r="K52" s="1927">
        <v>44286</v>
      </c>
      <c r="L52" s="1927"/>
      <c r="M52" s="1927"/>
      <c r="N52" s="1918">
        <v>44651</v>
      </c>
      <c r="O52" s="1918"/>
      <c r="P52" s="1918"/>
      <c r="Q52" s="1918">
        <v>45016</v>
      </c>
      <c r="R52" s="1918"/>
      <c r="S52" s="1918"/>
      <c r="T52" s="1918">
        <v>45382</v>
      </c>
      <c r="U52" s="1918"/>
      <c r="V52" s="1918"/>
      <c r="W52" s="1918">
        <v>45747</v>
      </c>
      <c r="X52" s="1918"/>
      <c r="Y52" s="1918"/>
    </row>
    <row r="53" spans="2:25" x14ac:dyDescent="0.35">
      <c r="B53" s="833"/>
      <c r="C53" s="834"/>
      <c r="D53" s="832"/>
      <c r="E53" s="850" t="s">
        <v>1286</v>
      </c>
      <c r="F53" s="850" t="s">
        <v>1287</v>
      </c>
      <c r="G53" s="850" t="s">
        <v>1288</v>
      </c>
      <c r="H53" s="849" t="s">
        <v>1286</v>
      </c>
      <c r="I53" s="803" t="s">
        <v>1287</v>
      </c>
      <c r="J53" s="803" t="s">
        <v>1288</v>
      </c>
      <c r="K53" s="849" t="s">
        <v>1286</v>
      </c>
      <c r="L53" s="803" t="s">
        <v>1287</v>
      </c>
      <c r="M53" s="803" t="s">
        <v>1288</v>
      </c>
      <c r="N53" s="849" t="s">
        <v>1286</v>
      </c>
      <c r="O53" s="803" t="s">
        <v>1287</v>
      </c>
      <c r="P53" s="803" t="s">
        <v>1288</v>
      </c>
      <c r="Q53" s="849" t="s">
        <v>1286</v>
      </c>
      <c r="R53" s="803" t="s">
        <v>1287</v>
      </c>
      <c r="S53" s="803" t="s">
        <v>1288</v>
      </c>
      <c r="T53" s="849" t="s">
        <v>1286</v>
      </c>
      <c r="U53" s="803" t="s">
        <v>1287</v>
      </c>
      <c r="V53" s="803" t="s">
        <v>1288</v>
      </c>
      <c r="W53" s="849" t="s">
        <v>1286</v>
      </c>
      <c r="X53" s="803" t="s">
        <v>1287</v>
      </c>
      <c r="Y53" s="803" t="s">
        <v>1288</v>
      </c>
    </row>
    <row r="54" spans="2:25" x14ac:dyDescent="0.35">
      <c r="B54" s="833"/>
      <c r="C54" s="835"/>
      <c r="D54" s="832"/>
      <c r="E54" s="685"/>
      <c r="F54" s="847"/>
      <c r="G54" s="847"/>
      <c r="H54" s="832"/>
      <c r="I54" s="832"/>
      <c r="J54" s="832"/>
      <c r="K54" s="832"/>
      <c r="L54" s="832"/>
      <c r="M54" s="832"/>
      <c r="N54" s="832"/>
      <c r="O54" s="832"/>
      <c r="P54" s="832"/>
      <c r="Q54" s="832"/>
      <c r="R54" s="832"/>
      <c r="S54" s="832"/>
      <c r="T54" s="832"/>
      <c r="U54" s="832"/>
      <c r="V54" s="832"/>
      <c r="W54" s="832"/>
      <c r="X54" s="832"/>
      <c r="Y54" s="832"/>
    </row>
    <row r="55" spans="2:25" x14ac:dyDescent="0.35">
      <c r="B55" s="833"/>
      <c r="C55" s="851" t="s">
        <v>1318</v>
      </c>
      <c r="D55" s="832"/>
      <c r="E55" s="852"/>
      <c r="F55" s="847"/>
      <c r="G55" s="847"/>
      <c r="H55" s="832"/>
      <c r="I55" s="832"/>
      <c r="J55" s="832"/>
      <c r="K55" s="832"/>
      <c r="L55" s="832"/>
      <c r="M55" s="832"/>
      <c r="N55" s="832"/>
      <c r="O55" s="832"/>
      <c r="P55" s="832"/>
      <c r="Q55" s="832"/>
      <c r="R55" s="832"/>
      <c r="S55" s="832"/>
      <c r="T55" s="832"/>
      <c r="U55" s="832"/>
      <c r="V55" s="832"/>
      <c r="W55" s="832"/>
      <c r="X55" s="832"/>
      <c r="Y55" s="832"/>
    </row>
    <row r="56" spans="2:25" x14ac:dyDescent="0.35">
      <c r="B56" s="833"/>
      <c r="C56" s="853" t="s">
        <v>1319</v>
      </c>
      <c r="D56" s="832"/>
      <c r="E56" s="838">
        <v>1.3011900999999999E-2</v>
      </c>
      <c r="F56" s="837"/>
      <c r="G56" s="837">
        <f>F56-E56</f>
        <v>-1.3011900999999999E-2</v>
      </c>
      <c r="H56" s="837">
        <v>2.3716399999999999E-2</v>
      </c>
      <c r="I56" s="837"/>
      <c r="J56" s="837">
        <f>I56-H56</f>
        <v>-2.3716399999999999E-2</v>
      </c>
      <c r="K56" s="837">
        <v>2.39236E-2</v>
      </c>
      <c r="L56" s="837"/>
      <c r="M56" s="837"/>
      <c r="N56" s="837">
        <v>3.8892799999999998E-2</v>
      </c>
      <c r="O56" s="837"/>
      <c r="P56" s="837">
        <f t="shared" ref="P56:P65" si="6">O56-N56</f>
        <v>-3.8892799999999998E-2</v>
      </c>
      <c r="Q56" s="837">
        <v>6.8591700000000005E-2</v>
      </c>
      <c r="R56" s="837"/>
      <c r="S56" s="837">
        <f t="shared" ref="S56:S65" si="7">R56-Q56</f>
        <v>-6.8591700000000005E-2</v>
      </c>
      <c r="T56" s="837">
        <v>0.19271189999999999</v>
      </c>
      <c r="U56" s="837"/>
      <c r="V56" s="837">
        <f t="shared" ref="V56:V65" si="8">U56-T56</f>
        <v>-0.19271189999999999</v>
      </c>
      <c r="W56" s="837">
        <v>0.89716799999999997</v>
      </c>
      <c r="X56" s="837"/>
      <c r="Y56" s="837">
        <f t="shared" ref="Y56:Y65" si="9">X56-W56</f>
        <v>-0.89716799999999997</v>
      </c>
    </row>
    <row r="57" spans="2:25" x14ac:dyDescent="0.35">
      <c r="B57" s="833"/>
      <c r="C57" s="853" t="s">
        <v>1320</v>
      </c>
      <c r="D57" s="832"/>
      <c r="E57" s="838">
        <v>2.5095E-3</v>
      </c>
      <c r="F57" s="837"/>
      <c r="G57" s="837">
        <f>F57-E57</f>
        <v>-2.5095E-3</v>
      </c>
      <c r="H57" s="837">
        <v>4.2449999999999996E-3</v>
      </c>
      <c r="I57" s="837"/>
      <c r="J57" s="837">
        <f>I57-H57</f>
        <v>-4.2449999999999996E-3</v>
      </c>
      <c r="K57" s="837">
        <v>2.8568000000000001E-3</v>
      </c>
      <c r="L57" s="837"/>
      <c r="M57" s="837"/>
      <c r="N57" s="837">
        <v>2.9451999999999998E-3</v>
      </c>
      <c r="O57" s="837"/>
      <c r="P57" s="837">
        <f t="shared" si="6"/>
        <v>-2.9451999999999998E-3</v>
      </c>
      <c r="Q57" s="837">
        <v>3.6905000000000002E-3</v>
      </c>
      <c r="R57" s="837"/>
      <c r="S57" s="837">
        <f t="shared" si="7"/>
        <v>-3.6905000000000002E-3</v>
      </c>
      <c r="T57" s="837">
        <v>5.1802000000000003E-3</v>
      </c>
      <c r="U57" s="837"/>
      <c r="V57" s="837">
        <f t="shared" si="8"/>
        <v>-5.1802000000000003E-3</v>
      </c>
      <c r="W57" s="837">
        <v>5.2991000000000002E-3</v>
      </c>
      <c r="X57" s="837"/>
      <c r="Y57" s="837">
        <f t="shared" si="9"/>
        <v>-5.2991000000000002E-3</v>
      </c>
    </row>
    <row r="58" spans="2:25" x14ac:dyDescent="0.35">
      <c r="B58" s="833"/>
      <c r="C58" s="853" t="s">
        <v>1321</v>
      </c>
      <c r="D58" s="832"/>
      <c r="E58" s="838"/>
      <c r="F58" s="837"/>
      <c r="G58" s="837"/>
      <c r="H58" s="837"/>
      <c r="I58" s="837"/>
      <c r="J58" s="837"/>
      <c r="K58" s="837">
        <v>5.8770000000000003E-4</v>
      </c>
      <c r="L58" s="837"/>
      <c r="M58" s="837"/>
      <c r="N58" s="837">
        <v>2.5276999999999999E-3</v>
      </c>
      <c r="O58" s="837"/>
      <c r="P58" s="837">
        <f t="shared" si="6"/>
        <v>-2.5276999999999999E-3</v>
      </c>
      <c r="Q58" s="837">
        <v>9.3343999999999996E-3</v>
      </c>
      <c r="R58" s="837"/>
      <c r="S58" s="837">
        <f t="shared" si="7"/>
        <v>-9.3343999999999996E-3</v>
      </c>
      <c r="T58" s="837">
        <v>6.5912999999999996E-3</v>
      </c>
      <c r="U58" s="837"/>
      <c r="V58" s="837">
        <f t="shared" si="8"/>
        <v>-6.5912999999999996E-3</v>
      </c>
      <c r="W58" s="837">
        <v>1.3265000000000001E-2</v>
      </c>
      <c r="X58" s="837"/>
      <c r="Y58" s="837">
        <f t="shared" si="9"/>
        <v>-1.3265000000000001E-2</v>
      </c>
    </row>
    <row r="59" spans="2:25" x14ac:dyDescent="0.35">
      <c r="B59" s="833"/>
      <c r="C59" s="853" t="s">
        <v>1322</v>
      </c>
      <c r="D59" s="832"/>
      <c r="E59" s="838"/>
      <c r="F59" s="837"/>
      <c r="G59" s="837"/>
      <c r="H59" s="837"/>
      <c r="I59" s="837"/>
      <c r="J59" s="837"/>
      <c r="K59" s="837">
        <v>1.8226E-3</v>
      </c>
      <c r="L59" s="837"/>
      <c r="M59" s="837"/>
      <c r="N59" s="837">
        <v>6.7978799999999996E-4</v>
      </c>
      <c r="O59" s="837"/>
      <c r="P59" s="837">
        <f t="shared" si="6"/>
        <v>-6.7978799999999996E-4</v>
      </c>
      <c r="Q59" s="837">
        <v>0</v>
      </c>
      <c r="R59" s="837"/>
      <c r="S59" s="837">
        <f t="shared" si="7"/>
        <v>0</v>
      </c>
      <c r="T59" s="837">
        <v>3.7334400000000001E-4</v>
      </c>
      <c r="U59" s="837"/>
      <c r="V59" s="837">
        <f t="shared" si="8"/>
        <v>-3.7334400000000001E-4</v>
      </c>
      <c r="W59" s="837"/>
      <c r="X59" s="837"/>
      <c r="Y59" s="837">
        <f t="shared" si="9"/>
        <v>0</v>
      </c>
    </row>
    <row r="60" spans="2:25" x14ac:dyDescent="0.35">
      <c r="B60" s="833"/>
      <c r="C60" s="853" t="s">
        <v>1323</v>
      </c>
      <c r="D60" s="832"/>
      <c r="E60" s="838"/>
      <c r="F60" s="837"/>
      <c r="G60" s="837"/>
      <c r="H60" s="837"/>
      <c r="I60" s="837"/>
      <c r="J60" s="837"/>
      <c r="K60" s="837">
        <v>0.44089143799999997</v>
      </c>
      <c r="L60" s="837"/>
      <c r="M60" s="837"/>
      <c r="N60" s="837"/>
      <c r="O60" s="837"/>
      <c r="P60" s="837">
        <f t="shared" si="6"/>
        <v>0</v>
      </c>
      <c r="Q60" s="837"/>
      <c r="R60" s="837"/>
      <c r="S60" s="837">
        <f t="shared" si="7"/>
        <v>0</v>
      </c>
      <c r="T60" s="837"/>
      <c r="U60" s="837"/>
      <c r="V60" s="837">
        <f t="shared" si="8"/>
        <v>0</v>
      </c>
      <c r="W60" s="837"/>
      <c r="X60" s="837"/>
      <c r="Y60" s="837">
        <f t="shared" si="9"/>
        <v>0</v>
      </c>
    </row>
    <row r="61" spans="2:25" x14ac:dyDescent="0.35">
      <c r="B61" s="833"/>
      <c r="C61" s="853" t="s">
        <v>1353</v>
      </c>
      <c r="D61" s="832"/>
      <c r="E61" s="838"/>
      <c r="F61" s="837"/>
      <c r="G61" s="837"/>
      <c r="H61" s="837"/>
      <c r="I61" s="837"/>
      <c r="J61" s="837"/>
      <c r="K61" s="837"/>
      <c r="L61" s="837"/>
      <c r="M61" s="837"/>
      <c r="N61" s="837"/>
      <c r="O61" s="837"/>
      <c r="P61" s="837"/>
      <c r="Q61" s="837">
        <v>9.0321499999999999E-2</v>
      </c>
      <c r="R61" s="837"/>
      <c r="S61" s="837">
        <f t="shared" si="7"/>
        <v>-9.0321499999999999E-2</v>
      </c>
      <c r="T61" s="837">
        <v>1.3161600000000001E-2</v>
      </c>
      <c r="U61" s="837"/>
      <c r="V61" s="837">
        <f t="shared" si="8"/>
        <v>-1.3161600000000001E-2</v>
      </c>
      <c r="W61" s="837">
        <v>0</v>
      </c>
      <c r="X61" s="837"/>
      <c r="Y61" s="837">
        <f t="shared" si="9"/>
        <v>0</v>
      </c>
    </row>
    <row r="62" spans="2:25" x14ac:dyDescent="0.35">
      <c r="B62" s="833"/>
      <c r="C62" s="853" t="s">
        <v>1324</v>
      </c>
      <c r="D62" s="832"/>
      <c r="E62" s="838"/>
      <c r="F62" s="837"/>
      <c r="G62" s="837"/>
      <c r="H62" s="837"/>
      <c r="I62" s="837"/>
      <c r="J62" s="837"/>
      <c r="K62" s="837">
        <v>0.54406100000000002</v>
      </c>
      <c r="L62" s="837"/>
      <c r="M62" s="837"/>
      <c r="N62" s="837">
        <v>7.7680000000000002E-4</v>
      </c>
      <c r="O62" s="837"/>
      <c r="P62" s="837">
        <f t="shared" si="6"/>
        <v>-7.7680000000000002E-4</v>
      </c>
      <c r="Q62" s="837">
        <v>2.3692000000000001E-3</v>
      </c>
      <c r="R62" s="837"/>
      <c r="S62" s="837">
        <f t="shared" si="7"/>
        <v>-2.3692000000000001E-3</v>
      </c>
      <c r="T62" s="837">
        <v>0.173946093</v>
      </c>
      <c r="U62" s="837"/>
      <c r="V62" s="837">
        <f t="shared" si="8"/>
        <v>-0.173946093</v>
      </c>
      <c r="W62" s="837"/>
      <c r="X62" s="837"/>
      <c r="Y62" s="837">
        <f t="shared" si="9"/>
        <v>0</v>
      </c>
    </row>
    <row r="63" spans="2:25" x14ac:dyDescent="0.35">
      <c r="B63" s="833"/>
      <c r="C63" s="853" t="s">
        <v>1462</v>
      </c>
      <c r="D63" s="832"/>
      <c r="E63" s="838"/>
      <c r="F63" s="837"/>
      <c r="G63" s="837"/>
      <c r="H63" s="837"/>
      <c r="I63" s="837"/>
      <c r="J63" s="837"/>
      <c r="K63" s="837"/>
      <c r="L63" s="837"/>
      <c r="M63" s="837"/>
      <c r="N63" s="837"/>
      <c r="O63" s="837"/>
      <c r="P63" s="837"/>
      <c r="Q63" s="837"/>
      <c r="R63" s="837"/>
      <c r="S63" s="837"/>
      <c r="T63" s="837"/>
      <c r="U63" s="837"/>
      <c r="V63" s="837"/>
      <c r="W63" s="837">
        <v>0.06</v>
      </c>
      <c r="X63" s="837"/>
      <c r="Y63" s="837">
        <f t="shared" si="9"/>
        <v>-0.06</v>
      </c>
    </row>
    <row r="64" spans="2:25" x14ac:dyDescent="0.35">
      <c r="B64" s="833"/>
      <c r="C64" s="853" t="s">
        <v>1325</v>
      </c>
      <c r="D64" s="832"/>
      <c r="E64" s="838">
        <v>7.465967999999999E-3</v>
      </c>
      <c r="F64" s="837"/>
      <c r="G64" s="837">
        <f>F64-E64</f>
        <v>-7.465967999999999E-3</v>
      </c>
      <c r="H64" s="837">
        <v>1.70276E-2</v>
      </c>
      <c r="I64" s="837"/>
      <c r="J64" s="837">
        <f>I64-H64</f>
        <v>-1.70276E-2</v>
      </c>
      <c r="K64" s="837">
        <v>3.9904674000000001E-2</v>
      </c>
      <c r="L64" s="837"/>
      <c r="M64" s="837"/>
      <c r="N64" s="837">
        <v>9.37413E-2</v>
      </c>
      <c r="O64" s="837"/>
      <c r="P64" s="837">
        <f t="shared" si="6"/>
        <v>-9.37413E-2</v>
      </c>
      <c r="Q64" s="837">
        <v>0.20410127</v>
      </c>
      <c r="R64" s="837"/>
      <c r="S64" s="837">
        <f t="shared" si="7"/>
        <v>-0.20410127</v>
      </c>
      <c r="T64" s="837">
        <v>0.40783750000000002</v>
      </c>
      <c r="U64" s="837"/>
      <c r="V64" s="837">
        <f t="shared" si="8"/>
        <v>-0.40783750000000002</v>
      </c>
      <c r="W64" s="837">
        <v>0.31877100000000003</v>
      </c>
      <c r="X64" s="837"/>
      <c r="Y64" s="837">
        <f t="shared" si="9"/>
        <v>-0.31877100000000003</v>
      </c>
    </row>
    <row r="65" spans="1:27" x14ac:dyDescent="0.35">
      <c r="B65" s="833"/>
      <c r="C65" s="853"/>
      <c r="D65" s="832"/>
      <c r="E65" s="843">
        <f>SUM(E56:E64)</f>
        <v>2.2987368999999997E-2</v>
      </c>
      <c r="F65" s="843">
        <f>+'F9'!D72-'F9'!D64</f>
        <v>2.298736899999998E-2</v>
      </c>
      <c r="G65" s="837">
        <f>F65-E65</f>
        <v>0</v>
      </c>
      <c r="H65" s="843">
        <f>SUM(H56:H64)</f>
        <v>4.4989000000000001E-2</v>
      </c>
      <c r="I65" s="843">
        <f>+'F9'!E72-'F9'!E64</f>
        <v>4.4988999999999946E-2</v>
      </c>
      <c r="J65" s="1269">
        <f>I65-H65</f>
        <v>-5.5511151231257827E-17</v>
      </c>
      <c r="K65" s="843">
        <f>SUM(K56:K64)</f>
        <v>1.0540478120000001</v>
      </c>
      <c r="L65" s="843">
        <f>+'F9'!F72-'F9'!F64</f>
        <v>1.0540478119999999</v>
      </c>
      <c r="M65" s="845">
        <f>L65-K65</f>
        <v>0</v>
      </c>
      <c r="N65" s="843">
        <f>SUM(N56:N64)</f>
        <v>0.13956358800000002</v>
      </c>
      <c r="O65" s="843">
        <f>+'F9'!G72-'F9'!G64</f>
        <v>0.13956358800000002</v>
      </c>
      <c r="P65" s="845">
        <f t="shared" si="6"/>
        <v>0</v>
      </c>
      <c r="Q65" s="843">
        <f>SUM(Q56:Q64)</f>
        <v>0.37840857</v>
      </c>
      <c r="R65" s="843">
        <f>+'F9'!H72-'F9'!H64</f>
        <v>0.37840856999999994</v>
      </c>
      <c r="S65" s="845">
        <f t="shared" si="7"/>
        <v>0</v>
      </c>
      <c r="T65" s="843">
        <f>SUM(T56:T64)</f>
        <v>0.79980193700000002</v>
      </c>
      <c r="U65" s="843">
        <f>+'F9'!I72-'F9'!I64</f>
        <v>0.79980193700000002</v>
      </c>
      <c r="V65" s="845">
        <f t="shared" si="8"/>
        <v>0</v>
      </c>
      <c r="W65" s="843">
        <f>SUM(W56:W64)</f>
        <v>1.2945031</v>
      </c>
      <c r="X65" s="843">
        <f>+'F9'!J72-'F9'!J64</f>
        <v>1.2945031</v>
      </c>
      <c r="Y65" s="845">
        <f t="shared" si="9"/>
        <v>0</v>
      </c>
    </row>
    <row r="66" spans="1:27" x14ac:dyDescent="0.35">
      <c r="B66" s="833"/>
      <c r="C66" s="854" t="s">
        <v>1326</v>
      </c>
      <c r="D66" s="832"/>
      <c r="E66" s="852">
        <v>0</v>
      </c>
      <c r="F66" s="847"/>
      <c r="G66" s="847"/>
      <c r="H66" s="832"/>
      <c r="I66" s="832"/>
      <c r="J66" s="883"/>
      <c r="K66" s="832"/>
      <c r="L66" s="832"/>
      <c r="M66" s="832"/>
      <c r="N66" s="832"/>
      <c r="O66" s="832"/>
      <c r="P66" s="832"/>
      <c r="Q66" s="832"/>
      <c r="R66" s="832"/>
      <c r="S66" s="832"/>
      <c r="T66" s="832"/>
      <c r="U66" s="832"/>
      <c r="V66" s="832"/>
      <c r="W66" s="832"/>
      <c r="X66" s="832"/>
      <c r="Y66" s="832"/>
    </row>
    <row r="67" spans="1:27" x14ac:dyDescent="0.35">
      <c r="B67" s="833"/>
      <c r="C67" s="854"/>
      <c r="D67" s="832"/>
      <c r="E67" s="855"/>
      <c r="F67" s="847"/>
      <c r="G67" s="847"/>
      <c r="H67" s="832"/>
      <c r="I67" s="832"/>
      <c r="J67" s="832"/>
      <c r="K67" s="832"/>
      <c r="L67" s="832"/>
      <c r="M67" s="832"/>
      <c r="N67" s="832"/>
      <c r="O67" s="832"/>
      <c r="P67" s="832"/>
      <c r="Q67" s="832"/>
      <c r="R67" s="832"/>
      <c r="S67" s="832"/>
      <c r="T67" s="832"/>
      <c r="U67" s="832"/>
      <c r="V67" s="832"/>
      <c r="W67" s="832"/>
      <c r="X67" s="832"/>
      <c r="Y67" s="832"/>
    </row>
    <row r="68" spans="1:27" x14ac:dyDescent="0.35">
      <c r="B68" s="833"/>
      <c r="C68" s="842" t="s">
        <v>164</v>
      </c>
      <c r="D68" s="832"/>
      <c r="E68" s="856">
        <f>+E65-E66</f>
        <v>2.2987368999999997E-2</v>
      </c>
      <c r="F68" s="856">
        <f>+F65-F66</f>
        <v>2.298736899999998E-2</v>
      </c>
      <c r="G68" s="837">
        <f>F68-E68</f>
        <v>0</v>
      </c>
      <c r="H68" s="856">
        <f>+H65-H66</f>
        <v>4.4989000000000001E-2</v>
      </c>
      <c r="I68" s="856">
        <f>+I65-I66</f>
        <v>4.4988999999999946E-2</v>
      </c>
      <c r="J68" s="837">
        <f>I68-H68</f>
        <v>-5.5511151231257827E-17</v>
      </c>
      <c r="K68" s="856">
        <f>+K65-K66</f>
        <v>1.0540478120000001</v>
      </c>
      <c r="L68" s="856">
        <f>+L65-L66</f>
        <v>1.0540478119999999</v>
      </c>
      <c r="M68" s="837">
        <f>L68-K68</f>
        <v>0</v>
      </c>
      <c r="N68" s="856">
        <f>+N65-N66</f>
        <v>0.13956358800000002</v>
      </c>
      <c r="O68" s="856">
        <f>+O65-O66</f>
        <v>0.13956358800000002</v>
      </c>
      <c r="P68" s="837">
        <f>O68-N68</f>
        <v>0</v>
      </c>
      <c r="Q68" s="856">
        <f>+Q65-Q66</f>
        <v>0.37840857</v>
      </c>
      <c r="R68" s="856">
        <f>+R65-R66</f>
        <v>0.37840856999999994</v>
      </c>
      <c r="S68" s="837">
        <f>R68-Q68</f>
        <v>0</v>
      </c>
      <c r="T68" s="856">
        <f>+T65-T66</f>
        <v>0.79980193700000002</v>
      </c>
      <c r="U68" s="856">
        <f>+U65-U66</f>
        <v>0.79980193700000002</v>
      </c>
      <c r="V68" s="837">
        <f>U68-T68</f>
        <v>0</v>
      </c>
      <c r="W68" s="856">
        <f>+W65-W66</f>
        <v>1.2945031</v>
      </c>
      <c r="X68" s="856">
        <f>+X65-X66</f>
        <v>1.2945031</v>
      </c>
      <c r="Y68" s="837">
        <f>X68-W68</f>
        <v>0</v>
      </c>
    </row>
    <row r="69" spans="1:27" x14ac:dyDescent="0.35">
      <c r="B69" s="833"/>
      <c r="C69" s="834"/>
      <c r="D69" s="832"/>
      <c r="E69" s="846"/>
      <c r="F69" s="847"/>
      <c r="G69" s="847"/>
      <c r="H69" s="832"/>
      <c r="I69" s="832"/>
      <c r="J69" s="832"/>
      <c r="K69" s="832"/>
      <c r="L69" s="832"/>
      <c r="M69" s="832"/>
      <c r="N69" s="832"/>
      <c r="O69" s="832"/>
      <c r="P69" s="832"/>
      <c r="Q69" s="832"/>
      <c r="R69" s="832"/>
      <c r="S69" s="832"/>
      <c r="T69" s="832"/>
      <c r="U69" s="832"/>
      <c r="V69" s="832"/>
      <c r="W69" s="832"/>
      <c r="X69" s="832"/>
      <c r="Y69" s="832"/>
    </row>
    <row r="70" spans="1:27" x14ac:dyDescent="0.35">
      <c r="B70" s="826">
        <f>B51+1</f>
        <v>2</v>
      </c>
      <c r="C70" s="857" t="s">
        <v>1327</v>
      </c>
      <c r="D70" s="832"/>
      <c r="E70" s="834"/>
      <c r="F70" s="847"/>
      <c r="G70" s="847"/>
      <c r="H70" s="832"/>
      <c r="I70" s="832"/>
      <c r="J70" s="832"/>
      <c r="K70" s="832"/>
      <c r="L70" s="832"/>
      <c r="M70" s="832"/>
      <c r="N70" s="832"/>
      <c r="O70" s="883"/>
      <c r="P70" s="883">
        <f>+P74*10^7</f>
        <v>0</v>
      </c>
      <c r="Q70" s="832"/>
      <c r="R70" s="832"/>
      <c r="S70" s="883">
        <f>+S74*10^7</f>
        <v>0</v>
      </c>
      <c r="T70" s="832"/>
      <c r="U70" s="832"/>
      <c r="V70" s="883">
        <f>+V74*10^7</f>
        <v>0</v>
      </c>
      <c r="W70" s="832"/>
      <c r="X70" s="832"/>
      <c r="Y70" s="883">
        <f>+Y74*10^7</f>
        <v>-4.8000003971537808E-3</v>
      </c>
    </row>
    <row r="71" spans="1:27" x14ac:dyDescent="0.35">
      <c r="B71" s="833"/>
      <c r="C71" s="842" t="s">
        <v>111</v>
      </c>
      <c r="D71" s="832"/>
      <c r="E71" s="1928">
        <v>43555</v>
      </c>
      <c r="F71" s="1928"/>
      <c r="G71" s="1928"/>
      <c r="H71" s="1927">
        <v>43921</v>
      </c>
      <c r="I71" s="1927"/>
      <c r="J71" s="1927"/>
      <c r="K71" s="1927">
        <v>44286</v>
      </c>
      <c r="L71" s="1927"/>
      <c r="M71" s="1927"/>
      <c r="N71" s="1918">
        <v>44651</v>
      </c>
      <c r="O71" s="1918"/>
      <c r="P71" s="1918"/>
      <c r="Q71" s="1918">
        <v>45016</v>
      </c>
      <c r="R71" s="1918"/>
      <c r="S71" s="1918"/>
      <c r="T71" s="1918">
        <v>45382</v>
      </c>
      <c r="U71" s="1918"/>
      <c r="V71" s="1918"/>
      <c r="W71" s="1918">
        <v>45747</v>
      </c>
      <c r="X71" s="1918"/>
      <c r="Y71" s="1918"/>
    </row>
    <row r="72" spans="1:27" x14ac:dyDescent="0.35">
      <c r="B72" s="833"/>
      <c r="C72" s="834"/>
      <c r="D72" s="832"/>
      <c r="E72" s="850" t="s">
        <v>1286</v>
      </c>
      <c r="F72" s="850" t="s">
        <v>1287</v>
      </c>
      <c r="G72" s="850" t="s">
        <v>1288</v>
      </c>
      <c r="H72" s="849" t="s">
        <v>1286</v>
      </c>
      <c r="I72" s="803" t="s">
        <v>1287</v>
      </c>
      <c r="J72" s="803" t="s">
        <v>1288</v>
      </c>
      <c r="K72" s="849" t="s">
        <v>1286</v>
      </c>
      <c r="L72" s="803" t="s">
        <v>1287</v>
      </c>
      <c r="M72" s="803" t="s">
        <v>1288</v>
      </c>
      <c r="N72" s="849" t="s">
        <v>1286</v>
      </c>
      <c r="O72" s="803" t="s">
        <v>1287</v>
      </c>
      <c r="P72" s="803" t="s">
        <v>1288</v>
      </c>
      <c r="Q72" s="849" t="s">
        <v>1286</v>
      </c>
      <c r="R72" s="803" t="s">
        <v>1287</v>
      </c>
      <c r="S72" s="803" t="s">
        <v>1288</v>
      </c>
      <c r="T72" s="849" t="s">
        <v>1286</v>
      </c>
      <c r="U72" s="803" t="s">
        <v>1287</v>
      </c>
      <c r="V72" s="803" t="s">
        <v>1288</v>
      </c>
      <c r="W72" s="849" t="s">
        <v>1286</v>
      </c>
      <c r="X72" s="803" t="s">
        <v>1287</v>
      </c>
      <c r="Y72" s="803" t="s">
        <v>1288</v>
      </c>
    </row>
    <row r="73" spans="1:27" x14ac:dyDescent="0.35">
      <c r="B73" s="833"/>
      <c r="C73" s="835"/>
      <c r="D73" s="832"/>
      <c r="E73" s="685"/>
      <c r="F73" s="847"/>
      <c r="G73" s="847"/>
      <c r="H73" s="832"/>
      <c r="I73" s="832"/>
      <c r="J73" s="832"/>
      <c r="K73" s="832"/>
      <c r="L73" s="832"/>
      <c r="M73" s="832"/>
      <c r="N73" s="832"/>
      <c r="O73" s="832"/>
      <c r="P73" s="832"/>
      <c r="Q73" s="832"/>
      <c r="R73" s="832"/>
      <c r="S73" s="832"/>
      <c r="T73" s="832"/>
      <c r="U73" s="832"/>
      <c r="V73" s="832"/>
      <c r="W73" s="832"/>
      <c r="X73" s="832"/>
      <c r="Y73" s="832"/>
    </row>
    <row r="74" spans="1:27" x14ac:dyDescent="0.35">
      <c r="A74" s="839"/>
      <c r="B74" s="1742"/>
      <c r="C74" s="834" t="s">
        <v>1328</v>
      </c>
      <c r="D74" s="832"/>
      <c r="E74" s="847">
        <v>0.75848660000000001</v>
      </c>
      <c r="F74" s="847">
        <f>+'F2'!Q21</f>
        <v>0.75848660000000001</v>
      </c>
      <c r="G74" s="847">
        <f>F74-E74</f>
        <v>0</v>
      </c>
      <c r="H74" s="847">
        <v>1.7147583</v>
      </c>
      <c r="I74" s="1743">
        <f>+'F2'!Q36</f>
        <v>1.7147583</v>
      </c>
      <c r="J74" s="847">
        <f t="shared" ref="J74:J85" si="10">I74-H74</f>
        <v>0</v>
      </c>
      <c r="K74" s="837">
        <v>4.093745889</v>
      </c>
      <c r="L74" s="1744">
        <f>+'F2'!Q51</f>
        <v>4.0937451949999994</v>
      </c>
      <c r="M74" s="837">
        <f t="shared" ref="M74:M85" si="11">L74-K74</f>
        <v>-6.9400000057839861E-7</v>
      </c>
      <c r="N74" s="837">
        <v>8.4885383060000006</v>
      </c>
      <c r="O74" s="1744">
        <f>+'F2'!Q69</f>
        <v>8.4885383060000024</v>
      </c>
      <c r="P74" s="837">
        <f>O74-N74</f>
        <v>0</v>
      </c>
      <c r="Q74" s="837">
        <v>13.310696942</v>
      </c>
      <c r="R74" s="1919">
        <f>+'F2'!Q85</f>
        <v>11.923470432999999</v>
      </c>
      <c r="S74" s="1921">
        <f>+Q74+Q75-R74</f>
        <v>0</v>
      </c>
      <c r="T74" s="837">
        <v>22.497637437000002</v>
      </c>
      <c r="U74" s="1919">
        <f>+'F2'!Q101</f>
        <v>21.223852761</v>
      </c>
      <c r="V74" s="1921">
        <f>+T74+T75-U74</f>
        <v>0</v>
      </c>
      <c r="W74" s="837">
        <v>48.259510923000001</v>
      </c>
      <c r="X74" s="1744">
        <f>+'F2'!Q118</f>
        <v>48.259510922520001</v>
      </c>
      <c r="Y74" s="837">
        <f>X74-W74</f>
        <v>-4.8000003971537808E-10</v>
      </c>
      <c r="Z74" s="839">
        <f>+W74-W61</f>
        <v>48.259510923000001</v>
      </c>
      <c r="AA74" s="839">
        <f>+X74-Z74</f>
        <v>-4.8000003971537808E-10</v>
      </c>
    </row>
    <row r="75" spans="1:27" x14ac:dyDescent="0.35">
      <c r="A75" s="839"/>
      <c r="B75" s="1742"/>
      <c r="C75" s="834" t="s">
        <v>1306</v>
      </c>
      <c r="D75" s="832"/>
      <c r="E75" s="847"/>
      <c r="F75" s="885"/>
      <c r="G75" s="885"/>
      <c r="H75" s="847"/>
      <c r="I75" s="1745"/>
      <c r="J75" s="885"/>
      <c r="K75" s="837"/>
      <c r="L75" s="1746"/>
      <c r="M75" s="886"/>
      <c r="N75" s="837"/>
      <c r="O75" s="1746"/>
      <c r="P75" s="886"/>
      <c r="Q75" s="837">
        <v>-1.387226509</v>
      </c>
      <c r="R75" s="1920"/>
      <c r="S75" s="1922"/>
      <c r="T75" s="837">
        <v>-1.273784676</v>
      </c>
      <c r="U75" s="1920"/>
      <c r="V75" s="1922"/>
      <c r="W75" s="837"/>
      <c r="X75" s="1746"/>
      <c r="Y75" s="886"/>
    </row>
    <row r="76" spans="1:27" x14ac:dyDescent="0.35">
      <c r="A76" s="839"/>
      <c r="B76" s="1747"/>
      <c r="C76" s="834" t="s">
        <v>1329</v>
      </c>
      <c r="D76" s="832"/>
      <c r="E76" s="847">
        <v>4.4999999999999997E-3</v>
      </c>
      <c r="F76" s="1924">
        <f>+'F2.2'!D12</f>
        <v>5.0124999999999996E-2</v>
      </c>
      <c r="G76" s="1929">
        <f>F76-E76-E77-E78</f>
        <v>0</v>
      </c>
      <c r="H76" s="847">
        <v>2.23E-2</v>
      </c>
      <c r="I76" s="1924">
        <f>+'F2.2'!E12</f>
        <v>0.13397500000000001</v>
      </c>
      <c r="J76" s="1924">
        <f>SUM(H76:H78)-I76</f>
        <v>0</v>
      </c>
      <c r="K76" s="837">
        <v>1.125E-2</v>
      </c>
      <c r="L76" s="1919">
        <f>+'F2.2'!F12</f>
        <v>9.4439999999999996E-2</v>
      </c>
      <c r="M76" s="1924">
        <f>L76-SUM(K76:K78)</f>
        <v>0</v>
      </c>
      <c r="N76" s="837">
        <v>9.7835070000000003E-3</v>
      </c>
      <c r="O76" s="1919">
        <f>+'F2.2'!G12</f>
        <v>5.9357601999999995E-2</v>
      </c>
      <c r="P76" s="1924">
        <f>O76-SUM(N76:N78)</f>
        <v>0</v>
      </c>
      <c r="Q76" s="837">
        <v>1.0083627000000001E-2</v>
      </c>
      <c r="R76" s="1919">
        <f>+'F2.2'!H12</f>
        <v>6.4282559000000003E-2</v>
      </c>
      <c r="S76" s="1924">
        <f>R76-SUM(Q76:Q78)</f>
        <v>0</v>
      </c>
      <c r="T76" s="837">
        <v>1.0038630999999999E-2</v>
      </c>
      <c r="U76" s="1919">
        <f>+'F2.2'!I12</f>
        <v>3.5238630999999999E-2</v>
      </c>
      <c r="V76" s="1924">
        <f>U76-SUM(T76:T78)</f>
        <v>0</v>
      </c>
      <c r="W76" s="837">
        <v>8.9999999999999993E-3</v>
      </c>
      <c r="X76" s="1919">
        <f>+'F2.2'!J12</f>
        <v>1.5324399999999998E-2</v>
      </c>
      <c r="Y76" s="1924">
        <f>X76-SUM(W76:W78)</f>
        <v>0</v>
      </c>
    </row>
    <row r="77" spans="1:27" x14ac:dyDescent="0.35">
      <c r="A77" s="839"/>
      <c r="B77" s="1747"/>
      <c r="C77" s="834" t="s">
        <v>1330</v>
      </c>
      <c r="D77" s="832"/>
      <c r="E77" s="847">
        <v>4.2825000000000002E-2</v>
      </c>
      <c r="F77" s="1925"/>
      <c r="G77" s="1930"/>
      <c r="H77" s="847">
        <v>9.2475000000000002E-2</v>
      </c>
      <c r="I77" s="1925"/>
      <c r="J77" s="1925"/>
      <c r="K77" s="837">
        <v>8.2350000000000007E-2</v>
      </c>
      <c r="L77" s="1923"/>
      <c r="M77" s="1925"/>
      <c r="N77" s="837">
        <v>4.8854095E-2</v>
      </c>
      <c r="O77" s="1923"/>
      <c r="P77" s="1925"/>
      <c r="Q77" s="837">
        <v>5.3358932000000005E-2</v>
      </c>
      <c r="R77" s="1923"/>
      <c r="S77" s="1925"/>
      <c r="T77" s="837">
        <v>1.9800000000000002E-2</v>
      </c>
      <c r="U77" s="1923"/>
      <c r="V77" s="1925"/>
      <c r="W77" s="837">
        <v>0</v>
      </c>
      <c r="X77" s="1923"/>
      <c r="Y77" s="1925"/>
    </row>
    <row r="78" spans="1:27" x14ac:dyDescent="0.35">
      <c r="A78" s="839"/>
      <c r="B78" s="1747"/>
      <c r="C78" s="834" t="s">
        <v>1331</v>
      </c>
      <c r="D78" s="832"/>
      <c r="E78" s="847">
        <v>2.8E-3</v>
      </c>
      <c r="F78" s="1926"/>
      <c r="G78" s="1931"/>
      <c r="H78" s="847">
        <v>1.9199999999999998E-2</v>
      </c>
      <c r="I78" s="1926"/>
      <c r="J78" s="1926"/>
      <c r="K78" s="837">
        <v>8.4000000000000003E-4</v>
      </c>
      <c r="L78" s="1920"/>
      <c r="M78" s="1926"/>
      <c r="N78" s="837">
        <v>7.2000000000000005E-4</v>
      </c>
      <c r="O78" s="1920"/>
      <c r="P78" s="1926"/>
      <c r="Q78" s="837">
        <v>8.4000000000000003E-4</v>
      </c>
      <c r="R78" s="1920"/>
      <c r="S78" s="1926"/>
      <c r="T78" s="837">
        <v>5.4000000000000003E-3</v>
      </c>
      <c r="U78" s="1920"/>
      <c r="V78" s="1926"/>
      <c r="W78" s="837">
        <v>6.3244E-3</v>
      </c>
      <c r="X78" s="1920"/>
      <c r="Y78" s="1926"/>
    </row>
    <row r="79" spans="1:27" x14ac:dyDescent="0.35">
      <c r="A79" s="839"/>
      <c r="B79" s="1747"/>
      <c r="C79" s="834" t="s">
        <v>1119</v>
      </c>
      <c r="D79" s="832"/>
      <c r="E79" s="847">
        <v>0.91071400000000002</v>
      </c>
      <c r="F79" s="847">
        <f>+'F2.2'!D11</f>
        <v>0.91071400000000002</v>
      </c>
      <c r="G79" s="847"/>
      <c r="H79" s="847">
        <v>2.4552548000000001</v>
      </c>
      <c r="I79" s="858">
        <f>+'F2.2'!E11</f>
        <v>2.4552548000000001</v>
      </c>
      <c r="J79" s="847">
        <f t="shared" si="10"/>
        <v>0</v>
      </c>
      <c r="K79" s="837">
        <v>0.40523419999999999</v>
      </c>
      <c r="L79" s="1744">
        <f>+'F2.2'!F11</f>
        <v>0.40523419999999999</v>
      </c>
      <c r="M79" s="837">
        <f t="shared" si="11"/>
        <v>0</v>
      </c>
      <c r="N79" s="837">
        <v>0.67052683400000002</v>
      </c>
      <c r="O79" s="1744">
        <f>+'F2.2'!G11</f>
        <v>0.67052683400000002</v>
      </c>
      <c r="P79" s="837">
        <f t="shared" ref="P79:P85" si="12">O79-N79</f>
        <v>0</v>
      </c>
      <c r="Q79" s="837">
        <v>1.247478358</v>
      </c>
      <c r="R79" s="1744">
        <f>+'F2.2'!H11</f>
        <v>1.247478358</v>
      </c>
      <c r="S79" s="837">
        <f t="shared" ref="S79:S85" si="13">R79-Q79</f>
        <v>0</v>
      </c>
      <c r="T79" s="837">
        <v>1.825815781</v>
      </c>
      <c r="U79" s="1744">
        <f>+'F2.2'!I11</f>
        <v>1.825815781</v>
      </c>
      <c r="V79" s="837">
        <f t="shared" ref="V79:V85" si="14">U79-T79</f>
        <v>0</v>
      </c>
      <c r="W79" s="837">
        <v>3.7389622</v>
      </c>
      <c r="X79" s="1744">
        <f>+'F2.2'!J11</f>
        <v>3.7389622</v>
      </c>
      <c r="Y79" s="837">
        <f t="shared" ref="Y79:Y85" si="15">X79-W79</f>
        <v>0</v>
      </c>
    </row>
    <row r="80" spans="1:27" x14ac:dyDescent="0.35">
      <c r="A80" s="839"/>
      <c r="B80" s="833"/>
      <c r="C80" s="834" t="s">
        <v>964</v>
      </c>
      <c r="D80" s="832"/>
      <c r="E80" s="847">
        <v>7.7700000000000002E-4</v>
      </c>
      <c r="F80" s="847"/>
      <c r="G80" s="847">
        <f>F80-E80</f>
        <v>-7.7700000000000002E-4</v>
      </c>
      <c r="H80" s="847">
        <v>1.0364E-3</v>
      </c>
      <c r="I80" s="847"/>
      <c r="J80" s="847">
        <f t="shared" si="10"/>
        <v>-1.0364E-3</v>
      </c>
      <c r="K80" s="837">
        <v>4.6680000000000002E-4</v>
      </c>
      <c r="L80" s="847"/>
      <c r="M80" s="837">
        <f t="shared" si="11"/>
        <v>-4.6680000000000002E-4</v>
      </c>
      <c r="N80" s="837">
        <v>1.436056E-3</v>
      </c>
      <c r="O80" s="847"/>
      <c r="P80" s="837">
        <f t="shared" si="12"/>
        <v>-1.436056E-3</v>
      </c>
      <c r="Q80" s="837">
        <v>3.6883039999999999E-3</v>
      </c>
      <c r="R80" s="847"/>
      <c r="S80" s="837">
        <f t="shared" si="13"/>
        <v>-3.6883039999999999E-3</v>
      </c>
      <c r="T80" s="837"/>
      <c r="U80" s="847"/>
      <c r="V80" s="837">
        <f t="shared" si="14"/>
        <v>0</v>
      </c>
      <c r="W80" s="837"/>
      <c r="X80" s="847"/>
      <c r="Y80" s="837">
        <f t="shared" si="15"/>
        <v>0</v>
      </c>
    </row>
    <row r="81" spans="1:25" x14ac:dyDescent="0.35">
      <c r="A81" s="839"/>
      <c r="B81" s="833"/>
      <c r="C81" s="834" t="s">
        <v>965</v>
      </c>
      <c r="D81" s="832"/>
      <c r="E81" s="847">
        <v>4.4250000000000001E-3</v>
      </c>
      <c r="F81" s="847"/>
      <c r="G81" s="847">
        <f>F81-E81</f>
        <v>-4.4250000000000001E-3</v>
      </c>
      <c r="H81" s="847">
        <v>2.8400000000000002E-2</v>
      </c>
      <c r="I81" s="847"/>
      <c r="J81" s="847">
        <f t="shared" si="10"/>
        <v>-2.8400000000000002E-2</v>
      </c>
      <c r="K81" s="837">
        <v>0</v>
      </c>
      <c r="L81" s="847"/>
      <c r="M81" s="837">
        <f t="shared" si="11"/>
        <v>0</v>
      </c>
      <c r="N81" s="837"/>
      <c r="O81" s="847"/>
      <c r="P81" s="837">
        <f t="shared" si="12"/>
        <v>0</v>
      </c>
      <c r="Q81" s="837">
        <v>3.0775E-2</v>
      </c>
      <c r="R81" s="847"/>
      <c r="S81" s="837">
        <f t="shared" si="13"/>
        <v>-3.0775E-2</v>
      </c>
      <c r="T81" s="837"/>
      <c r="U81" s="847"/>
      <c r="V81" s="837">
        <f t="shared" si="14"/>
        <v>0</v>
      </c>
      <c r="W81" s="837"/>
      <c r="X81" s="847"/>
      <c r="Y81" s="837">
        <f t="shared" si="15"/>
        <v>0</v>
      </c>
    </row>
    <row r="82" spans="1:25" x14ac:dyDescent="0.35">
      <c r="A82" s="839"/>
      <c r="B82" s="833"/>
      <c r="C82" s="834" t="s">
        <v>962</v>
      </c>
      <c r="D82" s="832"/>
      <c r="E82" s="847">
        <v>0</v>
      </c>
      <c r="F82" s="847"/>
      <c r="G82" s="837"/>
      <c r="H82" s="847">
        <v>2.6658114E-2</v>
      </c>
      <c r="I82" s="847"/>
      <c r="J82" s="847">
        <f t="shared" si="10"/>
        <v>-2.6658114E-2</v>
      </c>
      <c r="K82" s="837">
        <v>7.3919800000000003E-3</v>
      </c>
      <c r="L82" s="847"/>
      <c r="M82" s="837">
        <f t="shared" si="11"/>
        <v>-7.3919800000000003E-3</v>
      </c>
      <c r="N82" s="837">
        <v>6.9317224999999996E-2</v>
      </c>
      <c r="O82" s="847"/>
      <c r="P82" s="837">
        <f t="shared" si="12"/>
        <v>-6.9317224999999996E-2</v>
      </c>
      <c r="Q82" s="837">
        <v>0.11520453</v>
      </c>
      <c r="R82" s="847"/>
      <c r="S82" s="837">
        <f t="shared" si="13"/>
        <v>-0.11520453</v>
      </c>
      <c r="T82" s="837">
        <v>0.1052821</v>
      </c>
      <c r="U82" s="847"/>
      <c r="V82" s="837">
        <f t="shared" si="14"/>
        <v>-0.1052821</v>
      </c>
      <c r="W82" s="837">
        <v>8.5062700000000005E-2</v>
      </c>
      <c r="X82" s="847"/>
      <c r="Y82" s="837">
        <f t="shared" si="15"/>
        <v>-8.5062700000000005E-2</v>
      </c>
    </row>
    <row r="83" spans="1:25" x14ac:dyDescent="0.35">
      <c r="A83" s="839"/>
      <c r="B83" s="833"/>
      <c r="C83" s="834" t="s">
        <v>971</v>
      </c>
      <c r="D83" s="832"/>
      <c r="E83" s="847">
        <v>0</v>
      </c>
      <c r="F83" s="847"/>
      <c r="G83" s="837"/>
      <c r="H83" s="847">
        <v>0.02</v>
      </c>
      <c r="I83" s="847"/>
      <c r="J83" s="847">
        <f t="shared" si="10"/>
        <v>-0.02</v>
      </c>
      <c r="K83" s="837">
        <v>0.02</v>
      </c>
      <c r="L83" s="847"/>
      <c r="M83" s="837">
        <f t="shared" si="11"/>
        <v>-0.02</v>
      </c>
      <c r="N83" s="837">
        <v>0.02</v>
      </c>
      <c r="O83" s="847"/>
      <c r="P83" s="837">
        <f t="shared" si="12"/>
        <v>-0.02</v>
      </c>
      <c r="Q83" s="837">
        <v>0.02</v>
      </c>
      <c r="R83" s="847"/>
      <c r="S83" s="837">
        <f t="shared" si="13"/>
        <v>-0.02</v>
      </c>
      <c r="T83" s="837">
        <v>0.02</v>
      </c>
      <c r="U83" s="847"/>
      <c r="V83" s="837">
        <f t="shared" si="14"/>
        <v>-0.02</v>
      </c>
      <c r="W83" s="837">
        <v>6.1584600000000003E-2</v>
      </c>
      <c r="X83" s="847"/>
      <c r="Y83" s="837">
        <f t="shared" si="15"/>
        <v>-6.1584600000000003E-2</v>
      </c>
    </row>
    <row r="84" spans="1:25" x14ac:dyDescent="0.35">
      <c r="A84" s="839"/>
      <c r="B84" s="833"/>
      <c r="C84" s="834" t="s">
        <v>1332</v>
      </c>
      <c r="D84" s="832"/>
      <c r="E84" s="847">
        <v>0</v>
      </c>
      <c r="F84" s="847"/>
      <c r="G84" s="837"/>
      <c r="H84" s="847">
        <v>2.2743800000000002E-2</v>
      </c>
      <c r="I84" s="858">
        <f>+'ARR-Summary'!F103</f>
        <v>2.2743800000000002E-2</v>
      </c>
      <c r="J84" s="847">
        <f t="shared" si="10"/>
        <v>0</v>
      </c>
      <c r="K84" s="837">
        <v>2.9569515999999997E-2</v>
      </c>
      <c r="L84" s="858">
        <f>+'ARR-Summary'!G103</f>
        <v>2.9569515999999997E-2</v>
      </c>
      <c r="M84" s="837">
        <f t="shared" si="11"/>
        <v>0</v>
      </c>
      <c r="N84" s="837">
        <v>5.7784603000000004E-2</v>
      </c>
      <c r="O84" s="858">
        <f>+'ARR-Summary'!H103</f>
        <v>5.7784603000000004E-2</v>
      </c>
      <c r="P84" s="837">
        <f t="shared" si="12"/>
        <v>0</v>
      </c>
      <c r="Q84" s="837">
        <v>0.110465919</v>
      </c>
      <c r="R84" s="858">
        <f>+'ARR-Summary'!I103</f>
        <v>0.110465919</v>
      </c>
      <c r="S84" s="837">
        <f t="shared" si="13"/>
        <v>0</v>
      </c>
      <c r="T84" s="837">
        <v>7.2670307000000003E-2</v>
      </c>
      <c r="U84" s="858">
        <f>+'ARR-Summary'!J103</f>
        <v>7.2670307000000003E-2</v>
      </c>
      <c r="V84" s="837">
        <f t="shared" si="14"/>
        <v>0</v>
      </c>
      <c r="W84" s="837">
        <v>0.105229266</v>
      </c>
      <c r="X84" s="858">
        <f>+'ARR-Summary'!K103</f>
        <v>0.105229266</v>
      </c>
      <c r="Y84" s="837">
        <f t="shared" si="15"/>
        <v>0</v>
      </c>
    </row>
    <row r="85" spans="1:25" x14ac:dyDescent="0.35">
      <c r="A85" s="859"/>
      <c r="B85" s="833"/>
      <c r="C85" s="834" t="s">
        <v>1333</v>
      </c>
      <c r="D85" s="832"/>
      <c r="E85" s="847">
        <v>0</v>
      </c>
      <c r="F85" s="847"/>
      <c r="G85" s="837"/>
      <c r="H85" s="847">
        <v>0.14082649999999999</v>
      </c>
      <c r="I85" s="847">
        <f>+'F11'!E49</f>
        <v>0.14078198748750001</v>
      </c>
      <c r="J85" s="847">
        <f t="shared" si="10"/>
        <v>-4.4512512499983448E-5</v>
      </c>
      <c r="K85" s="837">
        <v>0.1729252</v>
      </c>
      <c r="L85" s="858">
        <f>+'F11'!F49</f>
        <v>0.17285738311345558</v>
      </c>
      <c r="M85" s="837">
        <f t="shared" si="11"/>
        <v>-6.781688654441953E-5</v>
      </c>
      <c r="N85" s="837">
        <v>0.17613760000000001</v>
      </c>
      <c r="O85" s="858">
        <f>+'F11'!G49</f>
        <v>0.17606978990595554</v>
      </c>
      <c r="P85" s="837">
        <f t="shared" si="12"/>
        <v>-6.7810094044468139E-5</v>
      </c>
      <c r="Q85" s="837">
        <v>0.17854049999999999</v>
      </c>
      <c r="R85" s="858">
        <f>+'F11'!H49</f>
        <v>0.17847268259345553</v>
      </c>
      <c r="S85" s="837">
        <f t="shared" si="13"/>
        <v>-6.7817406544462555E-5</v>
      </c>
      <c r="T85" s="837">
        <v>0.18162400000000001</v>
      </c>
      <c r="U85" s="858">
        <f>+'F11'!I49</f>
        <v>0.1815561810684555</v>
      </c>
      <c r="V85" s="837">
        <f t="shared" si="14"/>
        <v>-6.7818931544505467E-5</v>
      </c>
      <c r="W85" s="837">
        <v>0.18206259999999999</v>
      </c>
      <c r="X85" s="858">
        <f>+'F11'!J49</f>
        <v>0.18199471454845559</v>
      </c>
      <c r="Y85" s="837">
        <f t="shared" si="15"/>
        <v>-6.7885451544402731E-5</v>
      </c>
    </row>
    <row r="86" spans="1:25" x14ac:dyDescent="0.35">
      <c r="A86" s="839"/>
      <c r="B86" s="833"/>
      <c r="C86" s="834" t="s">
        <v>1334</v>
      </c>
      <c r="D86" s="832"/>
      <c r="E86" s="847">
        <v>0</v>
      </c>
      <c r="F86" s="847"/>
      <c r="G86" s="837"/>
      <c r="H86" s="847">
        <v>0.35517585899999998</v>
      </c>
      <c r="I86" s="832"/>
      <c r="J86" s="847"/>
      <c r="K86" s="837">
        <v>1.09873033</v>
      </c>
      <c r="L86" s="832"/>
      <c r="M86" s="837"/>
      <c r="N86" s="837">
        <v>3.3035797880000004</v>
      </c>
      <c r="O86" s="832"/>
      <c r="P86" s="837"/>
      <c r="Q86" s="837">
        <v>4.1758261189999999</v>
      </c>
      <c r="R86" s="832"/>
      <c r="S86" s="837"/>
      <c r="T86" s="837">
        <v>4.0041081280000004</v>
      </c>
      <c r="U86" s="832"/>
      <c r="V86" s="837"/>
      <c r="W86" s="837">
        <v>0.64323969999999997</v>
      </c>
      <c r="X86" s="832"/>
      <c r="Y86" s="837"/>
    </row>
    <row r="87" spans="1:25" x14ac:dyDescent="0.35">
      <c r="B87" s="833"/>
      <c r="C87" s="842" t="s">
        <v>164</v>
      </c>
      <c r="D87" s="832"/>
      <c r="E87" s="856">
        <f t="shared" ref="E87:J87" si="16">SUM(E74:E86)</f>
        <v>1.7245275999999998</v>
      </c>
      <c r="F87" s="856">
        <f t="shared" si="16"/>
        <v>1.7193255999999999</v>
      </c>
      <c r="G87" s="856">
        <f t="shared" si="16"/>
        <v>-5.202E-3</v>
      </c>
      <c r="H87" s="856">
        <f t="shared" si="16"/>
        <v>4.898828773</v>
      </c>
      <c r="I87" s="856">
        <f t="shared" si="16"/>
        <v>4.4675138874874998</v>
      </c>
      <c r="J87" s="856">
        <f t="shared" si="16"/>
        <v>-7.6139026512499985E-2</v>
      </c>
      <c r="K87" s="856">
        <f t="shared" ref="K87:Y87" si="17">SUM(K74:K86)</f>
        <v>5.9225039150000001</v>
      </c>
      <c r="L87" s="856">
        <f t="shared" si="17"/>
        <v>4.7958462941134536</v>
      </c>
      <c r="M87" s="856">
        <f t="shared" si="17"/>
        <v>-2.7927290886544998E-2</v>
      </c>
      <c r="N87" s="856">
        <f t="shared" si="17"/>
        <v>12.846678014</v>
      </c>
      <c r="O87" s="856">
        <f t="shared" si="17"/>
        <v>9.4522771349059589</v>
      </c>
      <c r="P87" s="856">
        <f t="shared" si="17"/>
        <v>-9.0821091094044473E-2</v>
      </c>
      <c r="Q87" s="856">
        <f t="shared" si="17"/>
        <v>17.869731722000001</v>
      </c>
      <c r="R87" s="856">
        <f t="shared" si="17"/>
        <v>13.524169951593453</v>
      </c>
      <c r="S87" s="856">
        <f t="shared" si="17"/>
        <v>-0.16973565140654445</v>
      </c>
      <c r="T87" s="856">
        <f t="shared" si="17"/>
        <v>27.468591708000005</v>
      </c>
      <c r="U87" s="856">
        <f t="shared" si="17"/>
        <v>23.339133661068452</v>
      </c>
      <c r="V87" s="856">
        <f t="shared" si="17"/>
        <v>-0.12534991893154451</v>
      </c>
      <c r="W87" s="856">
        <f t="shared" si="17"/>
        <v>53.090976389000012</v>
      </c>
      <c r="X87" s="856">
        <f t="shared" si="17"/>
        <v>52.301021503068462</v>
      </c>
      <c r="Y87" s="856">
        <f t="shared" si="17"/>
        <v>-0.14671518593154445</v>
      </c>
    </row>
    <row r="88" spans="1:25" x14ac:dyDescent="0.35">
      <c r="B88" s="833"/>
      <c r="C88" s="834"/>
      <c r="D88" s="832"/>
      <c r="E88" s="834"/>
      <c r="F88" s="847"/>
      <c r="G88" s="860">
        <f>+G87+G145</f>
        <v>-7.1123662515049091E-17</v>
      </c>
      <c r="H88" s="832"/>
      <c r="I88" s="832"/>
      <c r="J88" s="860">
        <f>+J87+J145</f>
        <v>-4.4512512499761403E-5</v>
      </c>
      <c r="K88" s="832"/>
      <c r="L88" s="860"/>
      <c r="M88" s="860">
        <f>+M87+M145</f>
        <v>-6.8510886544692617E-5</v>
      </c>
      <c r="N88" s="832"/>
      <c r="O88" s="860"/>
      <c r="P88" s="860">
        <f>+P87+P145</f>
        <v>-6.781009404489835E-5</v>
      </c>
      <c r="Q88" s="832"/>
      <c r="R88" s="860"/>
      <c r="S88" s="860">
        <f>+S87+S145</f>
        <v>-6.7817406543824177E-5</v>
      </c>
      <c r="T88" s="832"/>
      <c r="U88" s="860"/>
      <c r="V88" s="860">
        <f>+V87+V145</f>
        <v>-6.7818931544783023E-5</v>
      </c>
      <c r="W88" s="832"/>
      <c r="X88" s="860"/>
      <c r="Y88" s="860">
        <f>+Y87+Y145</f>
        <v>-6.7885931544303668E-5</v>
      </c>
    </row>
    <row r="89" spans="1:25" x14ac:dyDescent="0.35">
      <c r="B89" s="861">
        <f>+B70+1</f>
        <v>3</v>
      </c>
      <c r="C89" s="857" t="s">
        <v>1335</v>
      </c>
      <c r="D89" s="832"/>
      <c r="E89" s="862"/>
      <c r="F89" s="847"/>
      <c r="G89" s="847"/>
      <c r="H89" s="832"/>
      <c r="I89" s="832"/>
      <c r="J89" s="832"/>
      <c r="K89" s="832"/>
      <c r="L89" s="832"/>
      <c r="M89" s="832"/>
      <c r="N89" s="832"/>
      <c r="O89" s="832"/>
      <c r="P89" s="832"/>
      <c r="Q89" s="832"/>
      <c r="R89" s="832"/>
      <c r="S89" s="832"/>
      <c r="T89" s="832"/>
      <c r="U89" s="832"/>
      <c r="V89" s="832"/>
      <c r="W89" s="832"/>
      <c r="X89" s="832"/>
      <c r="Y89" s="832"/>
    </row>
    <row r="90" spans="1:25" x14ac:dyDescent="0.35">
      <c r="B90" s="863"/>
      <c r="C90" s="842" t="s">
        <v>111</v>
      </c>
      <c r="D90" s="832"/>
      <c r="E90" s="1928">
        <v>43555</v>
      </c>
      <c r="F90" s="1928"/>
      <c r="G90" s="1928"/>
      <c r="H90" s="1927">
        <v>43921</v>
      </c>
      <c r="I90" s="1927"/>
      <c r="J90" s="1927"/>
      <c r="K90" s="1927">
        <v>44286</v>
      </c>
      <c r="L90" s="1927"/>
      <c r="M90" s="1927"/>
      <c r="N90" s="1918">
        <v>44651</v>
      </c>
      <c r="O90" s="1918"/>
      <c r="P90" s="1918"/>
      <c r="Q90" s="1918">
        <v>45016</v>
      </c>
      <c r="R90" s="1918"/>
      <c r="S90" s="1918"/>
      <c r="T90" s="1918">
        <v>45382</v>
      </c>
      <c r="U90" s="1918"/>
      <c r="V90" s="1918"/>
      <c r="W90" s="1918">
        <v>45747</v>
      </c>
      <c r="X90" s="1918"/>
      <c r="Y90" s="1918"/>
    </row>
    <row r="91" spans="1:25" x14ac:dyDescent="0.35">
      <c r="B91" s="863"/>
      <c r="C91" s="864"/>
      <c r="D91" s="832"/>
      <c r="E91" s="850" t="s">
        <v>1286</v>
      </c>
      <c r="F91" s="850" t="s">
        <v>1287</v>
      </c>
      <c r="G91" s="850" t="s">
        <v>1288</v>
      </c>
      <c r="H91" s="849" t="s">
        <v>1286</v>
      </c>
      <c r="I91" s="803" t="s">
        <v>1287</v>
      </c>
      <c r="J91" s="803" t="s">
        <v>1288</v>
      </c>
      <c r="K91" s="849" t="s">
        <v>1286</v>
      </c>
      <c r="L91" s="803" t="s">
        <v>1287</v>
      </c>
      <c r="M91" s="803" t="s">
        <v>1288</v>
      </c>
      <c r="N91" s="849" t="s">
        <v>1286</v>
      </c>
      <c r="O91" s="803" t="s">
        <v>1287</v>
      </c>
      <c r="P91" s="803" t="s">
        <v>1288</v>
      </c>
      <c r="Q91" s="849" t="s">
        <v>1286</v>
      </c>
      <c r="R91" s="803" t="s">
        <v>1287</v>
      </c>
      <c r="S91" s="803" t="s">
        <v>1288</v>
      </c>
      <c r="T91" s="849" t="s">
        <v>1286</v>
      </c>
      <c r="U91" s="803" t="s">
        <v>1287</v>
      </c>
      <c r="V91" s="803" t="s">
        <v>1288</v>
      </c>
      <c r="W91" s="849" t="s">
        <v>1286</v>
      </c>
      <c r="X91" s="803" t="s">
        <v>1287</v>
      </c>
      <c r="Y91" s="803" t="s">
        <v>1288</v>
      </c>
    </row>
    <row r="92" spans="1:25" x14ac:dyDescent="0.35">
      <c r="B92" s="863"/>
      <c r="C92" s="864"/>
      <c r="D92" s="832"/>
      <c r="E92" s="865"/>
      <c r="F92" s="847"/>
      <c r="G92" s="847"/>
      <c r="H92" s="832"/>
      <c r="I92" s="832"/>
      <c r="J92" s="832"/>
      <c r="K92" s="832"/>
      <c r="L92" s="832"/>
      <c r="M92" s="832"/>
      <c r="N92" s="832"/>
      <c r="O92" s="832"/>
      <c r="P92" s="832"/>
      <c r="Q92" s="832"/>
      <c r="R92" s="832"/>
      <c r="S92" s="832"/>
      <c r="T92" s="832"/>
      <c r="U92" s="832"/>
      <c r="V92" s="832"/>
      <c r="W92" s="832"/>
      <c r="X92" s="832"/>
      <c r="Y92" s="832"/>
    </row>
    <row r="93" spans="1:25" x14ac:dyDescent="0.35">
      <c r="B93" s="863"/>
      <c r="C93" s="834" t="s">
        <v>957</v>
      </c>
      <c r="D93" s="832"/>
      <c r="E93" s="838">
        <v>4.1169652000000001</v>
      </c>
      <c r="F93" s="847">
        <f>+'F3.2'!D102</f>
        <v>4.1169652000000001</v>
      </c>
      <c r="G93" s="847">
        <f>E93-F93</f>
        <v>0</v>
      </c>
      <c r="H93" s="837">
        <v>3.8048629360000001</v>
      </c>
      <c r="I93" s="847">
        <f>+'F3.2'!E102</f>
        <v>3.8048629359999993</v>
      </c>
      <c r="J93" s="847">
        <f>I93-H93</f>
        <v>0</v>
      </c>
      <c r="K93" s="858">
        <v>4.0517598000000001</v>
      </c>
      <c r="L93" s="847">
        <f>+'F3.2'!F102</f>
        <v>4.0517597999999992</v>
      </c>
      <c r="M93" s="847">
        <f>L93-K93</f>
        <v>0</v>
      </c>
      <c r="N93" s="858">
        <v>4.4605264</v>
      </c>
      <c r="O93" s="888">
        <f>+'F3.2'!G102</f>
        <v>4.4605264000000009</v>
      </c>
      <c r="P93" s="847">
        <f>O93-N93</f>
        <v>0</v>
      </c>
      <c r="Q93" s="858">
        <v>4.5189433000000001</v>
      </c>
      <c r="R93" s="847">
        <f>+'F3.2'!H102</f>
        <v>4.5189433000000001</v>
      </c>
      <c r="S93" s="847">
        <f>R93-Q93</f>
        <v>0</v>
      </c>
      <c r="T93" s="858">
        <v>3.0803383539999998</v>
      </c>
      <c r="U93" s="847">
        <f>+'F3.2'!I102-'F3.2'!I103</f>
        <v>3.0803383540000002</v>
      </c>
      <c r="V93" s="847">
        <f>U93-T93</f>
        <v>0</v>
      </c>
      <c r="W93" s="858">
        <v>4.571812821</v>
      </c>
      <c r="X93" s="847">
        <f>+'F3.2'!J105</f>
        <v>4.3970017209999996</v>
      </c>
      <c r="Y93" s="847">
        <f>X93-W93</f>
        <v>-0.17481110000000033</v>
      </c>
    </row>
    <row r="94" spans="1:25" x14ac:dyDescent="0.35">
      <c r="B94" s="833"/>
      <c r="C94" s="866"/>
      <c r="D94" s="832"/>
      <c r="E94" s="867">
        <f>E93</f>
        <v>4.1169652000000001</v>
      </c>
      <c r="F94" s="867">
        <f>F93</f>
        <v>4.1169652000000001</v>
      </c>
      <c r="G94" s="847">
        <f>E94-F94</f>
        <v>0</v>
      </c>
      <c r="H94" s="867">
        <f>H93</f>
        <v>3.8048629360000001</v>
      </c>
      <c r="I94" s="867">
        <f>I93</f>
        <v>3.8048629359999993</v>
      </c>
      <c r="J94" s="847">
        <f>H94-I94</f>
        <v>0</v>
      </c>
      <c r="K94" s="867">
        <f>K93</f>
        <v>4.0517598000000001</v>
      </c>
      <c r="L94" s="867">
        <f>L93</f>
        <v>4.0517597999999992</v>
      </c>
      <c r="M94" s="847">
        <f>L94-K94</f>
        <v>0</v>
      </c>
      <c r="N94" s="867">
        <f>N93</f>
        <v>4.4605264</v>
      </c>
      <c r="O94" s="867">
        <f>O93</f>
        <v>4.4605264000000009</v>
      </c>
      <c r="P94" s="847">
        <f>O94-N94</f>
        <v>0</v>
      </c>
      <c r="Q94" s="867">
        <f>Q93</f>
        <v>4.5189433000000001</v>
      </c>
      <c r="R94" s="867">
        <f>R93</f>
        <v>4.5189433000000001</v>
      </c>
      <c r="S94" s="847">
        <f>R94-Q94</f>
        <v>0</v>
      </c>
      <c r="T94" s="867">
        <f>T93</f>
        <v>3.0803383539999998</v>
      </c>
      <c r="U94" s="867">
        <f>U93</f>
        <v>3.0803383540000002</v>
      </c>
      <c r="V94" s="847">
        <f>U94-T94</f>
        <v>0</v>
      </c>
      <c r="W94" s="867">
        <f>W93</f>
        <v>4.571812821</v>
      </c>
      <c r="X94" s="867">
        <f>X93</f>
        <v>4.3970017209999996</v>
      </c>
      <c r="Y94" s="847">
        <f>X94-W94</f>
        <v>-0.17481110000000033</v>
      </c>
    </row>
    <row r="95" spans="1:25" x14ac:dyDescent="0.35">
      <c r="B95" s="863"/>
      <c r="C95" s="854" t="s">
        <v>1326</v>
      </c>
      <c r="D95" s="832"/>
      <c r="E95" s="838">
        <v>2.0301828</v>
      </c>
      <c r="F95" s="847">
        <f>+'F3.2'!D103</f>
        <v>2.0301828</v>
      </c>
      <c r="G95" s="847">
        <f>E95-F95</f>
        <v>0</v>
      </c>
      <c r="H95" s="837">
        <v>0.34025830000000001</v>
      </c>
      <c r="I95" s="847">
        <f>+'F3.2'!E103</f>
        <v>0.34025830000000001</v>
      </c>
      <c r="J95" s="847">
        <f>I95-H95</f>
        <v>0</v>
      </c>
      <c r="K95" s="858">
        <v>0.36853920000000001</v>
      </c>
      <c r="L95" s="847">
        <f>+'F3.2'!F103</f>
        <v>0.36853920000000001</v>
      </c>
      <c r="M95" s="847">
        <f>L95-K95</f>
        <v>0</v>
      </c>
      <c r="N95" s="858">
        <v>0.39011879999999999</v>
      </c>
      <c r="O95" s="847">
        <f>+'F3.2'!G103</f>
        <v>0.39011879999999999</v>
      </c>
      <c r="P95" s="847">
        <f>O95-N95</f>
        <v>0</v>
      </c>
      <c r="Q95" s="858"/>
      <c r="R95" s="847">
        <f>+'F3.2'!H103</f>
        <v>0</v>
      </c>
      <c r="S95" s="847">
        <f>R95-Q95</f>
        <v>0</v>
      </c>
      <c r="T95" s="858"/>
      <c r="U95" s="847"/>
      <c r="V95" s="847">
        <f>U95-T95</f>
        <v>0</v>
      </c>
      <c r="W95" s="858"/>
      <c r="X95" s="847"/>
      <c r="Y95" s="847">
        <f>X95-W95</f>
        <v>0</v>
      </c>
    </row>
    <row r="96" spans="1:25" x14ac:dyDescent="0.35">
      <c r="B96" s="863"/>
      <c r="C96" s="834"/>
      <c r="D96" s="832"/>
      <c r="E96" s="869"/>
      <c r="F96" s="847"/>
      <c r="G96" s="847"/>
      <c r="H96" s="837"/>
      <c r="I96" s="832"/>
      <c r="J96" s="832"/>
      <c r="K96" s="832"/>
      <c r="L96" s="832"/>
      <c r="M96" s="832"/>
      <c r="N96" s="832"/>
      <c r="O96" s="832"/>
      <c r="P96" s="832"/>
      <c r="Q96" s="832"/>
      <c r="R96" s="832"/>
      <c r="S96" s="832"/>
      <c r="T96" s="832"/>
      <c r="U96" s="832"/>
      <c r="V96" s="832"/>
      <c r="W96" s="832"/>
      <c r="X96" s="832"/>
      <c r="Y96" s="832"/>
    </row>
    <row r="97" spans="2:25" x14ac:dyDescent="0.35">
      <c r="B97" s="863"/>
      <c r="C97" s="842" t="s">
        <v>164</v>
      </c>
      <c r="D97" s="832"/>
      <c r="E97" s="843">
        <f t="shared" ref="E97:L97" si="18">E94-E95</f>
        <v>2.0867824000000001</v>
      </c>
      <c r="F97" s="843">
        <f t="shared" si="18"/>
        <v>2.0867824000000001</v>
      </c>
      <c r="G97" s="843">
        <f t="shared" si="18"/>
        <v>0</v>
      </c>
      <c r="H97" s="843">
        <f t="shared" si="18"/>
        <v>3.4646046360000002</v>
      </c>
      <c r="I97" s="843">
        <f t="shared" si="18"/>
        <v>3.4646046359999993</v>
      </c>
      <c r="J97" s="843">
        <f t="shared" si="18"/>
        <v>0</v>
      </c>
      <c r="K97" s="843">
        <f t="shared" si="18"/>
        <v>3.6832206000000003</v>
      </c>
      <c r="L97" s="843">
        <f t="shared" si="18"/>
        <v>3.6832205999999994</v>
      </c>
      <c r="M97" s="843">
        <f t="shared" ref="M97:Y97" si="19">M94-M95</f>
        <v>0</v>
      </c>
      <c r="N97" s="843">
        <f t="shared" si="19"/>
        <v>4.0704076000000002</v>
      </c>
      <c r="O97" s="843">
        <f t="shared" si="19"/>
        <v>4.0704076000000011</v>
      </c>
      <c r="P97" s="843">
        <f t="shared" si="19"/>
        <v>0</v>
      </c>
      <c r="Q97" s="843">
        <f t="shared" si="19"/>
        <v>4.5189433000000001</v>
      </c>
      <c r="R97" s="843">
        <f t="shared" si="19"/>
        <v>4.5189433000000001</v>
      </c>
      <c r="S97" s="843">
        <f t="shared" si="19"/>
        <v>0</v>
      </c>
      <c r="T97" s="843">
        <f t="shared" si="19"/>
        <v>3.0803383539999998</v>
      </c>
      <c r="U97" s="843">
        <f t="shared" si="19"/>
        <v>3.0803383540000002</v>
      </c>
      <c r="V97" s="843">
        <f t="shared" si="19"/>
        <v>0</v>
      </c>
      <c r="W97" s="843">
        <f t="shared" si="19"/>
        <v>4.571812821</v>
      </c>
      <c r="X97" s="843">
        <f t="shared" si="19"/>
        <v>4.3970017209999996</v>
      </c>
      <c r="Y97" s="843">
        <f t="shared" si="19"/>
        <v>-0.17481110000000033</v>
      </c>
    </row>
    <row r="98" spans="2:25" x14ac:dyDescent="0.35">
      <c r="B98" s="833"/>
      <c r="C98" s="834"/>
      <c r="D98" s="832"/>
      <c r="E98" s="834"/>
      <c r="F98" s="847"/>
      <c r="G98" s="847"/>
      <c r="H98" s="832"/>
      <c r="I98" s="832"/>
      <c r="J98" s="832"/>
      <c r="K98" s="832"/>
      <c r="L98" s="832"/>
      <c r="M98" s="832"/>
      <c r="N98" s="832"/>
      <c r="O98" s="832"/>
      <c r="P98" s="832"/>
      <c r="Q98" s="832"/>
      <c r="R98" s="832"/>
      <c r="S98" s="832"/>
      <c r="T98" s="832"/>
      <c r="U98" s="832"/>
      <c r="V98" s="832"/>
      <c r="W98" s="832"/>
      <c r="X98" s="832"/>
      <c r="Y98" s="832"/>
    </row>
    <row r="99" spans="2:25" x14ac:dyDescent="0.35">
      <c r="B99" s="826">
        <f>+B89+1</f>
        <v>4</v>
      </c>
      <c r="C99" s="857" t="s">
        <v>1336</v>
      </c>
      <c r="D99" s="832"/>
      <c r="E99" s="834"/>
      <c r="F99" s="847"/>
      <c r="G99" s="847"/>
      <c r="H99" s="832"/>
      <c r="I99" s="832"/>
      <c r="J99" s="832"/>
      <c r="K99" s="832"/>
      <c r="L99" s="832"/>
      <c r="M99" s="832"/>
      <c r="N99" s="832"/>
      <c r="O99" s="832"/>
      <c r="P99" s="832"/>
      <c r="Q99" s="832"/>
      <c r="R99" s="832"/>
      <c r="S99" s="832"/>
      <c r="T99" s="832"/>
      <c r="U99" s="832"/>
      <c r="V99" s="832"/>
      <c r="W99" s="832"/>
      <c r="X99" s="832"/>
      <c r="Y99" s="832"/>
    </row>
    <row r="100" spans="2:25" x14ac:dyDescent="0.35">
      <c r="B100" s="833"/>
      <c r="C100" s="842" t="s">
        <v>111</v>
      </c>
      <c r="D100" s="832"/>
      <c r="E100" s="1928">
        <v>43555</v>
      </c>
      <c r="F100" s="1928"/>
      <c r="G100" s="1928"/>
      <c r="H100" s="1927">
        <v>43921</v>
      </c>
      <c r="I100" s="1927"/>
      <c r="J100" s="1927"/>
      <c r="K100" s="1927">
        <v>44286</v>
      </c>
      <c r="L100" s="1927"/>
      <c r="M100" s="1927"/>
      <c r="N100" s="1918">
        <v>44651</v>
      </c>
      <c r="O100" s="1918"/>
      <c r="P100" s="1918"/>
      <c r="Q100" s="1918">
        <v>45016</v>
      </c>
      <c r="R100" s="1918"/>
      <c r="S100" s="1918"/>
      <c r="T100" s="1918">
        <v>45382</v>
      </c>
      <c r="U100" s="1918"/>
      <c r="V100" s="1918"/>
      <c r="W100" s="1918">
        <v>45747</v>
      </c>
      <c r="X100" s="1918"/>
      <c r="Y100" s="1918"/>
    </row>
    <row r="101" spans="2:25" x14ac:dyDescent="0.35">
      <c r="B101" s="833"/>
      <c r="C101" s="834"/>
      <c r="D101" s="832"/>
      <c r="E101" s="850" t="s">
        <v>1286</v>
      </c>
      <c r="F101" s="850" t="s">
        <v>1287</v>
      </c>
      <c r="G101" s="850" t="s">
        <v>1288</v>
      </c>
      <c r="H101" s="849" t="s">
        <v>1286</v>
      </c>
      <c r="I101" s="803" t="s">
        <v>1287</v>
      </c>
      <c r="J101" s="803" t="s">
        <v>1288</v>
      </c>
      <c r="K101" s="849" t="s">
        <v>1286</v>
      </c>
      <c r="L101" s="803" t="s">
        <v>1287</v>
      </c>
      <c r="M101" s="803" t="s">
        <v>1288</v>
      </c>
      <c r="N101" s="849" t="s">
        <v>1286</v>
      </c>
      <c r="O101" s="803" t="s">
        <v>1287</v>
      </c>
      <c r="P101" s="803" t="s">
        <v>1288</v>
      </c>
      <c r="Q101" s="849" t="s">
        <v>1286</v>
      </c>
      <c r="R101" s="803" t="s">
        <v>1287</v>
      </c>
      <c r="S101" s="803" t="s">
        <v>1288</v>
      </c>
      <c r="T101" s="849" t="s">
        <v>1286</v>
      </c>
      <c r="U101" s="803" t="s">
        <v>1287</v>
      </c>
      <c r="V101" s="803" t="s">
        <v>1288</v>
      </c>
      <c r="W101" s="849" t="s">
        <v>1286</v>
      </c>
      <c r="X101" s="803" t="s">
        <v>1287</v>
      </c>
      <c r="Y101" s="803" t="s">
        <v>1288</v>
      </c>
    </row>
    <row r="102" spans="2:25" x14ac:dyDescent="0.35">
      <c r="B102" s="833"/>
      <c r="C102" s="835"/>
      <c r="D102" s="832"/>
      <c r="E102" s="685"/>
      <c r="F102" s="847"/>
      <c r="G102" s="847"/>
      <c r="H102" s="832"/>
      <c r="I102" s="832"/>
      <c r="J102" s="832"/>
      <c r="K102" s="832"/>
      <c r="L102" s="832"/>
      <c r="M102" s="832"/>
      <c r="N102" s="832"/>
      <c r="O102" s="832"/>
      <c r="P102" s="832"/>
      <c r="Q102" s="832"/>
      <c r="R102" s="832"/>
      <c r="S102" s="832"/>
      <c r="T102" s="832"/>
      <c r="U102" s="832"/>
      <c r="V102" s="832"/>
      <c r="W102" s="832"/>
      <c r="X102" s="832"/>
      <c r="Y102" s="832"/>
    </row>
    <row r="103" spans="2:25" x14ac:dyDescent="0.35">
      <c r="B103" s="833"/>
      <c r="C103" s="835" t="s">
        <v>1337</v>
      </c>
      <c r="D103" s="832"/>
      <c r="E103" s="838">
        <v>6.9671798999999996</v>
      </c>
      <c r="F103" s="847"/>
      <c r="G103" s="847">
        <f>F103-E103</f>
        <v>-6.9671798999999996</v>
      </c>
      <c r="H103" s="837">
        <v>5.3207247000000004</v>
      </c>
      <c r="I103" s="868"/>
      <c r="J103" s="847">
        <f>I103-H103</f>
        <v>-5.3207247000000004</v>
      </c>
      <c r="K103" s="837">
        <v>4.4841068999999996</v>
      </c>
      <c r="L103" s="858"/>
      <c r="M103" s="847">
        <f>L103-K103</f>
        <v>-4.4841068999999996</v>
      </c>
      <c r="N103" s="837">
        <v>0.19834550300000001</v>
      </c>
      <c r="O103" s="858"/>
      <c r="P103" s="847">
        <f>O103-N103</f>
        <v>-0.19834550300000001</v>
      </c>
      <c r="Q103" s="837">
        <v>0</v>
      </c>
      <c r="R103" s="858"/>
      <c r="S103" s="847">
        <f>R103-Q103</f>
        <v>0</v>
      </c>
      <c r="T103" s="837"/>
      <c r="U103" s="858"/>
      <c r="V103" s="847">
        <f>U103-T103</f>
        <v>0</v>
      </c>
      <c r="W103" s="837"/>
      <c r="X103" s="858"/>
      <c r="Y103" s="847">
        <f>X103-W103</f>
        <v>0</v>
      </c>
    </row>
    <row r="104" spans="2:25" x14ac:dyDescent="0.35">
      <c r="B104" s="833"/>
      <c r="C104" s="835" t="s">
        <v>1261</v>
      </c>
      <c r="D104" s="832"/>
      <c r="E104" s="838">
        <v>1.1004869E-2</v>
      </c>
      <c r="F104" s="847">
        <f>+'F7'!E28+'F7'!E53</f>
        <v>1.1004869E-2</v>
      </c>
      <c r="G104" s="847">
        <f>F104-E104</f>
        <v>0</v>
      </c>
      <c r="H104" s="837">
        <v>6.1948607999999995E-2</v>
      </c>
      <c r="I104" s="868">
        <f>+'F7'!F28+'F7'!F53</f>
        <v>6.1948607999999995E-2</v>
      </c>
      <c r="J104" s="847">
        <f>I104-H104</f>
        <v>0</v>
      </c>
      <c r="K104" s="837">
        <v>0.11833463700000001</v>
      </c>
      <c r="L104" s="858">
        <f>+'F7'!G28+'F7'!G53</f>
        <v>0.11833463700000001</v>
      </c>
      <c r="M104" s="847">
        <f>L104-K104</f>
        <v>0</v>
      </c>
      <c r="N104" s="837">
        <v>0.2234883</v>
      </c>
      <c r="O104" s="858">
        <f>+'F7'!H28+'F7'!H53</f>
        <v>0.22348830000000003</v>
      </c>
      <c r="P104" s="847">
        <f>O104-N104</f>
        <v>0</v>
      </c>
      <c r="Q104" s="837">
        <v>0.25726389999999999</v>
      </c>
      <c r="R104" s="858">
        <f>+'F7'!I28+'F7'!I53</f>
        <v>0.25726389999999999</v>
      </c>
      <c r="S104" s="847">
        <f>R104-Q104</f>
        <v>0</v>
      </c>
      <c r="T104" s="837">
        <v>0.44022800000000001</v>
      </c>
      <c r="U104" s="858">
        <f>+'F7'!J28+'F7'!J53</f>
        <v>0.44022800000000006</v>
      </c>
      <c r="V104" s="847">
        <f>U104-T104</f>
        <v>0</v>
      </c>
      <c r="W104" s="837">
        <v>0.86225510000000005</v>
      </c>
      <c r="X104" s="858">
        <f>+'F7'!K28+'F7'!K53</f>
        <v>0.86225510000000005</v>
      </c>
      <c r="Y104" s="847">
        <f>X104-W104</f>
        <v>0</v>
      </c>
    </row>
    <row r="105" spans="2:25" x14ac:dyDescent="0.35">
      <c r="B105" s="833"/>
      <c r="C105" s="835"/>
      <c r="D105" s="832"/>
      <c r="E105" s="845">
        <f>SUM(E103:E104)</f>
        <v>6.9781847689999994</v>
      </c>
      <c r="F105" s="845">
        <f>SUM(F103:F104)</f>
        <v>1.1004869E-2</v>
      </c>
      <c r="G105" s="847">
        <f>F105-E105</f>
        <v>-6.9671798999999996</v>
      </c>
      <c r="H105" s="845">
        <f>SUM(H103:H104)</f>
        <v>5.3826733080000002</v>
      </c>
      <c r="I105" s="845">
        <f>SUM(I103:I104)</f>
        <v>6.1948607999999995E-2</v>
      </c>
      <c r="J105" s="847">
        <f>I105-H105</f>
        <v>-5.3207247000000004</v>
      </c>
      <c r="K105" s="845">
        <f>SUM(K103:K104)</f>
        <v>4.6024415369999998</v>
      </c>
      <c r="L105" s="845">
        <f>SUM(L103:L104)</f>
        <v>0.11833463700000001</v>
      </c>
      <c r="M105" s="847">
        <f>L105-K105</f>
        <v>-4.4841068999999996</v>
      </c>
      <c r="N105" s="845">
        <f>SUM(N103:N104)</f>
        <v>0.42183380300000001</v>
      </c>
      <c r="O105" s="845">
        <f>SUM(O103:O104)</f>
        <v>0.22348830000000003</v>
      </c>
      <c r="P105" s="847">
        <f>O105-N105</f>
        <v>-0.19834550299999998</v>
      </c>
      <c r="Q105" s="845">
        <f>SUM(Q103:Q104)</f>
        <v>0.25726389999999999</v>
      </c>
      <c r="R105" s="845">
        <f>SUM(R103:R104)</f>
        <v>0.25726389999999999</v>
      </c>
      <c r="S105" s="847">
        <f>R105-Q105</f>
        <v>0</v>
      </c>
      <c r="T105" s="845">
        <f>SUM(T103:T104)</f>
        <v>0.44022800000000001</v>
      </c>
      <c r="U105" s="845">
        <f>SUM(U103:U104)</f>
        <v>0.44022800000000006</v>
      </c>
      <c r="V105" s="847">
        <f>U105-T105</f>
        <v>0</v>
      </c>
      <c r="W105" s="845">
        <f>SUM(W103:W104)</f>
        <v>0.86225510000000005</v>
      </c>
      <c r="X105" s="845">
        <f>SUM(X103:X104)</f>
        <v>0.86225510000000005</v>
      </c>
      <c r="Y105" s="847">
        <f>X105-W105</f>
        <v>0</v>
      </c>
    </row>
    <row r="106" spans="2:25" x14ac:dyDescent="0.35">
      <c r="B106" s="833"/>
      <c r="C106" s="854" t="s">
        <v>1326</v>
      </c>
      <c r="D106" s="832"/>
      <c r="E106" s="838">
        <v>5.4330068999999996</v>
      </c>
      <c r="F106" s="847"/>
      <c r="G106" s="847">
        <f>F106-E106</f>
        <v>-5.4330068999999996</v>
      </c>
      <c r="H106" s="837">
        <v>0.1545802</v>
      </c>
      <c r="I106" s="832"/>
      <c r="J106" s="847">
        <f>I106-H106</f>
        <v>-0.1545802</v>
      </c>
      <c r="K106" s="837">
        <v>2.76642E-2</v>
      </c>
      <c r="L106" s="832"/>
      <c r="M106" s="847">
        <f>L106-K106</f>
        <v>-2.76642E-2</v>
      </c>
      <c r="N106" s="837">
        <v>9.9272000000000006E-3</v>
      </c>
      <c r="O106" s="832"/>
      <c r="P106" s="847">
        <f>O106-N106</f>
        <v>-9.9272000000000006E-3</v>
      </c>
      <c r="Q106" s="837"/>
      <c r="R106" s="832"/>
      <c r="S106" s="847">
        <f>R106-Q106</f>
        <v>0</v>
      </c>
      <c r="T106" s="837"/>
      <c r="U106" s="832"/>
      <c r="V106" s="847">
        <f>U106-T106</f>
        <v>0</v>
      </c>
      <c r="W106" s="837"/>
      <c r="X106" s="832"/>
      <c r="Y106" s="847">
        <f>X106-W106</f>
        <v>0</v>
      </c>
    </row>
    <row r="107" spans="2:25" x14ac:dyDescent="0.35">
      <c r="B107" s="833"/>
      <c r="C107" s="854"/>
      <c r="D107" s="832"/>
      <c r="E107" s="855"/>
      <c r="F107" s="847"/>
      <c r="G107" s="847"/>
      <c r="H107" s="832"/>
      <c r="I107" s="832"/>
      <c r="J107" s="832"/>
      <c r="K107" s="832"/>
      <c r="L107" s="832"/>
      <c r="M107" s="832"/>
      <c r="N107" s="832"/>
      <c r="O107" s="832"/>
      <c r="P107" s="832"/>
      <c r="Q107" s="832"/>
      <c r="R107" s="832"/>
      <c r="S107" s="832"/>
      <c r="T107" s="832"/>
      <c r="U107" s="832"/>
      <c r="V107" s="832"/>
      <c r="W107" s="832"/>
      <c r="X107" s="832"/>
      <c r="Y107" s="832"/>
    </row>
    <row r="108" spans="2:25" x14ac:dyDescent="0.35">
      <c r="B108" s="833"/>
      <c r="C108" s="842" t="s">
        <v>164</v>
      </c>
      <c r="D108" s="832"/>
      <c r="E108" s="843">
        <f>+E105-E106</f>
        <v>1.5451778689999998</v>
      </c>
      <c r="F108" s="843">
        <f>+F105-F106</f>
        <v>1.1004869E-2</v>
      </c>
      <c r="G108" s="847">
        <f>F108-E108</f>
        <v>-1.5341729999999998</v>
      </c>
      <c r="H108" s="843">
        <f>+H105-H106</f>
        <v>5.2280931080000004</v>
      </c>
      <c r="I108" s="843">
        <f>+I105-I106</f>
        <v>6.1948607999999995E-2</v>
      </c>
      <c r="J108" s="847">
        <f>I108-H108</f>
        <v>-5.1661445000000006</v>
      </c>
      <c r="K108" s="843">
        <f>+K105-K106</f>
        <v>4.5747773369999996</v>
      </c>
      <c r="L108" s="843">
        <f>+L105-L106</f>
        <v>0.11833463700000001</v>
      </c>
      <c r="M108" s="847">
        <f>L108-K108</f>
        <v>-4.4564426999999993</v>
      </c>
      <c r="N108" s="843">
        <f>+N105-N106</f>
        <v>0.41190660299999998</v>
      </c>
      <c r="O108" s="843">
        <f>+O105-O106</f>
        <v>0.22348830000000003</v>
      </c>
      <c r="P108" s="847">
        <f>O108-N108</f>
        <v>-0.18841830299999995</v>
      </c>
      <c r="Q108" s="843">
        <f>+Q105-Q106</f>
        <v>0.25726389999999999</v>
      </c>
      <c r="R108" s="843">
        <f>+R105-R106</f>
        <v>0.25726389999999999</v>
      </c>
      <c r="S108" s="847">
        <f>R108-Q108</f>
        <v>0</v>
      </c>
      <c r="T108" s="843">
        <f>+T105-T106</f>
        <v>0.44022800000000001</v>
      </c>
      <c r="U108" s="843">
        <f>+U105-U106</f>
        <v>0.44022800000000006</v>
      </c>
      <c r="V108" s="847">
        <f>U108-T108</f>
        <v>0</v>
      </c>
      <c r="W108" s="843">
        <f>+W105-W106</f>
        <v>0.86225510000000005</v>
      </c>
      <c r="X108" s="843">
        <f>+X105-X106</f>
        <v>0.86225510000000005</v>
      </c>
      <c r="Y108" s="847">
        <f>X108-W108</f>
        <v>0</v>
      </c>
    </row>
    <row r="109" spans="2:25" x14ac:dyDescent="0.35">
      <c r="B109" s="833"/>
      <c r="C109" s="834"/>
      <c r="D109" s="832"/>
      <c r="E109" s="834"/>
      <c r="F109" s="847"/>
      <c r="G109" s="847"/>
      <c r="H109" s="832"/>
      <c r="I109" s="832"/>
      <c r="J109" s="832"/>
      <c r="K109" s="832"/>
      <c r="L109" s="832"/>
      <c r="M109" s="832"/>
      <c r="N109" s="832"/>
      <c r="O109" s="832"/>
      <c r="P109" s="832"/>
      <c r="Q109" s="832"/>
      <c r="R109" s="832"/>
      <c r="S109" s="832"/>
      <c r="T109" s="832"/>
      <c r="U109" s="832"/>
      <c r="V109" s="832"/>
      <c r="W109" s="832"/>
      <c r="X109" s="832"/>
      <c r="Y109" s="832"/>
    </row>
    <row r="110" spans="2:25" x14ac:dyDescent="0.35">
      <c r="B110" s="833"/>
      <c r="C110" s="834"/>
      <c r="D110" s="832"/>
      <c r="E110" s="834"/>
      <c r="F110" s="847"/>
      <c r="G110" s="847"/>
      <c r="H110" s="832"/>
      <c r="I110" s="832"/>
      <c r="J110" s="832"/>
      <c r="K110" s="832"/>
      <c r="L110" s="832"/>
      <c r="M110" s="832"/>
      <c r="N110" s="832"/>
      <c r="O110" s="832"/>
      <c r="P110" s="832"/>
      <c r="Q110" s="832"/>
      <c r="R110" s="832"/>
      <c r="S110" s="832"/>
      <c r="T110" s="832"/>
      <c r="U110" s="832"/>
      <c r="V110" s="832"/>
      <c r="W110" s="832"/>
      <c r="X110" s="832"/>
      <c r="Y110" s="832"/>
    </row>
    <row r="111" spans="2:25" x14ac:dyDescent="0.35">
      <c r="B111" s="833"/>
      <c r="C111" s="834"/>
      <c r="D111" s="832"/>
      <c r="E111" s="834"/>
      <c r="F111" s="847"/>
      <c r="G111" s="847"/>
      <c r="H111" s="832"/>
      <c r="I111" s="832"/>
      <c r="J111" s="832"/>
      <c r="K111" s="832"/>
      <c r="L111" s="832"/>
      <c r="M111" s="832"/>
      <c r="N111" s="832"/>
      <c r="O111" s="832"/>
      <c r="P111" s="832"/>
      <c r="Q111" s="832"/>
      <c r="R111" s="832"/>
      <c r="S111" s="832"/>
      <c r="T111" s="832"/>
      <c r="U111" s="832"/>
      <c r="V111" s="832"/>
      <c r="W111" s="832"/>
      <c r="X111" s="832"/>
      <c r="Y111" s="832"/>
    </row>
    <row r="112" spans="2:25" x14ac:dyDescent="0.35">
      <c r="B112" s="826">
        <f>B99+1</f>
        <v>5</v>
      </c>
      <c r="C112" s="857" t="s">
        <v>1338</v>
      </c>
      <c r="D112" s="832"/>
      <c r="E112" s="834"/>
      <c r="F112" s="847"/>
      <c r="G112" s="847"/>
      <c r="H112" s="832"/>
      <c r="I112" s="832"/>
      <c r="J112" s="832"/>
      <c r="K112" s="832"/>
      <c r="L112" s="832"/>
      <c r="M112" s="832"/>
      <c r="N112" s="832"/>
      <c r="O112" s="832"/>
      <c r="P112" s="832"/>
      <c r="Q112" s="832"/>
      <c r="R112" s="832"/>
      <c r="S112" s="832"/>
      <c r="T112" s="832"/>
      <c r="U112" s="832"/>
      <c r="V112" s="832"/>
      <c r="W112" s="832"/>
      <c r="X112" s="832"/>
      <c r="Y112" s="832"/>
    </row>
    <row r="113" spans="2:25" x14ac:dyDescent="0.35">
      <c r="B113" s="833"/>
      <c r="C113" s="842" t="s">
        <v>111</v>
      </c>
      <c r="D113" s="832"/>
      <c r="E113" s="1928">
        <v>43555</v>
      </c>
      <c r="F113" s="1928"/>
      <c r="G113" s="1928"/>
      <c r="H113" s="1927">
        <v>43921</v>
      </c>
      <c r="I113" s="1927"/>
      <c r="J113" s="1927"/>
      <c r="K113" s="1927">
        <v>44286</v>
      </c>
      <c r="L113" s="1927"/>
      <c r="M113" s="1927"/>
      <c r="N113" s="1918">
        <v>44651</v>
      </c>
      <c r="O113" s="1918"/>
      <c r="P113" s="1918"/>
      <c r="Q113" s="1918">
        <v>45016</v>
      </c>
      <c r="R113" s="1918"/>
      <c r="S113" s="1918"/>
      <c r="T113" s="1918">
        <v>45382</v>
      </c>
      <c r="U113" s="1918"/>
      <c r="V113" s="1918"/>
      <c r="W113" s="1918">
        <v>45747</v>
      </c>
      <c r="X113" s="1918"/>
      <c r="Y113" s="1918"/>
    </row>
    <row r="114" spans="2:25" x14ac:dyDescent="0.35">
      <c r="B114" s="833"/>
      <c r="C114" s="834"/>
      <c r="D114" s="832"/>
      <c r="E114" s="850" t="s">
        <v>1286</v>
      </c>
      <c r="F114" s="850" t="s">
        <v>1287</v>
      </c>
      <c r="G114" s="850" t="s">
        <v>1288</v>
      </c>
      <c r="H114" s="849" t="s">
        <v>1286</v>
      </c>
      <c r="I114" s="803" t="s">
        <v>1287</v>
      </c>
      <c r="J114" s="803" t="s">
        <v>1288</v>
      </c>
      <c r="K114" s="849" t="s">
        <v>1286</v>
      </c>
      <c r="L114" s="803" t="s">
        <v>1287</v>
      </c>
      <c r="M114" s="803" t="s">
        <v>1288</v>
      </c>
      <c r="N114" s="849" t="s">
        <v>1286</v>
      </c>
      <c r="O114" s="803" t="s">
        <v>1287</v>
      </c>
      <c r="P114" s="803" t="s">
        <v>1288</v>
      </c>
      <c r="Q114" s="849" t="s">
        <v>1286</v>
      </c>
      <c r="R114" s="803" t="s">
        <v>1287</v>
      </c>
      <c r="S114" s="803" t="s">
        <v>1288</v>
      </c>
      <c r="T114" s="849" t="s">
        <v>1286</v>
      </c>
      <c r="U114" s="803" t="s">
        <v>1287</v>
      </c>
      <c r="V114" s="803" t="s">
        <v>1288</v>
      </c>
      <c r="W114" s="849" t="s">
        <v>1286</v>
      </c>
      <c r="X114" s="803" t="s">
        <v>1287</v>
      </c>
      <c r="Y114" s="803" t="s">
        <v>1288</v>
      </c>
    </row>
    <row r="115" spans="2:25" x14ac:dyDescent="0.35">
      <c r="B115" s="833"/>
      <c r="C115" s="834" t="s">
        <v>1339</v>
      </c>
      <c r="D115" s="832"/>
      <c r="E115" s="837">
        <v>7.1440000000000003E-2</v>
      </c>
      <c r="F115" s="847"/>
      <c r="G115" s="837">
        <f t="shared" ref="G115:G137" si="20">F115-E115</f>
        <v>-7.1440000000000003E-2</v>
      </c>
      <c r="H115" s="888">
        <v>0.26244699999999999</v>
      </c>
      <c r="I115" s="884"/>
      <c r="J115" s="884"/>
      <c r="K115" s="884">
        <v>0.01</v>
      </c>
      <c r="L115" s="884"/>
      <c r="M115" s="884"/>
      <c r="N115" s="884">
        <v>2.1899999999999999E-2</v>
      </c>
      <c r="O115" s="884"/>
      <c r="P115" s="884"/>
      <c r="Q115" s="884"/>
      <c r="R115" s="884"/>
      <c r="S115" s="884"/>
      <c r="T115" s="884"/>
      <c r="U115" s="832"/>
      <c r="V115" s="832"/>
      <c r="W115" s="832"/>
      <c r="X115" s="832"/>
      <c r="Y115" s="832"/>
    </row>
    <row r="116" spans="2:25" x14ac:dyDescent="0.35">
      <c r="B116" s="833"/>
      <c r="C116" s="834" t="s">
        <v>960</v>
      </c>
      <c r="D116" s="832"/>
      <c r="E116" s="837">
        <v>0.25530649999999999</v>
      </c>
      <c r="F116" s="847"/>
      <c r="G116" s="837">
        <f t="shared" si="20"/>
        <v>-0.25530649999999999</v>
      </c>
      <c r="H116" s="888">
        <v>0.2297196</v>
      </c>
      <c r="I116" s="884"/>
      <c r="J116" s="884"/>
      <c r="K116" s="888">
        <v>0.2423196</v>
      </c>
      <c r="L116" s="884"/>
      <c r="M116" s="884"/>
      <c r="N116" s="888">
        <v>0.27492119999999998</v>
      </c>
      <c r="O116" s="884"/>
      <c r="P116" s="884"/>
      <c r="Q116" s="888">
        <v>0.30707679999999998</v>
      </c>
      <c r="R116" s="884"/>
      <c r="S116" s="884"/>
      <c r="T116" s="888">
        <v>0.45073695000000003</v>
      </c>
      <c r="U116" s="832"/>
      <c r="V116" s="832"/>
      <c r="W116" s="1269">
        <v>0.47277449999999999</v>
      </c>
      <c r="X116" s="832"/>
      <c r="Y116" s="832"/>
    </row>
    <row r="117" spans="2:25" x14ac:dyDescent="0.35">
      <c r="B117" s="833"/>
      <c r="C117" s="834" t="s">
        <v>973</v>
      </c>
      <c r="D117" s="832"/>
      <c r="E117" s="837">
        <v>1.0799293E-2</v>
      </c>
      <c r="F117" s="847"/>
      <c r="G117" s="837">
        <f t="shared" si="20"/>
        <v>-1.0799293E-2</v>
      </c>
      <c r="H117" s="888">
        <v>5.7953689999999999E-3</v>
      </c>
      <c r="I117" s="884"/>
      <c r="J117" s="884"/>
      <c r="K117" s="888">
        <v>2.8242870000000004E-3</v>
      </c>
      <c r="L117" s="884"/>
      <c r="M117" s="884"/>
      <c r="N117" s="888">
        <v>2.7528000000000001E-3</v>
      </c>
      <c r="O117" s="884"/>
      <c r="P117" s="884"/>
      <c r="Q117" s="888">
        <v>3.2160000000000001E-3</v>
      </c>
      <c r="R117" s="884"/>
      <c r="S117" s="884"/>
      <c r="T117" s="888">
        <v>3.2316290000000002E-3</v>
      </c>
      <c r="U117" s="832"/>
      <c r="V117" s="832"/>
      <c r="W117" s="1269">
        <v>1.7764740000000001E-3</v>
      </c>
      <c r="X117" s="832"/>
      <c r="Y117" s="832"/>
    </row>
    <row r="118" spans="2:25" x14ac:dyDescent="0.35">
      <c r="B118" s="833"/>
      <c r="C118" s="834" t="s">
        <v>434</v>
      </c>
      <c r="D118" s="832"/>
      <c r="E118" s="837">
        <v>1.1151389999999999E-2</v>
      </c>
      <c r="F118" s="847"/>
      <c r="G118" s="837">
        <f t="shared" si="20"/>
        <v>-1.1151389999999999E-2</v>
      </c>
      <c r="H118" s="888">
        <v>1.1425389999999999E-3</v>
      </c>
      <c r="I118" s="884"/>
      <c r="J118" s="884"/>
      <c r="K118" s="888">
        <v>6.3585559999999996E-3</v>
      </c>
      <c r="L118" s="884"/>
      <c r="M118" s="884"/>
      <c r="N118" s="888">
        <v>1.5251134E-2</v>
      </c>
      <c r="O118" s="884"/>
      <c r="P118" s="884"/>
      <c r="Q118" s="888">
        <v>3.7376310999999995E-2</v>
      </c>
      <c r="R118" s="884"/>
      <c r="S118" s="884"/>
      <c r="T118" s="888">
        <v>4.4779191999999995E-2</v>
      </c>
      <c r="U118" s="832"/>
      <c r="V118" s="832"/>
      <c r="W118" s="1269">
        <v>4.2797586999999998E-2</v>
      </c>
      <c r="X118" s="832"/>
      <c r="Y118" s="832"/>
    </row>
    <row r="119" spans="2:25" x14ac:dyDescent="0.35">
      <c r="B119" s="833"/>
      <c r="C119" s="834" t="s">
        <v>974</v>
      </c>
      <c r="D119" s="832"/>
      <c r="E119" s="837">
        <v>3.2000000000000003E-4</v>
      </c>
      <c r="F119" s="847"/>
      <c r="G119" s="837">
        <f t="shared" si="20"/>
        <v>-3.2000000000000003E-4</v>
      </c>
      <c r="H119" s="888">
        <v>1.495E-4</v>
      </c>
      <c r="I119" s="884"/>
      <c r="J119" s="884"/>
      <c r="K119" s="888"/>
      <c r="L119" s="884"/>
      <c r="M119" s="884"/>
      <c r="N119" s="888"/>
      <c r="O119" s="884"/>
      <c r="P119" s="884"/>
      <c r="Q119" s="888"/>
      <c r="R119" s="884"/>
      <c r="S119" s="884"/>
      <c r="T119" s="888"/>
      <c r="U119" s="832"/>
      <c r="V119" s="832"/>
      <c r="W119" s="1269"/>
      <c r="X119" s="832"/>
      <c r="Y119" s="832"/>
    </row>
    <row r="120" spans="2:25" x14ac:dyDescent="0.35">
      <c r="B120" s="833"/>
      <c r="C120" s="834" t="s">
        <v>975</v>
      </c>
      <c r="D120" s="832"/>
      <c r="E120" s="837">
        <v>3.7933508000000005E-2</v>
      </c>
      <c r="F120" s="847"/>
      <c r="G120" s="837">
        <f t="shared" si="20"/>
        <v>-3.7933508000000005E-2</v>
      </c>
      <c r="H120" s="888">
        <v>8.3572591000000002E-2</v>
      </c>
      <c r="I120" s="884"/>
      <c r="J120" s="884"/>
      <c r="K120" s="888">
        <v>8.5719000000000004E-2</v>
      </c>
      <c r="L120" s="884"/>
      <c r="M120" s="884"/>
      <c r="N120" s="888">
        <v>9.6824999999999994E-2</v>
      </c>
      <c r="O120" s="884"/>
      <c r="P120" s="884"/>
      <c r="Q120" s="888">
        <v>9.7749000000000003E-2</v>
      </c>
      <c r="R120" s="884"/>
      <c r="S120" s="884"/>
      <c r="T120" s="888">
        <v>0.13251189999999999</v>
      </c>
      <c r="U120" s="832"/>
      <c r="V120" s="832"/>
      <c r="W120" s="1269">
        <v>0.11637160000000001</v>
      </c>
      <c r="X120" s="832"/>
      <c r="Y120" s="832"/>
    </row>
    <row r="121" spans="2:25" x14ac:dyDescent="0.35">
      <c r="B121" s="833"/>
      <c r="C121" s="834" t="s">
        <v>966</v>
      </c>
      <c r="D121" s="832"/>
      <c r="E121" s="837">
        <v>5.0760899999999998E-2</v>
      </c>
      <c r="F121" s="847"/>
      <c r="G121" s="837">
        <f t="shared" si="20"/>
        <v>-5.0760899999999998E-2</v>
      </c>
      <c r="H121" s="888">
        <v>9.7633000000000008E-3</v>
      </c>
      <c r="I121" s="884"/>
      <c r="J121" s="884"/>
      <c r="K121" s="888">
        <v>6.7838599999999999E-2</v>
      </c>
      <c r="L121" s="884"/>
      <c r="M121" s="884"/>
      <c r="N121" s="888">
        <v>6.7642400000000005E-2</v>
      </c>
      <c r="O121" s="884"/>
      <c r="P121" s="884"/>
      <c r="Q121" s="888">
        <v>7.5772400000000004E-2</v>
      </c>
      <c r="R121" s="884"/>
      <c r="S121" s="884"/>
      <c r="T121" s="888">
        <v>7.5597399999999995E-2</v>
      </c>
      <c r="U121" s="832"/>
      <c r="V121" s="832"/>
      <c r="W121" s="1269">
        <v>0.1150687</v>
      </c>
      <c r="X121" s="832"/>
      <c r="Y121" s="832"/>
    </row>
    <row r="122" spans="2:25" x14ac:dyDescent="0.35">
      <c r="B122" s="833"/>
      <c r="C122" s="834" t="s">
        <v>976</v>
      </c>
      <c r="D122" s="832"/>
      <c r="E122" s="837">
        <v>1.2481213999999999E-2</v>
      </c>
      <c r="F122" s="847"/>
      <c r="G122" s="837">
        <f t="shared" si="20"/>
        <v>-1.2481213999999999E-2</v>
      </c>
      <c r="H122" s="884"/>
      <c r="I122" s="884"/>
      <c r="J122" s="884"/>
      <c r="K122" s="888"/>
      <c r="L122" s="884"/>
      <c r="M122" s="884"/>
      <c r="N122" s="888"/>
      <c r="O122" s="884"/>
      <c r="P122" s="884"/>
      <c r="Q122" s="888"/>
      <c r="R122" s="884"/>
      <c r="S122" s="884"/>
      <c r="T122" s="888"/>
      <c r="U122" s="832"/>
      <c r="V122" s="832"/>
      <c r="W122" s="1269"/>
      <c r="X122" s="832"/>
      <c r="Y122" s="832"/>
    </row>
    <row r="123" spans="2:25" x14ac:dyDescent="0.35">
      <c r="B123" s="833"/>
      <c r="C123" s="834" t="s">
        <v>977</v>
      </c>
      <c r="D123" s="832"/>
      <c r="E123" s="837">
        <v>1.7628806E-2</v>
      </c>
      <c r="F123" s="847"/>
      <c r="G123" s="837">
        <f t="shared" si="20"/>
        <v>-1.7628806E-2</v>
      </c>
      <c r="H123" s="888">
        <v>3.1898456000000006E-2</v>
      </c>
      <c r="I123" s="884"/>
      <c r="J123" s="884"/>
      <c r="K123" s="888">
        <v>2.7928953000000003E-2</v>
      </c>
      <c r="L123" s="884"/>
      <c r="M123" s="884"/>
      <c r="N123" s="888">
        <v>3.5499006999999999E-2</v>
      </c>
      <c r="O123" s="884"/>
      <c r="P123" s="884"/>
      <c r="Q123" s="888">
        <v>3.8092559000000005E-2</v>
      </c>
      <c r="R123" s="884"/>
      <c r="S123" s="884"/>
      <c r="T123" s="888">
        <v>4.0706720000000002E-2</v>
      </c>
      <c r="U123" s="832"/>
      <c r="V123" s="832"/>
      <c r="W123" s="1269">
        <v>4.5071147999999998E-2</v>
      </c>
      <c r="X123" s="832"/>
      <c r="Y123" s="832"/>
    </row>
    <row r="124" spans="2:25" x14ac:dyDescent="0.35">
      <c r="B124" s="833"/>
      <c r="C124" s="834" t="s">
        <v>967</v>
      </c>
      <c r="D124" s="832"/>
      <c r="E124" s="837">
        <v>1.48159E-2</v>
      </c>
      <c r="F124" s="847"/>
      <c r="G124" s="837">
        <f t="shared" si="20"/>
        <v>-1.48159E-2</v>
      </c>
      <c r="H124" s="888">
        <v>8.0195199999999994E-2</v>
      </c>
      <c r="I124" s="884"/>
      <c r="J124" s="884"/>
      <c r="K124" s="888">
        <v>8.9118500000000003E-2</v>
      </c>
      <c r="L124" s="884"/>
      <c r="M124" s="884"/>
      <c r="N124" s="888">
        <v>5.29682E-2</v>
      </c>
      <c r="O124" s="884"/>
      <c r="P124" s="884"/>
      <c r="Q124" s="888">
        <v>6.6910499999999998E-2</v>
      </c>
      <c r="R124" s="884"/>
      <c r="S124" s="884"/>
      <c r="T124" s="888">
        <v>5.84323E-2</v>
      </c>
      <c r="U124" s="832"/>
      <c r="V124" s="832"/>
      <c r="W124" s="889">
        <v>0.14234279999999999</v>
      </c>
      <c r="X124" s="832"/>
      <c r="Y124" s="832"/>
    </row>
    <row r="125" spans="2:25" x14ac:dyDescent="0.35">
      <c r="B125" s="833"/>
      <c r="C125" s="834" t="s">
        <v>1352</v>
      </c>
      <c r="D125" s="832"/>
      <c r="E125" s="837"/>
      <c r="F125" s="847"/>
      <c r="G125" s="837"/>
      <c r="H125" s="888"/>
      <c r="I125" s="884"/>
      <c r="J125" s="884"/>
      <c r="K125" s="888"/>
      <c r="L125" s="884"/>
      <c r="M125" s="884"/>
      <c r="N125" s="888">
        <v>4.3200000000000002E-2</v>
      </c>
      <c r="O125" s="884"/>
      <c r="P125" s="884"/>
      <c r="Q125" s="888">
        <v>4.3200000000000002E-2</v>
      </c>
      <c r="R125" s="884"/>
      <c r="S125" s="884"/>
      <c r="T125" s="888">
        <v>4.3200000000000002E-2</v>
      </c>
      <c r="U125" s="832"/>
      <c r="V125" s="832"/>
      <c r="W125" s="1269">
        <v>3.9600000000000003E-2</v>
      </c>
      <c r="X125" s="832"/>
      <c r="Y125" s="832"/>
    </row>
    <row r="126" spans="2:25" x14ac:dyDescent="0.35">
      <c r="B126" s="833"/>
      <c r="C126" s="834" t="s">
        <v>978</v>
      </c>
      <c r="D126" s="832"/>
      <c r="E126" s="837">
        <v>1.4999999999999999E-2</v>
      </c>
      <c r="F126" s="847"/>
      <c r="G126" s="837">
        <f t="shared" si="20"/>
        <v>-1.4999999999999999E-2</v>
      </c>
      <c r="H126" s="888">
        <v>1.4999999999999999E-2</v>
      </c>
      <c r="I126" s="884"/>
      <c r="J126" s="884"/>
      <c r="K126" s="888">
        <v>1.7999999999999999E-2</v>
      </c>
      <c r="L126" s="884"/>
      <c r="M126" s="884"/>
      <c r="N126" s="888">
        <v>1.4999999999999999E-2</v>
      </c>
      <c r="O126" s="884"/>
      <c r="P126" s="884"/>
      <c r="Q126" s="888">
        <v>1.4999999999999999E-2</v>
      </c>
      <c r="R126" s="884"/>
      <c r="S126" s="884"/>
      <c r="T126" s="888">
        <v>1.4999999999999999E-2</v>
      </c>
      <c r="U126" s="832"/>
      <c r="V126" s="832"/>
      <c r="W126" s="1269">
        <v>1.4999999999999999E-2</v>
      </c>
      <c r="X126" s="832"/>
      <c r="Y126" s="832"/>
    </row>
    <row r="127" spans="2:25" x14ac:dyDescent="0.35">
      <c r="B127" s="833"/>
      <c r="C127" s="834" t="s">
        <v>979</v>
      </c>
      <c r="D127" s="832"/>
      <c r="E127" s="837">
        <v>5.0000000000000001E-3</v>
      </c>
      <c r="F127" s="847"/>
      <c r="G127" s="837">
        <f t="shared" si="20"/>
        <v>-5.0000000000000001E-3</v>
      </c>
      <c r="H127" s="888">
        <v>5.0000000000000001E-3</v>
      </c>
      <c r="I127" s="884"/>
      <c r="J127" s="884"/>
      <c r="K127" s="888">
        <v>5.0000000000000001E-3</v>
      </c>
      <c r="L127" s="884"/>
      <c r="M127" s="884"/>
      <c r="N127" s="888">
        <v>5.0000000000000001E-3</v>
      </c>
      <c r="O127" s="884"/>
      <c r="P127" s="884"/>
      <c r="Q127" s="888">
        <v>5.0000000000000001E-3</v>
      </c>
      <c r="R127" s="884"/>
      <c r="S127" s="884"/>
      <c r="T127" s="888">
        <v>5.0000000000000001E-3</v>
      </c>
      <c r="U127" s="832"/>
      <c r="V127" s="832"/>
      <c r="W127" s="1269">
        <v>5.0000000000000001E-3</v>
      </c>
      <c r="X127" s="832"/>
      <c r="Y127" s="832"/>
    </row>
    <row r="128" spans="2:25" x14ac:dyDescent="0.35">
      <c r="B128" s="833"/>
      <c r="C128" s="834" t="s">
        <v>425</v>
      </c>
      <c r="D128" s="832"/>
      <c r="E128" s="837">
        <v>9.3015000000000007E-3</v>
      </c>
      <c r="F128" s="847"/>
      <c r="G128" s="837">
        <f t="shared" si="20"/>
        <v>-9.3015000000000007E-3</v>
      </c>
      <c r="H128" s="888">
        <v>1.3917000000000001E-3</v>
      </c>
      <c r="I128" s="884"/>
      <c r="J128" s="884"/>
      <c r="K128" s="888">
        <v>1.8042740000000002E-3</v>
      </c>
      <c r="L128" s="884"/>
      <c r="M128" s="884"/>
      <c r="N128" s="888">
        <v>2.3316999999999999E-3</v>
      </c>
      <c r="O128" s="884"/>
      <c r="P128" s="884"/>
      <c r="Q128" s="888">
        <v>5.7478599999999996E-3</v>
      </c>
      <c r="R128" s="884"/>
      <c r="S128" s="884"/>
      <c r="T128" s="888">
        <v>1.4341649999999999E-2</v>
      </c>
      <c r="U128" s="832"/>
      <c r="V128" s="832"/>
      <c r="W128" s="1269">
        <v>1.673958E-2</v>
      </c>
      <c r="X128" s="832"/>
      <c r="Y128" s="832"/>
    </row>
    <row r="129" spans="2:25" x14ac:dyDescent="0.35">
      <c r="B129" s="833"/>
      <c r="C129" s="834" t="s">
        <v>1340</v>
      </c>
      <c r="D129" s="832"/>
      <c r="E129" s="837">
        <v>0.614371157</v>
      </c>
      <c r="F129" s="847"/>
      <c r="G129" s="837">
        <f t="shared" si="20"/>
        <v>-0.614371157</v>
      </c>
      <c r="H129" s="888">
        <v>0.69618603200000007</v>
      </c>
      <c r="I129" s="884"/>
      <c r="J129" s="884"/>
      <c r="K129" s="888">
        <f>0.86517409-K116</f>
        <v>0.62285449000000004</v>
      </c>
      <c r="L129" s="884"/>
      <c r="M129" s="884"/>
      <c r="N129" s="888">
        <v>1.0824375099999999</v>
      </c>
      <c r="O129" s="884"/>
      <c r="P129" s="884"/>
      <c r="Q129" s="888">
        <v>1.2034929850000002</v>
      </c>
      <c r="R129" s="884"/>
      <c r="S129" s="884"/>
      <c r="T129" s="888">
        <v>1.2554069670000001</v>
      </c>
      <c r="U129" s="832"/>
      <c r="V129" s="832"/>
      <c r="W129" s="1269">
        <v>1.6390844309999999</v>
      </c>
      <c r="X129" s="832"/>
      <c r="Y129" s="832"/>
    </row>
    <row r="130" spans="2:25" x14ac:dyDescent="0.35">
      <c r="B130" s="833"/>
      <c r="C130" s="834" t="s">
        <v>981</v>
      </c>
      <c r="D130" s="832"/>
      <c r="E130" s="837">
        <v>9.7221524000000004E-2</v>
      </c>
      <c r="F130" s="847"/>
      <c r="G130" s="837">
        <f t="shared" si="20"/>
        <v>-9.7221524000000004E-2</v>
      </c>
      <c r="H130" s="888">
        <v>1.4896681E-2</v>
      </c>
      <c r="I130" s="884"/>
      <c r="J130" s="884"/>
      <c r="K130" s="888">
        <v>0.11650274499999999</v>
      </c>
      <c r="L130" s="884"/>
      <c r="M130" s="884"/>
      <c r="N130" s="888">
        <v>5.6224108000000009E-2</v>
      </c>
      <c r="O130" s="884"/>
      <c r="P130" s="884"/>
      <c r="Q130" s="888">
        <v>4.1107049E-2</v>
      </c>
      <c r="R130" s="884"/>
      <c r="S130" s="884"/>
      <c r="T130" s="888">
        <v>0.35102322699999994</v>
      </c>
      <c r="U130" s="832"/>
      <c r="V130" s="832"/>
      <c r="W130" s="1269">
        <v>0.120565249</v>
      </c>
      <c r="X130" s="832"/>
      <c r="Y130" s="832"/>
    </row>
    <row r="131" spans="2:25" x14ac:dyDescent="0.35">
      <c r="B131" s="833"/>
      <c r="C131" s="834" t="s">
        <v>982</v>
      </c>
      <c r="D131" s="832"/>
      <c r="E131" s="837">
        <v>3.05968E-2</v>
      </c>
      <c r="F131" s="847"/>
      <c r="G131" s="837">
        <f t="shared" si="20"/>
        <v>-3.05968E-2</v>
      </c>
      <c r="H131" s="888">
        <v>4.2000000000000003E-2</v>
      </c>
      <c r="I131" s="884"/>
      <c r="J131" s="884"/>
      <c r="K131" s="888">
        <v>4.2000000000000003E-2</v>
      </c>
      <c r="L131" s="884"/>
      <c r="M131" s="884"/>
      <c r="N131" s="888">
        <v>4.7615999999999999E-2</v>
      </c>
      <c r="O131" s="884"/>
      <c r="P131" s="884"/>
      <c r="Q131" s="888">
        <v>5.26656E-2</v>
      </c>
      <c r="R131" s="884"/>
      <c r="S131" s="884"/>
      <c r="T131" s="888">
        <v>5.5087200000000003E-2</v>
      </c>
      <c r="U131" s="832"/>
      <c r="V131" s="832"/>
      <c r="W131" s="1269">
        <v>6.55887E-2</v>
      </c>
      <c r="X131" s="832"/>
      <c r="Y131" s="832"/>
    </row>
    <row r="132" spans="2:25" x14ac:dyDescent="0.35">
      <c r="B132" s="833"/>
      <c r="C132" s="834" t="s">
        <v>983</v>
      </c>
      <c r="D132" s="832"/>
      <c r="E132" s="837">
        <v>1.4159520000000002E-2</v>
      </c>
      <c r="F132" s="847"/>
      <c r="G132" s="837">
        <f t="shared" si="20"/>
        <v>-1.4159520000000002E-2</v>
      </c>
      <c r="H132" s="888">
        <v>6.6101290000000007E-2</v>
      </c>
      <c r="I132" s="884"/>
      <c r="J132" s="884"/>
      <c r="K132" s="888">
        <v>7.6000000000000004E-5</v>
      </c>
      <c r="L132" s="884"/>
      <c r="M132" s="884"/>
      <c r="N132" s="888">
        <v>6.4524999999999999E-3</v>
      </c>
      <c r="O132" s="884"/>
      <c r="P132" s="884"/>
      <c r="Q132" s="888">
        <v>3.7014584999999996E-2</v>
      </c>
      <c r="R132" s="884"/>
      <c r="S132" s="884"/>
      <c r="T132" s="888">
        <v>0.19989596099999998</v>
      </c>
      <c r="U132" s="832"/>
      <c r="V132" s="832"/>
      <c r="W132" s="1269">
        <v>2.4412195000000001E-2</v>
      </c>
      <c r="X132" s="832"/>
      <c r="Y132" s="832"/>
    </row>
    <row r="133" spans="2:25" x14ac:dyDescent="0.35">
      <c r="B133" s="833"/>
      <c r="C133" s="834" t="s">
        <v>984</v>
      </c>
      <c r="D133" s="832"/>
      <c r="E133" s="837">
        <v>3.7339999999999998E-2</v>
      </c>
      <c r="F133" s="847"/>
      <c r="G133" s="837">
        <f t="shared" si="20"/>
        <v>-3.7339999999999998E-2</v>
      </c>
      <c r="H133" s="888">
        <v>3.725E-3</v>
      </c>
      <c r="I133" s="884"/>
      <c r="J133" s="884"/>
      <c r="K133" s="888">
        <v>1.8500000000000001E-3</v>
      </c>
      <c r="L133" s="884"/>
      <c r="M133" s="884"/>
      <c r="N133" s="888">
        <v>5.3664000000000003E-3</v>
      </c>
      <c r="O133" s="884"/>
      <c r="P133" s="884"/>
      <c r="Q133" s="888">
        <v>4.5620000000000001E-3</v>
      </c>
      <c r="R133" s="884"/>
      <c r="S133" s="884"/>
      <c r="T133" s="888">
        <v>5.4000000000000003E-3</v>
      </c>
      <c r="U133" s="832"/>
      <c r="V133" s="832"/>
      <c r="W133" s="1269">
        <v>7.2000000000000005E-4</v>
      </c>
      <c r="X133" s="832"/>
      <c r="Y133" s="832"/>
    </row>
    <row r="134" spans="2:25" x14ac:dyDescent="0.35">
      <c r="B134" s="833"/>
      <c r="C134" s="834" t="s">
        <v>1341</v>
      </c>
      <c r="D134" s="832"/>
      <c r="E134" s="838"/>
      <c r="F134" s="847"/>
      <c r="G134" s="837"/>
      <c r="H134" s="884"/>
      <c r="I134" s="884"/>
      <c r="J134" s="884"/>
      <c r="K134" s="884"/>
      <c r="L134" s="884"/>
      <c r="M134" s="884"/>
      <c r="N134" s="884">
        <v>8.8935899999999994E-4</v>
      </c>
      <c r="O134" s="884"/>
      <c r="P134" s="884"/>
      <c r="Q134" s="884">
        <v>1.7131735999999998E-2</v>
      </c>
      <c r="R134" s="884"/>
      <c r="S134" s="884"/>
      <c r="T134" s="884">
        <v>1.4634545000000001E-2</v>
      </c>
      <c r="U134" s="832"/>
      <c r="V134" s="832"/>
      <c r="W134" s="883"/>
      <c r="X134" s="832"/>
      <c r="Y134" s="832"/>
    </row>
    <row r="135" spans="2:25" x14ac:dyDescent="0.35">
      <c r="B135" s="833"/>
      <c r="C135" s="834" t="s">
        <v>1342</v>
      </c>
      <c r="D135" s="832"/>
      <c r="E135" s="838"/>
      <c r="F135" s="847"/>
      <c r="G135" s="837"/>
      <c r="H135" s="884"/>
      <c r="I135" s="884"/>
      <c r="J135" s="884"/>
      <c r="K135" s="884">
        <v>2.5000000000000001E-2</v>
      </c>
      <c r="L135" s="884"/>
      <c r="M135" s="884"/>
      <c r="N135" s="884">
        <v>2.7876700000000001E-2</v>
      </c>
      <c r="O135" s="884"/>
      <c r="P135" s="884"/>
      <c r="Q135" s="884">
        <v>0.01</v>
      </c>
      <c r="R135" s="884"/>
      <c r="S135" s="884"/>
      <c r="T135" s="884">
        <v>1.13484E-2</v>
      </c>
      <c r="U135" s="832"/>
      <c r="V135" s="832"/>
      <c r="W135" s="883">
        <v>1.7259199999999999E-2</v>
      </c>
      <c r="X135" s="832"/>
      <c r="Y135" s="832"/>
    </row>
    <row r="136" spans="2:25" x14ac:dyDescent="0.35">
      <c r="B136" s="833"/>
      <c r="C136" s="834" t="s">
        <v>1343</v>
      </c>
      <c r="D136" s="832"/>
      <c r="E136" s="838"/>
      <c r="F136" s="847"/>
      <c r="G136" s="837">
        <f t="shared" si="20"/>
        <v>0</v>
      </c>
      <c r="H136" s="884"/>
      <c r="I136" s="884"/>
      <c r="J136" s="884"/>
      <c r="K136" s="884"/>
      <c r="L136" s="884"/>
      <c r="M136" s="884"/>
      <c r="N136" s="888">
        <v>1.2460000000000001E-2</v>
      </c>
      <c r="O136" s="884"/>
      <c r="P136" s="884"/>
      <c r="Q136" s="888">
        <v>1.9000800000000002E-2</v>
      </c>
      <c r="R136" s="884"/>
      <c r="S136" s="884"/>
      <c r="T136" s="888">
        <v>6.9027000000000003E-3</v>
      </c>
      <c r="U136" s="832"/>
      <c r="V136" s="832"/>
      <c r="W136" s="883">
        <v>5.5227978000000004E-2</v>
      </c>
      <c r="X136" s="832"/>
      <c r="Y136" s="832"/>
    </row>
    <row r="137" spans="2:25" x14ac:dyDescent="0.35">
      <c r="B137" s="833"/>
      <c r="C137" s="834" t="s">
        <v>971</v>
      </c>
      <c r="D137" s="832"/>
      <c r="E137" s="838"/>
      <c r="F137" s="847"/>
      <c r="G137" s="837">
        <f t="shared" si="20"/>
        <v>0</v>
      </c>
      <c r="H137" s="884"/>
      <c r="I137" s="884"/>
      <c r="J137" s="884"/>
      <c r="K137" s="888">
        <v>1.7763000000000001E-2</v>
      </c>
      <c r="L137" s="884"/>
      <c r="M137" s="884"/>
      <c r="N137" s="888">
        <v>3.9411940000000003E-3</v>
      </c>
      <c r="O137" s="884"/>
      <c r="P137" s="884"/>
      <c r="Q137" s="888">
        <v>1.3569599999999999E-2</v>
      </c>
      <c r="R137" s="884"/>
      <c r="S137" s="884"/>
      <c r="T137" s="888">
        <v>5.0547250000000004E-3</v>
      </c>
      <c r="U137" s="832"/>
      <c r="V137" s="832"/>
      <c r="W137" s="1269">
        <v>6.8183199999999999E-2</v>
      </c>
      <c r="X137" s="832"/>
      <c r="Y137" s="832"/>
    </row>
    <row r="138" spans="2:25" x14ac:dyDescent="0.35">
      <c r="B138" s="833"/>
      <c r="C138" s="834" t="s">
        <v>1344</v>
      </c>
      <c r="D138" s="832"/>
      <c r="E138" s="838"/>
      <c r="F138" s="847"/>
      <c r="G138" s="837"/>
      <c r="H138" s="884"/>
      <c r="I138" s="884"/>
      <c r="J138" s="884"/>
      <c r="K138" s="884">
        <v>2E-3</v>
      </c>
      <c r="L138" s="884"/>
      <c r="M138" s="884"/>
      <c r="N138" s="884">
        <v>0.05</v>
      </c>
      <c r="O138" s="884"/>
      <c r="P138" s="884"/>
      <c r="Q138" s="888">
        <v>8.5000000000000006E-2</v>
      </c>
      <c r="R138" s="884"/>
      <c r="S138" s="884"/>
      <c r="T138" s="884">
        <v>1.55E-2</v>
      </c>
      <c r="U138" s="832"/>
      <c r="V138" s="832"/>
      <c r="W138" s="883">
        <v>0</v>
      </c>
      <c r="X138" s="832"/>
      <c r="Y138" s="832"/>
    </row>
    <row r="139" spans="2:25" x14ac:dyDescent="0.35">
      <c r="B139" s="833"/>
      <c r="C139" s="834" t="s">
        <v>1283</v>
      </c>
      <c r="D139" s="832"/>
      <c r="E139" s="838"/>
      <c r="F139" s="847"/>
      <c r="G139" s="847"/>
      <c r="H139" s="888"/>
      <c r="I139" s="884"/>
      <c r="J139" s="884"/>
      <c r="K139" s="884"/>
      <c r="L139" s="884"/>
      <c r="M139" s="884"/>
      <c r="N139" s="884"/>
      <c r="O139" s="832"/>
      <c r="P139" s="832"/>
      <c r="Q139" s="832"/>
      <c r="R139" s="832"/>
      <c r="S139" s="832"/>
      <c r="T139" s="832"/>
      <c r="U139" s="832"/>
      <c r="V139" s="832"/>
      <c r="W139" s="832"/>
      <c r="X139" s="832"/>
      <c r="Y139" s="832"/>
    </row>
    <row r="140" spans="2:25" x14ac:dyDescent="0.35">
      <c r="B140" s="833"/>
      <c r="C140" s="834" t="s">
        <v>1345</v>
      </c>
      <c r="D140" s="832"/>
      <c r="E140" s="838"/>
      <c r="F140" s="847"/>
      <c r="G140" s="847"/>
      <c r="H140" s="837"/>
      <c r="I140" s="832"/>
      <c r="J140" s="832"/>
      <c r="K140" s="832"/>
      <c r="L140" s="832"/>
      <c r="M140" s="832"/>
      <c r="N140" s="832"/>
      <c r="O140" s="832"/>
      <c r="P140" s="832"/>
      <c r="Q140" s="832"/>
      <c r="R140" s="832"/>
      <c r="S140" s="832"/>
      <c r="T140" s="832"/>
      <c r="U140" s="832"/>
      <c r="V140" s="832"/>
      <c r="W140" s="832"/>
      <c r="X140" s="832"/>
      <c r="Y140" s="832"/>
    </row>
    <row r="141" spans="2:25" x14ac:dyDescent="0.35">
      <c r="B141" s="828"/>
      <c r="C141" s="842" t="s">
        <v>162</v>
      </c>
      <c r="D141" s="832"/>
      <c r="E141" s="870">
        <f>SUM(E115:E139)</f>
        <v>1.3056280119999999</v>
      </c>
      <c r="F141" s="872">
        <f>+'F3.3'!D121+'F3.4'!D54</f>
        <v>1.3108300119999998</v>
      </c>
      <c r="G141" s="845">
        <f>F141-E141</f>
        <v>5.2019999999999289E-3</v>
      </c>
      <c r="H141" s="870">
        <f>SUM(H115:H139)</f>
        <v>1.5489842579999999</v>
      </c>
      <c r="I141" s="870">
        <f>+'F3.3'!E121+'F3.4'!E56</f>
        <v>1.6250787720000002</v>
      </c>
      <c r="J141" s="845">
        <f>I141-H141</f>
        <v>7.6094514000000224E-2</v>
      </c>
      <c r="K141" s="870">
        <f>SUM(K115:K139)</f>
        <v>1.3849580049999999</v>
      </c>
      <c r="L141" s="871">
        <f>+'F3.3'!F121+'F3.4'!F56</f>
        <v>1.4128167850000002</v>
      </c>
      <c r="M141" s="837">
        <f>L141-K141</f>
        <v>2.7858780000000305E-2</v>
      </c>
      <c r="N141" s="870">
        <f>SUM(N115:N139)</f>
        <v>1.9265552120000002</v>
      </c>
      <c r="O141" s="871">
        <f>+'F3.3'!G121+'F3.4'!G56</f>
        <v>2.0173084929999998</v>
      </c>
      <c r="P141" s="837">
        <f>O141-N141</f>
        <v>9.0753280999999575E-2</v>
      </c>
      <c r="Q141" s="870">
        <f>SUM(Q115:Q139)</f>
        <v>2.1786857849999999</v>
      </c>
      <c r="R141" s="871">
        <f>+'F3.3'!H121+'F3.4'!H54</f>
        <v>2.3483536190000005</v>
      </c>
      <c r="S141" s="837">
        <f>R141-Q141</f>
        <v>0.16966783400000063</v>
      </c>
      <c r="T141" s="870">
        <f>SUM(T115:T139)</f>
        <v>2.8037914659999998</v>
      </c>
      <c r="U141" s="871">
        <f>+'F3.3'!I121+'F3.4'!I54</f>
        <v>2.9290735659999996</v>
      </c>
      <c r="V141" s="837">
        <f>U141-T141</f>
        <v>0.12528209999999973</v>
      </c>
      <c r="W141" s="870">
        <f>SUM(W115:W139)</f>
        <v>3.0035833419999998</v>
      </c>
      <c r="X141" s="871">
        <f>+'F3.3'!J121+'F3.4'!J54</f>
        <v>3.1502306419999999</v>
      </c>
      <c r="Y141" s="837">
        <f>X141-W141</f>
        <v>0.14664730000000015</v>
      </c>
    </row>
    <row r="142" spans="2:25" x14ac:dyDescent="0.35">
      <c r="B142" s="828"/>
      <c r="C142" s="842"/>
      <c r="D142" s="832"/>
      <c r="E142" s="873"/>
      <c r="F142" s="847"/>
      <c r="G142" s="847"/>
      <c r="H142" s="832"/>
      <c r="I142" s="832"/>
      <c r="K142" s="832"/>
      <c r="L142" s="832"/>
      <c r="N142" s="832"/>
      <c r="O142" s="832"/>
      <c r="Q142" s="832"/>
      <c r="R142" s="832"/>
      <c r="T142" s="832"/>
      <c r="U142" s="832"/>
      <c r="W142" s="832"/>
      <c r="X142" s="832"/>
    </row>
    <row r="143" spans="2:25" x14ac:dyDescent="0.35">
      <c r="B143" s="833"/>
      <c r="C143" s="834" t="s">
        <v>1326</v>
      </c>
      <c r="D143" s="832"/>
      <c r="E143" s="837">
        <v>0.44937319999999997</v>
      </c>
      <c r="F143" s="879">
        <f>+'F3.3'!D122+'F3.4'!D55</f>
        <v>0.44937319999999997</v>
      </c>
      <c r="G143" s="837">
        <f>F143-E143</f>
        <v>0</v>
      </c>
      <c r="H143" s="832"/>
      <c r="I143" s="832"/>
      <c r="J143" s="832"/>
      <c r="K143" s="832"/>
      <c r="L143" s="832"/>
      <c r="M143" s="832"/>
      <c r="N143" s="832"/>
      <c r="O143" s="832"/>
      <c r="P143" s="832"/>
      <c r="Q143" s="832"/>
      <c r="R143" s="832"/>
      <c r="S143" s="832"/>
      <c r="T143" s="1269">
        <v>0.22712309999999999</v>
      </c>
      <c r="U143" s="1269">
        <f>+'F3.3'!I122</f>
        <v>0.22712309999999999</v>
      </c>
      <c r="V143" s="832"/>
      <c r="W143" s="832"/>
      <c r="X143" s="832"/>
      <c r="Y143" s="832"/>
    </row>
    <row r="144" spans="2:25" x14ac:dyDescent="0.35">
      <c r="B144" s="833"/>
      <c r="C144" s="834"/>
      <c r="D144" s="832"/>
      <c r="E144" s="873"/>
      <c r="F144" s="847"/>
      <c r="G144" s="847"/>
      <c r="H144" s="832"/>
      <c r="I144" s="832"/>
      <c r="J144" s="832"/>
      <c r="K144" s="832"/>
      <c r="L144" s="832"/>
      <c r="M144" s="832"/>
      <c r="N144" s="832"/>
      <c r="O144" s="832"/>
      <c r="P144" s="832"/>
      <c r="Q144" s="832"/>
      <c r="R144" s="832"/>
      <c r="S144" s="832"/>
      <c r="T144" s="832"/>
      <c r="U144" s="832"/>
      <c r="V144" s="832"/>
      <c r="W144" s="832"/>
      <c r="X144" s="832"/>
      <c r="Y144" s="832"/>
    </row>
    <row r="145" spans="3:25" x14ac:dyDescent="0.35">
      <c r="C145" s="842" t="s">
        <v>164</v>
      </c>
      <c r="D145" s="832"/>
      <c r="E145" s="856">
        <f>E141-E143</f>
        <v>0.85625481199999998</v>
      </c>
      <c r="F145" s="856">
        <f>F141-F143</f>
        <v>0.86145681199999991</v>
      </c>
      <c r="G145" s="837">
        <f>F145-E145</f>
        <v>5.2019999999999289E-3</v>
      </c>
      <c r="H145" s="856">
        <f t="shared" ref="H145:Y145" si="21">H141-H143</f>
        <v>1.5489842579999999</v>
      </c>
      <c r="I145" s="856">
        <f t="shared" si="21"/>
        <v>1.6250787720000002</v>
      </c>
      <c r="J145" s="856">
        <f t="shared" si="21"/>
        <v>7.6094514000000224E-2</v>
      </c>
      <c r="K145" s="856">
        <f t="shared" si="21"/>
        <v>1.3849580049999999</v>
      </c>
      <c r="L145" s="856">
        <f t="shared" si="21"/>
        <v>1.4128167850000002</v>
      </c>
      <c r="M145" s="856">
        <f t="shared" si="21"/>
        <v>2.7858780000000305E-2</v>
      </c>
      <c r="N145" s="856">
        <f t="shared" si="21"/>
        <v>1.9265552120000002</v>
      </c>
      <c r="O145" s="856">
        <f t="shared" si="21"/>
        <v>2.0173084929999998</v>
      </c>
      <c r="P145" s="856">
        <f t="shared" si="21"/>
        <v>9.0753280999999575E-2</v>
      </c>
      <c r="Q145" s="856">
        <f t="shared" si="21"/>
        <v>2.1786857849999999</v>
      </c>
      <c r="R145" s="856">
        <f t="shared" si="21"/>
        <v>2.3483536190000005</v>
      </c>
      <c r="S145" s="856">
        <f t="shared" si="21"/>
        <v>0.16966783400000063</v>
      </c>
      <c r="T145" s="856">
        <f t="shared" si="21"/>
        <v>2.5766683659999998</v>
      </c>
      <c r="U145" s="856">
        <f t="shared" si="21"/>
        <v>2.7019504659999996</v>
      </c>
      <c r="V145" s="856">
        <f t="shared" si="21"/>
        <v>0.12528209999999973</v>
      </c>
      <c r="W145" s="856">
        <f t="shared" si="21"/>
        <v>3.0035833419999998</v>
      </c>
      <c r="X145" s="856">
        <f t="shared" si="21"/>
        <v>3.1502306419999999</v>
      </c>
      <c r="Y145" s="856">
        <f t="shared" si="21"/>
        <v>0.14664730000000015</v>
      </c>
    </row>
    <row r="146" spans="3:25" x14ac:dyDescent="0.35">
      <c r="E146" s="874"/>
      <c r="F146" s="874"/>
      <c r="G146" s="685">
        <f>G141+SUM(G80:G83)</f>
        <v>-7.1123662515049091E-17</v>
      </c>
      <c r="H146" s="874"/>
      <c r="I146" s="874"/>
      <c r="J146" s="685">
        <f>J141+SUM(J80:J83)</f>
        <v>2.2204460492503131E-16</v>
      </c>
      <c r="M146" s="685">
        <f>M141+SUM(M80:M83)</f>
        <v>3.0531133177191805E-16</v>
      </c>
      <c r="N146" s="839">
        <v>-5.4195500000031593E-4</v>
      </c>
      <c r="P146" s="685">
        <f>P141+SUM(P80:P83)</f>
        <v>-4.3021142204224816E-16</v>
      </c>
      <c r="Q146" s="839">
        <v>0</v>
      </c>
      <c r="S146" s="685">
        <f>S141+SUM(S80:S83)</f>
        <v>6.3837823915946501E-16</v>
      </c>
      <c r="T146" s="839">
        <v>0</v>
      </c>
      <c r="V146" s="685">
        <f>V141+SUM(V80:V83)</f>
        <v>-2.7755575615628914E-16</v>
      </c>
      <c r="Y146" s="685">
        <f>Y141+SUM(Y80:Y83)</f>
        <v>0</v>
      </c>
    </row>
    <row r="147" spans="3:25" x14ac:dyDescent="0.35">
      <c r="E147" s="875"/>
      <c r="F147" s="876"/>
      <c r="G147" s="876"/>
    </row>
    <row r="148" spans="3:25" x14ac:dyDescent="0.35">
      <c r="C148" s="878" t="s">
        <v>1346</v>
      </c>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row>
    <row r="149" spans="3:25" x14ac:dyDescent="0.35">
      <c r="E149" s="797"/>
      <c r="F149" s="876"/>
      <c r="G149" s="876"/>
    </row>
    <row r="150" spans="3:25" x14ac:dyDescent="0.35">
      <c r="C150" s="842" t="s">
        <v>111</v>
      </c>
      <c r="D150" s="832"/>
      <c r="E150" s="1928">
        <v>43555</v>
      </c>
      <c r="F150" s="1928"/>
      <c r="G150" s="1928"/>
      <c r="H150" s="1927">
        <v>43921</v>
      </c>
      <c r="I150" s="1927"/>
      <c r="J150" s="1927"/>
      <c r="K150" s="1927">
        <v>44286</v>
      </c>
      <c r="L150" s="1927"/>
      <c r="M150" s="1927"/>
      <c r="N150" s="1918">
        <v>44651</v>
      </c>
      <c r="O150" s="1918"/>
      <c r="P150" s="1918"/>
      <c r="Q150" s="1918">
        <v>45016</v>
      </c>
      <c r="R150" s="1918"/>
      <c r="S150" s="1918"/>
      <c r="T150" s="1918">
        <v>45382</v>
      </c>
      <c r="U150" s="1918"/>
      <c r="V150" s="1918"/>
      <c r="W150" s="1918">
        <v>45747</v>
      </c>
      <c r="X150" s="1918"/>
      <c r="Y150" s="1918"/>
    </row>
    <row r="151" spans="3:25" x14ac:dyDescent="0.35">
      <c r="C151" s="864"/>
      <c r="D151" s="832"/>
      <c r="E151" s="850" t="s">
        <v>1286</v>
      </c>
      <c r="F151" s="850" t="s">
        <v>1287</v>
      </c>
      <c r="G151" s="850" t="s">
        <v>1288</v>
      </c>
      <c r="H151" s="849" t="s">
        <v>1286</v>
      </c>
      <c r="I151" s="803" t="s">
        <v>1287</v>
      </c>
      <c r="J151" s="803" t="s">
        <v>1288</v>
      </c>
      <c r="K151" s="849" t="s">
        <v>1286</v>
      </c>
      <c r="L151" s="803" t="s">
        <v>1287</v>
      </c>
      <c r="M151" s="803" t="s">
        <v>1288</v>
      </c>
      <c r="N151" s="849" t="s">
        <v>1286</v>
      </c>
      <c r="O151" s="803" t="s">
        <v>1287</v>
      </c>
      <c r="P151" s="803" t="s">
        <v>1288</v>
      </c>
      <c r="Q151" s="849" t="s">
        <v>1286</v>
      </c>
      <c r="R151" s="803" t="s">
        <v>1287</v>
      </c>
      <c r="S151" s="803" t="s">
        <v>1288</v>
      </c>
      <c r="T151" s="849" t="s">
        <v>1286</v>
      </c>
      <c r="U151" s="803" t="s">
        <v>1287</v>
      </c>
      <c r="V151" s="803" t="s">
        <v>1288</v>
      </c>
      <c r="W151" s="849" t="s">
        <v>1286</v>
      </c>
      <c r="X151" s="803" t="s">
        <v>1287</v>
      </c>
      <c r="Y151" s="803" t="s">
        <v>1288</v>
      </c>
    </row>
    <row r="152" spans="3:25" x14ac:dyDescent="0.35">
      <c r="C152" s="832" t="s">
        <v>1347</v>
      </c>
      <c r="D152" s="832"/>
      <c r="E152" s="837">
        <v>0.56132000000000004</v>
      </c>
      <c r="F152" s="837">
        <f>+'F7'!E18+'F7'!E42</f>
        <v>0.56132000000000004</v>
      </c>
      <c r="G152" s="837">
        <f>F152-E152</f>
        <v>0</v>
      </c>
      <c r="H152" s="685">
        <v>3.8114319999999999</v>
      </c>
      <c r="I152" s="837">
        <f>+'F7'!F18+'F7'!F42</f>
        <v>3.8114319999999999</v>
      </c>
      <c r="J152" s="837">
        <f>I152-H152</f>
        <v>0</v>
      </c>
      <c r="K152" s="837">
        <v>3.4141319999999995</v>
      </c>
      <c r="L152" s="837">
        <f>+'F7'!G18+'F7'!G42</f>
        <v>3.4141319999999995</v>
      </c>
      <c r="M152" s="837">
        <f>L152-K152</f>
        <v>0</v>
      </c>
      <c r="N152" s="837">
        <v>5.93</v>
      </c>
      <c r="O152" s="837">
        <f>+'F7'!H18+'F7'!H42</f>
        <v>5.93</v>
      </c>
      <c r="P152" s="837">
        <f>O152-N152</f>
        <v>0</v>
      </c>
      <c r="Q152" s="837">
        <v>6.36</v>
      </c>
      <c r="R152" s="837">
        <f>+'F7'!I18+'F7'!I42</f>
        <v>6.36</v>
      </c>
      <c r="S152" s="837">
        <f>R152-Q152</f>
        <v>0</v>
      </c>
      <c r="T152" s="837">
        <v>6.75</v>
      </c>
      <c r="U152" s="837">
        <f>+'F7'!J18+'F7'!J42</f>
        <v>6.75</v>
      </c>
      <c r="V152" s="837">
        <f>U152-T152</f>
        <v>0</v>
      </c>
      <c r="W152" s="837">
        <v>16.654382600000002</v>
      </c>
      <c r="X152" s="837">
        <f>+'F7'!K18+'F7'!K42</f>
        <v>16.654382600000002</v>
      </c>
      <c r="Y152" s="837">
        <f>X152-W152</f>
        <v>0</v>
      </c>
    </row>
    <row r="153" spans="3:25" x14ac:dyDescent="0.35">
      <c r="C153" s="832" t="s">
        <v>1348</v>
      </c>
      <c r="D153" s="832"/>
      <c r="E153" s="837">
        <v>0.48430198599999996</v>
      </c>
      <c r="F153" s="837"/>
      <c r="G153" s="837">
        <f>F153-E153</f>
        <v>-0.48430198599999996</v>
      </c>
      <c r="H153" s="685">
        <v>1.961260389</v>
      </c>
      <c r="I153" s="837"/>
      <c r="J153" s="837">
        <f>I153-H153</f>
        <v>-1.961260389</v>
      </c>
      <c r="K153" s="837">
        <v>1.1072196459999997</v>
      </c>
      <c r="L153" s="837"/>
      <c r="M153" s="837">
        <f>L153-K153</f>
        <v>-1.1072196459999997</v>
      </c>
      <c r="N153" s="837">
        <v>1.0975497510000001</v>
      </c>
      <c r="O153" s="837"/>
      <c r="P153" s="837">
        <f>O153-N153</f>
        <v>-1.0975497510000001</v>
      </c>
      <c r="Q153" s="837">
        <v>4.2305973059999999</v>
      </c>
      <c r="R153" s="837"/>
      <c r="S153" s="837">
        <f>R153-Q153</f>
        <v>-4.2305973059999999</v>
      </c>
      <c r="T153" s="837">
        <v>14.181240230000002</v>
      </c>
      <c r="U153" s="837"/>
      <c r="V153" s="837">
        <f>U153-T153</f>
        <v>-14.181240230000002</v>
      </c>
      <c r="W153" s="837">
        <v>5.7469319709999995</v>
      </c>
      <c r="X153" s="837"/>
      <c r="Y153" s="837">
        <f>X153-W153</f>
        <v>-5.7469319709999995</v>
      </c>
    </row>
    <row r="154" spans="3:25" x14ac:dyDescent="0.35">
      <c r="C154" s="832" t="s">
        <v>1349</v>
      </c>
      <c r="D154" s="832"/>
      <c r="E154" s="837">
        <v>0.33271985599999998</v>
      </c>
      <c r="F154" s="837"/>
      <c r="G154" s="837"/>
      <c r="H154" s="685">
        <v>0.44661692999999997</v>
      </c>
      <c r="I154" s="832"/>
      <c r="J154" s="832"/>
      <c r="K154" s="837">
        <v>1.512806009</v>
      </c>
      <c r="L154" s="832"/>
      <c r="M154" s="832"/>
      <c r="N154" s="837">
        <v>1.5953854029999999</v>
      </c>
      <c r="O154" s="832"/>
      <c r="P154" s="832"/>
      <c r="Q154" s="837">
        <v>2.1119358770000001</v>
      </c>
      <c r="R154" s="832"/>
      <c r="S154" s="832"/>
      <c r="T154" s="837">
        <v>4.0839249469999999</v>
      </c>
      <c r="U154" s="832"/>
      <c r="V154" s="832"/>
      <c r="W154" s="837">
        <v>8.2922896829999999</v>
      </c>
      <c r="X154" s="832"/>
      <c r="Y154" s="832"/>
    </row>
    <row r="155" spans="3:25" x14ac:dyDescent="0.35">
      <c r="C155" s="832" t="s">
        <v>1350</v>
      </c>
      <c r="D155" s="832"/>
      <c r="E155" s="837">
        <v>56.330590855999993</v>
      </c>
      <c r="F155" s="837">
        <f>+'F5'!H24</f>
        <v>56.312794994999997</v>
      </c>
      <c r="G155" s="837">
        <f>F155-E155</f>
        <v>-1.7795860999996194E-2</v>
      </c>
      <c r="H155" s="685">
        <v>69.170089106382207</v>
      </c>
      <c r="I155" s="685">
        <f>+'F5'!M24</f>
        <v>69.142953245382216</v>
      </c>
      <c r="J155" s="837">
        <f>I155-H155</f>
        <v>-2.7135860999990769E-2</v>
      </c>
      <c r="K155" s="837">
        <v>70.455051764999993</v>
      </c>
      <c r="L155" s="858">
        <f>+'F5'!R24</f>
        <v>70.427915962382201</v>
      </c>
      <c r="M155" s="837">
        <f>L155-K155</f>
        <v>-2.7135802617792137E-2</v>
      </c>
      <c r="N155" s="837">
        <v>71.41620884000001</v>
      </c>
      <c r="O155" s="858">
        <f>+'F5'!W24</f>
        <v>71.389073037382204</v>
      </c>
      <c r="P155" s="837">
        <f>O155-N155</f>
        <v>-2.7135802617806348E-2</v>
      </c>
      <c r="Q155" s="837">
        <v>72.649608209999997</v>
      </c>
      <c r="R155" s="858">
        <f>+'F5'!H38</f>
        <v>72.62247242738222</v>
      </c>
      <c r="S155" s="837">
        <f>R155-Q155</f>
        <v>-2.7135782617776272E-2</v>
      </c>
      <c r="T155" s="837">
        <v>72.825021586999995</v>
      </c>
      <c r="U155" s="858">
        <f>+'F5'!M38</f>
        <v>72.797885819382216</v>
      </c>
      <c r="V155" s="837">
        <f>U155-T155</f>
        <v>-2.7135767617778583E-2</v>
      </c>
      <c r="W155" s="837">
        <v>72.858941157000004</v>
      </c>
      <c r="X155" s="858">
        <f>+'F5'!R38</f>
        <v>72.831805389382211</v>
      </c>
      <c r="Y155" s="837">
        <f>X155-W155</f>
        <v>-2.7135767617792794E-2</v>
      </c>
    </row>
    <row r="156" spans="3:25" x14ac:dyDescent="0.35">
      <c r="E156" s="797"/>
      <c r="F156" s="876"/>
      <c r="G156" s="876"/>
      <c r="M156" s="839">
        <f>(93400+206418)/10^7+M155</f>
        <v>2.845997382207862E-3</v>
      </c>
      <c r="P156" s="839">
        <f>(93400+206418)/10^7+P155</f>
        <v>2.8459973821936511E-3</v>
      </c>
      <c r="S156" s="839">
        <f>(93400+206418)/10^7+S155</f>
        <v>2.8460173822237277E-3</v>
      </c>
      <c r="V156" s="839">
        <f>(93400+206418)/10^7+V155</f>
        <v>2.8460323822214161E-3</v>
      </c>
      <c r="Y156" s="839">
        <f>(93400+206418)/10^7+Y155</f>
        <v>2.8460323822072052E-3</v>
      </c>
    </row>
    <row r="157" spans="3:25" x14ac:dyDescent="0.35">
      <c r="E157" s="797"/>
      <c r="F157" s="876"/>
      <c r="G157" s="876"/>
    </row>
    <row r="158" spans="3:25" x14ac:dyDescent="0.35">
      <c r="E158" s="797"/>
      <c r="F158" s="876"/>
      <c r="G158" s="876"/>
    </row>
    <row r="159" spans="3:25" x14ac:dyDescent="0.35">
      <c r="E159" s="797"/>
      <c r="F159" s="876"/>
      <c r="G159" s="876"/>
    </row>
    <row r="160" spans="3:25" x14ac:dyDescent="0.35">
      <c r="E160" s="797"/>
      <c r="F160" s="876"/>
      <c r="G160" s="876"/>
    </row>
    <row r="161" spans="5:7" x14ac:dyDescent="0.35">
      <c r="E161" s="797"/>
      <c r="F161" s="876"/>
      <c r="G161" s="876"/>
    </row>
    <row r="162" spans="5:7" x14ac:dyDescent="0.35">
      <c r="E162" s="797"/>
      <c r="F162" s="876"/>
      <c r="G162" s="876"/>
    </row>
    <row r="163" spans="5:7" x14ac:dyDescent="0.35">
      <c r="E163" s="797"/>
    </row>
    <row r="164" spans="5:7" x14ac:dyDescent="0.35">
      <c r="E164" s="797"/>
    </row>
    <row r="165" spans="5:7" x14ac:dyDescent="0.35">
      <c r="E165" s="797"/>
    </row>
  </sheetData>
  <mergeCells count="74">
    <mergeCell ref="N4:P4"/>
    <mergeCell ref="N33:P33"/>
    <mergeCell ref="K4:M4"/>
    <mergeCell ref="H4:J4"/>
    <mergeCell ref="E4:G4"/>
    <mergeCell ref="K33:M33"/>
    <mergeCell ref="H33:J33"/>
    <mergeCell ref="E33:G33"/>
    <mergeCell ref="K52:M52"/>
    <mergeCell ref="H52:J52"/>
    <mergeCell ref="E52:G52"/>
    <mergeCell ref="K71:M71"/>
    <mergeCell ref="H71:J71"/>
    <mergeCell ref="E71:G71"/>
    <mergeCell ref="L76:L78"/>
    <mergeCell ref="M76:M78"/>
    <mergeCell ref="I76:I78"/>
    <mergeCell ref="J76:J78"/>
    <mergeCell ref="F76:F78"/>
    <mergeCell ref="G76:G78"/>
    <mergeCell ref="K90:M90"/>
    <mergeCell ref="H90:J90"/>
    <mergeCell ref="E90:G90"/>
    <mergeCell ref="K100:M100"/>
    <mergeCell ref="H100:J100"/>
    <mergeCell ref="E100:G100"/>
    <mergeCell ref="K113:M113"/>
    <mergeCell ref="H113:J113"/>
    <mergeCell ref="E113:G113"/>
    <mergeCell ref="K150:M150"/>
    <mergeCell ref="H150:J150"/>
    <mergeCell ref="E150:G150"/>
    <mergeCell ref="N113:P113"/>
    <mergeCell ref="N150:P150"/>
    <mergeCell ref="Q4:S4"/>
    <mergeCell ref="Q33:S33"/>
    <mergeCell ref="Q52:S52"/>
    <mergeCell ref="Q71:S71"/>
    <mergeCell ref="R76:R78"/>
    <mergeCell ref="S76:S78"/>
    <mergeCell ref="Q90:S90"/>
    <mergeCell ref="Q100:S100"/>
    <mergeCell ref="N52:P52"/>
    <mergeCell ref="N71:P71"/>
    <mergeCell ref="O76:O78"/>
    <mergeCell ref="P76:P78"/>
    <mergeCell ref="N90:P90"/>
    <mergeCell ref="N100:P100"/>
    <mergeCell ref="T4:V4"/>
    <mergeCell ref="T33:V33"/>
    <mergeCell ref="T52:V52"/>
    <mergeCell ref="T71:V71"/>
    <mergeCell ref="U76:U78"/>
    <mergeCell ref="V76:V78"/>
    <mergeCell ref="W4:Y4"/>
    <mergeCell ref="W33:Y33"/>
    <mergeCell ref="W52:Y52"/>
    <mergeCell ref="W71:Y71"/>
    <mergeCell ref="X76:X78"/>
    <mergeCell ref="Y76:Y78"/>
    <mergeCell ref="W113:Y113"/>
    <mergeCell ref="W150:Y150"/>
    <mergeCell ref="R74:R75"/>
    <mergeCell ref="S74:S75"/>
    <mergeCell ref="U74:U75"/>
    <mergeCell ref="V74:V75"/>
    <mergeCell ref="T113:V113"/>
    <mergeCell ref="T150:V150"/>
    <mergeCell ref="W90:Y90"/>
    <mergeCell ref="W100:Y100"/>
    <mergeCell ref="Q113:S113"/>
    <mergeCell ref="Q150:S150"/>
    <mergeCell ref="T90:V90"/>
    <mergeCell ref="T100:V100"/>
  </mergeCells>
  <pageMargins left="0.31496062992125984" right="0.31496062992125984" top="0.35433070866141736" bottom="0.15748031496062992" header="0.31496062992125984" footer="0.31496062992125984"/>
  <pageSetup paperSize="9" scale="30" orientation="landscape"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5FA6-1D20-403F-B9B8-D38CC2B12143}">
  <dimension ref="A2:AB155"/>
  <sheetViews>
    <sheetView showGridLines="0" view="pageBreakPreview" topLeftCell="A6" zoomScale="60" zoomScaleNormal="80" zoomScaleSheetLayoutView="70" workbookViewId="0">
      <selection activeCell="M6" sqref="M1:M1048576"/>
    </sheetView>
  </sheetViews>
  <sheetFormatPr defaultColWidth="8.6640625" defaultRowHeight="13.9" x14ac:dyDescent="0.4"/>
  <cols>
    <col min="1" max="1" width="8.6640625" style="1"/>
    <col min="2" max="2" width="22.53125" style="1" customWidth="1"/>
    <col min="3" max="3" width="14" style="1" customWidth="1"/>
    <col min="4" max="4" width="11.53125" style="1" customWidth="1"/>
    <col min="5" max="5" width="15.33203125" style="1" customWidth="1"/>
    <col min="6" max="6" width="13.53125" style="1" customWidth="1"/>
    <col min="7" max="7" width="16.33203125" style="1" customWidth="1"/>
    <col min="8" max="8" width="18.53125" style="1" customWidth="1"/>
    <col min="9" max="10" width="11.53125" style="1" hidden="1" customWidth="1"/>
    <col min="11" max="11" width="13.19921875" style="1338" customWidth="1"/>
    <col min="12" max="14" width="11.53125" style="561" customWidth="1"/>
    <col min="15" max="17" width="11.53125" style="1" customWidth="1"/>
    <col min="18" max="18" width="14.33203125" style="1" customWidth="1"/>
    <col min="19" max="19" width="14.33203125" style="1" hidden="1" customWidth="1"/>
    <col min="20" max="20" width="14" style="1" hidden="1" customWidth="1"/>
    <col min="21" max="21" width="11.53125" style="1" customWidth="1"/>
    <col min="22" max="22" width="13.33203125" style="1" hidden="1" customWidth="1"/>
    <col min="23" max="23" width="11.53125" style="561" customWidth="1"/>
    <col min="24" max="24" width="12.33203125" style="1" customWidth="1"/>
    <col min="25" max="27" width="13.6640625" style="1" customWidth="1"/>
    <col min="28" max="28" width="8.6640625" style="1"/>
    <col min="29" max="29" width="11.6640625" style="1" customWidth="1"/>
    <col min="30" max="30" width="12.46484375" style="1" customWidth="1"/>
    <col min="31" max="16384" width="8.6640625" style="1"/>
  </cols>
  <sheetData>
    <row r="2" spans="1:28" x14ac:dyDescent="0.4">
      <c r="B2" s="1937" t="str">
        <f>Index!B2</f>
        <v>Nidar Utilities Panvel LLP</v>
      </c>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20"/>
      <c r="AA2" s="120"/>
    </row>
    <row r="3" spans="1:28" x14ac:dyDescent="0.4">
      <c r="B3" s="1875" t="s">
        <v>211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53"/>
      <c r="AA3" s="53"/>
    </row>
    <row r="4" spans="1:28" x14ac:dyDescent="0.4">
      <c r="B4" s="2079" t="s">
        <v>1611</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c r="Z4" s="123"/>
      <c r="AA4" s="123"/>
    </row>
    <row r="5" spans="1:28" x14ac:dyDescent="0.4">
      <c r="B5" s="123"/>
      <c r="C5" s="123"/>
      <c r="D5" s="123"/>
      <c r="E5" s="123"/>
      <c r="F5" s="123"/>
      <c r="G5" s="123"/>
      <c r="H5" s="123"/>
      <c r="I5" s="123"/>
      <c r="J5" s="123"/>
      <c r="K5" s="1332"/>
      <c r="L5" s="1327"/>
      <c r="M5" s="1327"/>
      <c r="N5" s="1327"/>
      <c r="O5" s="123"/>
      <c r="P5" s="123"/>
      <c r="Q5" s="123"/>
      <c r="R5" s="123"/>
      <c r="S5" s="123"/>
      <c r="T5" s="123"/>
    </row>
    <row r="6" spans="1:28" x14ac:dyDescent="0.4">
      <c r="B6" s="123"/>
      <c r="C6" s="123"/>
      <c r="D6" s="123"/>
      <c r="E6" s="123"/>
      <c r="F6" s="123"/>
      <c r="G6" s="123"/>
      <c r="H6" s="123"/>
      <c r="I6" s="123"/>
      <c r="J6" s="123"/>
      <c r="K6" s="1332"/>
      <c r="L6" s="1327"/>
      <c r="M6" s="1327"/>
      <c r="N6" s="1327"/>
      <c r="O6" s="123"/>
      <c r="P6" s="123"/>
      <c r="Q6" s="123"/>
      <c r="R6" s="123"/>
      <c r="S6" s="123"/>
      <c r="T6" s="123"/>
    </row>
    <row r="7" spans="1:28" x14ac:dyDescent="0.4">
      <c r="B7" s="131" t="s">
        <v>750</v>
      </c>
      <c r="C7" s="103"/>
      <c r="D7" s="103"/>
      <c r="E7" s="103"/>
      <c r="F7" s="103"/>
      <c r="G7" s="103"/>
      <c r="H7" s="103"/>
      <c r="I7" s="103"/>
      <c r="J7" s="103"/>
      <c r="K7" s="1333"/>
      <c r="L7" s="1328"/>
      <c r="M7" s="1328"/>
      <c r="N7" s="1328"/>
      <c r="O7" s="103"/>
      <c r="P7" s="103"/>
      <c r="Q7" s="103"/>
      <c r="R7" s="103"/>
      <c r="S7" s="103"/>
      <c r="T7" s="103"/>
      <c r="U7" s="103"/>
      <c r="V7" s="103"/>
      <c r="W7" s="1328"/>
      <c r="X7" s="103"/>
      <c r="Y7" s="103"/>
      <c r="Z7" s="103"/>
      <c r="AA7" s="103"/>
    </row>
    <row r="8" spans="1:28" x14ac:dyDescent="0.4">
      <c r="B8" s="131" t="s">
        <v>1607</v>
      </c>
      <c r="C8" s="103"/>
      <c r="D8" s="103"/>
      <c r="E8" s="103"/>
      <c r="F8" s="103"/>
      <c r="G8" s="103"/>
      <c r="H8" s="103"/>
      <c r="I8" s="103"/>
      <c r="J8" s="103"/>
      <c r="K8" s="1333"/>
      <c r="L8" s="1328"/>
      <c r="M8" s="1328"/>
      <c r="N8" s="1328"/>
      <c r="O8" s="103"/>
      <c r="P8" s="103"/>
      <c r="Q8" s="103"/>
      <c r="R8" s="103"/>
      <c r="S8" s="103"/>
      <c r="T8" s="103"/>
      <c r="U8" s="103"/>
      <c r="V8" s="103"/>
      <c r="W8" s="1328"/>
      <c r="X8" s="103"/>
      <c r="Y8" s="103"/>
      <c r="Z8" s="103"/>
      <c r="AA8" s="103"/>
    </row>
    <row r="9" spans="1:28" x14ac:dyDescent="0.4">
      <c r="B9" s="103"/>
      <c r="C9" s="103"/>
      <c r="D9" s="103"/>
      <c r="E9" s="103"/>
      <c r="F9" s="103"/>
      <c r="G9" s="103"/>
      <c r="H9" s="103"/>
      <c r="I9" s="103"/>
      <c r="J9" s="103"/>
      <c r="K9" s="1333"/>
      <c r="L9" s="1328"/>
      <c r="M9" s="1328"/>
      <c r="N9" s="1328"/>
      <c r="O9" s="103"/>
      <c r="P9" s="103"/>
      <c r="Q9" s="103"/>
      <c r="R9" s="103"/>
      <c r="S9" s="103"/>
      <c r="T9" s="103"/>
      <c r="U9" s="103"/>
      <c r="V9" s="103"/>
      <c r="W9" s="1328"/>
      <c r="X9" s="103"/>
      <c r="Y9" s="103"/>
      <c r="Z9" s="103"/>
      <c r="AA9" s="103"/>
    </row>
    <row r="10" spans="1:28" ht="13.8" customHeight="1" x14ac:dyDescent="0.4">
      <c r="B10" s="1984" t="s">
        <v>699</v>
      </c>
      <c r="C10" s="1947" t="s">
        <v>700</v>
      </c>
      <c r="D10" s="1945" t="s">
        <v>720</v>
      </c>
      <c r="E10" s="1945"/>
      <c r="F10" s="1945"/>
      <c r="G10" s="1945"/>
      <c r="H10" s="1945"/>
      <c r="I10" s="1945"/>
      <c r="J10" s="2084" t="s">
        <v>721</v>
      </c>
      <c r="K10" s="2085"/>
      <c r="L10" s="2085"/>
      <c r="M10" s="2086"/>
      <c r="N10" s="2082" t="s">
        <v>722</v>
      </c>
      <c r="O10" s="2082"/>
      <c r="P10" s="2082"/>
      <c r="Q10" s="2082"/>
      <c r="R10" s="2082"/>
      <c r="S10" s="2082"/>
      <c r="T10" s="2082"/>
      <c r="U10" s="2082"/>
      <c r="V10" s="1947" t="s">
        <v>707</v>
      </c>
      <c r="W10" s="2083" t="s">
        <v>723</v>
      </c>
      <c r="X10" s="1947" t="s">
        <v>724</v>
      </c>
      <c r="Y10" s="1947" t="s">
        <v>725</v>
      </c>
      <c r="Z10" s="1947" t="s">
        <v>1718</v>
      </c>
      <c r="AA10" s="1947" t="s">
        <v>1717</v>
      </c>
      <c r="AB10" s="1947" t="s">
        <v>1570</v>
      </c>
    </row>
    <row r="11" spans="1:28" ht="67.5" x14ac:dyDescent="0.4">
      <c r="A11" s="1984" t="s">
        <v>1166</v>
      </c>
      <c r="B11" s="1984"/>
      <c r="C11" s="1947"/>
      <c r="D11" s="106" t="s">
        <v>726</v>
      </c>
      <c r="E11" s="106" t="s">
        <v>727</v>
      </c>
      <c r="F11" s="106" t="s">
        <v>728</v>
      </c>
      <c r="G11" s="106" t="s">
        <v>729</v>
      </c>
      <c r="H11" s="106" t="s">
        <v>730</v>
      </c>
      <c r="I11" s="106" t="s">
        <v>731</v>
      </c>
      <c r="J11" s="106" t="s">
        <v>732</v>
      </c>
      <c r="K11" s="1334" t="s">
        <v>733</v>
      </c>
      <c r="L11" s="1331" t="s">
        <v>701</v>
      </c>
      <c r="M11" s="1331" t="s">
        <v>1837</v>
      </c>
      <c r="N11" s="749" t="s">
        <v>734</v>
      </c>
      <c r="O11" s="106" t="s">
        <v>735</v>
      </c>
      <c r="P11" s="106" t="s">
        <v>736</v>
      </c>
      <c r="Q11" s="106" t="s">
        <v>737</v>
      </c>
      <c r="R11" s="106" t="s">
        <v>738</v>
      </c>
      <c r="S11" s="106" t="s">
        <v>1512</v>
      </c>
      <c r="T11" s="106" t="s">
        <v>739</v>
      </c>
      <c r="U11" s="121" t="s">
        <v>164</v>
      </c>
      <c r="V11" s="1947"/>
      <c r="W11" s="2083"/>
      <c r="X11" s="1947"/>
      <c r="Y11" s="1947"/>
      <c r="Z11" s="1947"/>
      <c r="AA11" s="1947"/>
      <c r="AB11" s="1947"/>
    </row>
    <row r="12" spans="1:28" x14ac:dyDescent="0.4">
      <c r="A12" s="1984"/>
      <c r="B12" s="517" t="s">
        <v>161</v>
      </c>
      <c r="C12" s="80"/>
      <c r="D12" s="80"/>
      <c r="E12" s="80"/>
      <c r="F12" s="80"/>
      <c r="G12" s="80"/>
      <c r="H12" s="80"/>
      <c r="I12" s="80"/>
      <c r="J12" s="80"/>
      <c r="K12" s="1335"/>
      <c r="L12" s="1329"/>
      <c r="M12" s="1329"/>
      <c r="N12" s="1329"/>
      <c r="O12" s="80"/>
      <c r="P12" s="80"/>
      <c r="Q12" s="80"/>
      <c r="R12" s="80"/>
      <c r="S12" s="80"/>
      <c r="T12" s="80"/>
      <c r="U12" s="81"/>
      <c r="V12" s="80"/>
      <c r="W12" s="1329"/>
      <c r="X12" s="80"/>
      <c r="Y12" s="80"/>
      <c r="Z12" s="80"/>
      <c r="AA12" s="80"/>
      <c r="AB12" s="2"/>
    </row>
    <row r="13" spans="1:28" s="6" customFormat="1" ht="13.5" x14ac:dyDescent="0.35">
      <c r="A13" s="1364">
        <f>+'F14.2'!A13</f>
        <v>0.9</v>
      </c>
      <c r="B13" s="517" t="s">
        <v>1129</v>
      </c>
      <c r="C13" s="128">
        <f>+'F13.5'!C13</f>
        <v>4</v>
      </c>
      <c r="D13" s="128"/>
      <c r="E13" s="128">
        <v>750</v>
      </c>
      <c r="F13" s="1365">
        <v>4.74</v>
      </c>
      <c r="G13" s="128"/>
      <c r="H13" s="1365">
        <f ca="1">+'Tariff Schedule'!$W$7</f>
        <v>2.0055394252915626</v>
      </c>
      <c r="I13" s="128"/>
      <c r="J13" s="128"/>
      <c r="K13" s="1336">
        <f>AVERAGE('Sales Proj'!C42:N42)+AVERAGE('Sales Proj'!C45:N45)*1000</f>
        <v>34500</v>
      </c>
      <c r="L13" s="630">
        <f>+'F1 SEZ'!N12</f>
        <v>264.78600000000006</v>
      </c>
      <c r="M13" s="630">
        <f>+L13/AB13</f>
        <v>267.4606060606061</v>
      </c>
      <c r="N13" s="630"/>
      <c r="O13" s="630">
        <f>(K13*E13)*12/10^7*A13</f>
        <v>27.945</v>
      </c>
      <c r="P13" s="630">
        <f>(M13*F13)/10</f>
        <v>126.7763272727273</v>
      </c>
      <c r="Q13" s="630">
        <f>SUM(Q14:Q17)</f>
        <v>0</v>
      </c>
      <c r="R13" s="630">
        <f ca="1">(M13*H13)/10</f>
        <v>53.640279016692105</v>
      </c>
      <c r="S13" s="630"/>
      <c r="T13" s="630"/>
      <c r="U13" s="630">
        <f ca="1">SUM(N13:T13)</f>
        <v>208.3616062894194</v>
      </c>
      <c r="V13" s="128"/>
      <c r="W13" s="630">
        <f ca="1">+U13+V13</f>
        <v>208.3616062894194</v>
      </c>
      <c r="X13" s="1222">
        <f ca="1">IFERROR(W13/L13*10,0)</f>
        <v>7.8690567586435591</v>
      </c>
      <c r="Y13" s="1503">
        <f ca="1">+X13/'Gap Adjustment'!$N$124</f>
        <v>1.0005895588482903</v>
      </c>
      <c r="Z13" s="1222">
        <f ca="1">(U13-R13)/L13*10</f>
        <v>5.8432593593591529</v>
      </c>
      <c r="AA13" s="1503">
        <f ca="1">+Z13/'Gap Adjustment'!$N$126</f>
        <v>1.0007941150969542</v>
      </c>
      <c r="AB13" s="1366">
        <f>+'Tariff Schedule'!X14</f>
        <v>0.99</v>
      </c>
    </row>
    <row r="14" spans="1:28" x14ac:dyDescent="0.4">
      <c r="A14" s="1339"/>
      <c r="B14" s="1360" t="s">
        <v>1544</v>
      </c>
      <c r="C14" s="75"/>
      <c r="D14" s="75"/>
      <c r="E14" s="75"/>
      <c r="F14" s="75"/>
      <c r="G14" s="1221"/>
      <c r="H14" s="75"/>
      <c r="I14" s="75"/>
      <c r="J14" s="75"/>
      <c r="K14" s="1306"/>
      <c r="L14" s="628"/>
      <c r="M14" s="628">
        <f>+$M$13*Assum!E125</f>
        <v>65.489013705508441</v>
      </c>
      <c r="N14" s="628"/>
      <c r="O14" s="628"/>
      <c r="P14" s="628"/>
      <c r="Q14" s="628">
        <f>+G14*M14/10</f>
        <v>0</v>
      </c>
      <c r="R14" s="628"/>
      <c r="S14" s="628"/>
      <c r="T14" s="628"/>
      <c r="U14" s="628"/>
      <c r="V14" s="75"/>
      <c r="W14" s="628"/>
      <c r="X14" s="1221"/>
      <c r="Y14" s="75"/>
      <c r="Z14" s="75"/>
      <c r="AA14" s="75"/>
      <c r="AB14" s="1358"/>
    </row>
    <row r="15" spans="1:28" x14ac:dyDescent="0.4">
      <c r="A15" s="1339"/>
      <c r="B15" s="1360" t="s">
        <v>1545</v>
      </c>
      <c r="C15" s="75"/>
      <c r="D15" s="75"/>
      <c r="E15" s="75"/>
      <c r="F15" s="75"/>
      <c r="G15" s="1221"/>
      <c r="H15" s="75"/>
      <c r="I15" s="75"/>
      <c r="J15" s="75"/>
      <c r="K15" s="1306"/>
      <c r="L15" s="628"/>
      <c r="M15" s="628">
        <f>+$M$13*Assum!E126</f>
        <v>33.761567916439603</v>
      </c>
      <c r="N15" s="628"/>
      <c r="O15" s="628"/>
      <c r="P15" s="628"/>
      <c r="Q15" s="628">
        <f>+G15*M15/10</f>
        <v>0</v>
      </c>
      <c r="R15" s="628"/>
      <c r="S15" s="628"/>
      <c r="T15" s="628"/>
      <c r="U15" s="628"/>
      <c r="V15" s="75"/>
      <c r="W15" s="628"/>
      <c r="X15" s="1221"/>
      <c r="Y15" s="75"/>
      <c r="Z15" s="75"/>
      <c r="AA15" s="75"/>
      <c r="AB15" s="1358"/>
    </row>
    <row r="16" spans="1:28" x14ac:dyDescent="0.4">
      <c r="A16" s="1339"/>
      <c r="B16" s="1360" t="s">
        <v>1546</v>
      </c>
      <c r="C16" s="75"/>
      <c r="D16" s="75"/>
      <c r="E16" s="75"/>
      <c r="F16" s="75"/>
      <c r="G16" s="1221"/>
      <c r="H16" s="75"/>
      <c r="I16" s="75"/>
      <c r="J16" s="75"/>
      <c r="K16" s="1306"/>
      <c r="L16" s="628"/>
      <c r="M16" s="628">
        <f>+$M$13*Assum!E127</f>
        <v>89.915532626641962</v>
      </c>
      <c r="N16" s="628"/>
      <c r="O16" s="628"/>
      <c r="P16" s="628"/>
      <c r="Q16" s="628">
        <f>+G16*M16/10</f>
        <v>0</v>
      </c>
      <c r="R16" s="628"/>
      <c r="S16" s="628"/>
      <c r="T16" s="628"/>
      <c r="U16" s="628"/>
      <c r="V16" s="75"/>
      <c r="W16" s="628"/>
      <c r="X16" s="1221"/>
      <c r="Y16" s="75"/>
      <c r="Z16" s="75"/>
      <c r="AA16" s="75"/>
      <c r="AB16" s="1358"/>
    </row>
    <row r="17" spans="1:28" x14ac:dyDescent="0.4">
      <c r="A17" s="1339"/>
      <c r="B17" s="1360" t="s">
        <v>1549</v>
      </c>
      <c r="C17" s="75"/>
      <c r="D17" s="75"/>
      <c r="E17" s="75"/>
      <c r="F17" s="75"/>
      <c r="G17" s="1221"/>
      <c r="H17" s="75"/>
      <c r="I17" s="75"/>
      <c r="J17" s="75"/>
      <c r="K17" s="1306"/>
      <c r="L17" s="628"/>
      <c r="M17" s="628">
        <f>+$M$13*Assum!E128</f>
        <v>78.294491812016076</v>
      </c>
      <c r="N17" s="628"/>
      <c r="O17" s="628"/>
      <c r="P17" s="628"/>
      <c r="Q17" s="628">
        <f>+G17*M17/10</f>
        <v>0</v>
      </c>
      <c r="R17" s="628"/>
      <c r="S17" s="628"/>
      <c r="T17" s="628"/>
      <c r="U17" s="628"/>
      <c r="V17" s="75"/>
      <c r="W17" s="628"/>
      <c r="X17" s="1221"/>
      <c r="Y17" s="75"/>
      <c r="Z17" s="75"/>
      <c r="AA17" s="75"/>
      <c r="AB17" s="1358"/>
    </row>
    <row r="18" spans="1:28" s="6" customFormat="1" ht="13.5" x14ac:dyDescent="0.35">
      <c r="A18" s="1364">
        <f>+'F14.2'!A18</f>
        <v>0.75</v>
      </c>
      <c r="B18" s="517" t="s">
        <v>1130</v>
      </c>
      <c r="C18" s="128">
        <f>+'F13.5'!C18</f>
        <v>1</v>
      </c>
      <c r="D18" s="128"/>
      <c r="E18" s="128">
        <v>750</v>
      </c>
      <c r="F18" s="1365">
        <v>4</v>
      </c>
      <c r="G18" s="128"/>
      <c r="H18" s="1365">
        <f ca="1">+'Tariff Schedule'!$W$7</f>
        <v>2.0055394252915626</v>
      </c>
      <c r="I18" s="128"/>
      <c r="J18" s="128"/>
      <c r="K18" s="1336">
        <f>+'F13.5'!K18</f>
        <v>40</v>
      </c>
      <c r="L18" s="630">
        <f>+'F1 SEZ'!N13</f>
        <v>4.780528864771514E-2</v>
      </c>
      <c r="M18" s="630">
        <f>+L18/AB18</f>
        <v>4.8780906783382795E-2</v>
      </c>
      <c r="N18" s="630"/>
      <c r="O18" s="630">
        <f>(K18*E18)*12/10^7*A18</f>
        <v>2.6999999999999996E-2</v>
      </c>
      <c r="P18" s="630">
        <f>(M18*F18)/10</f>
        <v>1.9512362713353118E-2</v>
      </c>
      <c r="Q18" s="630">
        <f>SUM(Q19:Q22)</f>
        <v>0</v>
      </c>
      <c r="R18" s="630">
        <f ca="1">(M18*H18)/10</f>
        <v>9.7832031755546826E-3</v>
      </c>
      <c r="S18" s="630"/>
      <c r="T18" s="630"/>
      <c r="U18" s="630">
        <f ca="1">SUM(N18:T18)</f>
        <v>5.62955658889078E-2</v>
      </c>
      <c r="V18" s="128"/>
      <c r="W18" s="630">
        <f ca="1">+U18+V18</f>
        <v>5.62955658889078E-2</v>
      </c>
      <c r="X18" s="1222">
        <f ca="1">IFERROR(W18/L18*10,0)</f>
        <v>11.776012127812653</v>
      </c>
      <c r="Y18" s="1503">
        <f ca="1">+X18/'Gap Adjustment'!$N$124</f>
        <v>1.497378293404416</v>
      </c>
      <c r="Z18" s="1222">
        <f ca="1">(U18-R18)/L18*10</f>
        <v>9.7295433264947313</v>
      </c>
      <c r="AA18" s="1503">
        <f ca="1">+Z18/'Gap Adjustment'!$N$126</f>
        <v>1.666410663107154</v>
      </c>
      <c r="AB18" s="1366">
        <f>+'Tariff Schedule'!X15</f>
        <v>0.98</v>
      </c>
    </row>
    <row r="19" spans="1:28" x14ac:dyDescent="0.4">
      <c r="A19" s="1339"/>
      <c r="B19" s="1360" t="s">
        <v>1544</v>
      </c>
      <c r="C19" s="75"/>
      <c r="D19" s="75"/>
      <c r="E19" s="75"/>
      <c r="F19" s="75"/>
      <c r="G19" s="1221"/>
      <c r="H19" s="75"/>
      <c r="I19" s="75"/>
      <c r="J19" s="75"/>
      <c r="K19" s="1306"/>
      <c r="L19" s="628"/>
      <c r="M19" s="628">
        <f>+$M$18*Assum!F125</f>
        <v>6.870280214106763E-3</v>
      </c>
      <c r="N19" s="628"/>
      <c r="O19" s="628"/>
      <c r="P19" s="628"/>
      <c r="Q19" s="628">
        <f>+G19*M19/10</f>
        <v>0</v>
      </c>
      <c r="R19" s="628"/>
      <c r="S19" s="628"/>
      <c r="T19" s="628"/>
      <c r="U19" s="628"/>
      <c r="V19" s="75"/>
      <c r="W19" s="628"/>
      <c r="X19" s="1221"/>
      <c r="Y19" s="75"/>
      <c r="Z19" s="75"/>
      <c r="AA19" s="75"/>
      <c r="AB19" s="1358"/>
    </row>
    <row r="20" spans="1:28" x14ac:dyDescent="0.4">
      <c r="A20" s="1339"/>
      <c r="B20" s="1360" t="s">
        <v>1545</v>
      </c>
      <c r="C20" s="75"/>
      <c r="D20" s="75"/>
      <c r="E20" s="75"/>
      <c r="F20" s="75"/>
      <c r="G20" s="1221"/>
      <c r="H20" s="75"/>
      <c r="I20" s="75"/>
      <c r="J20" s="75"/>
      <c r="K20" s="1306"/>
      <c r="L20" s="628"/>
      <c r="M20" s="628">
        <f>+$M$18*Assum!F126</f>
        <v>6.9299864769883828E-3</v>
      </c>
      <c r="N20" s="628"/>
      <c r="O20" s="628"/>
      <c r="P20" s="628"/>
      <c r="Q20" s="628">
        <f>+G20*M20/10</f>
        <v>0</v>
      </c>
      <c r="R20" s="628"/>
      <c r="S20" s="628"/>
      <c r="T20" s="628"/>
      <c r="U20" s="628"/>
      <c r="V20" s="75"/>
      <c r="W20" s="628"/>
      <c r="X20" s="1221"/>
      <c r="Y20" s="75"/>
      <c r="Z20" s="75"/>
      <c r="AA20" s="75"/>
      <c r="AB20" s="1358"/>
    </row>
    <row r="21" spans="1:28" x14ac:dyDescent="0.4">
      <c r="A21" s="1339"/>
      <c r="B21" s="1360" t="s">
        <v>1546</v>
      </c>
      <c r="C21" s="75"/>
      <c r="D21" s="75"/>
      <c r="E21" s="75"/>
      <c r="F21" s="75"/>
      <c r="G21" s="1221"/>
      <c r="H21" s="75"/>
      <c r="I21" s="75"/>
      <c r="J21" s="75"/>
      <c r="K21" s="1306"/>
      <c r="L21" s="628"/>
      <c r="M21" s="628">
        <f>+$M$18*Assum!F127</f>
        <v>2.0914270746869672E-2</v>
      </c>
      <c r="N21" s="628"/>
      <c r="O21" s="628"/>
      <c r="P21" s="628"/>
      <c r="Q21" s="628">
        <f>+G21*M21/10</f>
        <v>0</v>
      </c>
      <c r="R21" s="628"/>
      <c r="S21" s="628"/>
      <c r="T21" s="628"/>
      <c r="U21" s="628"/>
      <c r="V21" s="75"/>
      <c r="W21" s="628"/>
      <c r="X21" s="1221"/>
      <c r="Y21" s="75"/>
      <c r="Z21" s="75"/>
      <c r="AA21" s="75"/>
      <c r="AB21" s="1358"/>
    </row>
    <row r="22" spans="1:28" x14ac:dyDescent="0.4">
      <c r="A22" s="1339"/>
      <c r="B22" s="1360" t="s">
        <v>1549</v>
      </c>
      <c r="C22" s="75"/>
      <c r="D22" s="75"/>
      <c r="E22" s="75"/>
      <c r="F22" s="75"/>
      <c r="G22" s="1221"/>
      <c r="H22" s="75"/>
      <c r="I22" s="75"/>
      <c r="J22" s="75"/>
      <c r="K22" s="1306"/>
      <c r="L22" s="628"/>
      <c r="M22" s="628">
        <f>+$M$18*Assum!F128</f>
        <v>1.4066369345417976E-2</v>
      </c>
      <c r="N22" s="628"/>
      <c r="O22" s="628"/>
      <c r="P22" s="628"/>
      <c r="Q22" s="628">
        <f>+G22*M22/10</f>
        <v>0</v>
      </c>
      <c r="R22" s="628"/>
      <c r="S22" s="628"/>
      <c r="T22" s="628"/>
      <c r="U22" s="628"/>
      <c r="V22" s="75"/>
      <c r="W22" s="628"/>
      <c r="X22" s="1221"/>
      <c r="Y22" s="75"/>
      <c r="Z22" s="75"/>
      <c r="AA22" s="75"/>
      <c r="AB22" s="1358"/>
    </row>
    <row r="23" spans="1:28" hidden="1" x14ac:dyDescent="0.4">
      <c r="B23" s="429" t="s">
        <v>1131</v>
      </c>
      <c r="C23" s="75"/>
      <c r="D23" s="75"/>
      <c r="E23" s="75"/>
      <c r="F23" s="75"/>
      <c r="G23" s="75"/>
      <c r="H23" s="75"/>
      <c r="I23" s="75"/>
      <c r="J23" s="75"/>
      <c r="K23" s="1306"/>
      <c r="L23" s="628"/>
      <c r="M23" s="628"/>
      <c r="N23" s="628"/>
      <c r="O23" s="628"/>
      <c r="P23" s="628"/>
      <c r="Q23" s="628"/>
      <c r="R23" s="628"/>
      <c r="S23" s="628"/>
      <c r="T23" s="628"/>
      <c r="U23" s="628"/>
      <c r="V23" s="75"/>
      <c r="W23" s="628"/>
      <c r="X23" s="75"/>
      <c r="Y23" s="75"/>
      <c r="Z23" s="75"/>
      <c r="AA23" s="75"/>
      <c r="AB23" s="2"/>
    </row>
    <row r="24" spans="1:28" ht="25.5" hidden="1" x14ac:dyDescent="0.4">
      <c r="B24" s="429" t="s">
        <v>1132</v>
      </c>
      <c r="C24" s="75"/>
      <c r="D24" s="75"/>
      <c r="E24" s="75"/>
      <c r="F24" s="75"/>
      <c r="G24" s="75"/>
      <c r="H24" s="75"/>
      <c r="I24" s="75"/>
      <c r="J24" s="75"/>
      <c r="K24" s="1306"/>
      <c r="L24" s="628"/>
      <c r="M24" s="628"/>
      <c r="N24" s="628"/>
      <c r="O24" s="628"/>
      <c r="P24" s="628"/>
      <c r="Q24" s="628"/>
      <c r="R24" s="628"/>
      <c r="S24" s="628"/>
      <c r="T24" s="628"/>
      <c r="U24" s="628"/>
      <c r="V24" s="75"/>
      <c r="W24" s="628"/>
      <c r="X24" s="75"/>
      <c r="Y24" s="75"/>
      <c r="Z24" s="75"/>
      <c r="AA24" s="75"/>
      <c r="AB24" s="2"/>
    </row>
    <row r="25" spans="1:28" x14ac:dyDescent="0.4">
      <c r="B25" s="518" t="s">
        <v>162</v>
      </c>
      <c r="C25" s="128">
        <f>SUM(C13:C24)</f>
        <v>5</v>
      </c>
      <c r="D25" s="1309">
        <f>SUM(D13:D24)</f>
        <v>0</v>
      </c>
      <c r="E25" s="1309"/>
      <c r="F25" s="1309"/>
      <c r="G25" s="1309"/>
      <c r="H25" s="1309"/>
      <c r="I25" s="1309">
        <f>SUM(I13:I24)</f>
        <v>0</v>
      </c>
      <c r="J25" s="1309">
        <f>SUM(J13:J24)</f>
        <v>0</v>
      </c>
      <c r="K25" s="1336">
        <f>SUM(K13:K24)</f>
        <v>34540</v>
      </c>
      <c r="L25" s="630">
        <f>+L13+L18</f>
        <v>264.8338052886478</v>
      </c>
      <c r="M25" s="630">
        <f>+M13+M18</f>
        <v>267.5093869673895</v>
      </c>
      <c r="N25" s="630">
        <f t="shared" ref="N25:W25" si="0">+N13+N18</f>
        <v>0</v>
      </c>
      <c r="O25" s="630">
        <f t="shared" si="0"/>
        <v>27.972000000000001</v>
      </c>
      <c r="P25" s="630">
        <f t="shared" si="0"/>
        <v>126.79583963544066</v>
      </c>
      <c r="Q25" s="630">
        <f t="shared" si="0"/>
        <v>0</v>
      </c>
      <c r="R25" s="630">
        <f t="shared" ca="1" si="0"/>
        <v>53.650062219867657</v>
      </c>
      <c r="S25" s="630">
        <f t="shared" si="0"/>
        <v>0</v>
      </c>
      <c r="T25" s="630">
        <f t="shared" si="0"/>
        <v>0</v>
      </c>
      <c r="U25" s="630">
        <f t="shared" ca="1" si="0"/>
        <v>208.41790185530832</v>
      </c>
      <c r="V25" s="630">
        <f t="shared" si="0"/>
        <v>0</v>
      </c>
      <c r="W25" s="630">
        <f t="shared" ca="1" si="0"/>
        <v>208.41790185530832</v>
      </c>
      <c r="X25" s="1221">
        <f ca="1">IFERROR(W25/L25*10,0)</f>
        <v>7.869762005199803</v>
      </c>
      <c r="Y25" s="1503">
        <f ca="1">+X25/'Gap Adjustment'!$N$124</f>
        <v>1.000679234442486</v>
      </c>
      <c r="Z25" s="1222">
        <f ca="1">(U25-R25)/L25*10</f>
        <v>5.8439608745098077</v>
      </c>
      <c r="AA25" s="1503">
        <f ca="1">+Z25/'Gap Adjustment'!$N$126</f>
        <v>1.0009142658880195</v>
      </c>
      <c r="AB25" s="2"/>
    </row>
    <row r="26" spans="1:28" x14ac:dyDescent="0.4">
      <c r="B26" s="517" t="s">
        <v>163</v>
      </c>
      <c r="C26" s="75"/>
      <c r="D26" s="75"/>
      <c r="E26" s="75"/>
      <c r="F26" s="75"/>
      <c r="G26" s="75"/>
      <c r="H26" s="75"/>
      <c r="I26" s="75"/>
      <c r="J26" s="75"/>
      <c r="K26" s="1306"/>
      <c r="L26" s="628"/>
      <c r="M26" s="628"/>
      <c r="N26" s="628"/>
      <c r="O26" s="628"/>
      <c r="P26" s="628"/>
      <c r="Q26" s="628"/>
      <c r="R26" s="628"/>
      <c r="S26" s="628"/>
      <c r="T26" s="628"/>
      <c r="U26" s="628"/>
      <c r="V26" s="75"/>
      <c r="W26" s="628"/>
      <c r="X26" s="75"/>
      <c r="Y26" s="75"/>
      <c r="Z26" s="75"/>
      <c r="AA26" s="75"/>
      <c r="AB26" s="2"/>
    </row>
    <row r="27" spans="1:28" hidden="1" x14ac:dyDescent="0.4">
      <c r="B27" s="1363" t="s">
        <v>1133</v>
      </c>
      <c r="C27" s="1308">
        <f>SUM(C28:C32)</f>
        <v>0</v>
      </c>
      <c r="D27" s="75"/>
      <c r="E27" s="75"/>
      <c r="F27" s="75"/>
      <c r="G27" s="75"/>
      <c r="H27" s="75"/>
      <c r="I27" s="75"/>
      <c r="J27" s="75"/>
      <c r="K27" s="1306"/>
      <c r="L27" s="628"/>
      <c r="M27" s="628"/>
      <c r="N27" s="628"/>
      <c r="O27" s="628"/>
      <c r="P27" s="628"/>
      <c r="Q27" s="628"/>
      <c r="R27" s="628"/>
      <c r="S27" s="628"/>
      <c r="T27" s="628"/>
      <c r="U27" s="628"/>
      <c r="V27" s="75"/>
      <c r="W27" s="628"/>
      <c r="X27" s="75"/>
      <c r="Y27" s="75"/>
      <c r="Z27" s="75"/>
      <c r="AA27" s="75"/>
      <c r="AB27" s="2"/>
    </row>
    <row r="28" spans="1:28" hidden="1" x14ac:dyDescent="0.4">
      <c r="B28" s="520" t="s">
        <v>1106</v>
      </c>
      <c r="C28" s="1306">
        <f>+'F13 SEZ'!C211</f>
        <v>0</v>
      </c>
      <c r="D28" s="75"/>
      <c r="E28" s="75"/>
      <c r="F28" s="1359"/>
      <c r="G28" s="75"/>
      <c r="H28" s="75"/>
      <c r="I28" s="75"/>
      <c r="J28" s="75"/>
      <c r="K28" s="1306"/>
      <c r="L28" s="628">
        <f>+'F1 SEZ'!N19</f>
        <v>0</v>
      </c>
      <c r="M28" s="628"/>
      <c r="N28" s="628"/>
      <c r="O28" s="628"/>
      <c r="P28" s="628"/>
      <c r="Q28" s="628"/>
      <c r="R28" s="628"/>
      <c r="S28" s="628"/>
      <c r="T28" s="628"/>
      <c r="U28" s="628">
        <f>SUM(N28:T28)</f>
        <v>0</v>
      </c>
      <c r="V28" s="75"/>
      <c r="W28" s="628">
        <f>+U28+V28</f>
        <v>0</v>
      </c>
      <c r="X28" s="75"/>
      <c r="Y28" s="75"/>
      <c r="Z28" s="75"/>
      <c r="AA28" s="75"/>
      <c r="AB28" s="2"/>
    </row>
    <row r="29" spans="1:28" hidden="1" x14ac:dyDescent="0.4">
      <c r="B29" s="520" t="s">
        <v>1107</v>
      </c>
      <c r="C29" s="1306">
        <f>+'F13 SEZ'!C212</f>
        <v>0</v>
      </c>
      <c r="D29" s="75"/>
      <c r="E29" s="75"/>
      <c r="F29" s="1359"/>
      <c r="G29" s="75"/>
      <c r="H29" s="75"/>
      <c r="I29" s="75"/>
      <c r="J29" s="75"/>
      <c r="K29" s="1306"/>
      <c r="L29" s="628">
        <f>+'F1 SEZ'!N20</f>
        <v>0</v>
      </c>
      <c r="M29" s="628"/>
      <c r="N29" s="628"/>
      <c r="O29" s="628"/>
      <c r="P29" s="628"/>
      <c r="Q29" s="628"/>
      <c r="R29" s="628"/>
      <c r="S29" s="628"/>
      <c r="T29" s="628"/>
      <c r="U29" s="628">
        <f>SUM(N29:T29)</f>
        <v>0</v>
      </c>
      <c r="V29" s="75"/>
      <c r="W29" s="628">
        <f>+U29+V29</f>
        <v>0</v>
      </c>
      <c r="X29" s="75"/>
      <c r="Y29" s="75"/>
      <c r="Z29" s="75"/>
      <c r="AA29" s="75"/>
      <c r="AB29" s="2"/>
    </row>
    <row r="30" spans="1:28" hidden="1" x14ac:dyDescent="0.4">
      <c r="B30" s="520" t="s">
        <v>1108</v>
      </c>
      <c r="C30" s="1306">
        <f>+'F13 SEZ'!C213</f>
        <v>0</v>
      </c>
      <c r="D30" s="75"/>
      <c r="E30" s="75"/>
      <c r="F30" s="1359"/>
      <c r="G30" s="75"/>
      <c r="H30" s="75"/>
      <c r="I30" s="75"/>
      <c r="J30" s="75"/>
      <c r="K30" s="1306"/>
      <c r="L30" s="628">
        <f>+'F1 SEZ'!N21</f>
        <v>0</v>
      </c>
      <c r="M30" s="628"/>
      <c r="N30" s="628"/>
      <c r="O30" s="628"/>
      <c r="P30" s="628"/>
      <c r="Q30" s="628"/>
      <c r="R30" s="628"/>
      <c r="S30" s="628"/>
      <c r="T30" s="628"/>
      <c r="U30" s="628">
        <f>SUM(N30:T30)</f>
        <v>0</v>
      </c>
      <c r="V30" s="75"/>
      <c r="W30" s="628">
        <f>+U30+V30</f>
        <v>0</v>
      </c>
      <c r="X30" s="75"/>
      <c r="Y30" s="75"/>
      <c r="Z30" s="75"/>
      <c r="AA30" s="75"/>
      <c r="AB30" s="2"/>
    </row>
    <row r="31" spans="1:28" hidden="1" x14ac:dyDescent="0.4">
      <c r="B31" s="520" t="s">
        <v>1109</v>
      </c>
      <c r="C31" s="1306">
        <f>+'F13 SEZ'!C214</f>
        <v>0</v>
      </c>
      <c r="D31" s="75"/>
      <c r="E31" s="75"/>
      <c r="F31" s="1359"/>
      <c r="G31" s="75"/>
      <c r="H31" s="75"/>
      <c r="I31" s="75"/>
      <c r="J31" s="75"/>
      <c r="K31" s="1306"/>
      <c r="L31" s="628">
        <f>+'F1 SEZ'!N22</f>
        <v>0</v>
      </c>
      <c r="M31" s="628"/>
      <c r="N31" s="628"/>
      <c r="O31" s="628"/>
      <c r="P31" s="628"/>
      <c r="Q31" s="628"/>
      <c r="R31" s="628"/>
      <c r="S31" s="628"/>
      <c r="T31" s="628"/>
      <c r="U31" s="628">
        <f>SUM(N31:T31)</f>
        <v>0</v>
      </c>
      <c r="V31" s="75"/>
      <c r="W31" s="628">
        <f>+U31+V31</f>
        <v>0</v>
      </c>
      <c r="X31" s="75"/>
      <c r="Y31" s="75"/>
      <c r="Z31" s="75"/>
      <c r="AA31" s="75"/>
      <c r="AB31" s="2"/>
    </row>
    <row r="32" spans="1:28" hidden="1" x14ac:dyDescent="0.4">
      <c r="B32" s="520" t="s">
        <v>1110</v>
      </c>
      <c r="C32" s="1306">
        <f>+'F13 SEZ'!C215</f>
        <v>0</v>
      </c>
      <c r="D32" s="75"/>
      <c r="E32" s="75"/>
      <c r="F32" s="75"/>
      <c r="G32" s="75"/>
      <c r="H32" s="75"/>
      <c r="I32" s="75"/>
      <c r="J32" s="75"/>
      <c r="K32" s="1306"/>
      <c r="L32" s="628">
        <f>+'F1 SEZ'!N23</f>
        <v>0</v>
      </c>
      <c r="M32" s="628"/>
      <c r="N32" s="628"/>
      <c r="O32" s="628"/>
      <c r="P32" s="628"/>
      <c r="Q32" s="628"/>
      <c r="R32" s="628"/>
      <c r="S32" s="628"/>
      <c r="T32" s="628"/>
      <c r="U32" s="628">
        <f>SUM(N32:T32)</f>
        <v>0</v>
      </c>
      <c r="V32" s="75"/>
      <c r="W32" s="628">
        <f>+U32+V32</f>
        <v>0</v>
      </c>
      <c r="X32" s="75"/>
      <c r="Y32" s="75"/>
      <c r="Z32" s="75"/>
      <c r="AA32" s="75"/>
      <c r="AB32" s="2"/>
    </row>
    <row r="33" spans="1:28" hidden="1" x14ac:dyDescent="0.4">
      <c r="B33" s="520"/>
      <c r="C33" s="1306"/>
      <c r="D33" s="75"/>
      <c r="E33" s="75"/>
      <c r="F33" s="75"/>
      <c r="G33" s="75"/>
      <c r="H33" s="75"/>
      <c r="I33" s="75"/>
      <c r="J33" s="75"/>
      <c r="K33" s="1306"/>
      <c r="L33" s="628"/>
      <c r="M33" s="628"/>
      <c r="N33" s="628"/>
      <c r="O33" s="628"/>
      <c r="P33" s="628"/>
      <c r="Q33" s="628"/>
      <c r="R33" s="628"/>
      <c r="S33" s="628"/>
      <c r="T33" s="628"/>
      <c r="U33" s="628"/>
      <c r="V33" s="75"/>
      <c r="W33" s="628"/>
      <c r="X33" s="75"/>
      <c r="Y33" s="75"/>
      <c r="Z33" s="75"/>
      <c r="AA33" s="75"/>
      <c r="AB33" s="2"/>
    </row>
    <row r="34" spans="1:28" ht="25.5" hidden="1" x14ac:dyDescent="0.4">
      <c r="B34" s="1363" t="s">
        <v>1139</v>
      </c>
      <c r="C34" s="1307">
        <f>SUM(C35:C41)</f>
        <v>0</v>
      </c>
      <c r="D34" s="75"/>
      <c r="E34" s="75"/>
      <c r="F34" s="75"/>
      <c r="G34" s="75"/>
      <c r="H34" s="75"/>
      <c r="I34" s="75"/>
      <c r="J34" s="75"/>
      <c r="K34" s="1306"/>
      <c r="L34" s="628">
        <f>+'F1 SEZ'!N24</f>
        <v>0</v>
      </c>
      <c r="M34" s="628"/>
      <c r="N34" s="628"/>
      <c r="O34" s="628"/>
      <c r="P34" s="628"/>
      <c r="Q34" s="628"/>
      <c r="R34" s="628"/>
      <c r="S34" s="628"/>
      <c r="T34" s="628"/>
      <c r="U34" s="628">
        <f>SUM(N34:T34)</f>
        <v>0</v>
      </c>
      <c r="V34" s="75"/>
      <c r="W34" s="628">
        <f>+U34+V34</f>
        <v>0</v>
      </c>
      <c r="X34" s="75"/>
      <c r="Y34" s="75"/>
      <c r="Z34" s="75"/>
      <c r="AA34" s="75"/>
      <c r="AB34" s="2"/>
    </row>
    <row r="35" spans="1:28" hidden="1" x14ac:dyDescent="0.4">
      <c r="B35" s="1362" t="s">
        <v>1140</v>
      </c>
      <c r="C35" s="1306">
        <f>+'F13 SEZ'!C217</f>
        <v>0</v>
      </c>
      <c r="D35" s="75"/>
      <c r="E35" s="75"/>
      <c r="F35" s="75"/>
      <c r="G35" s="75"/>
      <c r="H35" s="75"/>
      <c r="I35" s="75"/>
      <c r="J35" s="75"/>
      <c r="K35" s="1306"/>
      <c r="L35" s="628">
        <f>+'F1 SEZ'!N25</f>
        <v>0</v>
      </c>
      <c r="M35" s="628"/>
      <c r="N35" s="628"/>
      <c r="O35" s="628"/>
      <c r="P35" s="628"/>
      <c r="Q35" s="628"/>
      <c r="R35" s="628"/>
      <c r="S35" s="628"/>
      <c r="T35" s="628"/>
      <c r="U35" s="628">
        <f>SUM(N35:T35)</f>
        <v>0</v>
      </c>
      <c r="V35" s="75"/>
      <c r="W35" s="628">
        <f>+U35+V35</f>
        <v>0</v>
      </c>
      <c r="X35" s="75"/>
      <c r="Y35" s="75"/>
      <c r="Z35" s="75"/>
      <c r="AA35" s="75"/>
      <c r="AB35" s="2"/>
    </row>
    <row r="36" spans="1:28" hidden="1" x14ac:dyDescent="0.4">
      <c r="B36" s="1362" t="s">
        <v>1144</v>
      </c>
      <c r="C36" s="1306">
        <f>+'F13 SEZ'!C218</f>
        <v>0</v>
      </c>
      <c r="D36" s="75"/>
      <c r="E36" s="75"/>
      <c r="F36" s="75"/>
      <c r="G36" s="75"/>
      <c r="H36" s="75"/>
      <c r="I36" s="75"/>
      <c r="J36" s="75"/>
      <c r="K36" s="1306"/>
      <c r="L36" s="628">
        <f>+'F1 SEZ'!N26</f>
        <v>0</v>
      </c>
      <c r="M36" s="628"/>
      <c r="N36" s="628"/>
      <c r="O36" s="628"/>
      <c r="P36" s="628"/>
      <c r="Q36" s="628"/>
      <c r="R36" s="628"/>
      <c r="S36" s="628"/>
      <c r="T36" s="628"/>
      <c r="U36" s="628">
        <f>SUM(N36:T36)</f>
        <v>0</v>
      </c>
      <c r="V36" s="75"/>
      <c r="W36" s="628">
        <f>+U36+V36</f>
        <v>0</v>
      </c>
      <c r="X36" s="75"/>
      <c r="Y36" s="75"/>
      <c r="Z36" s="75"/>
      <c r="AA36" s="75"/>
      <c r="AB36" s="2"/>
    </row>
    <row r="37" spans="1:28" hidden="1" x14ac:dyDescent="0.4">
      <c r="A37" s="1339"/>
      <c r="B37" s="1360" t="s">
        <v>1544</v>
      </c>
      <c r="C37" s="75"/>
      <c r="D37" s="75"/>
      <c r="E37" s="75"/>
      <c r="F37" s="75"/>
      <c r="G37" s="1221">
        <f>+$F36*'Tariff Schedule'!E$50</f>
        <v>0</v>
      </c>
      <c r="H37" s="75"/>
      <c r="I37" s="75"/>
      <c r="J37" s="75"/>
      <c r="K37" s="1306"/>
      <c r="L37" s="628"/>
      <c r="M37" s="628"/>
      <c r="N37" s="628"/>
      <c r="O37" s="628"/>
      <c r="P37" s="628"/>
      <c r="Q37" s="628">
        <f>+G37*M37/10</f>
        <v>0</v>
      </c>
      <c r="R37" s="628"/>
      <c r="S37" s="628"/>
      <c r="T37" s="628"/>
      <c r="U37" s="628"/>
      <c r="V37" s="75"/>
      <c r="W37" s="628"/>
      <c r="X37" s="1221"/>
      <c r="Y37" s="75"/>
      <c r="Z37" s="75"/>
      <c r="AA37" s="75"/>
      <c r="AB37" s="1358"/>
    </row>
    <row r="38" spans="1:28" hidden="1" x14ac:dyDescent="0.4">
      <c r="A38" s="1339"/>
      <c r="B38" s="1360" t="s">
        <v>1545</v>
      </c>
      <c r="C38" s="75"/>
      <c r="D38" s="75"/>
      <c r="E38" s="75"/>
      <c r="F38" s="75"/>
      <c r="G38" s="1221">
        <f>+$F36*'Tariff Schedule'!E$51</f>
        <v>0</v>
      </c>
      <c r="H38" s="75"/>
      <c r="I38" s="75"/>
      <c r="J38" s="75"/>
      <c r="K38" s="1306"/>
      <c r="L38" s="628"/>
      <c r="M38" s="628"/>
      <c r="N38" s="628"/>
      <c r="O38" s="628"/>
      <c r="P38" s="628"/>
      <c r="Q38" s="628">
        <f>+G38*M38/10</f>
        <v>0</v>
      </c>
      <c r="R38" s="628"/>
      <c r="S38" s="628"/>
      <c r="T38" s="628"/>
      <c r="U38" s="628"/>
      <c r="V38" s="75"/>
      <c r="W38" s="628"/>
      <c r="X38" s="1221"/>
      <c r="Y38" s="75"/>
      <c r="Z38" s="75"/>
      <c r="AA38" s="75"/>
      <c r="AB38" s="1358"/>
    </row>
    <row r="39" spans="1:28" hidden="1" x14ac:dyDescent="0.4">
      <c r="A39" s="1339"/>
      <c r="B39" s="1360" t="s">
        <v>1546</v>
      </c>
      <c r="C39" s="75"/>
      <c r="D39" s="75"/>
      <c r="E39" s="75"/>
      <c r="F39" s="75"/>
      <c r="G39" s="1221">
        <f>+$F36*'Tariff Schedule'!E$52</f>
        <v>0</v>
      </c>
      <c r="H39" s="75"/>
      <c r="I39" s="75"/>
      <c r="J39" s="75"/>
      <c r="K39" s="1306"/>
      <c r="L39" s="628"/>
      <c r="M39" s="628"/>
      <c r="N39" s="628"/>
      <c r="O39" s="628"/>
      <c r="P39" s="628"/>
      <c r="Q39" s="628">
        <f>+G39*M39/10</f>
        <v>0</v>
      </c>
      <c r="R39" s="628"/>
      <c r="S39" s="628"/>
      <c r="T39" s="628"/>
      <c r="U39" s="628"/>
      <c r="V39" s="75"/>
      <c r="W39" s="628"/>
      <c r="X39" s="1221"/>
      <c r="Y39" s="75"/>
      <c r="Z39" s="75"/>
      <c r="AA39" s="75"/>
      <c r="AB39" s="1358"/>
    </row>
    <row r="40" spans="1:28" hidden="1" x14ac:dyDescent="0.4">
      <c r="A40" s="1339"/>
      <c r="B40" s="1360" t="s">
        <v>1549</v>
      </c>
      <c r="C40" s="75"/>
      <c r="D40" s="75"/>
      <c r="E40" s="75"/>
      <c r="F40" s="75"/>
      <c r="G40" s="1221">
        <f>+$F36*'Tariff Schedule'!E$55</f>
        <v>0</v>
      </c>
      <c r="H40" s="75"/>
      <c r="I40" s="75"/>
      <c r="J40" s="75"/>
      <c r="K40" s="1306"/>
      <c r="L40" s="628"/>
      <c r="M40" s="628"/>
      <c r="N40" s="628"/>
      <c r="O40" s="628"/>
      <c r="P40" s="628"/>
      <c r="Q40" s="628">
        <f>+G40*M40/10</f>
        <v>0</v>
      </c>
      <c r="R40" s="628"/>
      <c r="S40" s="628"/>
      <c r="T40" s="628"/>
      <c r="U40" s="628"/>
      <c r="V40" s="75"/>
      <c r="W40" s="628"/>
      <c r="X40" s="1221"/>
      <c r="Y40" s="75"/>
      <c r="Z40" s="75"/>
      <c r="AA40" s="75"/>
      <c r="AB40" s="1358"/>
    </row>
    <row r="41" spans="1:28" hidden="1" x14ac:dyDescent="0.4">
      <c r="B41" s="1362" t="s">
        <v>1143</v>
      </c>
      <c r="C41" s="1306">
        <f>+'F13 SEZ'!C219</f>
        <v>0</v>
      </c>
      <c r="D41" s="75"/>
      <c r="E41" s="75"/>
      <c r="F41" s="75"/>
      <c r="G41" s="75"/>
      <c r="H41" s="75"/>
      <c r="I41" s="75"/>
      <c r="J41" s="75"/>
      <c r="K41" s="1306"/>
      <c r="L41" s="628">
        <f>+'F1 SEZ'!N27</f>
        <v>0</v>
      </c>
      <c r="M41" s="628"/>
      <c r="N41" s="628"/>
      <c r="O41" s="628"/>
      <c r="P41" s="628"/>
      <c r="Q41" s="628"/>
      <c r="R41" s="628"/>
      <c r="S41" s="628"/>
      <c r="T41" s="628"/>
      <c r="U41" s="628">
        <f>SUM(N41:T41)</f>
        <v>0</v>
      </c>
      <c r="V41" s="75"/>
      <c r="W41" s="628">
        <f>+U41+V41</f>
        <v>0</v>
      </c>
      <c r="X41" s="75"/>
      <c r="Y41" s="75"/>
      <c r="Z41" s="75"/>
      <c r="AA41" s="75"/>
      <c r="AB41" s="2"/>
    </row>
    <row r="42" spans="1:28" hidden="1" x14ac:dyDescent="0.4">
      <c r="A42" s="1339"/>
      <c r="B42" s="1360" t="s">
        <v>1544</v>
      </c>
      <c r="C42" s="75"/>
      <c r="D42" s="75"/>
      <c r="E42" s="75"/>
      <c r="F42" s="75"/>
      <c r="G42" s="1221">
        <f>+$F41*'Tariff Schedule'!E$50</f>
        <v>0</v>
      </c>
      <c r="H42" s="75"/>
      <c r="I42" s="75"/>
      <c r="J42" s="75"/>
      <c r="K42" s="1306"/>
      <c r="L42" s="628"/>
      <c r="M42" s="628"/>
      <c r="N42" s="628"/>
      <c r="O42" s="628"/>
      <c r="P42" s="628"/>
      <c r="Q42" s="628">
        <f>+G42*M42/10</f>
        <v>0</v>
      </c>
      <c r="R42" s="628"/>
      <c r="S42" s="628"/>
      <c r="T42" s="628"/>
      <c r="U42" s="628"/>
      <c r="V42" s="75"/>
      <c r="W42" s="628"/>
      <c r="X42" s="1221"/>
      <c r="Y42" s="75"/>
      <c r="Z42" s="75"/>
      <c r="AA42" s="75"/>
      <c r="AB42" s="1358"/>
    </row>
    <row r="43" spans="1:28" hidden="1" x14ac:dyDescent="0.4">
      <c r="A43" s="1339"/>
      <c r="B43" s="1360" t="s">
        <v>1545</v>
      </c>
      <c r="C43" s="75"/>
      <c r="D43" s="75"/>
      <c r="E43" s="75"/>
      <c r="F43" s="75"/>
      <c r="G43" s="1221">
        <f>+$F41*'Tariff Schedule'!E$51</f>
        <v>0</v>
      </c>
      <c r="H43" s="75"/>
      <c r="I43" s="75"/>
      <c r="J43" s="75"/>
      <c r="K43" s="1306"/>
      <c r="L43" s="628"/>
      <c r="M43" s="628"/>
      <c r="N43" s="628"/>
      <c r="O43" s="628"/>
      <c r="P43" s="628"/>
      <c r="Q43" s="628">
        <f>+G43*M43/10</f>
        <v>0</v>
      </c>
      <c r="R43" s="628"/>
      <c r="S43" s="628"/>
      <c r="T43" s="628"/>
      <c r="U43" s="628"/>
      <c r="V43" s="75"/>
      <c r="W43" s="628"/>
      <c r="X43" s="1221"/>
      <c r="Y43" s="75"/>
      <c r="Z43" s="75"/>
      <c r="AA43" s="75"/>
      <c r="AB43" s="1358"/>
    </row>
    <row r="44" spans="1:28" hidden="1" x14ac:dyDescent="0.4">
      <c r="A44" s="1339"/>
      <c r="B44" s="1360" t="s">
        <v>1546</v>
      </c>
      <c r="C44" s="75"/>
      <c r="D44" s="75"/>
      <c r="E44" s="75"/>
      <c r="F44" s="75"/>
      <c r="G44" s="1221">
        <f>+$F41*'Tariff Schedule'!E$52</f>
        <v>0</v>
      </c>
      <c r="H44" s="75"/>
      <c r="I44" s="75"/>
      <c r="J44" s="75"/>
      <c r="K44" s="1306"/>
      <c r="L44" s="628"/>
      <c r="M44" s="628"/>
      <c r="N44" s="628"/>
      <c r="O44" s="628"/>
      <c r="P44" s="628"/>
      <c r="Q44" s="628">
        <f>+G44*M44/10</f>
        <v>0</v>
      </c>
      <c r="R44" s="628"/>
      <c r="S44" s="628"/>
      <c r="T44" s="628"/>
      <c r="U44" s="628"/>
      <c r="V44" s="75"/>
      <c r="W44" s="628"/>
      <c r="X44" s="1221"/>
      <c r="Y44" s="75"/>
      <c r="Z44" s="75"/>
      <c r="AA44" s="75"/>
      <c r="AB44" s="1358"/>
    </row>
    <row r="45" spans="1:28" hidden="1" x14ac:dyDescent="0.4">
      <c r="A45" s="1339"/>
      <c r="B45" s="1360" t="s">
        <v>1549</v>
      </c>
      <c r="C45" s="75"/>
      <c r="D45" s="75"/>
      <c r="E45" s="75"/>
      <c r="F45" s="75"/>
      <c r="G45" s="1221">
        <f>+$F41*'Tariff Schedule'!E$55</f>
        <v>0</v>
      </c>
      <c r="H45" s="75"/>
      <c r="I45" s="75"/>
      <c r="J45" s="75"/>
      <c r="K45" s="1306"/>
      <c r="L45" s="628"/>
      <c r="M45" s="628"/>
      <c r="N45" s="628"/>
      <c r="O45" s="628"/>
      <c r="P45" s="628"/>
      <c r="Q45" s="628">
        <f>+G45*M45/10</f>
        <v>0</v>
      </c>
      <c r="R45" s="628"/>
      <c r="S45" s="628"/>
      <c r="T45" s="628"/>
      <c r="U45" s="628"/>
      <c r="V45" s="75"/>
      <c r="W45" s="628"/>
      <c r="X45" s="1221"/>
      <c r="Y45" s="75"/>
      <c r="Z45" s="75"/>
      <c r="AA45" s="75"/>
      <c r="AB45" s="1358"/>
    </row>
    <row r="46" spans="1:28" ht="25.5" hidden="1" x14ac:dyDescent="0.4">
      <c r="B46" s="519" t="s">
        <v>1111</v>
      </c>
      <c r="C46" s="1306">
        <f>+'F13 SEZ'!C220</f>
        <v>0</v>
      </c>
      <c r="D46" s="75"/>
      <c r="E46" s="75"/>
      <c r="F46" s="75"/>
      <c r="G46" s="75"/>
      <c r="H46" s="75"/>
      <c r="I46" s="75"/>
      <c r="J46" s="75"/>
      <c r="K46" s="1306"/>
      <c r="L46" s="628">
        <f>+'F1 SEZ'!N28</f>
        <v>0</v>
      </c>
      <c r="M46" s="628"/>
      <c r="N46" s="628"/>
      <c r="O46" s="628"/>
      <c r="P46" s="628"/>
      <c r="Q46" s="628"/>
      <c r="R46" s="628"/>
      <c r="S46" s="628"/>
      <c r="T46" s="628"/>
      <c r="U46" s="628">
        <f>SUM(N46:T46)</f>
        <v>0</v>
      </c>
      <c r="V46" s="75"/>
      <c r="W46" s="628">
        <f>+U46+V46</f>
        <v>0</v>
      </c>
      <c r="X46" s="75"/>
      <c r="Y46" s="75"/>
      <c r="Z46" s="75"/>
      <c r="AA46" s="75"/>
      <c r="AB46" s="2"/>
    </row>
    <row r="47" spans="1:28" hidden="1" x14ac:dyDescent="0.4">
      <c r="A47" s="1339"/>
      <c r="B47" s="1360" t="s">
        <v>1544</v>
      </c>
      <c r="C47" s="75"/>
      <c r="D47" s="75"/>
      <c r="E47" s="75"/>
      <c r="F47" s="75"/>
      <c r="G47" s="1221">
        <f>+$F46*'Tariff Schedule'!E$50</f>
        <v>0</v>
      </c>
      <c r="H47" s="75"/>
      <c r="I47" s="75"/>
      <c r="J47" s="75"/>
      <c r="K47" s="1306"/>
      <c r="L47" s="628"/>
      <c r="M47" s="628"/>
      <c r="N47" s="628"/>
      <c r="O47" s="628"/>
      <c r="P47" s="628"/>
      <c r="Q47" s="628">
        <f>+G47*M47/10</f>
        <v>0</v>
      </c>
      <c r="R47" s="628"/>
      <c r="S47" s="628"/>
      <c r="T47" s="628"/>
      <c r="U47" s="628"/>
      <c r="V47" s="75"/>
      <c r="W47" s="628"/>
      <c r="X47" s="1221"/>
      <c r="Y47" s="75"/>
      <c r="Z47" s="75"/>
      <c r="AA47" s="75"/>
      <c r="AB47" s="1358"/>
    </row>
    <row r="48" spans="1:28" hidden="1" x14ac:dyDescent="0.4">
      <c r="A48" s="1339"/>
      <c r="B48" s="1360" t="s">
        <v>1545</v>
      </c>
      <c r="C48" s="75"/>
      <c r="D48" s="75"/>
      <c r="E48" s="75"/>
      <c r="F48" s="75"/>
      <c r="G48" s="1221">
        <f>+$F46*'Tariff Schedule'!E$51</f>
        <v>0</v>
      </c>
      <c r="H48" s="75"/>
      <c r="I48" s="75"/>
      <c r="J48" s="75"/>
      <c r="K48" s="1306"/>
      <c r="L48" s="628"/>
      <c r="M48" s="628"/>
      <c r="N48" s="628"/>
      <c r="O48" s="628"/>
      <c r="P48" s="628"/>
      <c r="Q48" s="628">
        <f>+G48*M48/10</f>
        <v>0</v>
      </c>
      <c r="R48" s="628"/>
      <c r="S48" s="628"/>
      <c r="T48" s="628"/>
      <c r="U48" s="628"/>
      <c r="V48" s="75"/>
      <c r="W48" s="628"/>
      <c r="X48" s="1221"/>
      <c r="Y48" s="75"/>
      <c r="Z48" s="75"/>
      <c r="AA48" s="75"/>
      <c r="AB48" s="1358"/>
    </row>
    <row r="49" spans="1:28" hidden="1" x14ac:dyDescent="0.4">
      <c r="A49" s="1339"/>
      <c r="B49" s="1360" t="s">
        <v>1546</v>
      </c>
      <c r="C49" s="75"/>
      <c r="D49" s="75"/>
      <c r="E49" s="75"/>
      <c r="F49" s="75"/>
      <c r="G49" s="1221">
        <f>+$F46*'Tariff Schedule'!E$52</f>
        <v>0</v>
      </c>
      <c r="H49" s="75"/>
      <c r="I49" s="75"/>
      <c r="J49" s="75"/>
      <c r="K49" s="1306"/>
      <c r="L49" s="628"/>
      <c r="M49" s="628"/>
      <c r="N49" s="628"/>
      <c r="O49" s="628"/>
      <c r="P49" s="628"/>
      <c r="Q49" s="628">
        <f>+G49*M49/10</f>
        <v>0</v>
      </c>
      <c r="R49" s="628"/>
      <c r="S49" s="628"/>
      <c r="T49" s="628"/>
      <c r="U49" s="628"/>
      <c r="V49" s="75"/>
      <c r="W49" s="628"/>
      <c r="X49" s="1221"/>
      <c r="Y49" s="75"/>
      <c r="Z49" s="75"/>
      <c r="AA49" s="75"/>
      <c r="AB49" s="1358"/>
    </row>
    <row r="50" spans="1:28" hidden="1" x14ac:dyDescent="0.4">
      <c r="A50" s="1339"/>
      <c r="B50" s="1360" t="s">
        <v>1549</v>
      </c>
      <c r="C50" s="75"/>
      <c r="D50" s="75"/>
      <c r="E50" s="75"/>
      <c r="F50" s="75"/>
      <c r="G50" s="1221">
        <f>+$F46*'Tariff Schedule'!E$55</f>
        <v>0</v>
      </c>
      <c r="H50" s="75"/>
      <c r="I50" s="75"/>
      <c r="J50" s="75"/>
      <c r="K50" s="1306"/>
      <c r="L50" s="628"/>
      <c r="M50" s="628"/>
      <c r="N50" s="628"/>
      <c r="O50" s="628"/>
      <c r="P50" s="628"/>
      <c r="Q50" s="628">
        <f>+G50*M50/10</f>
        <v>0</v>
      </c>
      <c r="R50" s="628"/>
      <c r="S50" s="628"/>
      <c r="T50" s="628"/>
      <c r="U50" s="628"/>
      <c r="V50" s="75"/>
      <c r="W50" s="628"/>
      <c r="X50" s="1221"/>
      <c r="Y50" s="75"/>
      <c r="Z50" s="75"/>
      <c r="AA50" s="75"/>
      <c r="AB50" s="1358"/>
    </row>
    <row r="51" spans="1:28" s="6" customFormat="1" ht="25.5" x14ac:dyDescent="0.35">
      <c r="B51" s="1363" t="s">
        <v>1135</v>
      </c>
      <c r="C51" s="128">
        <f>+'F13.5'!C51</f>
        <v>1</v>
      </c>
      <c r="D51" s="128">
        <v>780</v>
      </c>
      <c r="E51" s="128"/>
      <c r="F51" s="1365">
        <v>5.8</v>
      </c>
      <c r="G51" s="128"/>
      <c r="H51" s="1365">
        <f ca="1">+'Tariff Schedule'!$W$7</f>
        <v>2.0055394252915626</v>
      </c>
      <c r="I51" s="128"/>
      <c r="J51" s="128"/>
      <c r="K51" s="1336">
        <v>19</v>
      </c>
      <c r="L51" s="630">
        <f>+'F1 SEZ'!N29</f>
        <v>0.45039804303970876</v>
      </c>
      <c r="M51" s="630">
        <f>+L51/AB51</f>
        <v>0.45958983983643753</v>
      </c>
      <c r="N51" s="630">
        <f>+C51*D51*12/10^7</f>
        <v>9.3599999999999998E-4</v>
      </c>
      <c r="O51" s="630"/>
      <c r="P51" s="630">
        <f>(L51*F51)/10</f>
        <v>0.26123086496303111</v>
      </c>
      <c r="Q51" s="630"/>
      <c r="R51" s="630">
        <f ca="1">(M51*H51)/10</f>
        <v>9.2172554325541028E-2</v>
      </c>
      <c r="S51" s="630"/>
      <c r="T51" s="630"/>
      <c r="U51" s="630">
        <f ca="1">SUM(N51:T51)</f>
        <v>0.35433941928857215</v>
      </c>
      <c r="V51" s="128"/>
      <c r="W51" s="630">
        <f ca="1">+U51+V51</f>
        <v>0.35433941928857215</v>
      </c>
      <c r="X51" s="1222">
        <f ca="1">IFERROR(W51/L51*10,0)</f>
        <v>7.8672504191438559</v>
      </c>
      <c r="Y51" s="1503">
        <f ca="1">+X51/'Gap Adjustment'!$N$124</f>
        <v>1.0003598738303046</v>
      </c>
      <c r="Z51" s="1222">
        <f ca="1">(U51-R51)/L51*10</f>
        <v>5.8207816178259355</v>
      </c>
      <c r="AA51" s="1503">
        <f ca="1">+Z51/'Gap Adjustment'!$N$126</f>
        <v>0.99694427889020032</v>
      </c>
      <c r="AB51" s="1366">
        <f>+'Tariff Schedule'!X26</f>
        <v>0.98</v>
      </c>
    </row>
    <row r="52" spans="1:28" ht="38.25" hidden="1" x14ac:dyDescent="0.4">
      <c r="B52" s="519" t="s">
        <v>1136</v>
      </c>
      <c r="C52" s="1306">
        <f>+'F13 SEZ'!C222</f>
        <v>0</v>
      </c>
      <c r="D52" s="75"/>
      <c r="E52" s="75"/>
      <c r="F52" s="75"/>
      <c r="G52" s="75"/>
      <c r="H52" s="75"/>
      <c r="I52" s="75"/>
      <c r="J52" s="75"/>
      <c r="K52" s="1306"/>
      <c r="L52" s="628">
        <f>+'F1 SEZ'!N30</f>
        <v>0</v>
      </c>
      <c r="M52" s="628"/>
      <c r="N52" s="628"/>
      <c r="O52" s="628"/>
      <c r="P52" s="628"/>
      <c r="Q52" s="628"/>
      <c r="R52" s="628"/>
      <c r="S52" s="628"/>
      <c r="T52" s="628"/>
      <c r="U52" s="628">
        <f>SUM(N52:T52)</f>
        <v>0</v>
      </c>
      <c r="V52" s="75"/>
      <c r="W52" s="628">
        <f>+U52+V52</f>
        <v>0</v>
      </c>
      <c r="X52" s="75"/>
      <c r="Y52" s="75"/>
      <c r="Z52" s="75"/>
      <c r="AA52" s="75"/>
      <c r="AB52" s="2"/>
    </row>
    <row r="53" spans="1:28" hidden="1" x14ac:dyDescent="0.4">
      <c r="A53" s="1339"/>
      <c r="B53" s="1360" t="s">
        <v>1544</v>
      </c>
      <c r="C53" s="75"/>
      <c r="D53" s="75"/>
      <c r="E53" s="75"/>
      <c r="F53" s="75"/>
      <c r="G53" s="1221">
        <f>+$F52*'Tariff Schedule'!E$50</f>
        <v>0</v>
      </c>
      <c r="H53" s="75"/>
      <c r="I53" s="75"/>
      <c r="J53" s="75"/>
      <c r="K53" s="1306"/>
      <c r="L53" s="628"/>
      <c r="M53" s="628"/>
      <c r="N53" s="628"/>
      <c r="O53" s="628"/>
      <c r="P53" s="628"/>
      <c r="Q53" s="628">
        <f>+G53*M53/10</f>
        <v>0</v>
      </c>
      <c r="R53" s="628"/>
      <c r="S53" s="628"/>
      <c r="T53" s="628"/>
      <c r="U53" s="628"/>
      <c r="V53" s="75"/>
      <c r="W53" s="628"/>
      <c r="X53" s="1221"/>
      <c r="Y53" s="75"/>
      <c r="Z53" s="75"/>
      <c r="AA53" s="75"/>
      <c r="AB53" s="1358"/>
    </row>
    <row r="54" spans="1:28" hidden="1" x14ac:dyDescent="0.4">
      <c r="A54" s="1339"/>
      <c r="B54" s="1360" t="s">
        <v>1545</v>
      </c>
      <c r="C54" s="75"/>
      <c r="D54" s="75"/>
      <c r="E54" s="75"/>
      <c r="F54" s="75"/>
      <c r="G54" s="1221">
        <f>+$F52*'Tariff Schedule'!E$51</f>
        <v>0</v>
      </c>
      <c r="H54" s="75"/>
      <c r="I54" s="75"/>
      <c r="J54" s="75"/>
      <c r="K54" s="1306"/>
      <c r="L54" s="628"/>
      <c r="M54" s="628"/>
      <c r="N54" s="628"/>
      <c r="O54" s="628"/>
      <c r="P54" s="628"/>
      <c r="Q54" s="628">
        <f>+G54*M54/10</f>
        <v>0</v>
      </c>
      <c r="R54" s="628"/>
      <c r="S54" s="628"/>
      <c r="T54" s="628"/>
      <c r="U54" s="628"/>
      <c r="V54" s="75"/>
      <c r="W54" s="628"/>
      <c r="X54" s="1221"/>
      <c r="Y54" s="75"/>
      <c r="Z54" s="75"/>
      <c r="AA54" s="75"/>
      <c r="AB54" s="1358"/>
    </row>
    <row r="55" spans="1:28" hidden="1" x14ac:dyDescent="0.4">
      <c r="A55" s="1339"/>
      <c r="B55" s="1360" t="s">
        <v>1546</v>
      </c>
      <c r="C55" s="75"/>
      <c r="D55" s="75"/>
      <c r="E55" s="75"/>
      <c r="F55" s="75"/>
      <c r="G55" s="1221">
        <f>+$F52*'Tariff Schedule'!E$52</f>
        <v>0</v>
      </c>
      <c r="H55" s="75"/>
      <c r="I55" s="75"/>
      <c r="J55" s="75"/>
      <c r="K55" s="1306"/>
      <c r="L55" s="628"/>
      <c r="M55" s="628"/>
      <c r="N55" s="628"/>
      <c r="O55" s="628"/>
      <c r="P55" s="628"/>
      <c r="Q55" s="628">
        <f>+G55*M55/10</f>
        <v>0</v>
      </c>
      <c r="R55" s="628"/>
      <c r="S55" s="628"/>
      <c r="T55" s="628"/>
      <c r="U55" s="628"/>
      <c r="V55" s="75"/>
      <c r="W55" s="628"/>
      <c r="X55" s="1221"/>
      <c r="Y55" s="75"/>
      <c r="Z55" s="75"/>
      <c r="AA55" s="75"/>
      <c r="AB55" s="1358"/>
    </row>
    <row r="56" spans="1:28" hidden="1" x14ac:dyDescent="0.4">
      <c r="A56" s="1339"/>
      <c r="B56" s="1360" t="s">
        <v>1549</v>
      </c>
      <c r="C56" s="75"/>
      <c r="D56" s="75"/>
      <c r="E56" s="75"/>
      <c r="F56" s="75"/>
      <c r="G56" s="1221">
        <f>+$F52*'Tariff Schedule'!E$55</f>
        <v>0</v>
      </c>
      <c r="H56" s="75"/>
      <c r="I56" s="75"/>
      <c r="J56" s="75"/>
      <c r="K56" s="1306"/>
      <c r="L56" s="628"/>
      <c r="M56" s="628"/>
      <c r="N56" s="628"/>
      <c r="O56" s="628"/>
      <c r="P56" s="628"/>
      <c r="Q56" s="628">
        <f>+G56*M56/10</f>
        <v>0</v>
      </c>
      <c r="R56" s="628"/>
      <c r="S56" s="628"/>
      <c r="T56" s="628"/>
      <c r="U56" s="628"/>
      <c r="V56" s="75"/>
      <c r="W56" s="628"/>
      <c r="X56" s="1221"/>
      <c r="Y56" s="75"/>
      <c r="Z56" s="75"/>
      <c r="AA56" s="75"/>
      <c r="AB56" s="1358"/>
    </row>
    <row r="57" spans="1:28" hidden="1" x14ac:dyDescent="0.4">
      <c r="B57" s="519"/>
      <c r="C57" s="1306"/>
      <c r="D57" s="75"/>
      <c r="E57" s="75"/>
      <c r="F57" s="75"/>
      <c r="G57" s="75"/>
      <c r="H57" s="75"/>
      <c r="I57" s="75"/>
      <c r="J57" s="75"/>
      <c r="K57" s="1306"/>
      <c r="L57" s="628"/>
      <c r="M57" s="628"/>
      <c r="N57" s="628"/>
      <c r="O57" s="628"/>
      <c r="P57" s="628"/>
      <c r="Q57" s="628"/>
      <c r="R57" s="628"/>
      <c r="S57" s="628"/>
      <c r="T57" s="628"/>
      <c r="U57" s="628"/>
      <c r="V57" s="75"/>
      <c r="W57" s="628"/>
      <c r="X57" s="75"/>
      <c r="Y57" s="75"/>
      <c r="Z57" s="75"/>
      <c r="AA57" s="75"/>
      <c r="AB57" s="2"/>
    </row>
    <row r="58" spans="1:28" ht="25.5" hidden="1" x14ac:dyDescent="0.4">
      <c r="B58" s="519" t="s">
        <v>1142</v>
      </c>
      <c r="C58" s="1306">
        <f>+'F13 SEZ'!C223</f>
        <v>0</v>
      </c>
      <c r="D58" s="75"/>
      <c r="E58" s="75"/>
      <c r="F58" s="75"/>
      <c r="G58" s="75"/>
      <c r="H58" s="75"/>
      <c r="I58" s="75"/>
      <c r="J58" s="75"/>
      <c r="K58" s="1306"/>
      <c r="L58" s="628">
        <f>+'F1 SEZ'!N31</f>
        <v>0</v>
      </c>
      <c r="M58" s="628"/>
      <c r="N58" s="628"/>
      <c r="O58" s="628"/>
      <c r="P58" s="628"/>
      <c r="Q58" s="628"/>
      <c r="R58" s="628"/>
      <c r="S58" s="628"/>
      <c r="T58" s="628"/>
      <c r="U58" s="628">
        <f>SUM(N58:T58)</f>
        <v>0</v>
      </c>
      <c r="V58" s="75"/>
      <c r="W58" s="628">
        <f>+U58+V58</f>
        <v>0</v>
      </c>
      <c r="X58" s="75"/>
      <c r="Y58" s="75"/>
      <c r="Z58" s="75"/>
      <c r="AA58" s="75"/>
      <c r="AB58" s="2"/>
    </row>
    <row r="59" spans="1:28" hidden="1" x14ac:dyDescent="0.4">
      <c r="A59" s="1339"/>
      <c r="B59" s="1360" t="s">
        <v>1544</v>
      </c>
      <c r="C59" s="75"/>
      <c r="D59" s="75"/>
      <c r="E59" s="75"/>
      <c r="F59" s="75"/>
      <c r="G59" s="1221">
        <f>+$F58*'Tariff Schedule'!E$50</f>
        <v>0</v>
      </c>
      <c r="H59" s="75"/>
      <c r="I59" s="75"/>
      <c r="J59" s="75"/>
      <c r="K59" s="1306"/>
      <c r="L59" s="628"/>
      <c r="M59" s="628"/>
      <c r="N59" s="628"/>
      <c r="O59" s="628"/>
      <c r="P59" s="628"/>
      <c r="Q59" s="628">
        <f>+G59*M59/10</f>
        <v>0</v>
      </c>
      <c r="R59" s="628"/>
      <c r="S59" s="628"/>
      <c r="T59" s="628"/>
      <c r="U59" s="628"/>
      <c r="V59" s="75"/>
      <c r="W59" s="628"/>
      <c r="X59" s="1221"/>
      <c r="Y59" s="75"/>
      <c r="Z59" s="75"/>
      <c r="AA59" s="75"/>
      <c r="AB59" s="1358"/>
    </row>
    <row r="60" spans="1:28" hidden="1" x14ac:dyDescent="0.4">
      <c r="A60" s="1339"/>
      <c r="B60" s="1360" t="s">
        <v>1545</v>
      </c>
      <c r="C60" s="75"/>
      <c r="D60" s="75"/>
      <c r="E60" s="75"/>
      <c r="F60" s="75"/>
      <c r="G60" s="1221">
        <f>+$F58*'Tariff Schedule'!E$51</f>
        <v>0</v>
      </c>
      <c r="H60" s="75"/>
      <c r="I60" s="75"/>
      <c r="J60" s="75"/>
      <c r="K60" s="1306"/>
      <c r="L60" s="628"/>
      <c r="M60" s="628"/>
      <c r="N60" s="628"/>
      <c r="O60" s="628"/>
      <c r="P60" s="628"/>
      <c r="Q60" s="628">
        <f>+G60*M60/10</f>
        <v>0</v>
      </c>
      <c r="R60" s="628"/>
      <c r="S60" s="628"/>
      <c r="T60" s="628"/>
      <c r="U60" s="628"/>
      <c r="V60" s="75"/>
      <c r="W60" s="628"/>
      <c r="X60" s="1221"/>
      <c r="Y60" s="75"/>
      <c r="Z60" s="75"/>
      <c r="AA60" s="75"/>
      <c r="AB60" s="1358"/>
    </row>
    <row r="61" spans="1:28" hidden="1" x14ac:dyDescent="0.4">
      <c r="A61" s="1339"/>
      <c r="B61" s="1360" t="s">
        <v>1546</v>
      </c>
      <c r="C61" s="75"/>
      <c r="D61" s="75"/>
      <c r="E61" s="75"/>
      <c r="F61" s="75"/>
      <c r="G61" s="1221">
        <f>+$F58*'Tariff Schedule'!E$52</f>
        <v>0</v>
      </c>
      <c r="H61" s="75"/>
      <c r="I61" s="75"/>
      <c r="J61" s="75"/>
      <c r="K61" s="1306"/>
      <c r="L61" s="628"/>
      <c r="M61" s="628"/>
      <c r="N61" s="628"/>
      <c r="O61" s="628"/>
      <c r="P61" s="628"/>
      <c r="Q61" s="628">
        <f>+G61*M61/10</f>
        <v>0</v>
      </c>
      <c r="R61" s="628"/>
      <c r="S61" s="628"/>
      <c r="T61" s="628"/>
      <c r="U61" s="628"/>
      <c r="V61" s="75"/>
      <c r="W61" s="628"/>
      <c r="X61" s="1221"/>
      <c r="Y61" s="75"/>
      <c r="Z61" s="75"/>
      <c r="AA61" s="75"/>
      <c r="AB61" s="1358"/>
    </row>
    <row r="62" spans="1:28" hidden="1" x14ac:dyDescent="0.4">
      <c r="A62" s="1339"/>
      <c r="B62" s="1360" t="s">
        <v>1549</v>
      </c>
      <c r="C62" s="75"/>
      <c r="D62" s="75"/>
      <c r="E62" s="75"/>
      <c r="F62" s="75"/>
      <c r="G62" s="1221">
        <f>+$F58*'Tariff Schedule'!E$55</f>
        <v>0</v>
      </c>
      <c r="H62" s="75"/>
      <c r="I62" s="75"/>
      <c r="J62" s="75"/>
      <c r="K62" s="1306"/>
      <c r="L62" s="628"/>
      <c r="M62" s="628"/>
      <c r="N62" s="628"/>
      <c r="O62" s="628"/>
      <c r="P62" s="628"/>
      <c r="Q62" s="628">
        <f>+G62*M62/10</f>
        <v>0</v>
      </c>
      <c r="R62" s="628"/>
      <c r="S62" s="628"/>
      <c r="T62" s="628"/>
      <c r="U62" s="628"/>
      <c r="V62" s="75"/>
      <c r="W62" s="628"/>
      <c r="X62" s="1221"/>
      <c r="Y62" s="75"/>
      <c r="Z62" s="75"/>
      <c r="AA62" s="75"/>
      <c r="AB62" s="1358"/>
    </row>
    <row r="63" spans="1:28" x14ac:dyDescent="0.4">
      <c r="B63" s="518" t="s">
        <v>162</v>
      </c>
      <c r="C63" s="1308">
        <f>+C27+C34+C46+C51+C52+C58</f>
        <v>1</v>
      </c>
      <c r="D63" s="1308"/>
      <c r="E63" s="1310"/>
      <c r="F63" s="1310"/>
      <c r="G63" s="1310"/>
      <c r="H63" s="1310"/>
      <c r="I63" s="1310"/>
      <c r="J63" s="1310"/>
      <c r="K63" s="1308">
        <f>+K27+K34+K46+K51+K52+K58</f>
        <v>19</v>
      </c>
      <c r="L63" s="630">
        <f t="shared" ref="L63:W63" si="1">+L27+L34+L46+L51+L52+L58</f>
        <v>0.45039804303970876</v>
      </c>
      <c r="M63" s="630">
        <f t="shared" si="1"/>
        <v>0.45958983983643753</v>
      </c>
      <c r="N63" s="630">
        <f t="shared" si="1"/>
        <v>9.3599999999999998E-4</v>
      </c>
      <c r="O63" s="630">
        <f t="shared" si="1"/>
        <v>0</v>
      </c>
      <c r="P63" s="630">
        <f t="shared" si="1"/>
        <v>0.26123086496303111</v>
      </c>
      <c r="Q63" s="630">
        <f t="shared" si="1"/>
        <v>0</v>
      </c>
      <c r="R63" s="630">
        <f t="shared" ca="1" si="1"/>
        <v>9.2172554325541028E-2</v>
      </c>
      <c r="S63" s="630">
        <f t="shared" si="1"/>
        <v>0</v>
      </c>
      <c r="T63" s="630">
        <f t="shared" si="1"/>
        <v>0</v>
      </c>
      <c r="U63" s="630">
        <f t="shared" ca="1" si="1"/>
        <v>0.35433941928857215</v>
      </c>
      <c r="V63" s="630">
        <f t="shared" si="1"/>
        <v>0</v>
      </c>
      <c r="W63" s="630">
        <f t="shared" ca="1" si="1"/>
        <v>0.35433941928857215</v>
      </c>
      <c r="X63" s="1222">
        <f ca="1">IFERROR(W63/L63*10,0)</f>
        <v>7.8672504191438559</v>
      </c>
      <c r="Y63" s="1503">
        <f ca="1">+X63/'Gap Adjustment'!$N$124</f>
        <v>1.0003598738303046</v>
      </c>
      <c r="Z63" s="1222">
        <f ca="1">(U63-R63)/L63*10</f>
        <v>5.8207816178259355</v>
      </c>
      <c r="AA63" s="1503">
        <f ca="1">+Z63/'Gap Adjustment'!$N$126</f>
        <v>0.99694427889020032</v>
      </c>
      <c r="AB63" s="2"/>
    </row>
    <row r="64" spans="1:28" x14ac:dyDescent="0.4">
      <c r="B64" s="518"/>
      <c r="C64" s="75"/>
      <c r="D64" s="75"/>
      <c r="E64" s="75"/>
      <c r="F64" s="75"/>
      <c r="G64" s="75"/>
      <c r="H64" s="75"/>
      <c r="I64" s="75"/>
      <c r="J64" s="75"/>
      <c r="K64" s="1306"/>
      <c r="L64" s="628"/>
      <c r="M64" s="628"/>
      <c r="N64" s="628"/>
      <c r="O64" s="628"/>
      <c r="P64" s="628"/>
      <c r="Q64" s="628"/>
      <c r="R64" s="628"/>
      <c r="S64" s="628"/>
      <c r="T64" s="628"/>
      <c r="U64" s="628"/>
      <c r="V64" s="75"/>
      <c r="W64" s="628"/>
      <c r="X64" s="75"/>
      <c r="Y64" s="1503"/>
      <c r="Z64" s="75"/>
      <c r="AA64" s="75"/>
      <c r="AB64" s="2"/>
    </row>
    <row r="65" spans="1:28" x14ac:dyDescent="0.4">
      <c r="B65" s="119" t="s">
        <v>164</v>
      </c>
      <c r="C65" s="1308">
        <f t="shared" ref="C65:W65" si="2">+C63+C25</f>
        <v>6</v>
      </c>
      <c r="D65" s="1309">
        <f t="shared" si="2"/>
        <v>0</v>
      </c>
      <c r="E65" s="1309">
        <f t="shared" si="2"/>
        <v>0</v>
      </c>
      <c r="F65" s="1309">
        <f t="shared" si="2"/>
        <v>0</v>
      </c>
      <c r="G65" s="1309">
        <f t="shared" si="2"/>
        <v>0</v>
      </c>
      <c r="H65" s="1309">
        <f t="shared" si="2"/>
        <v>0</v>
      </c>
      <c r="I65" s="1309">
        <f t="shared" si="2"/>
        <v>0</v>
      </c>
      <c r="J65" s="1309">
        <f t="shared" si="2"/>
        <v>0</v>
      </c>
      <c r="K65" s="1336">
        <f t="shared" si="2"/>
        <v>34559</v>
      </c>
      <c r="L65" s="630">
        <f t="shared" si="2"/>
        <v>265.28420333168748</v>
      </c>
      <c r="M65" s="630">
        <f t="shared" si="2"/>
        <v>267.96897680722594</v>
      </c>
      <c r="N65" s="630">
        <f t="shared" si="2"/>
        <v>9.3599999999999998E-4</v>
      </c>
      <c r="O65" s="630">
        <f t="shared" si="2"/>
        <v>27.972000000000001</v>
      </c>
      <c r="P65" s="630">
        <f t="shared" si="2"/>
        <v>127.05707050040368</v>
      </c>
      <c r="Q65" s="630">
        <f t="shared" si="2"/>
        <v>0</v>
      </c>
      <c r="R65" s="630">
        <f t="shared" ca="1" si="2"/>
        <v>53.7422347741932</v>
      </c>
      <c r="S65" s="630">
        <f t="shared" si="2"/>
        <v>0</v>
      </c>
      <c r="T65" s="630">
        <f t="shared" si="2"/>
        <v>0</v>
      </c>
      <c r="U65" s="630">
        <f t="shared" ca="1" si="2"/>
        <v>208.77224127459689</v>
      </c>
      <c r="V65" s="1309">
        <f t="shared" si="2"/>
        <v>0</v>
      </c>
      <c r="W65" s="630">
        <f t="shared" ca="1" si="2"/>
        <v>208.77224127459689</v>
      </c>
      <c r="X65" s="1222">
        <f ca="1">IFERROR(W65/L65*10,0)</f>
        <v>7.8697577410429851</v>
      </c>
      <c r="Y65" s="1503">
        <f ca="1">+X65/'Gap Adjustment'!$N$124</f>
        <v>1.0006786922338171</v>
      </c>
      <c r="Z65" s="1222">
        <f ca="1">(U65-R65)/L65*10</f>
        <v>5.8439215208968971</v>
      </c>
      <c r="AA65" s="1503">
        <f ca="1">+Z65/'Gap Adjustment'!$N$126</f>
        <v>1.0009075256662037</v>
      </c>
      <c r="AB65" s="2"/>
    </row>
    <row r="66" spans="1:28" x14ac:dyDescent="0.4">
      <c r="B66" s="58"/>
      <c r="C66" s="75"/>
      <c r="D66" s="75"/>
      <c r="E66" s="75"/>
      <c r="F66" s="75"/>
      <c r="G66" s="75"/>
      <c r="H66" s="75"/>
      <c r="I66" s="75"/>
      <c r="J66" s="75"/>
      <c r="K66" s="1306"/>
      <c r="L66" s="628"/>
      <c r="M66" s="628"/>
      <c r="N66" s="628"/>
      <c r="O66" s="628"/>
      <c r="P66" s="628"/>
      <c r="Q66" s="628"/>
      <c r="R66" s="628"/>
      <c r="S66" s="628"/>
      <c r="T66" s="628"/>
      <c r="U66" s="628"/>
      <c r="V66" s="75"/>
      <c r="W66" s="628"/>
      <c r="X66" s="75"/>
      <c r="Y66" s="75"/>
      <c r="Z66" s="75"/>
      <c r="AA66" s="75"/>
      <c r="AB66" s="2"/>
    </row>
    <row r="67" spans="1:28" x14ac:dyDescent="0.4">
      <c r="B67" s="118"/>
      <c r="C67" s="103"/>
      <c r="D67" s="103"/>
      <c r="E67" s="103"/>
      <c r="F67" s="103"/>
      <c r="G67" s="103"/>
      <c r="H67" s="103"/>
      <c r="I67" s="103"/>
      <c r="J67" s="103"/>
      <c r="K67" s="1333"/>
      <c r="L67" s="1328"/>
      <c r="M67" s="1328"/>
      <c r="N67" s="1328"/>
      <c r="O67" s="103"/>
      <c r="P67" s="103"/>
      <c r="Q67" s="103"/>
      <c r="R67" s="1504">
        <f ca="1">+'Gap Adjustment'!N80-R65</f>
        <v>-1.0298561363768499E-3</v>
      </c>
      <c r="S67" s="103"/>
      <c r="T67" s="103"/>
      <c r="U67" s="103"/>
      <c r="V67" s="103"/>
      <c r="W67" s="1328">
        <f ca="1">+'Gap Adjustment'!N96-W65</f>
        <v>-0.14159599868506234</v>
      </c>
      <c r="X67" s="103"/>
      <c r="Y67" s="103"/>
      <c r="Z67" s="103"/>
      <c r="AA67" s="103"/>
    </row>
    <row r="68" spans="1:28" x14ac:dyDescent="0.4">
      <c r="B68" s="7" t="s">
        <v>1608</v>
      </c>
      <c r="C68" s="7"/>
      <c r="D68" s="7"/>
      <c r="E68" s="7"/>
      <c r="F68" s="7"/>
      <c r="G68" s="7"/>
      <c r="H68" s="7"/>
      <c r="I68" s="7"/>
      <c r="J68" s="7"/>
      <c r="K68" s="1337"/>
      <c r="L68" s="1330"/>
      <c r="M68" s="1330"/>
      <c r="N68" s="1330"/>
      <c r="O68" s="7"/>
      <c r="P68" s="7"/>
      <c r="Q68" s="7"/>
      <c r="R68" s="7"/>
      <c r="S68" s="7"/>
      <c r="T68" s="7"/>
      <c r="U68" s="7"/>
      <c r="V68" s="7"/>
      <c r="W68" s="1330"/>
      <c r="X68" s="7"/>
      <c r="Y68" s="7"/>
      <c r="Z68" s="7"/>
      <c r="AA68" s="7"/>
    </row>
    <row r="69" spans="1:28" x14ac:dyDescent="0.4">
      <c r="B69" s="156" t="s">
        <v>741</v>
      </c>
      <c r="C69" s="7"/>
      <c r="D69" s="7"/>
      <c r="E69" s="7"/>
      <c r="F69" s="7"/>
      <c r="G69" s="7"/>
      <c r="H69" s="7"/>
      <c r="I69" s="7"/>
      <c r="J69" s="7"/>
      <c r="K69" s="1337"/>
      <c r="L69" s="1330"/>
      <c r="M69" s="1330"/>
      <c r="N69" s="1330"/>
      <c r="O69" s="7"/>
      <c r="P69" s="7"/>
      <c r="Q69" s="7"/>
      <c r="R69" s="7"/>
      <c r="S69" s="7"/>
      <c r="T69" s="7"/>
      <c r="U69" s="7"/>
      <c r="V69" s="7"/>
      <c r="W69" s="1330"/>
      <c r="X69" s="7"/>
      <c r="Y69" s="7"/>
      <c r="Z69" s="7"/>
      <c r="AA69" s="7"/>
    </row>
    <row r="70" spans="1:28" x14ac:dyDescent="0.4">
      <c r="B70" s="10" t="s">
        <v>742</v>
      </c>
      <c r="C70" s="7"/>
      <c r="D70" s="7"/>
      <c r="E70" s="7"/>
      <c r="F70" s="7"/>
      <c r="G70" s="7"/>
      <c r="H70" s="7"/>
      <c r="I70" s="7"/>
      <c r="J70" s="7"/>
      <c r="K70" s="1337"/>
      <c r="L70" s="1330"/>
      <c r="M70" s="1330"/>
      <c r="N70" s="1330"/>
      <c r="O70" s="7"/>
      <c r="P70" s="7"/>
      <c r="Q70" s="7"/>
      <c r="R70" s="7"/>
      <c r="S70" s="7"/>
      <c r="T70" s="7"/>
      <c r="U70" s="7"/>
      <c r="V70" s="7"/>
      <c r="W70" s="1330"/>
      <c r="X70" s="7"/>
      <c r="Y70" s="7"/>
      <c r="Z70" s="7"/>
      <c r="AA70" s="7"/>
    </row>
    <row r="72" spans="1:28" x14ac:dyDescent="0.4">
      <c r="B72" s="131" t="s">
        <v>750</v>
      </c>
      <c r="C72" s="103"/>
      <c r="D72" s="103"/>
      <c r="E72" s="103"/>
      <c r="F72" s="103"/>
      <c r="G72" s="103"/>
      <c r="H72" s="103"/>
      <c r="I72" s="103"/>
      <c r="J72" s="103"/>
      <c r="K72" s="1333"/>
      <c r="L72" s="1328"/>
      <c r="M72" s="1328"/>
      <c r="N72" s="1328"/>
      <c r="O72" s="103"/>
      <c r="P72" s="103"/>
      <c r="Q72" s="103"/>
      <c r="R72" s="103"/>
      <c r="S72" s="103"/>
      <c r="T72" s="103"/>
      <c r="U72" s="103"/>
      <c r="V72" s="103"/>
      <c r="W72" s="1328"/>
      <c r="X72" s="103"/>
      <c r="Y72" s="103"/>
      <c r="Z72" s="103"/>
      <c r="AA72" s="103"/>
    </row>
    <row r="73" spans="1:28" x14ac:dyDescent="0.4">
      <c r="B73" s="131" t="s">
        <v>1609</v>
      </c>
      <c r="C73" s="103"/>
      <c r="D73" s="103"/>
      <c r="E73" s="103"/>
      <c r="F73" s="103"/>
      <c r="G73" s="103"/>
      <c r="H73" s="103"/>
      <c r="I73" s="103"/>
      <c r="J73" s="103"/>
      <c r="K73" s="1333"/>
      <c r="L73" s="1328"/>
      <c r="M73" s="1328"/>
      <c r="N73" s="1328"/>
      <c r="O73" s="103"/>
      <c r="P73" s="103"/>
      <c r="Q73" s="103"/>
      <c r="R73" s="103"/>
      <c r="S73" s="103"/>
      <c r="T73" s="103"/>
      <c r="U73" s="103"/>
      <c r="V73" s="103"/>
      <c r="W73" s="1328"/>
      <c r="X73" s="103"/>
      <c r="Y73" s="103"/>
      <c r="Z73" s="103"/>
      <c r="AA73" s="103"/>
    </row>
    <row r="74" spans="1:28" x14ac:dyDescent="0.4">
      <c r="B74" s="103"/>
      <c r="C74" s="103"/>
      <c r="D74" s="103"/>
      <c r="E74" s="103"/>
      <c r="F74" s="103"/>
      <c r="G74" s="103"/>
      <c r="H74" s="103"/>
      <c r="I74" s="103"/>
      <c r="J74" s="103"/>
      <c r="K74" s="1333"/>
      <c r="L74" s="1328"/>
      <c r="M74" s="1328"/>
      <c r="N74" s="1328"/>
      <c r="O74" s="103"/>
      <c r="P74" s="103"/>
      <c r="Q74" s="103"/>
      <c r="R74" s="103"/>
      <c r="S74" s="103"/>
      <c r="T74" s="103"/>
      <c r="U74" s="103"/>
      <c r="V74" s="103"/>
      <c r="W74" s="1328"/>
      <c r="X74" s="103"/>
      <c r="Y74" s="103"/>
      <c r="Z74" s="103"/>
      <c r="AA74" s="103"/>
    </row>
    <row r="75" spans="1:28" ht="13.8" customHeight="1" x14ac:dyDescent="0.4">
      <c r="B75" s="1984" t="s">
        <v>699</v>
      </c>
      <c r="C75" s="1947" t="s">
        <v>700</v>
      </c>
      <c r="D75" s="1945" t="s">
        <v>720</v>
      </c>
      <c r="E75" s="1945"/>
      <c r="F75" s="1945"/>
      <c r="G75" s="1945"/>
      <c r="H75" s="1945"/>
      <c r="I75" s="1945"/>
      <c r="J75" s="2084" t="s">
        <v>721</v>
      </c>
      <c r="K75" s="2085"/>
      <c r="L75" s="2085"/>
      <c r="M75" s="2086"/>
      <c r="N75" s="2082" t="s">
        <v>722</v>
      </c>
      <c r="O75" s="2082"/>
      <c r="P75" s="2082"/>
      <c r="Q75" s="2082"/>
      <c r="R75" s="2082"/>
      <c r="S75" s="2082"/>
      <c r="T75" s="2082"/>
      <c r="U75" s="2082"/>
      <c r="V75" s="1947" t="s">
        <v>707</v>
      </c>
      <c r="W75" s="2083" t="s">
        <v>723</v>
      </c>
      <c r="X75" s="1947" t="s">
        <v>724</v>
      </c>
      <c r="Y75" s="1947" t="s">
        <v>725</v>
      </c>
      <c r="Z75" s="106"/>
      <c r="AA75" s="106"/>
      <c r="AB75" s="1947" t="s">
        <v>1570</v>
      </c>
    </row>
    <row r="76" spans="1:28" ht="67.5" x14ac:dyDescent="0.4">
      <c r="A76" s="1984" t="s">
        <v>1166</v>
      </c>
      <c r="B76" s="1984"/>
      <c r="C76" s="1947"/>
      <c r="D76" s="106" t="s">
        <v>726</v>
      </c>
      <c r="E76" s="106" t="s">
        <v>727</v>
      </c>
      <c r="F76" s="106" t="s">
        <v>728</v>
      </c>
      <c r="G76" s="106" t="s">
        <v>729</v>
      </c>
      <c r="H76" s="106" t="s">
        <v>730</v>
      </c>
      <c r="I76" s="106" t="s">
        <v>731</v>
      </c>
      <c r="J76" s="106" t="s">
        <v>732</v>
      </c>
      <c r="K76" s="1334" t="s">
        <v>733</v>
      </c>
      <c r="L76" s="1331" t="s">
        <v>701</v>
      </c>
      <c r="M76" s="1331" t="s">
        <v>1837</v>
      </c>
      <c r="N76" s="749" t="s">
        <v>734</v>
      </c>
      <c r="O76" s="106" t="s">
        <v>735</v>
      </c>
      <c r="P76" s="106" t="s">
        <v>736</v>
      </c>
      <c r="Q76" s="106" t="s">
        <v>737</v>
      </c>
      <c r="R76" s="106" t="s">
        <v>738</v>
      </c>
      <c r="S76" s="106" t="s">
        <v>1512</v>
      </c>
      <c r="T76" s="106" t="s">
        <v>739</v>
      </c>
      <c r="U76" s="121" t="s">
        <v>164</v>
      </c>
      <c r="V76" s="1947"/>
      <c r="W76" s="2083"/>
      <c r="X76" s="1947"/>
      <c r="Y76" s="1947"/>
      <c r="Z76" s="106"/>
      <c r="AA76" s="106"/>
      <c r="AB76" s="1947"/>
    </row>
    <row r="77" spans="1:28" x14ac:dyDescent="0.4">
      <c r="A77" s="1984"/>
      <c r="B77" s="517" t="s">
        <v>161</v>
      </c>
      <c r="C77" s="80"/>
      <c r="D77" s="80"/>
      <c r="E77" s="80"/>
      <c r="F77" s="80"/>
      <c r="G77" s="80"/>
      <c r="H77" s="80"/>
      <c r="I77" s="80"/>
      <c r="J77" s="80"/>
      <c r="K77" s="1335"/>
      <c r="L77" s="1329"/>
      <c r="M77" s="1329"/>
      <c r="N77" s="1329"/>
      <c r="O77" s="80"/>
      <c r="P77" s="80"/>
      <c r="Q77" s="80"/>
      <c r="R77" s="80"/>
      <c r="S77" s="80"/>
      <c r="T77" s="80"/>
      <c r="U77" s="81"/>
      <c r="V77" s="80"/>
      <c r="W77" s="1329"/>
      <c r="X77" s="80"/>
      <c r="Y77" s="80"/>
      <c r="Z77" s="80"/>
      <c r="AA77" s="80"/>
      <c r="AB77" s="2"/>
    </row>
    <row r="78" spans="1:28" s="6" customFormat="1" ht="13.5" x14ac:dyDescent="0.35">
      <c r="A78" s="1364">
        <f>+'F14.2'!A78</f>
        <v>0.9</v>
      </c>
      <c r="B78" s="517" t="s">
        <v>1129</v>
      </c>
      <c r="C78" s="128">
        <f>+'F13.5'!C78</f>
        <v>1</v>
      </c>
      <c r="D78" s="128"/>
      <c r="E78" s="128">
        <v>750</v>
      </c>
      <c r="F78" s="1365">
        <f>+'Tariff Schedule'!Q14</f>
        <v>6.33</v>
      </c>
      <c r="G78" s="128"/>
      <c r="H78" s="1365">
        <v>0.8</v>
      </c>
      <c r="I78" s="128"/>
      <c r="J78" s="128"/>
      <c r="K78" s="1336">
        <v>211</v>
      </c>
      <c r="L78" s="630">
        <f>+'F1 Non-SEZ'!N12</f>
        <v>0.18479900000000216</v>
      </c>
      <c r="M78" s="630">
        <f>+L78/AB78</f>
        <v>0.18666565656565876</v>
      </c>
      <c r="N78" s="630"/>
      <c r="O78" s="630">
        <f>(K78*E78)*12/10^7*A78</f>
        <v>0.17091000000000001</v>
      </c>
      <c r="P78" s="630">
        <f>(M78*F78)/10</f>
        <v>0.118159360606062</v>
      </c>
      <c r="Q78" s="630">
        <f>SUM(Q79:Q82)</f>
        <v>0</v>
      </c>
      <c r="R78" s="630">
        <f>(M78*H78)/10</f>
        <v>1.4933252525252702E-2</v>
      </c>
      <c r="S78" s="630"/>
      <c r="T78" s="630"/>
      <c r="U78" s="630">
        <f>SUM(N78:T78)</f>
        <v>0.30400261313131471</v>
      </c>
      <c r="V78" s="128"/>
      <c r="W78" s="630">
        <f>+U78+V78</f>
        <v>0.30400261313131471</v>
      </c>
      <c r="X78" s="1222">
        <f>IFERROR(W78/L78*10,0)</f>
        <v>16.450446870995577</v>
      </c>
      <c r="Y78" s="128"/>
      <c r="Z78" s="128"/>
      <c r="AA78" s="128"/>
      <c r="AB78" s="1366">
        <f>+'Tariff Schedule'!X14</f>
        <v>0.99</v>
      </c>
    </row>
    <row r="79" spans="1:28" x14ac:dyDescent="0.4">
      <c r="A79" s="1339"/>
      <c r="B79" s="1360" t="s">
        <v>1544</v>
      </c>
      <c r="C79" s="75"/>
      <c r="D79" s="75"/>
      <c r="E79" s="75"/>
      <c r="F79" s="75"/>
      <c r="G79" s="1221"/>
      <c r="H79" s="75"/>
      <c r="I79" s="75"/>
      <c r="J79" s="75"/>
      <c r="K79" s="1306"/>
      <c r="L79" s="628"/>
      <c r="M79" s="628">
        <f>+$M$78*Assum!E125</f>
        <v>4.5705982354672804E-2</v>
      </c>
      <c r="N79" s="628"/>
      <c r="O79" s="628"/>
      <c r="P79" s="628"/>
      <c r="Q79" s="628">
        <f>+G79*M79/10</f>
        <v>0</v>
      </c>
      <c r="R79" s="628"/>
      <c r="S79" s="628"/>
      <c r="T79" s="628"/>
      <c r="U79" s="628"/>
      <c r="V79" s="75"/>
      <c r="W79" s="628"/>
      <c r="X79" s="1221"/>
      <c r="Y79" s="75"/>
      <c r="Z79" s="75"/>
      <c r="AA79" s="75"/>
      <c r="AB79" s="1358"/>
    </row>
    <row r="80" spans="1:28" x14ac:dyDescent="0.4">
      <c r="A80" s="1339"/>
      <c r="B80" s="1360" t="s">
        <v>1545</v>
      </c>
      <c r="C80" s="75"/>
      <c r="D80" s="75"/>
      <c r="E80" s="75"/>
      <c r="F80" s="75"/>
      <c r="G80" s="1221"/>
      <c r="H80" s="75"/>
      <c r="I80" s="75"/>
      <c r="J80" s="75"/>
      <c r="K80" s="1306"/>
      <c r="L80" s="628"/>
      <c r="M80" s="628">
        <f>+$M$78*Assum!E126</f>
        <v>2.3562816725167475E-2</v>
      </c>
      <c r="N80" s="628"/>
      <c r="O80" s="628"/>
      <c r="P80" s="628"/>
      <c r="Q80" s="628">
        <f>+G80*M80/10</f>
        <v>0</v>
      </c>
      <c r="R80" s="628"/>
      <c r="S80" s="628"/>
      <c r="T80" s="628"/>
      <c r="U80" s="628"/>
      <c r="V80" s="75"/>
      <c r="W80" s="628"/>
      <c r="X80" s="1221"/>
      <c r="Y80" s="75"/>
      <c r="Z80" s="75"/>
      <c r="AA80" s="75"/>
      <c r="AB80" s="1358"/>
    </row>
    <row r="81" spans="1:28" x14ac:dyDescent="0.4">
      <c r="A81" s="1339"/>
      <c r="B81" s="1360" t="s">
        <v>1546</v>
      </c>
      <c r="C81" s="75"/>
      <c r="D81" s="75"/>
      <c r="E81" s="75"/>
      <c r="F81" s="75"/>
      <c r="G81" s="1221"/>
      <c r="H81" s="75"/>
      <c r="I81" s="75"/>
      <c r="J81" s="75"/>
      <c r="K81" s="1306"/>
      <c r="L81" s="628"/>
      <c r="M81" s="628">
        <f>+$M$78*Assum!E127</f>
        <v>6.2753697377773004E-2</v>
      </c>
      <c r="N81" s="628"/>
      <c r="O81" s="628"/>
      <c r="P81" s="628"/>
      <c r="Q81" s="628">
        <f>+G81*M81/10</f>
        <v>0</v>
      </c>
      <c r="R81" s="628"/>
      <c r="S81" s="628"/>
      <c r="T81" s="628"/>
      <c r="U81" s="628"/>
      <c r="V81" s="75"/>
      <c r="W81" s="628"/>
      <c r="X81" s="1221"/>
      <c r="Y81" s="75"/>
      <c r="Z81" s="75"/>
      <c r="AA81" s="75"/>
      <c r="AB81" s="1358"/>
    </row>
    <row r="82" spans="1:28" x14ac:dyDescent="0.4">
      <c r="A82" s="1339"/>
      <c r="B82" s="1360" t="s">
        <v>1549</v>
      </c>
      <c r="C82" s="75"/>
      <c r="D82" s="75"/>
      <c r="E82" s="75"/>
      <c r="F82" s="75"/>
      <c r="G82" s="1221"/>
      <c r="H82" s="75"/>
      <c r="I82" s="75"/>
      <c r="J82" s="75"/>
      <c r="K82" s="1306"/>
      <c r="L82" s="628"/>
      <c r="M82" s="628">
        <f>+$M$78*Assum!E128</f>
        <v>5.4643160108045465E-2</v>
      </c>
      <c r="N82" s="628"/>
      <c r="O82" s="628"/>
      <c r="P82" s="628"/>
      <c r="Q82" s="628">
        <f>+G82*M82/10</f>
        <v>0</v>
      </c>
      <c r="R82" s="628"/>
      <c r="S82" s="628"/>
      <c r="T82" s="628"/>
      <c r="U82" s="628"/>
      <c r="V82" s="75"/>
      <c r="W82" s="628"/>
      <c r="X82" s="1221"/>
      <c r="Y82" s="75"/>
      <c r="Z82" s="75"/>
      <c r="AA82" s="75"/>
      <c r="AB82" s="1358"/>
    </row>
    <row r="83" spans="1:28" s="6" customFormat="1" ht="13.5" x14ac:dyDescent="0.35">
      <c r="A83" s="1364">
        <f>+'F14.2'!A83</f>
        <v>0.75</v>
      </c>
      <c r="B83" s="517" t="s">
        <v>1130</v>
      </c>
      <c r="C83" s="128">
        <f>+'F13.5'!C83</f>
        <v>3</v>
      </c>
      <c r="D83" s="128"/>
      <c r="E83" s="128">
        <v>750</v>
      </c>
      <c r="F83" s="1365">
        <f>+'Tariff Schedule'!Q15</f>
        <v>10.4</v>
      </c>
      <c r="G83" s="128"/>
      <c r="H83" s="1365">
        <v>0.8</v>
      </c>
      <c r="I83" s="128"/>
      <c r="J83" s="128"/>
      <c r="K83" s="1336">
        <v>475</v>
      </c>
      <c r="L83" s="630">
        <f>+'F1 Non-SEZ'!N13</f>
        <v>0.94839049070883907</v>
      </c>
      <c r="M83" s="630">
        <f>+L83/AB83</f>
        <v>0.96774539868248888</v>
      </c>
      <c r="N83" s="630"/>
      <c r="O83" s="630">
        <f>(K83*E83)*12/10^7*A83</f>
        <v>0.32062499999999999</v>
      </c>
      <c r="P83" s="630">
        <f>(M83*F83)/10</f>
        <v>1.0064552146297885</v>
      </c>
      <c r="Q83" s="630">
        <f>SUM(Q84:Q87)</f>
        <v>0</v>
      </c>
      <c r="R83" s="630">
        <f>(M83*H83)/10</f>
        <v>7.741963189459912E-2</v>
      </c>
      <c r="S83" s="630"/>
      <c r="T83" s="630"/>
      <c r="U83" s="630">
        <f>SUM(N83:T83)</f>
        <v>1.4044998465243876</v>
      </c>
      <c r="V83" s="128"/>
      <c r="W83" s="630">
        <f>+U83+V83</f>
        <v>1.4044998465243876</v>
      </c>
      <c r="X83" s="1222">
        <f>IFERROR(W83/L83*10,0)</f>
        <v>14.809299126087259</v>
      </c>
      <c r="Y83" s="128"/>
      <c r="Z83" s="128"/>
      <c r="AA83" s="128"/>
      <c r="AB83" s="1366">
        <f>+'Tariff Schedule'!X15</f>
        <v>0.98</v>
      </c>
    </row>
    <row r="84" spans="1:28" x14ac:dyDescent="0.4">
      <c r="A84" s="1339"/>
      <c r="B84" s="1360" t="s">
        <v>1544</v>
      </c>
      <c r="C84" s="75"/>
      <c r="D84" s="75"/>
      <c r="E84" s="75"/>
      <c r="F84" s="75"/>
      <c r="G84" s="1221"/>
      <c r="H84" s="75"/>
      <c r="I84" s="75"/>
      <c r="J84" s="75"/>
      <c r="K84" s="1306"/>
      <c r="L84" s="628"/>
      <c r="M84" s="628">
        <f>+$M$83*Assum!F125</f>
        <v>0.13629681166824961</v>
      </c>
      <c r="N84" s="628"/>
      <c r="O84" s="628"/>
      <c r="P84" s="628"/>
      <c r="Q84" s="628">
        <f>+G84*M84/10</f>
        <v>0</v>
      </c>
      <c r="R84" s="628"/>
      <c r="S84" s="628"/>
      <c r="T84" s="628"/>
      <c r="U84" s="628"/>
      <c r="V84" s="75"/>
      <c r="W84" s="628"/>
      <c r="X84" s="1221"/>
      <c r="Y84" s="75"/>
      <c r="Z84" s="75"/>
      <c r="AA84" s="75"/>
      <c r="AB84" s="1358"/>
    </row>
    <row r="85" spans="1:28" x14ac:dyDescent="0.4">
      <c r="A85" s="1339"/>
      <c r="B85" s="1360" t="s">
        <v>1545</v>
      </c>
      <c r="C85" s="75"/>
      <c r="D85" s="75"/>
      <c r="E85" s="75"/>
      <c r="F85" s="75"/>
      <c r="G85" s="1221"/>
      <c r="H85" s="75"/>
      <c r="I85" s="75"/>
      <c r="J85" s="75"/>
      <c r="K85" s="1306"/>
      <c r="L85" s="628"/>
      <c r="M85" s="628">
        <f>+$M$83*Assum!F126</f>
        <v>0.13748130094871328</v>
      </c>
      <c r="N85" s="628"/>
      <c r="O85" s="628"/>
      <c r="P85" s="628"/>
      <c r="Q85" s="628">
        <f>+G85*M85/10</f>
        <v>0</v>
      </c>
      <c r="R85" s="628"/>
      <c r="S85" s="628"/>
      <c r="T85" s="628"/>
      <c r="U85" s="628"/>
      <c r="V85" s="75"/>
      <c r="W85" s="628"/>
      <c r="X85" s="1221"/>
      <c r="Y85" s="75"/>
      <c r="Z85" s="75"/>
      <c r="AA85" s="75"/>
      <c r="AB85" s="1358"/>
    </row>
    <row r="86" spans="1:28" x14ac:dyDescent="0.4">
      <c r="A86" s="1339"/>
      <c r="B86" s="1360" t="s">
        <v>1546</v>
      </c>
      <c r="C86" s="75"/>
      <c r="D86" s="75"/>
      <c r="E86" s="75"/>
      <c r="F86" s="75"/>
      <c r="G86" s="1221"/>
      <c r="H86" s="75"/>
      <c r="I86" s="75"/>
      <c r="J86" s="75"/>
      <c r="K86" s="1306"/>
      <c r="L86" s="628"/>
      <c r="M86" s="628">
        <f>+$M$83*Assum!F127</f>
        <v>0.41491006659551377</v>
      </c>
      <c r="N86" s="628"/>
      <c r="O86" s="628"/>
      <c r="P86" s="628"/>
      <c r="Q86" s="628">
        <f>+G86*M86/10</f>
        <v>0</v>
      </c>
      <c r="R86" s="628"/>
      <c r="S86" s="628"/>
      <c r="T86" s="628"/>
      <c r="U86" s="628"/>
      <c r="V86" s="75"/>
      <c r="W86" s="628"/>
      <c r="X86" s="1221"/>
      <c r="Y86" s="75"/>
      <c r="Z86" s="75"/>
      <c r="AA86" s="75"/>
      <c r="AB86" s="1358"/>
    </row>
    <row r="87" spans="1:28" x14ac:dyDescent="0.4">
      <c r="A87" s="1339"/>
      <c r="B87" s="1360" t="s">
        <v>1549</v>
      </c>
      <c r="C87" s="75"/>
      <c r="D87" s="75"/>
      <c r="E87" s="75"/>
      <c r="F87" s="75"/>
      <c r="G87" s="1221"/>
      <c r="H87" s="75"/>
      <c r="I87" s="75"/>
      <c r="J87" s="75"/>
      <c r="K87" s="1306"/>
      <c r="L87" s="628"/>
      <c r="M87" s="628">
        <f>+$M$83*Assum!F128</f>
        <v>0.27905721947001216</v>
      </c>
      <c r="N87" s="628"/>
      <c r="O87" s="628"/>
      <c r="P87" s="628"/>
      <c r="Q87" s="628">
        <f>+G87*M87/10</f>
        <v>0</v>
      </c>
      <c r="R87" s="628"/>
      <c r="S87" s="628"/>
      <c r="T87" s="628"/>
      <c r="U87" s="628"/>
      <c r="V87" s="75"/>
      <c r="W87" s="628"/>
      <c r="X87" s="1221"/>
      <c r="Y87" s="75"/>
      <c r="Z87" s="75"/>
      <c r="AA87" s="75"/>
      <c r="AB87" s="1358"/>
    </row>
    <row r="88" spans="1:28" x14ac:dyDescent="0.4">
      <c r="B88" s="429" t="s">
        <v>1131</v>
      </c>
      <c r="C88" s="75"/>
      <c r="D88" s="75"/>
      <c r="E88" s="75"/>
      <c r="F88" s="75"/>
      <c r="G88" s="75"/>
      <c r="H88" s="75"/>
      <c r="I88" s="75"/>
      <c r="J88" s="75"/>
      <c r="K88" s="1306"/>
      <c r="L88" s="628"/>
      <c r="M88" s="628"/>
      <c r="N88" s="628"/>
      <c r="O88" s="628"/>
      <c r="P88" s="628"/>
      <c r="Q88" s="628"/>
      <c r="R88" s="628"/>
      <c r="S88" s="628"/>
      <c r="T88" s="628"/>
      <c r="U88" s="628"/>
      <c r="V88" s="75"/>
      <c r="W88" s="628"/>
      <c r="X88" s="75"/>
      <c r="Y88" s="75"/>
      <c r="Z88" s="75"/>
      <c r="AA88" s="75"/>
      <c r="AB88" s="2"/>
    </row>
    <row r="89" spans="1:28" ht="25.5" x14ac:dyDescent="0.4">
      <c r="B89" s="429" t="s">
        <v>1132</v>
      </c>
      <c r="C89" s="75"/>
      <c r="D89" s="75"/>
      <c r="E89" s="75"/>
      <c r="F89" s="75"/>
      <c r="G89" s="75"/>
      <c r="H89" s="75"/>
      <c r="I89" s="75"/>
      <c r="J89" s="75"/>
      <c r="K89" s="1306"/>
      <c r="L89" s="628"/>
      <c r="M89" s="628"/>
      <c r="N89" s="628"/>
      <c r="O89" s="628"/>
      <c r="P89" s="628"/>
      <c r="Q89" s="628"/>
      <c r="R89" s="628"/>
      <c r="S89" s="628"/>
      <c r="T89" s="628"/>
      <c r="U89" s="628"/>
      <c r="V89" s="75"/>
      <c r="W89" s="628"/>
      <c r="X89" s="75"/>
      <c r="Y89" s="75"/>
      <c r="Z89" s="75"/>
      <c r="AA89" s="75"/>
      <c r="AB89" s="2"/>
    </row>
    <row r="90" spans="1:28" x14ac:dyDescent="0.4">
      <c r="B90" s="518" t="s">
        <v>162</v>
      </c>
      <c r="C90" s="128">
        <f>SUM(C78:C89)</f>
        <v>4</v>
      </c>
      <c r="D90" s="1309"/>
      <c r="E90" s="1309"/>
      <c r="F90" s="1309"/>
      <c r="G90" s="1309"/>
      <c r="H90" s="1309"/>
      <c r="I90" s="1309"/>
      <c r="J90" s="1309"/>
      <c r="K90" s="1336">
        <f>SUM(K78:K89)</f>
        <v>686</v>
      </c>
      <c r="L90" s="630">
        <f>+L78+L83</f>
        <v>1.1331894907088413</v>
      </c>
      <c r="M90" s="630">
        <f>+M78+M83</f>
        <v>1.1544110552481477</v>
      </c>
      <c r="N90" s="630">
        <f t="shared" ref="N90:W90" si="3">+N78+N83</f>
        <v>0</v>
      </c>
      <c r="O90" s="630">
        <f t="shared" si="3"/>
        <v>0.491535</v>
      </c>
      <c r="P90" s="630">
        <f t="shared" si="3"/>
        <v>1.1246145752358505</v>
      </c>
      <c r="Q90" s="630">
        <f t="shared" si="3"/>
        <v>0</v>
      </c>
      <c r="R90" s="630">
        <f t="shared" si="3"/>
        <v>9.2352884419851816E-2</v>
      </c>
      <c r="S90" s="630">
        <f t="shared" si="3"/>
        <v>0</v>
      </c>
      <c r="T90" s="630">
        <f t="shared" si="3"/>
        <v>0</v>
      </c>
      <c r="U90" s="630">
        <f t="shared" si="3"/>
        <v>1.7085024596557024</v>
      </c>
      <c r="V90" s="630">
        <f t="shared" si="3"/>
        <v>0</v>
      </c>
      <c r="W90" s="630">
        <f t="shared" si="3"/>
        <v>1.7085024596557024</v>
      </c>
      <c r="X90" s="1222">
        <f>IFERROR(W90/L90*10,0)</f>
        <v>15.076935266907451</v>
      </c>
      <c r="Y90" s="75"/>
      <c r="Z90" s="75"/>
      <c r="AA90" s="75"/>
      <c r="AB90" s="2"/>
    </row>
    <row r="91" spans="1:28" x14ac:dyDescent="0.4">
      <c r="B91" s="517" t="s">
        <v>163</v>
      </c>
      <c r="C91" s="75"/>
      <c r="D91" s="75"/>
      <c r="E91" s="75"/>
      <c r="F91" s="75"/>
      <c r="G91" s="75"/>
      <c r="H91" s="75"/>
      <c r="I91" s="75"/>
      <c r="J91" s="75"/>
      <c r="K91" s="1306"/>
      <c r="L91" s="628"/>
      <c r="M91" s="628"/>
      <c r="N91" s="628"/>
      <c r="O91" s="628"/>
      <c r="P91" s="628"/>
      <c r="Q91" s="628"/>
      <c r="R91" s="628"/>
      <c r="S91" s="628"/>
      <c r="T91" s="628"/>
      <c r="U91" s="628"/>
      <c r="V91" s="75"/>
      <c r="W91" s="628"/>
      <c r="X91" s="75"/>
      <c r="Y91" s="75"/>
      <c r="Z91" s="75"/>
      <c r="AA91" s="75"/>
      <c r="AB91" s="2"/>
    </row>
    <row r="92" spans="1:28" s="6" customFormat="1" ht="13.5" x14ac:dyDescent="0.35">
      <c r="B92" s="1363" t="s">
        <v>1133</v>
      </c>
      <c r="C92" s="128"/>
      <c r="D92" s="128">
        <v>450</v>
      </c>
      <c r="E92" s="128"/>
      <c r="F92" s="128"/>
      <c r="G92" s="128"/>
      <c r="H92" s="128"/>
      <c r="I92" s="128"/>
      <c r="J92" s="128"/>
      <c r="K92" s="1336"/>
      <c r="L92" s="630">
        <f t="shared" ref="L92:W92" si="4">SUM(L93:L96)</f>
        <v>11.482487174405399</v>
      </c>
      <c r="M92" s="630">
        <f t="shared" si="4"/>
        <v>11.482487174405399</v>
      </c>
      <c r="N92" s="630">
        <f t="shared" si="4"/>
        <v>1.7722800000000001</v>
      </c>
      <c r="O92" s="630">
        <f t="shared" si="4"/>
        <v>0</v>
      </c>
      <c r="P92" s="630">
        <f t="shared" si="4"/>
        <v>11.457280709612476</v>
      </c>
      <c r="Q92" s="630">
        <f t="shared" si="4"/>
        <v>0</v>
      </c>
      <c r="R92" s="630">
        <f t="shared" si="4"/>
        <v>1.8257154607304584</v>
      </c>
      <c r="S92" s="630">
        <f t="shared" si="4"/>
        <v>0</v>
      </c>
      <c r="T92" s="630">
        <f t="shared" si="4"/>
        <v>0</v>
      </c>
      <c r="U92" s="630">
        <f t="shared" si="4"/>
        <v>15.055276170342935</v>
      </c>
      <c r="V92" s="630">
        <f t="shared" si="4"/>
        <v>0</v>
      </c>
      <c r="W92" s="630">
        <f t="shared" si="4"/>
        <v>15.055276170342935</v>
      </c>
      <c r="X92" s="1222">
        <f>IFERROR(W92/L92*10,0)</f>
        <v>13.11151141879899</v>
      </c>
      <c r="Y92" s="128"/>
      <c r="Z92" s="128"/>
      <c r="AA92" s="128"/>
      <c r="AB92" s="3"/>
    </row>
    <row r="93" spans="1:28" x14ac:dyDescent="0.4">
      <c r="B93" s="520" t="s">
        <v>1106</v>
      </c>
      <c r="C93" s="128">
        <f>+'F13.5'!C93</f>
        <v>1883</v>
      </c>
      <c r="D93" s="75"/>
      <c r="E93" s="75"/>
      <c r="F93" s="1359">
        <f>+'Tariff Schedule'!Q17</f>
        <v>2.34</v>
      </c>
      <c r="G93" s="1359"/>
      <c r="H93" s="1359">
        <v>1.59</v>
      </c>
      <c r="I93" s="75"/>
      <c r="J93" s="75"/>
      <c r="K93" s="1306"/>
      <c r="L93" s="628">
        <f>+'F1 Non-SEZ'!N19</f>
        <v>2.6696019132438007</v>
      </c>
      <c r="M93" s="628">
        <f>+L93/AB93</f>
        <v>2.6696019132438007</v>
      </c>
      <c r="N93" s="628">
        <f>+C93*$D$92*12/10^7</f>
        <v>1.0168200000000001</v>
      </c>
      <c r="O93" s="628"/>
      <c r="P93" s="628">
        <f>+L93*F93/10</f>
        <v>0.62468684769904936</v>
      </c>
      <c r="Q93" s="628">
        <f>+L93*Assum!$G$127*G93/10</f>
        <v>0</v>
      </c>
      <c r="R93" s="628">
        <f>(L93*H93)/10</f>
        <v>0.42446670420576432</v>
      </c>
      <c r="S93" s="628"/>
      <c r="T93" s="628"/>
      <c r="U93" s="628">
        <f>SUM(N93:T93)</f>
        <v>2.0659735519048135</v>
      </c>
      <c r="V93" s="75"/>
      <c r="W93" s="628">
        <f>+U93+V93</f>
        <v>2.0659735519048135</v>
      </c>
      <c r="X93" s="1221">
        <f>IFERROR(W93/L93*10,0)</f>
        <v>7.7388824965085314</v>
      </c>
      <c r="Y93" s="75"/>
      <c r="Z93" s="75"/>
      <c r="AA93" s="75"/>
      <c r="AB93" s="1358">
        <f>+'Tariff Schedule'!X17</f>
        <v>1</v>
      </c>
    </row>
    <row r="94" spans="1:28" x14ac:dyDescent="0.4">
      <c r="B94" s="520" t="s">
        <v>1107</v>
      </c>
      <c r="C94" s="128">
        <f>+'F13.5'!C94</f>
        <v>731</v>
      </c>
      <c r="D94" s="75"/>
      <c r="E94" s="75"/>
      <c r="F94" s="1359">
        <f>+'Tariff Schedule'!Q18</f>
        <v>8.98</v>
      </c>
      <c r="G94" s="1359"/>
      <c r="H94" s="1359">
        <v>1.59</v>
      </c>
      <c r="I94" s="75"/>
      <c r="J94" s="75"/>
      <c r="K94" s="1306"/>
      <c r="L94" s="628">
        <f>+'F1 Non-SEZ'!N20</f>
        <v>2.5852110422015158</v>
      </c>
      <c r="M94" s="628">
        <f>+L94/AB94</f>
        <v>2.5852110422015158</v>
      </c>
      <c r="N94" s="628">
        <f>+C94*$D$92*12/10^7</f>
        <v>0.39473999999999998</v>
      </c>
      <c r="O94" s="628"/>
      <c r="P94" s="628">
        <f>+L94*F94/10</f>
        <v>2.3215195158969615</v>
      </c>
      <c r="Q94" s="628">
        <f>+L94*Assum!$G$127*G94/10</f>
        <v>0</v>
      </c>
      <c r="R94" s="628">
        <f>(L94*H94)/10</f>
        <v>0.41104855571004101</v>
      </c>
      <c r="S94" s="628"/>
      <c r="T94" s="628"/>
      <c r="U94" s="628">
        <f>SUM(N94:T94)</f>
        <v>3.1273080716070027</v>
      </c>
      <c r="V94" s="75"/>
      <c r="W94" s="628">
        <f>+U94+V94</f>
        <v>3.1273080716070027</v>
      </c>
      <c r="X94" s="1221">
        <f>IFERROR(W94/L94*10,0)</f>
        <v>12.096915959881741</v>
      </c>
      <c r="Y94" s="75"/>
      <c r="Z94" s="75"/>
      <c r="AA94" s="75"/>
      <c r="AB94" s="1358">
        <f>+'Tariff Schedule'!X18</f>
        <v>1</v>
      </c>
    </row>
    <row r="95" spans="1:28" x14ac:dyDescent="0.4">
      <c r="B95" s="520" t="s">
        <v>1108</v>
      </c>
      <c r="C95" s="128">
        <f>+'F13.5'!C95</f>
        <v>389</v>
      </c>
      <c r="D95" s="75"/>
      <c r="E95" s="75"/>
      <c r="F95" s="1359">
        <f>+'Tariff Schedule'!Q19</f>
        <v>11.06</v>
      </c>
      <c r="G95" s="1359"/>
      <c r="H95" s="1359">
        <v>1.59</v>
      </c>
      <c r="I95" s="75"/>
      <c r="J95" s="75"/>
      <c r="K95" s="1306"/>
      <c r="L95" s="628">
        <f>+'F1 Non-SEZ'!N21</f>
        <v>0.90548844897117453</v>
      </c>
      <c r="M95" s="628">
        <f>+L95/AB95</f>
        <v>0.90548844897117453</v>
      </c>
      <c r="N95" s="628">
        <f>+C95*$D$92*12/10^7</f>
        <v>0.21006</v>
      </c>
      <c r="O95" s="628"/>
      <c r="P95" s="628">
        <f>+L95*F95/10</f>
        <v>1.001470224562119</v>
      </c>
      <c r="Q95" s="628">
        <f>+L95*Assum!$G$127*G95/10</f>
        <v>0</v>
      </c>
      <c r="R95" s="628">
        <f>(L95*H95)/10</f>
        <v>0.14397266338641676</v>
      </c>
      <c r="S95" s="628"/>
      <c r="T95" s="628"/>
      <c r="U95" s="628">
        <f>SUM(N95:T95)</f>
        <v>1.3555028879485356</v>
      </c>
      <c r="V95" s="75"/>
      <c r="W95" s="628">
        <f>+U95+V95</f>
        <v>1.3555028879485356</v>
      </c>
      <c r="X95" s="1221">
        <f>IFERROR(W95/L95*10,0)</f>
        <v>14.969852895292835</v>
      </c>
      <c r="Y95" s="75"/>
      <c r="Z95" s="75"/>
      <c r="AA95" s="75"/>
      <c r="AB95" s="1358">
        <f>+'Tariff Schedule'!X19</f>
        <v>1</v>
      </c>
    </row>
    <row r="96" spans="1:28" x14ac:dyDescent="0.4">
      <c r="B96" s="520" t="s">
        <v>1109</v>
      </c>
      <c r="C96" s="128">
        <f>+'F13.5'!C96</f>
        <v>279</v>
      </c>
      <c r="D96" s="75"/>
      <c r="E96" s="75"/>
      <c r="F96" s="1359">
        <f>+'Tariff Schedule'!Q20</f>
        <v>14.11</v>
      </c>
      <c r="G96" s="1359"/>
      <c r="H96" s="1359">
        <v>1.59</v>
      </c>
      <c r="I96" s="75"/>
      <c r="J96" s="75"/>
      <c r="K96" s="1306"/>
      <c r="L96" s="628">
        <f>+'F1 Non-SEZ'!N22</f>
        <v>5.3221857699889075</v>
      </c>
      <c r="M96" s="628">
        <f>+L96/AB96</f>
        <v>5.3221857699889075</v>
      </c>
      <c r="N96" s="628">
        <f>+C96*$D$92*12/10^7</f>
        <v>0.15065999999999999</v>
      </c>
      <c r="O96" s="628"/>
      <c r="P96" s="628">
        <f>+L96*F96/10</f>
        <v>7.5096041214543474</v>
      </c>
      <c r="Q96" s="628">
        <f>+L96*Assum!$G$127*G96/10</f>
        <v>0</v>
      </c>
      <c r="R96" s="628">
        <f>(L96*H96)/10</f>
        <v>0.84622753742823631</v>
      </c>
      <c r="S96" s="628"/>
      <c r="T96" s="628"/>
      <c r="U96" s="628">
        <f>SUM(N96:T96)</f>
        <v>8.5064916588825845</v>
      </c>
      <c r="V96" s="75"/>
      <c r="W96" s="628">
        <f>+U96+V96</f>
        <v>8.5064916588825845</v>
      </c>
      <c r="X96" s="1221">
        <f>IFERROR(W96/L96*10,0)</f>
        <v>15.983079183085927</v>
      </c>
      <c r="Y96" s="75"/>
      <c r="Z96" s="75"/>
      <c r="AA96" s="75"/>
      <c r="AB96" s="1358">
        <f>+'Tariff Schedule'!X20</f>
        <v>1</v>
      </c>
    </row>
    <row r="97" spans="1:28" x14ac:dyDescent="0.4">
      <c r="B97" s="520" t="s">
        <v>1110</v>
      </c>
      <c r="C97" s="128"/>
      <c r="D97" s="75"/>
      <c r="E97" s="75"/>
      <c r="F97" s="75"/>
      <c r="G97" s="75"/>
      <c r="H97" s="75"/>
      <c r="I97" s="75"/>
      <c r="J97" s="75"/>
      <c r="K97" s="1306"/>
      <c r="L97" s="628"/>
      <c r="M97" s="628"/>
      <c r="N97" s="628"/>
      <c r="O97" s="628"/>
      <c r="P97" s="628"/>
      <c r="Q97" s="628"/>
      <c r="R97" s="628"/>
      <c r="S97" s="628"/>
      <c r="T97" s="628"/>
      <c r="U97" s="628"/>
      <c r="V97" s="75"/>
      <c r="W97" s="628"/>
      <c r="X97" s="75"/>
      <c r="Y97" s="75"/>
      <c r="Z97" s="75"/>
      <c r="AA97" s="75"/>
      <c r="AB97" s="2"/>
    </row>
    <row r="98" spans="1:28" s="6" customFormat="1" ht="25.5" x14ac:dyDescent="0.35">
      <c r="B98" s="1363" t="s">
        <v>1139</v>
      </c>
      <c r="C98" s="128"/>
      <c r="D98" s="128"/>
      <c r="E98" s="128"/>
      <c r="F98" s="128"/>
      <c r="G98" s="128"/>
      <c r="H98" s="128"/>
      <c r="I98" s="128"/>
      <c r="J98" s="128"/>
      <c r="K98" s="1336"/>
      <c r="L98" s="630">
        <f>+N99+N100+N105</f>
        <v>0.10224</v>
      </c>
      <c r="M98" s="630">
        <f t="shared" ref="M98:R98" si="5">+M99+M100+M105</f>
        <v>1.4915834777634787</v>
      </c>
      <c r="N98" s="630">
        <f t="shared" si="5"/>
        <v>0.10224</v>
      </c>
      <c r="O98" s="630">
        <f t="shared" si="5"/>
        <v>0.13589999999999999</v>
      </c>
      <c r="P98" s="630">
        <f t="shared" si="5"/>
        <v>1.400145722927356</v>
      </c>
      <c r="Q98" s="630">
        <f t="shared" si="5"/>
        <v>0</v>
      </c>
      <c r="R98" s="630">
        <f t="shared" si="5"/>
        <v>0.22743495286281751</v>
      </c>
      <c r="S98" s="630"/>
      <c r="T98" s="630"/>
      <c r="U98" s="630">
        <f>+U99+U100+U105</f>
        <v>1.8657206757901734</v>
      </c>
      <c r="V98" s="128"/>
      <c r="W98" s="630">
        <f>+W99+W100+W105</f>
        <v>1.8657206757901734</v>
      </c>
      <c r="X98" s="1222">
        <f>IFERROR(W98/L98*10,0)</f>
        <v>182.48441664614373</v>
      </c>
      <c r="Y98" s="128"/>
      <c r="Z98" s="128"/>
      <c r="AA98" s="128"/>
      <c r="AB98" s="3"/>
    </row>
    <row r="99" spans="1:28" s="6" customFormat="1" x14ac:dyDescent="0.35">
      <c r="B99" s="1361" t="s">
        <v>1140</v>
      </c>
      <c r="C99" s="128">
        <f>+'F13.5'!C99</f>
        <v>142</v>
      </c>
      <c r="D99" s="128">
        <v>600</v>
      </c>
      <c r="E99" s="128"/>
      <c r="F99" s="1365">
        <f>+'Tariff Schedule'!Q22</f>
        <v>6.77</v>
      </c>
      <c r="G99" s="128"/>
      <c r="H99" s="1359">
        <v>1.59</v>
      </c>
      <c r="I99" s="128"/>
      <c r="J99" s="128"/>
      <c r="K99" s="1336"/>
      <c r="L99" s="630">
        <f>+'F1 Non-SEZ'!N25</f>
        <v>0.44849186019119414</v>
      </c>
      <c r="M99" s="630">
        <f>+L99/AB99</f>
        <v>0.45764475529713688</v>
      </c>
      <c r="N99" s="630">
        <f>+C99*D99*12/10^7</f>
        <v>0.10224</v>
      </c>
      <c r="O99" s="630"/>
      <c r="P99" s="630">
        <f>+L99*F99/10</f>
        <v>0.30362898934943844</v>
      </c>
      <c r="Q99" s="630"/>
      <c r="R99" s="630">
        <f>(L99*H99)/10</f>
        <v>7.131020577039987E-2</v>
      </c>
      <c r="S99" s="630"/>
      <c r="T99" s="630"/>
      <c r="U99" s="630">
        <f>SUM(N99:T99)</f>
        <v>0.47717919511983831</v>
      </c>
      <c r="V99" s="128"/>
      <c r="W99" s="630">
        <f>+U99+V99</f>
        <v>0.47717919511983831</v>
      </c>
      <c r="X99" s="1222">
        <f>IFERROR(W99/L99*10,0)</f>
        <v>10.639640035304422</v>
      </c>
      <c r="Y99" s="128"/>
      <c r="Z99" s="128"/>
      <c r="AA99" s="128"/>
      <c r="AB99" s="1366">
        <f>+'Tariff Schedule'!X22</f>
        <v>0.98</v>
      </c>
    </row>
    <row r="100" spans="1:28" s="6" customFormat="1" ht="13.5" x14ac:dyDescent="0.35">
      <c r="A100" s="1364">
        <f>+'F14.2'!A100</f>
        <v>0.4</v>
      </c>
      <c r="B100" s="1361" t="s">
        <v>1144</v>
      </c>
      <c r="C100" s="128">
        <f>+'F13.5'!C100</f>
        <v>9</v>
      </c>
      <c r="D100" s="128"/>
      <c r="E100" s="128">
        <v>625</v>
      </c>
      <c r="F100" s="1365">
        <f>+'Tariff Schedule'!Q23</f>
        <v>10.14</v>
      </c>
      <c r="G100" s="128"/>
      <c r="H100" s="1365">
        <v>1.51</v>
      </c>
      <c r="I100" s="128"/>
      <c r="J100" s="128"/>
      <c r="K100" s="1336">
        <v>383</v>
      </c>
      <c r="L100" s="630">
        <f>+'F1 Non-SEZ'!N26</f>
        <v>0.78788731506757104</v>
      </c>
      <c r="M100" s="630">
        <f>+L100/AB100</f>
        <v>0.79697877666808115</v>
      </c>
      <c r="N100" s="630"/>
      <c r="O100" s="630">
        <f>(K100*E100)*12/10^7*A100</f>
        <v>0.1149</v>
      </c>
      <c r="P100" s="630">
        <f>+M100*F100/10</f>
        <v>0.8081364795414343</v>
      </c>
      <c r="Q100" s="630">
        <f>SUM(Q101:Q104)</f>
        <v>0</v>
      </c>
      <c r="R100" s="630">
        <f>(M100*H100)/10</f>
        <v>0.12034379527688026</v>
      </c>
      <c r="S100" s="630"/>
      <c r="T100" s="630"/>
      <c r="U100" s="630">
        <f>SUM(N100:T100)</f>
        <v>1.0433802748183145</v>
      </c>
      <c r="V100" s="128"/>
      <c r="W100" s="630">
        <f>+U100+V100</f>
        <v>1.0433802748183145</v>
      </c>
      <c r="X100" s="1222">
        <f>IFERROR(W100/L100*10,0)</f>
        <v>13.242760162077643</v>
      </c>
      <c r="Y100" s="128"/>
      <c r="Z100" s="128"/>
      <c r="AA100" s="128"/>
      <c r="AB100" s="1366">
        <f>+'Tariff Schedule'!X23</f>
        <v>0.98859259259259247</v>
      </c>
    </row>
    <row r="101" spans="1:28" x14ac:dyDescent="0.4">
      <c r="A101" s="1339"/>
      <c r="B101" s="1360" t="s">
        <v>1544</v>
      </c>
      <c r="C101" s="75"/>
      <c r="D101" s="75"/>
      <c r="E101" s="75"/>
      <c r="F101" s="75"/>
      <c r="G101" s="1221"/>
      <c r="H101" s="75"/>
      <c r="I101" s="75"/>
      <c r="J101" s="75"/>
      <c r="K101" s="1306"/>
      <c r="L101" s="628"/>
      <c r="M101" s="628">
        <f>+$M$100*Assum!H125</f>
        <v>0.10689486116526668</v>
      </c>
      <c r="N101" s="628"/>
      <c r="O101" s="628"/>
      <c r="P101" s="628"/>
      <c r="Q101" s="628">
        <f>+G101*M101/10</f>
        <v>0</v>
      </c>
      <c r="R101" s="628"/>
      <c r="S101" s="628"/>
      <c r="T101" s="628"/>
      <c r="U101" s="628"/>
      <c r="V101" s="75"/>
      <c r="W101" s="628"/>
      <c r="X101" s="1221"/>
      <c r="Y101" s="75"/>
      <c r="Z101" s="75"/>
      <c r="AA101" s="75"/>
      <c r="AB101" s="1358"/>
    </row>
    <row r="102" spans="1:28" x14ac:dyDescent="0.4">
      <c r="A102" s="1339"/>
      <c r="B102" s="1360" t="s">
        <v>1545</v>
      </c>
      <c r="C102" s="75"/>
      <c r="D102" s="75"/>
      <c r="E102" s="75"/>
      <c r="F102" s="75"/>
      <c r="G102" s="1221"/>
      <c r="H102" s="75"/>
      <c r="I102" s="75"/>
      <c r="J102" s="75"/>
      <c r="K102" s="1306"/>
      <c r="L102" s="628"/>
      <c r="M102" s="628">
        <f>+$M$100*Assum!H126</f>
        <v>0.1245106146183448</v>
      </c>
      <c r="N102" s="628"/>
      <c r="O102" s="628"/>
      <c r="P102" s="628"/>
      <c r="Q102" s="628">
        <f>+G102*M102/10</f>
        <v>0</v>
      </c>
      <c r="R102" s="628"/>
      <c r="S102" s="628"/>
      <c r="T102" s="628"/>
      <c r="U102" s="628"/>
      <c r="V102" s="75"/>
      <c r="W102" s="628"/>
      <c r="X102" s="1221"/>
      <c r="Y102" s="75"/>
      <c r="Z102" s="75"/>
      <c r="AA102" s="75"/>
      <c r="AB102" s="1358"/>
    </row>
    <row r="103" spans="1:28" x14ac:dyDescent="0.4">
      <c r="A103" s="1339"/>
      <c r="B103" s="1360" t="s">
        <v>1546</v>
      </c>
      <c r="C103" s="75"/>
      <c r="D103" s="75"/>
      <c r="E103" s="75"/>
      <c r="F103" s="75"/>
      <c r="G103" s="1221"/>
      <c r="H103" s="75"/>
      <c r="I103" s="75"/>
      <c r="J103" s="75"/>
      <c r="K103" s="1306"/>
      <c r="L103" s="628"/>
      <c r="M103" s="628">
        <f>+$M$100*Assum!H127</f>
        <v>0.36552651175281742</v>
      </c>
      <c r="N103" s="628"/>
      <c r="O103" s="628"/>
      <c r="P103" s="628"/>
      <c r="Q103" s="628">
        <f>+G103*M103/10</f>
        <v>0</v>
      </c>
      <c r="R103" s="628"/>
      <c r="S103" s="628"/>
      <c r="T103" s="628"/>
      <c r="U103" s="628"/>
      <c r="V103" s="75"/>
      <c r="W103" s="628"/>
      <c r="X103" s="1221"/>
      <c r="Y103" s="75"/>
      <c r="Z103" s="75"/>
      <c r="AA103" s="75"/>
      <c r="AB103" s="1358"/>
    </row>
    <row r="104" spans="1:28" x14ac:dyDescent="0.4">
      <c r="A104" s="1339"/>
      <c r="B104" s="1360" t="s">
        <v>1549</v>
      </c>
      <c r="C104" s="75"/>
      <c r="D104" s="75"/>
      <c r="E104" s="75"/>
      <c r="F104" s="75"/>
      <c r="G104" s="1221"/>
      <c r="H104" s="75"/>
      <c r="I104" s="75"/>
      <c r="J104" s="75"/>
      <c r="K104" s="1306"/>
      <c r="L104" s="628"/>
      <c r="M104" s="628">
        <f>+$M$100*Assum!H128</f>
        <v>0.2000467891316523</v>
      </c>
      <c r="N104" s="628"/>
      <c r="O104" s="628"/>
      <c r="P104" s="628"/>
      <c r="Q104" s="628">
        <f>+G104*M104/10</f>
        <v>0</v>
      </c>
      <c r="R104" s="628"/>
      <c r="S104" s="628"/>
      <c r="T104" s="628"/>
      <c r="U104" s="628"/>
      <c r="V104" s="75"/>
      <c r="W104" s="628"/>
      <c r="X104" s="1221"/>
      <c r="Y104" s="75"/>
      <c r="Z104" s="75"/>
      <c r="AA104" s="75"/>
      <c r="AB104" s="1358"/>
    </row>
    <row r="105" spans="1:28" s="6" customFormat="1" ht="13.5" x14ac:dyDescent="0.35">
      <c r="A105" s="1364">
        <f>+'F14.2'!A105</f>
        <v>0.4</v>
      </c>
      <c r="B105" s="1361" t="s">
        <v>1143</v>
      </c>
      <c r="C105" s="128">
        <f>+'F13.5'!C105</f>
        <v>1</v>
      </c>
      <c r="D105" s="128"/>
      <c r="E105" s="128">
        <v>625</v>
      </c>
      <c r="F105" s="1365">
        <f>+'Tariff Schedule'!Q24</f>
        <v>12.17</v>
      </c>
      <c r="G105" s="128"/>
      <c r="H105" s="1365">
        <v>1.51</v>
      </c>
      <c r="I105" s="128"/>
      <c r="J105" s="128"/>
      <c r="K105" s="1336">
        <v>70</v>
      </c>
      <c r="L105" s="630">
        <f>+'F1 Non-SEZ'!N27</f>
        <v>0.23462983966457771</v>
      </c>
      <c r="M105" s="630">
        <f>+L105/AB105</f>
        <v>0.23695994579826057</v>
      </c>
      <c r="N105" s="630"/>
      <c r="O105" s="630">
        <f>(K105*E105)*12/10^7*A105</f>
        <v>2.1000000000000001E-2</v>
      </c>
      <c r="P105" s="630">
        <f>+M105*F105/10</f>
        <v>0.28838025403648315</v>
      </c>
      <c r="Q105" s="630">
        <f>SUM(Q106:Q109)</f>
        <v>0</v>
      </c>
      <c r="R105" s="630">
        <f>(M105*H105)/10</f>
        <v>3.5780951815537351E-2</v>
      </c>
      <c r="S105" s="630"/>
      <c r="T105" s="630"/>
      <c r="U105" s="630">
        <f>SUM(N105:T105)</f>
        <v>0.34516120585202054</v>
      </c>
      <c r="V105" s="128"/>
      <c r="W105" s="630">
        <f>+U105+V105</f>
        <v>0.34516120585202054</v>
      </c>
      <c r="X105" s="1222">
        <f>IFERROR(W105/L105*10,0)</f>
        <v>14.710882739614719</v>
      </c>
      <c r="Y105" s="128"/>
      <c r="Z105" s="128"/>
      <c r="AA105" s="128"/>
      <c r="AB105" s="1366">
        <f>+'Tariff Schedule'!X24</f>
        <v>0.99016666666666675</v>
      </c>
    </row>
    <row r="106" spans="1:28" x14ac:dyDescent="0.4">
      <c r="A106" s="1339"/>
      <c r="B106" s="1360" t="s">
        <v>1544</v>
      </c>
      <c r="C106" s="75"/>
      <c r="D106" s="75"/>
      <c r="E106" s="75"/>
      <c r="F106" s="75"/>
      <c r="G106" s="1221"/>
      <c r="H106" s="75"/>
      <c r="I106" s="75"/>
      <c r="J106" s="75"/>
      <c r="K106" s="1306"/>
      <c r="L106" s="628"/>
      <c r="M106" s="628">
        <f>+$M$105*Assum!I125</f>
        <v>1.7049008422952924E-2</v>
      </c>
      <c r="N106" s="628"/>
      <c r="O106" s="628"/>
      <c r="P106" s="628"/>
      <c r="Q106" s="628">
        <f>+G106*M106/10</f>
        <v>0</v>
      </c>
      <c r="R106" s="628"/>
      <c r="S106" s="628"/>
      <c r="T106" s="628"/>
      <c r="U106" s="628"/>
      <c r="V106" s="75"/>
      <c r="W106" s="628"/>
      <c r="X106" s="1221"/>
      <c r="Y106" s="75"/>
      <c r="Z106" s="75"/>
      <c r="AA106" s="75"/>
      <c r="AB106" s="1358"/>
    </row>
    <row r="107" spans="1:28" x14ac:dyDescent="0.4">
      <c r="A107" s="1339"/>
      <c r="B107" s="1360" t="s">
        <v>1545</v>
      </c>
      <c r="C107" s="75"/>
      <c r="D107" s="75"/>
      <c r="E107" s="75"/>
      <c r="F107" s="75"/>
      <c r="G107" s="1221"/>
      <c r="H107" s="75"/>
      <c r="I107" s="75"/>
      <c r="J107" s="75"/>
      <c r="K107" s="1306"/>
      <c r="L107" s="628"/>
      <c r="M107" s="628">
        <f>+$M$105*Assum!I126</f>
        <v>4.5657217286350381E-2</v>
      </c>
      <c r="N107" s="628"/>
      <c r="O107" s="628"/>
      <c r="P107" s="628"/>
      <c r="Q107" s="628">
        <f>+G107*M107/10</f>
        <v>0</v>
      </c>
      <c r="R107" s="628"/>
      <c r="S107" s="628"/>
      <c r="T107" s="628"/>
      <c r="U107" s="628"/>
      <c r="V107" s="75"/>
      <c r="W107" s="628"/>
      <c r="X107" s="1221"/>
      <c r="Y107" s="75"/>
      <c r="Z107" s="75"/>
      <c r="AA107" s="75"/>
      <c r="AB107" s="1358"/>
    </row>
    <row r="108" spans="1:28" x14ac:dyDescent="0.4">
      <c r="A108" s="1339"/>
      <c r="B108" s="1360" t="s">
        <v>1546</v>
      </c>
      <c r="C108" s="75"/>
      <c r="D108" s="75"/>
      <c r="E108" s="75"/>
      <c r="F108" s="75"/>
      <c r="G108" s="1221"/>
      <c r="H108" s="75"/>
      <c r="I108" s="75"/>
      <c r="J108" s="75"/>
      <c r="K108" s="1306"/>
      <c r="L108" s="628"/>
      <c r="M108" s="628">
        <f>+$M$105*Assum!I127</f>
        <v>0.14081843644215158</v>
      </c>
      <c r="N108" s="628"/>
      <c r="O108" s="628"/>
      <c r="P108" s="628"/>
      <c r="Q108" s="628">
        <f>+G108*M108/10</f>
        <v>0</v>
      </c>
      <c r="R108" s="628"/>
      <c r="S108" s="628"/>
      <c r="T108" s="628"/>
      <c r="U108" s="628"/>
      <c r="V108" s="75"/>
      <c r="W108" s="628"/>
      <c r="X108" s="1221"/>
      <c r="Y108" s="75"/>
      <c r="Z108" s="75"/>
      <c r="AA108" s="75"/>
      <c r="AB108" s="1358"/>
    </row>
    <row r="109" spans="1:28" x14ac:dyDescent="0.4">
      <c r="A109" s="1339"/>
      <c r="B109" s="1360" t="s">
        <v>1549</v>
      </c>
      <c r="C109" s="75"/>
      <c r="D109" s="75"/>
      <c r="E109" s="75"/>
      <c r="F109" s="75"/>
      <c r="G109" s="1221"/>
      <c r="H109" s="75"/>
      <c r="I109" s="75"/>
      <c r="J109" s="75"/>
      <c r="K109" s="1306"/>
      <c r="L109" s="628"/>
      <c r="M109" s="628">
        <f>+$M$105*Assum!I128</f>
        <v>3.3435283646805695E-2</v>
      </c>
      <c r="N109" s="628"/>
      <c r="O109" s="628"/>
      <c r="P109" s="628"/>
      <c r="Q109" s="628">
        <f>+G109*M109/10</f>
        <v>0</v>
      </c>
      <c r="R109" s="628"/>
      <c r="S109" s="628"/>
      <c r="T109" s="628"/>
      <c r="U109" s="628"/>
      <c r="V109" s="75"/>
      <c r="W109" s="628"/>
      <c r="X109" s="1221"/>
      <c r="Y109" s="75"/>
      <c r="Z109" s="75"/>
      <c r="AA109" s="75"/>
      <c r="AB109" s="1358"/>
    </row>
    <row r="110" spans="1:28" s="6" customFormat="1" ht="38.25" x14ac:dyDescent="0.35">
      <c r="A110" s="1364">
        <f>+'F14.2'!A110</f>
        <v>0.4</v>
      </c>
      <c r="B110" s="1363" t="s">
        <v>1111</v>
      </c>
      <c r="C110" s="128">
        <f>+'F13.5'!C110</f>
        <v>2</v>
      </c>
      <c r="D110" s="128"/>
      <c r="E110" s="128">
        <v>385</v>
      </c>
      <c r="F110" s="1365">
        <f>+'Tariff Schedule'!Q31</f>
        <v>5.93</v>
      </c>
      <c r="G110" s="128"/>
      <c r="H110" s="1365">
        <v>1.51</v>
      </c>
      <c r="I110" s="128"/>
      <c r="J110" s="128"/>
      <c r="K110" s="1336">
        <v>160</v>
      </c>
      <c r="L110" s="630">
        <f>+'F1 Non-SEZ'!N28</f>
        <v>1.3066235324399273</v>
      </c>
      <c r="M110" s="630">
        <f>+L110/AB110</f>
        <v>1.3332893188162525</v>
      </c>
      <c r="N110" s="630"/>
      <c r="O110" s="630">
        <f>(K110*E110)*12/10^7*A110</f>
        <v>2.9568000000000001E-2</v>
      </c>
      <c r="P110" s="630">
        <f>+M110*F110/10</f>
        <v>0.79064056605803767</v>
      </c>
      <c r="Q110" s="630">
        <f>SUM(Q111:Q114)</f>
        <v>0</v>
      </c>
      <c r="R110" s="630">
        <f>(M110*H110)/10</f>
        <v>0.2013266871412541</v>
      </c>
      <c r="S110" s="630"/>
      <c r="T110" s="630"/>
      <c r="U110" s="630">
        <f>SUM(N110:T110)</f>
        <v>1.0215352531992918</v>
      </c>
      <c r="V110" s="128"/>
      <c r="W110" s="630">
        <f>+U110+V110</f>
        <v>1.0215352531992918</v>
      </c>
      <c r="X110" s="1222">
        <f>IFERROR(W110/L110*10,0)</f>
        <v>7.8181299191185163</v>
      </c>
      <c r="Y110" s="128"/>
      <c r="Z110" s="128"/>
      <c r="AA110" s="128"/>
      <c r="AB110" s="1366">
        <f>+'Tariff Schedule'!X35</f>
        <v>0.98</v>
      </c>
    </row>
    <row r="111" spans="1:28" x14ac:dyDescent="0.4">
      <c r="A111" s="1339"/>
      <c r="B111" s="1360" t="s">
        <v>1544</v>
      </c>
      <c r="C111" s="75"/>
      <c r="D111" s="75"/>
      <c r="E111" s="75"/>
      <c r="F111" s="75"/>
      <c r="G111" s="1221"/>
      <c r="H111" s="75"/>
      <c r="I111" s="75"/>
      <c r="J111" s="75"/>
      <c r="K111" s="1306"/>
      <c r="L111" s="628"/>
      <c r="M111" s="628">
        <f>+$M$110*Assum!J125</f>
        <v>0.29222929144053827</v>
      </c>
      <c r="N111" s="628"/>
      <c r="O111" s="628"/>
      <c r="P111" s="628"/>
      <c r="Q111" s="628">
        <f>+G111*M111/10</f>
        <v>0</v>
      </c>
      <c r="R111" s="628"/>
      <c r="S111" s="628"/>
      <c r="T111" s="628"/>
      <c r="U111" s="628"/>
      <c r="V111" s="75"/>
      <c r="W111" s="628"/>
      <c r="X111" s="1221"/>
      <c r="Y111" s="75"/>
      <c r="Z111" s="75"/>
      <c r="AA111" s="75"/>
      <c r="AB111" s="1358"/>
    </row>
    <row r="112" spans="1:28" x14ac:dyDescent="0.4">
      <c r="A112" s="1339"/>
      <c r="B112" s="1360" t="s">
        <v>1545</v>
      </c>
      <c r="C112" s="75"/>
      <c r="D112" s="75"/>
      <c r="E112" s="75"/>
      <c r="F112" s="75"/>
      <c r="G112" s="1221"/>
      <c r="H112" s="75"/>
      <c r="I112" s="75"/>
      <c r="J112" s="75"/>
      <c r="K112" s="1306"/>
      <c r="L112" s="628"/>
      <c r="M112" s="628">
        <f>+$M$110*Assum!J126</f>
        <v>0.17520611062233291</v>
      </c>
      <c r="N112" s="628"/>
      <c r="O112" s="628"/>
      <c r="P112" s="628"/>
      <c r="Q112" s="628">
        <f>+G112*M112/10</f>
        <v>0</v>
      </c>
      <c r="R112" s="628"/>
      <c r="S112" s="628"/>
      <c r="T112" s="628"/>
      <c r="U112" s="628"/>
      <c r="V112" s="75"/>
      <c r="W112" s="628"/>
      <c r="X112" s="1221"/>
      <c r="Y112" s="75"/>
      <c r="Z112" s="75"/>
      <c r="AA112" s="75"/>
      <c r="AB112" s="1358"/>
    </row>
    <row r="113" spans="1:28" x14ac:dyDescent="0.4">
      <c r="A113" s="1339"/>
      <c r="B113" s="1360" t="s">
        <v>1546</v>
      </c>
      <c r="C113" s="75"/>
      <c r="D113" s="75"/>
      <c r="E113" s="75"/>
      <c r="F113" s="75"/>
      <c r="G113" s="1221"/>
      <c r="H113" s="75"/>
      <c r="I113" s="75"/>
      <c r="J113" s="75"/>
      <c r="K113" s="1306"/>
      <c r="L113" s="628"/>
      <c r="M113" s="628">
        <f>+$M$110*Assum!J127</f>
        <v>0.48043980003963294</v>
      </c>
      <c r="N113" s="628"/>
      <c r="O113" s="628"/>
      <c r="P113" s="628"/>
      <c r="Q113" s="628">
        <f>+G113*M113/10</f>
        <v>0</v>
      </c>
      <c r="R113" s="628"/>
      <c r="S113" s="628"/>
      <c r="T113" s="628"/>
      <c r="U113" s="628"/>
      <c r="V113" s="75"/>
      <c r="W113" s="628"/>
      <c r="X113" s="1221"/>
      <c r="Y113" s="75"/>
      <c r="Z113" s="75"/>
      <c r="AA113" s="75"/>
      <c r="AB113" s="1358"/>
    </row>
    <row r="114" spans="1:28" x14ac:dyDescent="0.4">
      <c r="A114" s="1339"/>
      <c r="B114" s="1360" t="s">
        <v>1549</v>
      </c>
      <c r="C114" s="75"/>
      <c r="D114" s="75"/>
      <c r="E114" s="75"/>
      <c r="F114" s="75"/>
      <c r="G114" s="1221"/>
      <c r="H114" s="75"/>
      <c r="I114" s="75"/>
      <c r="J114" s="75"/>
      <c r="K114" s="1306"/>
      <c r="L114" s="628"/>
      <c r="M114" s="628">
        <f>+$M$110*Assum!J128</f>
        <v>0.38541411671374826</v>
      </c>
      <c r="N114" s="628"/>
      <c r="O114" s="628"/>
      <c r="P114" s="628"/>
      <c r="Q114" s="628">
        <f>+G114*M114/10</f>
        <v>0</v>
      </c>
      <c r="R114" s="628"/>
      <c r="S114" s="628"/>
      <c r="T114" s="628"/>
      <c r="U114" s="628"/>
      <c r="V114" s="75"/>
      <c r="W114" s="628"/>
      <c r="X114" s="1221"/>
      <c r="Y114" s="75"/>
      <c r="Z114" s="75"/>
      <c r="AA114" s="75"/>
      <c r="AB114" s="1358"/>
    </row>
    <row r="115" spans="1:28" s="6" customFormat="1" ht="25.5" x14ac:dyDescent="0.35">
      <c r="B115" s="1363" t="s">
        <v>1135</v>
      </c>
      <c r="C115" s="128">
        <f>+'F13.5'!C115</f>
        <v>1</v>
      </c>
      <c r="D115" s="128">
        <v>780</v>
      </c>
      <c r="E115" s="128"/>
      <c r="F115" s="1365">
        <f>+'Tariff Schedule'!Q26</f>
        <v>5.19</v>
      </c>
      <c r="G115" s="128"/>
      <c r="H115" s="1359">
        <v>1.59</v>
      </c>
      <c r="I115" s="128"/>
      <c r="J115" s="128"/>
      <c r="K115" s="1336">
        <v>19</v>
      </c>
      <c r="L115" s="630">
        <f>+'F1 Non-SEZ'!N29</f>
        <v>3.4102041125982731E-2</v>
      </c>
      <c r="M115" s="630">
        <f>+L115/AB115</f>
        <v>3.479800114896197E-2</v>
      </c>
      <c r="N115" s="630">
        <f>+C115*D115*12/10^7</f>
        <v>9.3599999999999998E-4</v>
      </c>
      <c r="O115" s="630"/>
      <c r="P115" s="630">
        <f>+L115*F115/10</f>
        <v>1.7698959344385038E-2</v>
      </c>
      <c r="Q115" s="630"/>
      <c r="R115" s="630">
        <f>(L115*H115)/10</f>
        <v>5.4222245390312543E-3</v>
      </c>
      <c r="S115" s="630"/>
      <c r="T115" s="630"/>
      <c r="U115" s="630">
        <f>SUM(N115:T115)</f>
        <v>2.4057183883416291E-2</v>
      </c>
      <c r="V115" s="128"/>
      <c r="W115" s="630">
        <f>+U115+V115</f>
        <v>2.4057183883416291E-2</v>
      </c>
      <c r="X115" s="1222">
        <f>IFERROR(W115/L115*10,0)</f>
        <v>7.0544703745274795</v>
      </c>
      <c r="Y115" s="128"/>
      <c r="Z115" s="128"/>
      <c r="AA115" s="128"/>
      <c r="AB115" s="1366">
        <f>+'Tariff Schedule'!X26</f>
        <v>0.98</v>
      </c>
    </row>
    <row r="116" spans="1:28" s="6" customFormat="1" ht="38.25" x14ac:dyDescent="0.35">
      <c r="B116" s="1363" t="s">
        <v>1136</v>
      </c>
      <c r="C116" s="128"/>
      <c r="D116" s="128"/>
      <c r="E116" s="128"/>
      <c r="F116" s="128"/>
      <c r="G116" s="128"/>
      <c r="H116" s="128"/>
      <c r="I116" s="128"/>
      <c r="J116" s="128"/>
      <c r="K116" s="1336"/>
      <c r="L116" s="630"/>
      <c r="M116" s="630"/>
      <c r="N116" s="630"/>
      <c r="O116" s="630"/>
      <c r="P116" s="630"/>
      <c r="Q116" s="630"/>
      <c r="R116" s="630"/>
      <c r="S116" s="630"/>
      <c r="T116" s="630"/>
      <c r="U116" s="630">
        <f>SUM(N116:T116)</f>
        <v>0</v>
      </c>
      <c r="V116" s="128"/>
      <c r="W116" s="630">
        <f>+U116+V116</f>
        <v>0</v>
      </c>
      <c r="X116" s="1222">
        <f>IFERROR(W116/L116*10,0)</f>
        <v>0</v>
      </c>
      <c r="Y116" s="128"/>
      <c r="Z116" s="128"/>
      <c r="AA116" s="128"/>
      <c r="AB116" s="3"/>
    </row>
    <row r="117" spans="1:28" s="6" customFormat="1" ht="25.5" x14ac:dyDescent="0.35">
      <c r="A117" s="1364">
        <f>+'F14.2'!A117</f>
        <v>0.4</v>
      </c>
      <c r="B117" s="1363" t="s">
        <v>1142</v>
      </c>
      <c r="C117" s="128">
        <f>+'F13.5'!C117</f>
        <v>10</v>
      </c>
      <c r="D117" s="128"/>
      <c r="E117" s="128">
        <v>0</v>
      </c>
      <c r="F117" s="1365">
        <f>+'Tariff Schedule'!Q36</f>
        <v>6.92</v>
      </c>
      <c r="G117" s="128"/>
      <c r="H117" s="1365">
        <v>1.51</v>
      </c>
      <c r="I117" s="128"/>
      <c r="J117" s="128"/>
      <c r="K117" s="1336">
        <v>105</v>
      </c>
      <c r="L117" s="630">
        <f>+'F1 Non-SEZ'!N31</f>
        <v>2.7184414709071562E-2</v>
      </c>
      <c r="M117" s="630">
        <f>+L117/AB117</f>
        <v>2.7412855168811662E-2</v>
      </c>
      <c r="N117" s="630"/>
      <c r="O117" s="630">
        <f>(K117*E117)*12/10^7*A117</f>
        <v>0</v>
      </c>
      <c r="P117" s="630">
        <f>+M117*F117/10</f>
        <v>1.8969695776817667E-2</v>
      </c>
      <c r="Q117" s="630">
        <f>SUM(Q118:Q121)</f>
        <v>1.7834448554973062E-4</v>
      </c>
      <c r="R117" s="630">
        <f>(M117*H117)/10</f>
        <v>4.1393411304905614E-3</v>
      </c>
      <c r="S117" s="630"/>
      <c r="T117" s="630"/>
      <c r="U117" s="630">
        <f>SUM(N117:T117)</f>
        <v>2.3287381392857957E-2</v>
      </c>
      <c r="V117" s="128"/>
      <c r="W117" s="630">
        <f>+U117+V117</f>
        <v>2.3287381392857957E-2</v>
      </c>
      <c r="X117" s="1222">
        <f>IFERROR(W117/L117*10,0)</f>
        <v>8.5664457528625224</v>
      </c>
      <c r="Y117" s="128"/>
      <c r="Z117" s="128"/>
      <c r="AA117" s="128"/>
      <c r="AB117" s="1366">
        <f>+'Tariff Schedule'!X36</f>
        <v>0.99166666666666659</v>
      </c>
    </row>
    <row r="118" spans="1:28" x14ac:dyDescent="0.4">
      <c r="A118" s="1339"/>
      <c r="B118" s="1360" t="s">
        <v>1544</v>
      </c>
      <c r="C118" s="75"/>
      <c r="D118" s="75"/>
      <c r="E118" s="75"/>
      <c r="F118" s="75"/>
      <c r="G118" s="1221">
        <f>+$F117*'Tariff Schedule'!E$50</f>
        <v>0</v>
      </c>
      <c r="H118" s="75"/>
      <c r="I118" s="75"/>
      <c r="J118" s="75"/>
      <c r="K118" s="1306"/>
      <c r="L118" s="628"/>
      <c r="M118" s="628">
        <f>+$M$117*Assum!K125</f>
        <v>1.1060375292370314E-2</v>
      </c>
      <c r="N118" s="628"/>
      <c r="O118" s="628"/>
      <c r="P118" s="628"/>
      <c r="Q118" s="628">
        <f>+G118*M118/10</f>
        <v>0</v>
      </c>
      <c r="R118" s="628"/>
      <c r="S118" s="628"/>
      <c r="T118" s="628"/>
      <c r="U118" s="628"/>
      <c r="V118" s="75"/>
      <c r="W118" s="628"/>
      <c r="X118" s="1221"/>
      <c r="Y118" s="75"/>
      <c r="Z118" s="75"/>
      <c r="AA118" s="75"/>
      <c r="AB118" s="1358"/>
    </row>
    <row r="119" spans="1:28" x14ac:dyDescent="0.4">
      <c r="A119" s="1339"/>
      <c r="B119" s="1360" t="s">
        <v>1545</v>
      </c>
      <c r="C119" s="75"/>
      <c r="D119" s="75"/>
      <c r="E119" s="75"/>
      <c r="F119" s="75"/>
      <c r="G119" s="1221">
        <f>+$F117*'Tariff Schedule'!E$51</f>
        <v>0</v>
      </c>
      <c r="H119" s="75"/>
      <c r="I119" s="75"/>
      <c r="J119" s="75"/>
      <c r="K119" s="1306"/>
      <c r="L119" s="628"/>
      <c r="M119" s="628">
        <f>+$M$117*Assum!K126</f>
        <v>2.105348875528882E-3</v>
      </c>
      <c r="N119" s="628"/>
      <c r="O119" s="628"/>
      <c r="P119" s="628"/>
      <c r="Q119" s="628">
        <f>+G119*M119/10</f>
        <v>0</v>
      </c>
      <c r="R119" s="628"/>
      <c r="S119" s="628"/>
      <c r="T119" s="628"/>
      <c r="U119" s="628"/>
      <c r="V119" s="75"/>
      <c r="W119" s="628"/>
      <c r="X119" s="1221"/>
      <c r="Y119" s="75"/>
      <c r="Z119" s="75"/>
      <c r="AA119" s="75"/>
      <c r="AB119" s="1358"/>
    </row>
    <row r="120" spans="1:28" x14ac:dyDescent="0.4">
      <c r="A120" s="1339"/>
      <c r="B120" s="1360" t="s">
        <v>1546</v>
      </c>
      <c r="C120" s="75"/>
      <c r="D120" s="75"/>
      <c r="E120" s="75"/>
      <c r="F120" s="75"/>
      <c r="G120" s="1221">
        <f>+$F117*'Tariff Schedule'!E$52</f>
        <v>-1.4993333333333334</v>
      </c>
      <c r="H120" s="75"/>
      <c r="I120" s="75"/>
      <c r="J120" s="75"/>
      <c r="K120" s="1306"/>
      <c r="L120" s="628"/>
      <c r="M120" s="628">
        <f>+$M$117*Assum!K127</f>
        <v>6.2200870924042353E-3</v>
      </c>
      <c r="N120" s="628"/>
      <c r="O120" s="628"/>
      <c r="P120" s="628"/>
      <c r="Q120" s="628">
        <f>+G120*M120/10</f>
        <v>-9.3259839138780842E-4</v>
      </c>
      <c r="R120" s="628"/>
      <c r="S120" s="628"/>
      <c r="T120" s="628"/>
      <c r="U120" s="628"/>
      <c r="V120" s="75"/>
      <c r="W120" s="628"/>
      <c r="X120" s="1221"/>
      <c r="Y120" s="75"/>
      <c r="Z120" s="75"/>
      <c r="AA120" s="75"/>
      <c r="AB120" s="1358"/>
    </row>
    <row r="121" spans="1:28" x14ac:dyDescent="0.4">
      <c r="A121" s="1339"/>
      <c r="B121" s="1360" t="s">
        <v>1549</v>
      </c>
      <c r="C121" s="75"/>
      <c r="D121" s="75"/>
      <c r="E121" s="75"/>
      <c r="F121" s="75"/>
      <c r="G121" s="1221">
        <f>+$F117*'Tariff Schedule'!E$55</f>
        <v>1.3840000000000001</v>
      </c>
      <c r="H121" s="75"/>
      <c r="I121" s="75"/>
      <c r="J121" s="75"/>
      <c r="K121" s="1306"/>
      <c r="L121" s="628"/>
      <c r="M121" s="628">
        <f>+$M$117*Assum!K128</f>
        <v>8.0270439085082298E-3</v>
      </c>
      <c r="N121" s="628"/>
      <c r="O121" s="628"/>
      <c r="P121" s="628"/>
      <c r="Q121" s="628">
        <f>+G121*M121/10</f>
        <v>1.110942876937539E-3</v>
      </c>
      <c r="R121" s="628"/>
      <c r="S121" s="628"/>
      <c r="T121" s="628"/>
      <c r="U121" s="628"/>
      <c r="V121" s="75"/>
      <c r="W121" s="628"/>
      <c r="X121" s="1221"/>
      <c r="Y121" s="75"/>
      <c r="Z121" s="75"/>
      <c r="AA121" s="75"/>
      <c r="AB121" s="1358"/>
    </row>
    <row r="122" spans="1:28" x14ac:dyDescent="0.4">
      <c r="B122" s="518" t="s">
        <v>162</v>
      </c>
      <c r="C122" s="1308">
        <f>SUM(C93:C117)</f>
        <v>3447</v>
      </c>
      <c r="D122" s="1310"/>
      <c r="E122" s="1310"/>
      <c r="F122" s="1310"/>
      <c r="G122" s="1310"/>
      <c r="H122" s="1310"/>
      <c r="I122" s="1310"/>
      <c r="J122" s="1310"/>
      <c r="K122" s="1336">
        <f>+K100+K105+K110+K115+K117</f>
        <v>737</v>
      </c>
      <c r="L122" s="630">
        <f t="shared" ref="L122:W122" si="6">+L92+L99+L100+L105+L110+L115+L117</f>
        <v>14.321406177603723</v>
      </c>
      <c r="M122" s="630">
        <f t="shared" si="6"/>
        <v>14.369570827302905</v>
      </c>
      <c r="N122" s="630">
        <f t="shared" si="6"/>
        <v>1.875456</v>
      </c>
      <c r="O122" s="630">
        <f t="shared" si="6"/>
        <v>0.165468</v>
      </c>
      <c r="P122" s="630">
        <f t="shared" si="6"/>
        <v>13.684735653719072</v>
      </c>
      <c r="Q122" s="630">
        <f t="shared" si="6"/>
        <v>1.7834448554973062E-4</v>
      </c>
      <c r="R122" s="630">
        <f t="shared" si="6"/>
        <v>2.2640386664040517</v>
      </c>
      <c r="S122" s="630">
        <f t="shared" si="6"/>
        <v>0</v>
      </c>
      <c r="T122" s="630">
        <f t="shared" si="6"/>
        <v>0</v>
      </c>
      <c r="U122" s="630">
        <f t="shared" si="6"/>
        <v>17.989876664608676</v>
      </c>
      <c r="V122" s="630">
        <f t="shared" si="6"/>
        <v>0</v>
      </c>
      <c r="W122" s="630">
        <f t="shared" si="6"/>
        <v>17.989876664608676</v>
      </c>
      <c r="X122" s="1222">
        <f>IFERROR(W122/L122*10,0)</f>
        <v>12.561529532443416</v>
      </c>
      <c r="Y122" s="75"/>
      <c r="Z122" s="75"/>
      <c r="AA122" s="75"/>
      <c r="AB122" s="2"/>
    </row>
    <row r="123" spans="1:28" x14ac:dyDescent="0.4">
      <c r="B123" s="518"/>
      <c r="C123" s="75"/>
      <c r="D123" s="75"/>
      <c r="E123" s="75"/>
      <c r="F123" s="75"/>
      <c r="G123" s="75"/>
      <c r="H123" s="75"/>
      <c r="I123" s="75"/>
      <c r="J123" s="75"/>
      <c r="K123" s="1306"/>
      <c r="L123" s="628"/>
      <c r="M123" s="628"/>
      <c r="N123" s="628"/>
      <c r="O123" s="628"/>
      <c r="P123" s="628"/>
      <c r="Q123" s="628"/>
      <c r="R123" s="628"/>
      <c r="S123" s="628"/>
      <c r="T123" s="628"/>
      <c r="U123" s="628"/>
      <c r="V123" s="75"/>
      <c r="W123" s="628"/>
      <c r="X123" s="75"/>
      <c r="Y123" s="75"/>
      <c r="Z123" s="75"/>
      <c r="AA123" s="75"/>
      <c r="AB123" s="2"/>
    </row>
    <row r="124" spans="1:28" x14ac:dyDescent="0.4">
      <c r="B124" s="119" t="s">
        <v>164</v>
      </c>
      <c r="C124" s="1308">
        <f>+C122+C90</f>
        <v>3451</v>
      </c>
      <c r="D124" s="1309"/>
      <c r="E124" s="1309"/>
      <c r="F124" s="1309"/>
      <c r="G124" s="1309"/>
      <c r="H124" s="1309"/>
      <c r="I124" s="1309"/>
      <c r="J124" s="1309"/>
      <c r="K124" s="1336">
        <f t="shared" ref="K124:W124" si="7">+K122+K90</f>
        <v>1423</v>
      </c>
      <c r="L124" s="630">
        <f t="shared" si="7"/>
        <v>15.454595668312564</v>
      </c>
      <c r="M124" s="630">
        <f t="shared" si="7"/>
        <v>15.523981882551052</v>
      </c>
      <c r="N124" s="630">
        <f t="shared" si="7"/>
        <v>1.875456</v>
      </c>
      <c r="O124" s="630">
        <f t="shared" si="7"/>
        <v>0.657003</v>
      </c>
      <c r="P124" s="630">
        <f t="shared" si="7"/>
        <v>14.809350228954923</v>
      </c>
      <c r="Q124" s="630">
        <f t="shared" si="7"/>
        <v>1.7834448554973062E-4</v>
      </c>
      <c r="R124" s="630">
        <f t="shared" si="7"/>
        <v>2.3563915508239037</v>
      </c>
      <c r="S124" s="630">
        <f t="shared" si="7"/>
        <v>0</v>
      </c>
      <c r="T124" s="630">
        <f t="shared" si="7"/>
        <v>0</v>
      </c>
      <c r="U124" s="630">
        <f t="shared" si="7"/>
        <v>19.698379124264378</v>
      </c>
      <c r="V124" s="1309">
        <f t="shared" si="7"/>
        <v>0</v>
      </c>
      <c r="W124" s="630">
        <f t="shared" si="7"/>
        <v>19.698379124264378</v>
      </c>
      <c r="X124" s="1222">
        <f>IFERROR(W124/L124*10,0)</f>
        <v>12.745968608323468</v>
      </c>
      <c r="Y124" s="75"/>
      <c r="Z124" s="75"/>
      <c r="AA124" s="75"/>
      <c r="AB124" s="2"/>
    </row>
    <row r="125" spans="1:28" x14ac:dyDescent="0.4">
      <c r="AB125" s="2"/>
    </row>
    <row r="126" spans="1:28" x14ac:dyDescent="0.4">
      <c r="B126" s="131" t="s">
        <v>750</v>
      </c>
      <c r="C126" s="103"/>
      <c r="D126" s="103"/>
      <c r="E126" s="103"/>
      <c r="F126" s="103"/>
      <c r="G126" s="103"/>
      <c r="H126" s="103"/>
      <c r="I126" s="103"/>
      <c r="J126" s="103"/>
      <c r="K126" s="1333"/>
      <c r="L126" s="1328"/>
      <c r="M126" s="1328"/>
      <c r="N126" s="1328"/>
      <c r="O126" s="103"/>
      <c r="P126" s="103"/>
      <c r="Q126" s="103"/>
      <c r="R126" s="103"/>
      <c r="S126" s="103"/>
      <c r="T126" s="103"/>
      <c r="U126" s="103"/>
      <c r="V126" s="103"/>
      <c r="W126" s="1328"/>
      <c r="X126" s="103"/>
      <c r="Y126" s="103"/>
      <c r="Z126" s="103"/>
      <c r="AA126" s="103"/>
    </row>
    <row r="127" spans="1:28" x14ac:dyDescent="0.4">
      <c r="B127" s="131" t="s">
        <v>1610</v>
      </c>
      <c r="C127" s="103"/>
      <c r="D127" s="103"/>
      <c r="E127" s="103"/>
      <c r="F127" s="103"/>
      <c r="G127" s="103"/>
      <c r="H127" s="103"/>
      <c r="I127" s="103"/>
      <c r="J127" s="103"/>
      <c r="K127" s="1333"/>
      <c r="L127" s="1328"/>
      <c r="M127" s="1328"/>
      <c r="N127" s="1328"/>
      <c r="O127" s="103"/>
      <c r="P127" s="103"/>
      <c r="Q127" s="103"/>
      <c r="R127" s="103"/>
      <c r="S127" s="103"/>
      <c r="T127" s="103"/>
      <c r="U127" s="103"/>
      <c r="V127" s="103"/>
      <c r="W127" s="1328"/>
      <c r="X127" s="103"/>
      <c r="Y127" s="103"/>
      <c r="Z127" s="103"/>
      <c r="AA127" s="103"/>
    </row>
    <row r="128" spans="1:28" x14ac:dyDescent="0.4">
      <c r="B128" s="103"/>
      <c r="C128" s="103"/>
      <c r="D128" s="103"/>
      <c r="E128" s="103"/>
      <c r="F128" s="103"/>
      <c r="G128" s="103"/>
      <c r="H128" s="103"/>
      <c r="I128" s="103"/>
      <c r="J128" s="103"/>
      <c r="K128" s="1333"/>
      <c r="L128" s="1328"/>
      <c r="M128" s="1328"/>
      <c r="N128" s="1328"/>
      <c r="O128" s="103"/>
      <c r="P128" s="103"/>
      <c r="Q128" s="103"/>
      <c r="R128" s="103"/>
      <c r="S128" s="103"/>
      <c r="T128" s="103"/>
      <c r="U128" s="103"/>
      <c r="V128" s="103"/>
      <c r="W128" s="1328"/>
      <c r="X128" s="103"/>
      <c r="Y128" s="103"/>
      <c r="Z128" s="103"/>
      <c r="AA128" s="103"/>
    </row>
    <row r="129" spans="2:28" ht="13.8" customHeight="1" x14ac:dyDescent="0.4">
      <c r="B129" s="1984" t="s">
        <v>699</v>
      </c>
      <c r="C129" s="1947" t="s">
        <v>700</v>
      </c>
      <c r="D129" s="1945" t="s">
        <v>720</v>
      </c>
      <c r="E129" s="1945"/>
      <c r="F129" s="1945"/>
      <c r="G129" s="1945"/>
      <c r="H129" s="1945"/>
      <c r="I129" s="1945"/>
      <c r="J129" s="2084" t="s">
        <v>721</v>
      </c>
      <c r="K129" s="2085"/>
      <c r="L129" s="2085"/>
      <c r="M129" s="2086"/>
      <c r="N129" s="2082" t="s">
        <v>722</v>
      </c>
      <c r="O129" s="2082"/>
      <c r="P129" s="2082"/>
      <c r="Q129" s="2082"/>
      <c r="R129" s="2082"/>
      <c r="S129" s="2082"/>
      <c r="T129" s="2082"/>
      <c r="U129" s="2082"/>
      <c r="V129" s="1947" t="s">
        <v>707</v>
      </c>
      <c r="W129" s="2083" t="s">
        <v>723</v>
      </c>
      <c r="X129" s="1947" t="s">
        <v>724</v>
      </c>
      <c r="Y129" s="1947" t="s">
        <v>725</v>
      </c>
      <c r="Z129" s="106"/>
      <c r="AA129" s="106"/>
      <c r="AB129" s="1947" t="s">
        <v>1570</v>
      </c>
    </row>
    <row r="130" spans="2:28" ht="67.5" x14ac:dyDescent="0.4">
      <c r="B130" s="1984"/>
      <c r="C130" s="1947"/>
      <c r="D130" s="106" t="s">
        <v>726</v>
      </c>
      <c r="E130" s="106" t="s">
        <v>727</v>
      </c>
      <c r="F130" s="106" t="s">
        <v>728</v>
      </c>
      <c r="G130" s="106" t="s">
        <v>729</v>
      </c>
      <c r="H130" s="106" t="s">
        <v>730</v>
      </c>
      <c r="I130" s="106" t="s">
        <v>731</v>
      </c>
      <c r="J130" s="106" t="s">
        <v>732</v>
      </c>
      <c r="K130" s="1334" t="s">
        <v>733</v>
      </c>
      <c r="L130" s="1331" t="s">
        <v>701</v>
      </c>
      <c r="M130" s="1331" t="s">
        <v>1837</v>
      </c>
      <c r="N130" s="749" t="s">
        <v>734</v>
      </c>
      <c r="O130" s="106" t="s">
        <v>735</v>
      </c>
      <c r="P130" s="106" t="s">
        <v>736</v>
      </c>
      <c r="Q130" s="106" t="s">
        <v>737</v>
      </c>
      <c r="R130" s="106" t="s">
        <v>738</v>
      </c>
      <c r="S130" s="106" t="s">
        <v>1512</v>
      </c>
      <c r="T130" s="106" t="s">
        <v>739</v>
      </c>
      <c r="U130" s="121" t="s">
        <v>164</v>
      </c>
      <c r="V130" s="1947"/>
      <c r="W130" s="2083"/>
      <c r="X130" s="1947"/>
      <c r="Y130" s="1947"/>
      <c r="Z130" s="106"/>
      <c r="AA130" s="106"/>
      <c r="AB130" s="1947"/>
    </row>
    <row r="131" spans="2:28" x14ac:dyDescent="0.4">
      <c r="B131" s="517" t="s">
        <v>161</v>
      </c>
      <c r="C131" s="80"/>
      <c r="D131" s="80"/>
      <c r="E131" s="80"/>
      <c r="F131" s="80"/>
      <c r="G131" s="80"/>
      <c r="H131" s="80"/>
      <c r="I131" s="80"/>
      <c r="J131" s="80"/>
      <c r="K131" s="1335"/>
      <c r="L131" s="1329"/>
      <c r="M131" s="1329"/>
      <c r="N131" s="1329"/>
      <c r="O131" s="80"/>
      <c r="P131" s="80"/>
      <c r="Q131" s="80"/>
      <c r="R131" s="80"/>
      <c r="S131" s="80"/>
      <c r="T131" s="80"/>
      <c r="U131" s="81"/>
      <c r="V131" s="80"/>
      <c r="W131" s="1329"/>
      <c r="X131" s="80"/>
      <c r="Y131" s="80"/>
      <c r="Z131" s="80"/>
      <c r="AA131" s="80"/>
      <c r="AB131" s="2"/>
    </row>
    <row r="132" spans="2:28" x14ac:dyDescent="0.4">
      <c r="B132" s="429" t="s">
        <v>1129</v>
      </c>
      <c r="C132" s="75">
        <f>+C13+C78</f>
        <v>5</v>
      </c>
      <c r="D132" s="75"/>
      <c r="E132" s="75"/>
      <c r="F132" s="75"/>
      <c r="G132" s="75"/>
      <c r="H132" s="75"/>
      <c r="I132" s="75"/>
      <c r="J132" s="75"/>
      <c r="K132" s="1306">
        <f t="shared" ref="K132:T132" si="8">+K13+K78</f>
        <v>34711</v>
      </c>
      <c r="L132" s="628">
        <f t="shared" si="8"/>
        <v>264.97079900000006</v>
      </c>
      <c r="M132" s="628">
        <f t="shared" si="8"/>
        <v>267.64727171717175</v>
      </c>
      <c r="N132" s="628">
        <f t="shared" si="8"/>
        <v>0</v>
      </c>
      <c r="O132" s="628">
        <f t="shared" si="8"/>
        <v>28.11591</v>
      </c>
      <c r="P132" s="628">
        <f t="shared" si="8"/>
        <v>126.89448663333336</v>
      </c>
      <c r="Q132" s="628">
        <f t="shared" si="8"/>
        <v>0</v>
      </c>
      <c r="R132" s="628">
        <f t="shared" ca="1" si="8"/>
        <v>53.655212269217358</v>
      </c>
      <c r="S132" s="628">
        <f t="shared" si="8"/>
        <v>0</v>
      </c>
      <c r="T132" s="628">
        <f t="shared" si="8"/>
        <v>0</v>
      </c>
      <c r="U132" s="628">
        <f ca="1">SUM(N132:T132)</f>
        <v>208.66560890255073</v>
      </c>
      <c r="V132" s="75"/>
      <c r="W132" s="628">
        <f ca="1">+U132+V132</f>
        <v>208.66560890255073</v>
      </c>
      <c r="X132" s="1221">
        <f ca="1">IFERROR(W132/L132*10,0)</f>
        <v>7.8750416910110417</v>
      </c>
      <c r="Y132" s="75"/>
      <c r="Z132" s="75"/>
      <c r="AA132" s="75"/>
      <c r="AB132" s="2"/>
    </row>
    <row r="133" spans="2:28" x14ac:dyDescent="0.4">
      <c r="B133" s="429" t="s">
        <v>1130</v>
      </c>
      <c r="C133" s="75">
        <f>+C18+C83</f>
        <v>4</v>
      </c>
      <c r="D133" s="75"/>
      <c r="E133" s="75"/>
      <c r="F133" s="75"/>
      <c r="G133" s="75"/>
      <c r="H133" s="75"/>
      <c r="I133" s="75"/>
      <c r="J133" s="75"/>
      <c r="K133" s="1306">
        <f t="shared" ref="K133:T133" si="9">+K18+K83</f>
        <v>515</v>
      </c>
      <c r="L133" s="628">
        <f t="shared" si="9"/>
        <v>0.99619577935655423</v>
      </c>
      <c r="M133" s="628">
        <f t="shared" si="9"/>
        <v>1.0165263054658717</v>
      </c>
      <c r="N133" s="628">
        <f t="shared" si="9"/>
        <v>0</v>
      </c>
      <c r="O133" s="628">
        <f t="shared" si="9"/>
        <v>0.34762499999999996</v>
      </c>
      <c r="P133" s="628">
        <f t="shared" si="9"/>
        <v>1.0259675773431416</v>
      </c>
      <c r="Q133" s="628">
        <f t="shared" si="9"/>
        <v>0</v>
      </c>
      <c r="R133" s="628">
        <f t="shared" ca="1" si="9"/>
        <v>8.7202835070153806E-2</v>
      </c>
      <c r="S133" s="628">
        <f t="shared" si="9"/>
        <v>0</v>
      </c>
      <c r="T133" s="628">
        <f t="shared" si="9"/>
        <v>0</v>
      </c>
      <c r="U133" s="628">
        <f ca="1">SUM(N133:T133)</f>
        <v>1.4607954124132956</v>
      </c>
      <c r="V133" s="75"/>
      <c r="W133" s="628">
        <f ca="1">+U133+V133</f>
        <v>1.4607954124132956</v>
      </c>
      <c r="X133" s="1221">
        <f ca="1">IFERROR(W133/L133*10,0)</f>
        <v>14.663738219778724</v>
      </c>
      <c r="Y133" s="75"/>
      <c r="Z133" s="75"/>
      <c r="AA133" s="75"/>
      <c r="AB133" s="2"/>
    </row>
    <row r="134" spans="2:28" x14ac:dyDescent="0.4">
      <c r="B134" s="429" t="s">
        <v>1131</v>
      </c>
      <c r="C134" s="75">
        <f>+C23+C88</f>
        <v>0</v>
      </c>
      <c r="D134" s="75"/>
      <c r="E134" s="75"/>
      <c r="F134" s="75"/>
      <c r="G134" s="75"/>
      <c r="H134" s="75"/>
      <c r="I134" s="75"/>
      <c r="J134" s="75"/>
      <c r="K134" s="1306"/>
      <c r="L134" s="628"/>
      <c r="M134" s="628"/>
      <c r="N134" s="628"/>
      <c r="O134" s="628"/>
      <c r="P134" s="628"/>
      <c r="Q134" s="628"/>
      <c r="R134" s="628"/>
      <c r="S134" s="628"/>
      <c r="T134" s="628"/>
      <c r="U134" s="628"/>
      <c r="V134" s="75"/>
      <c r="W134" s="628"/>
      <c r="X134" s="75"/>
      <c r="Y134" s="75"/>
      <c r="Z134" s="75"/>
      <c r="AA134" s="75"/>
      <c r="AB134" s="2"/>
    </row>
    <row r="135" spans="2:28" ht="25.5" x14ac:dyDescent="0.4">
      <c r="B135" s="429" t="s">
        <v>1132</v>
      </c>
      <c r="C135" s="75">
        <f>+C24+C89</f>
        <v>0</v>
      </c>
      <c r="D135" s="75"/>
      <c r="E135" s="75"/>
      <c r="F135" s="75"/>
      <c r="G135" s="75"/>
      <c r="H135" s="75"/>
      <c r="I135" s="75"/>
      <c r="J135" s="75"/>
      <c r="K135" s="1306"/>
      <c r="L135" s="628"/>
      <c r="M135" s="628"/>
      <c r="N135" s="628"/>
      <c r="O135" s="628"/>
      <c r="P135" s="628"/>
      <c r="Q135" s="628"/>
      <c r="R135" s="628"/>
      <c r="S135" s="628"/>
      <c r="T135" s="628"/>
      <c r="U135" s="628"/>
      <c r="V135" s="75"/>
      <c r="W135" s="628"/>
      <c r="X135" s="75"/>
      <c r="Y135" s="75"/>
      <c r="Z135" s="75"/>
      <c r="AA135" s="75"/>
      <c r="AB135" s="2"/>
    </row>
    <row r="136" spans="2:28" x14ac:dyDescent="0.4">
      <c r="B136" s="518" t="s">
        <v>162</v>
      </c>
      <c r="C136" s="128">
        <f>SUM(C132:C135)</f>
        <v>9</v>
      </c>
      <c r="D136" s="1309"/>
      <c r="E136" s="1309"/>
      <c r="F136" s="1309"/>
      <c r="G136" s="1309"/>
      <c r="H136" s="1309"/>
      <c r="I136" s="1309"/>
      <c r="J136" s="1309"/>
      <c r="K136" s="1336">
        <f t="shared" ref="K136:W136" si="10">SUM(K132:K135)</f>
        <v>35226</v>
      </c>
      <c r="L136" s="630">
        <f t="shared" si="10"/>
        <v>265.96699477935658</v>
      </c>
      <c r="M136" s="630">
        <f t="shared" si="10"/>
        <v>268.66379802263759</v>
      </c>
      <c r="N136" s="630">
        <f t="shared" si="10"/>
        <v>0</v>
      </c>
      <c r="O136" s="630">
        <f t="shared" si="10"/>
        <v>28.463535</v>
      </c>
      <c r="P136" s="630">
        <f t="shared" si="10"/>
        <v>127.9204542106765</v>
      </c>
      <c r="Q136" s="630">
        <f t="shared" si="10"/>
        <v>0</v>
      </c>
      <c r="R136" s="630">
        <f t="shared" ca="1" si="10"/>
        <v>53.74241510428751</v>
      </c>
      <c r="S136" s="630">
        <f t="shared" si="10"/>
        <v>0</v>
      </c>
      <c r="T136" s="630">
        <f t="shared" si="10"/>
        <v>0</v>
      </c>
      <c r="U136" s="630">
        <f t="shared" ca="1" si="10"/>
        <v>210.12640431496402</v>
      </c>
      <c r="V136" s="1309">
        <f t="shared" si="10"/>
        <v>0</v>
      </c>
      <c r="W136" s="630">
        <f t="shared" ca="1" si="10"/>
        <v>210.12640431496402</v>
      </c>
      <c r="X136" s="1221">
        <f ca="1">IFERROR(W136/L136*10,0)</f>
        <v>7.9004691724731737</v>
      </c>
      <c r="Y136" s="75"/>
      <c r="Z136" s="75"/>
      <c r="AA136" s="75"/>
      <c r="AB136" s="2"/>
    </row>
    <row r="137" spans="2:28" x14ac:dyDescent="0.4">
      <c r="B137" s="517" t="s">
        <v>163</v>
      </c>
      <c r="C137" s="75"/>
      <c r="D137" s="75"/>
      <c r="E137" s="75"/>
      <c r="F137" s="75"/>
      <c r="G137" s="75"/>
      <c r="H137" s="75"/>
      <c r="I137" s="75"/>
      <c r="J137" s="75"/>
      <c r="K137" s="1306"/>
      <c r="L137" s="628"/>
      <c r="M137" s="628"/>
      <c r="N137" s="628"/>
      <c r="O137" s="628"/>
      <c r="P137" s="628"/>
      <c r="Q137" s="628"/>
      <c r="R137" s="628"/>
      <c r="S137" s="628"/>
      <c r="T137" s="628"/>
      <c r="U137" s="628"/>
      <c r="V137" s="75"/>
      <c r="W137" s="628"/>
      <c r="X137" s="75"/>
      <c r="Y137" s="75"/>
      <c r="Z137" s="75"/>
      <c r="AA137" s="75"/>
      <c r="AB137" s="2"/>
    </row>
    <row r="138" spans="2:28" x14ac:dyDescent="0.4">
      <c r="B138" s="519" t="s">
        <v>1133</v>
      </c>
      <c r="C138" s="75"/>
      <c r="D138" s="75"/>
      <c r="E138" s="75"/>
      <c r="F138" s="75"/>
      <c r="G138" s="75"/>
      <c r="H138" s="75"/>
      <c r="I138" s="75"/>
      <c r="J138" s="75"/>
      <c r="K138" s="1306"/>
      <c r="L138" s="628"/>
      <c r="M138" s="628"/>
      <c r="N138" s="628"/>
      <c r="O138" s="628"/>
      <c r="P138" s="628"/>
      <c r="Q138" s="628"/>
      <c r="R138" s="628"/>
      <c r="S138" s="628"/>
      <c r="T138" s="628"/>
      <c r="U138" s="628"/>
      <c r="V138" s="75"/>
      <c r="W138" s="628"/>
      <c r="X138" s="75"/>
      <c r="Y138" s="75"/>
      <c r="Z138" s="75"/>
      <c r="AA138" s="75"/>
      <c r="AB138" s="2"/>
    </row>
    <row r="139" spans="2:28" x14ac:dyDescent="0.4">
      <c r="B139" s="520" t="s">
        <v>1106</v>
      </c>
      <c r="C139" s="75">
        <f>+C28+C93</f>
        <v>1883</v>
      </c>
      <c r="D139" s="75"/>
      <c r="E139" s="75"/>
      <c r="F139" s="75"/>
      <c r="G139" s="75"/>
      <c r="H139" s="75"/>
      <c r="I139" s="75"/>
      <c r="J139" s="75"/>
      <c r="K139" s="1306">
        <f t="shared" ref="K139:T139" si="11">+K28+K93</f>
        <v>0</v>
      </c>
      <c r="L139" s="628">
        <f t="shared" si="11"/>
        <v>2.6696019132438007</v>
      </c>
      <c r="M139" s="628">
        <f t="shared" si="11"/>
        <v>2.6696019132438007</v>
      </c>
      <c r="N139" s="628">
        <f t="shared" si="11"/>
        <v>1.0168200000000001</v>
      </c>
      <c r="O139" s="628">
        <f t="shared" si="11"/>
        <v>0</v>
      </c>
      <c r="P139" s="628">
        <f t="shared" si="11"/>
        <v>0.62468684769904936</v>
      </c>
      <c r="Q139" s="628">
        <f t="shared" si="11"/>
        <v>0</v>
      </c>
      <c r="R139" s="628">
        <f t="shared" si="11"/>
        <v>0.42446670420576432</v>
      </c>
      <c r="S139" s="628">
        <f t="shared" si="11"/>
        <v>0</v>
      </c>
      <c r="T139" s="628">
        <f t="shared" si="11"/>
        <v>0</v>
      </c>
      <c r="U139" s="628">
        <f>SUM(N139:T139)</f>
        <v>2.0659735519048135</v>
      </c>
      <c r="V139" s="75"/>
      <c r="W139" s="628">
        <f>+U139+V139</f>
        <v>2.0659735519048135</v>
      </c>
      <c r="X139" s="1221">
        <f>IFERROR(W139/L139*10,0)</f>
        <v>7.7388824965085314</v>
      </c>
      <c r="Y139" s="75"/>
      <c r="Z139" s="75"/>
      <c r="AA139" s="75"/>
      <c r="AB139" s="2"/>
    </row>
    <row r="140" spans="2:28" x14ac:dyDescent="0.4">
      <c r="B140" s="520" t="s">
        <v>1107</v>
      </c>
      <c r="C140" s="75">
        <f>+C29+C94</f>
        <v>731</v>
      </c>
      <c r="D140" s="75"/>
      <c r="E140" s="75"/>
      <c r="F140" s="75"/>
      <c r="G140" s="75"/>
      <c r="H140" s="75"/>
      <c r="I140" s="75"/>
      <c r="J140" s="75"/>
      <c r="K140" s="1306">
        <f t="shared" ref="K140:T140" si="12">+K29+K94</f>
        <v>0</v>
      </c>
      <c r="L140" s="628">
        <f t="shared" si="12"/>
        <v>2.5852110422015158</v>
      </c>
      <c r="M140" s="628">
        <f t="shared" si="12"/>
        <v>2.5852110422015158</v>
      </c>
      <c r="N140" s="628">
        <f t="shared" si="12"/>
        <v>0.39473999999999998</v>
      </c>
      <c r="O140" s="628">
        <f t="shared" si="12"/>
        <v>0</v>
      </c>
      <c r="P140" s="628">
        <f t="shared" si="12"/>
        <v>2.3215195158969615</v>
      </c>
      <c r="Q140" s="628">
        <f t="shared" si="12"/>
        <v>0</v>
      </c>
      <c r="R140" s="628">
        <f t="shared" si="12"/>
        <v>0.41104855571004101</v>
      </c>
      <c r="S140" s="628">
        <f t="shared" si="12"/>
        <v>0</v>
      </c>
      <c r="T140" s="628">
        <f t="shared" si="12"/>
        <v>0</v>
      </c>
      <c r="U140" s="628">
        <f>SUM(N140:T140)</f>
        <v>3.1273080716070027</v>
      </c>
      <c r="V140" s="75"/>
      <c r="W140" s="628">
        <f>+U140+V140</f>
        <v>3.1273080716070027</v>
      </c>
      <c r="X140" s="1221">
        <f>IFERROR(W140/L140*10,0)</f>
        <v>12.096915959881741</v>
      </c>
      <c r="Y140" s="75"/>
      <c r="Z140" s="75"/>
      <c r="AA140" s="75"/>
      <c r="AB140" s="2"/>
    </row>
    <row r="141" spans="2:28" x14ac:dyDescent="0.4">
      <c r="B141" s="520" t="s">
        <v>1108</v>
      </c>
      <c r="C141" s="75">
        <f>+C30+C95</f>
        <v>389</v>
      </c>
      <c r="D141" s="75"/>
      <c r="E141" s="75"/>
      <c r="F141" s="75"/>
      <c r="G141" s="75"/>
      <c r="H141" s="75"/>
      <c r="I141" s="75"/>
      <c r="J141" s="75"/>
      <c r="K141" s="1306">
        <f t="shared" ref="K141:T141" si="13">+K30+K95</f>
        <v>0</v>
      </c>
      <c r="L141" s="628">
        <f t="shared" si="13"/>
        <v>0.90548844897117453</v>
      </c>
      <c r="M141" s="628">
        <f t="shared" si="13"/>
        <v>0.90548844897117453</v>
      </c>
      <c r="N141" s="628">
        <f t="shared" si="13"/>
        <v>0.21006</v>
      </c>
      <c r="O141" s="628">
        <f t="shared" si="13"/>
        <v>0</v>
      </c>
      <c r="P141" s="628">
        <f t="shared" si="13"/>
        <v>1.001470224562119</v>
      </c>
      <c r="Q141" s="628">
        <f t="shared" si="13"/>
        <v>0</v>
      </c>
      <c r="R141" s="628">
        <f t="shared" si="13"/>
        <v>0.14397266338641676</v>
      </c>
      <c r="S141" s="628">
        <f t="shared" si="13"/>
        <v>0</v>
      </c>
      <c r="T141" s="628">
        <f t="shared" si="13"/>
        <v>0</v>
      </c>
      <c r="U141" s="628">
        <f>SUM(N141:T141)</f>
        <v>1.3555028879485356</v>
      </c>
      <c r="V141" s="75"/>
      <c r="W141" s="628">
        <f>+U141+V141</f>
        <v>1.3555028879485356</v>
      </c>
      <c r="X141" s="1221">
        <f>IFERROR(W141/L141*10,0)</f>
        <v>14.969852895292835</v>
      </c>
      <c r="Y141" s="75"/>
      <c r="Z141" s="75"/>
      <c r="AA141" s="75"/>
      <c r="AB141" s="2"/>
    </row>
    <row r="142" spans="2:28" x14ac:dyDescent="0.4">
      <c r="B142" s="520" t="s">
        <v>1109</v>
      </c>
      <c r="C142" s="75">
        <f>+C31+C96</f>
        <v>279</v>
      </c>
      <c r="D142" s="75"/>
      <c r="E142" s="75"/>
      <c r="F142" s="75"/>
      <c r="G142" s="75"/>
      <c r="H142" s="75"/>
      <c r="I142" s="75"/>
      <c r="J142" s="75"/>
      <c r="K142" s="1306">
        <f t="shared" ref="K142:T142" si="14">+K31+K96</f>
        <v>0</v>
      </c>
      <c r="L142" s="628">
        <f t="shared" si="14"/>
        <v>5.3221857699889075</v>
      </c>
      <c r="M142" s="628">
        <f t="shared" si="14"/>
        <v>5.3221857699889075</v>
      </c>
      <c r="N142" s="628">
        <f t="shared" si="14"/>
        <v>0.15065999999999999</v>
      </c>
      <c r="O142" s="628">
        <f t="shared" si="14"/>
        <v>0</v>
      </c>
      <c r="P142" s="628">
        <f t="shared" si="14"/>
        <v>7.5096041214543474</v>
      </c>
      <c r="Q142" s="628">
        <f t="shared" si="14"/>
        <v>0</v>
      </c>
      <c r="R142" s="628">
        <f t="shared" si="14"/>
        <v>0.84622753742823631</v>
      </c>
      <c r="S142" s="628">
        <f t="shared" si="14"/>
        <v>0</v>
      </c>
      <c r="T142" s="628">
        <f t="shared" si="14"/>
        <v>0</v>
      </c>
      <c r="U142" s="628">
        <f>SUM(N142:T142)</f>
        <v>8.5064916588825845</v>
      </c>
      <c r="V142" s="75"/>
      <c r="W142" s="628">
        <f>+U142+V142</f>
        <v>8.5064916588825845</v>
      </c>
      <c r="X142" s="1221">
        <f>IFERROR(W142/L142*10,0)</f>
        <v>15.983079183085927</v>
      </c>
      <c r="Y142" s="75"/>
      <c r="Z142" s="75"/>
      <c r="AA142" s="75"/>
      <c r="AB142" s="2"/>
    </row>
    <row r="143" spans="2:28" x14ac:dyDescent="0.4">
      <c r="B143" s="520" t="s">
        <v>1110</v>
      </c>
      <c r="C143" s="75"/>
      <c r="D143" s="75"/>
      <c r="E143" s="75"/>
      <c r="F143" s="75"/>
      <c r="G143" s="75"/>
      <c r="H143" s="75"/>
      <c r="I143" s="75"/>
      <c r="J143" s="75"/>
      <c r="K143" s="1306">
        <f t="shared" ref="K143:T143" si="15">+K32+K97</f>
        <v>0</v>
      </c>
      <c r="L143" s="628">
        <f t="shared" si="15"/>
        <v>0</v>
      </c>
      <c r="M143" s="628">
        <f t="shared" si="15"/>
        <v>0</v>
      </c>
      <c r="N143" s="628">
        <f t="shared" si="15"/>
        <v>0</v>
      </c>
      <c r="O143" s="628">
        <f t="shared" si="15"/>
        <v>0</v>
      </c>
      <c r="P143" s="628">
        <f t="shared" si="15"/>
        <v>0</v>
      </c>
      <c r="Q143" s="628">
        <f t="shared" si="15"/>
        <v>0</v>
      </c>
      <c r="R143" s="628">
        <f t="shared" si="15"/>
        <v>0</v>
      </c>
      <c r="S143" s="628">
        <f t="shared" si="15"/>
        <v>0</v>
      </c>
      <c r="T143" s="628">
        <f t="shared" si="15"/>
        <v>0</v>
      </c>
      <c r="U143" s="628"/>
      <c r="V143" s="75"/>
      <c r="W143" s="628"/>
      <c r="X143" s="75"/>
      <c r="Y143" s="75"/>
      <c r="Z143" s="75"/>
      <c r="AA143" s="75"/>
      <c r="AB143" s="2"/>
    </row>
    <row r="144" spans="2:28" x14ac:dyDescent="0.4">
      <c r="B144" s="519" t="s">
        <v>1139</v>
      </c>
      <c r="C144" s="75"/>
      <c r="D144" s="75"/>
      <c r="E144" s="75"/>
      <c r="F144" s="75"/>
      <c r="G144" s="75"/>
      <c r="H144" s="75"/>
      <c r="I144" s="75"/>
      <c r="J144" s="75"/>
      <c r="K144" s="1306"/>
      <c r="L144" s="628"/>
      <c r="M144" s="628"/>
      <c r="N144" s="628"/>
      <c r="O144" s="628"/>
      <c r="P144" s="628"/>
      <c r="Q144" s="628"/>
      <c r="R144" s="628"/>
      <c r="S144" s="628"/>
      <c r="T144" s="628"/>
      <c r="U144" s="628"/>
      <c r="V144" s="75"/>
      <c r="W144" s="628"/>
      <c r="X144" s="75"/>
      <c r="Y144" s="75"/>
      <c r="Z144" s="75"/>
      <c r="AA144" s="75"/>
      <c r="AB144" s="2"/>
    </row>
    <row r="145" spans="2:28" x14ac:dyDescent="0.4">
      <c r="B145" s="520" t="s">
        <v>1140</v>
      </c>
      <c r="C145" s="75">
        <f>+C35+C99</f>
        <v>142</v>
      </c>
      <c r="D145" s="75"/>
      <c r="E145" s="75"/>
      <c r="F145" s="75"/>
      <c r="G145" s="75"/>
      <c r="H145" s="75"/>
      <c r="I145" s="75"/>
      <c r="J145" s="75"/>
      <c r="K145" s="1306">
        <f t="shared" ref="K145:T145" si="16">+K35+K99</f>
        <v>0</v>
      </c>
      <c r="L145" s="628">
        <f t="shared" si="16"/>
        <v>0.44849186019119414</v>
      </c>
      <c r="M145" s="628">
        <f t="shared" si="16"/>
        <v>0.45764475529713688</v>
      </c>
      <c r="N145" s="628">
        <f t="shared" si="16"/>
        <v>0.10224</v>
      </c>
      <c r="O145" s="628">
        <f t="shared" si="16"/>
        <v>0</v>
      </c>
      <c r="P145" s="628">
        <f t="shared" si="16"/>
        <v>0.30362898934943844</v>
      </c>
      <c r="Q145" s="628">
        <f t="shared" si="16"/>
        <v>0</v>
      </c>
      <c r="R145" s="628">
        <f t="shared" si="16"/>
        <v>7.131020577039987E-2</v>
      </c>
      <c r="S145" s="628">
        <f t="shared" si="16"/>
        <v>0</v>
      </c>
      <c r="T145" s="628">
        <f t="shared" si="16"/>
        <v>0</v>
      </c>
      <c r="U145" s="628">
        <f t="shared" ref="U145:U151" si="17">SUM(N145:T145)</f>
        <v>0.47717919511983831</v>
      </c>
      <c r="V145" s="75"/>
      <c r="W145" s="628">
        <f t="shared" ref="W145:W152" si="18">+U145+V145</f>
        <v>0.47717919511983831</v>
      </c>
      <c r="X145" s="1221">
        <f t="shared" ref="X145:X151" si="19">IFERROR(W145/L145*10,0)</f>
        <v>10.639640035304422</v>
      </c>
      <c r="Y145" s="75"/>
      <c r="Z145" s="75"/>
      <c r="AA145" s="75"/>
      <c r="AB145" s="2"/>
    </row>
    <row r="146" spans="2:28" x14ac:dyDescent="0.4">
      <c r="B146" s="520" t="s">
        <v>1144</v>
      </c>
      <c r="C146" s="75">
        <f>+C36+C100</f>
        <v>9</v>
      </c>
      <c r="D146" s="75"/>
      <c r="E146" s="75"/>
      <c r="F146" s="75"/>
      <c r="G146" s="75"/>
      <c r="H146" s="75"/>
      <c r="I146" s="75"/>
      <c r="J146" s="75"/>
      <c r="K146" s="1306">
        <f t="shared" ref="K146:T146" si="20">+K36+K100</f>
        <v>383</v>
      </c>
      <c r="L146" s="628">
        <f t="shared" si="20"/>
        <v>0.78788731506757104</v>
      </c>
      <c r="M146" s="628">
        <f t="shared" si="20"/>
        <v>0.79697877666808115</v>
      </c>
      <c r="N146" s="628">
        <f t="shared" si="20"/>
        <v>0</v>
      </c>
      <c r="O146" s="628">
        <f t="shared" si="20"/>
        <v>0.1149</v>
      </c>
      <c r="P146" s="628">
        <f t="shared" si="20"/>
        <v>0.8081364795414343</v>
      </c>
      <c r="Q146" s="628">
        <f t="shared" si="20"/>
        <v>0</v>
      </c>
      <c r="R146" s="628">
        <f t="shared" si="20"/>
        <v>0.12034379527688026</v>
      </c>
      <c r="S146" s="628">
        <f t="shared" si="20"/>
        <v>0</v>
      </c>
      <c r="T146" s="628">
        <f t="shared" si="20"/>
        <v>0</v>
      </c>
      <c r="U146" s="628">
        <f t="shared" si="17"/>
        <v>1.0433802748183145</v>
      </c>
      <c r="V146" s="75"/>
      <c r="W146" s="628">
        <f t="shared" si="18"/>
        <v>1.0433802748183145</v>
      </c>
      <c r="X146" s="1221">
        <f t="shared" si="19"/>
        <v>13.242760162077643</v>
      </c>
      <c r="Y146" s="75"/>
      <c r="Z146" s="75"/>
      <c r="AA146" s="75"/>
      <c r="AB146" s="2"/>
    </row>
    <row r="147" spans="2:28" x14ac:dyDescent="0.4">
      <c r="B147" s="520" t="s">
        <v>1143</v>
      </c>
      <c r="C147" s="75">
        <f>+C41+C105</f>
        <v>1</v>
      </c>
      <c r="D147" s="75"/>
      <c r="E147" s="75"/>
      <c r="F147" s="75"/>
      <c r="G147" s="75"/>
      <c r="H147" s="75"/>
      <c r="I147" s="75"/>
      <c r="J147" s="75"/>
      <c r="K147" s="1306">
        <f t="shared" ref="K147:T147" si="21">+K41+K105</f>
        <v>70</v>
      </c>
      <c r="L147" s="628">
        <f t="shared" si="21"/>
        <v>0.23462983966457771</v>
      </c>
      <c r="M147" s="628">
        <f t="shared" si="21"/>
        <v>0.23695994579826057</v>
      </c>
      <c r="N147" s="628">
        <f t="shared" si="21"/>
        <v>0</v>
      </c>
      <c r="O147" s="628">
        <f t="shared" si="21"/>
        <v>2.1000000000000001E-2</v>
      </c>
      <c r="P147" s="628">
        <f t="shared" si="21"/>
        <v>0.28838025403648315</v>
      </c>
      <c r="Q147" s="628">
        <f t="shared" si="21"/>
        <v>0</v>
      </c>
      <c r="R147" s="628">
        <f t="shared" si="21"/>
        <v>3.5780951815537351E-2</v>
      </c>
      <c r="S147" s="628">
        <f t="shared" si="21"/>
        <v>0</v>
      </c>
      <c r="T147" s="628">
        <f t="shared" si="21"/>
        <v>0</v>
      </c>
      <c r="U147" s="628">
        <f t="shared" si="17"/>
        <v>0.34516120585202054</v>
      </c>
      <c r="V147" s="75"/>
      <c r="W147" s="628">
        <f t="shared" si="18"/>
        <v>0.34516120585202054</v>
      </c>
      <c r="X147" s="1221">
        <f t="shared" si="19"/>
        <v>14.710882739614719</v>
      </c>
      <c r="Y147" s="75"/>
      <c r="Z147" s="75"/>
      <c r="AA147" s="75"/>
      <c r="AB147" s="2"/>
    </row>
    <row r="148" spans="2:28" ht="25.5" x14ac:dyDescent="0.4">
      <c r="B148" s="519" t="s">
        <v>1111</v>
      </c>
      <c r="C148" s="75">
        <f>+C46+C110</f>
        <v>2</v>
      </c>
      <c r="D148" s="75"/>
      <c r="E148" s="75"/>
      <c r="F148" s="75"/>
      <c r="G148" s="75"/>
      <c r="H148" s="75"/>
      <c r="I148" s="75"/>
      <c r="J148" s="75"/>
      <c r="K148" s="1306">
        <f t="shared" ref="K148:T148" si="22">+K46+K110</f>
        <v>160</v>
      </c>
      <c r="L148" s="628">
        <f t="shared" si="22"/>
        <v>1.3066235324399273</v>
      </c>
      <c r="M148" s="628">
        <f t="shared" si="22"/>
        <v>1.3332893188162525</v>
      </c>
      <c r="N148" s="628">
        <f t="shared" si="22"/>
        <v>0</v>
      </c>
      <c r="O148" s="628">
        <f t="shared" si="22"/>
        <v>2.9568000000000001E-2</v>
      </c>
      <c r="P148" s="628">
        <f t="shared" si="22"/>
        <v>0.79064056605803767</v>
      </c>
      <c r="Q148" s="628">
        <f t="shared" si="22"/>
        <v>0</v>
      </c>
      <c r="R148" s="628">
        <f t="shared" si="22"/>
        <v>0.2013266871412541</v>
      </c>
      <c r="S148" s="628">
        <f t="shared" si="22"/>
        <v>0</v>
      </c>
      <c r="T148" s="628">
        <f t="shared" si="22"/>
        <v>0</v>
      </c>
      <c r="U148" s="628">
        <f t="shared" si="17"/>
        <v>1.0215352531992918</v>
      </c>
      <c r="V148" s="75"/>
      <c r="W148" s="628">
        <f t="shared" si="18"/>
        <v>1.0215352531992918</v>
      </c>
      <c r="X148" s="1221">
        <f t="shared" si="19"/>
        <v>7.8181299191185163</v>
      </c>
      <c r="Y148" s="75"/>
      <c r="Z148" s="75"/>
      <c r="AA148" s="75"/>
      <c r="AB148" s="2"/>
    </row>
    <row r="149" spans="2:28" ht="25.5" x14ac:dyDescent="0.4">
      <c r="B149" s="519" t="s">
        <v>1135</v>
      </c>
      <c r="C149" s="75">
        <f>+C51+C115</f>
        <v>2</v>
      </c>
      <c r="D149" s="75"/>
      <c r="E149" s="75"/>
      <c r="F149" s="75"/>
      <c r="G149" s="75"/>
      <c r="H149" s="75"/>
      <c r="I149" s="75"/>
      <c r="J149" s="75"/>
      <c r="K149" s="1306">
        <f t="shared" ref="K149:T149" si="23">+K51+K115</f>
        <v>38</v>
      </c>
      <c r="L149" s="628">
        <f t="shared" si="23"/>
        <v>0.48450008416569151</v>
      </c>
      <c r="M149" s="628">
        <f t="shared" si="23"/>
        <v>0.49438784098539951</v>
      </c>
      <c r="N149" s="628">
        <f t="shared" si="23"/>
        <v>1.872E-3</v>
      </c>
      <c r="O149" s="628">
        <f t="shared" si="23"/>
        <v>0</v>
      </c>
      <c r="P149" s="628">
        <f t="shared" si="23"/>
        <v>0.27892982430741614</v>
      </c>
      <c r="Q149" s="628">
        <f t="shared" si="23"/>
        <v>0</v>
      </c>
      <c r="R149" s="628">
        <f t="shared" ca="1" si="23"/>
        <v>9.7594778864572282E-2</v>
      </c>
      <c r="S149" s="628">
        <f t="shared" si="23"/>
        <v>0</v>
      </c>
      <c r="T149" s="628">
        <f t="shared" si="23"/>
        <v>0</v>
      </c>
      <c r="U149" s="628">
        <f t="shared" ca="1" si="17"/>
        <v>0.37839660317198842</v>
      </c>
      <c r="V149" s="75"/>
      <c r="W149" s="628">
        <f t="shared" ca="1" si="18"/>
        <v>0.37839660317198842</v>
      </c>
      <c r="X149" s="1221">
        <f t="shared" ca="1" si="19"/>
        <v>7.8100420523886358</v>
      </c>
      <c r="Y149" s="75"/>
      <c r="Z149" s="75"/>
      <c r="AA149" s="75"/>
      <c r="AB149" s="2"/>
    </row>
    <row r="150" spans="2:28" ht="38.25" x14ac:dyDescent="0.4">
      <c r="B150" s="519" t="s">
        <v>1136</v>
      </c>
      <c r="C150" s="75">
        <f>+C52+C116</f>
        <v>0</v>
      </c>
      <c r="D150" s="75"/>
      <c r="E150" s="75"/>
      <c r="F150" s="75"/>
      <c r="G150" s="75"/>
      <c r="H150" s="75"/>
      <c r="I150" s="75"/>
      <c r="J150" s="75"/>
      <c r="K150" s="1306">
        <f t="shared" ref="K150:T150" si="24">+K52+K116</f>
        <v>0</v>
      </c>
      <c r="L150" s="628">
        <f t="shared" si="24"/>
        <v>0</v>
      </c>
      <c r="M150" s="628">
        <f t="shared" si="24"/>
        <v>0</v>
      </c>
      <c r="N150" s="628">
        <f t="shared" si="24"/>
        <v>0</v>
      </c>
      <c r="O150" s="628">
        <f t="shared" si="24"/>
        <v>0</v>
      </c>
      <c r="P150" s="628">
        <f t="shared" si="24"/>
        <v>0</v>
      </c>
      <c r="Q150" s="628">
        <f t="shared" si="24"/>
        <v>0</v>
      </c>
      <c r="R150" s="628">
        <f t="shared" si="24"/>
        <v>0</v>
      </c>
      <c r="S150" s="628">
        <f t="shared" si="24"/>
        <v>0</v>
      </c>
      <c r="T150" s="628">
        <f t="shared" si="24"/>
        <v>0</v>
      </c>
      <c r="U150" s="628">
        <f t="shared" si="17"/>
        <v>0</v>
      </c>
      <c r="V150" s="75"/>
      <c r="W150" s="628">
        <f t="shared" si="18"/>
        <v>0</v>
      </c>
      <c r="X150" s="1221">
        <f t="shared" si="19"/>
        <v>0</v>
      </c>
      <c r="Y150" s="75"/>
      <c r="Z150" s="75"/>
      <c r="AA150" s="75"/>
      <c r="AB150" s="2"/>
    </row>
    <row r="151" spans="2:28" ht="25.5" x14ac:dyDescent="0.4">
      <c r="B151" s="519" t="s">
        <v>1142</v>
      </c>
      <c r="C151" s="75">
        <f>+C58+C117</f>
        <v>10</v>
      </c>
      <c r="D151" s="75"/>
      <c r="E151" s="75"/>
      <c r="F151" s="75"/>
      <c r="G151" s="75"/>
      <c r="H151" s="75"/>
      <c r="I151" s="75"/>
      <c r="J151" s="75"/>
      <c r="K151" s="1306">
        <f t="shared" ref="K151:T151" si="25">+K58+K117</f>
        <v>105</v>
      </c>
      <c r="L151" s="628">
        <f t="shared" si="25"/>
        <v>2.7184414709071562E-2</v>
      </c>
      <c r="M151" s="628">
        <f t="shared" si="25"/>
        <v>2.7412855168811662E-2</v>
      </c>
      <c r="N151" s="628">
        <f t="shared" si="25"/>
        <v>0</v>
      </c>
      <c r="O151" s="628">
        <f t="shared" si="25"/>
        <v>0</v>
      </c>
      <c r="P151" s="628">
        <f t="shared" si="25"/>
        <v>1.8969695776817667E-2</v>
      </c>
      <c r="Q151" s="628">
        <f t="shared" si="25"/>
        <v>1.7834448554973062E-4</v>
      </c>
      <c r="R151" s="628">
        <f t="shared" si="25"/>
        <v>4.1393411304905614E-3</v>
      </c>
      <c r="S151" s="628">
        <f t="shared" si="25"/>
        <v>0</v>
      </c>
      <c r="T151" s="628">
        <f t="shared" si="25"/>
        <v>0</v>
      </c>
      <c r="U151" s="628">
        <f t="shared" si="17"/>
        <v>2.3287381392857957E-2</v>
      </c>
      <c r="V151" s="75"/>
      <c r="W151" s="628">
        <f t="shared" si="18"/>
        <v>2.3287381392857957E-2</v>
      </c>
      <c r="X151" s="1221">
        <f t="shared" si="19"/>
        <v>8.5664457528625224</v>
      </c>
      <c r="Y151" s="75"/>
      <c r="Z151" s="75"/>
      <c r="AA151" s="75"/>
      <c r="AB151" s="2"/>
    </row>
    <row r="152" spans="2:28" x14ac:dyDescent="0.4">
      <c r="B152" s="518" t="s">
        <v>162</v>
      </c>
      <c r="C152" s="1308">
        <f>SUM(C139:C151)</f>
        <v>3448</v>
      </c>
      <c r="D152" s="1310"/>
      <c r="E152" s="1310"/>
      <c r="F152" s="1310"/>
      <c r="G152" s="1310"/>
      <c r="H152" s="1310"/>
      <c r="I152" s="1310"/>
      <c r="J152" s="1310"/>
      <c r="K152" s="1336">
        <f t="shared" ref="K152:V152" si="26">SUM(K139:K151)</f>
        <v>756</v>
      </c>
      <c r="L152" s="630">
        <f t="shared" si="26"/>
        <v>14.771804220643432</v>
      </c>
      <c r="M152" s="630">
        <f t="shared" si="26"/>
        <v>14.829160667139343</v>
      </c>
      <c r="N152" s="630">
        <f t="shared" si="26"/>
        <v>1.8763920000000001</v>
      </c>
      <c r="O152" s="630">
        <f t="shared" si="26"/>
        <v>0.165468</v>
      </c>
      <c r="P152" s="630">
        <f t="shared" si="26"/>
        <v>13.945966518682104</v>
      </c>
      <c r="Q152" s="630">
        <f t="shared" si="26"/>
        <v>1.7834448554973062E-4</v>
      </c>
      <c r="R152" s="630">
        <f t="shared" ca="1" si="26"/>
        <v>2.3562112207295929</v>
      </c>
      <c r="S152" s="630">
        <f t="shared" si="26"/>
        <v>0</v>
      </c>
      <c r="T152" s="630">
        <f t="shared" si="26"/>
        <v>0</v>
      </c>
      <c r="U152" s="630">
        <f t="shared" ca="1" si="26"/>
        <v>18.344216083897248</v>
      </c>
      <c r="V152" s="1310">
        <f t="shared" si="26"/>
        <v>0</v>
      </c>
      <c r="W152" s="630">
        <f t="shared" ca="1" si="18"/>
        <v>18.344216083897248</v>
      </c>
      <c r="X152" s="1222">
        <f ca="1">IFERROR(W152/L152*10,0)</f>
        <v>12.418399140615071</v>
      </c>
      <c r="Y152" s="75"/>
      <c r="Z152" s="75"/>
      <c r="AA152" s="75"/>
      <c r="AB152" s="2"/>
    </row>
    <row r="153" spans="2:28" x14ac:dyDescent="0.4">
      <c r="B153" s="518"/>
      <c r="C153" s="75"/>
      <c r="D153" s="75"/>
      <c r="E153" s="75"/>
      <c r="F153" s="75"/>
      <c r="G153" s="75"/>
      <c r="H153" s="75"/>
      <c r="I153" s="75"/>
      <c r="J153" s="75"/>
      <c r="K153" s="1306"/>
      <c r="L153" s="628"/>
      <c r="M153" s="628"/>
      <c r="N153" s="628"/>
      <c r="O153" s="628"/>
      <c r="P153" s="628"/>
      <c r="Q153" s="628"/>
      <c r="R153" s="628"/>
      <c r="S153" s="628"/>
      <c r="T153" s="628"/>
      <c r="U153" s="628"/>
      <c r="V153" s="75"/>
      <c r="W153" s="628"/>
      <c r="X153" s="75"/>
      <c r="Y153" s="75"/>
      <c r="Z153" s="75"/>
      <c r="AA153" s="75"/>
      <c r="AB153" s="2"/>
    </row>
    <row r="154" spans="2:28" x14ac:dyDescent="0.4">
      <c r="B154" s="119" t="s">
        <v>164</v>
      </c>
      <c r="C154" s="1308">
        <f>+C152+C136</f>
        <v>3457</v>
      </c>
      <c r="D154" s="1309"/>
      <c r="E154" s="1309"/>
      <c r="F154" s="1309"/>
      <c r="G154" s="1309"/>
      <c r="H154" s="1309"/>
      <c r="I154" s="1309"/>
      <c r="J154" s="1309"/>
      <c r="K154" s="1336">
        <f t="shared" ref="K154:W154" si="27">+K152+K136</f>
        <v>35982</v>
      </c>
      <c r="L154" s="630">
        <f t="shared" si="27"/>
        <v>280.73879900000003</v>
      </c>
      <c r="M154" s="630">
        <f t="shared" si="27"/>
        <v>283.49295868977691</v>
      </c>
      <c r="N154" s="630">
        <f t="shared" si="27"/>
        <v>1.8763920000000001</v>
      </c>
      <c r="O154" s="630">
        <f t="shared" si="27"/>
        <v>28.629003000000001</v>
      </c>
      <c r="P154" s="630">
        <f t="shared" si="27"/>
        <v>141.86642072935859</v>
      </c>
      <c r="Q154" s="630">
        <f t="shared" si="27"/>
        <v>1.7834448554973062E-4</v>
      </c>
      <c r="R154" s="630">
        <f t="shared" ca="1" si="27"/>
        <v>56.098626325017101</v>
      </c>
      <c r="S154" s="630">
        <f t="shared" si="27"/>
        <v>0</v>
      </c>
      <c r="T154" s="630">
        <f t="shared" si="27"/>
        <v>0</v>
      </c>
      <c r="U154" s="630">
        <f t="shared" ca="1" si="27"/>
        <v>228.47062039886126</v>
      </c>
      <c r="V154" s="1309">
        <f t="shared" si="27"/>
        <v>0</v>
      </c>
      <c r="W154" s="630">
        <f t="shared" ca="1" si="27"/>
        <v>228.47062039886126</v>
      </c>
      <c r="X154" s="1222">
        <f ca="1">IFERROR(W154/L154*10,0)</f>
        <v>8.1381918428332831</v>
      </c>
      <c r="Y154" s="75"/>
      <c r="Z154" s="75"/>
      <c r="AA154" s="75"/>
      <c r="AB154" s="2"/>
    </row>
    <row r="155" spans="2:28" x14ac:dyDescent="0.4">
      <c r="L155" s="561">
        <f>+'F1'!N34-L154</f>
        <v>0</v>
      </c>
      <c r="N155" s="561">
        <f t="shared" ref="N155:W155" si="28">+N65+N124-N154</f>
        <v>0</v>
      </c>
      <c r="O155" s="561">
        <f t="shared" si="28"/>
        <v>0</v>
      </c>
      <c r="P155" s="561">
        <f t="shared" si="28"/>
        <v>0</v>
      </c>
      <c r="Q155" s="561">
        <f t="shared" si="28"/>
        <v>0</v>
      </c>
      <c r="R155" s="561">
        <f t="shared" ca="1" si="28"/>
        <v>0</v>
      </c>
      <c r="S155" s="561">
        <f t="shared" si="28"/>
        <v>0</v>
      </c>
      <c r="T155" s="561">
        <f t="shared" si="28"/>
        <v>0</v>
      </c>
      <c r="U155" s="561">
        <f t="shared" ca="1" si="28"/>
        <v>0</v>
      </c>
      <c r="V155" s="561">
        <f t="shared" si="28"/>
        <v>0</v>
      </c>
      <c r="W155" s="561">
        <f t="shared" ca="1" si="28"/>
        <v>0</v>
      </c>
      <c r="X155" s="561"/>
      <c r="AB155" s="2"/>
    </row>
  </sheetData>
  <mergeCells count="37">
    <mergeCell ref="V129:V130"/>
    <mergeCell ref="W129:W130"/>
    <mergeCell ref="X129:X130"/>
    <mergeCell ref="Y129:Y130"/>
    <mergeCell ref="AB129:AB130"/>
    <mergeCell ref="B129:B130"/>
    <mergeCell ref="C129:C130"/>
    <mergeCell ref="D129:I129"/>
    <mergeCell ref="J129:M129"/>
    <mergeCell ref="N129:U129"/>
    <mergeCell ref="AB10:AB11"/>
    <mergeCell ref="A11:A12"/>
    <mergeCell ref="B75:B76"/>
    <mergeCell ref="C75:C76"/>
    <mergeCell ref="D75:I75"/>
    <mergeCell ref="J75:M75"/>
    <mergeCell ref="N75:U75"/>
    <mergeCell ref="V75:V76"/>
    <mergeCell ref="W75:W76"/>
    <mergeCell ref="X75:X76"/>
    <mergeCell ref="Y75:Y76"/>
    <mergeCell ref="AB75:AB76"/>
    <mergeCell ref="A76:A77"/>
    <mergeCell ref="AA10:AA11"/>
    <mergeCell ref="Z10:Z11"/>
    <mergeCell ref="B2:Y2"/>
    <mergeCell ref="B3:Y3"/>
    <mergeCell ref="B4:Y4"/>
    <mergeCell ref="B10:B11"/>
    <mergeCell ref="C10:C11"/>
    <mergeCell ref="D10:I10"/>
    <mergeCell ref="J10:M10"/>
    <mergeCell ref="N10:U10"/>
    <mergeCell ref="V10:V11"/>
    <mergeCell ref="W10:W11"/>
    <mergeCell ref="X10:X11"/>
    <mergeCell ref="Y10:Y11"/>
  </mergeCells>
  <pageMargins left="0.7" right="0.7" top="0.75" bottom="0.75" header="0.3" footer="0.3"/>
  <pageSetup scale="37" orientation="landscape" r:id="rId1"/>
  <rowBreaks count="2" manualBreakCount="2">
    <brk id="71" min="1" max="25" man="1"/>
    <brk id="125" min="1" max="2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O78"/>
  <sheetViews>
    <sheetView showGridLines="0" view="pageBreakPreview" zoomScale="60" zoomScaleNormal="75" workbookViewId="0">
      <selection activeCell="F14" sqref="F14:I17"/>
    </sheetView>
  </sheetViews>
  <sheetFormatPr defaultColWidth="9.33203125" defaultRowHeight="13.9" x14ac:dyDescent="0.35"/>
  <cols>
    <col min="1" max="1" width="4.33203125" style="51" customWidth="1"/>
    <col min="2" max="2" width="18.6640625" style="51" customWidth="1"/>
    <col min="3" max="3" width="28.6640625" style="51" customWidth="1"/>
    <col min="4" max="4" width="18" style="51" bestFit="1" customWidth="1"/>
    <col min="5" max="5" width="18" style="51" customWidth="1"/>
    <col min="6" max="6" width="17.6640625" style="51" bestFit="1" customWidth="1"/>
    <col min="7" max="9" width="18.6640625" style="51" customWidth="1"/>
    <col min="10" max="10" width="20.53125" style="51" customWidth="1"/>
    <col min="11" max="16" width="18.6640625" style="51" customWidth="1"/>
    <col min="17" max="256" width="9.33203125" style="51"/>
    <col min="257" max="257" width="4.33203125" style="51" customWidth="1"/>
    <col min="258" max="258" width="15.53125" style="51" bestFit="1" customWidth="1"/>
    <col min="259" max="259" width="27.33203125" style="51" customWidth="1"/>
    <col min="260" max="260" width="18" style="51" bestFit="1" customWidth="1"/>
    <col min="261" max="261" width="18" style="51" customWidth="1"/>
    <col min="262" max="262" width="17.6640625" style="51" bestFit="1" customWidth="1"/>
    <col min="263" max="265" width="18.6640625" style="51" customWidth="1"/>
    <col min="266" max="266" width="20.53125" style="51" customWidth="1"/>
    <col min="267" max="272" width="18.6640625" style="51" customWidth="1"/>
    <col min="273" max="512" width="9.33203125" style="51"/>
    <col min="513" max="513" width="4.33203125" style="51" customWidth="1"/>
    <col min="514" max="514" width="15.53125" style="51" bestFit="1" customWidth="1"/>
    <col min="515" max="515" width="27.33203125" style="51" customWidth="1"/>
    <col min="516" max="516" width="18" style="51" bestFit="1" customWidth="1"/>
    <col min="517" max="517" width="18" style="51" customWidth="1"/>
    <col min="518" max="518" width="17.6640625" style="51" bestFit="1" customWidth="1"/>
    <col min="519" max="521" width="18.6640625" style="51" customWidth="1"/>
    <col min="522" max="522" width="20.53125" style="51" customWidth="1"/>
    <col min="523" max="528" width="18.6640625" style="51" customWidth="1"/>
    <col min="529" max="768" width="9.33203125" style="51"/>
    <col min="769" max="769" width="4.33203125" style="51" customWidth="1"/>
    <col min="770" max="770" width="15.53125" style="51" bestFit="1" customWidth="1"/>
    <col min="771" max="771" width="27.33203125" style="51" customWidth="1"/>
    <col min="772" max="772" width="18" style="51" bestFit="1" customWidth="1"/>
    <col min="773" max="773" width="18" style="51" customWidth="1"/>
    <col min="774" max="774" width="17.6640625" style="51" bestFit="1" customWidth="1"/>
    <col min="775" max="777" width="18.6640625" style="51" customWidth="1"/>
    <col min="778" max="778" width="20.53125" style="51" customWidth="1"/>
    <col min="779" max="784" width="18.6640625" style="51" customWidth="1"/>
    <col min="785" max="1024" width="9.33203125" style="51"/>
    <col min="1025" max="1025" width="4.33203125" style="51" customWidth="1"/>
    <col min="1026" max="1026" width="15.53125" style="51" bestFit="1" customWidth="1"/>
    <col min="1027" max="1027" width="27.33203125" style="51" customWidth="1"/>
    <col min="1028" max="1028" width="18" style="51" bestFit="1" customWidth="1"/>
    <col min="1029" max="1029" width="18" style="51" customWidth="1"/>
    <col min="1030" max="1030" width="17.6640625" style="51" bestFit="1" customWidth="1"/>
    <col min="1031" max="1033" width="18.6640625" style="51" customWidth="1"/>
    <col min="1034" max="1034" width="20.53125" style="51" customWidth="1"/>
    <col min="1035" max="1040" width="18.6640625" style="51" customWidth="1"/>
    <col min="1041" max="1280" width="9.33203125" style="51"/>
    <col min="1281" max="1281" width="4.33203125" style="51" customWidth="1"/>
    <col min="1282" max="1282" width="15.53125" style="51" bestFit="1" customWidth="1"/>
    <col min="1283" max="1283" width="27.33203125" style="51" customWidth="1"/>
    <col min="1284" max="1284" width="18" style="51" bestFit="1" customWidth="1"/>
    <col min="1285" max="1285" width="18" style="51" customWidth="1"/>
    <col min="1286" max="1286" width="17.6640625" style="51" bestFit="1" customWidth="1"/>
    <col min="1287" max="1289" width="18.6640625" style="51" customWidth="1"/>
    <col min="1290" max="1290" width="20.53125" style="51" customWidth="1"/>
    <col min="1291" max="1296" width="18.6640625" style="51" customWidth="1"/>
    <col min="1297" max="1536" width="9.33203125" style="51"/>
    <col min="1537" max="1537" width="4.33203125" style="51" customWidth="1"/>
    <col min="1538" max="1538" width="15.53125" style="51" bestFit="1" customWidth="1"/>
    <col min="1539" max="1539" width="27.33203125" style="51" customWidth="1"/>
    <col min="1540" max="1540" width="18" style="51" bestFit="1" customWidth="1"/>
    <col min="1541" max="1541" width="18" style="51" customWidth="1"/>
    <col min="1542" max="1542" width="17.6640625" style="51" bestFit="1" customWidth="1"/>
    <col min="1543" max="1545" width="18.6640625" style="51" customWidth="1"/>
    <col min="1546" max="1546" width="20.53125" style="51" customWidth="1"/>
    <col min="1547" max="1552" width="18.6640625" style="51" customWidth="1"/>
    <col min="1553" max="1792" width="9.33203125" style="51"/>
    <col min="1793" max="1793" width="4.33203125" style="51" customWidth="1"/>
    <col min="1794" max="1794" width="15.53125" style="51" bestFit="1" customWidth="1"/>
    <col min="1795" max="1795" width="27.33203125" style="51" customWidth="1"/>
    <col min="1796" max="1796" width="18" style="51" bestFit="1" customWidth="1"/>
    <col min="1797" max="1797" width="18" style="51" customWidth="1"/>
    <col min="1798" max="1798" width="17.6640625" style="51" bestFit="1" customWidth="1"/>
    <col min="1799" max="1801" width="18.6640625" style="51" customWidth="1"/>
    <col min="1802" max="1802" width="20.53125" style="51" customWidth="1"/>
    <col min="1803" max="1808" width="18.6640625" style="51" customWidth="1"/>
    <col min="1809" max="2048" width="9.33203125" style="51"/>
    <col min="2049" max="2049" width="4.33203125" style="51" customWidth="1"/>
    <col min="2050" max="2050" width="15.53125" style="51" bestFit="1" customWidth="1"/>
    <col min="2051" max="2051" width="27.33203125" style="51" customWidth="1"/>
    <col min="2052" max="2052" width="18" style="51" bestFit="1" customWidth="1"/>
    <col min="2053" max="2053" width="18" style="51" customWidth="1"/>
    <col min="2054" max="2054" width="17.6640625" style="51" bestFit="1" customWidth="1"/>
    <col min="2055" max="2057" width="18.6640625" style="51" customWidth="1"/>
    <col min="2058" max="2058" width="20.53125" style="51" customWidth="1"/>
    <col min="2059" max="2064" width="18.6640625" style="51" customWidth="1"/>
    <col min="2065" max="2304" width="9.33203125" style="51"/>
    <col min="2305" max="2305" width="4.33203125" style="51" customWidth="1"/>
    <col min="2306" max="2306" width="15.53125" style="51" bestFit="1" customWidth="1"/>
    <col min="2307" max="2307" width="27.33203125" style="51" customWidth="1"/>
    <col min="2308" max="2308" width="18" style="51" bestFit="1" customWidth="1"/>
    <col min="2309" max="2309" width="18" style="51" customWidth="1"/>
    <col min="2310" max="2310" width="17.6640625" style="51" bestFit="1" customWidth="1"/>
    <col min="2311" max="2313" width="18.6640625" style="51" customWidth="1"/>
    <col min="2314" max="2314" width="20.53125" style="51" customWidth="1"/>
    <col min="2315" max="2320" width="18.6640625" style="51" customWidth="1"/>
    <col min="2321" max="2560" width="9.33203125" style="51"/>
    <col min="2561" max="2561" width="4.33203125" style="51" customWidth="1"/>
    <col min="2562" max="2562" width="15.53125" style="51" bestFit="1" customWidth="1"/>
    <col min="2563" max="2563" width="27.33203125" style="51" customWidth="1"/>
    <col min="2564" max="2564" width="18" style="51" bestFit="1" customWidth="1"/>
    <col min="2565" max="2565" width="18" style="51" customWidth="1"/>
    <col min="2566" max="2566" width="17.6640625" style="51" bestFit="1" customWidth="1"/>
    <col min="2567" max="2569" width="18.6640625" style="51" customWidth="1"/>
    <col min="2570" max="2570" width="20.53125" style="51" customWidth="1"/>
    <col min="2571" max="2576" width="18.6640625" style="51" customWidth="1"/>
    <col min="2577" max="2816" width="9.33203125" style="51"/>
    <col min="2817" max="2817" width="4.33203125" style="51" customWidth="1"/>
    <col min="2818" max="2818" width="15.53125" style="51" bestFit="1" customWidth="1"/>
    <col min="2819" max="2819" width="27.33203125" style="51" customWidth="1"/>
    <col min="2820" max="2820" width="18" style="51" bestFit="1" customWidth="1"/>
    <col min="2821" max="2821" width="18" style="51" customWidth="1"/>
    <col min="2822" max="2822" width="17.6640625" style="51" bestFit="1" customWidth="1"/>
    <col min="2823" max="2825" width="18.6640625" style="51" customWidth="1"/>
    <col min="2826" max="2826" width="20.53125" style="51" customWidth="1"/>
    <col min="2827" max="2832" width="18.6640625" style="51" customWidth="1"/>
    <col min="2833" max="3072" width="9.33203125" style="51"/>
    <col min="3073" max="3073" width="4.33203125" style="51" customWidth="1"/>
    <col min="3074" max="3074" width="15.53125" style="51" bestFit="1" customWidth="1"/>
    <col min="3075" max="3075" width="27.33203125" style="51" customWidth="1"/>
    <col min="3076" max="3076" width="18" style="51" bestFit="1" customWidth="1"/>
    <col min="3077" max="3077" width="18" style="51" customWidth="1"/>
    <col min="3078" max="3078" width="17.6640625" style="51" bestFit="1" customWidth="1"/>
    <col min="3079" max="3081" width="18.6640625" style="51" customWidth="1"/>
    <col min="3082" max="3082" width="20.53125" style="51" customWidth="1"/>
    <col min="3083" max="3088" width="18.6640625" style="51" customWidth="1"/>
    <col min="3089" max="3328" width="9.33203125" style="51"/>
    <col min="3329" max="3329" width="4.33203125" style="51" customWidth="1"/>
    <col min="3330" max="3330" width="15.53125" style="51" bestFit="1" customWidth="1"/>
    <col min="3331" max="3331" width="27.33203125" style="51" customWidth="1"/>
    <col min="3332" max="3332" width="18" style="51" bestFit="1" customWidth="1"/>
    <col min="3333" max="3333" width="18" style="51" customWidth="1"/>
    <col min="3334" max="3334" width="17.6640625" style="51" bestFit="1" customWidth="1"/>
    <col min="3335" max="3337" width="18.6640625" style="51" customWidth="1"/>
    <col min="3338" max="3338" width="20.53125" style="51" customWidth="1"/>
    <col min="3339" max="3344" width="18.6640625" style="51" customWidth="1"/>
    <col min="3345" max="3584" width="9.33203125" style="51"/>
    <col min="3585" max="3585" width="4.33203125" style="51" customWidth="1"/>
    <col min="3586" max="3586" width="15.53125" style="51" bestFit="1" customWidth="1"/>
    <col min="3587" max="3587" width="27.33203125" style="51" customWidth="1"/>
    <col min="3588" max="3588" width="18" style="51" bestFit="1" customWidth="1"/>
    <col min="3589" max="3589" width="18" style="51" customWidth="1"/>
    <col min="3590" max="3590" width="17.6640625" style="51" bestFit="1" customWidth="1"/>
    <col min="3591" max="3593" width="18.6640625" style="51" customWidth="1"/>
    <col min="3594" max="3594" width="20.53125" style="51" customWidth="1"/>
    <col min="3595" max="3600" width="18.6640625" style="51" customWidth="1"/>
    <col min="3601" max="3840" width="9.33203125" style="51"/>
    <col min="3841" max="3841" width="4.33203125" style="51" customWidth="1"/>
    <col min="3842" max="3842" width="15.53125" style="51" bestFit="1" customWidth="1"/>
    <col min="3843" max="3843" width="27.33203125" style="51" customWidth="1"/>
    <col min="3844" max="3844" width="18" style="51" bestFit="1" customWidth="1"/>
    <col min="3845" max="3845" width="18" style="51" customWidth="1"/>
    <col min="3846" max="3846" width="17.6640625" style="51" bestFit="1" customWidth="1"/>
    <col min="3847" max="3849" width="18.6640625" style="51" customWidth="1"/>
    <col min="3850" max="3850" width="20.53125" style="51" customWidth="1"/>
    <col min="3851" max="3856" width="18.6640625" style="51" customWidth="1"/>
    <col min="3857" max="4096" width="9.33203125" style="51"/>
    <col min="4097" max="4097" width="4.33203125" style="51" customWidth="1"/>
    <col min="4098" max="4098" width="15.53125" style="51" bestFit="1" customWidth="1"/>
    <col min="4099" max="4099" width="27.33203125" style="51" customWidth="1"/>
    <col min="4100" max="4100" width="18" style="51" bestFit="1" customWidth="1"/>
    <col min="4101" max="4101" width="18" style="51" customWidth="1"/>
    <col min="4102" max="4102" width="17.6640625" style="51" bestFit="1" customWidth="1"/>
    <col min="4103" max="4105" width="18.6640625" style="51" customWidth="1"/>
    <col min="4106" max="4106" width="20.53125" style="51" customWidth="1"/>
    <col min="4107" max="4112" width="18.6640625" style="51" customWidth="1"/>
    <col min="4113" max="4352" width="9.33203125" style="51"/>
    <col min="4353" max="4353" width="4.33203125" style="51" customWidth="1"/>
    <col min="4354" max="4354" width="15.53125" style="51" bestFit="1" customWidth="1"/>
    <col min="4355" max="4355" width="27.33203125" style="51" customWidth="1"/>
    <col min="4356" max="4356" width="18" style="51" bestFit="1" customWidth="1"/>
    <col min="4357" max="4357" width="18" style="51" customWidth="1"/>
    <col min="4358" max="4358" width="17.6640625" style="51" bestFit="1" customWidth="1"/>
    <col min="4359" max="4361" width="18.6640625" style="51" customWidth="1"/>
    <col min="4362" max="4362" width="20.53125" style="51" customWidth="1"/>
    <col min="4363" max="4368" width="18.6640625" style="51" customWidth="1"/>
    <col min="4369" max="4608" width="9.33203125" style="51"/>
    <col min="4609" max="4609" width="4.33203125" style="51" customWidth="1"/>
    <col min="4610" max="4610" width="15.53125" style="51" bestFit="1" customWidth="1"/>
    <col min="4611" max="4611" width="27.33203125" style="51" customWidth="1"/>
    <col min="4612" max="4612" width="18" style="51" bestFit="1" customWidth="1"/>
    <col min="4613" max="4613" width="18" style="51" customWidth="1"/>
    <col min="4614" max="4614" width="17.6640625" style="51" bestFit="1" customWidth="1"/>
    <col min="4615" max="4617" width="18.6640625" style="51" customWidth="1"/>
    <col min="4618" max="4618" width="20.53125" style="51" customWidth="1"/>
    <col min="4619" max="4624" width="18.6640625" style="51" customWidth="1"/>
    <col min="4625" max="4864" width="9.33203125" style="51"/>
    <col min="4865" max="4865" width="4.33203125" style="51" customWidth="1"/>
    <col min="4866" max="4866" width="15.53125" style="51" bestFit="1" customWidth="1"/>
    <col min="4867" max="4867" width="27.33203125" style="51" customWidth="1"/>
    <col min="4868" max="4868" width="18" style="51" bestFit="1" customWidth="1"/>
    <col min="4869" max="4869" width="18" style="51" customWidth="1"/>
    <col min="4870" max="4870" width="17.6640625" style="51" bestFit="1" customWidth="1"/>
    <col min="4871" max="4873" width="18.6640625" style="51" customWidth="1"/>
    <col min="4874" max="4874" width="20.53125" style="51" customWidth="1"/>
    <col min="4875" max="4880" width="18.6640625" style="51" customWidth="1"/>
    <col min="4881" max="5120" width="9.33203125" style="51"/>
    <col min="5121" max="5121" width="4.33203125" style="51" customWidth="1"/>
    <col min="5122" max="5122" width="15.53125" style="51" bestFit="1" customWidth="1"/>
    <col min="5123" max="5123" width="27.33203125" style="51" customWidth="1"/>
    <col min="5124" max="5124" width="18" style="51" bestFit="1" customWidth="1"/>
    <col min="5125" max="5125" width="18" style="51" customWidth="1"/>
    <col min="5126" max="5126" width="17.6640625" style="51" bestFit="1" customWidth="1"/>
    <col min="5127" max="5129" width="18.6640625" style="51" customWidth="1"/>
    <col min="5130" max="5130" width="20.53125" style="51" customWidth="1"/>
    <col min="5131" max="5136" width="18.6640625" style="51" customWidth="1"/>
    <col min="5137" max="5376" width="9.33203125" style="51"/>
    <col min="5377" max="5377" width="4.33203125" style="51" customWidth="1"/>
    <col min="5378" max="5378" width="15.53125" style="51" bestFit="1" customWidth="1"/>
    <col min="5379" max="5379" width="27.33203125" style="51" customWidth="1"/>
    <col min="5380" max="5380" width="18" style="51" bestFit="1" customWidth="1"/>
    <col min="5381" max="5381" width="18" style="51" customWidth="1"/>
    <col min="5382" max="5382" width="17.6640625" style="51" bestFit="1" customWidth="1"/>
    <col min="5383" max="5385" width="18.6640625" style="51" customWidth="1"/>
    <col min="5386" max="5386" width="20.53125" style="51" customWidth="1"/>
    <col min="5387" max="5392" width="18.6640625" style="51" customWidth="1"/>
    <col min="5393" max="5632" width="9.33203125" style="51"/>
    <col min="5633" max="5633" width="4.33203125" style="51" customWidth="1"/>
    <col min="5634" max="5634" width="15.53125" style="51" bestFit="1" customWidth="1"/>
    <col min="5635" max="5635" width="27.33203125" style="51" customWidth="1"/>
    <col min="5636" max="5636" width="18" style="51" bestFit="1" customWidth="1"/>
    <col min="5637" max="5637" width="18" style="51" customWidth="1"/>
    <col min="5638" max="5638" width="17.6640625" style="51" bestFit="1" customWidth="1"/>
    <col min="5639" max="5641" width="18.6640625" style="51" customWidth="1"/>
    <col min="5642" max="5642" width="20.53125" style="51" customWidth="1"/>
    <col min="5643" max="5648" width="18.6640625" style="51" customWidth="1"/>
    <col min="5649" max="5888" width="9.33203125" style="51"/>
    <col min="5889" max="5889" width="4.33203125" style="51" customWidth="1"/>
    <col min="5890" max="5890" width="15.53125" style="51" bestFit="1" customWidth="1"/>
    <col min="5891" max="5891" width="27.33203125" style="51" customWidth="1"/>
    <col min="5892" max="5892" width="18" style="51" bestFit="1" customWidth="1"/>
    <col min="5893" max="5893" width="18" style="51" customWidth="1"/>
    <col min="5894" max="5894" width="17.6640625" style="51" bestFit="1" customWidth="1"/>
    <col min="5895" max="5897" width="18.6640625" style="51" customWidth="1"/>
    <col min="5898" max="5898" width="20.53125" style="51" customWidth="1"/>
    <col min="5899" max="5904" width="18.6640625" style="51" customWidth="1"/>
    <col min="5905" max="6144" width="9.33203125" style="51"/>
    <col min="6145" max="6145" width="4.33203125" style="51" customWidth="1"/>
    <col min="6146" max="6146" width="15.53125" style="51" bestFit="1" customWidth="1"/>
    <col min="6147" max="6147" width="27.33203125" style="51" customWidth="1"/>
    <col min="6148" max="6148" width="18" style="51" bestFit="1" customWidth="1"/>
    <col min="6149" max="6149" width="18" style="51" customWidth="1"/>
    <col min="6150" max="6150" width="17.6640625" style="51" bestFit="1" customWidth="1"/>
    <col min="6151" max="6153" width="18.6640625" style="51" customWidth="1"/>
    <col min="6154" max="6154" width="20.53125" style="51" customWidth="1"/>
    <col min="6155" max="6160" width="18.6640625" style="51" customWidth="1"/>
    <col min="6161" max="6400" width="9.33203125" style="51"/>
    <col min="6401" max="6401" width="4.33203125" style="51" customWidth="1"/>
    <col min="6402" max="6402" width="15.53125" style="51" bestFit="1" customWidth="1"/>
    <col min="6403" max="6403" width="27.33203125" style="51" customWidth="1"/>
    <col min="6404" max="6404" width="18" style="51" bestFit="1" customWidth="1"/>
    <col min="6405" max="6405" width="18" style="51" customWidth="1"/>
    <col min="6406" max="6406" width="17.6640625" style="51" bestFit="1" customWidth="1"/>
    <col min="6407" max="6409" width="18.6640625" style="51" customWidth="1"/>
    <col min="6410" max="6410" width="20.53125" style="51" customWidth="1"/>
    <col min="6411" max="6416" width="18.6640625" style="51" customWidth="1"/>
    <col min="6417" max="6656" width="9.33203125" style="51"/>
    <col min="6657" max="6657" width="4.33203125" style="51" customWidth="1"/>
    <col min="6658" max="6658" width="15.53125" style="51" bestFit="1" customWidth="1"/>
    <col min="6659" max="6659" width="27.33203125" style="51" customWidth="1"/>
    <col min="6660" max="6660" width="18" style="51" bestFit="1" customWidth="1"/>
    <col min="6661" max="6661" width="18" style="51" customWidth="1"/>
    <col min="6662" max="6662" width="17.6640625" style="51" bestFit="1" customWidth="1"/>
    <col min="6663" max="6665" width="18.6640625" style="51" customWidth="1"/>
    <col min="6666" max="6666" width="20.53125" style="51" customWidth="1"/>
    <col min="6667" max="6672" width="18.6640625" style="51" customWidth="1"/>
    <col min="6673" max="6912" width="9.33203125" style="51"/>
    <col min="6913" max="6913" width="4.33203125" style="51" customWidth="1"/>
    <col min="6914" max="6914" width="15.53125" style="51" bestFit="1" customWidth="1"/>
    <col min="6915" max="6915" width="27.33203125" style="51" customWidth="1"/>
    <col min="6916" max="6916" width="18" style="51" bestFit="1" customWidth="1"/>
    <col min="6917" max="6917" width="18" style="51" customWidth="1"/>
    <col min="6918" max="6918" width="17.6640625" style="51" bestFit="1" customWidth="1"/>
    <col min="6919" max="6921" width="18.6640625" style="51" customWidth="1"/>
    <col min="6922" max="6922" width="20.53125" style="51" customWidth="1"/>
    <col min="6923" max="6928" width="18.6640625" style="51" customWidth="1"/>
    <col min="6929" max="7168" width="9.33203125" style="51"/>
    <col min="7169" max="7169" width="4.33203125" style="51" customWidth="1"/>
    <col min="7170" max="7170" width="15.53125" style="51" bestFit="1" customWidth="1"/>
    <col min="7171" max="7171" width="27.33203125" style="51" customWidth="1"/>
    <col min="7172" max="7172" width="18" style="51" bestFit="1" customWidth="1"/>
    <col min="7173" max="7173" width="18" style="51" customWidth="1"/>
    <col min="7174" max="7174" width="17.6640625" style="51" bestFit="1" customWidth="1"/>
    <col min="7175" max="7177" width="18.6640625" style="51" customWidth="1"/>
    <col min="7178" max="7178" width="20.53125" style="51" customWidth="1"/>
    <col min="7179" max="7184" width="18.6640625" style="51" customWidth="1"/>
    <col min="7185" max="7424" width="9.33203125" style="51"/>
    <col min="7425" max="7425" width="4.33203125" style="51" customWidth="1"/>
    <col min="7426" max="7426" width="15.53125" style="51" bestFit="1" customWidth="1"/>
    <col min="7427" max="7427" width="27.33203125" style="51" customWidth="1"/>
    <col min="7428" max="7428" width="18" style="51" bestFit="1" customWidth="1"/>
    <col min="7429" max="7429" width="18" style="51" customWidth="1"/>
    <col min="7430" max="7430" width="17.6640625" style="51" bestFit="1" customWidth="1"/>
    <col min="7431" max="7433" width="18.6640625" style="51" customWidth="1"/>
    <col min="7434" max="7434" width="20.53125" style="51" customWidth="1"/>
    <col min="7435" max="7440" width="18.6640625" style="51" customWidth="1"/>
    <col min="7441" max="7680" width="9.33203125" style="51"/>
    <col min="7681" max="7681" width="4.33203125" style="51" customWidth="1"/>
    <col min="7682" max="7682" width="15.53125" style="51" bestFit="1" customWidth="1"/>
    <col min="7683" max="7683" width="27.33203125" style="51" customWidth="1"/>
    <col min="7684" max="7684" width="18" style="51" bestFit="1" customWidth="1"/>
    <col min="7685" max="7685" width="18" style="51" customWidth="1"/>
    <col min="7686" max="7686" width="17.6640625" style="51" bestFit="1" customWidth="1"/>
    <col min="7687" max="7689" width="18.6640625" style="51" customWidth="1"/>
    <col min="7690" max="7690" width="20.53125" style="51" customWidth="1"/>
    <col min="7691" max="7696" width="18.6640625" style="51" customWidth="1"/>
    <col min="7697" max="7936" width="9.33203125" style="51"/>
    <col min="7937" max="7937" width="4.33203125" style="51" customWidth="1"/>
    <col min="7938" max="7938" width="15.53125" style="51" bestFit="1" customWidth="1"/>
    <col min="7939" max="7939" width="27.33203125" style="51" customWidth="1"/>
    <col min="7940" max="7940" width="18" style="51" bestFit="1" customWidth="1"/>
    <col min="7941" max="7941" width="18" style="51" customWidth="1"/>
    <col min="7942" max="7942" width="17.6640625" style="51" bestFit="1" customWidth="1"/>
    <col min="7943" max="7945" width="18.6640625" style="51" customWidth="1"/>
    <col min="7946" max="7946" width="20.53125" style="51" customWidth="1"/>
    <col min="7947" max="7952" width="18.6640625" style="51" customWidth="1"/>
    <col min="7953" max="8192" width="9.33203125" style="51"/>
    <col min="8193" max="8193" width="4.33203125" style="51" customWidth="1"/>
    <col min="8194" max="8194" width="15.53125" style="51" bestFit="1" customWidth="1"/>
    <col min="8195" max="8195" width="27.33203125" style="51" customWidth="1"/>
    <col min="8196" max="8196" width="18" style="51" bestFit="1" customWidth="1"/>
    <col min="8197" max="8197" width="18" style="51" customWidth="1"/>
    <col min="8198" max="8198" width="17.6640625" style="51" bestFit="1" customWidth="1"/>
    <col min="8199" max="8201" width="18.6640625" style="51" customWidth="1"/>
    <col min="8202" max="8202" width="20.53125" style="51" customWidth="1"/>
    <col min="8203" max="8208" width="18.6640625" style="51" customWidth="1"/>
    <col min="8209" max="8448" width="9.33203125" style="51"/>
    <col min="8449" max="8449" width="4.33203125" style="51" customWidth="1"/>
    <col min="8450" max="8450" width="15.53125" style="51" bestFit="1" customWidth="1"/>
    <col min="8451" max="8451" width="27.33203125" style="51" customWidth="1"/>
    <col min="8452" max="8452" width="18" style="51" bestFit="1" customWidth="1"/>
    <col min="8453" max="8453" width="18" style="51" customWidth="1"/>
    <col min="8454" max="8454" width="17.6640625" style="51" bestFit="1" customWidth="1"/>
    <col min="8455" max="8457" width="18.6640625" style="51" customWidth="1"/>
    <col min="8458" max="8458" width="20.53125" style="51" customWidth="1"/>
    <col min="8459" max="8464" width="18.6640625" style="51" customWidth="1"/>
    <col min="8465" max="8704" width="9.33203125" style="51"/>
    <col min="8705" max="8705" width="4.33203125" style="51" customWidth="1"/>
    <col min="8706" max="8706" width="15.53125" style="51" bestFit="1" customWidth="1"/>
    <col min="8707" max="8707" width="27.33203125" style="51" customWidth="1"/>
    <col min="8708" max="8708" width="18" style="51" bestFit="1" customWidth="1"/>
    <col min="8709" max="8709" width="18" style="51" customWidth="1"/>
    <col min="8710" max="8710" width="17.6640625" style="51" bestFit="1" customWidth="1"/>
    <col min="8711" max="8713" width="18.6640625" style="51" customWidth="1"/>
    <col min="8714" max="8714" width="20.53125" style="51" customWidth="1"/>
    <col min="8715" max="8720" width="18.6640625" style="51" customWidth="1"/>
    <col min="8721" max="8960" width="9.33203125" style="51"/>
    <col min="8961" max="8961" width="4.33203125" style="51" customWidth="1"/>
    <col min="8962" max="8962" width="15.53125" style="51" bestFit="1" customWidth="1"/>
    <col min="8963" max="8963" width="27.33203125" style="51" customWidth="1"/>
    <col min="8964" max="8964" width="18" style="51" bestFit="1" customWidth="1"/>
    <col min="8965" max="8965" width="18" style="51" customWidth="1"/>
    <col min="8966" max="8966" width="17.6640625" style="51" bestFit="1" customWidth="1"/>
    <col min="8967" max="8969" width="18.6640625" style="51" customWidth="1"/>
    <col min="8970" max="8970" width="20.53125" style="51" customWidth="1"/>
    <col min="8971" max="8976" width="18.6640625" style="51" customWidth="1"/>
    <col min="8977" max="9216" width="9.33203125" style="51"/>
    <col min="9217" max="9217" width="4.33203125" style="51" customWidth="1"/>
    <col min="9218" max="9218" width="15.53125" style="51" bestFit="1" customWidth="1"/>
    <col min="9219" max="9219" width="27.33203125" style="51" customWidth="1"/>
    <col min="9220" max="9220" width="18" style="51" bestFit="1" customWidth="1"/>
    <col min="9221" max="9221" width="18" style="51" customWidth="1"/>
    <col min="9222" max="9222" width="17.6640625" style="51" bestFit="1" customWidth="1"/>
    <col min="9223" max="9225" width="18.6640625" style="51" customWidth="1"/>
    <col min="9226" max="9226" width="20.53125" style="51" customWidth="1"/>
    <col min="9227" max="9232" width="18.6640625" style="51" customWidth="1"/>
    <col min="9233" max="9472" width="9.33203125" style="51"/>
    <col min="9473" max="9473" width="4.33203125" style="51" customWidth="1"/>
    <col min="9474" max="9474" width="15.53125" style="51" bestFit="1" customWidth="1"/>
    <col min="9475" max="9475" width="27.33203125" style="51" customWidth="1"/>
    <col min="9476" max="9476" width="18" style="51" bestFit="1" customWidth="1"/>
    <col min="9477" max="9477" width="18" style="51" customWidth="1"/>
    <col min="9478" max="9478" width="17.6640625" style="51" bestFit="1" customWidth="1"/>
    <col min="9479" max="9481" width="18.6640625" style="51" customWidth="1"/>
    <col min="9482" max="9482" width="20.53125" style="51" customWidth="1"/>
    <col min="9483" max="9488" width="18.6640625" style="51" customWidth="1"/>
    <col min="9489" max="9728" width="9.33203125" style="51"/>
    <col min="9729" max="9729" width="4.33203125" style="51" customWidth="1"/>
    <col min="9730" max="9730" width="15.53125" style="51" bestFit="1" customWidth="1"/>
    <col min="9731" max="9731" width="27.33203125" style="51" customWidth="1"/>
    <col min="9732" max="9732" width="18" style="51" bestFit="1" customWidth="1"/>
    <col min="9733" max="9733" width="18" style="51" customWidth="1"/>
    <col min="9734" max="9734" width="17.6640625" style="51" bestFit="1" customWidth="1"/>
    <col min="9735" max="9737" width="18.6640625" style="51" customWidth="1"/>
    <col min="9738" max="9738" width="20.53125" style="51" customWidth="1"/>
    <col min="9739" max="9744" width="18.6640625" style="51" customWidth="1"/>
    <col min="9745" max="9984" width="9.33203125" style="51"/>
    <col min="9985" max="9985" width="4.33203125" style="51" customWidth="1"/>
    <col min="9986" max="9986" width="15.53125" style="51" bestFit="1" customWidth="1"/>
    <col min="9987" max="9987" width="27.33203125" style="51" customWidth="1"/>
    <col min="9988" max="9988" width="18" style="51" bestFit="1" customWidth="1"/>
    <col min="9989" max="9989" width="18" style="51" customWidth="1"/>
    <col min="9990" max="9990" width="17.6640625" style="51" bestFit="1" customWidth="1"/>
    <col min="9991" max="9993" width="18.6640625" style="51" customWidth="1"/>
    <col min="9994" max="9994" width="20.53125" style="51" customWidth="1"/>
    <col min="9995" max="10000" width="18.6640625" style="51" customWidth="1"/>
    <col min="10001" max="10240" width="9.33203125" style="51"/>
    <col min="10241" max="10241" width="4.33203125" style="51" customWidth="1"/>
    <col min="10242" max="10242" width="15.53125" style="51" bestFit="1" customWidth="1"/>
    <col min="10243" max="10243" width="27.33203125" style="51" customWidth="1"/>
    <col min="10244" max="10244" width="18" style="51" bestFit="1" customWidth="1"/>
    <col min="10245" max="10245" width="18" style="51" customWidth="1"/>
    <col min="10246" max="10246" width="17.6640625" style="51" bestFit="1" customWidth="1"/>
    <col min="10247" max="10249" width="18.6640625" style="51" customWidth="1"/>
    <col min="10250" max="10250" width="20.53125" style="51" customWidth="1"/>
    <col min="10251" max="10256" width="18.6640625" style="51" customWidth="1"/>
    <col min="10257" max="10496" width="9.33203125" style="51"/>
    <col min="10497" max="10497" width="4.33203125" style="51" customWidth="1"/>
    <col min="10498" max="10498" width="15.53125" style="51" bestFit="1" customWidth="1"/>
    <col min="10499" max="10499" width="27.33203125" style="51" customWidth="1"/>
    <col min="10500" max="10500" width="18" style="51" bestFit="1" customWidth="1"/>
    <col min="10501" max="10501" width="18" style="51" customWidth="1"/>
    <col min="10502" max="10502" width="17.6640625" style="51" bestFit="1" customWidth="1"/>
    <col min="10503" max="10505" width="18.6640625" style="51" customWidth="1"/>
    <col min="10506" max="10506" width="20.53125" style="51" customWidth="1"/>
    <col min="10507" max="10512" width="18.6640625" style="51" customWidth="1"/>
    <col min="10513" max="10752" width="9.33203125" style="51"/>
    <col min="10753" max="10753" width="4.33203125" style="51" customWidth="1"/>
    <col min="10754" max="10754" width="15.53125" style="51" bestFit="1" customWidth="1"/>
    <col min="10755" max="10755" width="27.33203125" style="51" customWidth="1"/>
    <col min="10756" max="10756" width="18" style="51" bestFit="1" customWidth="1"/>
    <col min="10757" max="10757" width="18" style="51" customWidth="1"/>
    <col min="10758" max="10758" width="17.6640625" style="51" bestFit="1" customWidth="1"/>
    <col min="10759" max="10761" width="18.6640625" style="51" customWidth="1"/>
    <col min="10762" max="10762" width="20.53125" style="51" customWidth="1"/>
    <col min="10763" max="10768" width="18.6640625" style="51" customWidth="1"/>
    <col min="10769" max="11008" width="9.33203125" style="51"/>
    <col min="11009" max="11009" width="4.33203125" style="51" customWidth="1"/>
    <col min="11010" max="11010" width="15.53125" style="51" bestFit="1" customWidth="1"/>
    <col min="11011" max="11011" width="27.33203125" style="51" customWidth="1"/>
    <col min="11012" max="11012" width="18" style="51" bestFit="1" customWidth="1"/>
    <col min="11013" max="11013" width="18" style="51" customWidth="1"/>
    <col min="11014" max="11014" width="17.6640625" style="51" bestFit="1" customWidth="1"/>
    <col min="11015" max="11017" width="18.6640625" style="51" customWidth="1"/>
    <col min="11018" max="11018" width="20.53125" style="51" customWidth="1"/>
    <col min="11019" max="11024" width="18.6640625" style="51" customWidth="1"/>
    <col min="11025" max="11264" width="9.33203125" style="51"/>
    <col min="11265" max="11265" width="4.33203125" style="51" customWidth="1"/>
    <col min="11266" max="11266" width="15.53125" style="51" bestFit="1" customWidth="1"/>
    <col min="11267" max="11267" width="27.33203125" style="51" customWidth="1"/>
    <col min="11268" max="11268" width="18" style="51" bestFit="1" customWidth="1"/>
    <col min="11269" max="11269" width="18" style="51" customWidth="1"/>
    <col min="11270" max="11270" width="17.6640625" style="51" bestFit="1" customWidth="1"/>
    <col min="11271" max="11273" width="18.6640625" style="51" customWidth="1"/>
    <col min="11274" max="11274" width="20.53125" style="51" customWidth="1"/>
    <col min="11275" max="11280" width="18.6640625" style="51" customWidth="1"/>
    <col min="11281" max="11520" width="9.33203125" style="51"/>
    <col min="11521" max="11521" width="4.33203125" style="51" customWidth="1"/>
    <col min="11522" max="11522" width="15.53125" style="51" bestFit="1" customWidth="1"/>
    <col min="11523" max="11523" width="27.33203125" style="51" customWidth="1"/>
    <col min="11524" max="11524" width="18" style="51" bestFit="1" customWidth="1"/>
    <col min="11525" max="11525" width="18" style="51" customWidth="1"/>
    <col min="11526" max="11526" width="17.6640625" style="51" bestFit="1" customWidth="1"/>
    <col min="11527" max="11529" width="18.6640625" style="51" customWidth="1"/>
    <col min="11530" max="11530" width="20.53125" style="51" customWidth="1"/>
    <col min="11531" max="11536" width="18.6640625" style="51" customWidth="1"/>
    <col min="11537" max="11776" width="9.33203125" style="51"/>
    <col min="11777" max="11777" width="4.33203125" style="51" customWidth="1"/>
    <col min="11778" max="11778" width="15.53125" style="51" bestFit="1" customWidth="1"/>
    <col min="11779" max="11779" width="27.33203125" style="51" customWidth="1"/>
    <col min="11780" max="11780" width="18" style="51" bestFit="1" customWidth="1"/>
    <col min="11781" max="11781" width="18" style="51" customWidth="1"/>
    <col min="11782" max="11782" width="17.6640625" style="51" bestFit="1" customWidth="1"/>
    <col min="11783" max="11785" width="18.6640625" style="51" customWidth="1"/>
    <col min="11786" max="11786" width="20.53125" style="51" customWidth="1"/>
    <col min="11787" max="11792" width="18.6640625" style="51" customWidth="1"/>
    <col min="11793" max="12032" width="9.33203125" style="51"/>
    <col min="12033" max="12033" width="4.33203125" style="51" customWidth="1"/>
    <col min="12034" max="12034" width="15.53125" style="51" bestFit="1" customWidth="1"/>
    <col min="12035" max="12035" width="27.33203125" style="51" customWidth="1"/>
    <col min="12036" max="12036" width="18" style="51" bestFit="1" customWidth="1"/>
    <col min="12037" max="12037" width="18" style="51" customWidth="1"/>
    <col min="12038" max="12038" width="17.6640625" style="51" bestFit="1" customWidth="1"/>
    <col min="12039" max="12041" width="18.6640625" style="51" customWidth="1"/>
    <col min="12042" max="12042" width="20.53125" style="51" customWidth="1"/>
    <col min="12043" max="12048" width="18.6640625" style="51" customWidth="1"/>
    <col min="12049" max="12288" width="9.33203125" style="51"/>
    <col min="12289" max="12289" width="4.33203125" style="51" customWidth="1"/>
    <col min="12290" max="12290" width="15.53125" style="51" bestFit="1" customWidth="1"/>
    <col min="12291" max="12291" width="27.33203125" style="51" customWidth="1"/>
    <col min="12292" max="12292" width="18" style="51" bestFit="1" customWidth="1"/>
    <col min="12293" max="12293" width="18" style="51" customWidth="1"/>
    <col min="12294" max="12294" width="17.6640625" style="51" bestFit="1" customWidth="1"/>
    <col min="12295" max="12297" width="18.6640625" style="51" customWidth="1"/>
    <col min="12298" max="12298" width="20.53125" style="51" customWidth="1"/>
    <col min="12299" max="12304" width="18.6640625" style="51" customWidth="1"/>
    <col min="12305" max="12544" width="9.33203125" style="51"/>
    <col min="12545" max="12545" width="4.33203125" style="51" customWidth="1"/>
    <col min="12546" max="12546" width="15.53125" style="51" bestFit="1" customWidth="1"/>
    <col min="12547" max="12547" width="27.33203125" style="51" customWidth="1"/>
    <col min="12548" max="12548" width="18" style="51" bestFit="1" customWidth="1"/>
    <col min="12549" max="12549" width="18" style="51" customWidth="1"/>
    <col min="12550" max="12550" width="17.6640625" style="51" bestFit="1" customWidth="1"/>
    <col min="12551" max="12553" width="18.6640625" style="51" customWidth="1"/>
    <col min="12554" max="12554" width="20.53125" style="51" customWidth="1"/>
    <col min="12555" max="12560" width="18.6640625" style="51" customWidth="1"/>
    <col min="12561" max="12800" width="9.33203125" style="51"/>
    <col min="12801" max="12801" width="4.33203125" style="51" customWidth="1"/>
    <col min="12802" max="12802" width="15.53125" style="51" bestFit="1" customWidth="1"/>
    <col min="12803" max="12803" width="27.33203125" style="51" customWidth="1"/>
    <col min="12804" max="12804" width="18" style="51" bestFit="1" customWidth="1"/>
    <col min="12805" max="12805" width="18" style="51" customWidth="1"/>
    <col min="12806" max="12806" width="17.6640625" style="51" bestFit="1" customWidth="1"/>
    <col min="12807" max="12809" width="18.6640625" style="51" customWidth="1"/>
    <col min="12810" max="12810" width="20.53125" style="51" customWidth="1"/>
    <col min="12811" max="12816" width="18.6640625" style="51" customWidth="1"/>
    <col min="12817" max="13056" width="9.33203125" style="51"/>
    <col min="13057" max="13057" width="4.33203125" style="51" customWidth="1"/>
    <col min="13058" max="13058" width="15.53125" style="51" bestFit="1" customWidth="1"/>
    <col min="13059" max="13059" width="27.33203125" style="51" customWidth="1"/>
    <col min="13060" max="13060" width="18" style="51" bestFit="1" customWidth="1"/>
    <col min="13061" max="13061" width="18" style="51" customWidth="1"/>
    <col min="13062" max="13062" width="17.6640625" style="51" bestFit="1" customWidth="1"/>
    <col min="13063" max="13065" width="18.6640625" style="51" customWidth="1"/>
    <col min="13066" max="13066" width="20.53125" style="51" customWidth="1"/>
    <col min="13067" max="13072" width="18.6640625" style="51" customWidth="1"/>
    <col min="13073" max="13312" width="9.33203125" style="51"/>
    <col min="13313" max="13313" width="4.33203125" style="51" customWidth="1"/>
    <col min="13314" max="13314" width="15.53125" style="51" bestFit="1" customWidth="1"/>
    <col min="13315" max="13315" width="27.33203125" style="51" customWidth="1"/>
    <col min="13316" max="13316" width="18" style="51" bestFit="1" customWidth="1"/>
    <col min="13317" max="13317" width="18" style="51" customWidth="1"/>
    <col min="13318" max="13318" width="17.6640625" style="51" bestFit="1" customWidth="1"/>
    <col min="13319" max="13321" width="18.6640625" style="51" customWidth="1"/>
    <col min="13322" max="13322" width="20.53125" style="51" customWidth="1"/>
    <col min="13323" max="13328" width="18.6640625" style="51" customWidth="1"/>
    <col min="13329" max="13568" width="9.33203125" style="51"/>
    <col min="13569" max="13569" width="4.33203125" style="51" customWidth="1"/>
    <col min="13570" max="13570" width="15.53125" style="51" bestFit="1" customWidth="1"/>
    <col min="13571" max="13571" width="27.33203125" style="51" customWidth="1"/>
    <col min="13572" max="13572" width="18" style="51" bestFit="1" customWidth="1"/>
    <col min="13573" max="13573" width="18" style="51" customWidth="1"/>
    <col min="13574" max="13574" width="17.6640625" style="51" bestFit="1" customWidth="1"/>
    <col min="13575" max="13577" width="18.6640625" style="51" customWidth="1"/>
    <col min="13578" max="13578" width="20.53125" style="51" customWidth="1"/>
    <col min="13579" max="13584" width="18.6640625" style="51" customWidth="1"/>
    <col min="13585" max="13824" width="9.33203125" style="51"/>
    <col min="13825" max="13825" width="4.33203125" style="51" customWidth="1"/>
    <col min="13826" max="13826" width="15.53125" style="51" bestFit="1" customWidth="1"/>
    <col min="13827" max="13827" width="27.33203125" style="51" customWidth="1"/>
    <col min="13828" max="13828" width="18" style="51" bestFit="1" customWidth="1"/>
    <col min="13829" max="13829" width="18" style="51" customWidth="1"/>
    <col min="13830" max="13830" width="17.6640625" style="51" bestFit="1" customWidth="1"/>
    <col min="13831" max="13833" width="18.6640625" style="51" customWidth="1"/>
    <col min="13834" max="13834" width="20.53125" style="51" customWidth="1"/>
    <col min="13835" max="13840" width="18.6640625" style="51" customWidth="1"/>
    <col min="13841" max="14080" width="9.33203125" style="51"/>
    <col min="14081" max="14081" width="4.33203125" style="51" customWidth="1"/>
    <col min="14082" max="14082" width="15.53125" style="51" bestFit="1" customWidth="1"/>
    <col min="14083" max="14083" width="27.33203125" style="51" customWidth="1"/>
    <col min="14084" max="14084" width="18" style="51" bestFit="1" customWidth="1"/>
    <col min="14085" max="14085" width="18" style="51" customWidth="1"/>
    <col min="14086" max="14086" width="17.6640625" style="51" bestFit="1" customWidth="1"/>
    <col min="14087" max="14089" width="18.6640625" style="51" customWidth="1"/>
    <col min="14090" max="14090" width="20.53125" style="51" customWidth="1"/>
    <col min="14091" max="14096" width="18.6640625" style="51" customWidth="1"/>
    <col min="14097" max="14336" width="9.33203125" style="51"/>
    <col min="14337" max="14337" width="4.33203125" style="51" customWidth="1"/>
    <col min="14338" max="14338" width="15.53125" style="51" bestFit="1" customWidth="1"/>
    <col min="14339" max="14339" width="27.33203125" style="51" customWidth="1"/>
    <col min="14340" max="14340" width="18" style="51" bestFit="1" customWidth="1"/>
    <col min="14341" max="14341" width="18" style="51" customWidth="1"/>
    <col min="14342" max="14342" width="17.6640625" style="51" bestFit="1" customWidth="1"/>
    <col min="14343" max="14345" width="18.6640625" style="51" customWidth="1"/>
    <col min="14346" max="14346" width="20.53125" style="51" customWidth="1"/>
    <col min="14347" max="14352" width="18.6640625" style="51" customWidth="1"/>
    <col min="14353" max="14592" width="9.33203125" style="51"/>
    <col min="14593" max="14593" width="4.33203125" style="51" customWidth="1"/>
    <col min="14594" max="14594" width="15.53125" style="51" bestFit="1" customWidth="1"/>
    <col min="14595" max="14595" width="27.33203125" style="51" customWidth="1"/>
    <col min="14596" max="14596" width="18" style="51" bestFit="1" customWidth="1"/>
    <col min="14597" max="14597" width="18" style="51" customWidth="1"/>
    <col min="14598" max="14598" width="17.6640625" style="51" bestFit="1" customWidth="1"/>
    <col min="14599" max="14601" width="18.6640625" style="51" customWidth="1"/>
    <col min="14602" max="14602" width="20.53125" style="51" customWidth="1"/>
    <col min="14603" max="14608" width="18.6640625" style="51" customWidth="1"/>
    <col min="14609" max="14848" width="9.33203125" style="51"/>
    <col min="14849" max="14849" width="4.33203125" style="51" customWidth="1"/>
    <col min="14850" max="14850" width="15.53125" style="51" bestFit="1" customWidth="1"/>
    <col min="14851" max="14851" width="27.33203125" style="51" customWidth="1"/>
    <col min="14852" max="14852" width="18" style="51" bestFit="1" customWidth="1"/>
    <col min="14853" max="14853" width="18" style="51" customWidth="1"/>
    <col min="14854" max="14854" width="17.6640625" style="51" bestFit="1" customWidth="1"/>
    <col min="14855" max="14857" width="18.6640625" style="51" customWidth="1"/>
    <col min="14858" max="14858" width="20.53125" style="51" customWidth="1"/>
    <col min="14859" max="14864" width="18.6640625" style="51" customWidth="1"/>
    <col min="14865" max="15104" width="9.33203125" style="51"/>
    <col min="15105" max="15105" width="4.33203125" style="51" customWidth="1"/>
    <col min="15106" max="15106" width="15.53125" style="51" bestFit="1" customWidth="1"/>
    <col min="15107" max="15107" width="27.33203125" style="51" customWidth="1"/>
    <col min="15108" max="15108" width="18" style="51" bestFit="1" customWidth="1"/>
    <col min="15109" max="15109" width="18" style="51" customWidth="1"/>
    <col min="15110" max="15110" width="17.6640625" style="51" bestFit="1" customWidth="1"/>
    <col min="15111" max="15113" width="18.6640625" style="51" customWidth="1"/>
    <col min="15114" max="15114" width="20.53125" style="51" customWidth="1"/>
    <col min="15115" max="15120" width="18.6640625" style="51" customWidth="1"/>
    <col min="15121" max="15360" width="9.33203125" style="51"/>
    <col min="15361" max="15361" width="4.33203125" style="51" customWidth="1"/>
    <col min="15362" max="15362" width="15.53125" style="51" bestFit="1" customWidth="1"/>
    <col min="15363" max="15363" width="27.33203125" style="51" customWidth="1"/>
    <col min="15364" max="15364" width="18" style="51" bestFit="1" customWidth="1"/>
    <col min="15365" max="15365" width="18" style="51" customWidth="1"/>
    <col min="15366" max="15366" width="17.6640625" style="51" bestFit="1" customWidth="1"/>
    <col min="15367" max="15369" width="18.6640625" style="51" customWidth="1"/>
    <col min="15370" max="15370" width="20.53125" style="51" customWidth="1"/>
    <col min="15371" max="15376" width="18.6640625" style="51" customWidth="1"/>
    <col min="15377" max="15616" width="9.33203125" style="51"/>
    <col min="15617" max="15617" width="4.33203125" style="51" customWidth="1"/>
    <col min="15618" max="15618" width="15.53125" style="51" bestFit="1" customWidth="1"/>
    <col min="15619" max="15619" width="27.33203125" style="51" customWidth="1"/>
    <col min="15620" max="15620" width="18" style="51" bestFit="1" customWidth="1"/>
    <col min="15621" max="15621" width="18" style="51" customWidth="1"/>
    <col min="15622" max="15622" width="17.6640625" style="51" bestFit="1" customWidth="1"/>
    <col min="15623" max="15625" width="18.6640625" style="51" customWidth="1"/>
    <col min="15626" max="15626" width="20.53125" style="51" customWidth="1"/>
    <col min="15627" max="15632" width="18.6640625" style="51" customWidth="1"/>
    <col min="15633" max="15872" width="9.33203125" style="51"/>
    <col min="15873" max="15873" width="4.33203125" style="51" customWidth="1"/>
    <col min="15874" max="15874" width="15.53125" style="51" bestFit="1" customWidth="1"/>
    <col min="15875" max="15875" width="27.33203125" style="51" customWidth="1"/>
    <col min="15876" max="15876" width="18" style="51" bestFit="1" customWidth="1"/>
    <col min="15877" max="15877" width="18" style="51" customWidth="1"/>
    <col min="15878" max="15878" width="17.6640625" style="51" bestFit="1" customWidth="1"/>
    <col min="15879" max="15881" width="18.6640625" style="51" customWidth="1"/>
    <col min="15882" max="15882" width="20.53125" style="51" customWidth="1"/>
    <col min="15883" max="15888" width="18.6640625" style="51" customWidth="1"/>
    <col min="15889" max="16128" width="9.33203125" style="51"/>
    <col min="16129" max="16129" width="4.33203125" style="51" customWidth="1"/>
    <col min="16130" max="16130" width="15.53125" style="51" bestFit="1" customWidth="1"/>
    <col min="16131" max="16131" width="27.33203125" style="51" customWidth="1"/>
    <col min="16132" max="16132" width="18" style="51" bestFit="1" customWidth="1"/>
    <col min="16133" max="16133" width="18" style="51" customWidth="1"/>
    <col min="16134" max="16134" width="17.6640625" style="51" bestFit="1" customWidth="1"/>
    <col min="16135" max="16137" width="18.6640625" style="51" customWidth="1"/>
    <col min="16138" max="16138" width="20.53125" style="51" customWidth="1"/>
    <col min="16139" max="16144" width="18.6640625" style="51" customWidth="1"/>
    <col min="16145" max="16384" width="9.33203125" style="51"/>
  </cols>
  <sheetData>
    <row r="1" spans="2:15" x14ac:dyDescent="0.35">
      <c r="B1" s="83"/>
    </row>
    <row r="2" spans="2:15" x14ac:dyDescent="0.35">
      <c r="B2" s="84"/>
      <c r="D2" s="84"/>
      <c r="E2" s="84"/>
      <c r="F2" s="53" t="s">
        <v>106</v>
      </c>
      <c r="G2" s="159"/>
      <c r="H2" s="159"/>
      <c r="I2" s="159"/>
      <c r="J2" s="159"/>
      <c r="K2" s="159"/>
      <c r="L2" s="159"/>
      <c r="M2" s="159"/>
      <c r="N2" s="159"/>
      <c r="O2" s="159"/>
    </row>
    <row r="3" spans="2:15" x14ac:dyDescent="0.35">
      <c r="D3" s="84"/>
      <c r="E3" s="84"/>
      <c r="F3" s="53" t="s">
        <v>753</v>
      </c>
      <c r="G3" s="159"/>
      <c r="H3" s="159"/>
      <c r="I3" s="159"/>
      <c r="J3" s="159"/>
      <c r="K3" s="159"/>
      <c r="L3" s="159"/>
      <c r="M3" s="159"/>
      <c r="N3" s="159"/>
      <c r="O3" s="159"/>
    </row>
    <row r="4" spans="2:15" x14ac:dyDescent="0.35">
      <c r="B4" s="84"/>
      <c r="D4" s="84"/>
      <c r="E4" s="84"/>
      <c r="F4" s="53" t="s">
        <v>1825</v>
      </c>
      <c r="G4" s="159"/>
      <c r="H4" s="159"/>
      <c r="I4" s="159"/>
      <c r="J4" s="159"/>
      <c r="K4" s="159"/>
      <c r="L4" s="159"/>
      <c r="M4" s="159"/>
      <c r="N4" s="159"/>
      <c r="O4" s="159"/>
    </row>
    <row r="5" spans="2:15" x14ac:dyDescent="0.35">
      <c r="C5" s="160"/>
      <c r="D5" s="160"/>
      <c r="E5" s="160"/>
    </row>
    <row r="6" spans="2:15" x14ac:dyDescent="0.35">
      <c r="C6" s="160"/>
      <c r="D6" s="160"/>
      <c r="E6" s="160"/>
    </row>
    <row r="7" spans="2:15" x14ac:dyDescent="0.35">
      <c r="C7" s="160"/>
      <c r="D7" s="160"/>
      <c r="E7" s="160"/>
    </row>
    <row r="8" spans="2:15" x14ac:dyDescent="0.35">
      <c r="C8" s="160" t="s">
        <v>88</v>
      </c>
      <c r="D8" s="160"/>
      <c r="E8" s="160"/>
    </row>
    <row r="9" spans="2:15" x14ac:dyDescent="0.35">
      <c r="C9" s="160"/>
      <c r="D9" s="160"/>
      <c r="E9" s="160"/>
    </row>
    <row r="10" spans="2:15" x14ac:dyDescent="0.35">
      <c r="D10" s="160"/>
      <c r="E10" s="160"/>
      <c r="F10" s="160"/>
      <c r="H10" s="39" t="s">
        <v>754</v>
      </c>
    </row>
    <row r="11" spans="2:15" ht="14.75" customHeight="1" x14ac:dyDescent="0.35">
      <c r="C11" s="181" t="s">
        <v>699</v>
      </c>
      <c r="D11" s="252"/>
      <c r="E11" s="191" t="s">
        <v>123</v>
      </c>
      <c r="F11" s="191" t="s">
        <v>124</v>
      </c>
      <c r="G11" s="98" t="s">
        <v>125</v>
      </c>
      <c r="H11" s="98" t="s">
        <v>126</v>
      </c>
      <c r="I11" s="98" t="s">
        <v>127</v>
      </c>
    </row>
    <row r="12" spans="2:15" x14ac:dyDescent="0.35">
      <c r="C12" s="181"/>
      <c r="D12" s="252"/>
      <c r="E12" s="98" t="s">
        <v>135</v>
      </c>
      <c r="F12" s="98" t="s">
        <v>135</v>
      </c>
      <c r="G12" s="98" t="s">
        <v>135</v>
      </c>
      <c r="H12" s="98" t="s">
        <v>135</v>
      </c>
      <c r="I12" s="98" t="s">
        <v>135</v>
      </c>
    </row>
    <row r="13" spans="2:15" ht="14.25" x14ac:dyDescent="0.35">
      <c r="C13" s="161" t="s">
        <v>161</v>
      </c>
      <c r="D13" s="182"/>
      <c r="E13" s="162"/>
      <c r="F13" s="162"/>
      <c r="G13" s="162"/>
      <c r="H13" s="162"/>
      <c r="I13" s="162"/>
    </row>
    <row r="14" spans="2:15" ht="14.25" x14ac:dyDescent="0.35">
      <c r="C14" s="429" t="s">
        <v>1129</v>
      </c>
      <c r="D14" s="182"/>
      <c r="F14" s="1625">
        <f ca="1">+I38</f>
        <v>1.0000687004412123</v>
      </c>
      <c r="G14" s="1625">
        <f ca="1">+I50</f>
        <v>0.99997978064894333</v>
      </c>
      <c r="H14" s="1625">
        <f ca="1">+I62</f>
        <v>0.99973672452486262</v>
      </c>
      <c r="I14" s="1625">
        <f ca="1">+I74</f>
        <v>1.0005895588482903</v>
      </c>
    </row>
    <row r="15" spans="2:15" ht="14.25" x14ac:dyDescent="0.35">
      <c r="C15" s="429" t="s">
        <v>1130</v>
      </c>
      <c r="D15" s="182"/>
      <c r="F15" s="1625">
        <f ca="1">+I39</f>
        <v>1.5032165121386014</v>
      </c>
      <c r="G15" s="1625">
        <f ca="1">+I51</f>
        <v>1.588966020741972</v>
      </c>
      <c r="H15" s="1625">
        <f ca="1">+I63</f>
        <v>1.4432713608021632</v>
      </c>
      <c r="I15" s="1625">
        <f ca="1">+I75</f>
        <v>1.497378293404416</v>
      </c>
    </row>
    <row r="16" spans="2:15" ht="14.25" x14ac:dyDescent="0.35">
      <c r="C16" s="164" t="s">
        <v>163</v>
      </c>
      <c r="D16" s="165"/>
      <c r="F16" s="1625"/>
      <c r="G16" s="165"/>
      <c r="H16" s="165"/>
      <c r="I16" s="165"/>
    </row>
    <row r="17" spans="2:11" ht="25.5" x14ac:dyDescent="0.35">
      <c r="C17" s="519" t="s">
        <v>1135</v>
      </c>
      <c r="D17" s="182"/>
      <c r="F17" s="1625">
        <f ca="1">+I41</f>
        <v>0.996378910346291</v>
      </c>
      <c r="G17" s="1625">
        <f ca="1">+I53</f>
        <v>1.0032633241210549</v>
      </c>
      <c r="H17" s="1625">
        <f ca="1">+I65</f>
        <v>1.0004029643282415</v>
      </c>
      <c r="I17" s="1625">
        <f ca="1">+I77</f>
        <v>1.0003598738303046</v>
      </c>
    </row>
    <row r="18" spans="2:11" ht="14.25" x14ac:dyDescent="0.35">
      <c r="C18" s="163" t="s">
        <v>365</v>
      </c>
      <c r="D18" s="182"/>
      <c r="E18" s="162"/>
      <c r="F18" s="162"/>
      <c r="G18" s="162"/>
      <c r="H18" s="162"/>
      <c r="I18" s="162"/>
    </row>
    <row r="19" spans="2:11" ht="14.25" x14ac:dyDescent="0.35">
      <c r="C19" s="166" t="s">
        <v>755</v>
      </c>
      <c r="D19" s="183"/>
      <c r="E19" s="167"/>
      <c r="F19" s="167"/>
      <c r="G19" s="167"/>
      <c r="H19" s="167"/>
    </row>
    <row r="20" spans="2:11" ht="14.25" x14ac:dyDescent="0.35">
      <c r="C20" s="166"/>
      <c r="D20" s="183"/>
      <c r="E20" s="167"/>
      <c r="F20" s="167"/>
      <c r="G20" s="167"/>
      <c r="H20" s="167"/>
    </row>
    <row r="21" spans="2:11" hidden="1" x14ac:dyDescent="0.35">
      <c r="C21" s="160"/>
      <c r="D21" s="160"/>
      <c r="E21" s="160"/>
    </row>
    <row r="22" spans="2:11" hidden="1" x14ac:dyDescent="0.35">
      <c r="C22" s="160"/>
      <c r="D22" s="160"/>
      <c r="E22" s="160"/>
    </row>
    <row r="23" spans="2:11" hidden="1" x14ac:dyDescent="0.35">
      <c r="B23" s="39" t="s">
        <v>123</v>
      </c>
      <c r="K23" s="39"/>
    </row>
    <row r="24" spans="2:11" hidden="1" x14ac:dyDescent="0.35">
      <c r="B24" s="2117" t="s">
        <v>699</v>
      </c>
      <c r="C24" s="2116" t="s">
        <v>756</v>
      </c>
      <c r="D24" s="2116" t="s">
        <v>724</v>
      </c>
      <c r="E24" s="2116"/>
      <c r="F24" s="2116"/>
      <c r="G24" s="2116" t="s">
        <v>757</v>
      </c>
      <c r="H24" s="2116"/>
      <c r="I24" s="2116"/>
      <c r="J24" s="2116" t="s">
        <v>758</v>
      </c>
      <c r="K24" s="2116" t="s">
        <v>759</v>
      </c>
    </row>
    <row r="25" spans="2:11" ht="27" hidden="1" x14ac:dyDescent="0.35">
      <c r="B25" s="2117"/>
      <c r="C25" s="2116"/>
      <c r="D25" s="252" t="s">
        <v>760</v>
      </c>
      <c r="E25" s="252" t="s">
        <v>761</v>
      </c>
      <c r="F25" s="252" t="s">
        <v>762</v>
      </c>
      <c r="G25" s="252" t="s">
        <v>760</v>
      </c>
      <c r="H25" s="252" t="s">
        <v>761</v>
      </c>
      <c r="I25" s="252" t="s">
        <v>762</v>
      </c>
      <c r="J25" s="2116"/>
      <c r="K25" s="2116"/>
    </row>
    <row r="26" spans="2:11" hidden="1" x14ac:dyDescent="0.35">
      <c r="B26" s="161" t="s">
        <v>161</v>
      </c>
      <c r="D26" s="253"/>
      <c r="E26" s="253"/>
      <c r="F26" s="253"/>
      <c r="G26" s="253"/>
      <c r="H26" s="253"/>
      <c r="I26" s="253"/>
      <c r="J26" s="254"/>
      <c r="K26" s="254"/>
    </row>
    <row r="27" spans="2:11" hidden="1" x14ac:dyDescent="0.35">
      <c r="B27" s="429" t="s">
        <v>1129</v>
      </c>
      <c r="D27" s="253"/>
      <c r="E27" s="253"/>
      <c r="F27" s="253"/>
      <c r="G27" s="253"/>
      <c r="H27" s="253"/>
      <c r="I27" s="253"/>
      <c r="J27" s="254"/>
      <c r="K27" s="254"/>
    </row>
    <row r="28" spans="2:11" hidden="1" x14ac:dyDescent="0.35">
      <c r="B28" s="429" t="s">
        <v>1130</v>
      </c>
      <c r="D28" s="253"/>
      <c r="E28" s="253"/>
      <c r="F28" s="253"/>
      <c r="G28" s="253"/>
      <c r="H28" s="253"/>
      <c r="I28" s="253"/>
      <c r="J28" s="254"/>
      <c r="K28" s="254"/>
    </row>
    <row r="29" spans="2:11" hidden="1" x14ac:dyDescent="0.35">
      <c r="B29" s="164" t="s">
        <v>163</v>
      </c>
      <c r="D29" s="86"/>
      <c r="E29" s="86"/>
      <c r="F29" s="86"/>
      <c r="G29" s="86"/>
      <c r="H29" s="86"/>
      <c r="I29" s="86"/>
      <c r="J29" s="86"/>
      <c r="K29" s="86"/>
    </row>
    <row r="30" spans="2:11" ht="25.5" hidden="1" x14ac:dyDescent="0.35">
      <c r="B30" s="519" t="s">
        <v>1135</v>
      </c>
      <c r="D30" s="253"/>
      <c r="E30" s="253"/>
      <c r="F30" s="253"/>
      <c r="G30" s="253"/>
      <c r="H30" s="253"/>
      <c r="I30" s="253"/>
      <c r="J30" s="254"/>
      <c r="K30" s="254"/>
    </row>
    <row r="31" spans="2:11" ht="14.25" hidden="1" x14ac:dyDescent="0.35">
      <c r="B31" s="163" t="s">
        <v>365</v>
      </c>
      <c r="D31" s="253"/>
      <c r="E31" s="253"/>
      <c r="F31" s="253"/>
      <c r="G31" s="253"/>
      <c r="H31" s="253"/>
      <c r="I31" s="253"/>
      <c r="J31" s="254"/>
      <c r="K31" s="254"/>
    </row>
    <row r="32" spans="2:11" hidden="1" x14ac:dyDescent="0.35"/>
    <row r="34" spans="2:11" x14ac:dyDescent="0.35">
      <c r="B34" s="39" t="s">
        <v>124</v>
      </c>
    </row>
    <row r="35" spans="2:11" ht="30" customHeight="1" x14ac:dyDescent="0.35">
      <c r="B35" s="2117" t="s">
        <v>699</v>
      </c>
      <c r="C35" s="2116" t="s">
        <v>756</v>
      </c>
      <c r="D35" s="2116" t="s">
        <v>724</v>
      </c>
      <c r="E35" s="2116"/>
      <c r="F35" s="2116"/>
      <c r="G35" s="2116" t="s">
        <v>757</v>
      </c>
      <c r="H35" s="2116"/>
      <c r="I35" s="2116"/>
      <c r="J35" s="2116" t="s">
        <v>758</v>
      </c>
      <c r="K35" s="2116" t="s">
        <v>759</v>
      </c>
    </row>
    <row r="36" spans="2:11" ht="27" x14ac:dyDescent="0.35">
      <c r="B36" s="2117"/>
      <c r="C36" s="2116"/>
      <c r="D36" s="252" t="s">
        <v>760</v>
      </c>
      <c r="E36" s="252" t="s">
        <v>761</v>
      </c>
      <c r="F36" s="252" t="s">
        <v>762</v>
      </c>
      <c r="G36" s="252" t="s">
        <v>760</v>
      </c>
      <c r="H36" s="252" t="s">
        <v>761</v>
      </c>
      <c r="I36" s="252" t="s">
        <v>762</v>
      </c>
      <c r="J36" s="2116"/>
      <c r="K36" s="2116"/>
    </row>
    <row r="37" spans="2:11" x14ac:dyDescent="0.35">
      <c r="B37" s="161" t="s">
        <v>161</v>
      </c>
      <c r="C37" s="2113">
        <f ca="1">+'Gap Adjustment'!$K$124</f>
        <v>8.5611212346211989</v>
      </c>
      <c r="D37" s="253"/>
      <c r="E37" s="253"/>
      <c r="F37" s="253"/>
      <c r="G37" s="253"/>
      <c r="H37" s="253"/>
      <c r="I37" s="253"/>
      <c r="J37" s="254"/>
      <c r="K37" s="254"/>
    </row>
    <row r="38" spans="2:11" x14ac:dyDescent="0.35">
      <c r="B38" s="429" t="s">
        <v>1129</v>
      </c>
      <c r="C38" s="2114"/>
      <c r="D38" s="1623">
        <f>+'F13.2'!$X$13</f>
        <v>9.1119790064025601</v>
      </c>
      <c r="E38" s="253"/>
      <c r="F38" s="1623">
        <f ca="1">+'F14.2'!$X$13</f>
        <v>8.5617093874272889</v>
      </c>
      <c r="G38" s="1624">
        <f ca="1">+D38/$C$37</f>
        <v>1.0643441152957502</v>
      </c>
      <c r="H38" s="253"/>
      <c r="I38" s="1624">
        <f ca="1">+F38/$C$37</f>
        <v>1.0000687004412123</v>
      </c>
      <c r="J38" s="1626">
        <f ca="1">+I38/G38-1</f>
        <v>-6.0389693456122218E-2</v>
      </c>
      <c r="K38" s="1626">
        <f ca="1">+F38/D38-1</f>
        <v>-6.0389693456122107E-2</v>
      </c>
    </row>
    <row r="39" spans="2:11" x14ac:dyDescent="0.35">
      <c r="B39" s="429" t="s">
        <v>1130</v>
      </c>
      <c r="C39" s="2114"/>
      <c r="D39" s="1623">
        <f>+'F13.2'!$X$18</f>
        <v>18.524237946988855</v>
      </c>
      <c r="E39" s="253"/>
      <c r="F39" s="1623">
        <f ca="1">+'F14.2'!$X$18</f>
        <v>12.869218802302996</v>
      </c>
      <c r="G39" s="1624">
        <f t="shared" ref="G39:I41" ca="1" si="0">+D39/$C$37</f>
        <v>2.163763067865081</v>
      </c>
      <c r="H39" s="253"/>
      <c r="I39" s="1624">
        <f t="shared" ca="1" si="0"/>
        <v>1.5032165121386014</v>
      </c>
      <c r="J39" s="1626">
        <f ca="1">+I39/G39-1</f>
        <v>-0.30527674935233118</v>
      </c>
      <c r="K39" s="1626">
        <f ca="1">+F39/D39-1</f>
        <v>-0.30527674935233118</v>
      </c>
    </row>
    <row r="40" spans="2:11" x14ac:dyDescent="0.35">
      <c r="B40" s="164" t="s">
        <v>163</v>
      </c>
      <c r="C40" s="2114"/>
      <c r="D40" s="86"/>
      <c r="E40" s="86"/>
      <c r="F40" s="86"/>
      <c r="G40" s="1624"/>
      <c r="H40" s="86"/>
      <c r="I40" s="1624"/>
      <c r="J40" s="86"/>
      <c r="K40" s="1627"/>
    </row>
    <row r="41" spans="2:11" ht="25.5" x14ac:dyDescent="0.35">
      <c r="B41" s="519" t="s">
        <v>1135</v>
      </c>
      <c r="C41" s="2114"/>
      <c r="D41" s="1623">
        <f>+'F13.2'!$X$51</f>
        <v>6.6213144798214714</v>
      </c>
      <c r="E41" s="253"/>
      <c r="F41" s="1623">
        <f ca="1">+'F14.2'!$X$51</f>
        <v>8.530120647094364</v>
      </c>
      <c r="G41" s="1624">
        <f t="shared" ca="1" si="0"/>
        <v>0.77341674044339614</v>
      </c>
      <c r="H41" s="253"/>
      <c r="I41" s="1624">
        <f t="shared" ca="1" si="0"/>
        <v>0.996378910346291</v>
      </c>
      <c r="J41" s="1626">
        <f ca="1">+I41/G41-1</f>
        <v>0.28828205835714349</v>
      </c>
      <c r="K41" s="1626">
        <f ca="1">+F41/D41-1</f>
        <v>0.28828205835714349</v>
      </c>
    </row>
    <row r="42" spans="2:11" ht="14.25" x14ac:dyDescent="0.35">
      <c r="B42" s="163" t="s">
        <v>365</v>
      </c>
      <c r="C42" s="2115"/>
      <c r="D42" s="253"/>
      <c r="E42" s="253"/>
      <c r="F42" s="253"/>
      <c r="G42" s="253"/>
      <c r="H42" s="253"/>
      <c r="I42" s="253"/>
      <c r="J42" s="254"/>
      <c r="K42" s="254"/>
    </row>
    <row r="43" spans="2:11" x14ac:dyDescent="0.35">
      <c r="B43" s="255"/>
      <c r="C43" s="256"/>
      <c r="D43" s="257"/>
      <c r="E43" s="257"/>
      <c r="F43" s="257"/>
      <c r="G43" s="257"/>
      <c r="H43" s="257"/>
      <c r="I43" s="257"/>
      <c r="J43" s="258"/>
      <c r="K43" s="258"/>
    </row>
    <row r="44" spans="2:11" x14ac:dyDescent="0.35">
      <c r="B44" s="255"/>
      <c r="C44" s="256"/>
      <c r="D44" s="257"/>
      <c r="E44" s="257"/>
      <c r="F44" s="257"/>
      <c r="G44" s="257"/>
      <c r="H44" s="257"/>
      <c r="I44" s="257"/>
      <c r="J44" s="258"/>
      <c r="K44" s="258"/>
    </row>
    <row r="46" spans="2:11" x14ac:dyDescent="0.35">
      <c r="B46" s="39" t="s">
        <v>125</v>
      </c>
    </row>
    <row r="47" spans="2:11" ht="30" customHeight="1" x14ac:dyDescent="0.35">
      <c r="B47" s="2117" t="s">
        <v>699</v>
      </c>
      <c r="C47" s="2116" t="s">
        <v>756</v>
      </c>
      <c r="D47" s="2116" t="s">
        <v>724</v>
      </c>
      <c r="E47" s="2116"/>
      <c r="F47" s="2116"/>
      <c r="G47" s="2116" t="s">
        <v>757</v>
      </c>
      <c r="H47" s="2116"/>
      <c r="I47" s="2116"/>
      <c r="J47" s="2116" t="s">
        <v>758</v>
      </c>
      <c r="K47" s="2116" t="s">
        <v>759</v>
      </c>
    </row>
    <row r="48" spans="2:11" ht="27" x14ac:dyDescent="0.35">
      <c r="B48" s="2117"/>
      <c r="C48" s="2116"/>
      <c r="D48" s="252" t="s">
        <v>760</v>
      </c>
      <c r="E48" s="252" t="s">
        <v>761</v>
      </c>
      <c r="F48" s="252" t="s">
        <v>762</v>
      </c>
      <c r="G48" s="252" t="s">
        <v>760</v>
      </c>
      <c r="H48" s="252" t="s">
        <v>761</v>
      </c>
      <c r="I48" s="252" t="s">
        <v>762</v>
      </c>
      <c r="J48" s="2116"/>
      <c r="K48" s="2116"/>
    </row>
    <row r="49" spans="2:11" x14ac:dyDescent="0.35">
      <c r="B49" s="161" t="s">
        <v>161</v>
      </c>
      <c r="C49" s="2113">
        <f ca="1">+'Gap Adjustment'!$L$124</f>
        <v>8.255514014371192</v>
      </c>
      <c r="D49" s="253"/>
      <c r="E49" s="253"/>
      <c r="F49" s="253"/>
      <c r="G49" s="253"/>
      <c r="H49" s="253"/>
      <c r="I49" s="253"/>
      <c r="J49" s="254"/>
      <c r="K49" s="254"/>
    </row>
    <row r="50" spans="2:11" x14ac:dyDescent="0.35">
      <c r="B50" s="429" t="s">
        <v>1129</v>
      </c>
      <c r="C50" s="2114"/>
      <c r="D50" s="1623">
        <f>+'F13.3'!$X$13</f>
        <v>9.05249254551223</v>
      </c>
      <c r="E50" s="253"/>
      <c r="F50" s="1623">
        <f ca="1">+'F14.3'!$X$13</f>
        <v>8.2553470932351818</v>
      </c>
      <c r="G50" s="1624">
        <f ca="1">+D50/$C$49</f>
        <v>1.0965389350382857</v>
      </c>
      <c r="H50" s="253"/>
      <c r="I50" s="1624">
        <f ca="1">+F50/$C$49</f>
        <v>0.99997978064894333</v>
      </c>
      <c r="J50" s="1626">
        <f ca="1">+I50/G50-1</f>
        <v>-8.8058117504027367E-2</v>
      </c>
      <c r="K50" s="1626">
        <f ca="1">+F50/D50-1</f>
        <v>-8.8058117504027367E-2</v>
      </c>
    </row>
    <row r="51" spans="2:11" x14ac:dyDescent="0.35">
      <c r="B51" s="429" t="s">
        <v>1130</v>
      </c>
      <c r="C51" s="2114"/>
      <c r="D51" s="1623">
        <f>+'F13.3'!$X$18</f>
        <v>18.524237946988855</v>
      </c>
      <c r="E51" s="253"/>
      <c r="F51" s="1623">
        <f ca="1">+'F14.3'!$X$18</f>
        <v>13.117731252594977</v>
      </c>
      <c r="G51" s="1624">
        <f ca="1">+D51/$C$49</f>
        <v>2.2438624554136637</v>
      </c>
      <c r="H51" s="253"/>
      <c r="I51" s="1624">
        <f ca="1">+F51/$C$49</f>
        <v>1.588966020741972</v>
      </c>
      <c r="J51" s="1626">
        <f ca="1">+I51/G51-1</f>
        <v>-0.29186122041110552</v>
      </c>
      <c r="K51" s="1626">
        <f ca="1">+F51/D51-1</f>
        <v>-0.2918612204111054</v>
      </c>
    </row>
    <row r="52" spans="2:11" x14ac:dyDescent="0.35">
      <c r="B52" s="164" t="s">
        <v>163</v>
      </c>
      <c r="C52" s="2114"/>
      <c r="D52" s="86"/>
      <c r="E52" s="86"/>
      <c r="F52" s="86"/>
      <c r="G52" s="1624"/>
      <c r="H52" s="86"/>
      <c r="I52" s="1624"/>
      <c r="J52" s="86"/>
      <c r="K52" s="1627"/>
    </row>
    <row r="53" spans="2:11" ht="25.5" x14ac:dyDescent="0.35">
      <c r="B53" s="519" t="s">
        <v>1135</v>
      </c>
      <c r="C53" s="2114"/>
      <c r="D53" s="1623">
        <f>+'F13.3'!$X$51</f>
        <v>6.6213144798214714</v>
      </c>
      <c r="E53" s="253"/>
      <c r="F53" s="1623">
        <f ca="1">+'F14.3'!$X$51</f>
        <v>8.2824544323859968</v>
      </c>
      <c r="G53" s="1624">
        <f ca="1">+D53/$C$49</f>
        <v>0.80204751252255069</v>
      </c>
      <c r="H53" s="253"/>
      <c r="I53" s="1624">
        <f ca="1">+F53/$C$49</f>
        <v>1.0032633241210549</v>
      </c>
      <c r="J53" s="1626">
        <f ca="1">+I53/G53-1</f>
        <v>0.25087767053307419</v>
      </c>
      <c r="K53" s="1626">
        <f ca="1">+F53/D53-1</f>
        <v>0.25087767053307442</v>
      </c>
    </row>
    <row r="54" spans="2:11" ht="14.25" x14ac:dyDescent="0.35">
      <c r="B54" s="163" t="s">
        <v>365</v>
      </c>
      <c r="C54" s="2115"/>
      <c r="D54" s="253"/>
      <c r="E54" s="253"/>
      <c r="F54" s="253"/>
      <c r="G54" s="253"/>
      <c r="H54" s="253"/>
      <c r="I54" s="253"/>
      <c r="J54" s="254"/>
      <c r="K54" s="254"/>
    </row>
    <row r="55" spans="2:11" x14ac:dyDescent="0.35">
      <c r="B55" s="255"/>
      <c r="C55" s="256"/>
      <c r="D55" s="257"/>
      <c r="E55" s="257"/>
      <c r="F55" s="257"/>
      <c r="G55" s="257"/>
      <c r="H55" s="257"/>
      <c r="I55" s="257"/>
      <c r="J55" s="258"/>
      <c r="K55" s="258"/>
    </row>
    <row r="56" spans="2:11" x14ac:dyDescent="0.35">
      <c r="B56" s="255"/>
      <c r="C56" s="256"/>
      <c r="D56" s="257"/>
      <c r="E56" s="257"/>
      <c r="F56" s="257"/>
      <c r="G56" s="257"/>
      <c r="H56" s="257"/>
      <c r="I56" s="257"/>
      <c r="J56" s="258"/>
      <c r="K56" s="258"/>
    </row>
    <row r="58" spans="2:11" x14ac:dyDescent="0.35">
      <c r="B58" s="39" t="s">
        <v>126</v>
      </c>
    </row>
    <row r="59" spans="2:11" ht="33" customHeight="1" x14ac:dyDescent="0.35">
      <c r="B59" s="2117" t="s">
        <v>699</v>
      </c>
      <c r="C59" s="2116" t="s">
        <v>756</v>
      </c>
      <c r="D59" s="2116" t="s">
        <v>724</v>
      </c>
      <c r="E59" s="2116"/>
      <c r="F59" s="2116"/>
      <c r="G59" s="2116" t="s">
        <v>757</v>
      </c>
      <c r="H59" s="2116"/>
      <c r="I59" s="2116"/>
      <c r="J59" s="2116" t="s">
        <v>758</v>
      </c>
      <c r="K59" s="2116" t="s">
        <v>759</v>
      </c>
    </row>
    <row r="60" spans="2:11" ht="27" x14ac:dyDescent="0.35">
      <c r="B60" s="2117"/>
      <c r="C60" s="2116"/>
      <c r="D60" s="252" t="s">
        <v>760</v>
      </c>
      <c r="E60" s="252" t="s">
        <v>761</v>
      </c>
      <c r="F60" s="252" t="s">
        <v>762</v>
      </c>
      <c r="G60" s="252" t="s">
        <v>760</v>
      </c>
      <c r="H60" s="252" t="s">
        <v>761</v>
      </c>
      <c r="I60" s="252" t="s">
        <v>762</v>
      </c>
      <c r="J60" s="2116"/>
      <c r="K60" s="2116"/>
    </row>
    <row r="61" spans="2:11" x14ac:dyDescent="0.35">
      <c r="B61" s="161" t="s">
        <v>161</v>
      </c>
      <c r="C61" s="2113">
        <f ca="1">+'Gap Adjustment'!$M$124</f>
        <v>8.0361346140446681</v>
      </c>
      <c r="D61" s="253"/>
      <c r="E61" s="253"/>
      <c r="F61" s="253"/>
      <c r="G61" s="253"/>
      <c r="H61" s="253"/>
      <c r="I61" s="253"/>
      <c r="J61" s="254"/>
      <c r="K61" s="254"/>
    </row>
    <row r="62" spans="2:11" x14ac:dyDescent="0.35">
      <c r="B62" s="429" t="s">
        <v>1129</v>
      </c>
      <c r="C62" s="2114"/>
      <c r="D62" s="1623">
        <f>+'F13.4'!$X$13</f>
        <v>9.0125968560102461</v>
      </c>
      <c r="E62" s="253"/>
      <c r="F62" s="1623">
        <f ca="1">+'F14.4'!$X$13</f>
        <v>8.0340188968858879</v>
      </c>
      <c r="G62" s="1624">
        <f ca="1">+D62/$C$61</f>
        <v>1.1215089453901164</v>
      </c>
      <c r="H62" s="253"/>
      <c r="I62" s="1624">
        <f ca="1">+F62/$C$61</f>
        <v>0.99973672452486262</v>
      </c>
      <c r="J62" s="1626">
        <f ca="1">+I62/G62-1</f>
        <v>-0.10857891180073942</v>
      </c>
      <c r="K62" s="1626">
        <f ca="1">+F62/D62-1</f>
        <v>-0.10857891180073942</v>
      </c>
    </row>
    <row r="63" spans="2:11" x14ac:dyDescent="0.35">
      <c r="B63" s="429" t="s">
        <v>1130</v>
      </c>
      <c r="C63" s="2114"/>
      <c r="D63" s="1623">
        <f>+'F13.4'!$X$18</f>
        <v>17.018128434073251</v>
      </c>
      <c r="E63" s="253"/>
      <c r="F63" s="1623">
        <f ca="1">+'F14.4'!$X$18</f>
        <v>11.598322940001616</v>
      </c>
      <c r="G63" s="1624">
        <f ca="1">+D63/$C$61</f>
        <v>2.117700766775465</v>
      </c>
      <c r="H63" s="253"/>
      <c r="I63" s="1624">
        <f ca="1">+F63/$C$61</f>
        <v>1.4432713608021632</v>
      </c>
      <c r="J63" s="1626">
        <f ca="1">+I63/G63-1</f>
        <v>-0.3184724756936399</v>
      </c>
      <c r="K63" s="1626">
        <f ca="1">+F63/D63-1</f>
        <v>-0.3184724756936399</v>
      </c>
    </row>
    <row r="64" spans="2:11" x14ac:dyDescent="0.35">
      <c r="B64" s="164" t="s">
        <v>163</v>
      </c>
      <c r="C64" s="2114"/>
      <c r="D64" s="86"/>
      <c r="E64" s="86"/>
      <c r="F64" s="86"/>
      <c r="G64" s="1624"/>
      <c r="H64" s="86"/>
      <c r="I64" s="1624"/>
      <c r="J64" s="86"/>
      <c r="K64" s="1627"/>
    </row>
    <row r="65" spans="2:11" ht="25.5" x14ac:dyDescent="0.35">
      <c r="B65" s="519" t="s">
        <v>1135</v>
      </c>
      <c r="C65" s="2114"/>
      <c r="D65" s="1623">
        <f>+'F13.4'!$X$51</f>
        <v>6.6159858598661021</v>
      </c>
      <c r="E65" s="253"/>
      <c r="F65" s="1623">
        <f ca="1">+'F14.4'!$X$51</f>
        <v>8.0393728896310748</v>
      </c>
      <c r="G65" s="1624">
        <f ca="1">+D65/$C$61</f>
        <v>0.82327962106351638</v>
      </c>
      <c r="H65" s="253"/>
      <c r="I65" s="1624">
        <f ca="1">+F65/$C$61</f>
        <v>1.0004029643282415</v>
      </c>
      <c r="J65" s="1626">
        <f ca="1">+I65/G65-1</f>
        <v>0.21514360216510209</v>
      </c>
      <c r="K65" s="1626">
        <f ca="1">+F65/D65-1</f>
        <v>0.21514360216510187</v>
      </c>
    </row>
    <row r="66" spans="2:11" ht="14.25" x14ac:dyDescent="0.35">
      <c r="B66" s="163" t="s">
        <v>365</v>
      </c>
      <c r="C66" s="2115"/>
      <c r="D66" s="253"/>
      <c r="E66" s="253"/>
      <c r="F66" s="253"/>
      <c r="G66" s="253"/>
      <c r="H66" s="253"/>
      <c r="I66" s="253"/>
      <c r="J66" s="254"/>
      <c r="K66" s="254"/>
    </row>
    <row r="70" spans="2:11" x14ac:dyDescent="0.35">
      <c r="B70" s="39" t="s">
        <v>127</v>
      </c>
    </row>
    <row r="71" spans="2:11" x14ac:dyDescent="0.35">
      <c r="B71" s="2117" t="s">
        <v>699</v>
      </c>
      <c r="C71" s="2116" t="s">
        <v>756</v>
      </c>
      <c r="D71" s="2116" t="s">
        <v>724</v>
      </c>
      <c r="E71" s="2116"/>
      <c r="F71" s="2116"/>
      <c r="G71" s="2116" t="s">
        <v>757</v>
      </c>
      <c r="H71" s="2116"/>
      <c r="I71" s="2116"/>
      <c r="J71" s="2116" t="s">
        <v>758</v>
      </c>
      <c r="K71" s="2116" t="s">
        <v>759</v>
      </c>
    </row>
    <row r="72" spans="2:11" ht="27" x14ac:dyDescent="0.35">
      <c r="B72" s="2117"/>
      <c r="C72" s="2116"/>
      <c r="D72" s="252" t="s">
        <v>760</v>
      </c>
      <c r="E72" s="252" t="s">
        <v>761</v>
      </c>
      <c r="F72" s="252" t="s">
        <v>762</v>
      </c>
      <c r="G72" s="252" t="s">
        <v>760</v>
      </c>
      <c r="H72" s="252" t="s">
        <v>761</v>
      </c>
      <c r="I72" s="252" t="s">
        <v>762</v>
      </c>
      <c r="J72" s="2116"/>
      <c r="K72" s="2116"/>
    </row>
    <row r="73" spans="2:11" x14ac:dyDescent="0.35">
      <c r="B73" s="161" t="s">
        <v>161</v>
      </c>
      <c r="C73" s="2113">
        <f ca="1">+'Gap Adjustment'!$N$124</f>
        <v>7.8644202201161173</v>
      </c>
      <c r="D73" s="253"/>
      <c r="E73" s="253"/>
      <c r="F73" s="253"/>
      <c r="G73" s="253"/>
      <c r="H73" s="253"/>
      <c r="I73" s="253"/>
      <c r="J73" s="254"/>
      <c r="K73" s="254"/>
    </row>
    <row r="74" spans="2:11" x14ac:dyDescent="0.35">
      <c r="B74" s="429" t="s">
        <v>1129</v>
      </c>
      <c r="C74" s="2114"/>
      <c r="D74" s="1623">
        <f>+'F13.5'!$X$13</f>
        <v>8.9397772331492451</v>
      </c>
      <c r="E74" s="253"/>
      <c r="F74" s="1623">
        <f ca="1">+'F14.5'!$X$13</f>
        <v>7.8690567586435591</v>
      </c>
      <c r="G74" s="1624">
        <f ca="1">+D74/$C$73</f>
        <v>1.136736972711925</v>
      </c>
      <c r="H74" s="253"/>
      <c r="I74" s="1624">
        <f ca="1">+F74/$C$73</f>
        <v>1.0005895588482903</v>
      </c>
      <c r="J74" s="1626">
        <f ca="1">+I74/G74-1</f>
        <v>-0.11977037532158952</v>
      </c>
      <c r="K74" s="1626">
        <f ca="1">+F74/D74-1</f>
        <v>-0.11977037532158952</v>
      </c>
    </row>
    <row r="75" spans="2:11" x14ac:dyDescent="0.35">
      <c r="B75" s="429" t="s">
        <v>1130</v>
      </c>
      <c r="C75" s="2114"/>
      <c r="D75" s="1623">
        <f>+'F13.5'!$X$18</f>
        <v>17.018128434073251</v>
      </c>
      <c r="E75" s="253"/>
      <c r="F75" s="1623">
        <f ca="1">+'F14.5'!$X$18</f>
        <v>11.776012127812653</v>
      </c>
      <c r="G75" s="1624">
        <f ca="1">+D75/$C$73</f>
        <v>2.1639393569716932</v>
      </c>
      <c r="H75" s="253"/>
      <c r="I75" s="1624">
        <f ca="1">+F75/$C$73</f>
        <v>1.497378293404416</v>
      </c>
      <c r="J75" s="1626">
        <f ca="1">+I75/G75-1</f>
        <v>-0.30803130476821239</v>
      </c>
      <c r="K75" s="1626">
        <f ca="1">+F75/D75-1</f>
        <v>-0.30803130476821239</v>
      </c>
    </row>
    <row r="76" spans="2:11" x14ac:dyDescent="0.35">
      <c r="B76" s="164" t="s">
        <v>163</v>
      </c>
      <c r="C76" s="2114"/>
      <c r="D76" s="86"/>
      <c r="E76" s="86"/>
      <c r="F76" s="86"/>
      <c r="G76" s="1624"/>
      <c r="H76" s="86"/>
      <c r="I76" s="1624"/>
      <c r="J76" s="86"/>
      <c r="K76" s="1627"/>
    </row>
    <row r="77" spans="2:11" ht="25.5" x14ac:dyDescent="0.35">
      <c r="B77" s="519" t="s">
        <v>1135</v>
      </c>
      <c r="C77" s="2114"/>
      <c r="D77" s="1623">
        <f>+'F13.5'!$X$51</f>
        <v>6.6159858598661021</v>
      </c>
      <c r="E77" s="253"/>
      <c r="F77" s="1623">
        <f ca="1">+'F14.5'!$X$51</f>
        <v>7.8672504191438559</v>
      </c>
      <c r="G77" s="1624">
        <f ca="1">+D77/$C$73</f>
        <v>0.84125538497336527</v>
      </c>
      <c r="H77" s="253"/>
      <c r="I77" s="1624">
        <f ca="1">+F77/$C$73</f>
        <v>1.0003598738303046</v>
      </c>
      <c r="J77" s="1626">
        <f ca="1">+I77/G77-1</f>
        <v>0.18912745368277983</v>
      </c>
      <c r="K77" s="1626">
        <f ca="1">+F77/D77-1</f>
        <v>0.18912745368278006</v>
      </c>
    </row>
    <row r="78" spans="2:11" ht="14.25" x14ac:dyDescent="0.35">
      <c r="B78" s="163" t="s">
        <v>365</v>
      </c>
      <c r="C78" s="2115"/>
      <c r="D78" s="253"/>
      <c r="E78" s="253"/>
      <c r="F78" s="253"/>
      <c r="G78" s="253"/>
      <c r="H78" s="253"/>
      <c r="I78" s="253"/>
      <c r="J78" s="254"/>
      <c r="K78" s="254"/>
    </row>
  </sheetData>
  <mergeCells count="34">
    <mergeCell ref="K71:K72"/>
    <mergeCell ref="B71:B72"/>
    <mergeCell ref="C71:C72"/>
    <mergeCell ref="D71:F71"/>
    <mergeCell ref="G71:I71"/>
    <mergeCell ref="J71:J72"/>
    <mergeCell ref="C73:C78"/>
    <mergeCell ref="K24:K25"/>
    <mergeCell ref="B24:B25"/>
    <mergeCell ref="C24:C25"/>
    <mergeCell ref="D24:F24"/>
    <mergeCell ref="G24:I24"/>
    <mergeCell ref="J24:J25"/>
    <mergeCell ref="B35:B36"/>
    <mergeCell ref="C35:C36"/>
    <mergeCell ref="D35:F35"/>
    <mergeCell ref="C37:C42"/>
    <mergeCell ref="K35:K36"/>
    <mergeCell ref="B47:B48"/>
    <mergeCell ref="C47:C48"/>
    <mergeCell ref="D47:F47"/>
    <mergeCell ref="G47:I47"/>
    <mergeCell ref="C61:C66"/>
    <mergeCell ref="J47:J48"/>
    <mergeCell ref="K47:K48"/>
    <mergeCell ref="G35:I35"/>
    <mergeCell ref="B59:B60"/>
    <mergeCell ref="C59:C60"/>
    <mergeCell ref="D59:F59"/>
    <mergeCell ref="G59:I59"/>
    <mergeCell ref="J35:J36"/>
    <mergeCell ref="J59:J60"/>
    <mergeCell ref="C49:C54"/>
    <mergeCell ref="K59:K60"/>
  </mergeCells>
  <pageMargins left="1.0236220472440944" right="0.23622047244094491" top="0.98425196850393704" bottom="0.98425196850393704" header="0.23622047244094491" footer="0.23622047244094491"/>
  <pageSetup paperSize="9" scale="43" orientation="landscape" r:id="rId1"/>
  <headerFooter alignWithMargins="0">
    <oddHeader>&amp;F</oddHeader>
  </headerFooter>
  <colBreaks count="1" manualBreakCount="1">
    <brk id="12" max="1048575" man="1"/>
  </col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AI169"/>
  <sheetViews>
    <sheetView showGridLines="0" view="pageBreakPreview" topLeftCell="F153" zoomScale="60" zoomScaleNormal="70" zoomScaleSheetLayoutView="70" workbookViewId="0">
      <selection activeCell="AD58" sqref="AD58:AF70"/>
    </sheetView>
  </sheetViews>
  <sheetFormatPr defaultColWidth="9.33203125" defaultRowHeight="13.9" x14ac:dyDescent="0.35"/>
  <cols>
    <col min="1" max="1" width="6.6640625" style="50" customWidth="1"/>
    <col min="2" max="2" width="28.46484375" style="50" customWidth="1"/>
    <col min="3" max="6" width="10.46484375" style="421" customWidth="1"/>
    <col min="7" max="16" width="10.46484375" style="50" customWidth="1"/>
    <col min="17" max="17" width="11.19921875" style="50" bestFit="1" customWidth="1"/>
    <col min="18" max="32" width="10.46484375" style="50" customWidth="1"/>
    <col min="33" max="33" width="9.33203125" style="50"/>
    <col min="34" max="34" width="12.53125" style="50" bestFit="1" customWidth="1"/>
    <col min="35" max="35" width="12.86328125" style="50" bestFit="1" customWidth="1"/>
    <col min="36" max="16384" width="9.33203125" style="50"/>
  </cols>
  <sheetData>
    <row r="1" spans="2:32" x14ac:dyDescent="0.35">
      <c r="C1" s="420"/>
    </row>
    <row r="2" spans="2:32" x14ac:dyDescent="0.35">
      <c r="B2" s="2148" t="s">
        <v>106</v>
      </c>
      <c r="C2" s="2148"/>
      <c r="D2" s="2148"/>
      <c r="E2" s="2148"/>
      <c r="F2" s="2148"/>
      <c r="G2" s="2148"/>
      <c r="H2" s="2148"/>
      <c r="I2" s="2148"/>
      <c r="J2" s="2148"/>
      <c r="K2" s="2148"/>
      <c r="L2" s="2148"/>
      <c r="M2" s="2148"/>
      <c r="N2" s="2148"/>
      <c r="O2" s="2148"/>
      <c r="P2" s="2148"/>
      <c r="Q2" s="2148"/>
      <c r="R2" s="2148"/>
      <c r="S2" s="2148"/>
    </row>
    <row r="3" spans="2:32" s="213" customFormat="1" x14ac:dyDescent="0.4">
      <c r="B3" s="2070" t="s">
        <v>211</v>
      </c>
      <c r="C3" s="2070"/>
      <c r="D3" s="2070"/>
      <c r="E3" s="2070"/>
      <c r="F3" s="2070"/>
      <c r="G3" s="2070"/>
      <c r="H3" s="2070"/>
      <c r="I3" s="2070"/>
      <c r="J3" s="2070"/>
      <c r="K3" s="2070"/>
      <c r="L3" s="2070"/>
      <c r="M3" s="2070"/>
      <c r="N3" s="2070"/>
      <c r="O3" s="2070"/>
      <c r="P3" s="2070"/>
      <c r="Q3" s="2070"/>
      <c r="R3" s="2070"/>
      <c r="S3" s="2070"/>
    </row>
    <row r="4" spans="2:32" s="213" customFormat="1" x14ac:dyDescent="0.4">
      <c r="B4" s="2149" t="s">
        <v>1826</v>
      </c>
      <c r="C4" s="2149"/>
      <c r="D4" s="2149"/>
      <c r="E4" s="2149"/>
      <c r="F4" s="2149"/>
      <c r="G4" s="2149"/>
      <c r="H4" s="2149"/>
      <c r="I4" s="2149"/>
      <c r="J4" s="2149"/>
      <c r="K4" s="2149"/>
      <c r="L4" s="2149"/>
      <c r="M4" s="2149"/>
      <c r="N4" s="2149"/>
      <c r="O4" s="2149"/>
      <c r="P4" s="2149"/>
      <c r="Q4" s="2149"/>
      <c r="R4" s="2149"/>
      <c r="S4" s="2149"/>
    </row>
    <row r="5" spans="2:32" x14ac:dyDescent="0.35">
      <c r="D5" s="422"/>
    </row>
    <row r="6" spans="2:32" x14ac:dyDescent="0.35">
      <c r="B6" s="423" t="s">
        <v>1113</v>
      </c>
    </row>
    <row r="7" spans="2:32" x14ac:dyDescent="0.35">
      <c r="B7" s="423"/>
    </row>
    <row r="8" spans="2:32" ht="13.8" customHeight="1" x14ac:dyDescent="0.35">
      <c r="B8" s="2118" t="s">
        <v>699</v>
      </c>
      <c r="C8" s="2121" t="s">
        <v>764</v>
      </c>
      <c r="D8" s="2122"/>
      <c r="E8" s="2123"/>
      <c r="F8" s="2124" t="s">
        <v>765</v>
      </c>
      <c r="G8" s="2121" t="s">
        <v>308</v>
      </c>
      <c r="H8" s="2122"/>
      <c r="I8" s="2122"/>
      <c r="J8" s="2122"/>
      <c r="K8" s="2123"/>
      <c r="L8" s="2127" t="s">
        <v>766</v>
      </c>
      <c r="M8" s="2127"/>
      <c r="N8" s="2127"/>
      <c r="O8" s="2127" t="s">
        <v>767</v>
      </c>
      <c r="P8" s="2127"/>
      <c r="Q8" s="2127"/>
      <c r="R8" s="2127" t="s">
        <v>768</v>
      </c>
      <c r="S8" s="2127"/>
      <c r="T8" s="2127"/>
      <c r="U8" s="2127" t="s">
        <v>769</v>
      </c>
      <c r="V8" s="2127"/>
      <c r="W8" s="2127"/>
      <c r="X8" s="2127" t="s">
        <v>770</v>
      </c>
      <c r="Y8" s="2127"/>
      <c r="Z8" s="2127"/>
      <c r="AA8" s="2127" t="s">
        <v>771</v>
      </c>
      <c r="AB8" s="2127"/>
      <c r="AC8" s="2127"/>
      <c r="AD8" s="2127" t="s">
        <v>772</v>
      </c>
      <c r="AE8" s="2127"/>
      <c r="AF8" s="2127"/>
    </row>
    <row r="9" spans="2:32" ht="13.8" customHeight="1" x14ac:dyDescent="0.35">
      <c r="B9" s="2119"/>
      <c r="C9" s="2128" t="s">
        <v>773</v>
      </c>
      <c r="D9" s="2128" t="s">
        <v>774</v>
      </c>
      <c r="E9" s="2128" t="s">
        <v>164</v>
      </c>
      <c r="F9" s="2125"/>
      <c r="G9" s="2121" t="s">
        <v>775</v>
      </c>
      <c r="H9" s="2122"/>
      <c r="I9" s="2123"/>
      <c r="J9" s="2128" t="s">
        <v>776</v>
      </c>
      <c r="K9" s="2128" t="s">
        <v>777</v>
      </c>
      <c r="L9" s="2128" t="s">
        <v>778</v>
      </c>
      <c r="M9" s="2128" t="s">
        <v>779</v>
      </c>
      <c r="N9" s="2128" t="s">
        <v>164</v>
      </c>
      <c r="O9" s="2128" t="s">
        <v>778</v>
      </c>
      <c r="P9" s="2128" t="s">
        <v>779</v>
      </c>
      <c r="Q9" s="2128" t="s">
        <v>164</v>
      </c>
      <c r="R9" s="2128" t="s">
        <v>778</v>
      </c>
      <c r="S9" s="2128" t="s">
        <v>779</v>
      </c>
      <c r="T9" s="2128" t="s">
        <v>164</v>
      </c>
      <c r="U9" s="2128" t="s">
        <v>778</v>
      </c>
      <c r="V9" s="2128" t="s">
        <v>779</v>
      </c>
      <c r="W9" s="2128" t="s">
        <v>164</v>
      </c>
      <c r="X9" s="2128" t="s">
        <v>778</v>
      </c>
      <c r="Y9" s="2128" t="s">
        <v>779</v>
      </c>
      <c r="Z9" s="2128" t="s">
        <v>164</v>
      </c>
      <c r="AA9" s="2128" t="s">
        <v>778</v>
      </c>
      <c r="AB9" s="2128" t="s">
        <v>779</v>
      </c>
      <c r="AC9" s="2128" t="s">
        <v>164</v>
      </c>
      <c r="AD9" s="2128" t="s">
        <v>778</v>
      </c>
      <c r="AE9" s="2128" t="s">
        <v>779</v>
      </c>
      <c r="AF9" s="2128" t="s">
        <v>164</v>
      </c>
    </row>
    <row r="10" spans="2:32" ht="38.25" x14ac:dyDescent="0.35">
      <c r="B10" s="2120"/>
      <c r="C10" s="2129"/>
      <c r="D10" s="2129"/>
      <c r="E10" s="2129"/>
      <c r="F10" s="2126"/>
      <c r="G10" s="433" t="s">
        <v>780</v>
      </c>
      <c r="H10" s="433" t="s">
        <v>781</v>
      </c>
      <c r="I10" s="433" t="s">
        <v>164</v>
      </c>
      <c r="J10" s="2129"/>
      <c r="K10" s="2129"/>
      <c r="L10" s="2129"/>
      <c r="M10" s="2129"/>
      <c r="N10" s="2129"/>
      <c r="O10" s="2129"/>
      <c r="P10" s="2129"/>
      <c r="Q10" s="2129"/>
      <c r="R10" s="2129"/>
      <c r="S10" s="2129"/>
      <c r="T10" s="2129"/>
      <c r="U10" s="2129"/>
      <c r="V10" s="2129"/>
      <c r="W10" s="2129"/>
      <c r="X10" s="2129"/>
      <c r="Y10" s="2129"/>
      <c r="Z10" s="2129"/>
      <c r="AA10" s="2129"/>
      <c r="AB10" s="2129"/>
      <c r="AC10" s="2129"/>
      <c r="AD10" s="2129"/>
      <c r="AE10" s="2129"/>
      <c r="AF10" s="2129"/>
    </row>
    <row r="11" spans="2:32" x14ac:dyDescent="0.35">
      <c r="B11" s="1654" t="s">
        <v>161</v>
      </c>
      <c r="C11" s="382"/>
      <c r="D11" s="382"/>
      <c r="E11" s="382"/>
      <c r="F11" s="2147">
        <f>+'F1.3'!E14</f>
        <v>1.2759</v>
      </c>
      <c r="G11" s="1630"/>
      <c r="H11" s="1630"/>
      <c r="I11" s="1630"/>
      <c r="J11" s="435"/>
      <c r="K11" s="435"/>
      <c r="L11" s="1631"/>
      <c r="M11" s="1628"/>
      <c r="N11" s="1628"/>
      <c r="O11" s="1628"/>
      <c r="P11" s="1628"/>
      <c r="Q11" s="1628"/>
      <c r="R11" s="435"/>
      <c r="S11" s="435"/>
      <c r="T11" s="435"/>
      <c r="U11" s="435"/>
      <c r="V11" s="435"/>
      <c r="W11" s="435"/>
      <c r="X11" s="435"/>
      <c r="Y11" s="435"/>
      <c r="Z11" s="435"/>
      <c r="AA11" s="2132">
        <f>+G24/$F$11</f>
        <v>0.9262863860804138</v>
      </c>
      <c r="AB11" s="2135"/>
      <c r="AC11" s="2132">
        <f>+I24/$F$11</f>
        <v>0.9262863860804138</v>
      </c>
      <c r="AD11" s="435"/>
      <c r="AE11" s="435"/>
      <c r="AF11" s="435"/>
    </row>
    <row r="12" spans="2:32" x14ac:dyDescent="0.35">
      <c r="B12" s="1655" t="s">
        <v>1552</v>
      </c>
      <c r="C12" s="1632">
        <f>+'F13'!C11</f>
        <v>0</v>
      </c>
      <c r="D12" s="466">
        <v>0</v>
      </c>
      <c r="E12" s="1632">
        <f>C12+D12</f>
        <v>0</v>
      </c>
      <c r="F12" s="2147"/>
      <c r="G12" s="1648">
        <f>+'F13'!D11</f>
        <v>0</v>
      </c>
      <c r="H12" s="1633">
        <v>0</v>
      </c>
      <c r="I12" s="1630">
        <f>+G12+H12</f>
        <v>0</v>
      </c>
      <c r="J12" s="1633">
        <v>0</v>
      </c>
      <c r="K12" s="498">
        <f>I12+J12</f>
        <v>0</v>
      </c>
      <c r="L12" s="1631"/>
      <c r="M12" s="1634"/>
      <c r="N12" s="1628">
        <f>L12+M12</f>
        <v>0</v>
      </c>
      <c r="O12" s="1628">
        <v>0</v>
      </c>
      <c r="P12" s="1634"/>
      <c r="Q12" s="1628">
        <f>O12+P12</f>
        <v>0</v>
      </c>
      <c r="R12" s="435"/>
      <c r="S12" s="435"/>
      <c r="T12" s="435"/>
      <c r="U12" s="493"/>
      <c r="V12" s="493"/>
      <c r="W12" s="1631">
        <f>U12+V12</f>
        <v>0</v>
      </c>
      <c r="X12" s="1635">
        <f>L12+U12-O12</f>
        <v>0</v>
      </c>
      <c r="Y12" s="1635">
        <f>M12+V12-P12</f>
        <v>0</v>
      </c>
      <c r="Z12" s="1631">
        <f>X12+Y12</f>
        <v>0</v>
      </c>
      <c r="AA12" s="2133"/>
      <c r="AB12" s="2136"/>
      <c r="AC12" s="2133"/>
      <c r="AD12" s="1636">
        <f>IFERROR(Q12/N12,0)</f>
        <v>0</v>
      </c>
      <c r="AE12" s="435">
        <v>0</v>
      </c>
      <c r="AF12" s="1637">
        <f>AD12+AE12</f>
        <v>0</v>
      </c>
    </row>
    <row r="13" spans="2:32" x14ac:dyDescent="0.35">
      <c r="B13" s="1655" t="s">
        <v>1827</v>
      </c>
      <c r="C13" s="1632">
        <f>+'F13'!C12</f>
        <v>3</v>
      </c>
      <c r="D13" s="466">
        <v>0</v>
      </c>
      <c r="E13" s="1632">
        <f>C13+D13</f>
        <v>3</v>
      </c>
      <c r="F13" s="2147"/>
      <c r="G13" s="1648">
        <f>+'F13'!D12</f>
        <v>1.0070348</v>
      </c>
      <c r="H13" s="1633">
        <v>0</v>
      </c>
      <c r="I13" s="1630">
        <f>+G13+H13</f>
        <v>1.0070348</v>
      </c>
      <c r="J13" s="1633">
        <v>0</v>
      </c>
      <c r="K13" s="498">
        <f>I13+J13</f>
        <v>1.0070348</v>
      </c>
      <c r="L13" s="1631">
        <v>1.654519767</v>
      </c>
      <c r="M13" s="1634"/>
      <c r="N13" s="1628">
        <f>L13+M13</f>
        <v>1.654519767</v>
      </c>
      <c r="O13" s="1628">
        <f>1.346281525-0.1454</f>
        <v>1.200881525</v>
      </c>
      <c r="P13" s="1634"/>
      <c r="Q13" s="1628">
        <f>O13+P13</f>
        <v>1.200881525</v>
      </c>
      <c r="R13" s="435"/>
      <c r="S13" s="435"/>
      <c r="T13" s="435"/>
      <c r="U13" s="493"/>
      <c r="V13" s="493"/>
      <c r="W13" s="1631">
        <f>U13+V13</f>
        <v>0</v>
      </c>
      <c r="X13" s="1635">
        <f>L13+U13-O13</f>
        <v>0.45363824200000002</v>
      </c>
      <c r="Y13" s="1635">
        <f>M13+V13-P13</f>
        <v>0</v>
      </c>
      <c r="Z13" s="1631">
        <f>X13+Y13</f>
        <v>0.45363824200000002</v>
      </c>
      <c r="AA13" s="2133"/>
      <c r="AB13" s="2136"/>
      <c r="AC13" s="2133"/>
      <c r="AD13" s="1636">
        <f>IFERROR(Q13/N13,0)</f>
        <v>0.72581878376554931</v>
      </c>
      <c r="AE13" s="435">
        <v>0</v>
      </c>
      <c r="AF13" s="1637">
        <f t="shared" ref="AF13:AF24" si="0">AD13+AE13</f>
        <v>0.72581878376554931</v>
      </c>
    </row>
    <row r="14" spans="2:32" x14ac:dyDescent="0.35">
      <c r="B14" s="1655" t="s">
        <v>1828</v>
      </c>
      <c r="C14" s="1632"/>
      <c r="D14" s="466"/>
      <c r="E14" s="1632"/>
      <c r="F14" s="2147"/>
      <c r="G14" s="1648"/>
      <c r="H14" s="1633"/>
      <c r="I14" s="1630"/>
      <c r="J14" s="1633"/>
      <c r="K14" s="498"/>
      <c r="L14" s="1631"/>
      <c r="M14" s="1634"/>
      <c r="N14" s="1628"/>
      <c r="O14" s="1628"/>
      <c r="P14" s="1634"/>
      <c r="Q14" s="1628"/>
      <c r="R14" s="435"/>
      <c r="S14" s="435"/>
      <c r="T14" s="435"/>
      <c r="U14" s="493"/>
      <c r="V14" s="493"/>
      <c r="W14" s="1631"/>
      <c r="X14" s="1635"/>
      <c r="Y14" s="1635"/>
      <c r="Z14" s="1631"/>
      <c r="AA14" s="2133"/>
      <c r="AB14" s="2136"/>
      <c r="AC14" s="2133"/>
      <c r="AD14" s="1636"/>
      <c r="AE14" s="435"/>
      <c r="AF14" s="1637"/>
    </row>
    <row r="15" spans="2:32" x14ac:dyDescent="0.35">
      <c r="B15" s="417" t="s">
        <v>1105</v>
      </c>
      <c r="C15" s="1638">
        <f>SUM(C12:C13)</f>
        <v>3</v>
      </c>
      <c r="D15" s="1638">
        <v>0</v>
      </c>
      <c r="E15" s="1638">
        <f>SUM(E12:E13)</f>
        <v>3</v>
      </c>
      <c r="F15" s="2147"/>
      <c r="G15" s="1649">
        <f>SUM(G12:G13)</f>
        <v>1.0070348</v>
      </c>
      <c r="H15" s="1639">
        <v>0</v>
      </c>
      <c r="I15" s="1639">
        <f>SUM(I12:I13)</f>
        <v>1.0070348</v>
      </c>
      <c r="J15" s="1639">
        <v>0</v>
      </c>
      <c r="K15" s="1639">
        <f>SUM(K12:K13)</f>
        <v>1.0070348</v>
      </c>
      <c r="L15" s="1640">
        <f>SUM(L12:L13)</f>
        <v>1.654519767</v>
      </c>
      <c r="M15" s="1641">
        <v>0</v>
      </c>
      <c r="N15" s="1629">
        <f>SUM(N12:N13)</f>
        <v>1.654519767</v>
      </c>
      <c r="O15" s="1629">
        <f>SUM(O12:O13)</f>
        <v>1.200881525</v>
      </c>
      <c r="P15" s="1641">
        <v>0</v>
      </c>
      <c r="Q15" s="1629">
        <f>SUM(Q12:Q13)</f>
        <v>1.200881525</v>
      </c>
      <c r="R15" s="419"/>
      <c r="S15" s="419"/>
      <c r="T15" s="419"/>
      <c r="U15" s="500"/>
      <c r="V15" s="500"/>
      <c r="W15" s="1640">
        <f>SUM(W12:W13)</f>
        <v>0</v>
      </c>
      <c r="X15" s="1642">
        <f>SUM(X12:X13)</f>
        <v>0.45363824200000002</v>
      </c>
      <c r="Y15" s="1643">
        <f>SUM(Y12:Y13)</f>
        <v>0</v>
      </c>
      <c r="Z15" s="1640">
        <f>SUM(Z12:Z13)</f>
        <v>0.45363824200000002</v>
      </c>
      <c r="AA15" s="2133"/>
      <c r="AB15" s="2136"/>
      <c r="AC15" s="2133"/>
      <c r="AD15" s="1644">
        <f>Q15/N15</f>
        <v>0.72581878376554931</v>
      </c>
      <c r="AE15" s="435">
        <v>0</v>
      </c>
      <c r="AF15" s="1645">
        <f t="shared" si="0"/>
        <v>0.72581878376554931</v>
      </c>
    </row>
    <row r="16" spans="2:32" x14ac:dyDescent="0.35">
      <c r="B16" s="1656"/>
      <c r="C16" s="382"/>
      <c r="D16" s="382"/>
      <c r="E16" s="382"/>
      <c r="F16" s="2147"/>
      <c r="G16" s="1648"/>
      <c r="H16" s="1630"/>
      <c r="I16" s="1630"/>
      <c r="J16" s="1630"/>
      <c r="K16" s="498"/>
      <c r="L16" s="1631"/>
      <c r="M16" s="1646"/>
      <c r="N16" s="1628"/>
      <c r="O16" s="1628"/>
      <c r="P16" s="1646"/>
      <c r="Q16" s="1628"/>
      <c r="R16" s="435"/>
      <c r="S16" s="435"/>
      <c r="T16" s="435"/>
      <c r="U16" s="493"/>
      <c r="V16" s="493"/>
      <c r="W16" s="1628"/>
      <c r="X16" s="1635"/>
      <c r="Y16" s="1647"/>
      <c r="Z16" s="1628"/>
      <c r="AA16" s="2133"/>
      <c r="AB16" s="2136"/>
      <c r="AC16" s="2133"/>
      <c r="AD16" s="1636"/>
      <c r="AE16" s="435"/>
      <c r="AF16" s="1637"/>
    </row>
    <row r="17" spans="2:34" x14ac:dyDescent="0.35">
      <c r="B17" s="1656" t="s">
        <v>163</v>
      </c>
      <c r="C17" s="382"/>
      <c r="D17" s="382"/>
      <c r="E17" s="382"/>
      <c r="F17" s="2147"/>
      <c r="G17" s="1648"/>
      <c r="H17" s="1630"/>
      <c r="I17" s="1630"/>
      <c r="J17" s="1630"/>
      <c r="K17" s="498"/>
      <c r="L17" s="1631"/>
      <c r="M17" s="1646"/>
      <c r="N17" s="1628"/>
      <c r="O17" s="1628"/>
      <c r="P17" s="1646"/>
      <c r="Q17" s="1628"/>
      <c r="R17" s="435"/>
      <c r="S17" s="435"/>
      <c r="T17" s="435"/>
      <c r="U17" s="493"/>
      <c r="V17" s="493"/>
      <c r="W17" s="1628"/>
      <c r="X17" s="1635"/>
      <c r="Y17" s="1647"/>
      <c r="Z17" s="1628"/>
      <c r="AA17" s="2133"/>
      <c r="AB17" s="2136"/>
      <c r="AC17" s="2133"/>
      <c r="AD17" s="1636"/>
      <c r="AE17" s="435"/>
      <c r="AF17" s="1637"/>
    </row>
    <row r="18" spans="2:34" x14ac:dyDescent="0.35">
      <c r="B18" s="1655" t="s">
        <v>1554</v>
      </c>
      <c r="C18" s="1632">
        <f>+SUM('F13'!C18:C22)</f>
        <v>133</v>
      </c>
      <c r="D18" s="788">
        <v>0</v>
      </c>
      <c r="E18" s="1632">
        <f>C18+D18</f>
        <v>133</v>
      </c>
      <c r="F18" s="2147"/>
      <c r="G18" s="1648">
        <f>+SUM('F13'!D18:D22)</f>
        <v>0.118989</v>
      </c>
      <c r="H18" s="1633">
        <v>0</v>
      </c>
      <c r="I18" s="1630">
        <f>+G18+H18</f>
        <v>0.118989</v>
      </c>
      <c r="J18" s="1633">
        <v>0</v>
      </c>
      <c r="K18" s="498">
        <f>I18+J18</f>
        <v>0.118989</v>
      </c>
      <c r="L18" s="1631">
        <v>0.15171325599999999</v>
      </c>
      <c r="M18" s="1634"/>
      <c r="N18" s="1628">
        <f>L18+M18</f>
        <v>0.15171325599999999</v>
      </c>
      <c r="O18" s="1628">
        <v>0.12106550000000001</v>
      </c>
      <c r="P18" s="1634"/>
      <c r="Q18" s="1628">
        <f>O18+P18</f>
        <v>0.12106550000000001</v>
      </c>
      <c r="R18" s="435"/>
      <c r="S18" s="435"/>
      <c r="T18" s="435"/>
      <c r="U18" s="493"/>
      <c r="V18" s="493"/>
      <c r="W18" s="1628">
        <f>U18+V18</f>
        <v>0</v>
      </c>
      <c r="X18" s="1635">
        <f>L18+U18-O18</f>
        <v>3.0647755999999984E-2</v>
      </c>
      <c r="Y18" s="1635">
        <f>M18+V18-P18</f>
        <v>0</v>
      </c>
      <c r="Z18" s="1628">
        <f>X18+Y18</f>
        <v>3.0647755999999984E-2</v>
      </c>
      <c r="AA18" s="2133"/>
      <c r="AB18" s="2136"/>
      <c r="AC18" s="2133"/>
      <c r="AD18" s="1636">
        <f>IFERROR(Q18/N18,0)</f>
        <v>0.79798893776295998</v>
      </c>
      <c r="AE18" s="435">
        <v>0</v>
      </c>
      <c r="AF18" s="1637">
        <f t="shared" si="0"/>
        <v>0.79798893776295998</v>
      </c>
    </row>
    <row r="19" spans="2:34" x14ac:dyDescent="0.35">
      <c r="B19" s="1655" t="s">
        <v>1829</v>
      </c>
      <c r="C19" s="1632">
        <f>SUM('F13'!C24:C26)</f>
        <v>0</v>
      </c>
      <c r="D19" s="788">
        <v>0</v>
      </c>
      <c r="E19" s="1632">
        <f>C19+D19</f>
        <v>0</v>
      </c>
      <c r="F19" s="2147"/>
      <c r="G19" s="1648">
        <f>SUM('F13'!D24:D26)</f>
        <v>0</v>
      </c>
      <c r="H19" s="1633">
        <v>0</v>
      </c>
      <c r="I19" s="1630">
        <f>+G19+H19</f>
        <v>0</v>
      </c>
      <c r="J19" s="1633">
        <v>0</v>
      </c>
      <c r="K19" s="498">
        <f>I19+J19</f>
        <v>0</v>
      </c>
      <c r="L19" s="1631">
        <v>0</v>
      </c>
      <c r="M19" s="1634"/>
      <c r="N19" s="1628">
        <f>L19+M19</f>
        <v>0</v>
      </c>
      <c r="O19" s="1628"/>
      <c r="P19" s="1634"/>
      <c r="Q19" s="1628">
        <f>O19+P19</f>
        <v>0</v>
      </c>
      <c r="R19" s="435"/>
      <c r="S19" s="435"/>
      <c r="T19" s="435"/>
      <c r="U19" s="493"/>
      <c r="V19" s="493"/>
      <c r="W19" s="1628">
        <f>U19+V19</f>
        <v>0</v>
      </c>
      <c r="X19" s="1635">
        <f>L19+U19-O19</f>
        <v>0</v>
      </c>
      <c r="Y19" s="1635">
        <f>M19+V19-P19</f>
        <v>0</v>
      </c>
      <c r="Z19" s="1628">
        <f>X19+Y19</f>
        <v>0</v>
      </c>
      <c r="AA19" s="2133"/>
      <c r="AB19" s="2136"/>
      <c r="AC19" s="2133"/>
      <c r="AD19" s="1636">
        <f>IFERROR(Q19/N19,0)</f>
        <v>0</v>
      </c>
      <c r="AE19" s="435">
        <v>0</v>
      </c>
      <c r="AF19" s="1637">
        <f t="shared" si="0"/>
        <v>0</v>
      </c>
    </row>
    <row r="20" spans="2:34" x14ac:dyDescent="0.35">
      <c r="B20" s="1655" t="s">
        <v>1830</v>
      </c>
      <c r="C20" s="1632"/>
      <c r="D20" s="788"/>
      <c r="E20" s="1632"/>
      <c r="F20" s="2147"/>
      <c r="G20" s="1648"/>
      <c r="H20" s="1633"/>
      <c r="I20" s="1630"/>
      <c r="J20" s="1633"/>
      <c r="K20" s="498"/>
      <c r="L20" s="1631"/>
      <c r="M20" s="1634"/>
      <c r="N20" s="1628"/>
      <c r="O20" s="1628"/>
      <c r="P20" s="1634"/>
      <c r="Q20" s="1628"/>
      <c r="R20" s="435"/>
      <c r="S20" s="435"/>
      <c r="T20" s="435"/>
      <c r="U20" s="493"/>
      <c r="V20" s="493"/>
      <c r="W20" s="1628"/>
      <c r="X20" s="1635"/>
      <c r="Y20" s="1635"/>
      <c r="Z20" s="1628"/>
      <c r="AA20" s="2133"/>
      <c r="AB20" s="2136"/>
      <c r="AC20" s="2133"/>
      <c r="AD20" s="1636"/>
      <c r="AE20" s="435"/>
      <c r="AF20" s="1637"/>
    </row>
    <row r="21" spans="2:34" x14ac:dyDescent="0.35">
      <c r="B21" s="1655" t="s">
        <v>1831</v>
      </c>
      <c r="C21" s="1632">
        <f>+'F13'!C28</f>
        <v>3</v>
      </c>
      <c r="D21" s="788">
        <v>0</v>
      </c>
      <c r="E21" s="1632">
        <f>C21+D21</f>
        <v>3</v>
      </c>
      <c r="F21" s="2147"/>
      <c r="G21" s="1648">
        <f>+'F13'!D28</f>
        <v>5.5825E-2</v>
      </c>
      <c r="H21" s="1633">
        <v>0</v>
      </c>
      <c r="I21" s="1630">
        <f>+G21+H21</f>
        <v>5.5825E-2</v>
      </c>
      <c r="J21" s="1633">
        <v>0</v>
      </c>
      <c r="K21" s="498">
        <f>I21+J21</f>
        <v>5.5825E-2</v>
      </c>
      <c r="L21" s="1631">
        <v>3.0085259999999999E-2</v>
      </c>
      <c r="M21" s="1634"/>
      <c r="N21" s="1628">
        <f>L21+M21</f>
        <v>3.0085259999999999E-2</v>
      </c>
      <c r="O21" s="1628">
        <v>3.0085479999999998E-2</v>
      </c>
      <c r="P21" s="1634"/>
      <c r="Q21" s="1628">
        <f>O21+P21</f>
        <v>3.0085479999999998E-2</v>
      </c>
      <c r="R21" s="419"/>
      <c r="S21" s="419"/>
      <c r="T21" s="419"/>
      <c r="U21" s="493"/>
      <c r="V21" s="493"/>
      <c r="W21" s="1628">
        <f>U21+V21</f>
        <v>0</v>
      </c>
      <c r="X21" s="1635">
        <f>L21+U21-O21</f>
        <v>-2.1999999999869346E-7</v>
      </c>
      <c r="Y21" s="1635">
        <f>M21+V21-P21</f>
        <v>0</v>
      </c>
      <c r="Z21" s="1628">
        <f>X21+Y21</f>
        <v>-2.1999999999869346E-7</v>
      </c>
      <c r="AA21" s="2133"/>
      <c r="AB21" s="2136"/>
      <c r="AC21" s="2133"/>
      <c r="AD21" s="1636">
        <f>IFERROR(Q21/N21,0)</f>
        <v>1.0000073125510631</v>
      </c>
      <c r="AE21" s="435">
        <v>0</v>
      </c>
      <c r="AF21" s="1637">
        <f t="shared" si="0"/>
        <v>1.0000073125510631</v>
      </c>
    </row>
    <row r="22" spans="2:34" x14ac:dyDescent="0.35">
      <c r="B22" s="428" t="s">
        <v>1832</v>
      </c>
      <c r="C22" s="1632"/>
      <c r="D22" s="788">
        <v>0</v>
      </c>
      <c r="E22" s="1632">
        <f>C22+D22</f>
        <v>0</v>
      </c>
      <c r="F22" s="2147"/>
      <c r="G22" s="1648"/>
      <c r="H22" s="1633">
        <v>0</v>
      </c>
      <c r="I22" s="1630">
        <f>+G22+H22</f>
        <v>0</v>
      </c>
      <c r="J22" s="1633">
        <v>0</v>
      </c>
      <c r="K22" s="498">
        <f>I22+J22</f>
        <v>0</v>
      </c>
      <c r="L22" s="1631">
        <v>0</v>
      </c>
      <c r="M22" s="1634"/>
      <c r="N22" s="1628">
        <f>L22+M22</f>
        <v>0</v>
      </c>
      <c r="O22" s="1628">
        <v>0</v>
      </c>
      <c r="P22" s="1634"/>
      <c r="Q22" s="1628">
        <f>O22+P22</f>
        <v>0</v>
      </c>
      <c r="R22" s="435"/>
      <c r="S22" s="435"/>
      <c r="T22" s="435"/>
      <c r="U22" s="493"/>
      <c r="V22" s="493"/>
      <c r="W22" s="1628">
        <f>U22+V22</f>
        <v>0</v>
      </c>
      <c r="X22" s="1635">
        <f>L22+U22-O22</f>
        <v>0</v>
      </c>
      <c r="Y22" s="1635">
        <f>M22+V22-P22</f>
        <v>0</v>
      </c>
      <c r="Z22" s="1628">
        <f>X22+Y22</f>
        <v>0</v>
      </c>
      <c r="AA22" s="2133"/>
      <c r="AB22" s="2136"/>
      <c r="AC22" s="2133"/>
      <c r="AD22" s="1636">
        <f>IFERROR(Q22/N22,0)</f>
        <v>0</v>
      </c>
      <c r="AE22" s="435">
        <v>0</v>
      </c>
      <c r="AF22" s="1637">
        <f t="shared" si="0"/>
        <v>0</v>
      </c>
    </row>
    <row r="23" spans="2:34" x14ac:dyDescent="0.35">
      <c r="B23" s="417" t="s">
        <v>1112</v>
      </c>
      <c r="C23" s="1638">
        <f>SUM(C18:C22)</f>
        <v>136</v>
      </c>
      <c r="D23" s="1638">
        <v>0</v>
      </c>
      <c r="E23" s="1638">
        <f>SUM(E18:E22)</f>
        <v>136</v>
      </c>
      <c r="F23" s="2147"/>
      <c r="G23" s="1649">
        <f>SUM(G18:G22)</f>
        <v>0.174814</v>
      </c>
      <c r="H23" s="1639">
        <v>0</v>
      </c>
      <c r="I23" s="1639">
        <f>SUM(I18:I22)</f>
        <v>0.174814</v>
      </c>
      <c r="J23" s="1639">
        <v>0</v>
      </c>
      <c r="K23" s="1639">
        <f>SUM(K18:K22)</f>
        <v>0.174814</v>
      </c>
      <c r="L23" s="1640">
        <f>SUM(L18:L22)</f>
        <v>0.18179851599999999</v>
      </c>
      <c r="M23" s="1641">
        <v>0</v>
      </c>
      <c r="N23" s="1629">
        <f>SUM(N18:N22)</f>
        <v>0.18179851599999999</v>
      </c>
      <c r="O23" s="1629">
        <f>SUM(O18:O22)</f>
        <v>0.15115097999999999</v>
      </c>
      <c r="P23" s="1641">
        <v>0</v>
      </c>
      <c r="Q23" s="1629">
        <f>SUM(Q18:Q22)</f>
        <v>0.15115097999999999</v>
      </c>
      <c r="R23" s="419"/>
      <c r="S23" s="419"/>
      <c r="T23" s="419"/>
      <c r="U23" s="500"/>
      <c r="V23" s="500"/>
      <c r="W23" s="1640">
        <f>SUM(W18:W22)</f>
        <v>0</v>
      </c>
      <c r="X23" s="1642">
        <f>SUM(X18:X22)</f>
        <v>3.0647535999999986E-2</v>
      </c>
      <c r="Y23" s="1643">
        <f>SUM(Y18:Y22)</f>
        <v>0</v>
      </c>
      <c r="Z23" s="1640">
        <f>SUM(Z18:Z22)</f>
        <v>3.0647535999999986E-2</v>
      </c>
      <c r="AA23" s="2133"/>
      <c r="AB23" s="2136"/>
      <c r="AC23" s="2133"/>
      <c r="AD23" s="1636">
        <f>IFERROR(Q23/N23,0)</f>
        <v>0.83142031808444461</v>
      </c>
      <c r="AE23" s="435">
        <v>0</v>
      </c>
      <c r="AF23" s="1637">
        <f t="shared" si="0"/>
        <v>0.83142031808444461</v>
      </c>
    </row>
    <row r="24" spans="2:34" x14ac:dyDescent="0.35">
      <c r="B24" s="419" t="s">
        <v>164</v>
      </c>
      <c r="C24" s="1638">
        <f>C15+C23</f>
        <v>139</v>
      </c>
      <c r="D24" s="1638">
        <v>0</v>
      </c>
      <c r="E24" s="1638">
        <f>E15+E23</f>
        <v>139</v>
      </c>
      <c r="F24" s="2147"/>
      <c r="G24" s="1649">
        <f>+G23+G15</f>
        <v>1.1818488</v>
      </c>
      <c r="H24" s="1639">
        <v>0</v>
      </c>
      <c r="I24" s="1639">
        <f>I15+I23</f>
        <v>1.1818488</v>
      </c>
      <c r="J24" s="1639">
        <v>0</v>
      </c>
      <c r="K24" s="1639">
        <f>K15+K23</f>
        <v>1.1818488</v>
      </c>
      <c r="L24" s="1640">
        <f>L15+L23</f>
        <v>1.836318283</v>
      </c>
      <c r="M24" s="1641">
        <v>0</v>
      </c>
      <c r="N24" s="1629">
        <f>N15+N23</f>
        <v>1.836318283</v>
      </c>
      <c r="O24" s="1629">
        <f>O15+O23</f>
        <v>1.3520325049999999</v>
      </c>
      <c r="P24" s="1641">
        <v>0</v>
      </c>
      <c r="Q24" s="1629">
        <f>Q15+Q23</f>
        <v>1.3520325049999999</v>
      </c>
      <c r="R24" s="419"/>
      <c r="S24" s="419"/>
      <c r="T24" s="419"/>
      <c r="U24" s="500"/>
      <c r="V24" s="500"/>
      <c r="W24" s="1640">
        <f>W15+W23</f>
        <v>0</v>
      </c>
      <c r="X24" s="1642">
        <f>X15+X23</f>
        <v>0.484285778</v>
      </c>
      <c r="Y24" s="1643">
        <f>Y15+Y23</f>
        <v>0</v>
      </c>
      <c r="Z24" s="1640">
        <f>Z15+Z23</f>
        <v>0.484285778</v>
      </c>
      <c r="AA24" s="2134"/>
      <c r="AB24" s="2137"/>
      <c r="AC24" s="2134"/>
      <c r="AD24" s="1644">
        <f>Q24/N24</f>
        <v>0.73627350852880435</v>
      </c>
      <c r="AE24" s="1644"/>
      <c r="AF24" s="1645">
        <f t="shared" si="0"/>
        <v>0.73627350852880435</v>
      </c>
    </row>
    <row r="25" spans="2:34" x14ac:dyDescent="0.35">
      <c r="B25" s="34" t="s">
        <v>782</v>
      </c>
      <c r="AA25" s="1650"/>
      <c r="AH25" s="1671"/>
    </row>
    <row r="26" spans="2:34" x14ac:dyDescent="0.35">
      <c r="B26" s="2066" t="s">
        <v>783</v>
      </c>
      <c r="C26" s="2066"/>
      <c r="D26" s="2066"/>
      <c r="E26" s="2066"/>
      <c r="F26" s="2066"/>
      <c r="G26" s="2066"/>
      <c r="H26" s="2066"/>
      <c r="I26" s="2066"/>
      <c r="J26" s="2066"/>
      <c r="K26" s="2066"/>
      <c r="L26" s="2066"/>
      <c r="M26" s="2066"/>
      <c r="N26" s="2066"/>
      <c r="O26" s="2066"/>
      <c r="P26" s="2066"/>
      <c r="Q26" s="2066"/>
      <c r="R26" s="2066"/>
      <c r="S26" s="2066"/>
    </row>
    <row r="27" spans="2:34" x14ac:dyDescent="0.35">
      <c r="B27" s="2066" t="s">
        <v>784</v>
      </c>
      <c r="C27" s="2066"/>
      <c r="D27" s="2066"/>
      <c r="E27" s="2066"/>
      <c r="F27" s="2066"/>
      <c r="G27" s="2066"/>
      <c r="H27" s="2066"/>
      <c r="I27" s="2066"/>
      <c r="J27" s="2066"/>
      <c r="K27" s="2066"/>
      <c r="L27" s="2066"/>
      <c r="M27" s="2066"/>
      <c r="N27" s="2066"/>
      <c r="O27" s="2066"/>
      <c r="P27" s="2066"/>
      <c r="Q27" s="2066"/>
      <c r="R27" s="2066"/>
      <c r="S27" s="2066"/>
    </row>
    <row r="28" spans="2:34" x14ac:dyDescent="0.35">
      <c r="B28" s="423"/>
    </row>
    <row r="29" spans="2:34" x14ac:dyDescent="0.35">
      <c r="B29" s="423" t="s">
        <v>1114</v>
      </c>
    </row>
    <row r="30" spans="2:34" x14ac:dyDescent="0.35">
      <c r="B30" s="423"/>
    </row>
    <row r="31" spans="2:34" x14ac:dyDescent="0.35">
      <c r="B31" s="2138" t="s">
        <v>699</v>
      </c>
      <c r="C31" s="2141" t="s">
        <v>764</v>
      </c>
      <c r="D31" s="2142"/>
      <c r="E31" s="2143"/>
      <c r="F31" s="2144" t="s">
        <v>765</v>
      </c>
      <c r="G31" s="2141" t="s">
        <v>308</v>
      </c>
      <c r="H31" s="2142"/>
      <c r="I31" s="2142"/>
      <c r="J31" s="2142"/>
      <c r="K31" s="2143"/>
      <c r="L31" s="1991" t="s">
        <v>766</v>
      </c>
      <c r="M31" s="1991"/>
      <c r="N31" s="1991"/>
      <c r="O31" s="1991" t="s">
        <v>767</v>
      </c>
      <c r="P31" s="1991"/>
      <c r="Q31" s="1991"/>
      <c r="R31" s="1991" t="s">
        <v>768</v>
      </c>
      <c r="S31" s="1991"/>
      <c r="T31" s="1991"/>
      <c r="U31" s="1991" t="s">
        <v>769</v>
      </c>
      <c r="V31" s="1991"/>
      <c r="W31" s="1991"/>
      <c r="X31" s="1991" t="s">
        <v>770</v>
      </c>
      <c r="Y31" s="1991"/>
      <c r="Z31" s="1991"/>
      <c r="AA31" s="1991" t="s">
        <v>771</v>
      </c>
      <c r="AB31" s="1991"/>
      <c r="AC31" s="1991"/>
      <c r="AD31" s="1991" t="s">
        <v>772</v>
      </c>
      <c r="AE31" s="1991"/>
      <c r="AF31" s="1991"/>
    </row>
    <row r="32" spans="2:34" x14ac:dyDescent="0.35">
      <c r="B32" s="2139"/>
      <c r="C32" s="2130" t="s">
        <v>773</v>
      </c>
      <c r="D32" s="2130" t="s">
        <v>774</v>
      </c>
      <c r="E32" s="2130" t="s">
        <v>164</v>
      </c>
      <c r="F32" s="2145"/>
      <c r="G32" s="2141" t="s">
        <v>775</v>
      </c>
      <c r="H32" s="2142"/>
      <c r="I32" s="2143"/>
      <c r="J32" s="2130" t="s">
        <v>776</v>
      </c>
      <c r="K32" s="2130" t="s">
        <v>777</v>
      </c>
      <c r="L32" s="2130" t="s">
        <v>778</v>
      </c>
      <c r="M32" s="2130" t="s">
        <v>779</v>
      </c>
      <c r="N32" s="2130" t="s">
        <v>164</v>
      </c>
      <c r="O32" s="2130" t="s">
        <v>778</v>
      </c>
      <c r="P32" s="2130" t="s">
        <v>779</v>
      </c>
      <c r="Q32" s="2130" t="s">
        <v>164</v>
      </c>
      <c r="R32" s="2130" t="s">
        <v>778</v>
      </c>
      <c r="S32" s="2130" t="s">
        <v>779</v>
      </c>
      <c r="T32" s="2130" t="s">
        <v>164</v>
      </c>
      <c r="U32" s="2130" t="s">
        <v>778</v>
      </c>
      <c r="V32" s="2130" t="s">
        <v>779</v>
      </c>
      <c r="W32" s="2130" t="s">
        <v>164</v>
      </c>
      <c r="X32" s="2130" t="s">
        <v>778</v>
      </c>
      <c r="Y32" s="2130" t="s">
        <v>779</v>
      </c>
      <c r="Z32" s="2130" t="s">
        <v>164</v>
      </c>
      <c r="AA32" s="2130" t="s">
        <v>778</v>
      </c>
      <c r="AB32" s="2130" t="s">
        <v>779</v>
      </c>
      <c r="AC32" s="2130" t="s">
        <v>164</v>
      </c>
      <c r="AD32" s="2130" t="s">
        <v>778</v>
      </c>
      <c r="AE32" s="2130" t="s">
        <v>779</v>
      </c>
      <c r="AF32" s="2130" t="s">
        <v>164</v>
      </c>
    </row>
    <row r="33" spans="2:34" ht="40.5" x14ac:dyDescent="0.35">
      <c r="B33" s="2140"/>
      <c r="C33" s="2131"/>
      <c r="D33" s="2131"/>
      <c r="E33" s="2131"/>
      <c r="F33" s="2146"/>
      <c r="G33" s="184" t="s">
        <v>780</v>
      </c>
      <c r="H33" s="184" t="s">
        <v>781</v>
      </c>
      <c r="I33" s="184" t="s">
        <v>164</v>
      </c>
      <c r="J33" s="2131"/>
      <c r="K33" s="2131"/>
      <c r="L33" s="2131"/>
      <c r="M33" s="2131"/>
      <c r="N33" s="2131"/>
      <c r="O33" s="2131"/>
      <c r="P33" s="2131"/>
      <c r="Q33" s="2131"/>
      <c r="R33" s="2131"/>
      <c r="S33" s="2131"/>
      <c r="T33" s="2131"/>
      <c r="U33" s="2131"/>
      <c r="V33" s="2131"/>
      <c r="W33" s="2131"/>
      <c r="X33" s="2131"/>
      <c r="Y33" s="2131"/>
      <c r="Z33" s="2131"/>
      <c r="AA33" s="2131"/>
      <c r="AB33" s="2131"/>
      <c r="AC33" s="2131"/>
      <c r="AD33" s="2131"/>
      <c r="AE33" s="2131"/>
      <c r="AF33" s="2131"/>
    </row>
    <row r="34" spans="2:34" x14ac:dyDescent="0.35">
      <c r="B34" s="1654" t="s">
        <v>161</v>
      </c>
      <c r="C34" s="382"/>
      <c r="D34" s="382"/>
      <c r="E34" s="382"/>
      <c r="F34" s="2147">
        <f>+'F1.3'!E26</f>
        <v>3.2793270899999998</v>
      </c>
      <c r="G34" s="1630"/>
      <c r="H34" s="1630"/>
      <c r="I34" s="1630"/>
      <c r="J34" s="435"/>
      <c r="K34" s="435"/>
      <c r="L34" s="1631"/>
      <c r="M34" s="1628"/>
      <c r="N34" s="1628"/>
      <c r="O34" s="1628"/>
      <c r="P34" s="1628"/>
      <c r="Q34" s="1628"/>
      <c r="R34" s="435"/>
      <c r="S34" s="435"/>
      <c r="T34" s="435"/>
      <c r="U34" s="435"/>
      <c r="V34" s="435"/>
      <c r="W34" s="435"/>
      <c r="X34" s="435"/>
      <c r="Y34" s="435"/>
      <c r="Z34" s="435"/>
      <c r="AA34" s="2132">
        <f>+G47/$F$34</f>
        <v>0.93730690036168374</v>
      </c>
      <c r="AB34" s="2135"/>
      <c r="AC34" s="2132">
        <f>+I47/$F$34</f>
        <v>0.93730690036168374</v>
      </c>
      <c r="AD34" s="435"/>
      <c r="AE34" s="435"/>
      <c r="AF34" s="435"/>
    </row>
    <row r="35" spans="2:34" x14ac:dyDescent="0.35">
      <c r="B35" s="1655" t="s">
        <v>1552</v>
      </c>
      <c r="C35" s="1632">
        <f>+'F13'!C47</f>
        <v>0</v>
      </c>
      <c r="D35" s="466">
        <v>0</v>
      </c>
      <c r="E35" s="1632">
        <f>C35+D35</f>
        <v>0</v>
      </c>
      <c r="F35" s="2147"/>
      <c r="G35" s="1177">
        <f>+'F13'!D47</f>
        <v>0</v>
      </c>
      <c r="H35" s="1633">
        <v>0</v>
      </c>
      <c r="I35" s="1630">
        <f>+G35+H35</f>
        <v>0</v>
      </c>
      <c r="J35" s="1633">
        <v>0</v>
      </c>
      <c r="K35" s="498">
        <f>I35+J35</f>
        <v>0</v>
      </c>
      <c r="L35" s="1631"/>
      <c r="M35" s="1634"/>
      <c r="N35" s="1628">
        <f>L35+M35</f>
        <v>0</v>
      </c>
      <c r="O35" s="1628">
        <v>0</v>
      </c>
      <c r="P35" s="1634"/>
      <c r="Q35" s="1628">
        <f>O35+P35</f>
        <v>0</v>
      </c>
      <c r="R35" s="435"/>
      <c r="S35" s="435"/>
      <c r="T35" s="435"/>
      <c r="U35" s="493">
        <f>+X12</f>
        <v>0</v>
      </c>
      <c r="V35" s="493"/>
      <c r="W35" s="1631">
        <f>U35+V35</f>
        <v>0</v>
      </c>
      <c r="X35" s="1635">
        <f>L35+U35-O35</f>
        <v>0</v>
      </c>
      <c r="Y35" s="1635">
        <f>M35+V35-P35</f>
        <v>0</v>
      </c>
      <c r="Z35" s="1631">
        <f>X35+Y35</f>
        <v>0</v>
      </c>
      <c r="AA35" s="2133"/>
      <c r="AB35" s="2136"/>
      <c r="AC35" s="2133"/>
      <c r="AD35" s="1636">
        <f>IFERROR(Q35/N35,0)</f>
        <v>0</v>
      </c>
      <c r="AE35" s="435">
        <v>0</v>
      </c>
      <c r="AF35" s="1637">
        <f>AD35+AE35</f>
        <v>0</v>
      </c>
    </row>
    <row r="36" spans="2:34" x14ac:dyDescent="0.35">
      <c r="B36" s="1655" t="s">
        <v>1827</v>
      </c>
      <c r="C36" s="1632">
        <f>+'F13'!C48</f>
        <v>4</v>
      </c>
      <c r="D36" s="466">
        <v>0</v>
      </c>
      <c r="E36" s="1632">
        <f>C36+D36</f>
        <v>4</v>
      </c>
      <c r="F36" s="2147"/>
      <c r="G36" s="1177">
        <f>+'F13'!D48</f>
        <v>1.86831243</v>
      </c>
      <c r="H36" s="1633">
        <v>0</v>
      </c>
      <c r="I36" s="1630">
        <f>+G36+H36</f>
        <v>1.86831243</v>
      </c>
      <c r="J36" s="1633">
        <v>0</v>
      </c>
      <c r="K36" s="498">
        <f>I36+J36</f>
        <v>1.86831243</v>
      </c>
      <c r="L36" s="1921">
        <f>4.290659624</f>
        <v>4.2906596239999999</v>
      </c>
      <c r="M36" s="1633"/>
      <c r="N36" s="2150">
        <f>L36+M36</f>
        <v>4.2906596239999999</v>
      </c>
      <c r="O36" s="2152">
        <f>4.342752277-0.7386068*2</f>
        <v>2.865538677</v>
      </c>
      <c r="P36" s="466"/>
      <c r="Q36" s="2154">
        <f>O36+P36</f>
        <v>2.865538677</v>
      </c>
      <c r="R36" s="2152"/>
      <c r="S36" s="466"/>
      <c r="T36" s="2154"/>
      <c r="U36" s="2152">
        <f>+X13</f>
        <v>0.45363824200000002</v>
      </c>
      <c r="V36" s="493"/>
      <c r="W36" s="1924">
        <f>U36+V36</f>
        <v>0.45363824200000002</v>
      </c>
      <c r="X36" s="1635">
        <f>L36+U36-O36</f>
        <v>1.8787591890000002</v>
      </c>
      <c r="Y36" s="1635">
        <f>M36+V36-P36</f>
        <v>0</v>
      </c>
      <c r="Z36" s="1631">
        <f>X36+Y36</f>
        <v>1.8787591890000002</v>
      </c>
      <c r="AA36" s="2133"/>
      <c r="AB36" s="2136"/>
      <c r="AC36" s="2133"/>
      <c r="AD36" s="1636">
        <f>IFERROR(Q36/N36,0)</f>
        <v>0.6678550451710219</v>
      </c>
      <c r="AE36" s="435">
        <v>0</v>
      </c>
      <c r="AF36" s="1637">
        <f>AD36+AE36</f>
        <v>0.6678550451710219</v>
      </c>
    </row>
    <row r="37" spans="2:34" x14ac:dyDescent="0.35">
      <c r="B37" s="1655" t="s">
        <v>1828</v>
      </c>
      <c r="C37" s="1632">
        <f>+'F13'!C49</f>
        <v>1</v>
      </c>
      <c r="D37" s="466">
        <v>0</v>
      </c>
      <c r="E37" s="1632">
        <f>C37+D37</f>
        <v>1</v>
      </c>
      <c r="F37" s="2147"/>
      <c r="G37" s="1177">
        <f>+'F13'!D49</f>
        <v>0.56330367000000003</v>
      </c>
      <c r="H37" s="1633"/>
      <c r="I37" s="1630">
        <f>+G37+H37</f>
        <v>0.56330367000000003</v>
      </c>
      <c r="J37" s="1633"/>
      <c r="K37" s="498"/>
      <c r="L37" s="1922"/>
      <c r="M37" s="1633"/>
      <c r="N37" s="2151"/>
      <c r="O37" s="2153"/>
      <c r="P37" s="466"/>
      <c r="Q37" s="2155"/>
      <c r="R37" s="2153"/>
      <c r="S37" s="466"/>
      <c r="T37" s="2155"/>
      <c r="U37" s="2153"/>
      <c r="V37" s="493"/>
      <c r="W37" s="1926"/>
      <c r="X37" s="1635"/>
      <c r="Y37" s="1635"/>
      <c r="Z37" s="1631"/>
      <c r="AA37" s="2133"/>
      <c r="AB37" s="2136"/>
      <c r="AC37" s="2133"/>
      <c r="AD37" s="1636"/>
      <c r="AE37" s="435"/>
      <c r="AF37" s="1637"/>
    </row>
    <row r="38" spans="2:34" x14ac:dyDescent="0.35">
      <c r="B38" s="417" t="s">
        <v>1105</v>
      </c>
      <c r="C38" s="1638">
        <f>SUM(C35:C37)</f>
        <v>5</v>
      </c>
      <c r="D38" s="1638">
        <f>SUM(D35:D37)</f>
        <v>0</v>
      </c>
      <c r="E38" s="1638">
        <f>SUM(E35:E37)</f>
        <v>5</v>
      </c>
      <c r="F38" s="2147"/>
      <c r="G38" s="1651">
        <f>SUM(G35:G37)</f>
        <v>2.4316161000000003</v>
      </c>
      <c r="H38" s="1651">
        <f t="shared" ref="H38:Z38" si="1">SUM(H35:H37)</f>
        <v>0</v>
      </c>
      <c r="I38" s="1651">
        <f t="shared" si="1"/>
        <v>2.4316161000000003</v>
      </c>
      <c r="J38" s="1651">
        <f t="shared" si="1"/>
        <v>0</v>
      </c>
      <c r="K38" s="1651">
        <f t="shared" si="1"/>
        <v>1.86831243</v>
      </c>
      <c r="L38" s="1639">
        <f t="shared" ref="L38:Q38" si="2">SUM(L35:L37)</f>
        <v>4.2906596239999999</v>
      </c>
      <c r="M38" s="1639">
        <f t="shared" si="2"/>
        <v>0</v>
      </c>
      <c r="N38" s="1639">
        <f t="shared" si="2"/>
        <v>4.2906596239999999</v>
      </c>
      <c r="O38" s="1639">
        <f t="shared" si="2"/>
        <v>2.865538677</v>
      </c>
      <c r="P38" s="1638">
        <f t="shared" si="2"/>
        <v>0</v>
      </c>
      <c r="Q38" s="1641">
        <f t="shared" si="2"/>
        <v>2.865538677</v>
      </c>
      <c r="R38" s="1639"/>
      <c r="S38" s="1638"/>
      <c r="T38" s="1641"/>
      <c r="U38" s="1651">
        <f t="shared" si="1"/>
        <v>0.45363824200000002</v>
      </c>
      <c r="V38" s="1651">
        <f t="shared" si="1"/>
        <v>0</v>
      </c>
      <c r="W38" s="1651">
        <f t="shared" si="1"/>
        <v>0.45363824200000002</v>
      </c>
      <c r="X38" s="1651">
        <f t="shared" si="1"/>
        <v>1.8787591890000002</v>
      </c>
      <c r="Y38" s="1651">
        <f t="shared" si="1"/>
        <v>0</v>
      </c>
      <c r="Z38" s="1651">
        <f t="shared" si="1"/>
        <v>1.8787591890000002</v>
      </c>
      <c r="AA38" s="2133"/>
      <c r="AB38" s="2136"/>
      <c r="AC38" s="2133"/>
      <c r="AD38" s="1644">
        <f>Q38/N38</f>
        <v>0.6678550451710219</v>
      </c>
      <c r="AE38" s="435">
        <v>0</v>
      </c>
      <c r="AF38" s="1645">
        <f>AD38+AE38</f>
        <v>0.6678550451710219</v>
      </c>
    </row>
    <row r="39" spans="2:34" x14ac:dyDescent="0.35">
      <c r="B39" s="1656"/>
      <c r="C39" s="382"/>
      <c r="D39" s="382"/>
      <c r="E39" s="382"/>
      <c r="F39" s="2147"/>
      <c r="G39" s="1177"/>
      <c r="H39" s="1630"/>
      <c r="I39" s="1630"/>
      <c r="J39" s="1630"/>
      <c r="K39" s="498"/>
      <c r="L39" s="498"/>
      <c r="M39" s="1630"/>
      <c r="N39" s="493"/>
      <c r="O39" s="493"/>
      <c r="P39" s="382"/>
      <c r="Q39" s="1628"/>
      <c r="R39" s="493"/>
      <c r="S39" s="382"/>
      <c r="T39" s="1628"/>
      <c r="U39" s="493"/>
      <c r="V39" s="493"/>
      <c r="W39" s="1628"/>
      <c r="X39" s="1635"/>
      <c r="Y39" s="1647"/>
      <c r="Z39" s="1628"/>
      <c r="AA39" s="2133"/>
      <c r="AB39" s="2136"/>
      <c r="AC39" s="2133"/>
      <c r="AD39" s="1636"/>
      <c r="AE39" s="435"/>
      <c r="AF39" s="1637"/>
    </row>
    <row r="40" spans="2:34" x14ac:dyDescent="0.35">
      <c r="B40" s="1656" t="s">
        <v>163</v>
      </c>
      <c r="C40" s="382"/>
      <c r="D40" s="382"/>
      <c r="E40" s="382"/>
      <c r="F40" s="2147"/>
      <c r="G40" s="1177"/>
      <c r="H40" s="1630"/>
      <c r="I40" s="1630"/>
      <c r="J40" s="1630"/>
      <c r="K40" s="498"/>
      <c r="L40" s="498"/>
      <c r="M40" s="1630"/>
      <c r="N40" s="493"/>
      <c r="O40" s="493"/>
      <c r="P40" s="382"/>
      <c r="Q40" s="1628"/>
      <c r="R40" s="493"/>
      <c r="S40" s="382"/>
      <c r="T40" s="1628"/>
      <c r="U40" s="493"/>
      <c r="V40" s="493"/>
      <c r="W40" s="1628"/>
      <c r="X40" s="1635"/>
      <c r="Y40" s="1647"/>
      <c r="Z40" s="1628"/>
      <c r="AA40" s="2133"/>
      <c r="AB40" s="2136"/>
      <c r="AC40" s="2133"/>
      <c r="AD40" s="1636"/>
      <c r="AE40" s="435"/>
      <c r="AF40" s="1637"/>
    </row>
    <row r="41" spans="2:34" x14ac:dyDescent="0.35">
      <c r="B41" s="1655" t="s">
        <v>1554</v>
      </c>
      <c r="C41" s="1632">
        <f>SUM('F13'!C54:C58)</f>
        <v>421</v>
      </c>
      <c r="D41" s="788">
        <v>0</v>
      </c>
      <c r="E41" s="1632">
        <f>C41+D41</f>
        <v>421</v>
      </c>
      <c r="F41" s="2147"/>
      <c r="G41" s="1177">
        <f>SUM('F13'!D54:D58)</f>
        <v>0.50546797999999993</v>
      </c>
      <c r="H41" s="1633">
        <v>0</v>
      </c>
      <c r="I41" s="1630">
        <f>+G41+H41</f>
        <v>0.50546797999999993</v>
      </c>
      <c r="J41" s="1633">
        <v>0</v>
      </c>
      <c r="K41" s="498">
        <f>I41+J41</f>
        <v>0.50546797999999993</v>
      </c>
      <c r="L41" s="498">
        <v>0.73827898000000036</v>
      </c>
      <c r="M41" s="1633"/>
      <c r="N41" s="493">
        <f>L41+M41</f>
        <v>0.73827898000000036</v>
      </c>
      <c r="O41" s="1628">
        <v>0.69434469500000029</v>
      </c>
      <c r="P41" s="466"/>
      <c r="Q41" s="1628">
        <f>O41+P41</f>
        <v>0.69434469500000029</v>
      </c>
      <c r="R41" s="1628"/>
      <c r="S41" s="466"/>
      <c r="T41" s="1628"/>
      <c r="U41" s="493">
        <f>+X18</f>
        <v>3.0647755999999984E-2</v>
      </c>
      <c r="V41" s="493"/>
      <c r="W41" s="1628">
        <f>U41+V41</f>
        <v>3.0647755999999984E-2</v>
      </c>
      <c r="X41" s="1635">
        <f>L41+U41-O41</f>
        <v>7.4582041000000099E-2</v>
      </c>
      <c r="Y41" s="1635">
        <f>M41+V41-P41</f>
        <v>0</v>
      </c>
      <c r="Z41" s="1628">
        <f>X41+Y41</f>
        <v>7.4582041000000099E-2</v>
      </c>
      <c r="AA41" s="2133"/>
      <c r="AB41" s="2136"/>
      <c r="AC41" s="2133"/>
      <c r="AD41" s="1636">
        <f>IFERROR(Q41/N41,0)</f>
        <v>0.94049094422273805</v>
      </c>
      <c r="AE41" s="435">
        <v>0</v>
      </c>
      <c r="AF41" s="1637">
        <f>AD41+AE41</f>
        <v>0.94049094422273805</v>
      </c>
    </row>
    <row r="42" spans="2:34" x14ac:dyDescent="0.35">
      <c r="B42" s="1655" t="s">
        <v>1829</v>
      </c>
      <c r="C42" s="1632">
        <f>SUM('F13'!C60:C62)</f>
        <v>11</v>
      </c>
      <c r="D42" s="788">
        <v>0</v>
      </c>
      <c r="E42" s="1632">
        <f>C42+D42</f>
        <v>11</v>
      </c>
      <c r="F42" s="2147"/>
      <c r="G42" s="1177">
        <f>SUM('F13'!D60:D62)</f>
        <v>1.8100000000000001E-4</v>
      </c>
      <c r="H42" s="1633">
        <v>0</v>
      </c>
      <c r="I42" s="1630">
        <f>+G42+H42</f>
        <v>1.8100000000000001E-4</v>
      </c>
      <c r="J42" s="1633">
        <v>0</v>
      </c>
      <c r="K42" s="498">
        <f>I42+J42</f>
        <v>1.8100000000000001E-4</v>
      </c>
      <c r="L42" s="498">
        <v>1.0178799999999999E-3</v>
      </c>
      <c r="M42" s="1633"/>
      <c r="N42" s="493">
        <f>L42+M42</f>
        <v>1.0178799999999999E-3</v>
      </c>
      <c r="O42" s="1628">
        <v>3.3299399999999998E-4</v>
      </c>
      <c r="P42" s="466"/>
      <c r="Q42" s="1628">
        <f>O42+P42</f>
        <v>3.3299399999999998E-4</v>
      </c>
      <c r="R42" s="1628"/>
      <c r="S42" s="466"/>
      <c r="T42" s="1628"/>
      <c r="U42" s="493">
        <f>+X19</f>
        <v>0</v>
      </c>
      <c r="V42" s="493"/>
      <c r="W42" s="1628">
        <f>U42+V42</f>
        <v>0</v>
      </c>
      <c r="X42" s="1635">
        <f>L42+U42-O42</f>
        <v>6.8488599999999989E-4</v>
      </c>
      <c r="Y42" s="1635">
        <f>M42+V42-P42</f>
        <v>0</v>
      </c>
      <c r="Z42" s="1628">
        <f>X42+Y42</f>
        <v>6.8488599999999989E-4</v>
      </c>
      <c r="AA42" s="2133"/>
      <c r="AB42" s="2136"/>
      <c r="AC42" s="2133"/>
      <c r="AD42" s="1636">
        <f>IFERROR(Q42/N42,0)</f>
        <v>0.32714465359374389</v>
      </c>
      <c r="AE42" s="435">
        <v>0</v>
      </c>
      <c r="AF42" s="1637">
        <f>AD42+AE42</f>
        <v>0.32714465359374389</v>
      </c>
    </row>
    <row r="43" spans="2:34" x14ac:dyDescent="0.35">
      <c r="B43" s="1655" t="s">
        <v>1830</v>
      </c>
      <c r="C43" s="1632"/>
      <c r="D43" s="788"/>
      <c r="E43" s="1632"/>
      <c r="F43" s="2147"/>
      <c r="G43" s="1177"/>
      <c r="H43" s="1633"/>
      <c r="I43" s="1630"/>
      <c r="J43" s="1633"/>
      <c r="K43" s="498"/>
      <c r="L43" s="498"/>
      <c r="M43" s="1633"/>
      <c r="N43" s="493"/>
      <c r="O43" s="493"/>
      <c r="P43" s="466"/>
      <c r="Q43" s="1628"/>
      <c r="R43" s="493"/>
      <c r="S43" s="466"/>
      <c r="T43" s="1628"/>
      <c r="U43" s="493">
        <f>+X20</f>
        <v>0</v>
      </c>
      <c r="V43" s="493"/>
      <c r="W43" s="1628"/>
      <c r="X43" s="1635"/>
      <c r="Y43" s="1635"/>
      <c r="Z43" s="1628"/>
      <c r="AA43" s="2133"/>
      <c r="AB43" s="2136"/>
      <c r="AC43" s="2133"/>
      <c r="AD43" s="1636"/>
      <c r="AE43" s="435"/>
      <c r="AF43" s="1637"/>
    </row>
    <row r="44" spans="2:34" x14ac:dyDescent="0.35">
      <c r="B44" s="1655" t="s">
        <v>1831</v>
      </c>
      <c r="C44" s="1632">
        <f>+'F13'!C64</f>
        <v>2</v>
      </c>
      <c r="D44" s="788">
        <v>0</v>
      </c>
      <c r="E44" s="1632">
        <f>C44+D44</f>
        <v>2</v>
      </c>
      <c r="F44" s="2147"/>
      <c r="G44" s="1177">
        <f>+'F13'!D64</f>
        <v>0.12328399999999999</v>
      </c>
      <c r="H44" s="1633">
        <v>0</v>
      </c>
      <c r="I44" s="1630">
        <f>+G44+H44</f>
        <v>0.12328399999999999</v>
      </c>
      <c r="J44" s="1633">
        <v>0</v>
      </c>
      <c r="K44" s="498">
        <f>I44+J44</f>
        <v>0.12328399999999999</v>
      </c>
      <c r="L44" s="498">
        <v>7.8998055999999997E-2</v>
      </c>
      <c r="M44" s="1633"/>
      <c r="N44" s="493">
        <f>L44+M44</f>
        <v>7.8998055999999997E-2</v>
      </c>
      <c r="O44" s="1628">
        <v>7.2861602999999997E-2</v>
      </c>
      <c r="P44" s="466"/>
      <c r="Q44" s="1628">
        <f>O44+P44</f>
        <v>7.2861602999999997E-2</v>
      </c>
      <c r="R44" s="1628"/>
      <c r="S44" s="466"/>
      <c r="T44" s="1628"/>
      <c r="U44" s="493">
        <f>+X21</f>
        <v>-2.1999999999869346E-7</v>
      </c>
      <c r="V44" s="493"/>
      <c r="W44" s="1628">
        <f>U44+V44</f>
        <v>-2.1999999999869346E-7</v>
      </c>
      <c r="X44" s="1635">
        <f>L44+U44-O44</f>
        <v>6.1362330000000048E-3</v>
      </c>
      <c r="Y44" s="1635">
        <f>M44+V44-P44</f>
        <v>0</v>
      </c>
      <c r="Z44" s="1628">
        <f>X44+Y44</f>
        <v>6.1362330000000048E-3</v>
      </c>
      <c r="AA44" s="2133"/>
      <c r="AB44" s="2136"/>
      <c r="AC44" s="2133"/>
      <c r="AD44" s="1636">
        <f>IFERROR(Q44/N44,0)</f>
        <v>0.92232146826499117</v>
      </c>
      <c r="AE44" s="435">
        <v>0</v>
      </c>
      <c r="AF44" s="1637">
        <f>AD44+AE44</f>
        <v>0.92232146826499117</v>
      </c>
    </row>
    <row r="45" spans="2:34" x14ac:dyDescent="0.35">
      <c r="B45" s="428" t="s">
        <v>1832</v>
      </c>
      <c r="C45" s="1632">
        <f>+'F13'!C65</f>
        <v>1</v>
      </c>
      <c r="D45" s="788">
        <v>0</v>
      </c>
      <c r="E45" s="1632">
        <f>C45+D45</f>
        <v>1</v>
      </c>
      <c r="F45" s="2147"/>
      <c r="G45" s="1177">
        <f>+'F13'!D65</f>
        <v>1.318683E-2</v>
      </c>
      <c r="H45" s="1633">
        <v>0</v>
      </c>
      <c r="I45" s="1630">
        <f>+G45+H45</f>
        <v>1.318683E-2</v>
      </c>
      <c r="J45" s="1633">
        <v>0</v>
      </c>
      <c r="K45" s="498">
        <f>I45+J45</f>
        <v>1.318683E-2</v>
      </c>
      <c r="L45" s="498">
        <v>2.0151058000000003E-2</v>
      </c>
      <c r="M45" s="1633"/>
      <c r="N45" s="493">
        <f>L45+M45</f>
        <v>2.0151058000000003E-2</v>
      </c>
      <c r="O45" s="1628">
        <v>1.9053015000000003E-2</v>
      </c>
      <c r="P45" s="466"/>
      <c r="Q45" s="1628">
        <f>O45+P45</f>
        <v>1.9053015000000003E-2</v>
      </c>
      <c r="R45" s="1628"/>
      <c r="S45" s="466"/>
      <c r="T45" s="1628"/>
      <c r="U45" s="493">
        <f>+X22</f>
        <v>0</v>
      </c>
      <c r="V45" s="493"/>
      <c r="W45" s="1628">
        <f>U45+V45</f>
        <v>0</v>
      </c>
      <c r="X45" s="1635">
        <f>L45+U45-O45</f>
        <v>1.0980429999999999E-3</v>
      </c>
      <c r="Y45" s="1635">
        <f>M45+V45-P45</f>
        <v>0</v>
      </c>
      <c r="Z45" s="1628">
        <f>X45+Y45</f>
        <v>1.0980429999999999E-3</v>
      </c>
      <c r="AA45" s="2133"/>
      <c r="AB45" s="2136"/>
      <c r="AC45" s="2133"/>
      <c r="AD45" s="1636">
        <f>IFERROR(Q45/N45,0)</f>
        <v>0.94550941196238925</v>
      </c>
      <c r="AE45" s="435">
        <v>0</v>
      </c>
      <c r="AF45" s="1637">
        <f>AD45+AE45</f>
        <v>0.94550941196238925</v>
      </c>
    </row>
    <row r="46" spans="2:34" x14ac:dyDescent="0.35">
      <c r="B46" s="417" t="s">
        <v>1112</v>
      </c>
      <c r="C46" s="1638">
        <f>SUM(C41:C45)</f>
        <v>435</v>
      </c>
      <c r="D46" s="1638">
        <v>0</v>
      </c>
      <c r="E46" s="1638">
        <f>SUM(E41:E45)</f>
        <v>435</v>
      </c>
      <c r="F46" s="2147"/>
      <c r="G46" s="1639">
        <f t="shared" ref="G46:L46" si="3">SUM(G41:G45)</f>
        <v>0.64211980999999985</v>
      </c>
      <c r="H46" s="1639">
        <f t="shared" si="3"/>
        <v>0</v>
      </c>
      <c r="I46" s="1639">
        <f t="shared" si="3"/>
        <v>0.64211980999999985</v>
      </c>
      <c r="J46" s="1639">
        <f t="shared" si="3"/>
        <v>0</v>
      </c>
      <c r="K46" s="1639">
        <f t="shared" si="3"/>
        <v>0.64211980999999985</v>
      </c>
      <c r="L46" s="1653">
        <f t="shared" si="3"/>
        <v>0.83844597400000043</v>
      </c>
      <c r="M46" s="1639">
        <v>0</v>
      </c>
      <c r="N46" s="500">
        <f>SUM(N41:N45)</f>
        <v>0.83844597400000043</v>
      </c>
      <c r="O46" s="500">
        <f>SUM(O41:O45)</f>
        <v>0.78659230700000027</v>
      </c>
      <c r="P46" s="447">
        <v>0</v>
      </c>
      <c r="Q46" s="1629">
        <f>SUM(Q41:Q45)</f>
        <v>0.78659230700000027</v>
      </c>
      <c r="R46" s="500"/>
      <c r="S46" s="447"/>
      <c r="T46" s="1629"/>
      <c r="U46" s="1639">
        <f t="shared" ref="U46:Z46" si="4">SUM(U41:U45)</f>
        <v>3.0647535999999986E-2</v>
      </c>
      <c r="V46" s="1639">
        <f t="shared" si="4"/>
        <v>0</v>
      </c>
      <c r="W46" s="1639">
        <f t="shared" si="4"/>
        <v>3.0647535999999986E-2</v>
      </c>
      <c r="X46" s="1639">
        <f t="shared" si="4"/>
        <v>8.2501203000000106E-2</v>
      </c>
      <c r="Y46" s="1639">
        <f t="shared" si="4"/>
        <v>0</v>
      </c>
      <c r="Z46" s="1639">
        <f t="shared" si="4"/>
        <v>8.2501203000000106E-2</v>
      </c>
      <c r="AA46" s="2133"/>
      <c r="AB46" s="2136"/>
      <c r="AC46" s="2133"/>
      <c r="AD46" s="1636">
        <f>IFERROR(Q46/N46,0)</f>
        <v>0.93815502893690306</v>
      </c>
      <c r="AE46" s="435">
        <v>0</v>
      </c>
      <c r="AF46" s="1637">
        <f>AD46+AE46</f>
        <v>0.93815502893690306</v>
      </c>
    </row>
    <row r="47" spans="2:34" x14ac:dyDescent="0.35">
      <c r="B47" s="419" t="s">
        <v>164</v>
      </c>
      <c r="C47" s="1638">
        <f>C38+C46</f>
        <v>440</v>
      </c>
      <c r="D47" s="1638">
        <v>0</v>
      </c>
      <c r="E47" s="1638">
        <f>E38+E46</f>
        <v>440</v>
      </c>
      <c r="F47" s="2147"/>
      <c r="G47" s="1652">
        <f>+G46+G38</f>
        <v>3.0737359099999999</v>
      </c>
      <c r="H47" s="1652">
        <f t="shared" ref="H47:Z47" si="5">+H46+H38</f>
        <v>0</v>
      </c>
      <c r="I47" s="1652">
        <f t="shared" si="5"/>
        <v>3.0737359099999999</v>
      </c>
      <c r="J47" s="1652">
        <f t="shared" si="5"/>
        <v>0</v>
      </c>
      <c r="K47" s="1652">
        <f t="shared" si="5"/>
        <v>2.5104322400000001</v>
      </c>
      <c r="L47" s="1653">
        <f>L38+L46</f>
        <v>5.1291055980000007</v>
      </c>
      <c r="M47" s="1639">
        <v>0</v>
      </c>
      <c r="N47" s="500">
        <f>N38+N46</f>
        <v>5.1291055980000007</v>
      </c>
      <c r="O47" s="500">
        <f>O38+O46</f>
        <v>3.6521309840000002</v>
      </c>
      <c r="P47" s="447">
        <v>0</v>
      </c>
      <c r="Q47" s="1629">
        <f>Q38+Q46</f>
        <v>3.6521309840000002</v>
      </c>
      <c r="R47" s="500"/>
      <c r="S47" s="447"/>
      <c r="T47" s="1629"/>
      <c r="U47" s="1652">
        <f t="shared" si="5"/>
        <v>0.484285778</v>
      </c>
      <c r="V47" s="1652">
        <f t="shared" si="5"/>
        <v>0</v>
      </c>
      <c r="W47" s="1652">
        <f t="shared" si="5"/>
        <v>0.484285778</v>
      </c>
      <c r="X47" s="1652">
        <f t="shared" si="5"/>
        <v>1.9612603920000002</v>
      </c>
      <c r="Y47" s="1652">
        <f t="shared" si="5"/>
        <v>0</v>
      </c>
      <c r="Z47" s="1652">
        <f t="shared" si="5"/>
        <v>1.9612603920000002</v>
      </c>
      <c r="AA47" s="2134"/>
      <c r="AB47" s="2137"/>
      <c r="AC47" s="2134"/>
      <c r="AD47" s="1644">
        <f>Q47/N47</f>
        <v>0.71204051353984232</v>
      </c>
      <c r="AE47" s="1644"/>
      <c r="AF47" s="1645">
        <f>AD47+AE47</f>
        <v>0.71204051353984232</v>
      </c>
    </row>
    <row r="48" spans="2:34" x14ac:dyDescent="0.35">
      <c r="B48" s="34" t="s">
        <v>782</v>
      </c>
      <c r="AH48" s="1673"/>
    </row>
    <row r="49" spans="2:32" x14ac:dyDescent="0.35">
      <c r="B49" s="2066" t="s">
        <v>783</v>
      </c>
      <c r="C49" s="2066"/>
      <c r="D49" s="2066"/>
      <c r="E49" s="2066"/>
      <c r="F49" s="2066"/>
      <c r="G49" s="2066"/>
      <c r="H49" s="2066"/>
      <c r="I49" s="2066"/>
      <c r="J49" s="2066"/>
      <c r="K49" s="2066"/>
      <c r="L49" s="2066"/>
      <c r="M49" s="2066"/>
      <c r="N49" s="2066"/>
      <c r="O49" s="2066"/>
      <c r="P49" s="2066"/>
      <c r="Q49" s="2066"/>
      <c r="R49" s="2066"/>
      <c r="S49" s="2066"/>
    </row>
    <row r="50" spans="2:32" x14ac:dyDescent="0.35">
      <c r="B50" s="2066" t="s">
        <v>784</v>
      </c>
      <c r="C50" s="2066"/>
      <c r="D50" s="2066"/>
      <c r="E50" s="2066"/>
      <c r="F50" s="2066"/>
      <c r="G50" s="2066"/>
      <c r="H50" s="2066"/>
      <c r="I50" s="2066"/>
      <c r="J50" s="2066"/>
      <c r="K50" s="2066"/>
      <c r="L50" s="2066"/>
      <c r="M50" s="2066"/>
      <c r="N50" s="2066"/>
      <c r="O50" s="2066"/>
      <c r="P50" s="2066"/>
      <c r="Q50" s="2066"/>
      <c r="R50" s="2066"/>
      <c r="S50" s="2066"/>
    </row>
    <row r="51" spans="2:32" x14ac:dyDescent="0.35">
      <c r="B51" s="423"/>
    </row>
    <row r="52" spans="2:32" x14ac:dyDescent="0.35">
      <c r="B52" s="423" t="s">
        <v>1115</v>
      </c>
    </row>
    <row r="53" spans="2:32" x14ac:dyDescent="0.35">
      <c r="B53" s="423"/>
    </row>
    <row r="54" spans="2:32" x14ac:dyDescent="0.35">
      <c r="B54" s="2138" t="s">
        <v>699</v>
      </c>
      <c r="C54" s="2141" t="s">
        <v>764</v>
      </c>
      <c r="D54" s="2142"/>
      <c r="E54" s="2143"/>
      <c r="F54" s="2144" t="s">
        <v>765</v>
      </c>
      <c r="G54" s="2141" t="s">
        <v>308</v>
      </c>
      <c r="H54" s="2142"/>
      <c r="I54" s="2142"/>
      <c r="J54" s="2142"/>
      <c r="K54" s="2143"/>
      <c r="L54" s="1991" t="s">
        <v>766</v>
      </c>
      <c r="M54" s="1991"/>
      <c r="N54" s="1991"/>
      <c r="O54" s="1991" t="s">
        <v>767</v>
      </c>
      <c r="P54" s="1991"/>
      <c r="Q54" s="1991"/>
      <c r="R54" s="1991" t="s">
        <v>768</v>
      </c>
      <c r="S54" s="1991"/>
      <c r="T54" s="1991"/>
      <c r="U54" s="1991" t="s">
        <v>769</v>
      </c>
      <c r="V54" s="1991"/>
      <c r="W54" s="1991"/>
      <c r="X54" s="1991" t="s">
        <v>770</v>
      </c>
      <c r="Y54" s="1991"/>
      <c r="Z54" s="1991"/>
      <c r="AA54" s="1991" t="s">
        <v>771</v>
      </c>
      <c r="AB54" s="1991"/>
      <c r="AC54" s="1991"/>
      <c r="AD54" s="1991" t="s">
        <v>772</v>
      </c>
      <c r="AE54" s="1991"/>
      <c r="AF54" s="1991"/>
    </row>
    <row r="55" spans="2:32" x14ac:dyDescent="0.35">
      <c r="B55" s="2139"/>
      <c r="C55" s="2130" t="s">
        <v>773</v>
      </c>
      <c r="D55" s="2130" t="s">
        <v>774</v>
      </c>
      <c r="E55" s="2130" t="s">
        <v>164</v>
      </c>
      <c r="F55" s="2145"/>
      <c r="G55" s="2141" t="s">
        <v>775</v>
      </c>
      <c r="H55" s="2142"/>
      <c r="I55" s="2143"/>
      <c r="J55" s="2130" t="s">
        <v>776</v>
      </c>
      <c r="K55" s="2130" t="s">
        <v>777</v>
      </c>
      <c r="L55" s="2130" t="s">
        <v>778</v>
      </c>
      <c r="M55" s="2130" t="s">
        <v>779</v>
      </c>
      <c r="N55" s="2130" t="s">
        <v>164</v>
      </c>
      <c r="O55" s="2130" t="s">
        <v>778</v>
      </c>
      <c r="P55" s="2130" t="s">
        <v>779</v>
      </c>
      <c r="Q55" s="2130" t="s">
        <v>164</v>
      </c>
      <c r="R55" s="2130" t="s">
        <v>778</v>
      </c>
      <c r="S55" s="2130" t="s">
        <v>779</v>
      </c>
      <c r="T55" s="2130" t="s">
        <v>164</v>
      </c>
      <c r="U55" s="2130" t="s">
        <v>778</v>
      </c>
      <c r="V55" s="2130" t="s">
        <v>779</v>
      </c>
      <c r="W55" s="2130" t="s">
        <v>164</v>
      </c>
      <c r="X55" s="2130" t="s">
        <v>778</v>
      </c>
      <c r="Y55" s="2130" t="s">
        <v>779</v>
      </c>
      <c r="Z55" s="2130" t="s">
        <v>164</v>
      </c>
      <c r="AA55" s="2130" t="s">
        <v>778</v>
      </c>
      <c r="AB55" s="2130" t="s">
        <v>779</v>
      </c>
      <c r="AC55" s="2130" t="s">
        <v>164</v>
      </c>
      <c r="AD55" s="2130" t="s">
        <v>778</v>
      </c>
      <c r="AE55" s="2130" t="s">
        <v>779</v>
      </c>
      <c r="AF55" s="2130" t="s">
        <v>164</v>
      </c>
    </row>
    <row r="56" spans="2:32" ht="40.5" x14ac:dyDescent="0.35">
      <c r="B56" s="2140"/>
      <c r="C56" s="2131"/>
      <c r="D56" s="2131"/>
      <c r="E56" s="2131"/>
      <c r="F56" s="2146"/>
      <c r="G56" s="184" t="s">
        <v>780</v>
      </c>
      <c r="H56" s="184" t="s">
        <v>781</v>
      </c>
      <c r="I56" s="184" t="s">
        <v>164</v>
      </c>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row>
    <row r="57" spans="2:32" x14ac:dyDescent="0.35">
      <c r="B57" s="1654" t="s">
        <v>161</v>
      </c>
      <c r="C57" s="382"/>
      <c r="D57" s="382"/>
      <c r="E57" s="382"/>
      <c r="F57" s="2147">
        <f>+'F1.3'!E38</f>
        <v>8.1601547220525781</v>
      </c>
      <c r="G57" s="1630"/>
      <c r="H57" s="1630"/>
      <c r="I57" s="1630"/>
      <c r="J57" s="435"/>
      <c r="K57" s="435"/>
      <c r="L57" s="1631"/>
      <c r="M57" s="1628"/>
      <c r="N57" s="1628"/>
      <c r="O57" s="1628"/>
      <c r="P57" s="1628"/>
      <c r="Q57" s="1628"/>
      <c r="R57" s="435"/>
      <c r="S57" s="435"/>
      <c r="T57" s="435"/>
      <c r="U57" s="435"/>
      <c r="V57" s="435"/>
      <c r="W57" s="435"/>
      <c r="X57" s="435"/>
      <c r="Y57" s="435"/>
      <c r="Z57" s="435"/>
      <c r="AA57" s="2132">
        <f>+G70/$F$57</f>
        <v>0.96921981302954996</v>
      </c>
      <c r="AB57" s="2135"/>
      <c r="AC57" s="2132">
        <f>+I70/$F$57</f>
        <v>0.96921981302954996</v>
      </c>
      <c r="AD57" s="435"/>
      <c r="AE57" s="435"/>
      <c r="AF57" s="435"/>
    </row>
    <row r="58" spans="2:32" x14ac:dyDescent="0.35">
      <c r="B58" s="1655" t="s">
        <v>1552</v>
      </c>
      <c r="C58" s="1632">
        <f>+'F13'!C83</f>
        <v>1</v>
      </c>
      <c r="D58" s="466">
        <v>0</v>
      </c>
      <c r="E58" s="1632">
        <f>C58+D58</f>
        <v>1</v>
      </c>
      <c r="F58" s="2147"/>
      <c r="G58" s="1177">
        <f>+'F13'!D83</f>
        <v>1.44E-2</v>
      </c>
      <c r="H58" s="1633">
        <v>0</v>
      </c>
      <c r="I58" s="1630">
        <f>+G58+H58</f>
        <v>1.44E-2</v>
      </c>
      <c r="J58" s="1633">
        <v>0</v>
      </c>
      <c r="K58" s="498">
        <f>I58+J58</f>
        <v>1.44E-2</v>
      </c>
      <c r="L58" s="1631">
        <v>0</v>
      </c>
      <c r="M58" s="1634"/>
      <c r="N58" s="1628">
        <f>L58+M58</f>
        <v>0</v>
      </c>
      <c r="O58" s="1628">
        <v>1.4240999999999998E-2</v>
      </c>
      <c r="P58" s="1634"/>
      <c r="Q58" s="1628">
        <f>O58+P58</f>
        <v>1.4240999999999998E-2</v>
      </c>
      <c r="R58" s="435"/>
      <c r="S58" s="435"/>
      <c r="T58" s="435"/>
      <c r="U58" s="493">
        <f>+X35</f>
        <v>0</v>
      </c>
      <c r="V58" s="493"/>
      <c r="W58" s="1631">
        <f>U58+V58</f>
        <v>0</v>
      </c>
      <c r="X58" s="1668">
        <f>+L58+U58-O58</f>
        <v>-1.4240999999999998E-2</v>
      </c>
      <c r="Y58" s="1635">
        <f>M58+V58-P58</f>
        <v>0</v>
      </c>
      <c r="Z58" s="1631">
        <f>X58+Y58</f>
        <v>-1.4240999999999998E-2</v>
      </c>
      <c r="AA58" s="2133"/>
      <c r="AB58" s="2136"/>
      <c r="AC58" s="2133"/>
      <c r="AD58" s="1778">
        <f>IFERROR(Q58/N58,0)</f>
        <v>0</v>
      </c>
      <c r="AE58" s="435">
        <v>0</v>
      </c>
      <c r="AF58" s="1637">
        <f>AD58+AE58</f>
        <v>0</v>
      </c>
    </row>
    <row r="59" spans="2:32" x14ac:dyDescent="0.35">
      <c r="B59" s="1655" t="s">
        <v>1827</v>
      </c>
      <c r="C59" s="1632">
        <f>+'F13'!C84</f>
        <v>5</v>
      </c>
      <c r="D59" s="466">
        <v>0</v>
      </c>
      <c r="E59" s="1632">
        <f>C59+D59</f>
        <v>5</v>
      </c>
      <c r="F59" s="2147"/>
      <c r="G59" s="1177">
        <f>+'F13'!D84</f>
        <v>6.8380711399999994</v>
      </c>
      <c r="H59" s="1633">
        <v>0</v>
      </c>
      <c r="I59" s="1630">
        <f>+G59+H59</f>
        <v>6.8380711399999994</v>
      </c>
      <c r="J59" s="1633">
        <v>0</v>
      </c>
      <c r="K59" s="498">
        <f>I59+J59</f>
        <v>6.8380711399999994</v>
      </c>
      <c r="L59" s="1631">
        <v>0</v>
      </c>
      <c r="M59" s="1633"/>
      <c r="N59" s="2150">
        <f>L59+M59</f>
        <v>0</v>
      </c>
      <c r="O59" s="2152">
        <v>12.674440000000002</v>
      </c>
      <c r="P59" s="466"/>
      <c r="Q59" s="2154">
        <f>O59+P59</f>
        <v>12.674440000000002</v>
      </c>
      <c r="R59" s="2152"/>
      <c r="S59" s="466"/>
      <c r="T59" s="2154"/>
      <c r="U59" s="2152">
        <f>+X36</f>
        <v>1.8787591890000002</v>
      </c>
      <c r="V59" s="493"/>
      <c r="W59" s="1924">
        <f>U59+V59</f>
        <v>1.8787591890000002</v>
      </c>
      <c r="X59" s="1668">
        <f>+L59+U59-O59</f>
        <v>-10.795680811000002</v>
      </c>
      <c r="Y59" s="1635">
        <f>M59+V59-P59</f>
        <v>0</v>
      </c>
      <c r="Z59" s="1631">
        <f>X59+Y59</f>
        <v>-10.795680811000002</v>
      </c>
      <c r="AA59" s="2133"/>
      <c r="AB59" s="2136"/>
      <c r="AC59" s="2133"/>
      <c r="AD59" s="1778">
        <f>IFERROR(Q59/N59,0)</f>
        <v>0</v>
      </c>
      <c r="AE59" s="435">
        <v>0</v>
      </c>
      <c r="AF59" s="1637">
        <f>AD59+AE59</f>
        <v>0</v>
      </c>
    </row>
    <row r="60" spans="2:32" x14ac:dyDescent="0.35">
      <c r="B60" s="1655" t="s">
        <v>1828</v>
      </c>
      <c r="C60" s="1632">
        <f>+'F13'!C72</f>
        <v>0</v>
      </c>
      <c r="D60" s="466">
        <v>0</v>
      </c>
      <c r="E60" s="1632">
        <f>C60+D60</f>
        <v>0</v>
      </c>
      <c r="F60" s="2147"/>
      <c r="G60" s="1177">
        <f>+'F13'!D72</f>
        <v>0</v>
      </c>
      <c r="H60" s="1633"/>
      <c r="I60" s="1630">
        <f>+G60+H60</f>
        <v>0</v>
      </c>
      <c r="J60" s="1633"/>
      <c r="K60" s="498"/>
      <c r="L60" s="498"/>
      <c r="M60" s="1633"/>
      <c r="N60" s="2151"/>
      <c r="O60" s="2153"/>
      <c r="P60" s="466"/>
      <c r="Q60" s="2155"/>
      <c r="R60" s="2153"/>
      <c r="S60" s="466"/>
      <c r="T60" s="2155"/>
      <c r="U60" s="2153"/>
      <c r="V60" s="493"/>
      <c r="W60" s="1926"/>
      <c r="X60" s="1669"/>
      <c r="Y60" s="1635"/>
      <c r="Z60" s="1631"/>
      <c r="AA60" s="2133"/>
      <c r="AB60" s="2136"/>
      <c r="AC60" s="2133"/>
      <c r="AD60" s="1778"/>
      <c r="AE60" s="435"/>
      <c r="AF60" s="1637"/>
    </row>
    <row r="61" spans="2:32" x14ac:dyDescent="0.35">
      <c r="B61" s="417" t="s">
        <v>1105</v>
      </c>
      <c r="C61" s="1638">
        <f>SUM(C58:C60)</f>
        <v>6</v>
      </c>
      <c r="D61" s="1638">
        <f>SUM(D58:D60)</f>
        <v>0</v>
      </c>
      <c r="E61" s="1638">
        <f>SUM(E58:E60)</f>
        <v>6</v>
      </c>
      <c r="F61" s="2147"/>
      <c r="G61" s="1651">
        <f>SUM(G58:G60)</f>
        <v>6.8524711399999996</v>
      </c>
      <c r="H61" s="1651">
        <f>SUM(H58:H60)</f>
        <v>0</v>
      </c>
      <c r="I61" s="1651">
        <f>SUM(I58:I60)</f>
        <v>6.8524711399999996</v>
      </c>
      <c r="J61" s="1651">
        <f>SUM(J58:J60)</f>
        <v>0</v>
      </c>
      <c r="K61" s="1651">
        <f>SUM(K58:K60)</f>
        <v>6.8524711399999996</v>
      </c>
      <c r="L61" s="1639">
        <f t="shared" ref="L61:Q61" si="6">SUM(L58:L60)</f>
        <v>0</v>
      </c>
      <c r="M61" s="1639">
        <f t="shared" si="6"/>
        <v>0</v>
      </c>
      <c r="N61" s="1639">
        <f t="shared" si="6"/>
        <v>0</v>
      </c>
      <c r="O61" s="1639">
        <f t="shared" si="6"/>
        <v>12.688681000000003</v>
      </c>
      <c r="P61" s="1638">
        <f t="shared" si="6"/>
        <v>0</v>
      </c>
      <c r="Q61" s="1641">
        <f t="shared" si="6"/>
        <v>12.688681000000003</v>
      </c>
      <c r="R61" s="1639"/>
      <c r="S61" s="1638"/>
      <c r="T61" s="1641"/>
      <c r="U61" s="1651">
        <f t="shared" ref="U61:Z61" si="7">SUM(U58:U60)</f>
        <v>1.8787591890000002</v>
      </c>
      <c r="V61" s="1651">
        <f t="shared" si="7"/>
        <v>0</v>
      </c>
      <c r="W61" s="1651">
        <f t="shared" si="7"/>
        <v>1.8787591890000002</v>
      </c>
      <c r="X61" s="1651">
        <f t="shared" si="7"/>
        <v>-10.809921811000002</v>
      </c>
      <c r="Y61" s="1651">
        <f t="shared" si="7"/>
        <v>0</v>
      </c>
      <c r="Z61" s="1651">
        <f t="shared" si="7"/>
        <v>-10.809921811000002</v>
      </c>
      <c r="AA61" s="2133"/>
      <c r="AB61" s="2136"/>
      <c r="AC61" s="2133"/>
      <c r="AD61" s="1779" t="e">
        <f>Q61/N61</f>
        <v>#DIV/0!</v>
      </c>
      <c r="AE61" s="435">
        <v>0</v>
      </c>
      <c r="AF61" s="1645" t="e">
        <f>AD61+AE61</f>
        <v>#DIV/0!</v>
      </c>
    </row>
    <row r="62" spans="2:32" x14ac:dyDescent="0.35">
      <c r="B62" s="1656"/>
      <c r="C62" s="382"/>
      <c r="D62" s="382"/>
      <c r="E62" s="382"/>
      <c r="F62" s="2147"/>
      <c r="G62" s="1177"/>
      <c r="H62" s="1630"/>
      <c r="I62" s="1630"/>
      <c r="J62" s="1630"/>
      <c r="K62" s="498"/>
      <c r="L62" s="498"/>
      <c r="M62" s="1630"/>
      <c r="N62" s="493"/>
      <c r="O62" s="493"/>
      <c r="P62" s="382"/>
      <c r="Q62" s="1628"/>
      <c r="R62" s="493"/>
      <c r="S62" s="382"/>
      <c r="T62" s="1628"/>
      <c r="U62" s="493"/>
      <c r="V62" s="493"/>
      <c r="W62" s="1628"/>
      <c r="X62" s="1635"/>
      <c r="Y62" s="1647"/>
      <c r="Z62" s="1628"/>
      <c r="AA62" s="2133"/>
      <c r="AB62" s="2136"/>
      <c r="AC62" s="2133"/>
      <c r="AD62" s="1778"/>
      <c r="AE62" s="435"/>
      <c r="AF62" s="1637"/>
    </row>
    <row r="63" spans="2:32" x14ac:dyDescent="0.35">
      <c r="B63" s="1656" t="s">
        <v>163</v>
      </c>
      <c r="C63" s="382"/>
      <c r="D63" s="382"/>
      <c r="E63" s="382"/>
      <c r="F63" s="2147"/>
      <c r="G63" s="1177"/>
      <c r="H63" s="1630"/>
      <c r="I63" s="1630"/>
      <c r="J63" s="1630"/>
      <c r="K63" s="498"/>
      <c r="L63" s="498"/>
      <c r="M63" s="1630"/>
      <c r="N63" s="493"/>
      <c r="O63" s="493"/>
      <c r="P63" s="382"/>
      <c r="Q63" s="1628"/>
      <c r="R63" s="493"/>
      <c r="S63" s="382"/>
      <c r="T63" s="1628"/>
      <c r="U63" s="493"/>
      <c r="V63" s="493"/>
      <c r="W63" s="1628"/>
      <c r="X63" s="1635"/>
      <c r="Y63" s="1647"/>
      <c r="Z63" s="1628"/>
      <c r="AA63" s="2133"/>
      <c r="AB63" s="2136"/>
      <c r="AC63" s="2133"/>
      <c r="AD63" s="1778"/>
      <c r="AE63" s="435"/>
      <c r="AF63" s="1637"/>
    </row>
    <row r="64" spans="2:32" x14ac:dyDescent="0.35">
      <c r="B64" s="1655" t="s">
        <v>1554</v>
      </c>
      <c r="C64" s="1632">
        <f>SUM('F13'!C90:C94)</f>
        <v>744</v>
      </c>
      <c r="D64" s="788">
        <v>0</v>
      </c>
      <c r="E64" s="1632">
        <f>C64+D64</f>
        <v>744</v>
      </c>
      <c r="F64" s="2147"/>
      <c r="G64" s="1177">
        <f>SUM('F13'!D90:D94)</f>
        <v>0.84798199399999996</v>
      </c>
      <c r="H64" s="1633">
        <v>0</v>
      </c>
      <c r="I64" s="1630">
        <f>+G64+H64</f>
        <v>0.84798199399999996</v>
      </c>
      <c r="J64" s="1633">
        <v>0</v>
      </c>
      <c r="K64" s="498">
        <f>I64+J64</f>
        <v>0.84798199399999996</v>
      </c>
      <c r="L64" s="498">
        <v>0</v>
      </c>
      <c r="M64" s="1633"/>
      <c r="N64" s="493">
        <f>L64+M64</f>
        <v>0</v>
      </c>
      <c r="O64" s="493">
        <v>1.3742308000000001</v>
      </c>
      <c r="P64" s="466"/>
      <c r="Q64" s="1628">
        <f>O64+P64</f>
        <v>1.3742308000000001</v>
      </c>
      <c r="R64" s="1628"/>
      <c r="S64" s="466"/>
      <c r="T64" s="1628"/>
      <c r="U64" s="493">
        <f>+X41</f>
        <v>7.4582041000000099E-2</v>
      </c>
      <c r="V64" s="493"/>
      <c r="W64" s="1628">
        <f>U64+V64</f>
        <v>7.4582041000000099E-2</v>
      </c>
      <c r="X64" s="1635">
        <f>L64+U64-O64</f>
        <v>-1.2996487590000001</v>
      </c>
      <c r="Y64" s="1635">
        <f>M64+V64-P64</f>
        <v>0</v>
      </c>
      <c r="Z64" s="1628">
        <f>X64+Y64</f>
        <v>-1.2996487590000001</v>
      </c>
      <c r="AA64" s="2133"/>
      <c r="AB64" s="2136"/>
      <c r="AC64" s="2133"/>
      <c r="AD64" s="1778">
        <f t="shared" ref="AD64:AD69" si="8">IFERROR(Q64/N64,0)</f>
        <v>0</v>
      </c>
      <c r="AE64" s="435">
        <v>0</v>
      </c>
      <c r="AF64" s="1637">
        <f t="shared" ref="AF64:AF70" si="9">AD64+AE64</f>
        <v>0</v>
      </c>
    </row>
    <row r="65" spans="2:35" x14ac:dyDescent="0.35">
      <c r="B65" s="1655" t="s">
        <v>1829</v>
      </c>
      <c r="C65" s="1632">
        <f>SUM('F13'!C96:C98)</f>
        <v>28</v>
      </c>
      <c r="D65" s="788">
        <v>0</v>
      </c>
      <c r="E65" s="1632">
        <f>C65+D65</f>
        <v>28</v>
      </c>
      <c r="F65" s="2147"/>
      <c r="G65" s="1177">
        <f>SUM('F13'!D96:D98)</f>
        <v>8.8260000000000005E-3</v>
      </c>
      <c r="H65" s="1633">
        <v>0</v>
      </c>
      <c r="I65" s="1630">
        <f>+G65+H65</f>
        <v>8.8260000000000005E-3</v>
      </c>
      <c r="J65" s="1633">
        <v>0</v>
      </c>
      <c r="K65" s="498">
        <f>I65+J65</f>
        <v>8.8260000000000005E-3</v>
      </c>
      <c r="L65" s="498">
        <v>0</v>
      </c>
      <c r="M65" s="1633"/>
      <c r="N65" s="493">
        <f>L65+M65</f>
        <v>0</v>
      </c>
      <c r="O65" s="493">
        <v>3.6693999999999997E-2</v>
      </c>
      <c r="P65" s="466"/>
      <c r="Q65" s="1628">
        <f>O65+P65</f>
        <v>3.6693999999999997E-2</v>
      </c>
      <c r="R65" s="1628"/>
      <c r="S65" s="466"/>
      <c r="T65" s="1628"/>
      <c r="U65" s="493">
        <f>+X42</f>
        <v>6.8488599999999989E-4</v>
      </c>
      <c r="V65" s="493"/>
      <c r="W65" s="1628">
        <f>U65+V65</f>
        <v>6.8488599999999989E-4</v>
      </c>
      <c r="X65" s="1635">
        <f>L65+U65-O65</f>
        <v>-3.6009113999999995E-2</v>
      </c>
      <c r="Y65" s="1635">
        <f>M65+V65-P65</f>
        <v>0</v>
      </c>
      <c r="Z65" s="1628">
        <f>X65+Y65</f>
        <v>-3.6009113999999995E-2</v>
      </c>
      <c r="AA65" s="2133"/>
      <c r="AB65" s="2136"/>
      <c r="AC65" s="2133"/>
      <c r="AD65" s="1778">
        <f t="shared" si="8"/>
        <v>0</v>
      </c>
      <c r="AE65" s="435">
        <v>0</v>
      </c>
      <c r="AF65" s="1637">
        <f t="shared" si="9"/>
        <v>0</v>
      </c>
    </row>
    <row r="66" spans="2:35" x14ac:dyDescent="0.35">
      <c r="B66" s="1655" t="s">
        <v>1830</v>
      </c>
      <c r="C66" s="1632">
        <f>+'F13'!C99</f>
        <v>1</v>
      </c>
      <c r="D66" s="788"/>
      <c r="E66" s="1632"/>
      <c r="F66" s="2147"/>
      <c r="G66" s="1177">
        <f>+'F13'!D99</f>
        <v>7.2580000000000006E-2</v>
      </c>
      <c r="H66" s="1633">
        <v>0</v>
      </c>
      <c r="I66" s="1630">
        <f>+G66+H66</f>
        <v>7.2580000000000006E-2</v>
      </c>
      <c r="J66" s="1633"/>
      <c r="K66" s="498"/>
      <c r="L66" s="498">
        <v>0</v>
      </c>
      <c r="M66" s="1633"/>
      <c r="N66" s="493">
        <f>L66+M66</f>
        <v>0</v>
      </c>
      <c r="O66" s="493">
        <v>6.1618000000000006E-2</v>
      </c>
      <c r="P66" s="466"/>
      <c r="Q66" s="1628">
        <f>O66+P66</f>
        <v>6.1618000000000006E-2</v>
      </c>
      <c r="R66" s="493"/>
      <c r="S66" s="466"/>
      <c r="T66" s="1628"/>
      <c r="U66" s="493">
        <f>+X43</f>
        <v>0</v>
      </c>
      <c r="V66" s="493"/>
      <c r="W66" s="1628">
        <f>U66+V66</f>
        <v>0</v>
      </c>
      <c r="X66" s="1635">
        <f>L66+U66-O66</f>
        <v>-6.1618000000000006E-2</v>
      </c>
      <c r="Y66" s="1635"/>
      <c r="Z66" s="1628">
        <f>X66+Y66</f>
        <v>-6.1618000000000006E-2</v>
      </c>
      <c r="AA66" s="2133"/>
      <c r="AB66" s="2136"/>
      <c r="AC66" s="2133"/>
      <c r="AD66" s="1778">
        <f t="shared" si="8"/>
        <v>0</v>
      </c>
      <c r="AE66" s="435">
        <v>0</v>
      </c>
      <c r="AF66" s="1637">
        <f t="shared" si="9"/>
        <v>0</v>
      </c>
    </row>
    <row r="67" spans="2:35" x14ac:dyDescent="0.35">
      <c r="B67" s="1655" t="s">
        <v>1831</v>
      </c>
      <c r="C67" s="1632">
        <f>+'F13'!C100</f>
        <v>2</v>
      </c>
      <c r="D67" s="788">
        <v>0</v>
      </c>
      <c r="E67" s="1632">
        <f>C67+D67</f>
        <v>2</v>
      </c>
      <c r="F67" s="2147"/>
      <c r="G67" s="1177">
        <f>+'F13'!D100</f>
        <v>0.120709</v>
      </c>
      <c r="H67" s="1633">
        <v>0</v>
      </c>
      <c r="I67" s="1630">
        <f>+G67+H67</f>
        <v>0.120709</v>
      </c>
      <c r="J67" s="1633">
        <v>0</v>
      </c>
      <c r="K67" s="498">
        <f>I67+J67</f>
        <v>0.120709</v>
      </c>
      <c r="L67" s="498">
        <v>0</v>
      </c>
      <c r="M67" s="1633"/>
      <c r="N67" s="493">
        <f>L67+M67</f>
        <v>0</v>
      </c>
      <c r="O67" s="493">
        <v>8.3652999999999991E-2</v>
      </c>
      <c r="P67" s="466"/>
      <c r="Q67" s="1628">
        <f>O67+P67</f>
        <v>8.3652999999999991E-2</v>
      </c>
      <c r="R67" s="1628"/>
      <c r="S67" s="466"/>
      <c r="T67" s="1628"/>
      <c r="U67" s="493">
        <f>+X44</f>
        <v>6.1362330000000048E-3</v>
      </c>
      <c r="V67" s="493"/>
      <c r="W67" s="1628">
        <f>U67+V67</f>
        <v>6.1362330000000048E-3</v>
      </c>
      <c r="X67" s="1635">
        <f>L67+U67-O67</f>
        <v>-7.7516766999999986E-2</v>
      </c>
      <c r="Y67" s="1635">
        <f>M67+V67-P67</f>
        <v>0</v>
      </c>
      <c r="Z67" s="1628">
        <f>X67+Y67</f>
        <v>-7.7516766999999986E-2</v>
      </c>
      <c r="AA67" s="2133"/>
      <c r="AB67" s="2136"/>
      <c r="AC67" s="2133"/>
      <c r="AD67" s="1778">
        <f t="shared" si="8"/>
        <v>0</v>
      </c>
      <c r="AE67" s="435">
        <v>0</v>
      </c>
      <c r="AF67" s="1637">
        <f t="shared" si="9"/>
        <v>0</v>
      </c>
    </row>
    <row r="68" spans="2:35" x14ac:dyDescent="0.35">
      <c r="B68" s="428" t="s">
        <v>1832</v>
      </c>
      <c r="C68" s="1632">
        <f>+'F13'!C101</f>
        <v>1</v>
      </c>
      <c r="D68" s="788">
        <v>0</v>
      </c>
      <c r="E68" s="1632">
        <f>C68+D68</f>
        <v>1</v>
      </c>
      <c r="F68" s="2147"/>
      <c r="G68" s="1177">
        <f>+'F13'!D101</f>
        <v>6.4155000000000011E-3</v>
      </c>
      <c r="H68" s="1633">
        <v>0</v>
      </c>
      <c r="I68" s="1630">
        <f>+G68+H68</f>
        <v>6.4155000000000011E-3</v>
      </c>
      <c r="J68" s="1633">
        <v>0</v>
      </c>
      <c r="K68" s="498">
        <f>I68+J68</f>
        <v>6.4155000000000011E-3</v>
      </c>
      <c r="L68" s="498">
        <v>0</v>
      </c>
      <c r="M68" s="1633"/>
      <c r="N68" s="493">
        <f>L68+M68</f>
        <v>0</v>
      </c>
      <c r="O68" s="493">
        <v>1.5414000000000001E-2</v>
      </c>
      <c r="P68" s="466"/>
      <c r="Q68" s="1628">
        <f>O68+P68</f>
        <v>1.5414000000000001E-2</v>
      </c>
      <c r="R68" s="1628"/>
      <c r="S68" s="466"/>
      <c r="T68" s="1628"/>
      <c r="U68" s="493">
        <f>+X45</f>
        <v>1.0980429999999999E-3</v>
      </c>
      <c r="V68" s="493"/>
      <c r="W68" s="1628">
        <f>U68+V68</f>
        <v>1.0980429999999999E-3</v>
      </c>
      <c r="X68" s="1635">
        <f>L68+U68-O68</f>
        <v>-1.4315957000000001E-2</v>
      </c>
      <c r="Y68" s="1635">
        <f>M68+V68-P68</f>
        <v>0</v>
      </c>
      <c r="Z68" s="1628">
        <f>X68+Y68</f>
        <v>-1.4315957000000001E-2</v>
      </c>
      <c r="AA68" s="2133"/>
      <c r="AB68" s="2136"/>
      <c r="AC68" s="2133"/>
      <c r="AD68" s="1778">
        <f t="shared" si="8"/>
        <v>0</v>
      </c>
      <c r="AE68" s="435">
        <v>0</v>
      </c>
      <c r="AF68" s="1637">
        <f t="shared" si="9"/>
        <v>0</v>
      </c>
    </row>
    <row r="69" spans="2:35" x14ac:dyDescent="0.35">
      <c r="B69" s="417" t="s">
        <v>1112</v>
      </c>
      <c r="C69" s="1638">
        <f>SUM(C64:C68)</f>
        <v>776</v>
      </c>
      <c r="D69" s="1638">
        <v>0</v>
      </c>
      <c r="E69" s="1638">
        <f>SUM(E64:E68)</f>
        <v>775</v>
      </c>
      <c r="F69" s="2147"/>
      <c r="G69" s="1639">
        <f t="shared" ref="G69:L69" si="10">SUM(G64:G68)</f>
        <v>1.0565124939999999</v>
      </c>
      <c r="H69" s="1639">
        <f t="shared" si="10"/>
        <v>0</v>
      </c>
      <c r="I69" s="1639">
        <f t="shared" si="10"/>
        <v>1.0565124939999999</v>
      </c>
      <c r="J69" s="1639">
        <f t="shared" si="10"/>
        <v>0</v>
      </c>
      <c r="K69" s="1639">
        <f t="shared" si="10"/>
        <v>0.98393249399999994</v>
      </c>
      <c r="L69" s="1653">
        <f t="shared" si="10"/>
        <v>0</v>
      </c>
      <c r="M69" s="1639">
        <v>0</v>
      </c>
      <c r="N69" s="500">
        <f>SUM(N64:N68)</f>
        <v>0</v>
      </c>
      <c r="O69" s="500">
        <f>SUM(O64:O68)</f>
        <v>1.5716098000000001</v>
      </c>
      <c r="P69" s="447">
        <v>0</v>
      </c>
      <c r="Q69" s="1629">
        <f>SUM(Q64:Q68)</f>
        <v>1.5716098000000001</v>
      </c>
      <c r="R69" s="500"/>
      <c r="S69" s="447"/>
      <c r="T69" s="1629"/>
      <c r="U69" s="1639">
        <f t="shared" ref="U69:Z69" si="11">SUM(U64:U68)</f>
        <v>8.2501203000000106E-2</v>
      </c>
      <c r="V69" s="1639">
        <f t="shared" si="11"/>
        <v>0</v>
      </c>
      <c r="W69" s="1639">
        <f t="shared" si="11"/>
        <v>8.2501203000000106E-2</v>
      </c>
      <c r="X69" s="1639">
        <f t="shared" si="11"/>
        <v>-1.489108597</v>
      </c>
      <c r="Y69" s="1639">
        <f t="shared" si="11"/>
        <v>0</v>
      </c>
      <c r="Z69" s="1639">
        <f t="shared" si="11"/>
        <v>-1.489108597</v>
      </c>
      <c r="AA69" s="2133"/>
      <c r="AB69" s="2136"/>
      <c r="AC69" s="2133"/>
      <c r="AD69" s="1778">
        <f t="shared" si="8"/>
        <v>0</v>
      </c>
      <c r="AE69" s="435">
        <v>0</v>
      </c>
      <c r="AF69" s="1637">
        <f t="shared" si="9"/>
        <v>0</v>
      </c>
    </row>
    <row r="70" spans="2:35" x14ac:dyDescent="0.35">
      <c r="B70" s="419" t="s">
        <v>164</v>
      </c>
      <c r="C70" s="1638">
        <f>C61+C69</f>
        <v>782</v>
      </c>
      <c r="D70" s="1638">
        <v>0</v>
      </c>
      <c r="E70" s="1638">
        <f>E61+E69</f>
        <v>781</v>
      </c>
      <c r="F70" s="2147"/>
      <c r="G70" s="1652">
        <f>+G69+G61</f>
        <v>7.9089836339999993</v>
      </c>
      <c r="H70" s="1652">
        <f>+H69+H61</f>
        <v>0</v>
      </c>
      <c r="I70" s="1652">
        <f>+I69+I61</f>
        <v>7.9089836339999993</v>
      </c>
      <c r="J70" s="1652">
        <f>+J69+J61</f>
        <v>0</v>
      </c>
      <c r="K70" s="1652">
        <f>+K69+K61</f>
        <v>7.8364036339999998</v>
      </c>
      <c r="L70" s="1653">
        <f>L61+L69</f>
        <v>0</v>
      </c>
      <c r="M70" s="1639">
        <v>0</v>
      </c>
      <c r="N70" s="500">
        <f>N61+N69</f>
        <v>0</v>
      </c>
      <c r="O70" s="500">
        <f>O61+O69</f>
        <v>14.260290800000003</v>
      </c>
      <c r="P70" s="447">
        <v>0</v>
      </c>
      <c r="Q70" s="1629">
        <f>Q61+Q69</f>
        <v>14.260290800000003</v>
      </c>
      <c r="R70" s="500"/>
      <c r="S70" s="447"/>
      <c r="T70" s="1629"/>
      <c r="U70" s="1652">
        <f t="shared" ref="U70:Z70" si="12">+U69+U61</f>
        <v>1.9612603920000002</v>
      </c>
      <c r="V70" s="1652">
        <f t="shared" si="12"/>
        <v>0</v>
      </c>
      <c r="W70" s="1652">
        <f t="shared" si="12"/>
        <v>1.9612603920000002</v>
      </c>
      <c r="X70" s="1652">
        <f t="shared" si="12"/>
        <v>-12.299030408000002</v>
      </c>
      <c r="Y70" s="1652">
        <f t="shared" si="12"/>
        <v>0</v>
      </c>
      <c r="Z70" s="1652">
        <f t="shared" si="12"/>
        <v>-12.299030408000002</v>
      </c>
      <c r="AA70" s="2134"/>
      <c r="AB70" s="2137"/>
      <c r="AC70" s="2134"/>
      <c r="AD70" s="1779" t="e">
        <f>Q70/N70</f>
        <v>#DIV/0!</v>
      </c>
      <c r="AE70" s="1779"/>
      <c r="AF70" s="1645" t="e">
        <f t="shared" si="9"/>
        <v>#DIV/0!</v>
      </c>
      <c r="AG70" s="1650">
        <f>+Assum!G62</f>
        <v>1.0277000000000001</v>
      </c>
      <c r="AI70" s="1674"/>
    </row>
    <row r="71" spans="2:35" x14ac:dyDescent="0.35">
      <c r="B71" s="34" t="s">
        <v>782</v>
      </c>
    </row>
    <row r="72" spans="2:35" ht="13.8" customHeight="1" x14ac:dyDescent="0.35">
      <c r="B72" s="2066" t="s">
        <v>783</v>
      </c>
      <c r="C72" s="2066"/>
      <c r="D72" s="2066"/>
      <c r="E72" s="2066"/>
      <c r="F72" s="2066"/>
      <c r="G72" s="2066"/>
      <c r="H72" s="2066"/>
      <c r="I72" s="2066"/>
      <c r="J72" s="2066"/>
      <c r="K72" s="2066"/>
      <c r="L72" s="2066"/>
      <c r="M72" s="2066"/>
      <c r="N72" s="2066"/>
      <c r="O72" s="2066"/>
      <c r="P72" s="2066"/>
      <c r="Q72" s="2066"/>
      <c r="R72" s="2066"/>
      <c r="S72" s="2066"/>
    </row>
    <row r="73" spans="2:35" x14ac:dyDescent="0.35">
      <c r="B73" s="2066" t="s">
        <v>784</v>
      </c>
      <c r="C73" s="2066"/>
      <c r="D73" s="2066"/>
      <c r="E73" s="2066"/>
      <c r="F73" s="2066"/>
      <c r="G73" s="2066"/>
      <c r="H73" s="2066"/>
      <c r="I73" s="2066"/>
      <c r="J73" s="2066"/>
      <c r="K73" s="2066"/>
      <c r="L73" s="2066"/>
      <c r="M73" s="2066"/>
      <c r="N73" s="2066"/>
      <c r="O73" s="2066"/>
      <c r="P73" s="2066"/>
      <c r="Q73" s="2066"/>
      <c r="R73" s="2066"/>
      <c r="S73" s="2066"/>
    </row>
    <row r="74" spans="2:35" x14ac:dyDescent="0.35">
      <c r="B74" s="423"/>
    </row>
    <row r="75" spans="2:35" x14ac:dyDescent="0.35">
      <c r="B75" s="423" t="s">
        <v>1116</v>
      </c>
    </row>
    <row r="76" spans="2:35" x14ac:dyDescent="0.35">
      <c r="B76" s="423"/>
    </row>
    <row r="77" spans="2:35" x14ac:dyDescent="0.35">
      <c r="B77" s="2138" t="s">
        <v>699</v>
      </c>
      <c r="C77" s="2141" t="s">
        <v>764</v>
      </c>
      <c r="D77" s="2142"/>
      <c r="E77" s="2143"/>
      <c r="F77" s="2144" t="s">
        <v>765</v>
      </c>
      <c r="G77" s="2141" t="s">
        <v>308</v>
      </c>
      <c r="H77" s="2142"/>
      <c r="I77" s="2142"/>
      <c r="J77" s="2142"/>
      <c r="K77" s="2143"/>
      <c r="L77" s="1991" t="s">
        <v>766</v>
      </c>
      <c r="M77" s="1991"/>
      <c r="N77" s="1991"/>
      <c r="O77" s="1991" t="s">
        <v>767</v>
      </c>
      <c r="P77" s="1991"/>
      <c r="Q77" s="1991"/>
      <c r="R77" s="1991" t="s">
        <v>768</v>
      </c>
      <c r="S77" s="1991"/>
      <c r="T77" s="1991"/>
      <c r="U77" s="1991" t="s">
        <v>769</v>
      </c>
      <c r="V77" s="1991"/>
      <c r="W77" s="1991"/>
      <c r="X77" s="1991" t="s">
        <v>770</v>
      </c>
      <c r="Y77" s="1991"/>
      <c r="Z77" s="1991"/>
      <c r="AA77" s="1991" t="s">
        <v>771</v>
      </c>
      <c r="AB77" s="1991"/>
      <c r="AC77" s="1991"/>
      <c r="AD77" s="1991" t="s">
        <v>772</v>
      </c>
      <c r="AE77" s="1991"/>
      <c r="AF77" s="1991"/>
    </row>
    <row r="78" spans="2:35" x14ac:dyDescent="0.35">
      <c r="B78" s="2139"/>
      <c r="C78" s="2130" t="s">
        <v>773</v>
      </c>
      <c r="D78" s="2130" t="s">
        <v>774</v>
      </c>
      <c r="E78" s="2130" t="s">
        <v>164</v>
      </c>
      <c r="F78" s="2145"/>
      <c r="G78" s="2141" t="s">
        <v>775</v>
      </c>
      <c r="H78" s="2142"/>
      <c r="I78" s="2143"/>
      <c r="J78" s="2130" t="s">
        <v>776</v>
      </c>
      <c r="K78" s="2130" t="s">
        <v>777</v>
      </c>
      <c r="L78" s="2130" t="s">
        <v>778</v>
      </c>
      <c r="M78" s="2130" t="s">
        <v>779</v>
      </c>
      <c r="N78" s="2130" t="s">
        <v>164</v>
      </c>
      <c r="O78" s="2130" t="s">
        <v>778</v>
      </c>
      <c r="P78" s="2130" t="s">
        <v>779</v>
      </c>
      <c r="Q78" s="2130" t="s">
        <v>164</v>
      </c>
      <c r="R78" s="2130" t="s">
        <v>778</v>
      </c>
      <c r="S78" s="2130" t="s">
        <v>779</v>
      </c>
      <c r="T78" s="2130" t="s">
        <v>164</v>
      </c>
      <c r="U78" s="2130" t="s">
        <v>778</v>
      </c>
      <c r="V78" s="2130" t="s">
        <v>779</v>
      </c>
      <c r="W78" s="2130" t="s">
        <v>164</v>
      </c>
      <c r="X78" s="2130" t="s">
        <v>778</v>
      </c>
      <c r="Y78" s="2130" t="s">
        <v>779</v>
      </c>
      <c r="Z78" s="2130" t="s">
        <v>164</v>
      </c>
      <c r="AA78" s="2130" t="s">
        <v>778</v>
      </c>
      <c r="AB78" s="2130" t="s">
        <v>779</v>
      </c>
      <c r="AC78" s="2130" t="s">
        <v>164</v>
      </c>
      <c r="AD78" s="2130" t="s">
        <v>778</v>
      </c>
      <c r="AE78" s="2130" t="s">
        <v>779</v>
      </c>
      <c r="AF78" s="2130" t="s">
        <v>164</v>
      </c>
    </row>
    <row r="79" spans="2:35" ht="40.5" x14ac:dyDescent="0.35">
      <c r="B79" s="2140"/>
      <c r="C79" s="2131"/>
      <c r="D79" s="2131"/>
      <c r="E79" s="2131"/>
      <c r="F79" s="2146"/>
      <c r="G79" s="184" t="s">
        <v>780</v>
      </c>
      <c r="H79" s="184" t="s">
        <v>781</v>
      </c>
      <c r="I79" s="184" t="s">
        <v>164</v>
      </c>
      <c r="J79" s="2131"/>
      <c r="K79" s="2131"/>
      <c r="L79" s="2131"/>
      <c r="M79" s="2131"/>
      <c r="N79" s="2131"/>
      <c r="O79" s="2131"/>
      <c r="P79" s="2131"/>
      <c r="Q79" s="2131"/>
      <c r="R79" s="2131"/>
      <c r="S79" s="2131"/>
      <c r="T79" s="2131"/>
      <c r="U79" s="2131"/>
      <c r="V79" s="2131"/>
      <c r="W79" s="2131"/>
      <c r="X79" s="2131"/>
      <c r="Y79" s="2131"/>
      <c r="Z79" s="2131"/>
      <c r="AA79" s="2131"/>
      <c r="AB79" s="2131"/>
      <c r="AC79" s="2131"/>
      <c r="AD79" s="2131"/>
      <c r="AE79" s="2131"/>
      <c r="AF79" s="2131"/>
    </row>
    <row r="80" spans="2:35" x14ac:dyDescent="0.35">
      <c r="B80" s="1654" t="s">
        <v>161</v>
      </c>
      <c r="C80" s="382"/>
      <c r="D80" s="382"/>
      <c r="E80" s="382"/>
      <c r="F80" s="2147">
        <f>+'F1.3'!E50</f>
        <v>17.38229630263756</v>
      </c>
      <c r="G80" s="1630"/>
      <c r="H80" s="1630"/>
      <c r="I80" s="1630"/>
      <c r="J80" s="435"/>
      <c r="K80" s="435"/>
      <c r="L80" s="1631"/>
      <c r="M80" s="1628"/>
      <c r="N80" s="1628"/>
      <c r="O80" s="1628"/>
      <c r="P80" s="1628"/>
      <c r="Q80" s="1628"/>
      <c r="R80" s="435"/>
      <c r="S80" s="435"/>
      <c r="T80" s="435"/>
      <c r="U80" s="435"/>
      <c r="V80" s="435"/>
      <c r="W80" s="435"/>
      <c r="X80" s="435"/>
      <c r="Y80" s="435"/>
      <c r="Z80" s="435"/>
      <c r="AA80" s="2132">
        <f>+G94/$F$80</f>
        <v>0.97179850911509447</v>
      </c>
      <c r="AB80" s="2135"/>
      <c r="AC80" s="2132">
        <f>+I94/$F$80</f>
        <v>0.97179850911509447</v>
      </c>
      <c r="AD80" s="435"/>
      <c r="AE80" s="435"/>
      <c r="AF80" s="435"/>
    </row>
    <row r="81" spans="2:33" x14ac:dyDescent="0.35">
      <c r="B81" s="1655" t="s">
        <v>1552</v>
      </c>
      <c r="C81" s="1632">
        <f>+'F13'!C113</f>
        <v>2</v>
      </c>
      <c r="D81" s="466">
        <v>0</v>
      </c>
      <c r="E81" s="1632">
        <f>C81+D81</f>
        <v>2</v>
      </c>
      <c r="F81" s="2147"/>
      <c r="G81" s="1177">
        <f>+'F13'!D113</f>
        <v>13.38198</v>
      </c>
      <c r="H81" s="1633">
        <v>0</v>
      </c>
      <c r="I81" s="1630">
        <f>+G81+H81</f>
        <v>13.38198</v>
      </c>
      <c r="J81" s="1633">
        <v>0</v>
      </c>
      <c r="K81" s="498">
        <f>I81+J81</f>
        <v>13.38198</v>
      </c>
      <c r="L81" s="1631">
        <v>10.33169212</v>
      </c>
      <c r="M81" s="1634"/>
      <c r="N81" s="1628">
        <f>L81+M81</f>
        <v>10.33169212</v>
      </c>
      <c r="O81" s="1628">
        <v>10.276226999999999</v>
      </c>
      <c r="P81" s="1634"/>
      <c r="Q81" s="1628">
        <f>O81+P81</f>
        <v>10.276226999999999</v>
      </c>
      <c r="R81" s="435"/>
      <c r="S81" s="435"/>
      <c r="T81" s="435"/>
      <c r="U81" s="493">
        <f>+X58</f>
        <v>-1.4240999999999998E-2</v>
      </c>
      <c r="V81" s="493"/>
      <c r="W81" s="1631">
        <f>U81+V81</f>
        <v>-1.4240999999999998E-2</v>
      </c>
      <c r="X81" s="1635">
        <f>L81+U81-O81</f>
        <v>4.1224120000000752E-2</v>
      </c>
      <c r="Y81" s="1635">
        <f>M81+V81-P81</f>
        <v>0</v>
      </c>
      <c r="Z81" s="1631">
        <f>X81+Y81</f>
        <v>4.1224120000000752E-2</v>
      </c>
      <c r="AA81" s="2133"/>
      <c r="AB81" s="2136"/>
      <c r="AC81" s="2133"/>
      <c r="AD81" s="1636">
        <f>IFERROR(Q81/N81,0)</f>
        <v>0.99463155508741574</v>
      </c>
      <c r="AE81" s="435">
        <v>0</v>
      </c>
      <c r="AF81" s="1637">
        <f>AD81+AE81</f>
        <v>0.99463155508741574</v>
      </c>
    </row>
    <row r="82" spans="2:33" x14ac:dyDescent="0.35">
      <c r="B82" s="1655" t="s">
        <v>1827</v>
      </c>
      <c r="C82" s="1632">
        <f>+'F13'!C114</f>
        <v>3</v>
      </c>
      <c r="D82" s="466">
        <v>0</v>
      </c>
      <c r="E82" s="1632">
        <f>C82+D82</f>
        <v>3</v>
      </c>
      <c r="F82" s="2147"/>
      <c r="G82" s="1177">
        <f>+'F13'!D114</f>
        <v>1.3603304818999997</v>
      </c>
      <c r="H82" s="1633">
        <v>0</v>
      </c>
      <c r="I82" s="1630">
        <f>+G82+H82</f>
        <v>1.3603304818999997</v>
      </c>
      <c r="J82" s="1633">
        <v>0</v>
      </c>
      <c r="K82" s="498">
        <f>I82+J82</f>
        <v>1.3603304818999997</v>
      </c>
      <c r="L82" s="1924">
        <v>2.5243969779676001</v>
      </c>
      <c r="M82" s="1633"/>
      <c r="N82" s="2150">
        <f>L82+M82</f>
        <v>2.5243969779676001</v>
      </c>
      <c r="O82" s="2152">
        <v>2.4557799999999999</v>
      </c>
      <c r="P82" s="466"/>
      <c r="Q82" s="2154">
        <f>O82+P82</f>
        <v>2.4557799999999999</v>
      </c>
      <c r="R82" s="2152"/>
      <c r="S82" s="466"/>
      <c r="T82" s="2154"/>
      <c r="U82" s="493">
        <f>+X59</f>
        <v>-10.795680811000002</v>
      </c>
      <c r="V82" s="493"/>
      <c r="W82" s="2156">
        <f>U82+V82</f>
        <v>-10.795680811000002</v>
      </c>
      <c r="X82" s="1635">
        <f>L82+U82-O82</f>
        <v>-10.727063833032403</v>
      </c>
      <c r="Y82" s="1635">
        <f>M82+V82-P82</f>
        <v>0</v>
      </c>
      <c r="Z82" s="1631">
        <f>X82+Y82</f>
        <v>-10.727063833032403</v>
      </c>
      <c r="AA82" s="2133"/>
      <c r="AB82" s="2136"/>
      <c r="AC82" s="2133"/>
      <c r="AD82" s="1636">
        <f>IFERROR(Q82/N82,0)</f>
        <v>0.97281846771071478</v>
      </c>
      <c r="AE82" s="435">
        <v>0</v>
      </c>
      <c r="AF82" s="1637">
        <f>AD82+AE82</f>
        <v>0.97281846771071478</v>
      </c>
    </row>
    <row r="83" spans="2:33" x14ac:dyDescent="0.35">
      <c r="B83" s="1655" t="s">
        <v>1828</v>
      </c>
      <c r="C83" s="1632"/>
      <c r="D83" s="466">
        <v>0</v>
      </c>
      <c r="E83" s="1632">
        <f>C83+D83</f>
        <v>0</v>
      </c>
      <c r="F83" s="2147"/>
      <c r="G83" s="1177"/>
      <c r="H83" s="1633"/>
      <c r="I83" s="1630">
        <f>+G83+H83</f>
        <v>0</v>
      </c>
      <c r="J83" s="1633"/>
      <c r="K83" s="498"/>
      <c r="L83" s="1926"/>
      <c r="M83" s="1633"/>
      <c r="N83" s="2151"/>
      <c r="O83" s="2153"/>
      <c r="P83" s="466"/>
      <c r="Q83" s="2155"/>
      <c r="R83" s="2153"/>
      <c r="S83" s="466"/>
      <c r="T83" s="2155"/>
      <c r="U83" s="493"/>
      <c r="V83" s="493"/>
      <c r="W83" s="2156"/>
      <c r="X83" s="1628"/>
      <c r="Y83" s="1635"/>
      <c r="Z83" s="1631"/>
      <c r="AA83" s="2133"/>
      <c r="AB83" s="2136"/>
      <c r="AC83" s="2133"/>
      <c r="AD83" s="1636"/>
      <c r="AE83" s="435"/>
      <c r="AF83" s="1637"/>
    </row>
    <row r="84" spans="2:33" x14ac:dyDescent="0.35">
      <c r="B84" s="417" t="s">
        <v>1105</v>
      </c>
      <c r="C84" s="1638">
        <f>SUM(C81:C83)</f>
        <v>5</v>
      </c>
      <c r="D84" s="1638">
        <f>SUM(D81:D83)</f>
        <v>0</v>
      </c>
      <c r="E84" s="1638">
        <f>SUM(E81:E83)</f>
        <v>5</v>
      </c>
      <c r="F84" s="2147"/>
      <c r="G84" s="1651">
        <f>SUM(G81:G83)</f>
        <v>14.742310481900001</v>
      </c>
      <c r="H84" s="1651">
        <f>SUM(H81:H83)</f>
        <v>0</v>
      </c>
      <c r="I84" s="1651">
        <f>SUM(I81:I83)</f>
        <v>14.742310481900001</v>
      </c>
      <c r="J84" s="1651">
        <f>SUM(J81:J83)</f>
        <v>0</v>
      </c>
      <c r="K84" s="1651">
        <f>SUM(K81:K83)</f>
        <v>14.742310481900001</v>
      </c>
      <c r="L84" s="1639">
        <f t="shared" ref="L84:Q84" si="13">SUM(L81:L83)</f>
        <v>12.856089097967599</v>
      </c>
      <c r="M84" s="1639">
        <f t="shared" si="13"/>
        <v>0</v>
      </c>
      <c r="N84" s="1639">
        <f t="shared" si="13"/>
        <v>12.856089097967599</v>
      </c>
      <c r="O84" s="1639">
        <f t="shared" si="13"/>
        <v>12.732006999999999</v>
      </c>
      <c r="P84" s="1638">
        <f t="shared" si="13"/>
        <v>0</v>
      </c>
      <c r="Q84" s="1641">
        <f t="shared" si="13"/>
        <v>12.732006999999999</v>
      </c>
      <c r="R84" s="1639"/>
      <c r="S84" s="1638"/>
      <c r="T84" s="1641"/>
      <c r="U84" s="1651">
        <f t="shared" ref="U84:Z84" si="14">SUM(U81:U83)</f>
        <v>-10.809921811000002</v>
      </c>
      <c r="V84" s="1651">
        <f t="shared" si="14"/>
        <v>0</v>
      </c>
      <c r="W84" s="1651">
        <f t="shared" si="14"/>
        <v>-10.809921811000002</v>
      </c>
      <c r="X84" s="1651">
        <f t="shared" si="14"/>
        <v>-10.685839713032403</v>
      </c>
      <c r="Y84" s="1651">
        <f t="shared" si="14"/>
        <v>0</v>
      </c>
      <c r="Z84" s="1651">
        <f t="shared" si="14"/>
        <v>-10.685839713032403</v>
      </c>
      <c r="AA84" s="2133"/>
      <c r="AB84" s="2136"/>
      <c r="AC84" s="2133"/>
      <c r="AD84" s="1644">
        <f>Q84/N84</f>
        <v>0.99034837912042661</v>
      </c>
      <c r="AE84" s="435">
        <v>0</v>
      </c>
      <c r="AF84" s="1645">
        <f>AD84+AE84</f>
        <v>0.99034837912042661</v>
      </c>
    </row>
    <row r="85" spans="2:33" x14ac:dyDescent="0.35">
      <c r="B85" s="1656"/>
      <c r="C85" s="382"/>
      <c r="D85" s="382"/>
      <c r="E85" s="382"/>
      <c r="F85" s="2147"/>
      <c r="G85" s="1177"/>
      <c r="H85" s="1630"/>
      <c r="I85" s="1630"/>
      <c r="J85" s="1630"/>
      <c r="K85" s="498"/>
      <c r="L85" s="498"/>
      <c r="M85" s="1630"/>
      <c r="N85" s="493"/>
      <c r="O85" s="493"/>
      <c r="P85" s="382"/>
      <c r="Q85" s="1628"/>
      <c r="R85" s="493"/>
      <c r="S85" s="382"/>
      <c r="T85" s="1628"/>
      <c r="U85" s="493"/>
      <c r="V85" s="493"/>
      <c r="W85" s="1628"/>
      <c r="X85" s="1635"/>
      <c r="Y85" s="1647"/>
      <c r="Z85" s="1628"/>
      <c r="AA85" s="2133"/>
      <c r="AB85" s="2136"/>
      <c r="AC85" s="2133"/>
      <c r="AD85" s="1636"/>
      <c r="AE85" s="435"/>
      <c r="AF85" s="1637"/>
    </row>
    <row r="86" spans="2:33" x14ac:dyDescent="0.35">
      <c r="B86" s="1656" t="s">
        <v>163</v>
      </c>
      <c r="C86" s="382"/>
      <c r="D86" s="382"/>
      <c r="E86" s="382"/>
      <c r="F86" s="2147"/>
      <c r="G86" s="1177"/>
      <c r="H86" s="1630"/>
      <c r="I86" s="1630"/>
      <c r="J86" s="1630"/>
      <c r="K86" s="498"/>
      <c r="L86" s="498"/>
      <c r="M86" s="1630"/>
      <c r="N86" s="493"/>
      <c r="O86" s="493"/>
      <c r="P86" s="382"/>
      <c r="Q86" s="1628"/>
      <c r="R86" s="493"/>
      <c r="S86" s="382"/>
      <c r="T86" s="1628"/>
      <c r="U86" s="493"/>
      <c r="V86" s="493"/>
      <c r="W86" s="1628"/>
      <c r="X86" s="1635"/>
      <c r="Y86" s="1647"/>
      <c r="Z86" s="1628"/>
      <c r="AA86" s="2133"/>
      <c r="AB86" s="2136"/>
      <c r="AC86" s="2133"/>
      <c r="AD86" s="1636"/>
      <c r="AE86" s="435"/>
      <c r="AF86" s="1637"/>
    </row>
    <row r="87" spans="2:33" x14ac:dyDescent="0.35">
      <c r="B87" s="1655" t="s">
        <v>1554</v>
      </c>
      <c r="C87" s="1632">
        <f>+SUM('F13'!C120:C124)</f>
        <v>1359</v>
      </c>
      <c r="D87" s="788">
        <v>0</v>
      </c>
      <c r="E87" s="1632">
        <f t="shared" ref="E87:E92" si="15">C87+D87</f>
        <v>1359</v>
      </c>
      <c r="F87" s="2147"/>
      <c r="G87" s="1177">
        <f>+SUM('F13'!D120:D124)</f>
        <v>1.5730650000000002</v>
      </c>
      <c r="H87" s="1633">
        <v>0</v>
      </c>
      <c r="I87" s="1630">
        <f t="shared" ref="I87:I92" si="16">+G87+H87</f>
        <v>1.5730650000000002</v>
      </c>
      <c r="J87" s="1633">
        <v>0</v>
      </c>
      <c r="K87" s="498">
        <f>I87+J87</f>
        <v>1.5730650000000002</v>
      </c>
      <c r="L87" s="498">
        <v>2.4011874190000002</v>
      </c>
      <c r="M87" s="1633"/>
      <c r="N87" s="493">
        <f t="shared" ref="N87:N92" si="17">L87+M87</f>
        <v>2.4011874190000002</v>
      </c>
      <c r="O87" s="493">
        <v>2.3359064000000003</v>
      </c>
      <c r="P87" s="466"/>
      <c r="Q87" s="1628">
        <f t="shared" ref="Q87:Q92" si="18">O87+P87</f>
        <v>2.3359064000000003</v>
      </c>
      <c r="R87" s="1628"/>
      <c r="S87" s="466"/>
      <c r="T87" s="1628"/>
      <c r="U87" s="493">
        <f>+X64</f>
        <v>-1.2996487590000001</v>
      </c>
      <c r="V87" s="493"/>
      <c r="W87" s="1628">
        <f t="shared" ref="W87:W92" si="19">U87+V87</f>
        <v>-1.2996487590000001</v>
      </c>
      <c r="X87" s="1635">
        <f>L87+U87-O87</f>
        <v>-1.2343677400000002</v>
      </c>
      <c r="Y87" s="1635">
        <f>M87+V87-P87</f>
        <v>0</v>
      </c>
      <c r="Z87" s="1628">
        <f t="shared" ref="Z87:Z92" si="20">X87+Y87</f>
        <v>-1.2343677400000002</v>
      </c>
      <c r="AA87" s="2133"/>
      <c r="AB87" s="2136"/>
      <c r="AC87" s="2133"/>
      <c r="AD87" s="1636">
        <f t="shared" ref="AD87:AD93" si="21">IFERROR(Q87/N87,0)</f>
        <v>0.97281302638709188</v>
      </c>
      <c r="AE87" s="435">
        <v>0</v>
      </c>
      <c r="AF87" s="1637">
        <f t="shared" ref="AF87:AF94" si="22">AD87+AE87</f>
        <v>0.97281302638709188</v>
      </c>
    </row>
    <row r="88" spans="2:33" x14ac:dyDescent="0.35">
      <c r="B88" s="1655" t="s">
        <v>1829</v>
      </c>
      <c r="C88" s="1632">
        <f>+SUM('F13'!C126:C128)</f>
        <v>44</v>
      </c>
      <c r="D88" s="788">
        <v>0</v>
      </c>
      <c r="E88" s="1632">
        <f t="shared" si="15"/>
        <v>44</v>
      </c>
      <c r="F88" s="2147"/>
      <c r="G88" s="1177">
        <f>+SUM('F13'!D126:D128)</f>
        <v>0.16918382999999998</v>
      </c>
      <c r="H88" s="1633">
        <v>0</v>
      </c>
      <c r="I88" s="1630">
        <f t="shared" si="16"/>
        <v>0.16918382999999998</v>
      </c>
      <c r="J88" s="1633">
        <v>0</v>
      </c>
      <c r="K88" s="498">
        <f>I88+J88</f>
        <v>0.16918382999999998</v>
      </c>
      <c r="L88" s="498">
        <v>0.27051231493999994</v>
      </c>
      <c r="M88" s="1633"/>
      <c r="N88" s="493">
        <f t="shared" si="17"/>
        <v>0.27051231493999994</v>
      </c>
      <c r="O88" s="493">
        <v>0.26937782000000005</v>
      </c>
      <c r="P88" s="466"/>
      <c r="Q88" s="1628">
        <f t="shared" si="18"/>
        <v>0.26937782000000005</v>
      </c>
      <c r="R88" s="1628"/>
      <c r="S88" s="466"/>
      <c r="T88" s="1628"/>
      <c r="U88" s="493">
        <f>+X65</f>
        <v>-3.6009113999999995E-2</v>
      </c>
      <c r="V88" s="493"/>
      <c r="W88" s="1628">
        <f t="shared" si="19"/>
        <v>-3.6009113999999995E-2</v>
      </c>
      <c r="X88" s="1635">
        <f>L88+U88-O88</f>
        <v>-3.4874619060000112E-2</v>
      </c>
      <c r="Y88" s="1635">
        <f>M88+V88-P88</f>
        <v>0</v>
      </c>
      <c r="Z88" s="1628">
        <f t="shared" si="20"/>
        <v>-3.4874619060000112E-2</v>
      </c>
      <c r="AA88" s="2133"/>
      <c r="AB88" s="2136"/>
      <c r="AC88" s="2133"/>
      <c r="AD88" s="1636">
        <f t="shared" si="21"/>
        <v>0.9958061246111789</v>
      </c>
      <c r="AE88" s="435">
        <v>0</v>
      </c>
      <c r="AF88" s="1637">
        <f t="shared" si="22"/>
        <v>0.9958061246111789</v>
      </c>
    </row>
    <row r="89" spans="2:33" x14ac:dyDescent="0.35">
      <c r="B89" s="1655" t="s">
        <v>1830</v>
      </c>
      <c r="C89" s="1632">
        <f>+'F13'!C129</f>
        <v>1</v>
      </c>
      <c r="D89" s="788"/>
      <c r="E89" s="1632">
        <f t="shared" si="15"/>
        <v>1</v>
      </c>
      <c r="F89" s="2147"/>
      <c r="G89" s="1177">
        <f>+'F13'!D129</f>
        <v>0.26699392</v>
      </c>
      <c r="H89" s="1633">
        <v>0</v>
      </c>
      <c r="I89" s="1630">
        <f t="shared" si="16"/>
        <v>0.26699392</v>
      </c>
      <c r="J89" s="1633"/>
      <c r="K89" s="498"/>
      <c r="L89" s="498">
        <v>0.22160226347999995</v>
      </c>
      <c r="M89" s="1633"/>
      <c r="N89" s="493">
        <f t="shared" si="17"/>
        <v>0.22160226347999995</v>
      </c>
      <c r="O89" s="493">
        <v>0.22034299999999998</v>
      </c>
      <c r="P89" s="466"/>
      <c r="Q89" s="1628">
        <f t="shared" si="18"/>
        <v>0.22034299999999998</v>
      </c>
      <c r="R89" s="493"/>
      <c r="S89" s="466"/>
      <c r="T89" s="1628"/>
      <c r="U89" s="493">
        <f>+X66</f>
        <v>-6.1618000000000006E-2</v>
      </c>
      <c r="V89" s="493"/>
      <c r="W89" s="1628">
        <f t="shared" si="19"/>
        <v>-6.1618000000000006E-2</v>
      </c>
      <c r="X89" s="1635">
        <f>L89+U89-O89</f>
        <v>-6.0358736520000039E-2</v>
      </c>
      <c r="Y89" s="1635"/>
      <c r="Z89" s="1628">
        <f t="shared" si="20"/>
        <v>-6.0358736520000039E-2</v>
      </c>
      <c r="AA89" s="2133"/>
      <c r="AB89" s="2136"/>
      <c r="AC89" s="2133"/>
      <c r="AD89" s="1636">
        <f t="shared" si="21"/>
        <v>0.99431746111152142</v>
      </c>
      <c r="AE89" s="435">
        <v>0</v>
      </c>
      <c r="AF89" s="1637">
        <f t="shared" si="22"/>
        <v>0.99431746111152142</v>
      </c>
    </row>
    <row r="90" spans="2:33" x14ac:dyDescent="0.35">
      <c r="B90" s="1655" t="s">
        <v>1831</v>
      </c>
      <c r="C90" s="1632">
        <f>+'F13'!C130</f>
        <v>2</v>
      </c>
      <c r="D90" s="788">
        <v>0</v>
      </c>
      <c r="E90" s="1632">
        <f t="shared" si="15"/>
        <v>2</v>
      </c>
      <c r="F90" s="2147"/>
      <c r="G90" s="1177">
        <f>+'F13'!D130</f>
        <v>0.13652400000000001</v>
      </c>
      <c r="H90" s="1633">
        <v>0</v>
      </c>
      <c r="I90" s="1630">
        <f t="shared" si="16"/>
        <v>0.13652400000000001</v>
      </c>
      <c r="J90" s="1633">
        <v>0</v>
      </c>
      <c r="K90" s="498">
        <f>I90+J90</f>
        <v>0.13652400000000001</v>
      </c>
      <c r="L90" s="498">
        <v>9.0819467999999987E-2</v>
      </c>
      <c r="M90" s="1633"/>
      <c r="N90" s="493">
        <f t="shared" si="17"/>
        <v>9.0819467999999987E-2</v>
      </c>
      <c r="O90" s="493">
        <v>9.0820000000000012E-2</v>
      </c>
      <c r="P90" s="466"/>
      <c r="Q90" s="1628">
        <f t="shared" si="18"/>
        <v>9.0820000000000012E-2</v>
      </c>
      <c r="R90" s="1628"/>
      <c r="S90" s="466"/>
      <c r="T90" s="1628"/>
      <c r="U90" s="493">
        <f>+X67</f>
        <v>-7.7516766999999986E-2</v>
      </c>
      <c r="V90" s="493"/>
      <c r="W90" s="1628">
        <f t="shared" si="19"/>
        <v>-7.7516766999999986E-2</v>
      </c>
      <c r="X90" s="1635">
        <f>L90+U90-O90</f>
        <v>-7.7517299000000012E-2</v>
      </c>
      <c r="Y90" s="1635">
        <f>M90+V90-P90</f>
        <v>0</v>
      </c>
      <c r="Z90" s="1628">
        <f t="shared" si="20"/>
        <v>-7.7517299000000012E-2</v>
      </c>
      <c r="AA90" s="2133"/>
      <c r="AB90" s="2136"/>
      <c r="AC90" s="2133"/>
      <c r="AD90" s="1636">
        <f t="shared" si="21"/>
        <v>1.0000058577748994</v>
      </c>
      <c r="AE90" s="435">
        <v>0</v>
      </c>
      <c r="AF90" s="1637">
        <f t="shared" si="22"/>
        <v>1.0000058577748994</v>
      </c>
    </row>
    <row r="91" spans="2:33" x14ac:dyDescent="0.35">
      <c r="B91" s="428" t="s">
        <v>1832</v>
      </c>
      <c r="C91" s="1632">
        <f>+'F13'!C131</f>
        <v>1</v>
      </c>
      <c r="D91" s="788">
        <v>0</v>
      </c>
      <c r="E91" s="1632">
        <f t="shared" si="15"/>
        <v>1</v>
      </c>
      <c r="F91" s="2147"/>
      <c r="G91" s="1177">
        <f>+'F13'!D131</f>
        <v>3.8269799999999998E-3</v>
      </c>
      <c r="H91" s="1633">
        <v>0</v>
      </c>
      <c r="I91" s="1630">
        <f t="shared" si="16"/>
        <v>3.8269799999999998E-3</v>
      </c>
      <c r="J91" s="1633">
        <v>0</v>
      </c>
      <c r="K91" s="498">
        <f>I91+J91</f>
        <v>3.8269799999999998E-3</v>
      </c>
      <c r="L91" s="498">
        <v>5.36781124E-3</v>
      </c>
      <c r="M91" s="1633"/>
      <c r="N91" s="493">
        <f t="shared" si="17"/>
        <v>5.36781124E-3</v>
      </c>
      <c r="O91" s="493">
        <v>5.2320000000000005E-3</v>
      </c>
      <c r="P91" s="466"/>
      <c r="Q91" s="1628">
        <f t="shared" si="18"/>
        <v>5.2320000000000005E-3</v>
      </c>
      <c r="R91" s="1628"/>
      <c r="S91" s="466"/>
      <c r="T91" s="1628"/>
      <c r="U91" s="493">
        <f>+X68</f>
        <v>-1.4315957000000001E-2</v>
      </c>
      <c r="V91" s="493"/>
      <c r="W91" s="1628">
        <f t="shared" si="19"/>
        <v>-1.4315957000000001E-2</v>
      </c>
      <c r="X91" s="1635">
        <f>L91+U91-O91</f>
        <v>-1.4180145760000002E-2</v>
      </c>
      <c r="Y91" s="1635">
        <f>M91+V91-P91</f>
        <v>0</v>
      </c>
      <c r="Z91" s="1628">
        <f t="shared" si="20"/>
        <v>-1.4180145760000002E-2</v>
      </c>
      <c r="AA91" s="2133"/>
      <c r="AB91" s="2136"/>
      <c r="AC91" s="2133"/>
      <c r="AD91" s="1636">
        <f t="shared" si="21"/>
        <v>0.97469895383281036</v>
      </c>
      <c r="AE91" s="435">
        <v>0</v>
      </c>
      <c r="AF91" s="1637">
        <f t="shared" si="22"/>
        <v>0.97469895383281036</v>
      </c>
    </row>
    <row r="92" spans="2:33" x14ac:dyDescent="0.35">
      <c r="B92" s="519" t="s">
        <v>1834</v>
      </c>
      <c r="C92" s="1632">
        <f>+'F13'!C132</f>
        <v>1</v>
      </c>
      <c r="D92" s="788"/>
      <c r="E92" s="1632">
        <f t="shared" si="15"/>
        <v>1</v>
      </c>
      <c r="F92" s="2147"/>
      <c r="G92" s="1177">
        <f>+'F13'!D132</f>
        <v>1.8542E-4</v>
      </c>
      <c r="H92" s="1633"/>
      <c r="I92" s="1630">
        <f t="shared" si="16"/>
        <v>1.8542E-4</v>
      </c>
      <c r="J92" s="1633"/>
      <c r="K92" s="498">
        <f>I92+J92</f>
        <v>1.8542E-4</v>
      </c>
      <c r="L92" s="498">
        <v>3.3318323999999999E-4</v>
      </c>
      <c r="M92" s="1633"/>
      <c r="N92" s="493">
        <f t="shared" si="17"/>
        <v>3.3318323999999999E-4</v>
      </c>
      <c r="O92" s="493">
        <v>3.3299999999999996E-4</v>
      </c>
      <c r="P92" s="466"/>
      <c r="Q92" s="1628">
        <f t="shared" si="18"/>
        <v>3.3299999999999996E-4</v>
      </c>
      <c r="R92" s="1628"/>
      <c r="S92" s="466"/>
      <c r="T92" s="1628"/>
      <c r="U92" s="493">
        <v>0</v>
      </c>
      <c r="V92" s="493"/>
      <c r="W92" s="1628">
        <f t="shared" si="19"/>
        <v>0</v>
      </c>
      <c r="X92" s="1635">
        <f>L92+U92-O92</f>
        <v>1.8324000000002503E-7</v>
      </c>
      <c r="Y92" s="1635">
        <f>M92+V92-P92</f>
        <v>0</v>
      </c>
      <c r="Z92" s="1628">
        <f t="shared" si="20"/>
        <v>1.8324000000002503E-7</v>
      </c>
      <c r="AA92" s="2133"/>
      <c r="AB92" s="2136"/>
      <c r="AC92" s="2133"/>
      <c r="AD92" s="1636">
        <f t="shared" si="21"/>
        <v>0.99945003236057128</v>
      </c>
      <c r="AE92" s="435">
        <v>0</v>
      </c>
      <c r="AF92" s="1637">
        <f>AD92+AE92</f>
        <v>0.99945003236057128</v>
      </c>
    </row>
    <row r="93" spans="2:33" x14ac:dyDescent="0.35">
      <c r="B93" s="417" t="s">
        <v>1112</v>
      </c>
      <c r="C93" s="1638">
        <f>SUM(C87:C92)</f>
        <v>1408</v>
      </c>
      <c r="D93" s="1638">
        <f>SUM(D87:D92)</f>
        <v>0</v>
      </c>
      <c r="E93" s="1638">
        <f>SUM(E87:E92)</f>
        <v>1408</v>
      </c>
      <c r="F93" s="2147"/>
      <c r="G93" s="1660">
        <f t="shared" ref="G93:Q93" si="23">SUM(G87:G92)</f>
        <v>2.1497791500000005</v>
      </c>
      <c r="H93" s="1639">
        <f t="shared" si="23"/>
        <v>0</v>
      </c>
      <c r="I93" s="1639">
        <f t="shared" si="23"/>
        <v>2.1497791500000005</v>
      </c>
      <c r="J93" s="1639">
        <f t="shared" si="23"/>
        <v>0</v>
      </c>
      <c r="K93" s="1639">
        <f t="shared" si="23"/>
        <v>1.8827852300000001</v>
      </c>
      <c r="L93" s="1639">
        <f t="shared" si="23"/>
        <v>2.9898224599000001</v>
      </c>
      <c r="M93" s="1639">
        <f t="shared" si="23"/>
        <v>0</v>
      </c>
      <c r="N93" s="1639">
        <f t="shared" si="23"/>
        <v>2.9898224599000001</v>
      </c>
      <c r="O93" s="1639">
        <f t="shared" si="23"/>
        <v>2.92201222</v>
      </c>
      <c r="P93" s="1639">
        <f t="shared" si="23"/>
        <v>0</v>
      </c>
      <c r="Q93" s="1639">
        <f t="shared" si="23"/>
        <v>2.92201222</v>
      </c>
      <c r="R93" s="500"/>
      <c r="S93" s="447"/>
      <c r="T93" s="1629"/>
      <c r="U93" s="1639">
        <f t="shared" ref="U93:Z93" si="24">SUM(U87:U92)</f>
        <v>-1.489108597</v>
      </c>
      <c r="V93" s="1639">
        <f t="shared" si="24"/>
        <v>0</v>
      </c>
      <c r="W93" s="1639">
        <f t="shared" si="24"/>
        <v>-1.489108597</v>
      </c>
      <c r="X93" s="1639">
        <f t="shared" si="24"/>
        <v>-1.4212983571</v>
      </c>
      <c r="Y93" s="1639">
        <f t="shared" si="24"/>
        <v>0</v>
      </c>
      <c r="Z93" s="1639">
        <f t="shared" si="24"/>
        <v>-1.4212983571</v>
      </c>
      <c r="AA93" s="2133"/>
      <c r="AB93" s="2136"/>
      <c r="AC93" s="2133"/>
      <c r="AD93" s="1636">
        <f t="shared" si="21"/>
        <v>0.9773196432866893</v>
      </c>
      <c r="AE93" s="435">
        <v>0</v>
      </c>
      <c r="AF93" s="1637">
        <f t="shared" si="22"/>
        <v>0.9773196432866893</v>
      </c>
    </row>
    <row r="94" spans="2:33" x14ac:dyDescent="0.35">
      <c r="B94" s="419" t="s">
        <v>164</v>
      </c>
      <c r="C94" s="1638">
        <f>C84+C93</f>
        <v>1413</v>
      </c>
      <c r="D94" s="1638">
        <v>0</v>
      </c>
      <c r="E94" s="1638">
        <f>E84+E93</f>
        <v>1413</v>
      </c>
      <c r="F94" s="2147"/>
      <c r="G94" s="1652">
        <f>+G93+G84</f>
        <v>16.892089631899999</v>
      </c>
      <c r="H94" s="1652">
        <f>+H93+H84</f>
        <v>0</v>
      </c>
      <c r="I94" s="1652">
        <f>+I93+I84</f>
        <v>16.892089631899999</v>
      </c>
      <c r="J94" s="1652">
        <f>+J93+J84</f>
        <v>0</v>
      </c>
      <c r="K94" s="1652">
        <f>+K93+K84</f>
        <v>16.625095711900002</v>
      </c>
      <c r="L94" s="1653">
        <f>L84+L93</f>
        <v>15.845911557867598</v>
      </c>
      <c r="M94" s="1639">
        <v>0</v>
      </c>
      <c r="N94" s="500">
        <f>N84+N93</f>
        <v>15.845911557867598</v>
      </c>
      <c r="O94" s="500">
        <f>O84+O93</f>
        <v>15.654019219999999</v>
      </c>
      <c r="P94" s="447">
        <v>0</v>
      </c>
      <c r="Q94" s="1629">
        <f>Q84+Q93</f>
        <v>15.654019219999999</v>
      </c>
      <c r="R94" s="500"/>
      <c r="S94" s="447"/>
      <c r="T94" s="1629"/>
      <c r="U94" s="1652">
        <f t="shared" ref="U94:Z94" si="25">+U93+U84</f>
        <v>-12.299030408000002</v>
      </c>
      <c r="V94" s="1652">
        <f t="shared" si="25"/>
        <v>0</v>
      </c>
      <c r="W94" s="1652">
        <f t="shared" si="25"/>
        <v>-12.299030408000002</v>
      </c>
      <c r="X94" s="1652">
        <f t="shared" si="25"/>
        <v>-12.107138070132402</v>
      </c>
      <c r="Y94" s="1652">
        <f t="shared" si="25"/>
        <v>0</v>
      </c>
      <c r="Z94" s="1652">
        <f t="shared" si="25"/>
        <v>-12.107138070132402</v>
      </c>
      <c r="AA94" s="2134"/>
      <c r="AB94" s="2137"/>
      <c r="AC94" s="2134"/>
      <c r="AD94" s="1644">
        <f>Q94/N94</f>
        <v>0.98789010419710921</v>
      </c>
      <c r="AE94" s="1644"/>
      <c r="AF94" s="1645">
        <f t="shared" si="22"/>
        <v>0.98789010419710921</v>
      </c>
      <c r="AG94" s="1650">
        <f>+Assum!H62</f>
        <v>0.9879</v>
      </c>
    </row>
    <row r="95" spans="2:33" x14ac:dyDescent="0.35">
      <c r="B95" s="34" t="s">
        <v>782</v>
      </c>
    </row>
    <row r="96" spans="2:33" x14ac:dyDescent="0.35">
      <c r="B96" s="2066" t="s">
        <v>783</v>
      </c>
      <c r="C96" s="2066"/>
      <c r="D96" s="2066"/>
      <c r="E96" s="2066"/>
      <c r="F96" s="2066"/>
      <c r="G96" s="2066"/>
      <c r="H96" s="2066"/>
      <c r="I96" s="2066"/>
      <c r="J96" s="2066"/>
      <c r="K96" s="2066"/>
      <c r="L96" s="2066"/>
      <c r="M96" s="2066"/>
      <c r="N96" s="2066"/>
      <c r="O96" s="2066"/>
      <c r="P96" s="2066"/>
      <c r="Q96" s="2066"/>
      <c r="R96" s="2066"/>
      <c r="S96" s="2066"/>
    </row>
    <row r="97" spans="2:32" x14ac:dyDescent="0.35">
      <c r="B97" s="2066" t="s">
        <v>784</v>
      </c>
      <c r="C97" s="2066"/>
      <c r="D97" s="2066"/>
      <c r="E97" s="2066"/>
      <c r="F97" s="2066"/>
      <c r="G97" s="2066"/>
      <c r="H97" s="2066"/>
      <c r="I97" s="2066"/>
      <c r="J97" s="2066"/>
      <c r="K97" s="2066"/>
      <c r="L97" s="2066"/>
      <c r="M97" s="2066"/>
      <c r="N97" s="2066"/>
      <c r="O97" s="2066"/>
      <c r="P97" s="2066"/>
      <c r="Q97" s="2066"/>
      <c r="R97" s="2066"/>
      <c r="S97" s="2066"/>
    </row>
    <row r="98" spans="2:32" x14ac:dyDescent="0.35">
      <c r="B98" s="423"/>
    </row>
    <row r="99" spans="2:32" x14ac:dyDescent="0.35">
      <c r="B99" s="423" t="s">
        <v>763</v>
      </c>
    </row>
    <row r="100" spans="2:32" x14ac:dyDescent="0.35">
      <c r="B100" s="423"/>
    </row>
    <row r="101" spans="2:32" x14ac:dyDescent="0.35">
      <c r="B101" s="2138" t="s">
        <v>699</v>
      </c>
      <c r="C101" s="2141" t="s">
        <v>764</v>
      </c>
      <c r="D101" s="2142"/>
      <c r="E101" s="2143"/>
      <c r="F101" s="2144" t="s">
        <v>765</v>
      </c>
      <c r="G101" s="2141" t="s">
        <v>308</v>
      </c>
      <c r="H101" s="2142"/>
      <c r="I101" s="2142"/>
      <c r="J101" s="2142"/>
      <c r="K101" s="2143"/>
      <c r="L101" s="1991" t="s">
        <v>766</v>
      </c>
      <c r="M101" s="1991"/>
      <c r="N101" s="1991"/>
      <c r="O101" s="1991" t="s">
        <v>767</v>
      </c>
      <c r="P101" s="1991"/>
      <c r="Q101" s="1991"/>
      <c r="R101" s="1991" t="s">
        <v>768</v>
      </c>
      <c r="S101" s="1991"/>
      <c r="T101" s="1991"/>
      <c r="U101" s="1991" t="s">
        <v>769</v>
      </c>
      <c r="V101" s="1991"/>
      <c r="W101" s="1991"/>
      <c r="X101" s="1991" t="s">
        <v>770</v>
      </c>
      <c r="Y101" s="1991"/>
      <c r="Z101" s="1991"/>
      <c r="AA101" s="1991" t="s">
        <v>771</v>
      </c>
      <c r="AB101" s="1991"/>
      <c r="AC101" s="1991"/>
      <c r="AD101" s="1991" t="s">
        <v>772</v>
      </c>
      <c r="AE101" s="1991"/>
      <c r="AF101" s="1991"/>
    </row>
    <row r="102" spans="2:32" x14ac:dyDescent="0.35">
      <c r="B102" s="2139"/>
      <c r="C102" s="2130" t="s">
        <v>773</v>
      </c>
      <c r="D102" s="2130" t="s">
        <v>774</v>
      </c>
      <c r="E102" s="2130" t="s">
        <v>164</v>
      </c>
      <c r="F102" s="2145"/>
      <c r="G102" s="2141" t="s">
        <v>775</v>
      </c>
      <c r="H102" s="2142"/>
      <c r="I102" s="2143"/>
      <c r="J102" s="2130" t="s">
        <v>776</v>
      </c>
      <c r="K102" s="2130" t="s">
        <v>777</v>
      </c>
      <c r="L102" s="2130" t="s">
        <v>778</v>
      </c>
      <c r="M102" s="2130" t="s">
        <v>779</v>
      </c>
      <c r="N102" s="2130" t="s">
        <v>164</v>
      </c>
      <c r="O102" s="2130" t="s">
        <v>778</v>
      </c>
      <c r="P102" s="2130" t="s">
        <v>779</v>
      </c>
      <c r="Q102" s="2130" t="s">
        <v>164</v>
      </c>
      <c r="R102" s="2130" t="s">
        <v>778</v>
      </c>
      <c r="S102" s="2130" t="s">
        <v>779</v>
      </c>
      <c r="T102" s="2130" t="s">
        <v>164</v>
      </c>
      <c r="U102" s="2130" t="s">
        <v>778</v>
      </c>
      <c r="V102" s="2130" t="s">
        <v>779</v>
      </c>
      <c r="W102" s="2130" t="s">
        <v>164</v>
      </c>
      <c r="X102" s="2130" t="s">
        <v>778</v>
      </c>
      <c r="Y102" s="2130" t="s">
        <v>779</v>
      </c>
      <c r="Z102" s="2130" t="s">
        <v>164</v>
      </c>
      <c r="AA102" s="2130" t="s">
        <v>778</v>
      </c>
      <c r="AB102" s="2130" t="s">
        <v>779</v>
      </c>
      <c r="AC102" s="2130" t="s">
        <v>164</v>
      </c>
      <c r="AD102" s="2130" t="s">
        <v>778</v>
      </c>
      <c r="AE102" s="2130" t="s">
        <v>779</v>
      </c>
      <c r="AF102" s="2130" t="s">
        <v>164</v>
      </c>
    </row>
    <row r="103" spans="2:32" ht="40.5" x14ac:dyDescent="0.35">
      <c r="B103" s="2140"/>
      <c r="C103" s="2131"/>
      <c r="D103" s="2131"/>
      <c r="E103" s="2131"/>
      <c r="F103" s="2146"/>
      <c r="G103" s="184" t="s">
        <v>780</v>
      </c>
      <c r="H103" s="184" t="s">
        <v>781</v>
      </c>
      <c r="I103" s="184" t="s">
        <v>164</v>
      </c>
      <c r="J103" s="2131"/>
      <c r="K103" s="2131"/>
      <c r="L103" s="2131"/>
      <c r="M103" s="2131"/>
      <c r="N103" s="2131"/>
      <c r="O103" s="2131"/>
      <c r="P103" s="2131"/>
      <c r="Q103" s="2131"/>
      <c r="R103" s="2131"/>
      <c r="S103" s="2131"/>
      <c r="T103" s="2131"/>
      <c r="U103" s="2131"/>
      <c r="V103" s="2131"/>
      <c r="W103" s="2131"/>
      <c r="X103" s="2131"/>
      <c r="Y103" s="2131"/>
      <c r="Z103" s="2131"/>
      <c r="AA103" s="2131"/>
      <c r="AB103" s="2131"/>
      <c r="AC103" s="2131"/>
      <c r="AD103" s="2131"/>
      <c r="AE103" s="2131"/>
      <c r="AF103" s="2131"/>
    </row>
    <row r="104" spans="2:32" x14ac:dyDescent="0.35">
      <c r="B104" s="1654" t="s">
        <v>161</v>
      </c>
      <c r="C104" s="382"/>
      <c r="D104" s="382"/>
      <c r="E104" s="382"/>
      <c r="F104" s="2147">
        <f>+'F1.3'!E62</f>
        <v>25.933189856017965</v>
      </c>
      <c r="G104" s="1630"/>
      <c r="H104" s="1630"/>
      <c r="I104" s="1630"/>
      <c r="J104" s="435"/>
      <c r="K104" s="435"/>
      <c r="L104" s="1631"/>
      <c r="M104" s="1628"/>
      <c r="N104" s="1628"/>
      <c r="O104" s="1628"/>
      <c r="P104" s="1628"/>
      <c r="Q104" s="1628"/>
      <c r="R104" s="435"/>
      <c r="S104" s="435"/>
      <c r="T104" s="435"/>
      <c r="U104" s="435"/>
      <c r="V104" s="435"/>
      <c r="W104" s="435"/>
      <c r="X104" s="435"/>
      <c r="Y104" s="435"/>
      <c r="Z104" s="435"/>
      <c r="AA104" s="2132">
        <f>+G118/$F$104</f>
        <v>0.98866366889880519</v>
      </c>
      <c r="AB104" s="2135"/>
      <c r="AC104" s="2132">
        <f>+I118/$F$104</f>
        <v>0.98866366889880519</v>
      </c>
      <c r="AD104" s="435"/>
      <c r="AE104" s="435"/>
      <c r="AF104" s="435"/>
    </row>
    <row r="105" spans="2:32" x14ac:dyDescent="0.35">
      <c r="B105" s="1655" t="s">
        <v>1552</v>
      </c>
      <c r="C105" s="1632">
        <f>+'F13'!C143</f>
        <v>2</v>
      </c>
      <c r="D105" s="466">
        <v>0</v>
      </c>
      <c r="E105" s="1632">
        <f>C105+D105</f>
        <v>2</v>
      </c>
      <c r="F105" s="2147"/>
      <c r="G105" s="1176">
        <f>+'F13'!D143</f>
        <v>21.446819999999999</v>
      </c>
      <c r="H105" s="1633">
        <v>0</v>
      </c>
      <c r="I105" s="1630">
        <f>+G105+H105</f>
        <v>21.446819999999999</v>
      </c>
      <c r="J105" s="1633">
        <v>0</v>
      </c>
      <c r="K105" s="498">
        <f>I105+J105</f>
        <v>21.446819999999999</v>
      </c>
      <c r="L105" s="1631">
        <v>16.677597166999998</v>
      </c>
      <c r="M105" s="1634"/>
      <c r="N105" s="1628">
        <f>L105+M105</f>
        <v>16.677597166999998</v>
      </c>
      <c r="O105" s="1628">
        <v>16.472523499999998</v>
      </c>
      <c r="P105" s="1634"/>
      <c r="Q105" s="1628">
        <f>O105+P105</f>
        <v>16.472523499999998</v>
      </c>
      <c r="R105" s="435"/>
      <c r="S105" s="435"/>
      <c r="T105" s="435"/>
      <c r="U105" s="493">
        <f>+X81</f>
        <v>4.1224120000000752E-2</v>
      </c>
      <c r="V105" s="493"/>
      <c r="W105" s="1631">
        <f>U105+V105</f>
        <v>4.1224120000000752E-2</v>
      </c>
      <c r="X105" s="1635">
        <f>L105+U105-O105</f>
        <v>0.2462977869999996</v>
      </c>
      <c r="Y105" s="1635">
        <f>M105+V105-P105</f>
        <v>0</v>
      </c>
      <c r="Z105" s="1631">
        <f>X105+Y105</f>
        <v>0.2462977869999996</v>
      </c>
      <c r="AA105" s="2133"/>
      <c r="AB105" s="2136"/>
      <c r="AC105" s="2133"/>
      <c r="AD105" s="1636">
        <f>IFERROR(Q105/N105,0)</f>
        <v>0.9877036442992051</v>
      </c>
      <c r="AE105" s="435">
        <v>0</v>
      </c>
      <c r="AF105" s="1637">
        <f>AD105+AE105</f>
        <v>0.9877036442992051</v>
      </c>
    </row>
    <row r="106" spans="2:32" x14ac:dyDescent="0.35">
      <c r="B106" s="1655" t="s">
        <v>1827</v>
      </c>
      <c r="C106" s="1632">
        <f>+'F13'!C144</f>
        <v>3</v>
      </c>
      <c r="D106" s="466">
        <v>0</v>
      </c>
      <c r="E106" s="1632">
        <f>C106+D106</f>
        <v>3</v>
      </c>
      <c r="F106" s="2147"/>
      <c r="G106" s="1176">
        <f>+'F13'!D144</f>
        <v>0.31088268000000002</v>
      </c>
      <c r="H106" s="1633">
        <v>0</v>
      </c>
      <c r="I106" s="1630">
        <f>+G106+H106</f>
        <v>0.31088268000000002</v>
      </c>
      <c r="J106" s="1633">
        <v>0</v>
      </c>
      <c r="K106" s="498">
        <f>I106+J106</f>
        <v>0.31088268000000002</v>
      </c>
      <c r="L106" s="1631">
        <v>0.73487766024000001</v>
      </c>
      <c r="M106" s="1633"/>
      <c r="N106" s="1670">
        <f>L106+M106</f>
        <v>0.73487766024000001</v>
      </c>
      <c r="O106" s="1628">
        <v>0.60018900000000008</v>
      </c>
      <c r="P106" s="466"/>
      <c r="Q106" s="1628">
        <f>O106+P106</f>
        <v>0.60018900000000008</v>
      </c>
      <c r="R106" s="493"/>
      <c r="S106" s="466"/>
      <c r="T106" s="1628"/>
      <c r="U106" s="493">
        <f>+X82</f>
        <v>-10.727063833032403</v>
      </c>
      <c r="V106" s="493"/>
      <c r="W106" s="1631">
        <f>U106+V106</f>
        <v>-10.727063833032403</v>
      </c>
      <c r="X106" s="1635">
        <f>L106+U106-O106</f>
        <v>-10.592375172792403</v>
      </c>
      <c r="Y106" s="1635">
        <f>M106+V106-P106</f>
        <v>0</v>
      </c>
      <c r="Z106" s="1631">
        <f>X106+Y106</f>
        <v>-10.592375172792403</v>
      </c>
      <c r="AA106" s="2133"/>
      <c r="AB106" s="2136"/>
      <c r="AC106" s="2133"/>
      <c r="AD106" s="1636">
        <f>IFERROR(Q106/N106,0)</f>
        <v>0.81671961534929138</v>
      </c>
      <c r="AE106" s="435">
        <v>0</v>
      </c>
      <c r="AF106" s="1637">
        <f>AD106+AE106</f>
        <v>0.81671961534929138</v>
      </c>
    </row>
    <row r="107" spans="2:32" x14ac:dyDescent="0.35">
      <c r="B107" s="1655" t="s">
        <v>1828</v>
      </c>
      <c r="C107" s="1632"/>
      <c r="D107" s="466">
        <v>0</v>
      </c>
      <c r="E107" s="1632">
        <f>C107+D107</f>
        <v>0</v>
      </c>
      <c r="F107" s="2147"/>
      <c r="G107" s="1176"/>
      <c r="H107" s="1633"/>
      <c r="I107" s="1630">
        <f>+G107+H107</f>
        <v>0</v>
      </c>
      <c r="J107" s="1633"/>
      <c r="K107" s="498"/>
      <c r="L107" s="1631"/>
      <c r="M107" s="1633"/>
      <c r="N107" s="1670"/>
      <c r="O107" s="493"/>
      <c r="P107" s="466"/>
      <c r="Q107" s="1628"/>
      <c r="R107" s="493"/>
      <c r="S107" s="466"/>
      <c r="T107" s="1628"/>
      <c r="U107" s="493"/>
      <c r="V107" s="493"/>
      <c r="W107" s="1631"/>
      <c r="X107" s="1628"/>
      <c r="Y107" s="1635"/>
      <c r="Z107" s="1631"/>
      <c r="AA107" s="2133"/>
      <c r="AB107" s="2136"/>
      <c r="AC107" s="2133"/>
      <c r="AD107" s="1636"/>
      <c r="AE107" s="435"/>
      <c r="AF107" s="1637"/>
    </row>
    <row r="108" spans="2:32" x14ac:dyDescent="0.35">
      <c r="B108" s="417" t="s">
        <v>1105</v>
      </c>
      <c r="C108" s="1638">
        <f>SUM(C105:C107)</f>
        <v>5</v>
      </c>
      <c r="D108" s="1638">
        <f>SUM(D105:D107)</f>
        <v>0</v>
      </c>
      <c r="E108" s="1638">
        <f>SUM(E105:E107)</f>
        <v>5</v>
      </c>
      <c r="F108" s="2147"/>
      <c r="G108" s="1651">
        <f>SUM(G105:G107)</f>
        <v>21.757702679999998</v>
      </c>
      <c r="H108" s="1651">
        <f>SUM(H105:H107)</f>
        <v>0</v>
      </c>
      <c r="I108" s="1651">
        <f>SUM(I105:I107)</f>
        <v>21.757702679999998</v>
      </c>
      <c r="J108" s="1651">
        <f>SUM(J105:J107)</f>
        <v>0</v>
      </c>
      <c r="K108" s="1651">
        <f>SUM(K105:K107)</f>
        <v>21.757702679999998</v>
      </c>
      <c r="L108" s="1639">
        <f t="shared" ref="L108:Q108" si="26">SUM(L105:L107)</f>
        <v>17.412474827239997</v>
      </c>
      <c r="M108" s="1639">
        <f t="shared" si="26"/>
        <v>0</v>
      </c>
      <c r="N108" s="1639">
        <f t="shared" si="26"/>
        <v>17.412474827239997</v>
      </c>
      <c r="O108" s="1639">
        <f t="shared" si="26"/>
        <v>17.072712499999998</v>
      </c>
      <c r="P108" s="1638">
        <f t="shared" si="26"/>
        <v>0</v>
      </c>
      <c r="Q108" s="1641">
        <f t="shared" si="26"/>
        <v>17.072712499999998</v>
      </c>
      <c r="R108" s="1639"/>
      <c r="S108" s="1638"/>
      <c r="T108" s="1641"/>
      <c r="U108" s="1651">
        <f t="shared" ref="U108:Z108" si="27">SUM(U105:U107)</f>
        <v>-10.685839713032403</v>
      </c>
      <c r="V108" s="1651">
        <f t="shared" si="27"/>
        <v>0</v>
      </c>
      <c r="W108" s="1651">
        <f t="shared" si="27"/>
        <v>-10.685839713032403</v>
      </c>
      <c r="X108" s="1651">
        <f t="shared" si="27"/>
        <v>-10.346077385792404</v>
      </c>
      <c r="Y108" s="1651">
        <f t="shared" si="27"/>
        <v>0</v>
      </c>
      <c r="Z108" s="1651">
        <f t="shared" si="27"/>
        <v>-10.346077385792404</v>
      </c>
      <c r="AA108" s="2133"/>
      <c r="AB108" s="2136"/>
      <c r="AC108" s="2133"/>
      <c r="AD108" s="1644">
        <f>Q108/N108</f>
        <v>0.9804874188987498</v>
      </c>
      <c r="AE108" s="435">
        <v>0</v>
      </c>
      <c r="AF108" s="1645">
        <f>AD108+AE108</f>
        <v>0.9804874188987498</v>
      </c>
    </row>
    <row r="109" spans="2:32" x14ac:dyDescent="0.35">
      <c r="B109" s="1656"/>
      <c r="C109" s="382"/>
      <c r="D109" s="382"/>
      <c r="E109" s="382"/>
      <c r="F109" s="2147"/>
      <c r="G109" s="1176"/>
      <c r="H109" s="1630"/>
      <c r="I109" s="1630"/>
      <c r="J109" s="1630"/>
      <c r="K109" s="498"/>
      <c r="L109" s="498"/>
      <c r="M109" s="1630"/>
      <c r="N109" s="493"/>
      <c r="O109" s="493"/>
      <c r="P109" s="382"/>
      <c r="Q109" s="1628"/>
      <c r="R109" s="493"/>
      <c r="S109" s="382"/>
      <c r="T109" s="1628"/>
      <c r="U109" s="493"/>
      <c r="V109" s="493"/>
      <c r="W109" s="1628"/>
      <c r="X109" s="1635"/>
      <c r="Y109" s="1647"/>
      <c r="Z109" s="1628"/>
      <c r="AA109" s="2133"/>
      <c r="AB109" s="2136"/>
      <c r="AC109" s="2133"/>
      <c r="AD109" s="1636"/>
      <c r="AE109" s="435"/>
      <c r="AF109" s="1637"/>
    </row>
    <row r="110" spans="2:32" x14ac:dyDescent="0.35">
      <c r="B110" s="1656" t="s">
        <v>163</v>
      </c>
      <c r="C110" s="382"/>
      <c r="D110" s="382"/>
      <c r="E110" s="382"/>
      <c r="F110" s="2147"/>
      <c r="G110" s="1176"/>
      <c r="H110" s="1630"/>
      <c r="I110" s="1630"/>
      <c r="J110" s="1630"/>
      <c r="K110" s="498"/>
      <c r="L110" s="498"/>
      <c r="M110" s="1630"/>
      <c r="N110" s="493"/>
      <c r="O110" s="493"/>
      <c r="P110" s="382"/>
      <c r="Q110" s="1628"/>
      <c r="R110" s="493"/>
      <c r="S110" s="382"/>
      <c r="T110" s="1628"/>
      <c r="U110" s="493"/>
      <c r="V110" s="493"/>
      <c r="W110" s="1628"/>
      <c r="X110" s="1635"/>
      <c r="Y110" s="1647"/>
      <c r="Z110" s="1628"/>
      <c r="AA110" s="2133"/>
      <c r="AB110" s="2136"/>
      <c r="AC110" s="2133"/>
      <c r="AD110" s="1636"/>
      <c r="AE110" s="435"/>
      <c r="AF110" s="1637"/>
    </row>
    <row r="111" spans="2:32" x14ac:dyDescent="0.35">
      <c r="B111" s="1655" t="s">
        <v>1554</v>
      </c>
      <c r="C111" s="1632">
        <f>SUM('F13'!C150:C153)</f>
        <v>1905</v>
      </c>
      <c r="D111" s="788">
        <v>0</v>
      </c>
      <c r="E111" s="1632">
        <f t="shared" ref="E111:E116" si="28">C111+D111</f>
        <v>1905</v>
      </c>
      <c r="F111" s="2147"/>
      <c r="G111" s="1176">
        <f>SUM('F13'!D150:D153)</f>
        <v>2.948264</v>
      </c>
      <c r="H111" s="1633">
        <v>0</v>
      </c>
      <c r="I111" s="1630">
        <f t="shared" ref="I111:I116" si="29">+G111+H111</f>
        <v>2.948264</v>
      </c>
      <c r="J111" s="1633">
        <v>0</v>
      </c>
      <c r="K111" s="498">
        <f>I111+J111</f>
        <v>2.948264</v>
      </c>
      <c r="L111" s="498">
        <v>4.3645589449999997</v>
      </c>
      <c r="M111" s="1633"/>
      <c r="N111" s="493">
        <f t="shared" ref="N111:N116" si="30">L111+M111</f>
        <v>4.3645589449999997</v>
      </c>
      <c r="O111" s="493">
        <v>4.33418846</v>
      </c>
      <c r="P111" s="466"/>
      <c r="Q111" s="1628">
        <f t="shared" ref="Q111:Q116" si="31">O111+P111</f>
        <v>4.33418846</v>
      </c>
      <c r="R111" s="1628"/>
      <c r="S111" s="466"/>
      <c r="T111" s="1628"/>
      <c r="U111" s="493">
        <f t="shared" ref="U111:U116" si="32">+X87</f>
        <v>-1.2343677400000002</v>
      </c>
      <c r="V111" s="493"/>
      <c r="W111" s="1628">
        <f t="shared" ref="W111:W116" si="33">U111+V111</f>
        <v>-1.2343677400000002</v>
      </c>
      <c r="X111" s="1635">
        <f>L111+U111-O111</f>
        <v>-1.2039972550000004</v>
      </c>
      <c r="Y111" s="1635">
        <f>M111+V111-P111</f>
        <v>0</v>
      </c>
      <c r="Z111" s="1628">
        <f t="shared" ref="Z111:Z116" si="34">X111+Y111</f>
        <v>-1.2039972550000004</v>
      </c>
      <c r="AA111" s="2133"/>
      <c r="AB111" s="2136"/>
      <c r="AC111" s="2133"/>
      <c r="AD111" s="1636">
        <f t="shared" ref="AD111:AD117" si="35">IFERROR(Q111/N111,0)</f>
        <v>0.99304156837318192</v>
      </c>
      <c r="AE111" s="435">
        <v>0</v>
      </c>
      <c r="AF111" s="1637">
        <f t="shared" ref="AF111:AF118" si="36">AD111+AE111</f>
        <v>0.99304156837318192</v>
      </c>
    </row>
    <row r="112" spans="2:32" x14ac:dyDescent="0.35">
      <c r="B112" s="1655" t="s">
        <v>1829</v>
      </c>
      <c r="C112" s="1632">
        <f>SUM('F13'!C156:C158)</f>
        <v>44</v>
      </c>
      <c r="D112" s="788">
        <v>0</v>
      </c>
      <c r="E112" s="1632">
        <f t="shared" si="28"/>
        <v>44</v>
      </c>
      <c r="F112" s="2147"/>
      <c r="G112" s="1176">
        <f>SUM('F13'!D156:D158)</f>
        <v>0.45350531229999996</v>
      </c>
      <c r="H112" s="1633">
        <v>0</v>
      </c>
      <c r="I112" s="1630">
        <f t="shared" si="29"/>
        <v>0.45350531229999996</v>
      </c>
      <c r="J112" s="1633">
        <v>0</v>
      </c>
      <c r="K112" s="498">
        <f>I112+J112</f>
        <v>0.45350531229999996</v>
      </c>
      <c r="L112" s="498">
        <v>0.77924865104359997</v>
      </c>
      <c r="M112" s="1633"/>
      <c r="N112" s="493">
        <f t="shared" si="30"/>
        <v>0.77924865104359997</v>
      </c>
      <c r="O112" s="493">
        <v>0.77110670000000003</v>
      </c>
      <c r="P112" s="466"/>
      <c r="Q112" s="1628">
        <f t="shared" si="31"/>
        <v>0.77110670000000003</v>
      </c>
      <c r="R112" s="1628"/>
      <c r="S112" s="466"/>
      <c r="T112" s="1628"/>
      <c r="U112" s="493">
        <f t="shared" si="32"/>
        <v>-3.4874619060000112E-2</v>
      </c>
      <c r="V112" s="493"/>
      <c r="W112" s="1628">
        <f t="shared" si="33"/>
        <v>-3.4874619060000112E-2</v>
      </c>
      <c r="X112" s="1635">
        <f>L112+U112-O112</f>
        <v>-2.6732668016400174E-2</v>
      </c>
      <c r="Y112" s="1635">
        <f>M112+V112-P112</f>
        <v>0</v>
      </c>
      <c r="Z112" s="1628">
        <f t="shared" si="34"/>
        <v>-2.6732668016400174E-2</v>
      </c>
      <c r="AA112" s="2133"/>
      <c r="AB112" s="2136"/>
      <c r="AC112" s="2133"/>
      <c r="AD112" s="1636">
        <f t="shared" si="35"/>
        <v>0.98955153655678973</v>
      </c>
      <c r="AE112" s="435">
        <v>0</v>
      </c>
      <c r="AF112" s="1637">
        <f t="shared" si="36"/>
        <v>0.98955153655678973</v>
      </c>
    </row>
    <row r="113" spans="2:34" x14ac:dyDescent="0.35">
      <c r="B113" s="1655" t="s">
        <v>1830</v>
      </c>
      <c r="C113" s="1632">
        <f>+'F13'!C159</f>
        <v>2</v>
      </c>
      <c r="D113" s="788"/>
      <c r="E113" s="1632">
        <f t="shared" si="28"/>
        <v>2</v>
      </c>
      <c r="F113" s="2147"/>
      <c r="G113" s="1176">
        <f>+'F13'!D159</f>
        <v>0.34130574200000002</v>
      </c>
      <c r="H113" s="1633">
        <v>0</v>
      </c>
      <c r="I113" s="1630">
        <f t="shared" si="29"/>
        <v>0.34130574200000002</v>
      </c>
      <c r="J113" s="1633"/>
      <c r="K113" s="498"/>
      <c r="L113" s="498">
        <v>0.28208686184800003</v>
      </c>
      <c r="M113" s="1633"/>
      <c r="N113" s="493">
        <f t="shared" si="30"/>
        <v>0.28208686184800003</v>
      </c>
      <c r="O113" s="493">
        <v>0.28869700000000004</v>
      </c>
      <c r="P113" s="466"/>
      <c r="Q113" s="1628">
        <f t="shared" si="31"/>
        <v>0.28869700000000004</v>
      </c>
      <c r="R113" s="493"/>
      <c r="S113" s="466"/>
      <c r="T113" s="1628"/>
      <c r="U113" s="493">
        <f t="shared" si="32"/>
        <v>-6.0358736520000039E-2</v>
      </c>
      <c r="V113" s="493"/>
      <c r="W113" s="1628">
        <f t="shared" si="33"/>
        <v>-6.0358736520000039E-2</v>
      </c>
      <c r="X113" s="1635">
        <f>L113+U113-O113</f>
        <v>-6.6968874672000051E-2</v>
      </c>
      <c r="Y113" s="1635"/>
      <c r="Z113" s="1628">
        <f t="shared" si="34"/>
        <v>-6.6968874672000051E-2</v>
      </c>
      <c r="AA113" s="2133"/>
      <c r="AB113" s="2136"/>
      <c r="AC113" s="2133"/>
      <c r="AD113" s="1636">
        <f t="shared" si="35"/>
        <v>1.0234329883664055</v>
      </c>
      <c r="AE113" s="435">
        <v>0</v>
      </c>
      <c r="AF113" s="1637">
        <f t="shared" si="36"/>
        <v>1.0234329883664055</v>
      </c>
    </row>
    <row r="114" spans="2:34" x14ac:dyDescent="0.35">
      <c r="B114" s="1655" t="s">
        <v>1831</v>
      </c>
      <c r="C114" s="1632">
        <f>+'F13'!C160</f>
        <v>2</v>
      </c>
      <c r="D114" s="788">
        <v>0</v>
      </c>
      <c r="E114" s="1632">
        <f t="shared" si="28"/>
        <v>2</v>
      </c>
      <c r="F114" s="2147"/>
      <c r="G114" s="1176">
        <f>+'F13'!D160</f>
        <v>0.13664599999999999</v>
      </c>
      <c r="H114" s="1633">
        <v>0</v>
      </c>
      <c r="I114" s="1630">
        <f t="shared" si="29"/>
        <v>0.13664599999999999</v>
      </c>
      <c r="J114" s="1633">
        <v>0</v>
      </c>
      <c r="K114" s="498">
        <f>I114+J114</f>
        <v>0.13664599999999999</v>
      </c>
      <c r="L114" s="498">
        <v>9.1889743999999995E-2</v>
      </c>
      <c r="M114" s="1633"/>
      <c r="N114" s="493">
        <f t="shared" si="30"/>
        <v>9.1889743999999995E-2</v>
      </c>
      <c r="O114" s="493">
        <v>9.1888999999999998E-2</v>
      </c>
      <c r="P114" s="466"/>
      <c r="Q114" s="1628">
        <f t="shared" si="31"/>
        <v>9.1888999999999998E-2</v>
      </c>
      <c r="R114" s="1628"/>
      <c r="S114" s="466"/>
      <c r="T114" s="1628"/>
      <c r="U114" s="493">
        <f t="shared" si="32"/>
        <v>-7.7517299000000012E-2</v>
      </c>
      <c r="V114" s="493"/>
      <c r="W114" s="1628">
        <f t="shared" si="33"/>
        <v>-7.7517299000000012E-2</v>
      </c>
      <c r="X114" s="1635">
        <f>L114+U114-O114</f>
        <v>-7.7516555000000015E-2</v>
      </c>
      <c r="Y114" s="1635">
        <f>M114+V114-P114</f>
        <v>0</v>
      </c>
      <c r="Z114" s="1628">
        <f t="shared" si="34"/>
        <v>-7.7516555000000015E-2</v>
      </c>
      <c r="AA114" s="2133"/>
      <c r="AB114" s="2136"/>
      <c r="AC114" s="2133"/>
      <c r="AD114" s="1636">
        <f t="shared" si="35"/>
        <v>0.99999190334015953</v>
      </c>
      <c r="AE114" s="435">
        <v>0</v>
      </c>
      <c r="AF114" s="1637">
        <f t="shared" si="36"/>
        <v>0.99999190334015953</v>
      </c>
    </row>
    <row r="115" spans="2:34" x14ac:dyDescent="0.35">
      <c r="B115" s="428" t="s">
        <v>1832</v>
      </c>
      <c r="C115" s="1632">
        <f>+'F13'!C161</f>
        <v>0</v>
      </c>
      <c r="D115" s="788">
        <v>0</v>
      </c>
      <c r="E115" s="1632">
        <f t="shared" si="28"/>
        <v>0</v>
      </c>
      <c r="F115" s="2147"/>
      <c r="G115" s="1176">
        <f>+'F13'!D161</f>
        <v>0</v>
      </c>
      <c r="H115" s="1633">
        <v>0</v>
      </c>
      <c r="I115" s="1630">
        <f t="shared" si="29"/>
        <v>0</v>
      </c>
      <c r="J115" s="1633">
        <v>0</v>
      </c>
      <c r="K115" s="498">
        <f>I115+J115</f>
        <v>0</v>
      </c>
      <c r="L115" s="498"/>
      <c r="M115" s="1633"/>
      <c r="N115" s="493">
        <f t="shared" si="30"/>
        <v>0</v>
      </c>
      <c r="O115" s="493"/>
      <c r="P115" s="466"/>
      <c r="Q115" s="1628">
        <f t="shared" si="31"/>
        <v>0</v>
      </c>
      <c r="R115" s="1628"/>
      <c r="S115" s="466"/>
      <c r="T115" s="1628"/>
      <c r="U115" s="493">
        <f t="shared" si="32"/>
        <v>-1.4180145760000002E-2</v>
      </c>
      <c r="V115" s="493"/>
      <c r="W115" s="1628">
        <f t="shared" si="33"/>
        <v>-1.4180145760000002E-2</v>
      </c>
      <c r="X115" s="1635">
        <f>L115+U115-O115</f>
        <v>-1.4180145760000002E-2</v>
      </c>
      <c r="Y115" s="1635">
        <f>M115+V115-P115</f>
        <v>0</v>
      </c>
      <c r="Z115" s="1628">
        <f t="shared" si="34"/>
        <v>-1.4180145760000002E-2</v>
      </c>
      <c r="AA115" s="2133"/>
      <c r="AB115" s="2136"/>
      <c r="AC115" s="2133"/>
      <c r="AD115" s="1636">
        <f t="shared" si="35"/>
        <v>0</v>
      </c>
      <c r="AE115" s="435">
        <v>0</v>
      </c>
      <c r="AF115" s="1637">
        <f t="shared" si="36"/>
        <v>0</v>
      </c>
    </row>
    <row r="116" spans="2:34" x14ac:dyDescent="0.35">
      <c r="B116" s="519" t="s">
        <v>1834</v>
      </c>
      <c r="C116" s="1632">
        <f>+'F13'!C162</f>
        <v>1</v>
      </c>
      <c r="D116" s="788"/>
      <c r="E116" s="1632">
        <f t="shared" si="28"/>
        <v>1</v>
      </c>
      <c r="F116" s="2147"/>
      <c r="G116" s="1176">
        <f>+'F13'!D162</f>
        <v>1.778895E-3</v>
      </c>
      <c r="H116" s="1633"/>
      <c r="I116" s="1630">
        <f t="shared" si="29"/>
        <v>1.778895E-3</v>
      </c>
      <c r="J116" s="1633"/>
      <c r="K116" s="498">
        <f>I116+J116</f>
        <v>1.778895E-3</v>
      </c>
      <c r="L116" s="498">
        <v>1.1278235000000001E-2</v>
      </c>
      <c r="M116" s="1633"/>
      <c r="N116" s="493">
        <f t="shared" si="30"/>
        <v>1.1278235000000001E-2</v>
      </c>
      <c r="O116" s="493">
        <v>2.4130000000000002E-3</v>
      </c>
      <c r="P116" s="466"/>
      <c r="Q116" s="1628">
        <f t="shared" si="31"/>
        <v>2.4130000000000002E-3</v>
      </c>
      <c r="R116" s="1628"/>
      <c r="S116" s="466"/>
      <c r="T116" s="1628"/>
      <c r="U116" s="493">
        <f t="shared" si="32"/>
        <v>1.8324000000002503E-7</v>
      </c>
      <c r="V116" s="493"/>
      <c r="W116" s="1628">
        <f t="shared" si="33"/>
        <v>1.8324000000002503E-7</v>
      </c>
      <c r="X116" s="1635">
        <f>L116+U116-O116</f>
        <v>8.8654182400000007E-3</v>
      </c>
      <c r="Y116" s="1635">
        <f>M116+V116-P116</f>
        <v>0</v>
      </c>
      <c r="Z116" s="1628">
        <f t="shared" si="34"/>
        <v>8.8654182400000007E-3</v>
      </c>
      <c r="AA116" s="2133"/>
      <c r="AB116" s="2136"/>
      <c r="AC116" s="2133"/>
      <c r="AD116" s="1636">
        <f t="shared" si="35"/>
        <v>0.21395191712178369</v>
      </c>
      <c r="AE116" s="435">
        <v>0</v>
      </c>
      <c r="AF116" s="1637">
        <f t="shared" si="36"/>
        <v>0.21395191712178369</v>
      </c>
    </row>
    <row r="117" spans="2:34" x14ac:dyDescent="0.35">
      <c r="B117" s="417" t="s">
        <v>1112</v>
      </c>
      <c r="C117" s="1638">
        <f>SUM(C111:C116)</f>
        <v>1954</v>
      </c>
      <c r="D117" s="1638">
        <f>SUM(D111:D116)</f>
        <v>0</v>
      </c>
      <c r="E117" s="1638">
        <f>SUM(E111:E116)</f>
        <v>1954</v>
      </c>
      <c r="F117" s="2147"/>
      <c r="G117" s="1639">
        <f t="shared" ref="G117:Q117" si="37">SUM(G111:G116)</f>
        <v>3.8814999492999998</v>
      </c>
      <c r="H117" s="1639">
        <f t="shared" si="37"/>
        <v>0</v>
      </c>
      <c r="I117" s="1639">
        <f t="shared" si="37"/>
        <v>3.8814999492999998</v>
      </c>
      <c r="J117" s="1639">
        <f t="shared" si="37"/>
        <v>0</v>
      </c>
      <c r="K117" s="1639">
        <f t="shared" si="37"/>
        <v>3.5401942072999999</v>
      </c>
      <c r="L117" s="1639">
        <f t="shared" si="37"/>
        <v>5.5290624368915999</v>
      </c>
      <c r="M117" s="1639">
        <f t="shared" si="37"/>
        <v>0</v>
      </c>
      <c r="N117" s="1639">
        <f t="shared" si="37"/>
        <v>5.5290624368915999</v>
      </c>
      <c r="O117" s="1639">
        <f t="shared" si="37"/>
        <v>5.4882941599999997</v>
      </c>
      <c r="P117" s="1639">
        <f t="shared" si="37"/>
        <v>0</v>
      </c>
      <c r="Q117" s="1639">
        <f t="shared" si="37"/>
        <v>5.4882941599999997</v>
      </c>
      <c r="R117" s="500"/>
      <c r="S117" s="447"/>
      <c r="T117" s="1629"/>
      <c r="U117" s="1639">
        <f t="shared" ref="U117:Z117" si="38">SUM(U111:U116)</f>
        <v>-1.4212983571</v>
      </c>
      <c r="V117" s="1639">
        <f t="shared" si="38"/>
        <v>0</v>
      </c>
      <c r="W117" s="1639">
        <f t="shared" si="38"/>
        <v>-1.4212983571</v>
      </c>
      <c r="X117" s="1639">
        <f t="shared" si="38"/>
        <v>-1.3805300802084006</v>
      </c>
      <c r="Y117" s="1639">
        <f t="shared" si="38"/>
        <v>0</v>
      </c>
      <c r="Z117" s="1639">
        <f t="shared" si="38"/>
        <v>-1.3805300802084006</v>
      </c>
      <c r="AA117" s="2133"/>
      <c r="AB117" s="2136"/>
      <c r="AC117" s="2133"/>
      <c r="AD117" s="1636">
        <f t="shared" si="35"/>
        <v>0.99262654792617611</v>
      </c>
      <c r="AE117" s="435">
        <v>0</v>
      </c>
      <c r="AF117" s="1637">
        <f t="shared" si="36"/>
        <v>0.99262654792617611</v>
      </c>
    </row>
    <row r="118" spans="2:34" x14ac:dyDescent="0.35">
      <c r="B118" s="419" t="s">
        <v>164</v>
      </c>
      <c r="C118" s="1638">
        <f>C108+C117</f>
        <v>1959</v>
      </c>
      <c r="D118" s="1638">
        <v>0</v>
      </c>
      <c r="E118" s="1638">
        <f>E108+E117</f>
        <v>1959</v>
      </c>
      <c r="F118" s="2147"/>
      <c r="G118" s="1652">
        <f>+G117+G108</f>
        <v>25.639202629299998</v>
      </c>
      <c r="H118" s="1652">
        <f>+H117+H108</f>
        <v>0</v>
      </c>
      <c r="I118" s="1652">
        <f>+I117+I108</f>
        <v>25.639202629299998</v>
      </c>
      <c r="J118" s="1652">
        <f>+J117+J108</f>
        <v>0</v>
      </c>
      <c r="K118" s="1652">
        <f>+K117+K108</f>
        <v>25.297896887299999</v>
      </c>
      <c r="L118" s="1653">
        <f>L108+L117</f>
        <v>22.941537264131597</v>
      </c>
      <c r="M118" s="1639">
        <v>0</v>
      </c>
      <c r="N118" s="500">
        <f>N108+N117</f>
        <v>22.941537264131597</v>
      </c>
      <c r="O118" s="500">
        <f>O108+O117</f>
        <v>22.561006659999997</v>
      </c>
      <c r="P118" s="447">
        <v>0</v>
      </c>
      <c r="Q118" s="1629">
        <f>Q108+Q117</f>
        <v>22.561006659999997</v>
      </c>
      <c r="R118" s="500"/>
      <c r="S118" s="447"/>
      <c r="T118" s="1629"/>
      <c r="U118" s="1652">
        <f t="shared" ref="U118:Z118" si="39">+U117+U108</f>
        <v>-12.107138070132402</v>
      </c>
      <c r="V118" s="1652">
        <f t="shared" si="39"/>
        <v>0</v>
      </c>
      <c r="W118" s="1652">
        <f t="shared" si="39"/>
        <v>-12.107138070132402</v>
      </c>
      <c r="X118" s="1652">
        <f t="shared" si="39"/>
        <v>-11.726607466000804</v>
      </c>
      <c r="Y118" s="1652">
        <f t="shared" si="39"/>
        <v>0</v>
      </c>
      <c r="Z118" s="1652">
        <f t="shared" si="39"/>
        <v>-11.726607466000804</v>
      </c>
      <c r="AA118" s="2134"/>
      <c r="AB118" s="2137"/>
      <c r="AC118" s="2134"/>
      <c r="AD118" s="1644">
        <f>Q118/N118</f>
        <v>0.98341302939944886</v>
      </c>
      <c r="AE118" s="1644"/>
      <c r="AF118" s="1645">
        <f t="shared" si="36"/>
        <v>0.98341302939944886</v>
      </c>
      <c r="AG118" s="1650">
        <f>+Assum!I62</f>
        <v>0.98340000000000005</v>
      </c>
      <c r="AH118" s="1672"/>
    </row>
    <row r="119" spans="2:34" x14ac:dyDescent="0.35">
      <c r="B119" s="34" t="s">
        <v>782</v>
      </c>
      <c r="AH119" s="1279"/>
    </row>
    <row r="120" spans="2:34" x14ac:dyDescent="0.35">
      <c r="B120" s="2066" t="s">
        <v>783</v>
      </c>
      <c r="C120" s="2066"/>
      <c r="D120" s="2066"/>
      <c r="E120" s="2066"/>
      <c r="F120" s="2066"/>
      <c r="G120" s="2066"/>
      <c r="H120" s="2066"/>
      <c r="I120" s="2066"/>
      <c r="J120" s="2066"/>
      <c r="K120" s="2066"/>
      <c r="L120" s="2066"/>
      <c r="M120" s="2066"/>
      <c r="N120" s="2066"/>
      <c r="O120" s="2066"/>
      <c r="P120" s="2066"/>
      <c r="Q120" s="2066"/>
      <c r="R120" s="2066"/>
      <c r="S120" s="2066"/>
    </row>
    <row r="121" spans="2:34" x14ac:dyDescent="0.35">
      <c r="B121" s="2066" t="s">
        <v>784</v>
      </c>
      <c r="C121" s="2066"/>
      <c r="D121" s="2066"/>
      <c r="E121" s="2066"/>
      <c r="F121" s="2066"/>
      <c r="G121" s="2066"/>
      <c r="H121" s="2066"/>
      <c r="I121" s="2066"/>
      <c r="J121" s="2066"/>
      <c r="K121" s="2066"/>
      <c r="L121" s="2066"/>
      <c r="M121" s="2066"/>
      <c r="N121" s="2066"/>
      <c r="O121" s="2066"/>
      <c r="P121" s="2066"/>
      <c r="Q121" s="2066"/>
      <c r="R121" s="2066"/>
      <c r="S121" s="2066"/>
    </row>
    <row r="123" spans="2:34" x14ac:dyDescent="0.35">
      <c r="B123" s="423" t="s">
        <v>785</v>
      </c>
    </row>
    <row r="124" spans="2:34" x14ac:dyDescent="0.35">
      <c r="B124" s="423"/>
    </row>
    <row r="125" spans="2:34" x14ac:dyDescent="0.35">
      <c r="B125" s="2138" t="s">
        <v>699</v>
      </c>
      <c r="C125" s="2141" t="s">
        <v>764</v>
      </c>
      <c r="D125" s="2142"/>
      <c r="E125" s="2143"/>
      <c r="F125" s="2144" t="s">
        <v>765</v>
      </c>
      <c r="G125" s="2141" t="s">
        <v>308</v>
      </c>
      <c r="H125" s="2142"/>
      <c r="I125" s="2142"/>
      <c r="J125" s="2142"/>
      <c r="K125" s="2143"/>
      <c r="L125" s="1991" t="s">
        <v>766</v>
      </c>
      <c r="M125" s="1991"/>
      <c r="N125" s="1991"/>
      <c r="O125" s="1991" t="s">
        <v>767</v>
      </c>
      <c r="P125" s="1991"/>
      <c r="Q125" s="1991"/>
      <c r="R125" s="1991" t="s">
        <v>768</v>
      </c>
      <c r="S125" s="1991"/>
      <c r="T125" s="1991"/>
      <c r="U125" s="1991" t="s">
        <v>769</v>
      </c>
      <c r="V125" s="1991"/>
      <c r="W125" s="1991"/>
      <c r="X125" s="1991" t="s">
        <v>770</v>
      </c>
      <c r="Y125" s="1991"/>
      <c r="Z125" s="1991"/>
      <c r="AA125" s="1991" t="s">
        <v>771</v>
      </c>
      <c r="AB125" s="1991"/>
      <c r="AC125" s="1991"/>
      <c r="AD125" s="1991" t="s">
        <v>772</v>
      </c>
      <c r="AE125" s="1991"/>
      <c r="AF125" s="1991"/>
    </row>
    <row r="126" spans="2:34" x14ac:dyDescent="0.35">
      <c r="B126" s="2139"/>
      <c r="C126" s="2130" t="s">
        <v>773</v>
      </c>
      <c r="D126" s="2130" t="s">
        <v>774</v>
      </c>
      <c r="E126" s="2130" t="s">
        <v>164</v>
      </c>
      <c r="F126" s="2145"/>
      <c r="G126" s="2141" t="s">
        <v>775</v>
      </c>
      <c r="H126" s="2142"/>
      <c r="I126" s="2143"/>
      <c r="J126" s="2130" t="s">
        <v>776</v>
      </c>
      <c r="K126" s="2130" t="s">
        <v>777</v>
      </c>
      <c r="L126" s="2130" t="s">
        <v>778</v>
      </c>
      <c r="M126" s="2130" t="s">
        <v>779</v>
      </c>
      <c r="N126" s="2130" t="s">
        <v>164</v>
      </c>
      <c r="O126" s="2130" t="s">
        <v>778</v>
      </c>
      <c r="P126" s="2130" t="s">
        <v>779</v>
      </c>
      <c r="Q126" s="2130" t="s">
        <v>164</v>
      </c>
      <c r="R126" s="2130" t="s">
        <v>778</v>
      </c>
      <c r="S126" s="2130" t="s">
        <v>779</v>
      </c>
      <c r="T126" s="2130" t="s">
        <v>164</v>
      </c>
      <c r="U126" s="2130" t="s">
        <v>778</v>
      </c>
      <c r="V126" s="2130" t="s">
        <v>779</v>
      </c>
      <c r="W126" s="2130" t="s">
        <v>164</v>
      </c>
      <c r="X126" s="2130" t="s">
        <v>778</v>
      </c>
      <c r="Y126" s="2130" t="s">
        <v>779</v>
      </c>
      <c r="Z126" s="2130" t="s">
        <v>164</v>
      </c>
      <c r="AA126" s="2130" t="s">
        <v>778</v>
      </c>
      <c r="AB126" s="2130" t="s">
        <v>779</v>
      </c>
      <c r="AC126" s="2130" t="s">
        <v>164</v>
      </c>
      <c r="AD126" s="2130" t="s">
        <v>778</v>
      </c>
      <c r="AE126" s="2130" t="s">
        <v>779</v>
      </c>
      <c r="AF126" s="2130" t="s">
        <v>164</v>
      </c>
    </row>
    <row r="127" spans="2:34" ht="40.5" x14ac:dyDescent="0.35">
      <c r="B127" s="2140"/>
      <c r="C127" s="2131"/>
      <c r="D127" s="2131"/>
      <c r="E127" s="2131"/>
      <c r="F127" s="2146"/>
      <c r="G127" s="184" t="s">
        <v>780</v>
      </c>
      <c r="H127" s="184" t="s">
        <v>781</v>
      </c>
      <c r="I127" s="184" t="s">
        <v>164</v>
      </c>
      <c r="J127" s="2131"/>
      <c r="K127" s="2131"/>
      <c r="L127" s="2131"/>
      <c r="M127" s="2131"/>
      <c r="N127" s="2131"/>
      <c r="O127" s="2131"/>
      <c r="P127" s="2131"/>
      <c r="Q127" s="2131"/>
      <c r="R127" s="2131"/>
      <c r="S127" s="2131"/>
      <c r="T127" s="2131"/>
      <c r="U127" s="2131"/>
      <c r="V127" s="2131"/>
      <c r="W127" s="2131"/>
      <c r="X127" s="2131"/>
      <c r="Y127" s="2131"/>
      <c r="Z127" s="2131"/>
      <c r="AA127" s="2131"/>
      <c r="AB127" s="2131"/>
      <c r="AC127" s="2131"/>
      <c r="AD127" s="2131"/>
      <c r="AE127" s="2131"/>
      <c r="AF127" s="2131"/>
    </row>
    <row r="128" spans="2:34" x14ac:dyDescent="0.35">
      <c r="B128" s="1654" t="s">
        <v>161</v>
      </c>
      <c r="C128" s="382"/>
      <c r="D128" s="382"/>
      <c r="E128" s="382"/>
      <c r="F128" s="2147">
        <f>+'F1.3'!E74</f>
        <v>39.725430531545456</v>
      </c>
      <c r="G128" s="1630"/>
      <c r="H128" s="1630"/>
      <c r="I128" s="1630"/>
      <c r="J128" s="435"/>
      <c r="K128" s="435"/>
      <c r="L128" s="1631"/>
      <c r="M128" s="1628"/>
      <c r="N128" s="1628"/>
      <c r="O128" s="1628"/>
      <c r="P128" s="1628"/>
      <c r="Q128" s="1628"/>
      <c r="R128" s="435"/>
      <c r="S128" s="435"/>
      <c r="T128" s="435"/>
      <c r="U128" s="435"/>
      <c r="V128" s="435"/>
      <c r="W128" s="435"/>
      <c r="X128" s="435"/>
      <c r="Y128" s="435"/>
      <c r="Z128" s="435"/>
      <c r="AA128" s="2132">
        <f>+G142/$F$128</f>
        <v>0.99076734582765058</v>
      </c>
      <c r="AB128" s="2135"/>
      <c r="AC128" s="2132">
        <f>+I142/$F$128</f>
        <v>0.99076734582765058</v>
      </c>
      <c r="AD128" s="435"/>
      <c r="AE128" s="435"/>
      <c r="AF128" s="435"/>
    </row>
    <row r="129" spans="2:34" x14ac:dyDescent="0.35">
      <c r="B129" s="1655" t="s">
        <v>1552</v>
      </c>
      <c r="C129" s="1632">
        <f>+'F13'!C173</f>
        <v>2</v>
      </c>
      <c r="D129" s="466">
        <v>0</v>
      </c>
      <c r="E129" s="1632">
        <f>C129+D129</f>
        <v>2</v>
      </c>
      <c r="F129" s="2147"/>
      <c r="G129" s="1177">
        <f>+'F13'!D173</f>
        <v>33.8577600156</v>
      </c>
      <c r="H129" s="1633">
        <v>0</v>
      </c>
      <c r="I129" s="1630">
        <f>+G129+H129</f>
        <v>33.8577600156</v>
      </c>
      <c r="J129" s="1633">
        <v>0</v>
      </c>
      <c r="K129" s="498">
        <f>I129+J129</f>
        <v>33.8577600156</v>
      </c>
      <c r="L129" s="1631">
        <v>33.648704174000002</v>
      </c>
      <c r="M129" s="1634"/>
      <c r="N129" s="1628">
        <f>L129+M129</f>
        <v>33.648704174000002</v>
      </c>
      <c r="O129" s="1628">
        <v>24.189102300000002</v>
      </c>
      <c r="P129" s="1634"/>
      <c r="Q129" s="1628">
        <f>O129+P129</f>
        <v>24.189102300000002</v>
      </c>
      <c r="R129" s="435"/>
      <c r="S129" s="435"/>
      <c r="T129" s="435"/>
      <c r="U129" s="493">
        <f>+X105</f>
        <v>0.2462977869999996</v>
      </c>
      <c r="V129" s="493"/>
      <c r="W129" s="1631">
        <f>U129+V129</f>
        <v>0.2462977869999996</v>
      </c>
      <c r="X129" s="1635">
        <f>L129+U129-O129</f>
        <v>9.7058996610000037</v>
      </c>
      <c r="Y129" s="1635">
        <f>M129+V129-P129</f>
        <v>0</v>
      </c>
      <c r="Z129" s="1631">
        <f>X129+Y129</f>
        <v>9.7058996610000037</v>
      </c>
      <c r="AA129" s="2133"/>
      <c r="AB129" s="2136"/>
      <c r="AC129" s="2133"/>
      <c r="AD129" s="1636">
        <f>IFERROR(Q129/N129,0)</f>
        <v>0.7188717335121233</v>
      </c>
      <c r="AE129" s="435">
        <v>0</v>
      </c>
      <c r="AF129" s="1637">
        <f>AD129+AE129</f>
        <v>0.7188717335121233</v>
      </c>
    </row>
    <row r="130" spans="2:34" x14ac:dyDescent="0.35">
      <c r="B130" s="1655" t="s">
        <v>1827</v>
      </c>
      <c r="C130" s="1632">
        <f>+'F13'!C174</f>
        <v>4</v>
      </c>
      <c r="D130" s="466">
        <v>0</v>
      </c>
      <c r="E130" s="1632">
        <f>C130+D130</f>
        <v>4</v>
      </c>
      <c r="F130" s="2147"/>
      <c r="G130" s="1177">
        <f>+'F13'!D174</f>
        <v>0.34753759000000006</v>
      </c>
      <c r="H130" s="1633">
        <v>0</v>
      </c>
      <c r="I130" s="1630">
        <f>+G130+H130</f>
        <v>0.34753759000000006</v>
      </c>
      <c r="J130" s="1633">
        <v>0</v>
      </c>
      <c r="K130" s="498">
        <f>I130+J130</f>
        <v>0.34753759000000006</v>
      </c>
      <c r="L130" s="1631">
        <v>1.1780574239000001</v>
      </c>
      <c r="M130" s="1633"/>
      <c r="N130" s="1670">
        <f>L130+M130</f>
        <v>1.1780574239000001</v>
      </c>
      <c r="O130" s="1628">
        <v>1.0828609999999999</v>
      </c>
      <c r="P130" s="466"/>
      <c r="Q130" s="1628">
        <f>O130+P130</f>
        <v>1.0828609999999999</v>
      </c>
      <c r="R130" s="493"/>
      <c r="S130" s="466"/>
      <c r="T130" s="1628"/>
      <c r="U130" s="493">
        <f>+X106</f>
        <v>-10.592375172792403</v>
      </c>
      <c r="V130" s="493"/>
      <c r="W130" s="1631">
        <f>U130+V130</f>
        <v>-10.592375172792403</v>
      </c>
      <c r="X130" s="1635">
        <f>L130+U130-O130</f>
        <v>-10.497178748892402</v>
      </c>
      <c r="Y130" s="1635">
        <f>M130+V130-P130</f>
        <v>0</v>
      </c>
      <c r="Z130" s="1631">
        <f>X130+Y130</f>
        <v>-10.497178748892402</v>
      </c>
      <c r="AA130" s="2133"/>
      <c r="AB130" s="2136"/>
      <c r="AC130" s="2133"/>
      <c r="AD130" s="1636">
        <f>IFERROR(Q130/N130,0)</f>
        <v>0.91919203430266649</v>
      </c>
      <c r="AE130" s="435">
        <v>0</v>
      </c>
      <c r="AF130" s="1637">
        <f>AD130+AE130</f>
        <v>0.91919203430266649</v>
      </c>
    </row>
    <row r="131" spans="2:34" x14ac:dyDescent="0.35">
      <c r="B131" s="1655" t="s">
        <v>1828</v>
      </c>
      <c r="C131" s="1632"/>
      <c r="D131" s="466">
        <v>0</v>
      </c>
      <c r="E131" s="1632">
        <f>C131+D131</f>
        <v>0</v>
      </c>
      <c r="F131" s="2147"/>
      <c r="G131" s="1177"/>
      <c r="H131" s="1633"/>
      <c r="I131" s="1630">
        <f>+G131+H131</f>
        <v>0</v>
      </c>
      <c r="J131" s="1633"/>
      <c r="K131" s="498"/>
      <c r="L131" s="1631"/>
      <c r="M131" s="1633"/>
      <c r="N131" s="1670"/>
      <c r="O131" s="493"/>
      <c r="P131" s="466"/>
      <c r="Q131" s="1628"/>
      <c r="R131" s="493"/>
      <c r="S131" s="466"/>
      <c r="T131" s="1628"/>
      <c r="U131" s="493"/>
      <c r="V131" s="493"/>
      <c r="W131" s="1631"/>
      <c r="X131" s="1628"/>
      <c r="Y131" s="1635"/>
      <c r="Z131" s="1631"/>
      <c r="AA131" s="2133"/>
      <c r="AB131" s="2136"/>
      <c r="AC131" s="2133"/>
      <c r="AD131" s="1636"/>
      <c r="AE131" s="435"/>
      <c r="AF131" s="1637"/>
    </row>
    <row r="132" spans="2:34" x14ac:dyDescent="0.35">
      <c r="B132" s="417" t="s">
        <v>1105</v>
      </c>
      <c r="C132" s="1638">
        <f>SUM(C129:C131)</f>
        <v>6</v>
      </c>
      <c r="D132" s="1638">
        <f>SUM(D129:D131)</f>
        <v>0</v>
      </c>
      <c r="E132" s="1638">
        <f>SUM(E129:E131)</f>
        <v>6</v>
      </c>
      <c r="F132" s="2147"/>
      <c r="G132" s="1651">
        <f>SUM(G129:G131)</f>
        <v>34.205297605600002</v>
      </c>
      <c r="H132" s="1651">
        <f>SUM(H129:H131)</f>
        <v>0</v>
      </c>
      <c r="I132" s="1651">
        <f>SUM(I129:I131)</f>
        <v>34.205297605600002</v>
      </c>
      <c r="J132" s="1651">
        <f>SUM(J129:J131)</f>
        <v>0</v>
      </c>
      <c r="K132" s="1651">
        <f>SUM(K129:K131)</f>
        <v>34.205297605600002</v>
      </c>
      <c r="L132" s="1639">
        <f t="shared" ref="L132:Q132" si="40">SUM(L129:L131)</f>
        <v>34.826761597900003</v>
      </c>
      <c r="M132" s="1639">
        <f t="shared" si="40"/>
        <v>0</v>
      </c>
      <c r="N132" s="1639">
        <f t="shared" si="40"/>
        <v>34.826761597900003</v>
      </c>
      <c r="O132" s="1639">
        <f t="shared" si="40"/>
        <v>25.271963300000003</v>
      </c>
      <c r="P132" s="1638">
        <f t="shared" si="40"/>
        <v>0</v>
      </c>
      <c r="Q132" s="1641">
        <f t="shared" si="40"/>
        <v>25.271963300000003</v>
      </c>
      <c r="R132" s="1639"/>
      <c r="S132" s="1638"/>
      <c r="T132" s="1641"/>
      <c r="U132" s="1651">
        <f t="shared" ref="U132:Z132" si="41">SUM(U129:U131)</f>
        <v>-10.346077385792404</v>
      </c>
      <c r="V132" s="1651">
        <f t="shared" si="41"/>
        <v>0</v>
      </c>
      <c r="W132" s="1651">
        <f t="shared" si="41"/>
        <v>-10.346077385792404</v>
      </c>
      <c r="X132" s="1651">
        <f t="shared" si="41"/>
        <v>-0.79127908789239854</v>
      </c>
      <c r="Y132" s="1651">
        <f t="shared" si="41"/>
        <v>0</v>
      </c>
      <c r="Z132" s="1651">
        <f t="shared" si="41"/>
        <v>-0.79127908789239854</v>
      </c>
      <c r="AA132" s="2133"/>
      <c r="AB132" s="2136"/>
      <c r="AC132" s="2133"/>
      <c r="AD132" s="1644">
        <f>Q132/N132</f>
        <v>0.72564781049076532</v>
      </c>
      <c r="AE132" s="435">
        <v>0</v>
      </c>
      <c r="AF132" s="1645">
        <f>AD132+AE132</f>
        <v>0.72564781049076532</v>
      </c>
    </row>
    <row r="133" spans="2:34" x14ac:dyDescent="0.35">
      <c r="B133" s="1656"/>
      <c r="C133" s="382"/>
      <c r="D133" s="382"/>
      <c r="E133" s="382"/>
      <c r="F133" s="2147"/>
      <c r="G133" s="1177"/>
      <c r="H133" s="1630"/>
      <c r="I133" s="1630"/>
      <c r="J133" s="1630"/>
      <c r="K133" s="498"/>
      <c r="L133" s="498"/>
      <c r="M133" s="1630"/>
      <c r="N133" s="493"/>
      <c r="O133" s="493"/>
      <c r="P133" s="382"/>
      <c r="Q133" s="1628"/>
      <c r="R133" s="493"/>
      <c r="S133" s="382"/>
      <c r="T133" s="1628"/>
      <c r="U133" s="493"/>
      <c r="V133" s="493"/>
      <c r="W133" s="1628"/>
      <c r="X133" s="1635"/>
      <c r="Y133" s="1647"/>
      <c r="Z133" s="1628"/>
      <c r="AA133" s="2133"/>
      <c r="AB133" s="2136"/>
      <c r="AC133" s="2133"/>
      <c r="AD133" s="1636"/>
      <c r="AE133" s="435"/>
      <c r="AF133" s="1637"/>
    </row>
    <row r="134" spans="2:34" x14ac:dyDescent="0.35">
      <c r="B134" s="1656" t="s">
        <v>163</v>
      </c>
      <c r="C134" s="382"/>
      <c r="D134" s="382"/>
      <c r="E134" s="382"/>
      <c r="F134" s="2147"/>
      <c r="G134" s="1177"/>
      <c r="H134" s="1630"/>
      <c r="I134" s="1630"/>
      <c r="J134" s="1630"/>
      <c r="K134" s="498"/>
      <c r="L134" s="498"/>
      <c r="M134" s="1630"/>
      <c r="N134" s="493"/>
      <c r="O134" s="493"/>
      <c r="P134" s="382"/>
      <c r="Q134" s="1628"/>
      <c r="R134" s="493"/>
      <c r="S134" s="382"/>
      <c r="T134" s="1628"/>
      <c r="U134" s="493"/>
      <c r="V134" s="493"/>
      <c r="W134" s="1628"/>
      <c r="X134" s="1635"/>
      <c r="Y134" s="1647"/>
      <c r="Z134" s="1628"/>
      <c r="AA134" s="2133"/>
      <c r="AB134" s="2136"/>
      <c r="AC134" s="2133"/>
      <c r="AD134" s="1636"/>
      <c r="AE134" s="435"/>
      <c r="AF134" s="1637"/>
    </row>
    <row r="135" spans="2:34" x14ac:dyDescent="0.35">
      <c r="B135" s="1655" t="s">
        <v>1554</v>
      </c>
      <c r="C135" s="1632">
        <f>SUM('F13'!C180:C183)</f>
        <v>2187</v>
      </c>
      <c r="D135" s="788">
        <v>0</v>
      </c>
      <c r="E135" s="1632">
        <f t="shared" ref="E135:E140" si="42">C135+D135</f>
        <v>2187</v>
      </c>
      <c r="F135" s="2147"/>
      <c r="G135" s="1177">
        <f>SUM('F13'!D180:D183)</f>
        <v>4.0058349999999994</v>
      </c>
      <c r="H135" s="1633">
        <v>0</v>
      </c>
      <c r="I135" s="1630">
        <f t="shared" ref="I135:I140" si="43">+G135+H135</f>
        <v>4.0058349999999994</v>
      </c>
      <c r="J135" s="1633">
        <v>0</v>
      </c>
      <c r="K135" s="498">
        <f>I135+J135</f>
        <v>4.0058349999999994</v>
      </c>
      <c r="L135" s="498">
        <v>6.9965835418999998</v>
      </c>
      <c r="M135" s="1633"/>
      <c r="N135" s="493">
        <f t="shared" ref="N135:N140" si="44">L135+M135</f>
        <v>6.9965835418999998</v>
      </c>
      <c r="O135" s="493">
        <v>6.9058858200000008</v>
      </c>
      <c r="P135" s="466"/>
      <c r="Q135" s="1628">
        <f t="shared" ref="Q135:Q140" si="45">O135+P135</f>
        <v>6.9058858200000008</v>
      </c>
      <c r="R135" s="1628"/>
      <c r="S135" s="466"/>
      <c r="T135" s="1628"/>
      <c r="U135" s="493">
        <f t="shared" ref="U135:U140" si="46">+X111</f>
        <v>-1.2039972550000004</v>
      </c>
      <c r="V135" s="493"/>
      <c r="W135" s="1628">
        <f t="shared" ref="W135:W140" si="47">U135+V135</f>
        <v>-1.2039972550000004</v>
      </c>
      <c r="X135" s="1635">
        <f>L135+U135-O135</f>
        <v>-1.113299533100002</v>
      </c>
      <c r="Y135" s="1635">
        <f>M135+V135-P135</f>
        <v>0</v>
      </c>
      <c r="Z135" s="1628">
        <f t="shared" ref="Z135:Z140" si="48">X135+Y135</f>
        <v>-1.113299533100002</v>
      </c>
      <c r="AA135" s="2133"/>
      <c r="AB135" s="2136"/>
      <c r="AC135" s="2133"/>
      <c r="AD135" s="1636">
        <f t="shared" ref="AD135:AD141" si="49">IFERROR(Q135/N135,0)</f>
        <v>0.98703685572296207</v>
      </c>
      <c r="AE135" s="435">
        <v>0</v>
      </c>
      <c r="AF135" s="1637">
        <f t="shared" ref="AF135:AF142" si="50">AD135+AE135</f>
        <v>0.98703685572296207</v>
      </c>
    </row>
    <row r="136" spans="2:34" x14ac:dyDescent="0.35">
      <c r="B136" s="1655" t="s">
        <v>1829</v>
      </c>
      <c r="C136" s="1632">
        <f>SUM('F13'!C186:C188)</f>
        <v>47</v>
      </c>
      <c r="D136" s="788">
        <v>0</v>
      </c>
      <c r="E136" s="1632">
        <f t="shared" si="42"/>
        <v>47</v>
      </c>
      <c r="F136" s="2147"/>
      <c r="G136" s="1177">
        <f>SUM('F13'!D186:D188)</f>
        <v>0.51318319000000001</v>
      </c>
      <c r="H136" s="1633">
        <v>0</v>
      </c>
      <c r="I136" s="1630">
        <f t="shared" si="43"/>
        <v>0.51318319000000001</v>
      </c>
      <c r="J136" s="1633">
        <v>0</v>
      </c>
      <c r="K136" s="498">
        <f>I136+J136</f>
        <v>0.51318319000000001</v>
      </c>
      <c r="L136" s="498">
        <v>0.91428894946799999</v>
      </c>
      <c r="M136" s="1633"/>
      <c r="N136" s="493">
        <f t="shared" si="44"/>
        <v>0.91428894946799999</v>
      </c>
      <c r="O136" s="493">
        <v>0.91015659999999976</v>
      </c>
      <c r="P136" s="466"/>
      <c r="Q136" s="1628">
        <f t="shared" si="45"/>
        <v>0.91015659999999976</v>
      </c>
      <c r="R136" s="1628"/>
      <c r="S136" s="466"/>
      <c r="T136" s="1628"/>
      <c r="U136" s="493">
        <f t="shared" si="46"/>
        <v>-2.6732668016400174E-2</v>
      </c>
      <c r="V136" s="493"/>
      <c r="W136" s="1628">
        <f t="shared" si="47"/>
        <v>-2.6732668016400174E-2</v>
      </c>
      <c r="X136" s="1635">
        <f>L136+U136-O136</f>
        <v>-2.2600318548399945E-2</v>
      </c>
      <c r="Y136" s="1635">
        <f>M136+V136-P136</f>
        <v>0</v>
      </c>
      <c r="Z136" s="1628">
        <f t="shared" si="48"/>
        <v>-2.2600318548399945E-2</v>
      </c>
      <c r="AA136" s="2133"/>
      <c r="AB136" s="2136"/>
      <c r="AC136" s="2133"/>
      <c r="AD136" s="1636">
        <f t="shared" si="49"/>
        <v>0.99548025876239155</v>
      </c>
      <c r="AE136" s="435">
        <v>0</v>
      </c>
      <c r="AF136" s="1637">
        <f t="shared" si="50"/>
        <v>0.99548025876239155</v>
      </c>
    </row>
    <row r="137" spans="2:34" x14ac:dyDescent="0.35">
      <c r="B137" s="1655" t="s">
        <v>1830</v>
      </c>
      <c r="C137" s="1632">
        <f>+'F13'!C189</f>
        <v>2</v>
      </c>
      <c r="D137" s="788"/>
      <c r="E137" s="1632">
        <f t="shared" si="42"/>
        <v>2</v>
      </c>
      <c r="F137" s="2147"/>
      <c r="G137" s="1177">
        <f>+'F13'!D189</f>
        <v>0.45583488999999999</v>
      </c>
      <c r="H137" s="1633">
        <v>0</v>
      </c>
      <c r="I137" s="1630">
        <f t="shared" si="43"/>
        <v>0.45583488999999999</v>
      </c>
      <c r="J137" s="1633"/>
      <c r="K137" s="498"/>
      <c r="L137" s="498">
        <v>0.49640452674999996</v>
      </c>
      <c r="M137" s="1633"/>
      <c r="N137" s="493">
        <f t="shared" si="44"/>
        <v>0.49640452674999996</v>
      </c>
      <c r="O137" s="493">
        <v>0.49263100000000004</v>
      </c>
      <c r="P137" s="466"/>
      <c r="Q137" s="1628">
        <f t="shared" si="45"/>
        <v>0.49263100000000004</v>
      </c>
      <c r="R137" s="493"/>
      <c r="S137" s="466"/>
      <c r="T137" s="1628"/>
      <c r="U137" s="493">
        <f t="shared" si="46"/>
        <v>-6.6968874672000051E-2</v>
      </c>
      <c r="V137" s="493"/>
      <c r="W137" s="1628">
        <f t="shared" si="47"/>
        <v>-6.6968874672000051E-2</v>
      </c>
      <c r="X137" s="1635">
        <f>L137+U137-O137</f>
        <v>-6.31953479220001E-2</v>
      </c>
      <c r="Y137" s="1635"/>
      <c r="Z137" s="1628">
        <f t="shared" si="48"/>
        <v>-6.31953479220001E-2</v>
      </c>
      <c r="AA137" s="2133"/>
      <c r="AB137" s="2136"/>
      <c r="AC137" s="2133"/>
      <c r="AD137" s="1636">
        <f t="shared" si="49"/>
        <v>0.99239828295945343</v>
      </c>
      <c r="AE137" s="435">
        <v>0</v>
      </c>
      <c r="AF137" s="1637">
        <f t="shared" si="50"/>
        <v>0.99239828295945343</v>
      </c>
    </row>
    <row r="138" spans="2:34" x14ac:dyDescent="0.35">
      <c r="B138" s="1655" t="s">
        <v>1831</v>
      </c>
      <c r="C138" s="1632">
        <f>+'F13'!C190</f>
        <v>2</v>
      </c>
      <c r="D138" s="788">
        <v>0</v>
      </c>
      <c r="E138" s="1632">
        <f t="shared" si="42"/>
        <v>2</v>
      </c>
      <c r="F138" s="2147"/>
      <c r="G138" s="1177">
        <f>+'F13'!D190</f>
        <v>0.16902500000000001</v>
      </c>
      <c r="H138" s="1633">
        <v>0</v>
      </c>
      <c r="I138" s="1630">
        <f t="shared" si="43"/>
        <v>0.16902500000000001</v>
      </c>
      <c r="J138" s="1633">
        <v>0</v>
      </c>
      <c r="K138" s="498">
        <f>I138+J138</f>
        <v>0.16902500000000001</v>
      </c>
      <c r="L138" s="498">
        <v>0.125167325</v>
      </c>
      <c r="M138" s="1633"/>
      <c r="N138" s="493">
        <f t="shared" si="44"/>
        <v>0.125167325</v>
      </c>
      <c r="O138" s="493">
        <v>0.12516800000000003</v>
      </c>
      <c r="P138" s="466"/>
      <c r="Q138" s="1628">
        <f t="shared" si="45"/>
        <v>0.12516800000000003</v>
      </c>
      <c r="R138" s="1628"/>
      <c r="S138" s="466"/>
      <c r="T138" s="1628"/>
      <c r="U138" s="493">
        <f t="shared" si="46"/>
        <v>-7.7516555000000015E-2</v>
      </c>
      <c r="V138" s="493"/>
      <c r="W138" s="1628">
        <f t="shared" si="47"/>
        <v>-7.7516555000000015E-2</v>
      </c>
      <c r="X138" s="1635">
        <f>L138+U138-O138</f>
        <v>-7.7517230000000048E-2</v>
      </c>
      <c r="Y138" s="1635">
        <f>M138+V138-P138</f>
        <v>0</v>
      </c>
      <c r="Z138" s="1628">
        <f t="shared" si="48"/>
        <v>-7.7517230000000048E-2</v>
      </c>
      <c r="AA138" s="2133"/>
      <c r="AB138" s="2136"/>
      <c r="AC138" s="2133"/>
      <c r="AD138" s="1636">
        <f t="shared" si="49"/>
        <v>1.0000053927812234</v>
      </c>
      <c r="AE138" s="435">
        <v>0</v>
      </c>
      <c r="AF138" s="1637">
        <f t="shared" si="50"/>
        <v>1.0000053927812234</v>
      </c>
    </row>
    <row r="139" spans="2:34" x14ac:dyDescent="0.35">
      <c r="B139" s="428" t="s">
        <v>1832</v>
      </c>
      <c r="C139" s="1632">
        <f>+'F13'!C191</f>
        <v>0</v>
      </c>
      <c r="D139" s="788">
        <v>0</v>
      </c>
      <c r="E139" s="1632">
        <f t="shared" si="42"/>
        <v>0</v>
      </c>
      <c r="F139" s="2147"/>
      <c r="G139" s="1177">
        <f>+'F13'!D191</f>
        <v>0</v>
      </c>
      <c r="H139" s="1633">
        <v>0</v>
      </c>
      <c r="I139" s="1630">
        <f t="shared" si="43"/>
        <v>0</v>
      </c>
      <c r="J139" s="1633">
        <v>0</v>
      </c>
      <c r="K139" s="498">
        <f>I139+J139</f>
        <v>0</v>
      </c>
      <c r="L139" s="498"/>
      <c r="M139" s="1633"/>
      <c r="N139" s="493">
        <f t="shared" si="44"/>
        <v>0</v>
      </c>
      <c r="O139" s="493"/>
      <c r="P139" s="466"/>
      <c r="Q139" s="1628">
        <f t="shared" si="45"/>
        <v>0</v>
      </c>
      <c r="R139" s="1628"/>
      <c r="S139" s="466"/>
      <c r="T139" s="1628"/>
      <c r="U139" s="493">
        <f t="shared" si="46"/>
        <v>-1.4180145760000002E-2</v>
      </c>
      <c r="V139" s="493"/>
      <c r="W139" s="1628">
        <f t="shared" si="47"/>
        <v>-1.4180145760000002E-2</v>
      </c>
      <c r="X139" s="1635">
        <f>L139+U139-O139</f>
        <v>-1.4180145760000002E-2</v>
      </c>
      <c r="Y139" s="1635">
        <f>M139+V139-P139</f>
        <v>0</v>
      </c>
      <c r="Z139" s="1628">
        <f t="shared" si="48"/>
        <v>-1.4180145760000002E-2</v>
      </c>
      <c r="AA139" s="2133"/>
      <c r="AB139" s="2136"/>
      <c r="AC139" s="2133"/>
      <c r="AD139" s="1636">
        <f t="shared" si="49"/>
        <v>0</v>
      </c>
      <c r="AE139" s="435">
        <v>0</v>
      </c>
      <c r="AF139" s="1637">
        <f t="shared" si="50"/>
        <v>0</v>
      </c>
    </row>
    <row r="140" spans="2:34" x14ac:dyDescent="0.35">
      <c r="B140" s="519" t="s">
        <v>1834</v>
      </c>
      <c r="C140" s="1632">
        <f>+'F13'!C192</f>
        <v>6</v>
      </c>
      <c r="D140" s="788"/>
      <c r="E140" s="1632">
        <f t="shared" si="42"/>
        <v>6</v>
      </c>
      <c r="F140" s="2147"/>
      <c r="G140" s="1177">
        <f>+'F13'!D192</f>
        <v>9.4836839999999992E-3</v>
      </c>
      <c r="H140" s="1633"/>
      <c r="I140" s="1630">
        <f t="shared" si="43"/>
        <v>9.4836839999999992E-3</v>
      </c>
      <c r="J140" s="1633"/>
      <c r="K140" s="498">
        <f>I140+J140</f>
        <v>9.4836839999999992E-3</v>
      </c>
      <c r="L140" s="498">
        <v>1.1311067031999999E-2</v>
      </c>
      <c r="M140" s="1633"/>
      <c r="N140" s="493">
        <f t="shared" si="44"/>
        <v>1.1311067031999999E-2</v>
      </c>
      <c r="O140" s="493">
        <v>1.1305000000000001E-2</v>
      </c>
      <c r="P140" s="466"/>
      <c r="Q140" s="1628">
        <f t="shared" si="45"/>
        <v>1.1305000000000001E-2</v>
      </c>
      <c r="R140" s="1628"/>
      <c r="S140" s="466"/>
      <c r="T140" s="1628"/>
      <c r="U140" s="493">
        <f t="shared" si="46"/>
        <v>8.8654182400000007E-3</v>
      </c>
      <c r="V140" s="493"/>
      <c r="W140" s="1628">
        <f t="shared" si="47"/>
        <v>8.8654182400000007E-3</v>
      </c>
      <c r="X140" s="1635">
        <f>L140+U140-O140</f>
        <v>8.871485271999999E-3</v>
      </c>
      <c r="Y140" s="1635">
        <f>M140+V140-P140</f>
        <v>0</v>
      </c>
      <c r="Z140" s="1628">
        <f t="shared" si="48"/>
        <v>8.871485271999999E-3</v>
      </c>
      <c r="AA140" s="2133"/>
      <c r="AB140" s="2136"/>
      <c r="AC140" s="2133"/>
      <c r="AD140" s="1636">
        <f t="shared" si="49"/>
        <v>0.99946361983508414</v>
      </c>
      <c r="AE140" s="435">
        <v>0</v>
      </c>
      <c r="AF140" s="1637">
        <f t="shared" si="50"/>
        <v>0.99946361983508414</v>
      </c>
    </row>
    <row r="141" spans="2:34" x14ac:dyDescent="0.35">
      <c r="B141" s="417" t="s">
        <v>1112</v>
      </c>
      <c r="C141" s="1638">
        <f>SUM(C135:C140)</f>
        <v>2244</v>
      </c>
      <c r="D141" s="1638">
        <f>SUM(D135:D140)</f>
        <v>0</v>
      </c>
      <c r="E141" s="1638">
        <f>SUM(E135:E140)</f>
        <v>2244</v>
      </c>
      <c r="F141" s="2147"/>
      <c r="G141" s="1651">
        <f t="shared" ref="G141:Q141" si="51">SUM(G135:G140)</f>
        <v>5.1533617640000005</v>
      </c>
      <c r="H141" s="1639">
        <f t="shared" si="51"/>
        <v>0</v>
      </c>
      <c r="I141" s="1639">
        <f t="shared" si="51"/>
        <v>5.1533617640000005</v>
      </c>
      <c r="J141" s="1639">
        <f t="shared" si="51"/>
        <v>0</v>
      </c>
      <c r="K141" s="1639">
        <f t="shared" si="51"/>
        <v>4.6975268740000002</v>
      </c>
      <c r="L141" s="1639">
        <f t="shared" si="51"/>
        <v>8.5437554101500002</v>
      </c>
      <c r="M141" s="1639">
        <f t="shared" si="51"/>
        <v>0</v>
      </c>
      <c r="N141" s="1639">
        <f t="shared" si="51"/>
        <v>8.5437554101500002</v>
      </c>
      <c r="O141" s="1639">
        <f t="shared" si="51"/>
        <v>8.4451464200000004</v>
      </c>
      <c r="P141" s="1639">
        <f t="shared" si="51"/>
        <v>0</v>
      </c>
      <c r="Q141" s="1639">
        <f t="shared" si="51"/>
        <v>8.4451464200000004</v>
      </c>
      <c r="R141" s="500"/>
      <c r="S141" s="447"/>
      <c r="T141" s="1629"/>
      <c r="U141" s="1639">
        <f t="shared" ref="U141:Z141" si="52">SUM(U135:U140)</f>
        <v>-1.3805300802084006</v>
      </c>
      <c r="V141" s="1639">
        <f t="shared" si="52"/>
        <v>0</v>
      </c>
      <c r="W141" s="1639">
        <f t="shared" si="52"/>
        <v>-1.3805300802084006</v>
      </c>
      <c r="X141" s="1639">
        <f t="shared" si="52"/>
        <v>-1.2819210900584017</v>
      </c>
      <c r="Y141" s="1639">
        <f t="shared" si="52"/>
        <v>0</v>
      </c>
      <c r="Z141" s="1639">
        <f t="shared" si="52"/>
        <v>-1.2819210900584017</v>
      </c>
      <c r="AA141" s="2133"/>
      <c r="AB141" s="2136"/>
      <c r="AC141" s="2133"/>
      <c r="AD141" s="1636">
        <f t="shared" si="49"/>
        <v>0.98845835520608982</v>
      </c>
      <c r="AE141" s="435">
        <v>0</v>
      </c>
      <c r="AF141" s="1637">
        <f t="shared" si="50"/>
        <v>0.98845835520608982</v>
      </c>
    </row>
    <row r="142" spans="2:34" x14ac:dyDescent="0.35">
      <c r="B142" s="419" t="s">
        <v>164</v>
      </c>
      <c r="C142" s="1638">
        <f>C132+C141</f>
        <v>2250</v>
      </c>
      <c r="D142" s="1638">
        <v>0</v>
      </c>
      <c r="E142" s="1638">
        <f>E132+E141</f>
        <v>2250</v>
      </c>
      <c r="F142" s="2147"/>
      <c r="G142" s="1652">
        <f>+G141+G132</f>
        <v>39.358659369600005</v>
      </c>
      <c r="H142" s="1652">
        <f>+H141+H132</f>
        <v>0</v>
      </c>
      <c r="I142" s="1652">
        <f>+I141+I132</f>
        <v>39.358659369600005</v>
      </c>
      <c r="J142" s="1652">
        <f>+J141+J132</f>
        <v>0</v>
      </c>
      <c r="K142" s="1652">
        <f>+K141+K132</f>
        <v>38.9028244796</v>
      </c>
      <c r="L142" s="1653">
        <f>L132+L141</f>
        <v>43.370517008050001</v>
      </c>
      <c r="M142" s="1639">
        <v>0</v>
      </c>
      <c r="N142" s="500">
        <f>N132+N141</f>
        <v>43.370517008050001</v>
      </c>
      <c r="O142" s="500">
        <f>O132+O141</f>
        <v>33.717109720000003</v>
      </c>
      <c r="P142" s="447">
        <v>0</v>
      </c>
      <c r="Q142" s="1629">
        <f>Q132+Q141</f>
        <v>33.717109720000003</v>
      </c>
      <c r="R142" s="500"/>
      <c r="S142" s="447"/>
      <c r="T142" s="1629"/>
      <c r="U142" s="1652">
        <f t="shared" ref="U142:Z142" si="53">+U141+U132</f>
        <v>-11.726607466000804</v>
      </c>
      <c r="V142" s="1652">
        <f t="shared" si="53"/>
        <v>0</v>
      </c>
      <c r="W142" s="1652">
        <f t="shared" si="53"/>
        <v>-11.726607466000804</v>
      </c>
      <c r="X142" s="1652">
        <f t="shared" si="53"/>
        <v>-2.0732001779508002</v>
      </c>
      <c r="Y142" s="1652">
        <f t="shared" si="53"/>
        <v>0</v>
      </c>
      <c r="Z142" s="1652">
        <f t="shared" si="53"/>
        <v>-2.0732001779508002</v>
      </c>
      <c r="AA142" s="2134"/>
      <c r="AB142" s="2137"/>
      <c r="AC142" s="2134"/>
      <c r="AD142" s="1644">
        <f>Q142/N142</f>
        <v>0.77742005505126377</v>
      </c>
      <c r="AE142" s="1644"/>
      <c r="AF142" s="1645">
        <f t="shared" si="50"/>
        <v>0.77742005505126377</v>
      </c>
      <c r="AG142" s="1650">
        <f>+Assum!J62</f>
        <v>0.77739999999999998</v>
      </c>
    </row>
    <row r="143" spans="2:34" x14ac:dyDescent="0.35">
      <c r="B143" s="34" t="s">
        <v>782</v>
      </c>
      <c r="AH143" s="1674"/>
    </row>
    <row r="144" spans="2:34" x14ac:dyDescent="0.35">
      <c r="B144" s="2066" t="s">
        <v>783</v>
      </c>
      <c r="C144" s="2066"/>
      <c r="D144" s="2066"/>
      <c r="E144" s="2066"/>
      <c r="F144" s="2066"/>
      <c r="G144" s="2066"/>
      <c r="H144" s="2066"/>
      <c r="I144" s="2066"/>
      <c r="J144" s="2066"/>
      <c r="K144" s="2066"/>
      <c r="L144" s="2066"/>
      <c r="M144" s="2066"/>
      <c r="N144" s="2066"/>
      <c r="O144" s="2066"/>
      <c r="P144" s="2066"/>
      <c r="Q144" s="2066"/>
      <c r="R144" s="2066"/>
      <c r="S144" s="2066"/>
    </row>
    <row r="145" spans="2:32" x14ac:dyDescent="0.35">
      <c r="B145" s="2066" t="s">
        <v>784</v>
      </c>
      <c r="C145" s="2066"/>
      <c r="D145" s="2066"/>
      <c r="E145" s="2066"/>
      <c r="F145" s="2066"/>
      <c r="G145" s="2066"/>
      <c r="H145" s="2066"/>
      <c r="I145" s="2066"/>
      <c r="J145" s="2066"/>
      <c r="K145" s="2066"/>
      <c r="L145" s="2066"/>
      <c r="M145" s="2066"/>
      <c r="N145" s="2066"/>
      <c r="O145" s="2066"/>
      <c r="P145" s="2066"/>
      <c r="Q145" s="2066"/>
      <c r="R145" s="2066"/>
      <c r="S145" s="2066"/>
    </row>
    <row r="147" spans="2:32" x14ac:dyDescent="0.35">
      <c r="B147" s="423" t="s">
        <v>811</v>
      </c>
    </row>
    <row r="148" spans="2:32" x14ac:dyDescent="0.35">
      <c r="B148" s="423"/>
    </row>
    <row r="149" spans="2:32" x14ac:dyDescent="0.35">
      <c r="B149" s="2138" t="s">
        <v>699</v>
      </c>
      <c r="C149" s="2141" t="s">
        <v>764</v>
      </c>
      <c r="D149" s="2142"/>
      <c r="E149" s="2143"/>
      <c r="F149" s="2144" t="s">
        <v>765</v>
      </c>
      <c r="G149" s="2141" t="s">
        <v>308</v>
      </c>
      <c r="H149" s="2142"/>
      <c r="I149" s="2142"/>
      <c r="J149" s="2142"/>
      <c r="K149" s="2143"/>
      <c r="L149" s="1991" t="s">
        <v>766</v>
      </c>
      <c r="M149" s="1991"/>
      <c r="N149" s="1991"/>
      <c r="O149" s="1991" t="s">
        <v>767</v>
      </c>
      <c r="P149" s="1991"/>
      <c r="Q149" s="1991"/>
      <c r="R149" s="1991" t="s">
        <v>768</v>
      </c>
      <c r="S149" s="1991"/>
      <c r="T149" s="1991"/>
      <c r="U149" s="1991" t="s">
        <v>769</v>
      </c>
      <c r="V149" s="1991"/>
      <c r="W149" s="1991"/>
      <c r="X149" s="1991" t="s">
        <v>770</v>
      </c>
      <c r="Y149" s="1991"/>
      <c r="Z149" s="1991"/>
      <c r="AA149" s="1991" t="s">
        <v>771</v>
      </c>
      <c r="AB149" s="1991"/>
      <c r="AC149" s="1991"/>
      <c r="AD149" s="1991" t="s">
        <v>772</v>
      </c>
      <c r="AE149" s="1991"/>
      <c r="AF149" s="1991"/>
    </row>
    <row r="150" spans="2:32" x14ac:dyDescent="0.35">
      <c r="B150" s="2139"/>
      <c r="C150" s="2130" t="s">
        <v>773</v>
      </c>
      <c r="D150" s="2130" t="s">
        <v>774</v>
      </c>
      <c r="E150" s="2130" t="s">
        <v>164</v>
      </c>
      <c r="F150" s="2145"/>
      <c r="G150" s="2141" t="s">
        <v>775</v>
      </c>
      <c r="H150" s="2142"/>
      <c r="I150" s="2143"/>
      <c r="J150" s="2130" t="s">
        <v>776</v>
      </c>
      <c r="K150" s="2130" t="s">
        <v>777</v>
      </c>
      <c r="L150" s="2130" t="s">
        <v>778</v>
      </c>
      <c r="M150" s="2130" t="s">
        <v>779</v>
      </c>
      <c r="N150" s="2130" t="s">
        <v>164</v>
      </c>
      <c r="O150" s="2130" t="s">
        <v>778</v>
      </c>
      <c r="P150" s="2130" t="s">
        <v>779</v>
      </c>
      <c r="Q150" s="2130" t="s">
        <v>164</v>
      </c>
      <c r="R150" s="2130" t="s">
        <v>778</v>
      </c>
      <c r="S150" s="2130" t="s">
        <v>779</v>
      </c>
      <c r="T150" s="2130" t="s">
        <v>164</v>
      </c>
      <c r="U150" s="2130" t="s">
        <v>778</v>
      </c>
      <c r="V150" s="2130" t="s">
        <v>779</v>
      </c>
      <c r="W150" s="2130" t="s">
        <v>164</v>
      </c>
      <c r="X150" s="2130" t="s">
        <v>778</v>
      </c>
      <c r="Y150" s="2130" t="s">
        <v>779</v>
      </c>
      <c r="Z150" s="2130" t="s">
        <v>164</v>
      </c>
      <c r="AA150" s="2130" t="s">
        <v>778</v>
      </c>
      <c r="AB150" s="2130" t="s">
        <v>779</v>
      </c>
      <c r="AC150" s="2130" t="s">
        <v>164</v>
      </c>
      <c r="AD150" s="2130" t="s">
        <v>778</v>
      </c>
      <c r="AE150" s="2130" t="s">
        <v>779</v>
      </c>
      <c r="AF150" s="2130" t="s">
        <v>164</v>
      </c>
    </row>
    <row r="151" spans="2:32" ht="40.5" x14ac:dyDescent="0.35">
      <c r="B151" s="2140"/>
      <c r="C151" s="2131"/>
      <c r="D151" s="2131"/>
      <c r="E151" s="2131"/>
      <c r="F151" s="2146"/>
      <c r="G151" s="184" t="s">
        <v>780</v>
      </c>
      <c r="H151" s="184" t="s">
        <v>781</v>
      </c>
      <c r="I151" s="184" t="s">
        <v>164</v>
      </c>
      <c r="J151" s="2131"/>
      <c r="K151" s="2131"/>
      <c r="L151" s="2131"/>
      <c r="M151" s="2131"/>
      <c r="N151" s="2131"/>
      <c r="O151" s="2131"/>
      <c r="P151" s="2131"/>
      <c r="Q151" s="2131"/>
      <c r="R151" s="2131"/>
      <c r="S151" s="2131"/>
      <c r="T151" s="2131"/>
      <c r="U151" s="2131"/>
      <c r="V151" s="2131"/>
      <c r="W151" s="2131"/>
      <c r="X151" s="2131"/>
      <c r="Y151" s="2131"/>
      <c r="Z151" s="2131"/>
      <c r="AA151" s="2131"/>
      <c r="AB151" s="2131"/>
      <c r="AC151" s="2131"/>
      <c r="AD151" s="2131"/>
      <c r="AE151" s="2131"/>
      <c r="AF151" s="2131"/>
    </row>
    <row r="152" spans="2:32" x14ac:dyDescent="0.35">
      <c r="B152" s="1654" t="s">
        <v>161</v>
      </c>
      <c r="C152" s="382"/>
      <c r="D152" s="382"/>
      <c r="E152" s="382"/>
      <c r="F152" s="2147">
        <f>+'F1.3'!E85</f>
        <v>80.713181899377688</v>
      </c>
      <c r="G152" s="1630"/>
      <c r="H152" s="1630"/>
      <c r="I152" s="1630"/>
      <c r="J152" s="435"/>
      <c r="K152" s="435"/>
      <c r="L152" s="1631"/>
      <c r="M152" s="1628"/>
      <c r="N152" s="1628"/>
      <c r="O152" s="1628"/>
      <c r="P152" s="1628"/>
      <c r="Q152" s="1628"/>
      <c r="R152" s="435"/>
      <c r="S152" s="435"/>
      <c r="T152" s="435"/>
      <c r="U152" s="435"/>
      <c r="V152" s="435"/>
      <c r="W152" s="435"/>
      <c r="X152" s="435"/>
      <c r="Y152" s="435"/>
      <c r="Z152" s="435"/>
      <c r="AA152" s="2132">
        <f>+G166/$F$152</f>
        <v>0.99564734993578052</v>
      </c>
      <c r="AB152" s="2135"/>
      <c r="AC152" s="2132">
        <f>+I166/$F$152</f>
        <v>0.99564734993578052</v>
      </c>
      <c r="AD152" s="435"/>
      <c r="AE152" s="435"/>
      <c r="AF152" s="435"/>
    </row>
    <row r="153" spans="2:32" x14ac:dyDescent="0.35">
      <c r="B153" s="1655" t="s">
        <v>1552</v>
      </c>
      <c r="C153" s="1632">
        <f>+'F13'!C204</f>
        <v>3</v>
      </c>
      <c r="D153" s="466">
        <v>0</v>
      </c>
      <c r="E153" s="1632">
        <f>C153+D153</f>
        <v>3</v>
      </c>
      <c r="F153" s="2147"/>
      <c r="G153" s="1177">
        <f>+'F13'!D204</f>
        <v>73.164360000000002</v>
      </c>
      <c r="H153" s="1633">
        <v>0</v>
      </c>
      <c r="I153" s="1630">
        <f>+G153+H153</f>
        <v>73.164360000000002</v>
      </c>
      <c r="J153" s="1633">
        <v>0</v>
      </c>
      <c r="K153" s="498">
        <f>I153+J153</f>
        <v>73.164360000000002</v>
      </c>
      <c r="L153" s="1631">
        <v>71.101725669000004</v>
      </c>
      <c r="M153" s="1634"/>
      <c r="N153" s="1628">
        <f>L153+M153</f>
        <v>71.101725669000004</v>
      </c>
      <c r="O153" s="1628">
        <v>79.118211100000011</v>
      </c>
      <c r="P153" s="1634"/>
      <c r="Q153" s="1628">
        <f>O153+P153</f>
        <v>79.118211100000011</v>
      </c>
      <c r="R153" s="435"/>
      <c r="S153" s="435"/>
      <c r="T153" s="435"/>
      <c r="U153" s="493">
        <f>+X129</f>
        <v>9.7058996610000037</v>
      </c>
      <c r="V153" s="493"/>
      <c r="W153" s="1631">
        <f>U153+V153</f>
        <v>9.7058996610000037</v>
      </c>
      <c r="X153" s="1635">
        <f>L153+U153-O153</f>
        <v>1.689414229999997</v>
      </c>
      <c r="Y153" s="1635">
        <f>M153+V153-P153</f>
        <v>0</v>
      </c>
      <c r="Z153" s="1631">
        <f>X153+Y153</f>
        <v>1.689414229999997</v>
      </c>
      <c r="AA153" s="2133"/>
      <c r="AB153" s="2136"/>
      <c r="AC153" s="2133"/>
      <c r="AD153" s="1636">
        <f>IFERROR(Q153/N153,0)</f>
        <v>1.1127467069972277</v>
      </c>
      <c r="AE153" s="435">
        <v>0</v>
      </c>
      <c r="AF153" s="1637">
        <f>AD153+AE153</f>
        <v>1.1127467069972277</v>
      </c>
    </row>
    <row r="154" spans="2:32" x14ac:dyDescent="0.35">
      <c r="B154" s="1655" t="s">
        <v>1827</v>
      </c>
      <c r="C154" s="1632">
        <f>+'F13'!C205</f>
        <v>4</v>
      </c>
      <c r="D154" s="466">
        <v>0</v>
      </c>
      <c r="E154" s="1632">
        <f>C154+D154</f>
        <v>4</v>
      </c>
      <c r="F154" s="2147"/>
      <c r="G154" s="1177">
        <f>+'F13'!D205</f>
        <v>0.49245180000000005</v>
      </c>
      <c r="H154" s="1633">
        <v>0</v>
      </c>
      <c r="I154" s="1630">
        <f>+G154+H154</f>
        <v>0.49245180000000005</v>
      </c>
      <c r="J154" s="1633">
        <v>0</v>
      </c>
      <c r="K154" s="498">
        <f>I154+J154</f>
        <v>0.49245180000000005</v>
      </c>
      <c r="L154" s="1631">
        <v>1.2352382664000001</v>
      </c>
      <c r="M154" s="1633"/>
      <c r="N154" s="1670">
        <f>L154+M154</f>
        <v>1.2352382664000001</v>
      </c>
      <c r="O154" s="1628">
        <v>1.4365199999999998</v>
      </c>
      <c r="P154" s="466"/>
      <c r="Q154" s="1628">
        <f>O154+P154</f>
        <v>1.4365199999999998</v>
      </c>
      <c r="R154" s="493"/>
      <c r="S154" s="466"/>
      <c r="T154" s="1628"/>
      <c r="U154" s="493">
        <f>+X130</f>
        <v>-10.497178748892402</v>
      </c>
      <c r="V154" s="493"/>
      <c r="W154" s="1631">
        <f>U154+V154</f>
        <v>-10.497178748892402</v>
      </c>
      <c r="X154" s="1635">
        <f>L154+U154-O154</f>
        <v>-10.698460482492402</v>
      </c>
      <c r="Y154" s="1635">
        <f>M154+V154-P154</f>
        <v>0</v>
      </c>
      <c r="Z154" s="1631">
        <f>X154+Y154</f>
        <v>-10.698460482492402</v>
      </c>
      <c r="AA154" s="2133"/>
      <c r="AB154" s="2136"/>
      <c r="AC154" s="2133"/>
      <c r="AD154" s="1636">
        <f>IFERROR(Q154/N154,0)</f>
        <v>1.1629497232032964</v>
      </c>
      <c r="AE154" s="435">
        <v>0</v>
      </c>
      <c r="AF154" s="1637">
        <f>AD154+AE154</f>
        <v>1.1629497232032964</v>
      </c>
    </row>
    <row r="155" spans="2:32" x14ac:dyDescent="0.35">
      <c r="B155" s="1655" t="s">
        <v>1828</v>
      </c>
      <c r="C155" s="1632"/>
      <c r="D155" s="466">
        <v>0</v>
      </c>
      <c r="E155" s="1632">
        <f>C155+D155</f>
        <v>0</v>
      </c>
      <c r="F155" s="2147"/>
      <c r="G155" s="1177"/>
      <c r="H155" s="1633"/>
      <c r="I155" s="1630">
        <f>+G155+H155</f>
        <v>0</v>
      </c>
      <c r="J155" s="1633"/>
      <c r="K155" s="498"/>
      <c r="L155" s="1631"/>
      <c r="M155" s="1633"/>
      <c r="N155" s="1670"/>
      <c r="O155" s="493"/>
      <c r="P155" s="466"/>
      <c r="Q155" s="1628"/>
      <c r="R155" s="493"/>
      <c r="S155" s="466"/>
      <c r="T155" s="1628"/>
      <c r="U155" s="493"/>
      <c r="V155" s="493"/>
      <c r="W155" s="1631"/>
      <c r="X155" s="1628"/>
      <c r="Y155" s="1635"/>
      <c r="Z155" s="1631"/>
      <c r="AA155" s="2133"/>
      <c r="AB155" s="2136"/>
      <c r="AC155" s="2133"/>
      <c r="AD155" s="1636"/>
      <c r="AE155" s="435"/>
      <c r="AF155" s="1637"/>
    </row>
    <row r="156" spans="2:32" x14ac:dyDescent="0.35">
      <c r="B156" s="417" t="s">
        <v>1105</v>
      </c>
      <c r="C156" s="1638">
        <f>SUM(C153:C155)</f>
        <v>7</v>
      </c>
      <c r="D156" s="1638">
        <f>SUM(D153:D155)</f>
        <v>0</v>
      </c>
      <c r="E156" s="1638">
        <f>SUM(E153:E155)</f>
        <v>7</v>
      </c>
      <c r="F156" s="2147"/>
      <c r="G156" s="1651">
        <f>SUM(G153:G155)</f>
        <v>73.6568118</v>
      </c>
      <c r="H156" s="1651">
        <f>SUM(H153:H155)</f>
        <v>0</v>
      </c>
      <c r="I156" s="1651">
        <f>SUM(I153:I155)</f>
        <v>73.6568118</v>
      </c>
      <c r="J156" s="1651">
        <f>SUM(J153:J155)</f>
        <v>0</v>
      </c>
      <c r="K156" s="1651">
        <f>SUM(K153:K155)</f>
        <v>73.6568118</v>
      </c>
      <c r="L156" s="1639">
        <f t="shared" ref="L156:Q156" si="54">SUM(L153:L155)</f>
        <v>72.336963935400007</v>
      </c>
      <c r="M156" s="1639">
        <f t="shared" si="54"/>
        <v>0</v>
      </c>
      <c r="N156" s="1639">
        <f t="shared" si="54"/>
        <v>72.336963935400007</v>
      </c>
      <c r="O156" s="1639">
        <f t="shared" si="54"/>
        <v>80.554731100000012</v>
      </c>
      <c r="P156" s="1638">
        <f t="shared" si="54"/>
        <v>0</v>
      </c>
      <c r="Q156" s="1641">
        <f t="shared" si="54"/>
        <v>80.554731100000012</v>
      </c>
      <c r="R156" s="1639"/>
      <c r="S156" s="1638"/>
      <c r="T156" s="1641"/>
      <c r="U156" s="1651">
        <f t="shared" ref="U156:Z156" si="55">SUM(U153:U155)</f>
        <v>-0.79127908789239854</v>
      </c>
      <c r="V156" s="1651">
        <f t="shared" si="55"/>
        <v>0</v>
      </c>
      <c r="W156" s="1651">
        <f t="shared" si="55"/>
        <v>-0.79127908789239854</v>
      </c>
      <c r="X156" s="1651">
        <f t="shared" si="55"/>
        <v>-9.0090462524924053</v>
      </c>
      <c r="Y156" s="1651">
        <f t="shared" si="55"/>
        <v>0</v>
      </c>
      <c r="Z156" s="1651">
        <f t="shared" si="55"/>
        <v>-9.0090462524924053</v>
      </c>
      <c r="AA156" s="2133"/>
      <c r="AB156" s="2136"/>
      <c r="AC156" s="2133"/>
      <c r="AD156" s="1644">
        <f>Q156/N156</f>
        <v>1.1136039822177057</v>
      </c>
      <c r="AE156" s="435">
        <v>0</v>
      </c>
      <c r="AF156" s="1645">
        <f>AD156+AE156</f>
        <v>1.1136039822177057</v>
      </c>
    </row>
    <row r="157" spans="2:32" x14ac:dyDescent="0.35">
      <c r="B157" s="1656"/>
      <c r="C157" s="382"/>
      <c r="D157" s="382"/>
      <c r="E157" s="382"/>
      <c r="F157" s="2147"/>
      <c r="G157" s="1177"/>
      <c r="H157" s="1630"/>
      <c r="I157" s="1630"/>
      <c r="J157" s="1630"/>
      <c r="K157" s="498"/>
      <c r="L157" s="498"/>
      <c r="M157" s="1630"/>
      <c r="N157" s="493"/>
      <c r="O157" s="493"/>
      <c r="P157" s="382"/>
      <c r="Q157" s="1628"/>
      <c r="R157" s="493"/>
      <c r="S157" s="382"/>
      <c r="T157" s="1628"/>
      <c r="U157" s="493"/>
      <c r="V157" s="493"/>
      <c r="W157" s="1628"/>
      <c r="X157" s="1635"/>
      <c r="Y157" s="1647"/>
      <c r="Z157" s="1628"/>
      <c r="AA157" s="2133"/>
      <c r="AB157" s="2136"/>
      <c r="AC157" s="2133"/>
      <c r="AD157" s="1636"/>
      <c r="AE157" s="435"/>
      <c r="AF157" s="1637"/>
    </row>
    <row r="158" spans="2:32" x14ac:dyDescent="0.35">
      <c r="B158" s="1656" t="s">
        <v>163</v>
      </c>
      <c r="C158" s="382"/>
      <c r="D158" s="382"/>
      <c r="E158" s="382"/>
      <c r="F158" s="2147"/>
      <c r="G158" s="1177"/>
      <c r="H158" s="1630"/>
      <c r="I158" s="1630"/>
      <c r="J158" s="1630"/>
      <c r="K158" s="498"/>
      <c r="L158" s="498"/>
      <c r="M158" s="1630"/>
      <c r="N158" s="493"/>
      <c r="O158" s="493"/>
      <c r="P158" s="382"/>
      <c r="Q158" s="1628"/>
      <c r="R158" s="493"/>
      <c r="S158" s="382"/>
      <c r="T158" s="1628"/>
      <c r="U158" s="493"/>
      <c r="V158" s="493"/>
      <c r="W158" s="1628"/>
      <c r="X158" s="1635"/>
      <c r="Y158" s="1647"/>
      <c r="Z158" s="1628"/>
      <c r="AA158" s="2133"/>
      <c r="AB158" s="2136"/>
      <c r="AC158" s="2133"/>
      <c r="AD158" s="1636"/>
      <c r="AE158" s="435"/>
      <c r="AF158" s="1637"/>
    </row>
    <row r="159" spans="2:32" x14ac:dyDescent="0.35">
      <c r="B159" s="1655" t="s">
        <v>1554</v>
      </c>
      <c r="C159" s="1632">
        <f>SUM('F13'!C211:C214)</f>
        <v>2272</v>
      </c>
      <c r="D159" s="788">
        <v>0</v>
      </c>
      <c r="E159" s="1632">
        <f t="shared" ref="E159:E164" si="56">C159+D159</f>
        <v>2272</v>
      </c>
      <c r="F159" s="2147"/>
      <c r="G159" s="1177">
        <f>SUM('F13'!D211:D214)</f>
        <v>5.1214059999999995</v>
      </c>
      <c r="H159" s="1633">
        <v>0</v>
      </c>
      <c r="I159" s="1630">
        <f t="shared" ref="I159:I164" si="57">+G159+H159</f>
        <v>5.1214059999999995</v>
      </c>
      <c r="J159" s="1633">
        <v>0</v>
      </c>
      <c r="K159" s="498">
        <f>I159+J159</f>
        <v>5.1214059999999995</v>
      </c>
      <c r="L159" s="498">
        <v>7.9205550769999995</v>
      </c>
      <c r="M159" s="1633"/>
      <c r="N159" s="493">
        <f t="shared" ref="N159:N164" si="58">L159+M159</f>
        <v>7.9205550769999995</v>
      </c>
      <c r="O159" s="493">
        <v>7.8560314000000009</v>
      </c>
      <c r="P159" s="466"/>
      <c r="Q159" s="1628">
        <f t="shared" ref="Q159:Q164" si="59">O159+P159</f>
        <v>7.8560314000000009</v>
      </c>
      <c r="R159" s="1628"/>
      <c r="S159" s="466"/>
      <c r="T159" s="1628"/>
      <c r="U159" s="493">
        <f t="shared" ref="U159:U164" si="60">+X135</f>
        <v>-1.113299533100002</v>
      </c>
      <c r="V159" s="493"/>
      <c r="W159" s="1628">
        <f t="shared" ref="W159:W164" si="61">U159+V159</f>
        <v>-1.113299533100002</v>
      </c>
      <c r="X159" s="1635">
        <f>L159+U159-O159</f>
        <v>-1.0487758561000033</v>
      </c>
      <c r="Y159" s="1635">
        <f>M159+V159-P159</f>
        <v>0</v>
      </c>
      <c r="Z159" s="1628">
        <f t="shared" ref="Z159:Z164" si="62">X159+Y159</f>
        <v>-1.0487758561000033</v>
      </c>
      <c r="AA159" s="2133"/>
      <c r="AB159" s="2136"/>
      <c r="AC159" s="2133"/>
      <c r="AD159" s="1636">
        <f t="shared" ref="AD159:AD165" si="63">IFERROR(Q159/N159,0)</f>
        <v>0.99185364202726589</v>
      </c>
      <c r="AE159" s="435">
        <v>0</v>
      </c>
      <c r="AF159" s="1637">
        <f t="shared" ref="AF159:AF166" si="64">AD159+AE159</f>
        <v>0.99185364202726589</v>
      </c>
    </row>
    <row r="160" spans="2:32" x14ac:dyDescent="0.35">
      <c r="B160" s="1655" t="s">
        <v>1829</v>
      </c>
      <c r="C160" s="1632">
        <f>SUM('F13'!C217:C219)</f>
        <v>52</v>
      </c>
      <c r="D160" s="788">
        <v>0</v>
      </c>
      <c r="E160" s="1632">
        <f t="shared" si="56"/>
        <v>52</v>
      </c>
      <c r="F160" s="2147"/>
      <c r="G160" s="1177">
        <f>SUM('F13'!D217:D219)</f>
        <v>0.82725355</v>
      </c>
      <c r="H160" s="1633">
        <v>0</v>
      </c>
      <c r="I160" s="1630">
        <f t="shared" si="57"/>
        <v>0.82725355</v>
      </c>
      <c r="J160" s="1633">
        <v>0</v>
      </c>
      <c r="K160" s="498">
        <f>I160+J160</f>
        <v>0.82725355</v>
      </c>
      <c r="L160" s="498">
        <v>1.3143106020335</v>
      </c>
      <c r="M160" s="1633"/>
      <c r="N160" s="493">
        <f t="shared" si="58"/>
        <v>1.3143106020335</v>
      </c>
      <c r="O160" s="493">
        <v>1.3050606999999999</v>
      </c>
      <c r="P160" s="466"/>
      <c r="Q160" s="1628">
        <f t="shared" si="59"/>
        <v>1.3050606999999999</v>
      </c>
      <c r="R160" s="1628"/>
      <c r="S160" s="466"/>
      <c r="T160" s="1628"/>
      <c r="U160" s="493">
        <f t="shared" si="60"/>
        <v>-2.2600318548399945E-2</v>
      </c>
      <c r="V160" s="493"/>
      <c r="W160" s="1628">
        <f t="shared" si="61"/>
        <v>-2.2600318548399945E-2</v>
      </c>
      <c r="X160" s="1635">
        <f>L160+U160-O160</f>
        <v>-1.3350416514899877E-2</v>
      </c>
      <c r="Y160" s="1635">
        <f>M160+V160-P160</f>
        <v>0</v>
      </c>
      <c r="Z160" s="1628">
        <f t="shared" si="62"/>
        <v>-1.3350416514899877E-2</v>
      </c>
      <c r="AA160" s="2133"/>
      <c r="AB160" s="2136"/>
      <c r="AC160" s="2133"/>
      <c r="AD160" s="1636">
        <f t="shared" si="63"/>
        <v>0.99296216433224482</v>
      </c>
      <c r="AE160" s="435">
        <v>0</v>
      </c>
      <c r="AF160" s="1637">
        <f t="shared" si="64"/>
        <v>0.99296216433224482</v>
      </c>
    </row>
    <row r="161" spans="2:33" x14ac:dyDescent="0.35">
      <c r="B161" s="1655" t="s">
        <v>1830</v>
      </c>
      <c r="C161" s="1632">
        <f>+'F13'!C220</f>
        <v>2</v>
      </c>
      <c r="D161" s="788"/>
      <c r="E161" s="1632">
        <f t="shared" si="56"/>
        <v>2</v>
      </c>
      <c r="F161" s="2147"/>
      <c r="G161" s="1177">
        <f>+'F13'!D220</f>
        <v>0.56095090999999997</v>
      </c>
      <c r="H161" s="1633">
        <v>0</v>
      </c>
      <c r="I161" s="1630">
        <f t="shared" si="57"/>
        <v>0.56095090999999997</v>
      </c>
      <c r="J161" s="1633"/>
      <c r="K161" s="498"/>
      <c r="L161" s="498">
        <v>0.57383339211520012</v>
      </c>
      <c r="M161" s="1633"/>
      <c r="N161" s="493">
        <f t="shared" si="58"/>
        <v>0.57383339211520012</v>
      </c>
      <c r="O161" s="493">
        <v>0.56984999999999997</v>
      </c>
      <c r="P161" s="466"/>
      <c r="Q161" s="1628">
        <f t="shared" si="59"/>
        <v>0.56984999999999997</v>
      </c>
      <c r="R161" s="493"/>
      <c r="S161" s="466"/>
      <c r="T161" s="1628"/>
      <c r="U161" s="493">
        <f t="shared" si="60"/>
        <v>-6.31953479220001E-2</v>
      </c>
      <c r="V161" s="493"/>
      <c r="W161" s="1628">
        <f t="shared" si="61"/>
        <v>-6.31953479220001E-2</v>
      </c>
      <c r="X161" s="1635">
        <f>L161+U161-O161</f>
        <v>-5.9211955806799943E-2</v>
      </c>
      <c r="Y161" s="1635"/>
      <c r="Z161" s="1628">
        <f t="shared" si="62"/>
        <v>-5.9211955806799943E-2</v>
      </c>
      <c r="AA161" s="2133"/>
      <c r="AB161" s="2136"/>
      <c r="AC161" s="2133"/>
      <c r="AD161" s="1636">
        <f t="shared" si="63"/>
        <v>0.99305827759427345</v>
      </c>
      <c r="AE161" s="435">
        <v>0</v>
      </c>
      <c r="AF161" s="1637">
        <f t="shared" si="64"/>
        <v>0.99305827759427345</v>
      </c>
    </row>
    <row r="162" spans="2:33" x14ac:dyDescent="0.35">
      <c r="B162" s="1655" t="s">
        <v>1831</v>
      </c>
      <c r="C162" s="1632">
        <f>+'F13'!C221</f>
        <v>2</v>
      </c>
      <c r="D162" s="788">
        <v>0</v>
      </c>
      <c r="E162" s="1632">
        <f t="shared" si="56"/>
        <v>2</v>
      </c>
      <c r="F162" s="2147"/>
      <c r="G162" s="1177">
        <f>+'F13'!D221</f>
        <v>0.16315700000000002</v>
      </c>
      <c r="H162" s="1633">
        <v>0</v>
      </c>
      <c r="I162" s="1630">
        <f t="shared" si="57"/>
        <v>0.16315700000000002</v>
      </c>
      <c r="J162" s="1633">
        <v>0</v>
      </c>
      <c r="K162" s="498">
        <f>I162+J162</f>
        <v>0.16315700000000002</v>
      </c>
      <c r="L162" s="498">
        <v>0.10891966299999999</v>
      </c>
      <c r="M162" s="1633"/>
      <c r="N162" s="493">
        <f t="shared" si="58"/>
        <v>0.10891966299999999</v>
      </c>
      <c r="O162" s="493">
        <v>0.10892000000000002</v>
      </c>
      <c r="P162" s="466"/>
      <c r="Q162" s="1628">
        <f t="shared" si="59"/>
        <v>0.10892000000000002</v>
      </c>
      <c r="R162" s="1628"/>
      <c r="S162" s="466"/>
      <c r="T162" s="1628"/>
      <c r="U162" s="493">
        <f t="shared" si="60"/>
        <v>-7.7517230000000048E-2</v>
      </c>
      <c r="V162" s="493"/>
      <c r="W162" s="1628">
        <f t="shared" si="61"/>
        <v>-7.7517230000000048E-2</v>
      </c>
      <c r="X162" s="1635">
        <f>L162+U162-O162</f>
        <v>-7.7517567000000079E-2</v>
      </c>
      <c r="Y162" s="1635">
        <f>M162+V162-P162</f>
        <v>0</v>
      </c>
      <c r="Z162" s="1628">
        <f t="shared" si="62"/>
        <v>-7.7517567000000079E-2</v>
      </c>
      <c r="AA162" s="2133"/>
      <c r="AB162" s="2136"/>
      <c r="AC162" s="2133"/>
      <c r="AD162" s="1636">
        <f t="shared" si="63"/>
        <v>1.0000030940235285</v>
      </c>
      <c r="AE162" s="435">
        <v>0</v>
      </c>
      <c r="AF162" s="1637">
        <f t="shared" si="64"/>
        <v>1.0000030940235285</v>
      </c>
    </row>
    <row r="163" spans="2:33" x14ac:dyDescent="0.35">
      <c r="B163" s="428" t="s">
        <v>1832</v>
      </c>
      <c r="C163" s="1632">
        <f>+'F13'!C222</f>
        <v>0</v>
      </c>
      <c r="D163" s="788">
        <v>0</v>
      </c>
      <c r="E163" s="1632">
        <f t="shared" si="56"/>
        <v>0</v>
      </c>
      <c r="F163" s="2147"/>
      <c r="G163" s="1177">
        <f>+'F13'!D222</f>
        <v>0</v>
      </c>
      <c r="H163" s="1633">
        <v>0</v>
      </c>
      <c r="I163" s="1630">
        <f t="shared" si="57"/>
        <v>0</v>
      </c>
      <c r="J163" s="1633">
        <v>0</v>
      </c>
      <c r="K163" s="498">
        <f>I163+J163</f>
        <v>0</v>
      </c>
      <c r="L163" s="498"/>
      <c r="M163" s="1633"/>
      <c r="N163" s="493">
        <f t="shared" si="58"/>
        <v>0</v>
      </c>
      <c r="O163" s="493"/>
      <c r="P163" s="466"/>
      <c r="Q163" s="1628">
        <f t="shared" si="59"/>
        <v>0</v>
      </c>
      <c r="R163" s="1628"/>
      <c r="S163" s="466"/>
      <c r="T163" s="1628"/>
      <c r="U163" s="493">
        <f t="shared" si="60"/>
        <v>-1.4180145760000002E-2</v>
      </c>
      <c r="V163" s="493"/>
      <c r="W163" s="1628">
        <f t="shared" si="61"/>
        <v>-1.4180145760000002E-2</v>
      </c>
      <c r="X163" s="1635">
        <f>L163+U163-O163</f>
        <v>-1.4180145760000002E-2</v>
      </c>
      <c r="Y163" s="1635">
        <f>M163+V163-P163</f>
        <v>0</v>
      </c>
      <c r="Z163" s="1628">
        <f t="shared" si="62"/>
        <v>-1.4180145760000002E-2</v>
      </c>
      <c r="AA163" s="2133"/>
      <c r="AB163" s="2136"/>
      <c r="AC163" s="2133"/>
      <c r="AD163" s="1636">
        <f t="shared" si="63"/>
        <v>0</v>
      </c>
      <c r="AE163" s="435">
        <v>0</v>
      </c>
      <c r="AF163" s="1637">
        <f t="shared" si="64"/>
        <v>0</v>
      </c>
    </row>
    <row r="164" spans="2:33" x14ac:dyDescent="0.35">
      <c r="B164" s="519" t="s">
        <v>1834</v>
      </c>
      <c r="C164" s="1632">
        <f>+'F13'!C223</f>
        <v>10</v>
      </c>
      <c r="D164" s="788"/>
      <c r="E164" s="1632">
        <f t="shared" si="56"/>
        <v>10</v>
      </c>
      <c r="F164" s="2147"/>
      <c r="G164" s="1177">
        <f>+'F13'!D223</f>
        <v>3.2286402999999991E-2</v>
      </c>
      <c r="H164" s="1633"/>
      <c r="I164" s="1630">
        <f t="shared" si="57"/>
        <v>3.2286402999999991E-2</v>
      </c>
      <c r="J164" s="1633"/>
      <c r="K164" s="498">
        <f>I164+J164</f>
        <v>3.2286402999999991E-2</v>
      </c>
      <c r="L164" s="498">
        <v>3.0688387527599996E-2</v>
      </c>
      <c r="M164" s="1633"/>
      <c r="N164" s="493">
        <f t="shared" si="58"/>
        <v>3.0688387527599996E-2</v>
      </c>
      <c r="O164" s="493">
        <v>3.0886999999999998E-2</v>
      </c>
      <c r="P164" s="466"/>
      <c r="Q164" s="1628">
        <f t="shared" si="59"/>
        <v>3.0886999999999998E-2</v>
      </c>
      <c r="R164" s="1628"/>
      <c r="S164" s="466"/>
      <c r="T164" s="1628"/>
      <c r="U164" s="493">
        <f t="shared" si="60"/>
        <v>8.871485271999999E-3</v>
      </c>
      <c r="V164" s="493"/>
      <c r="W164" s="1628">
        <f t="shared" si="61"/>
        <v>8.871485271999999E-3</v>
      </c>
      <c r="X164" s="1635">
        <f>L164+U164-O164</f>
        <v>8.6728727995999955E-3</v>
      </c>
      <c r="Y164" s="1635">
        <f>M164+V164-P164</f>
        <v>0</v>
      </c>
      <c r="Z164" s="1628">
        <f t="shared" si="62"/>
        <v>8.6728727995999955E-3</v>
      </c>
      <c r="AA164" s="2133"/>
      <c r="AB164" s="2136"/>
      <c r="AC164" s="2133"/>
      <c r="AD164" s="1636">
        <f t="shared" si="63"/>
        <v>1.0064719096831456</v>
      </c>
      <c r="AE164" s="435">
        <v>0</v>
      </c>
      <c r="AF164" s="1637">
        <f t="shared" si="64"/>
        <v>1.0064719096831456</v>
      </c>
    </row>
    <row r="165" spans="2:33" x14ac:dyDescent="0.35">
      <c r="B165" s="417" t="s">
        <v>1112</v>
      </c>
      <c r="C165" s="1638">
        <f>SUM(C159:C164)</f>
        <v>2338</v>
      </c>
      <c r="D165" s="1638">
        <f>SUM(D159:D164)</f>
        <v>0</v>
      </c>
      <c r="E165" s="1638">
        <f>SUM(E159:E164)</f>
        <v>2338</v>
      </c>
      <c r="F165" s="2147"/>
      <c r="G165" s="1639">
        <f t="shared" ref="G165:Q165" si="65">SUM(G159:G164)</f>
        <v>6.7050538629999989</v>
      </c>
      <c r="H165" s="1639">
        <f t="shared" si="65"/>
        <v>0</v>
      </c>
      <c r="I165" s="1639">
        <f t="shared" si="65"/>
        <v>6.7050538629999989</v>
      </c>
      <c r="J165" s="1639">
        <f t="shared" si="65"/>
        <v>0</v>
      </c>
      <c r="K165" s="1639">
        <f t="shared" si="65"/>
        <v>6.1441029529999991</v>
      </c>
      <c r="L165" s="1639">
        <f t="shared" si="65"/>
        <v>9.948307121676299</v>
      </c>
      <c r="M165" s="1639">
        <f t="shared" si="65"/>
        <v>0</v>
      </c>
      <c r="N165" s="1639">
        <f t="shared" si="65"/>
        <v>9.948307121676299</v>
      </c>
      <c r="O165" s="1639">
        <f t="shared" si="65"/>
        <v>9.8707491000000012</v>
      </c>
      <c r="P165" s="1639">
        <f t="shared" si="65"/>
        <v>0</v>
      </c>
      <c r="Q165" s="1639">
        <f t="shared" si="65"/>
        <v>9.8707491000000012</v>
      </c>
      <c r="R165" s="500"/>
      <c r="S165" s="447"/>
      <c r="T165" s="1629"/>
      <c r="U165" s="1639">
        <f t="shared" ref="U165:Z165" si="66">SUM(U159:U164)</f>
        <v>-1.2819210900584017</v>
      </c>
      <c r="V165" s="1639">
        <f t="shared" si="66"/>
        <v>0</v>
      </c>
      <c r="W165" s="1639">
        <f t="shared" si="66"/>
        <v>-1.2819210900584017</v>
      </c>
      <c r="X165" s="1639">
        <f t="shared" si="66"/>
        <v>-1.2043630683821032</v>
      </c>
      <c r="Y165" s="1639">
        <f t="shared" si="66"/>
        <v>0</v>
      </c>
      <c r="Z165" s="1639">
        <f t="shared" si="66"/>
        <v>-1.2043630683821032</v>
      </c>
      <c r="AA165" s="2133"/>
      <c r="AB165" s="2136"/>
      <c r="AC165" s="2133"/>
      <c r="AD165" s="1636">
        <f t="shared" si="63"/>
        <v>0.99220389753475668</v>
      </c>
      <c r="AE165" s="435">
        <v>0</v>
      </c>
      <c r="AF165" s="1637">
        <f t="shared" si="64"/>
        <v>0.99220389753475668</v>
      </c>
    </row>
    <row r="166" spans="2:33" x14ac:dyDescent="0.35">
      <c r="B166" s="419" t="s">
        <v>164</v>
      </c>
      <c r="C166" s="1638">
        <f>C156+C165</f>
        <v>2345</v>
      </c>
      <c r="D166" s="1638">
        <v>0</v>
      </c>
      <c r="E166" s="1638">
        <f>E156+E165</f>
        <v>2345</v>
      </c>
      <c r="F166" s="2147"/>
      <c r="G166" s="1652">
        <f>+G165+G156</f>
        <v>80.361865663000003</v>
      </c>
      <c r="H166" s="1652">
        <f>+H165+H156</f>
        <v>0</v>
      </c>
      <c r="I166" s="1652">
        <f>+I165+I156</f>
        <v>80.361865663000003</v>
      </c>
      <c r="J166" s="1652">
        <f>+J165+J156</f>
        <v>0</v>
      </c>
      <c r="K166" s="1652">
        <f>+K165+K156</f>
        <v>79.800914753000001</v>
      </c>
      <c r="L166" s="1653">
        <f>L156+L165</f>
        <v>82.285271057076301</v>
      </c>
      <c r="M166" s="1639">
        <v>0</v>
      </c>
      <c r="N166" s="500">
        <f>N156+N165</f>
        <v>82.285271057076301</v>
      </c>
      <c r="O166" s="500">
        <f>O156+O165</f>
        <v>90.42548020000001</v>
      </c>
      <c r="P166" s="447">
        <v>0</v>
      </c>
      <c r="Q166" s="1629">
        <f>Q156+Q165</f>
        <v>90.42548020000001</v>
      </c>
      <c r="R166" s="500"/>
      <c r="S166" s="447"/>
      <c r="T166" s="1629"/>
      <c r="U166" s="1652">
        <f t="shared" ref="U166:Z166" si="67">+U165+U156</f>
        <v>-2.0732001779508002</v>
      </c>
      <c r="V166" s="1652">
        <f t="shared" si="67"/>
        <v>0</v>
      </c>
      <c r="W166" s="1652">
        <f t="shared" si="67"/>
        <v>-2.0732001779508002</v>
      </c>
      <c r="X166" s="1652">
        <f t="shared" si="67"/>
        <v>-10.213409320874508</v>
      </c>
      <c r="Y166" s="1652">
        <f t="shared" si="67"/>
        <v>0</v>
      </c>
      <c r="Z166" s="1652">
        <f t="shared" si="67"/>
        <v>-10.213409320874508</v>
      </c>
      <c r="AA166" s="2134"/>
      <c r="AB166" s="2137"/>
      <c r="AC166" s="2134"/>
      <c r="AD166" s="1644">
        <f>Q166/N166</f>
        <v>1.098926685643137</v>
      </c>
      <c r="AE166" s="1644"/>
      <c r="AF166" s="1645">
        <f t="shared" si="64"/>
        <v>1.098926685643137</v>
      </c>
      <c r="AG166" s="1650">
        <f>+Assum!K62</f>
        <v>1.0989</v>
      </c>
    </row>
    <row r="167" spans="2:33" x14ac:dyDescent="0.35">
      <c r="B167" s="34" t="s">
        <v>782</v>
      </c>
    </row>
    <row r="168" spans="2:33" x14ac:dyDescent="0.35">
      <c r="B168" s="2066" t="s">
        <v>783</v>
      </c>
      <c r="C168" s="2066"/>
      <c r="D168" s="2066"/>
      <c r="E168" s="2066"/>
      <c r="F168" s="2066"/>
      <c r="G168" s="2066"/>
      <c r="H168" s="2066"/>
      <c r="I168" s="2066"/>
      <c r="J168" s="2066"/>
      <c r="K168" s="2066"/>
      <c r="L168" s="2066"/>
      <c r="M168" s="2066"/>
      <c r="N168" s="2066"/>
      <c r="O168" s="2066"/>
      <c r="P168" s="2066"/>
      <c r="Q168" s="2066"/>
      <c r="R168" s="2066"/>
      <c r="S168" s="2066"/>
    </row>
    <row r="169" spans="2:33" x14ac:dyDescent="0.35">
      <c r="B169" s="2066" t="s">
        <v>784</v>
      </c>
      <c r="C169" s="2066"/>
      <c r="D169" s="2066"/>
      <c r="E169" s="2066"/>
      <c r="F169" s="2066"/>
      <c r="G169" s="2066"/>
      <c r="H169" s="2066"/>
      <c r="I169" s="2066"/>
      <c r="J169" s="2066"/>
      <c r="K169" s="2066"/>
      <c r="L169" s="2066"/>
      <c r="M169" s="2066"/>
      <c r="N169" s="2066"/>
      <c r="O169" s="2066"/>
      <c r="P169" s="2066"/>
      <c r="Q169" s="2066"/>
      <c r="R169" s="2066"/>
      <c r="S169" s="2066"/>
    </row>
  </sheetData>
  <mergeCells count="333">
    <mergeCell ref="AA128:AA142"/>
    <mergeCell ref="AB128:AB142"/>
    <mergeCell ref="AC128:AC142"/>
    <mergeCell ref="AA152:AA166"/>
    <mergeCell ref="AB152:AB166"/>
    <mergeCell ref="AC152:AC166"/>
    <mergeCell ref="AA104:AA118"/>
    <mergeCell ref="AB104:AB118"/>
    <mergeCell ref="AC104:AC118"/>
    <mergeCell ref="AB126:AB127"/>
    <mergeCell ref="AC126:AC127"/>
    <mergeCell ref="F80:F94"/>
    <mergeCell ref="AA80:AA94"/>
    <mergeCell ref="AB80:AB94"/>
    <mergeCell ref="AC80:AC94"/>
    <mergeCell ref="L82:L83"/>
    <mergeCell ref="N82:N83"/>
    <mergeCell ref="O82:O83"/>
    <mergeCell ref="Q82:Q83"/>
    <mergeCell ref="R82:R83"/>
    <mergeCell ref="T82:T83"/>
    <mergeCell ref="W82:W83"/>
    <mergeCell ref="AA57:AA70"/>
    <mergeCell ref="AB57:AB70"/>
    <mergeCell ref="AC57:AC70"/>
    <mergeCell ref="N59:N60"/>
    <mergeCell ref="O59:O60"/>
    <mergeCell ref="Q59:Q60"/>
    <mergeCell ref="R59:R60"/>
    <mergeCell ref="T59:T60"/>
    <mergeCell ref="U59:U60"/>
    <mergeCell ref="W59:W60"/>
    <mergeCell ref="AA34:AA47"/>
    <mergeCell ref="AB34:AB47"/>
    <mergeCell ref="AC34:AC47"/>
    <mergeCell ref="L36:L37"/>
    <mergeCell ref="N36:N37"/>
    <mergeCell ref="R36:R37"/>
    <mergeCell ref="T36:T37"/>
    <mergeCell ref="O36:O37"/>
    <mergeCell ref="Q36:Q37"/>
    <mergeCell ref="U36:U37"/>
    <mergeCell ref="W36:W37"/>
    <mergeCell ref="B121:S121"/>
    <mergeCell ref="B144:S144"/>
    <mergeCell ref="B145:S145"/>
    <mergeCell ref="B168:S168"/>
    <mergeCell ref="B169:S169"/>
    <mergeCell ref="AD150:AD151"/>
    <mergeCell ref="AE150:AE151"/>
    <mergeCell ref="AF150:AF151"/>
    <mergeCell ref="F152:F166"/>
    <mergeCell ref="AD149:AF149"/>
    <mergeCell ref="P150:P151"/>
    <mergeCell ref="Q150:Q151"/>
    <mergeCell ref="R150:R151"/>
    <mergeCell ref="S150:S151"/>
    <mergeCell ref="L149:N149"/>
    <mergeCell ref="O149:Q149"/>
    <mergeCell ref="R149:T149"/>
    <mergeCell ref="U149:W149"/>
    <mergeCell ref="X149:Z149"/>
    <mergeCell ref="F128:F142"/>
    <mergeCell ref="B149:B151"/>
    <mergeCell ref="C149:E149"/>
    <mergeCell ref="F149:F151"/>
    <mergeCell ref="G149:K149"/>
    <mergeCell ref="B2:S2"/>
    <mergeCell ref="B3:S3"/>
    <mergeCell ref="B4:S4"/>
    <mergeCell ref="B26:S26"/>
    <mergeCell ref="B27:S27"/>
    <mergeCell ref="B49:S49"/>
    <mergeCell ref="B50:S50"/>
    <mergeCell ref="B72:S72"/>
    <mergeCell ref="B73:S73"/>
    <mergeCell ref="D55:D56"/>
    <mergeCell ref="E55:E56"/>
    <mergeCell ref="G55:I55"/>
    <mergeCell ref="J55:J56"/>
    <mergeCell ref="K55:K56"/>
    <mergeCell ref="G31:K31"/>
    <mergeCell ref="L31:N31"/>
    <mergeCell ref="F11:F24"/>
    <mergeCell ref="F34:F47"/>
    <mergeCell ref="F57:F70"/>
    <mergeCell ref="C32:C33"/>
    <mergeCell ref="D32:D33"/>
    <mergeCell ref="E32:E33"/>
    <mergeCell ref="G32:I32"/>
    <mergeCell ref="J32:J33"/>
    <mergeCell ref="B96:S96"/>
    <mergeCell ref="B97:S97"/>
    <mergeCell ref="B120:S120"/>
    <mergeCell ref="Y150:Y151"/>
    <mergeCell ref="Z150:Z151"/>
    <mergeCell ref="AA150:AA151"/>
    <mergeCell ref="AB150:AB151"/>
    <mergeCell ref="AC150:AC151"/>
    <mergeCell ref="T150:T151"/>
    <mergeCell ref="U150:U151"/>
    <mergeCell ref="V150:V151"/>
    <mergeCell ref="W150:W151"/>
    <mergeCell ref="X150:X151"/>
    <mergeCell ref="AA149:AC149"/>
    <mergeCell ref="C150:C151"/>
    <mergeCell ref="D150:D151"/>
    <mergeCell ref="E150:E151"/>
    <mergeCell ref="G150:I150"/>
    <mergeCell ref="J150:J151"/>
    <mergeCell ref="K150:K151"/>
    <mergeCell ref="L150:L151"/>
    <mergeCell ref="M150:M151"/>
    <mergeCell ref="N150:N151"/>
    <mergeCell ref="O150:O151"/>
    <mergeCell ref="AD126:AD127"/>
    <mergeCell ref="AE126:AE127"/>
    <mergeCell ref="AF126:AF127"/>
    <mergeCell ref="W126:W127"/>
    <mergeCell ref="X126:X127"/>
    <mergeCell ref="Y126:Y127"/>
    <mergeCell ref="Z126:Z127"/>
    <mergeCell ref="AA126:AA127"/>
    <mergeCell ref="R126:R127"/>
    <mergeCell ref="S126:S127"/>
    <mergeCell ref="T126:T127"/>
    <mergeCell ref="U126:U127"/>
    <mergeCell ref="V126:V127"/>
    <mergeCell ref="N126:N127"/>
    <mergeCell ref="O126:O127"/>
    <mergeCell ref="P126:P127"/>
    <mergeCell ref="Q126:Q127"/>
    <mergeCell ref="E126:E127"/>
    <mergeCell ref="G126:I126"/>
    <mergeCell ref="J126:J127"/>
    <mergeCell ref="K126:K127"/>
    <mergeCell ref="L126:L127"/>
    <mergeCell ref="AF102:AF103"/>
    <mergeCell ref="F104:F118"/>
    <mergeCell ref="B125:B127"/>
    <mergeCell ref="C125:E125"/>
    <mergeCell ref="F125:F127"/>
    <mergeCell ref="G125:K125"/>
    <mergeCell ref="L125:N125"/>
    <mergeCell ref="O125:Q125"/>
    <mergeCell ref="R125:T125"/>
    <mergeCell ref="U125:W125"/>
    <mergeCell ref="X125:Z125"/>
    <mergeCell ref="AA125:AC125"/>
    <mergeCell ref="AD125:AF125"/>
    <mergeCell ref="C126:C127"/>
    <mergeCell ref="D126:D127"/>
    <mergeCell ref="Z102:Z103"/>
    <mergeCell ref="AA102:AA103"/>
    <mergeCell ref="AB102:AB103"/>
    <mergeCell ref="AD102:AD103"/>
    <mergeCell ref="U102:U103"/>
    <mergeCell ref="V102:V103"/>
    <mergeCell ref="W102:W103"/>
    <mergeCell ref="X102:X103"/>
    <mergeCell ref="M126:M127"/>
    <mergeCell ref="R102:R103"/>
    <mergeCell ref="S102:S103"/>
    <mergeCell ref="T102:T103"/>
    <mergeCell ref="O101:Q101"/>
    <mergeCell ref="R101:T101"/>
    <mergeCell ref="U101:W101"/>
    <mergeCell ref="X101:Z101"/>
    <mergeCell ref="AA101:AC101"/>
    <mergeCell ref="AE102:AE103"/>
    <mergeCell ref="G102:I102"/>
    <mergeCell ref="J102:J103"/>
    <mergeCell ref="K102:K103"/>
    <mergeCell ref="L102:L103"/>
    <mergeCell ref="M102:M103"/>
    <mergeCell ref="N102:N103"/>
    <mergeCell ref="O102:O103"/>
    <mergeCell ref="P102:P103"/>
    <mergeCell ref="Q102:Q103"/>
    <mergeCell ref="B101:B103"/>
    <mergeCell ref="C101:E101"/>
    <mergeCell ref="F101:F103"/>
    <mergeCell ref="G101:K101"/>
    <mergeCell ref="L101:N101"/>
    <mergeCell ref="AC102:AC103"/>
    <mergeCell ref="AC78:AC79"/>
    <mergeCell ref="AD78:AD79"/>
    <mergeCell ref="AE78:AE79"/>
    <mergeCell ref="N78:N79"/>
    <mergeCell ref="O78:O79"/>
    <mergeCell ref="P78:P79"/>
    <mergeCell ref="Q78:Q79"/>
    <mergeCell ref="R78:R79"/>
    <mergeCell ref="G78:I78"/>
    <mergeCell ref="J78:J79"/>
    <mergeCell ref="K78:K79"/>
    <mergeCell ref="L78:L79"/>
    <mergeCell ref="M78:M79"/>
    <mergeCell ref="Y102:Y103"/>
    <mergeCell ref="AD101:AF101"/>
    <mergeCell ref="C102:C103"/>
    <mergeCell ref="D102:D103"/>
    <mergeCell ref="E102:E103"/>
    <mergeCell ref="AA77:AC77"/>
    <mergeCell ref="AD77:AF77"/>
    <mergeCell ref="C78:C79"/>
    <mergeCell ref="D78:D79"/>
    <mergeCell ref="E78:E79"/>
    <mergeCell ref="AA55:AA56"/>
    <mergeCell ref="AB55:AB56"/>
    <mergeCell ref="AC55:AC56"/>
    <mergeCell ref="AD55:AD56"/>
    <mergeCell ref="AE55:AE56"/>
    <mergeCell ref="V55:V56"/>
    <mergeCell ref="W55:W56"/>
    <mergeCell ref="X55:X56"/>
    <mergeCell ref="Y55:Y56"/>
    <mergeCell ref="AF78:AF79"/>
    <mergeCell ref="X78:X79"/>
    <mergeCell ref="Y78:Y79"/>
    <mergeCell ref="Z78:Z79"/>
    <mergeCell ref="AA78:AA79"/>
    <mergeCell ref="AB78:AB79"/>
    <mergeCell ref="S78:S79"/>
    <mergeCell ref="T78:T79"/>
    <mergeCell ref="U78:U79"/>
    <mergeCell ref="V78:V79"/>
    <mergeCell ref="B77:B79"/>
    <mergeCell ref="C77:E77"/>
    <mergeCell ref="F77:F79"/>
    <mergeCell ref="G77:K77"/>
    <mergeCell ref="L77:N77"/>
    <mergeCell ref="O77:Q77"/>
    <mergeCell ref="R77:T77"/>
    <mergeCell ref="U77:W77"/>
    <mergeCell ref="X77:Z77"/>
    <mergeCell ref="W78:W79"/>
    <mergeCell ref="AA54:AC54"/>
    <mergeCell ref="AD54:AF54"/>
    <mergeCell ref="C55:C56"/>
    <mergeCell ref="X32:X33"/>
    <mergeCell ref="Y32:Y33"/>
    <mergeCell ref="Z32:Z33"/>
    <mergeCell ref="AA32:AA33"/>
    <mergeCell ref="AB32:AB33"/>
    <mergeCell ref="B31:B33"/>
    <mergeCell ref="C31:E31"/>
    <mergeCell ref="F31:F33"/>
    <mergeCell ref="AD31:AF31"/>
    <mergeCell ref="Z55:Z56"/>
    <mergeCell ref="Q55:Q56"/>
    <mergeCell ref="R55:R56"/>
    <mergeCell ref="S55:S56"/>
    <mergeCell ref="T55:T56"/>
    <mergeCell ref="U55:U56"/>
    <mergeCell ref="L55:L56"/>
    <mergeCell ref="M55:M56"/>
    <mergeCell ref="N55:N56"/>
    <mergeCell ref="O55:O56"/>
    <mergeCell ref="P55:P56"/>
    <mergeCell ref="AF55:AF56"/>
    <mergeCell ref="B54:B56"/>
    <mergeCell ref="C54:E54"/>
    <mergeCell ref="F54:F56"/>
    <mergeCell ref="G54:K54"/>
    <mergeCell ref="L54:N54"/>
    <mergeCell ref="O54:Q54"/>
    <mergeCell ref="R54:T54"/>
    <mergeCell ref="U54:W54"/>
    <mergeCell ref="X54:Z54"/>
    <mergeCell ref="K32:K33"/>
    <mergeCell ref="L32:L33"/>
    <mergeCell ref="M32:M33"/>
    <mergeCell ref="N32:N33"/>
    <mergeCell ref="O32:O33"/>
    <mergeCell ref="P32:P33"/>
    <mergeCell ref="Q32:Q33"/>
    <mergeCell ref="R32:R33"/>
    <mergeCell ref="S32:S33"/>
    <mergeCell ref="U9:U10"/>
    <mergeCell ref="V9:V10"/>
    <mergeCell ref="W9:W10"/>
    <mergeCell ref="X9:X10"/>
    <mergeCell ref="Y9:Y10"/>
    <mergeCell ref="AE9:AE10"/>
    <mergeCell ref="T32:T33"/>
    <mergeCell ref="O31:Q31"/>
    <mergeCell ref="R31:T31"/>
    <mergeCell ref="U31:W31"/>
    <mergeCell ref="X31:Z31"/>
    <mergeCell ref="AA31:AC31"/>
    <mergeCell ref="U32:U33"/>
    <mergeCell ref="V32:V33"/>
    <mergeCell ref="W32:W33"/>
    <mergeCell ref="AD32:AD33"/>
    <mergeCell ref="AE32:AE33"/>
    <mergeCell ref="AA11:AA24"/>
    <mergeCell ref="AB11:AB24"/>
    <mergeCell ref="AC11:AC24"/>
    <mergeCell ref="AC32:AC33"/>
    <mergeCell ref="X8:Z8"/>
    <mergeCell ref="AA8:AC8"/>
    <mergeCell ref="AF9:AF10"/>
    <mergeCell ref="Z9:Z10"/>
    <mergeCell ref="AA9:AA10"/>
    <mergeCell ref="AB9:AB10"/>
    <mergeCell ref="AC9:AC10"/>
    <mergeCell ref="AD9:AD10"/>
    <mergeCell ref="AF32:AF33"/>
    <mergeCell ref="B8:B10"/>
    <mergeCell ref="C8:E8"/>
    <mergeCell ref="F8:F10"/>
    <mergeCell ref="G8:K8"/>
    <mergeCell ref="L8:N8"/>
    <mergeCell ref="AD8:AF8"/>
    <mergeCell ref="C9:C10"/>
    <mergeCell ref="D9:D10"/>
    <mergeCell ref="E9:E10"/>
    <mergeCell ref="G9:I9"/>
    <mergeCell ref="J9:J10"/>
    <mergeCell ref="K9:K10"/>
    <mergeCell ref="L9:L10"/>
    <mergeCell ref="N9:N10"/>
    <mergeCell ref="O8:Q8"/>
    <mergeCell ref="R8:T8"/>
    <mergeCell ref="U8:W8"/>
    <mergeCell ref="P9:P10"/>
    <mergeCell ref="Q9:Q10"/>
    <mergeCell ref="R9:R10"/>
    <mergeCell ref="O9:O10"/>
    <mergeCell ref="S9:S10"/>
    <mergeCell ref="T9:T10"/>
    <mergeCell ref="M9:M10"/>
  </mergeCells>
  <printOptions horizontalCentered="1" verticalCentered="1"/>
  <pageMargins left="0.39370078740157483" right="0.27559055118110237" top="0.43307086614173229" bottom="0.43307086614173229" header="0.51181102362204722" footer="0.51181102362204722"/>
  <pageSetup paperSize="9" scale="41" orientation="landscape" r:id="rId1"/>
  <headerFooter alignWithMargins="0"/>
  <rowBreaks count="2" manualBreakCount="2">
    <brk id="74" min="1" max="31" man="1"/>
    <brk id="145" min="1" max="31" man="1"/>
  </rowBreaks>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Q50"/>
  <sheetViews>
    <sheetView showGridLines="0" view="pageBreakPreview" topLeftCell="A10" zoomScale="60" zoomScaleNormal="75" workbookViewId="0">
      <selection activeCell="F50" sqref="F50:J50"/>
    </sheetView>
  </sheetViews>
  <sheetFormatPr defaultColWidth="9.33203125" defaultRowHeight="13.9" x14ac:dyDescent="0.4"/>
  <cols>
    <col min="1" max="1" width="4.33203125" style="1" customWidth="1"/>
    <col min="2" max="2" width="8.33203125" style="1" customWidth="1"/>
    <col min="3" max="3" width="29.53125" style="51" customWidth="1"/>
    <col min="4" max="4" width="13.1328125" style="1" bestFit="1" customWidth="1"/>
    <col min="5" max="7" width="13.46484375" style="1" bestFit="1" customWidth="1"/>
    <col min="8" max="14" width="14.19921875" style="1" bestFit="1" customWidth="1"/>
    <col min="15" max="15" width="23.1328125" style="1" bestFit="1" customWidth="1"/>
    <col min="16" max="17" width="18.6640625" style="1" customWidth="1"/>
    <col min="18" max="258" width="9.33203125" style="1"/>
    <col min="259" max="259" width="4.33203125" style="1" customWidth="1"/>
    <col min="260" max="260" width="6.33203125" style="1" customWidth="1"/>
    <col min="261" max="261" width="29.33203125" style="1" customWidth="1"/>
    <col min="262" max="262" width="21.33203125" style="1" bestFit="1" customWidth="1"/>
    <col min="263" max="273" width="18.6640625" style="1" customWidth="1"/>
    <col min="274" max="514" width="9.33203125" style="1"/>
    <col min="515" max="515" width="4.33203125" style="1" customWidth="1"/>
    <col min="516" max="516" width="6.33203125" style="1" customWidth="1"/>
    <col min="517" max="517" width="29.33203125" style="1" customWidth="1"/>
    <col min="518" max="518" width="21.33203125" style="1" bestFit="1" customWidth="1"/>
    <col min="519" max="529" width="18.6640625" style="1" customWidth="1"/>
    <col min="530" max="770" width="9.33203125" style="1"/>
    <col min="771" max="771" width="4.33203125" style="1" customWidth="1"/>
    <col min="772" max="772" width="6.33203125" style="1" customWidth="1"/>
    <col min="773" max="773" width="29.33203125" style="1" customWidth="1"/>
    <col min="774" max="774" width="21.33203125" style="1" bestFit="1" customWidth="1"/>
    <col min="775" max="785" width="18.6640625" style="1" customWidth="1"/>
    <col min="786" max="1026" width="9.33203125" style="1"/>
    <col min="1027" max="1027" width="4.33203125" style="1" customWidth="1"/>
    <col min="1028" max="1028" width="6.33203125" style="1" customWidth="1"/>
    <col min="1029" max="1029" width="29.33203125" style="1" customWidth="1"/>
    <col min="1030" max="1030" width="21.33203125" style="1" bestFit="1" customWidth="1"/>
    <col min="1031" max="1041" width="18.6640625" style="1" customWidth="1"/>
    <col min="1042" max="1282" width="9.33203125" style="1"/>
    <col min="1283" max="1283" width="4.33203125" style="1" customWidth="1"/>
    <col min="1284" max="1284" width="6.33203125" style="1" customWidth="1"/>
    <col min="1285" max="1285" width="29.33203125" style="1" customWidth="1"/>
    <col min="1286" max="1286" width="21.33203125" style="1" bestFit="1" customWidth="1"/>
    <col min="1287" max="1297" width="18.6640625" style="1" customWidth="1"/>
    <col min="1298" max="1538" width="9.33203125" style="1"/>
    <col min="1539" max="1539" width="4.33203125" style="1" customWidth="1"/>
    <col min="1540" max="1540" width="6.33203125" style="1" customWidth="1"/>
    <col min="1541" max="1541" width="29.33203125" style="1" customWidth="1"/>
    <col min="1542" max="1542" width="21.33203125" style="1" bestFit="1" customWidth="1"/>
    <col min="1543" max="1553" width="18.6640625" style="1" customWidth="1"/>
    <col min="1554" max="1794" width="9.33203125" style="1"/>
    <col min="1795" max="1795" width="4.33203125" style="1" customWidth="1"/>
    <col min="1796" max="1796" width="6.33203125" style="1" customWidth="1"/>
    <col min="1797" max="1797" width="29.33203125" style="1" customWidth="1"/>
    <col min="1798" max="1798" width="21.33203125" style="1" bestFit="1" customWidth="1"/>
    <col min="1799" max="1809" width="18.6640625" style="1" customWidth="1"/>
    <col min="1810" max="2050" width="9.33203125" style="1"/>
    <col min="2051" max="2051" width="4.33203125" style="1" customWidth="1"/>
    <col min="2052" max="2052" width="6.33203125" style="1" customWidth="1"/>
    <col min="2053" max="2053" width="29.33203125" style="1" customWidth="1"/>
    <col min="2054" max="2054" width="21.33203125" style="1" bestFit="1" customWidth="1"/>
    <col min="2055" max="2065" width="18.6640625" style="1" customWidth="1"/>
    <col min="2066" max="2306" width="9.33203125" style="1"/>
    <col min="2307" max="2307" width="4.33203125" style="1" customWidth="1"/>
    <col min="2308" max="2308" width="6.33203125" style="1" customWidth="1"/>
    <col min="2309" max="2309" width="29.33203125" style="1" customWidth="1"/>
    <col min="2310" max="2310" width="21.33203125" style="1" bestFit="1" customWidth="1"/>
    <col min="2311" max="2321" width="18.6640625" style="1" customWidth="1"/>
    <col min="2322" max="2562" width="9.33203125" style="1"/>
    <col min="2563" max="2563" width="4.33203125" style="1" customWidth="1"/>
    <col min="2564" max="2564" width="6.33203125" style="1" customWidth="1"/>
    <col min="2565" max="2565" width="29.33203125" style="1" customWidth="1"/>
    <col min="2566" max="2566" width="21.33203125" style="1" bestFit="1" customWidth="1"/>
    <col min="2567" max="2577" width="18.6640625" style="1" customWidth="1"/>
    <col min="2578" max="2818" width="9.33203125" style="1"/>
    <col min="2819" max="2819" width="4.33203125" style="1" customWidth="1"/>
    <col min="2820" max="2820" width="6.33203125" style="1" customWidth="1"/>
    <col min="2821" max="2821" width="29.33203125" style="1" customWidth="1"/>
    <col min="2822" max="2822" width="21.33203125" style="1" bestFit="1" customWidth="1"/>
    <col min="2823" max="2833" width="18.6640625" style="1" customWidth="1"/>
    <col min="2834" max="3074" width="9.33203125" style="1"/>
    <col min="3075" max="3075" width="4.33203125" style="1" customWidth="1"/>
    <col min="3076" max="3076" width="6.33203125" style="1" customWidth="1"/>
    <col min="3077" max="3077" width="29.33203125" style="1" customWidth="1"/>
    <col min="3078" max="3078" width="21.33203125" style="1" bestFit="1" customWidth="1"/>
    <col min="3079" max="3089" width="18.6640625" style="1" customWidth="1"/>
    <col min="3090" max="3330" width="9.33203125" style="1"/>
    <col min="3331" max="3331" width="4.33203125" style="1" customWidth="1"/>
    <col min="3332" max="3332" width="6.33203125" style="1" customWidth="1"/>
    <col min="3333" max="3333" width="29.33203125" style="1" customWidth="1"/>
    <col min="3334" max="3334" width="21.33203125" style="1" bestFit="1" customWidth="1"/>
    <col min="3335" max="3345" width="18.6640625" style="1" customWidth="1"/>
    <col min="3346" max="3586" width="9.33203125" style="1"/>
    <col min="3587" max="3587" width="4.33203125" style="1" customWidth="1"/>
    <col min="3588" max="3588" width="6.33203125" style="1" customWidth="1"/>
    <col min="3589" max="3589" width="29.33203125" style="1" customWidth="1"/>
    <col min="3590" max="3590" width="21.33203125" style="1" bestFit="1" customWidth="1"/>
    <col min="3591" max="3601" width="18.6640625" style="1" customWidth="1"/>
    <col min="3602" max="3842" width="9.33203125" style="1"/>
    <col min="3843" max="3843" width="4.33203125" style="1" customWidth="1"/>
    <col min="3844" max="3844" width="6.33203125" style="1" customWidth="1"/>
    <col min="3845" max="3845" width="29.33203125" style="1" customWidth="1"/>
    <col min="3846" max="3846" width="21.33203125" style="1" bestFit="1" customWidth="1"/>
    <col min="3847" max="3857" width="18.6640625" style="1" customWidth="1"/>
    <col min="3858" max="4098" width="9.33203125" style="1"/>
    <col min="4099" max="4099" width="4.33203125" style="1" customWidth="1"/>
    <col min="4100" max="4100" width="6.33203125" style="1" customWidth="1"/>
    <col min="4101" max="4101" width="29.33203125" style="1" customWidth="1"/>
    <col min="4102" max="4102" width="21.33203125" style="1" bestFit="1" customWidth="1"/>
    <col min="4103" max="4113" width="18.6640625" style="1" customWidth="1"/>
    <col min="4114" max="4354" width="9.33203125" style="1"/>
    <col min="4355" max="4355" width="4.33203125" style="1" customWidth="1"/>
    <col min="4356" max="4356" width="6.33203125" style="1" customWidth="1"/>
    <col min="4357" max="4357" width="29.33203125" style="1" customWidth="1"/>
    <col min="4358" max="4358" width="21.33203125" style="1" bestFit="1" customWidth="1"/>
    <col min="4359" max="4369" width="18.6640625" style="1" customWidth="1"/>
    <col min="4370" max="4610" width="9.33203125" style="1"/>
    <col min="4611" max="4611" width="4.33203125" style="1" customWidth="1"/>
    <col min="4612" max="4612" width="6.33203125" style="1" customWidth="1"/>
    <col min="4613" max="4613" width="29.33203125" style="1" customWidth="1"/>
    <col min="4614" max="4614" width="21.33203125" style="1" bestFit="1" customWidth="1"/>
    <col min="4615" max="4625" width="18.6640625" style="1" customWidth="1"/>
    <col min="4626" max="4866" width="9.33203125" style="1"/>
    <col min="4867" max="4867" width="4.33203125" style="1" customWidth="1"/>
    <col min="4868" max="4868" width="6.33203125" style="1" customWidth="1"/>
    <col min="4869" max="4869" width="29.33203125" style="1" customWidth="1"/>
    <col min="4870" max="4870" width="21.33203125" style="1" bestFit="1" customWidth="1"/>
    <col min="4871" max="4881" width="18.6640625" style="1" customWidth="1"/>
    <col min="4882" max="5122" width="9.33203125" style="1"/>
    <col min="5123" max="5123" width="4.33203125" style="1" customWidth="1"/>
    <col min="5124" max="5124" width="6.33203125" style="1" customWidth="1"/>
    <col min="5125" max="5125" width="29.33203125" style="1" customWidth="1"/>
    <col min="5126" max="5126" width="21.33203125" style="1" bestFit="1" customWidth="1"/>
    <col min="5127" max="5137" width="18.6640625" style="1" customWidth="1"/>
    <col min="5138" max="5378" width="9.33203125" style="1"/>
    <col min="5379" max="5379" width="4.33203125" style="1" customWidth="1"/>
    <col min="5380" max="5380" width="6.33203125" style="1" customWidth="1"/>
    <col min="5381" max="5381" width="29.33203125" style="1" customWidth="1"/>
    <col min="5382" max="5382" width="21.33203125" style="1" bestFit="1" customWidth="1"/>
    <col min="5383" max="5393" width="18.6640625" style="1" customWidth="1"/>
    <col min="5394" max="5634" width="9.33203125" style="1"/>
    <col min="5635" max="5635" width="4.33203125" style="1" customWidth="1"/>
    <col min="5636" max="5636" width="6.33203125" style="1" customWidth="1"/>
    <col min="5637" max="5637" width="29.33203125" style="1" customWidth="1"/>
    <col min="5638" max="5638" width="21.33203125" style="1" bestFit="1" customWidth="1"/>
    <col min="5639" max="5649" width="18.6640625" style="1" customWidth="1"/>
    <col min="5650" max="5890" width="9.33203125" style="1"/>
    <col min="5891" max="5891" width="4.33203125" style="1" customWidth="1"/>
    <col min="5892" max="5892" width="6.33203125" style="1" customWidth="1"/>
    <col min="5893" max="5893" width="29.33203125" style="1" customWidth="1"/>
    <col min="5894" max="5894" width="21.33203125" style="1" bestFit="1" customWidth="1"/>
    <col min="5895" max="5905" width="18.6640625" style="1" customWidth="1"/>
    <col min="5906" max="6146" width="9.33203125" style="1"/>
    <col min="6147" max="6147" width="4.33203125" style="1" customWidth="1"/>
    <col min="6148" max="6148" width="6.33203125" style="1" customWidth="1"/>
    <col min="6149" max="6149" width="29.33203125" style="1" customWidth="1"/>
    <col min="6150" max="6150" width="21.33203125" style="1" bestFit="1" customWidth="1"/>
    <col min="6151" max="6161" width="18.6640625" style="1" customWidth="1"/>
    <col min="6162" max="6402" width="9.33203125" style="1"/>
    <col min="6403" max="6403" width="4.33203125" style="1" customWidth="1"/>
    <col min="6404" max="6404" width="6.33203125" style="1" customWidth="1"/>
    <col min="6405" max="6405" width="29.33203125" style="1" customWidth="1"/>
    <col min="6406" max="6406" width="21.33203125" style="1" bestFit="1" customWidth="1"/>
    <col min="6407" max="6417" width="18.6640625" style="1" customWidth="1"/>
    <col min="6418" max="6658" width="9.33203125" style="1"/>
    <col min="6659" max="6659" width="4.33203125" style="1" customWidth="1"/>
    <col min="6660" max="6660" width="6.33203125" style="1" customWidth="1"/>
    <col min="6661" max="6661" width="29.33203125" style="1" customWidth="1"/>
    <col min="6662" max="6662" width="21.33203125" style="1" bestFit="1" customWidth="1"/>
    <col min="6663" max="6673" width="18.6640625" style="1" customWidth="1"/>
    <col min="6674" max="6914" width="9.33203125" style="1"/>
    <col min="6915" max="6915" width="4.33203125" style="1" customWidth="1"/>
    <col min="6916" max="6916" width="6.33203125" style="1" customWidth="1"/>
    <col min="6917" max="6917" width="29.33203125" style="1" customWidth="1"/>
    <col min="6918" max="6918" width="21.33203125" style="1" bestFit="1" customWidth="1"/>
    <col min="6919" max="6929" width="18.6640625" style="1" customWidth="1"/>
    <col min="6930" max="7170" width="9.33203125" style="1"/>
    <col min="7171" max="7171" width="4.33203125" style="1" customWidth="1"/>
    <col min="7172" max="7172" width="6.33203125" style="1" customWidth="1"/>
    <col min="7173" max="7173" width="29.33203125" style="1" customWidth="1"/>
    <col min="7174" max="7174" width="21.33203125" style="1" bestFit="1" customWidth="1"/>
    <col min="7175" max="7185" width="18.6640625" style="1" customWidth="1"/>
    <col min="7186" max="7426" width="9.33203125" style="1"/>
    <col min="7427" max="7427" width="4.33203125" style="1" customWidth="1"/>
    <col min="7428" max="7428" width="6.33203125" style="1" customWidth="1"/>
    <col min="7429" max="7429" width="29.33203125" style="1" customWidth="1"/>
    <col min="7430" max="7430" width="21.33203125" style="1" bestFit="1" customWidth="1"/>
    <col min="7431" max="7441" width="18.6640625" style="1" customWidth="1"/>
    <col min="7442" max="7682" width="9.33203125" style="1"/>
    <col min="7683" max="7683" width="4.33203125" style="1" customWidth="1"/>
    <col min="7684" max="7684" width="6.33203125" style="1" customWidth="1"/>
    <col min="7685" max="7685" width="29.33203125" style="1" customWidth="1"/>
    <col min="7686" max="7686" width="21.33203125" style="1" bestFit="1" customWidth="1"/>
    <col min="7687" max="7697" width="18.6640625" style="1" customWidth="1"/>
    <col min="7698" max="7938" width="9.33203125" style="1"/>
    <col min="7939" max="7939" width="4.33203125" style="1" customWidth="1"/>
    <col min="7940" max="7940" width="6.33203125" style="1" customWidth="1"/>
    <col min="7941" max="7941" width="29.33203125" style="1" customWidth="1"/>
    <col min="7942" max="7942" width="21.33203125" style="1" bestFit="1" customWidth="1"/>
    <col min="7943" max="7953" width="18.6640625" style="1" customWidth="1"/>
    <col min="7954" max="8194" width="9.33203125" style="1"/>
    <col min="8195" max="8195" width="4.33203125" style="1" customWidth="1"/>
    <col min="8196" max="8196" width="6.33203125" style="1" customWidth="1"/>
    <col min="8197" max="8197" width="29.33203125" style="1" customWidth="1"/>
    <col min="8198" max="8198" width="21.33203125" style="1" bestFit="1" customWidth="1"/>
    <col min="8199" max="8209" width="18.6640625" style="1" customWidth="1"/>
    <col min="8210" max="8450" width="9.33203125" style="1"/>
    <col min="8451" max="8451" width="4.33203125" style="1" customWidth="1"/>
    <col min="8452" max="8452" width="6.33203125" style="1" customWidth="1"/>
    <col min="8453" max="8453" width="29.33203125" style="1" customWidth="1"/>
    <col min="8454" max="8454" width="21.33203125" style="1" bestFit="1" customWidth="1"/>
    <col min="8455" max="8465" width="18.6640625" style="1" customWidth="1"/>
    <col min="8466" max="8706" width="9.33203125" style="1"/>
    <col min="8707" max="8707" width="4.33203125" style="1" customWidth="1"/>
    <col min="8708" max="8708" width="6.33203125" style="1" customWidth="1"/>
    <col min="8709" max="8709" width="29.33203125" style="1" customWidth="1"/>
    <col min="8710" max="8710" width="21.33203125" style="1" bestFit="1" customWidth="1"/>
    <col min="8711" max="8721" width="18.6640625" style="1" customWidth="1"/>
    <col min="8722" max="8962" width="9.33203125" style="1"/>
    <col min="8963" max="8963" width="4.33203125" style="1" customWidth="1"/>
    <col min="8964" max="8964" width="6.33203125" style="1" customWidth="1"/>
    <col min="8965" max="8965" width="29.33203125" style="1" customWidth="1"/>
    <col min="8966" max="8966" width="21.33203125" style="1" bestFit="1" customWidth="1"/>
    <col min="8967" max="8977" width="18.6640625" style="1" customWidth="1"/>
    <col min="8978" max="9218" width="9.33203125" style="1"/>
    <col min="9219" max="9219" width="4.33203125" style="1" customWidth="1"/>
    <col min="9220" max="9220" width="6.33203125" style="1" customWidth="1"/>
    <col min="9221" max="9221" width="29.33203125" style="1" customWidth="1"/>
    <col min="9222" max="9222" width="21.33203125" style="1" bestFit="1" customWidth="1"/>
    <col min="9223" max="9233" width="18.6640625" style="1" customWidth="1"/>
    <col min="9234" max="9474" width="9.33203125" style="1"/>
    <col min="9475" max="9475" width="4.33203125" style="1" customWidth="1"/>
    <col min="9476" max="9476" width="6.33203125" style="1" customWidth="1"/>
    <col min="9477" max="9477" width="29.33203125" style="1" customWidth="1"/>
    <col min="9478" max="9478" width="21.33203125" style="1" bestFit="1" customWidth="1"/>
    <col min="9479" max="9489" width="18.6640625" style="1" customWidth="1"/>
    <col min="9490" max="9730" width="9.33203125" style="1"/>
    <col min="9731" max="9731" width="4.33203125" style="1" customWidth="1"/>
    <col min="9732" max="9732" width="6.33203125" style="1" customWidth="1"/>
    <col min="9733" max="9733" width="29.33203125" style="1" customWidth="1"/>
    <col min="9734" max="9734" width="21.33203125" style="1" bestFit="1" customWidth="1"/>
    <col min="9735" max="9745" width="18.6640625" style="1" customWidth="1"/>
    <col min="9746" max="9986" width="9.33203125" style="1"/>
    <col min="9987" max="9987" width="4.33203125" style="1" customWidth="1"/>
    <col min="9988" max="9988" width="6.33203125" style="1" customWidth="1"/>
    <col min="9989" max="9989" width="29.33203125" style="1" customWidth="1"/>
    <col min="9990" max="9990" width="21.33203125" style="1" bestFit="1" customWidth="1"/>
    <col min="9991" max="10001" width="18.6640625" style="1" customWidth="1"/>
    <col min="10002" max="10242" width="9.33203125" style="1"/>
    <col min="10243" max="10243" width="4.33203125" style="1" customWidth="1"/>
    <col min="10244" max="10244" width="6.33203125" style="1" customWidth="1"/>
    <col min="10245" max="10245" width="29.33203125" style="1" customWidth="1"/>
    <col min="10246" max="10246" width="21.33203125" style="1" bestFit="1" customWidth="1"/>
    <col min="10247" max="10257" width="18.6640625" style="1" customWidth="1"/>
    <col min="10258" max="10498" width="9.33203125" style="1"/>
    <col min="10499" max="10499" width="4.33203125" style="1" customWidth="1"/>
    <col min="10500" max="10500" width="6.33203125" style="1" customWidth="1"/>
    <col min="10501" max="10501" width="29.33203125" style="1" customWidth="1"/>
    <col min="10502" max="10502" width="21.33203125" style="1" bestFit="1" customWidth="1"/>
    <col min="10503" max="10513" width="18.6640625" style="1" customWidth="1"/>
    <col min="10514" max="10754" width="9.33203125" style="1"/>
    <col min="10755" max="10755" width="4.33203125" style="1" customWidth="1"/>
    <col min="10756" max="10756" width="6.33203125" style="1" customWidth="1"/>
    <col min="10757" max="10757" width="29.33203125" style="1" customWidth="1"/>
    <col min="10758" max="10758" width="21.33203125" style="1" bestFit="1" customWidth="1"/>
    <col min="10759" max="10769" width="18.6640625" style="1" customWidth="1"/>
    <col min="10770" max="11010" width="9.33203125" style="1"/>
    <col min="11011" max="11011" width="4.33203125" style="1" customWidth="1"/>
    <col min="11012" max="11012" width="6.33203125" style="1" customWidth="1"/>
    <col min="11013" max="11013" width="29.33203125" style="1" customWidth="1"/>
    <col min="11014" max="11014" width="21.33203125" style="1" bestFit="1" customWidth="1"/>
    <col min="11015" max="11025" width="18.6640625" style="1" customWidth="1"/>
    <col min="11026" max="11266" width="9.33203125" style="1"/>
    <col min="11267" max="11267" width="4.33203125" style="1" customWidth="1"/>
    <col min="11268" max="11268" width="6.33203125" style="1" customWidth="1"/>
    <col min="11269" max="11269" width="29.33203125" style="1" customWidth="1"/>
    <col min="11270" max="11270" width="21.33203125" style="1" bestFit="1" customWidth="1"/>
    <col min="11271" max="11281" width="18.6640625" style="1" customWidth="1"/>
    <col min="11282" max="11522" width="9.33203125" style="1"/>
    <col min="11523" max="11523" width="4.33203125" style="1" customWidth="1"/>
    <col min="11524" max="11524" width="6.33203125" style="1" customWidth="1"/>
    <col min="11525" max="11525" width="29.33203125" style="1" customWidth="1"/>
    <col min="11526" max="11526" width="21.33203125" style="1" bestFit="1" customWidth="1"/>
    <col min="11527" max="11537" width="18.6640625" style="1" customWidth="1"/>
    <col min="11538" max="11778" width="9.33203125" style="1"/>
    <col min="11779" max="11779" width="4.33203125" style="1" customWidth="1"/>
    <col min="11780" max="11780" width="6.33203125" style="1" customWidth="1"/>
    <col min="11781" max="11781" width="29.33203125" style="1" customWidth="1"/>
    <col min="11782" max="11782" width="21.33203125" style="1" bestFit="1" customWidth="1"/>
    <col min="11783" max="11793" width="18.6640625" style="1" customWidth="1"/>
    <col min="11794" max="12034" width="9.33203125" style="1"/>
    <col min="12035" max="12035" width="4.33203125" style="1" customWidth="1"/>
    <col min="12036" max="12036" width="6.33203125" style="1" customWidth="1"/>
    <col min="12037" max="12037" width="29.33203125" style="1" customWidth="1"/>
    <col min="12038" max="12038" width="21.33203125" style="1" bestFit="1" customWidth="1"/>
    <col min="12039" max="12049" width="18.6640625" style="1" customWidth="1"/>
    <col min="12050" max="12290" width="9.33203125" style="1"/>
    <col min="12291" max="12291" width="4.33203125" style="1" customWidth="1"/>
    <col min="12292" max="12292" width="6.33203125" style="1" customWidth="1"/>
    <col min="12293" max="12293" width="29.33203125" style="1" customWidth="1"/>
    <col min="12294" max="12294" width="21.33203125" style="1" bestFit="1" customWidth="1"/>
    <col min="12295" max="12305" width="18.6640625" style="1" customWidth="1"/>
    <col min="12306" max="12546" width="9.33203125" style="1"/>
    <col min="12547" max="12547" width="4.33203125" style="1" customWidth="1"/>
    <col min="12548" max="12548" width="6.33203125" style="1" customWidth="1"/>
    <col min="12549" max="12549" width="29.33203125" style="1" customWidth="1"/>
    <col min="12550" max="12550" width="21.33203125" style="1" bestFit="1" customWidth="1"/>
    <col min="12551" max="12561" width="18.6640625" style="1" customWidth="1"/>
    <col min="12562" max="12802" width="9.33203125" style="1"/>
    <col min="12803" max="12803" width="4.33203125" style="1" customWidth="1"/>
    <col min="12804" max="12804" width="6.33203125" style="1" customWidth="1"/>
    <col min="12805" max="12805" width="29.33203125" style="1" customWidth="1"/>
    <col min="12806" max="12806" width="21.33203125" style="1" bestFit="1" customWidth="1"/>
    <col min="12807" max="12817" width="18.6640625" style="1" customWidth="1"/>
    <col min="12818" max="13058" width="9.33203125" style="1"/>
    <col min="13059" max="13059" width="4.33203125" style="1" customWidth="1"/>
    <col min="13060" max="13060" width="6.33203125" style="1" customWidth="1"/>
    <col min="13061" max="13061" width="29.33203125" style="1" customWidth="1"/>
    <col min="13062" max="13062" width="21.33203125" style="1" bestFit="1" customWidth="1"/>
    <col min="13063" max="13073" width="18.6640625" style="1" customWidth="1"/>
    <col min="13074" max="13314" width="9.33203125" style="1"/>
    <col min="13315" max="13315" width="4.33203125" style="1" customWidth="1"/>
    <col min="13316" max="13316" width="6.33203125" style="1" customWidth="1"/>
    <col min="13317" max="13317" width="29.33203125" style="1" customWidth="1"/>
    <col min="13318" max="13318" width="21.33203125" style="1" bestFit="1" customWidth="1"/>
    <col min="13319" max="13329" width="18.6640625" style="1" customWidth="1"/>
    <col min="13330" max="13570" width="9.33203125" style="1"/>
    <col min="13571" max="13571" width="4.33203125" style="1" customWidth="1"/>
    <col min="13572" max="13572" width="6.33203125" style="1" customWidth="1"/>
    <col min="13573" max="13573" width="29.33203125" style="1" customWidth="1"/>
    <col min="13574" max="13574" width="21.33203125" style="1" bestFit="1" customWidth="1"/>
    <col min="13575" max="13585" width="18.6640625" style="1" customWidth="1"/>
    <col min="13586" max="13826" width="9.33203125" style="1"/>
    <col min="13827" max="13827" width="4.33203125" style="1" customWidth="1"/>
    <col min="13828" max="13828" width="6.33203125" style="1" customWidth="1"/>
    <col min="13829" max="13829" width="29.33203125" style="1" customWidth="1"/>
    <col min="13830" max="13830" width="21.33203125" style="1" bestFit="1" customWidth="1"/>
    <col min="13831" max="13841" width="18.6640625" style="1" customWidth="1"/>
    <col min="13842" max="14082" width="9.33203125" style="1"/>
    <col min="14083" max="14083" width="4.33203125" style="1" customWidth="1"/>
    <col min="14084" max="14084" width="6.33203125" style="1" customWidth="1"/>
    <col min="14085" max="14085" width="29.33203125" style="1" customWidth="1"/>
    <col min="14086" max="14086" width="21.33203125" style="1" bestFit="1" customWidth="1"/>
    <col min="14087" max="14097" width="18.6640625" style="1" customWidth="1"/>
    <col min="14098" max="14338" width="9.33203125" style="1"/>
    <col min="14339" max="14339" width="4.33203125" style="1" customWidth="1"/>
    <col min="14340" max="14340" width="6.33203125" style="1" customWidth="1"/>
    <col min="14341" max="14341" width="29.33203125" style="1" customWidth="1"/>
    <col min="14342" max="14342" width="21.33203125" style="1" bestFit="1" customWidth="1"/>
    <col min="14343" max="14353" width="18.6640625" style="1" customWidth="1"/>
    <col min="14354" max="14594" width="9.33203125" style="1"/>
    <col min="14595" max="14595" width="4.33203125" style="1" customWidth="1"/>
    <col min="14596" max="14596" width="6.33203125" style="1" customWidth="1"/>
    <col min="14597" max="14597" width="29.33203125" style="1" customWidth="1"/>
    <col min="14598" max="14598" width="21.33203125" style="1" bestFit="1" customWidth="1"/>
    <col min="14599" max="14609" width="18.6640625" style="1" customWidth="1"/>
    <col min="14610" max="14850" width="9.33203125" style="1"/>
    <col min="14851" max="14851" width="4.33203125" style="1" customWidth="1"/>
    <col min="14852" max="14852" width="6.33203125" style="1" customWidth="1"/>
    <col min="14853" max="14853" width="29.33203125" style="1" customWidth="1"/>
    <col min="14854" max="14854" width="21.33203125" style="1" bestFit="1" customWidth="1"/>
    <col min="14855" max="14865" width="18.6640625" style="1" customWidth="1"/>
    <col min="14866" max="15106" width="9.33203125" style="1"/>
    <col min="15107" max="15107" width="4.33203125" style="1" customWidth="1"/>
    <col min="15108" max="15108" width="6.33203125" style="1" customWidth="1"/>
    <col min="15109" max="15109" width="29.33203125" style="1" customWidth="1"/>
    <col min="15110" max="15110" width="21.33203125" style="1" bestFit="1" customWidth="1"/>
    <col min="15111" max="15121" width="18.6640625" style="1" customWidth="1"/>
    <col min="15122" max="15362" width="9.33203125" style="1"/>
    <col min="15363" max="15363" width="4.33203125" style="1" customWidth="1"/>
    <col min="15364" max="15364" width="6.33203125" style="1" customWidth="1"/>
    <col min="15365" max="15365" width="29.33203125" style="1" customWidth="1"/>
    <col min="15366" max="15366" width="21.33203125" style="1" bestFit="1" customWidth="1"/>
    <col min="15367" max="15377" width="18.6640625" style="1" customWidth="1"/>
    <col min="15378" max="15618" width="9.33203125" style="1"/>
    <col min="15619" max="15619" width="4.33203125" style="1" customWidth="1"/>
    <col min="15620" max="15620" width="6.33203125" style="1" customWidth="1"/>
    <col min="15621" max="15621" width="29.33203125" style="1" customWidth="1"/>
    <col min="15622" max="15622" width="21.33203125" style="1" bestFit="1" customWidth="1"/>
    <col min="15623" max="15633" width="18.6640625" style="1" customWidth="1"/>
    <col min="15634" max="15874" width="9.33203125" style="1"/>
    <col min="15875" max="15875" width="4.33203125" style="1" customWidth="1"/>
    <col min="15876" max="15876" width="6.33203125" style="1" customWidth="1"/>
    <col min="15877" max="15877" width="29.33203125" style="1" customWidth="1"/>
    <col min="15878" max="15878" width="21.33203125" style="1" bestFit="1" customWidth="1"/>
    <col min="15879" max="15889" width="18.6640625" style="1" customWidth="1"/>
    <col min="15890" max="16130" width="9.33203125" style="1"/>
    <col min="16131" max="16131" width="4.33203125" style="1" customWidth="1"/>
    <col min="16132" max="16132" width="6.33203125" style="1" customWidth="1"/>
    <col min="16133" max="16133" width="29.33203125" style="1" customWidth="1"/>
    <col min="16134" max="16134" width="21.33203125" style="1" bestFit="1" customWidth="1"/>
    <col min="16135" max="16145" width="18.6640625" style="1" customWidth="1"/>
    <col min="16146" max="16384" width="9.33203125" style="1"/>
  </cols>
  <sheetData>
    <row r="1" spans="2:17" x14ac:dyDescent="0.4">
      <c r="B1" s="2056"/>
      <c r="C1" s="2056"/>
      <c r="D1" s="2056"/>
      <c r="E1" s="2056"/>
      <c r="F1" s="2056"/>
      <c r="G1" s="2056"/>
      <c r="H1" s="2056"/>
      <c r="I1" s="2056"/>
      <c r="J1" s="2056"/>
      <c r="K1" s="2056"/>
      <c r="L1" s="2056"/>
      <c r="M1" s="2056"/>
      <c r="N1" s="2056"/>
      <c r="O1" s="2056"/>
      <c r="P1" s="2056"/>
    </row>
    <row r="2" spans="2:17" x14ac:dyDescent="0.4">
      <c r="B2" s="2056" t="s">
        <v>106</v>
      </c>
      <c r="C2" s="2056"/>
      <c r="D2" s="2056"/>
      <c r="E2" s="2056"/>
      <c r="F2" s="2056"/>
      <c r="G2" s="2056"/>
      <c r="H2" s="2056"/>
      <c r="I2" s="2056"/>
      <c r="J2" s="2056"/>
      <c r="K2" s="2056"/>
      <c r="L2" s="2056"/>
      <c r="M2" s="2056"/>
      <c r="N2" s="2056"/>
      <c r="O2" s="2056"/>
      <c r="P2" s="2056"/>
    </row>
    <row r="3" spans="2:17" x14ac:dyDescent="0.4">
      <c r="B3" s="2056" t="s">
        <v>211</v>
      </c>
      <c r="C3" s="2056"/>
      <c r="D3" s="2056"/>
      <c r="E3" s="2056"/>
      <c r="F3" s="2056"/>
      <c r="G3" s="2056"/>
      <c r="H3" s="2056"/>
      <c r="I3" s="2056"/>
      <c r="J3" s="2056"/>
      <c r="K3" s="2056"/>
      <c r="L3" s="2056"/>
      <c r="M3" s="2056"/>
      <c r="N3" s="2056"/>
      <c r="O3" s="2056"/>
      <c r="P3" s="2056"/>
    </row>
    <row r="4" spans="2:17" x14ac:dyDescent="0.4">
      <c r="B4" s="2056" t="s">
        <v>786</v>
      </c>
      <c r="C4" s="2056"/>
      <c r="D4" s="2056"/>
      <c r="E4" s="2056"/>
      <c r="F4" s="2056"/>
      <c r="G4" s="2056"/>
      <c r="H4" s="2056"/>
      <c r="I4" s="2056"/>
      <c r="J4" s="2056"/>
      <c r="K4" s="2056"/>
      <c r="L4" s="2056"/>
      <c r="M4" s="2056"/>
      <c r="N4" s="2056"/>
      <c r="O4" s="2056"/>
      <c r="P4" s="2056"/>
    </row>
    <row r="5" spans="2:17" x14ac:dyDescent="0.4">
      <c r="B5" s="8"/>
      <c r="H5" s="5"/>
      <c r="J5" s="4"/>
      <c r="K5" s="5"/>
      <c r="L5" s="5"/>
      <c r="M5" s="5"/>
      <c r="N5" s="5"/>
      <c r="O5" s="5"/>
      <c r="P5" s="5"/>
    </row>
    <row r="6" spans="2:17" x14ac:dyDescent="0.4">
      <c r="B6" s="8"/>
      <c r="H6" s="5"/>
      <c r="J6" s="4"/>
      <c r="K6" s="5"/>
      <c r="L6" s="5"/>
      <c r="M6" s="5"/>
      <c r="N6" s="5"/>
      <c r="O6" s="5"/>
      <c r="P6" s="5"/>
    </row>
    <row r="7" spans="2:17" x14ac:dyDescent="0.4">
      <c r="B7" s="6" t="s">
        <v>787</v>
      </c>
      <c r="H7" s="5"/>
      <c r="J7" s="4"/>
      <c r="K7" s="5"/>
      <c r="L7" s="5"/>
      <c r="M7" s="5"/>
      <c r="N7" s="5"/>
      <c r="O7" s="5"/>
      <c r="P7" s="5"/>
    </row>
    <row r="8" spans="2:17" x14ac:dyDescent="0.4">
      <c r="O8" s="6" t="s">
        <v>754</v>
      </c>
    </row>
    <row r="9" spans="2:17" x14ac:dyDescent="0.4">
      <c r="B9" s="1991" t="s">
        <v>1</v>
      </c>
      <c r="C9" s="1991" t="s">
        <v>111</v>
      </c>
      <c r="D9" s="185"/>
      <c r="E9" s="185"/>
      <c r="F9" s="185"/>
      <c r="G9" s="185"/>
      <c r="H9" s="185"/>
      <c r="I9" s="122"/>
      <c r="J9" s="122"/>
      <c r="K9" s="2157" t="s">
        <v>115</v>
      </c>
      <c r="L9" s="2157"/>
      <c r="M9" s="2157"/>
      <c r="N9" s="2157"/>
      <c r="O9" s="2157"/>
      <c r="P9" s="2157" t="s">
        <v>116</v>
      </c>
    </row>
    <row r="10" spans="2:17" s="27" customFormat="1" x14ac:dyDescent="0.35">
      <c r="B10" s="2158"/>
      <c r="C10" s="2158"/>
      <c r="D10" s="427" t="s">
        <v>196</v>
      </c>
      <c r="E10" s="427" t="s">
        <v>197</v>
      </c>
      <c r="F10" s="427" t="s">
        <v>198</v>
      </c>
      <c r="G10" s="427" t="s">
        <v>199</v>
      </c>
      <c r="H10" s="122" t="s">
        <v>112</v>
      </c>
      <c r="I10" s="122" t="s">
        <v>113</v>
      </c>
      <c r="J10" s="122" t="s">
        <v>114</v>
      </c>
      <c r="K10" s="191" t="s">
        <v>123</v>
      </c>
      <c r="L10" s="191" t="s">
        <v>124</v>
      </c>
      <c r="M10" s="98" t="s">
        <v>125</v>
      </c>
      <c r="N10" s="98" t="s">
        <v>126</v>
      </c>
      <c r="O10" s="98" t="s">
        <v>127</v>
      </c>
      <c r="P10" s="2157"/>
    </row>
    <row r="11" spans="2:17" s="6" customFormat="1" x14ac:dyDescent="0.35">
      <c r="B11" s="2158"/>
      <c r="C11" s="2158"/>
      <c r="D11" s="122" t="s">
        <v>186</v>
      </c>
      <c r="E11" s="122" t="s">
        <v>186</v>
      </c>
      <c r="F11" s="122" t="s">
        <v>186</v>
      </c>
      <c r="G11" s="122" t="s">
        <v>186</v>
      </c>
      <c r="H11" s="122" t="s">
        <v>186</v>
      </c>
      <c r="I11" s="122" t="s">
        <v>186</v>
      </c>
      <c r="J11" s="122" t="s">
        <v>187</v>
      </c>
      <c r="K11" s="122" t="s">
        <v>788</v>
      </c>
      <c r="L11" s="122" t="s">
        <v>788</v>
      </c>
      <c r="M11" s="122" t="s">
        <v>788</v>
      </c>
      <c r="N11" s="122" t="s">
        <v>788</v>
      </c>
      <c r="O11" s="122" t="s">
        <v>788</v>
      </c>
      <c r="P11" s="2158"/>
      <c r="Q11" s="27"/>
    </row>
    <row r="12" spans="2:17" s="27" customFormat="1" x14ac:dyDescent="0.35">
      <c r="B12" s="65"/>
      <c r="C12" s="424"/>
      <c r="D12" s="47"/>
      <c r="E12" s="47"/>
      <c r="F12" s="47"/>
      <c r="G12" s="47"/>
      <c r="H12" s="47"/>
      <c r="I12" s="154"/>
      <c r="J12" s="154"/>
      <c r="K12" s="154"/>
      <c r="L12" s="154"/>
      <c r="M12" s="154"/>
      <c r="N12" s="28"/>
      <c r="O12" s="28"/>
      <c r="P12" s="28"/>
    </row>
    <row r="13" spans="2:17" s="27" customFormat="1" x14ac:dyDescent="0.35">
      <c r="B13" s="65"/>
      <c r="C13" s="1654" t="s">
        <v>161</v>
      </c>
      <c r="D13" s="2159">
        <f>1-Assum!E40</f>
        <v>0.9262863860804138</v>
      </c>
      <c r="E13" s="2159">
        <f>1-Assum!F40</f>
        <v>0.93730690036168363</v>
      </c>
      <c r="F13" s="2159">
        <f>1-Assum!G40</f>
        <v>0.96921981302955018</v>
      </c>
      <c r="G13" s="2159">
        <f>1-Assum!H40</f>
        <v>0.97179850911509447</v>
      </c>
      <c r="H13" s="2159">
        <f>1-Assum!I40</f>
        <v>0.98866366889880519</v>
      </c>
      <c r="I13" s="2159">
        <f>1-Assum!J40</f>
        <v>0.99076734582765047</v>
      </c>
      <c r="J13" s="2159">
        <f>1-Assum!K40</f>
        <v>0.99564734993578052</v>
      </c>
      <c r="K13" s="2159">
        <f>1-Assum!L40</f>
        <v>0.99564734993578052</v>
      </c>
      <c r="L13" s="2159">
        <f>1-Assum!M40</f>
        <v>0.99564734993578052</v>
      </c>
      <c r="M13" s="2159">
        <f>1-Assum!N40</f>
        <v>0.99564734993578052</v>
      </c>
      <c r="N13" s="2159">
        <f>1-Assum!O40</f>
        <v>0.99564734993578052</v>
      </c>
      <c r="O13" s="2159">
        <f>1-Assum!P40</f>
        <v>0.99564734993578052</v>
      </c>
      <c r="P13" s="28"/>
    </row>
    <row r="14" spans="2:17" s="27" customFormat="1" x14ac:dyDescent="0.35">
      <c r="B14" s="65"/>
      <c r="C14" s="1655" t="s">
        <v>1552</v>
      </c>
      <c r="D14" s="2160"/>
      <c r="E14" s="2160"/>
      <c r="F14" s="2160"/>
      <c r="G14" s="2160"/>
      <c r="H14" s="2160"/>
      <c r="I14" s="2160"/>
      <c r="J14" s="2160"/>
      <c r="K14" s="2160"/>
      <c r="L14" s="2160"/>
      <c r="M14" s="2160"/>
      <c r="N14" s="2160"/>
      <c r="O14" s="2160"/>
      <c r="P14" s="28"/>
    </row>
    <row r="15" spans="2:17" s="27" customFormat="1" x14ac:dyDescent="0.35">
      <c r="B15" s="65"/>
      <c r="C15" s="1655" t="s">
        <v>1827</v>
      </c>
      <c r="D15" s="2160"/>
      <c r="E15" s="2160"/>
      <c r="F15" s="2160"/>
      <c r="G15" s="2160"/>
      <c r="H15" s="2160"/>
      <c r="I15" s="2160"/>
      <c r="J15" s="2160"/>
      <c r="K15" s="2160"/>
      <c r="L15" s="2160"/>
      <c r="M15" s="2160"/>
      <c r="N15" s="2160"/>
      <c r="O15" s="2160"/>
      <c r="P15" s="28"/>
    </row>
    <row r="16" spans="2:17" s="27" customFormat="1" x14ac:dyDescent="0.35">
      <c r="B16" s="65"/>
      <c r="C16" s="1655" t="s">
        <v>1828</v>
      </c>
      <c r="D16" s="2160"/>
      <c r="E16" s="2160"/>
      <c r="F16" s="2160"/>
      <c r="G16" s="2160"/>
      <c r="H16" s="2160"/>
      <c r="I16" s="2160"/>
      <c r="J16" s="2160"/>
      <c r="K16" s="2160"/>
      <c r="L16" s="2160"/>
      <c r="M16" s="2160"/>
      <c r="N16" s="2160"/>
      <c r="O16" s="2160"/>
      <c r="P16" s="28"/>
    </row>
    <row r="17" spans="2:16" s="27" customFormat="1" x14ac:dyDescent="0.35">
      <c r="B17" s="65"/>
      <c r="C17" s="1655"/>
      <c r="D17" s="2160"/>
      <c r="E17" s="2160"/>
      <c r="F17" s="2160"/>
      <c r="G17" s="2160"/>
      <c r="H17" s="2160"/>
      <c r="I17" s="2160"/>
      <c r="J17" s="2160"/>
      <c r="K17" s="2160"/>
      <c r="L17" s="2160"/>
      <c r="M17" s="2160"/>
      <c r="N17" s="2160"/>
      <c r="O17" s="2160"/>
      <c r="P17" s="28"/>
    </row>
    <row r="18" spans="2:16" s="27" customFormat="1" x14ac:dyDescent="0.35">
      <c r="B18" s="65"/>
      <c r="C18" s="1656" t="s">
        <v>163</v>
      </c>
      <c r="D18" s="2160"/>
      <c r="E18" s="2160"/>
      <c r="F18" s="2160"/>
      <c r="G18" s="2160"/>
      <c r="H18" s="2160"/>
      <c r="I18" s="2160"/>
      <c r="J18" s="2160"/>
      <c r="K18" s="2160"/>
      <c r="L18" s="2160"/>
      <c r="M18" s="2160"/>
      <c r="N18" s="2160"/>
      <c r="O18" s="2160"/>
      <c r="P18" s="28"/>
    </row>
    <row r="19" spans="2:16" s="27" customFormat="1" x14ac:dyDescent="0.35">
      <c r="B19" s="65"/>
      <c r="C19" s="1655" t="s">
        <v>1554</v>
      </c>
      <c r="D19" s="2160"/>
      <c r="E19" s="2160"/>
      <c r="F19" s="2160"/>
      <c r="G19" s="2160"/>
      <c r="H19" s="2160"/>
      <c r="I19" s="2160"/>
      <c r="J19" s="2160"/>
      <c r="K19" s="2160"/>
      <c r="L19" s="2160"/>
      <c r="M19" s="2160"/>
      <c r="N19" s="2160"/>
      <c r="O19" s="2160"/>
      <c r="P19" s="28"/>
    </row>
    <row r="20" spans="2:16" s="27" customFormat="1" x14ac:dyDescent="0.35">
      <c r="B20" s="65"/>
      <c r="C20" s="1655" t="s">
        <v>1829</v>
      </c>
      <c r="D20" s="2160"/>
      <c r="E20" s="2160"/>
      <c r="F20" s="2160"/>
      <c r="G20" s="2160"/>
      <c r="H20" s="2160"/>
      <c r="I20" s="2160"/>
      <c r="J20" s="2160"/>
      <c r="K20" s="2160"/>
      <c r="L20" s="2160"/>
      <c r="M20" s="2160"/>
      <c r="N20" s="2160"/>
      <c r="O20" s="2160"/>
      <c r="P20" s="28"/>
    </row>
    <row r="21" spans="2:16" s="27" customFormat="1" x14ac:dyDescent="0.35">
      <c r="B21" s="65"/>
      <c r="C21" s="1655" t="s">
        <v>1830</v>
      </c>
      <c r="D21" s="2160"/>
      <c r="E21" s="2160"/>
      <c r="F21" s="2160"/>
      <c r="G21" s="2160"/>
      <c r="H21" s="2160"/>
      <c r="I21" s="2160"/>
      <c r="J21" s="2160"/>
      <c r="K21" s="2160"/>
      <c r="L21" s="2160"/>
      <c r="M21" s="2160"/>
      <c r="N21" s="2160"/>
      <c r="O21" s="2160"/>
      <c r="P21" s="28"/>
    </row>
    <row r="22" spans="2:16" s="27" customFormat="1" x14ac:dyDescent="0.35">
      <c r="B22" s="65"/>
      <c r="C22" s="1655" t="s">
        <v>1831</v>
      </c>
      <c r="D22" s="2160"/>
      <c r="E22" s="2160"/>
      <c r="F22" s="2160"/>
      <c r="G22" s="2160"/>
      <c r="H22" s="2160"/>
      <c r="I22" s="2160"/>
      <c r="J22" s="2160"/>
      <c r="K22" s="2160"/>
      <c r="L22" s="2160"/>
      <c r="M22" s="2160"/>
      <c r="N22" s="2160"/>
      <c r="O22" s="2160"/>
      <c r="P22" s="28"/>
    </row>
    <row r="23" spans="2:16" s="27" customFormat="1" x14ac:dyDescent="0.35">
      <c r="B23" s="65"/>
      <c r="C23" s="428" t="s">
        <v>1832</v>
      </c>
      <c r="D23" s="2160"/>
      <c r="E23" s="2160"/>
      <c r="F23" s="2160"/>
      <c r="G23" s="2160"/>
      <c r="H23" s="2160"/>
      <c r="I23" s="2160"/>
      <c r="J23" s="2160"/>
      <c r="K23" s="2160"/>
      <c r="L23" s="2160"/>
      <c r="M23" s="2160"/>
      <c r="N23" s="2160"/>
      <c r="O23" s="2160"/>
      <c r="P23" s="28"/>
    </row>
    <row r="24" spans="2:16" s="27" customFormat="1" x14ac:dyDescent="0.35">
      <c r="B24" s="65"/>
      <c r="C24" s="428" t="s">
        <v>1833</v>
      </c>
      <c r="D24" s="2160"/>
      <c r="E24" s="2160"/>
      <c r="F24" s="2160"/>
      <c r="G24" s="2160"/>
      <c r="H24" s="2160"/>
      <c r="I24" s="2160"/>
      <c r="J24" s="2160"/>
      <c r="K24" s="2160"/>
      <c r="L24" s="2160"/>
      <c r="M24" s="2160"/>
      <c r="N24" s="2160"/>
      <c r="O24" s="2160"/>
      <c r="P24" s="28"/>
    </row>
    <row r="25" spans="2:16" s="27" customFormat="1" x14ac:dyDescent="0.35">
      <c r="B25" s="65"/>
      <c r="C25" s="425"/>
      <c r="D25" s="2160"/>
      <c r="E25" s="2160"/>
      <c r="F25" s="2160"/>
      <c r="G25" s="2160"/>
      <c r="H25" s="2160"/>
      <c r="I25" s="2160"/>
      <c r="J25" s="2160"/>
      <c r="K25" s="2160"/>
      <c r="L25" s="2160"/>
      <c r="M25" s="2160"/>
      <c r="N25" s="2160"/>
      <c r="O25" s="2160"/>
      <c r="P25" s="28"/>
    </row>
    <row r="26" spans="2:16" s="27" customFormat="1" x14ac:dyDescent="0.35">
      <c r="B26" s="65"/>
      <c r="C26" s="92" t="s">
        <v>164</v>
      </c>
      <c r="D26" s="2161"/>
      <c r="E26" s="2161"/>
      <c r="F26" s="2161"/>
      <c r="G26" s="2161"/>
      <c r="H26" s="2161"/>
      <c r="I26" s="2161"/>
      <c r="J26" s="2161"/>
      <c r="K26" s="2161"/>
      <c r="L26" s="2161"/>
      <c r="M26" s="2161"/>
      <c r="N26" s="2161"/>
      <c r="O26" s="2161"/>
      <c r="P26" s="28"/>
    </row>
    <row r="27" spans="2:16" x14ac:dyDescent="0.4">
      <c r="B27" s="8"/>
      <c r="H27" s="5"/>
      <c r="J27" s="4"/>
      <c r="K27" s="5"/>
      <c r="L27" s="5"/>
      <c r="M27" s="5"/>
      <c r="N27" s="5"/>
      <c r="O27" s="5"/>
      <c r="P27" s="5"/>
    </row>
    <row r="28" spans="2:16" x14ac:dyDescent="0.4">
      <c r="B28" s="8"/>
      <c r="D28" s="1657"/>
      <c r="E28" s="1657"/>
      <c r="F28" s="1657"/>
      <c r="G28" s="1657"/>
      <c r="H28" s="1675"/>
      <c r="I28" s="1657"/>
      <c r="J28" s="1676"/>
      <c r="K28" s="5"/>
      <c r="L28" s="5"/>
      <c r="M28" s="5"/>
      <c r="N28" s="5"/>
      <c r="O28" s="5"/>
      <c r="P28" s="5"/>
    </row>
    <row r="29" spans="2:16" x14ac:dyDescent="0.4">
      <c r="B29" s="6" t="s">
        <v>789</v>
      </c>
      <c r="C29" s="160"/>
      <c r="D29" s="38"/>
      <c r="E29" s="38"/>
      <c r="F29" s="38"/>
      <c r="G29" s="38"/>
    </row>
    <row r="30" spans="2:16" x14ac:dyDescent="0.4">
      <c r="O30" s="6" t="s">
        <v>754</v>
      </c>
    </row>
    <row r="31" spans="2:16" x14ac:dyDescent="0.4">
      <c r="B31" s="1991" t="s">
        <v>1</v>
      </c>
      <c r="C31" s="1991" t="s">
        <v>111</v>
      </c>
      <c r="D31" s="185"/>
      <c r="E31" s="185"/>
      <c r="F31" s="185"/>
      <c r="G31" s="185"/>
      <c r="H31" s="185"/>
      <c r="I31" s="122"/>
      <c r="J31" s="122"/>
      <c r="K31" s="2157" t="s">
        <v>115</v>
      </c>
      <c r="L31" s="2157"/>
      <c r="M31" s="2157"/>
      <c r="N31" s="2157"/>
      <c r="O31" s="2157"/>
      <c r="P31" s="2157" t="s">
        <v>116</v>
      </c>
    </row>
    <row r="32" spans="2:16" s="27" customFormat="1" x14ac:dyDescent="0.35">
      <c r="B32" s="2158"/>
      <c r="C32" s="2158"/>
      <c r="D32" s="427" t="s">
        <v>196</v>
      </c>
      <c r="E32" s="427" t="s">
        <v>197</v>
      </c>
      <c r="F32" s="427" t="s">
        <v>198</v>
      </c>
      <c r="G32" s="427" t="s">
        <v>199</v>
      </c>
      <c r="H32" s="122" t="s">
        <v>112</v>
      </c>
      <c r="I32" s="122" t="s">
        <v>113</v>
      </c>
      <c r="J32" s="122" t="s">
        <v>114</v>
      </c>
      <c r="K32" s="191" t="s">
        <v>123</v>
      </c>
      <c r="L32" s="191" t="s">
        <v>124</v>
      </c>
      <c r="M32" s="98" t="s">
        <v>125</v>
      </c>
      <c r="N32" s="98" t="s">
        <v>126</v>
      </c>
      <c r="O32" s="98" t="s">
        <v>127</v>
      </c>
      <c r="P32" s="2157"/>
    </row>
    <row r="33" spans="2:17" s="6" customFormat="1" x14ac:dyDescent="0.35">
      <c r="B33" s="2158"/>
      <c r="C33" s="2158"/>
      <c r="D33" s="122" t="s">
        <v>186</v>
      </c>
      <c r="E33" s="122" t="s">
        <v>186</v>
      </c>
      <c r="F33" s="122" t="s">
        <v>186</v>
      </c>
      <c r="G33" s="122" t="s">
        <v>186</v>
      </c>
      <c r="H33" s="122" t="s">
        <v>186</v>
      </c>
      <c r="I33" s="122" t="s">
        <v>186</v>
      </c>
      <c r="J33" s="122" t="s">
        <v>187</v>
      </c>
      <c r="K33" s="122" t="s">
        <v>788</v>
      </c>
      <c r="L33" s="122" t="s">
        <v>788</v>
      </c>
      <c r="M33" s="122" t="s">
        <v>788</v>
      </c>
      <c r="N33" s="122" t="s">
        <v>788</v>
      </c>
      <c r="O33" s="122" t="s">
        <v>788</v>
      </c>
      <c r="P33" s="2158"/>
      <c r="Q33" s="27"/>
    </row>
    <row r="34" spans="2:17" s="27" customFormat="1" x14ac:dyDescent="0.35">
      <c r="B34" s="65"/>
      <c r="C34" s="424"/>
      <c r="D34" s="65"/>
      <c r="E34" s="65"/>
      <c r="F34" s="65"/>
      <c r="G34" s="65"/>
      <c r="H34" s="154"/>
      <c r="I34" s="154"/>
      <c r="J34" s="154"/>
      <c r="K34" s="154"/>
      <c r="L34" s="154"/>
      <c r="M34" s="28"/>
      <c r="N34" s="28"/>
      <c r="O34" s="28"/>
      <c r="P34" s="28"/>
    </row>
    <row r="35" spans="2:17" s="6" customFormat="1" x14ac:dyDescent="0.35">
      <c r="B35" s="54"/>
      <c r="C35" s="1654" t="s">
        <v>161</v>
      </c>
      <c r="D35" s="78"/>
      <c r="E35" s="78"/>
      <c r="F35" s="78"/>
      <c r="H35" s="154"/>
      <c r="I35" s="154"/>
      <c r="J35" s="154"/>
      <c r="K35" s="154"/>
      <c r="L35" s="154"/>
      <c r="M35" s="3"/>
      <c r="N35" s="3"/>
      <c r="O35" s="3"/>
      <c r="P35" s="3"/>
    </row>
    <row r="36" spans="2:17" s="6" customFormat="1" x14ac:dyDescent="0.35">
      <c r="B36" s="54"/>
      <c r="C36" s="1655" t="s">
        <v>1552</v>
      </c>
      <c r="D36" s="1658">
        <f>+'F16'!AF12</f>
        <v>0</v>
      </c>
      <c r="E36" s="1658">
        <f>+'F16'!AF35</f>
        <v>0</v>
      </c>
      <c r="F36" s="2159">
        <f>+'F16'!AF59</f>
        <v>0</v>
      </c>
      <c r="G36" s="1658">
        <f>+'F16'!AF81</f>
        <v>0.99463155508741574</v>
      </c>
      <c r="H36" s="1678">
        <f>+'F16'!AF105</f>
        <v>0.9877036442992051</v>
      </c>
      <c r="I36" s="1678">
        <f>+'F16'!AF129</f>
        <v>0.7188717335121233</v>
      </c>
      <c r="J36" s="1678">
        <f>+'F16'!AF153</f>
        <v>1.1127467069972277</v>
      </c>
      <c r="K36" s="1680">
        <v>1</v>
      </c>
      <c r="L36" s="1680">
        <v>1</v>
      </c>
      <c r="M36" s="1680">
        <v>1</v>
      </c>
      <c r="N36" s="1680">
        <v>1</v>
      </c>
      <c r="O36" s="1680">
        <v>1</v>
      </c>
      <c r="P36" s="3"/>
    </row>
    <row r="37" spans="2:17" s="6" customFormat="1" x14ac:dyDescent="0.35">
      <c r="B37" s="54"/>
      <c r="C37" s="1655" t="s">
        <v>1827</v>
      </c>
      <c r="D37" s="1658">
        <f>+'F16'!AF13</f>
        <v>0.72581878376554931</v>
      </c>
      <c r="E37" s="1658">
        <f>+'F16'!AF36</f>
        <v>0.6678550451710219</v>
      </c>
      <c r="F37" s="2161"/>
      <c r="G37" s="1658">
        <f>+'F16'!AF82</f>
        <v>0.97281846771071478</v>
      </c>
      <c r="H37" s="1678">
        <f>+'F16'!AF106</f>
        <v>0.81671961534929138</v>
      </c>
      <c r="I37" s="1678">
        <f>+'F16'!AF130</f>
        <v>0.91919203430266649</v>
      </c>
      <c r="J37" s="1678">
        <f>+'F16'!AF154</f>
        <v>1.1629497232032964</v>
      </c>
      <c r="K37" s="1680">
        <v>1</v>
      </c>
      <c r="L37" s="1680">
        <v>1</v>
      </c>
      <c r="M37" s="1680">
        <v>1</v>
      </c>
      <c r="N37" s="1680">
        <v>1</v>
      </c>
      <c r="O37" s="1680">
        <v>1</v>
      </c>
      <c r="P37" s="3"/>
    </row>
    <row r="38" spans="2:17" s="6" customFormat="1" x14ac:dyDescent="0.35">
      <c r="B38" s="54"/>
      <c r="C38" s="1655" t="s">
        <v>1828</v>
      </c>
      <c r="D38" s="47"/>
      <c r="E38" s="47"/>
      <c r="F38" s="47"/>
      <c r="G38" s="47"/>
      <c r="H38" s="154"/>
      <c r="I38" s="154"/>
      <c r="J38" s="154"/>
      <c r="K38" s="154"/>
      <c r="L38" s="154"/>
      <c r="M38" s="3"/>
      <c r="N38" s="3"/>
      <c r="O38" s="3"/>
      <c r="P38" s="3"/>
    </row>
    <row r="39" spans="2:17" s="6" customFormat="1" x14ac:dyDescent="0.35">
      <c r="B39" s="54"/>
      <c r="C39" s="1655"/>
      <c r="D39" s="47"/>
      <c r="E39" s="47"/>
      <c r="F39" s="47"/>
      <c r="G39" s="47"/>
      <c r="H39" s="154"/>
      <c r="I39" s="154"/>
      <c r="J39" s="154"/>
      <c r="K39" s="154"/>
      <c r="L39" s="154"/>
      <c r="M39" s="3"/>
      <c r="N39" s="3"/>
      <c r="O39" s="3"/>
      <c r="P39" s="3"/>
    </row>
    <row r="40" spans="2:17" s="6" customFormat="1" x14ac:dyDescent="0.35">
      <c r="B40" s="54"/>
      <c r="C40" s="1656" t="s">
        <v>163</v>
      </c>
      <c r="D40" s="78"/>
      <c r="E40" s="78"/>
      <c r="F40" s="78"/>
      <c r="G40" s="78"/>
      <c r="H40" s="154"/>
      <c r="I40" s="154"/>
      <c r="J40" s="154"/>
      <c r="K40" s="154"/>
      <c r="L40" s="154"/>
      <c r="M40" s="3"/>
      <c r="N40" s="3"/>
      <c r="O40" s="3"/>
      <c r="P40" s="3"/>
    </row>
    <row r="41" spans="2:17" s="6" customFormat="1" x14ac:dyDescent="0.35">
      <c r="B41" s="54"/>
      <c r="C41" s="1655" t="s">
        <v>1554</v>
      </c>
      <c r="D41" s="1658">
        <f>+'F16'!AF18</f>
        <v>0.79798893776295998</v>
      </c>
      <c r="E41" s="1658">
        <f>+'F16'!AF41</f>
        <v>0.94049094422273805</v>
      </c>
      <c r="F41" s="1658">
        <f>+'F16'!AF64</f>
        <v>0</v>
      </c>
      <c r="G41" s="1658">
        <f>+'F16'!AF87</f>
        <v>0.97281302638709188</v>
      </c>
      <c r="H41" s="1678">
        <f>+'F16'!AF111</f>
        <v>0.99304156837318192</v>
      </c>
      <c r="I41" s="1678">
        <f>+'F16'!AF135</f>
        <v>0.98703685572296207</v>
      </c>
      <c r="J41" s="1678">
        <f>+'F16'!AF159</f>
        <v>0.99185364202726589</v>
      </c>
      <c r="K41" s="1680">
        <v>1</v>
      </c>
      <c r="L41" s="1680">
        <v>1</v>
      </c>
      <c r="M41" s="1680">
        <v>1</v>
      </c>
      <c r="N41" s="1680">
        <v>1</v>
      </c>
      <c r="O41" s="1680">
        <v>1</v>
      </c>
      <c r="P41" s="3"/>
    </row>
    <row r="42" spans="2:17" s="6" customFormat="1" x14ac:dyDescent="0.35">
      <c r="B42" s="54"/>
      <c r="C42" s="1655" t="s">
        <v>1829</v>
      </c>
      <c r="D42" s="1658">
        <f>+'F16'!AF19</f>
        <v>0</v>
      </c>
      <c r="E42" s="1658">
        <f>+'F16'!AF42</f>
        <v>0.32714465359374389</v>
      </c>
      <c r="F42" s="1658">
        <f>+'F16'!AF65</f>
        <v>0</v>
      </c>
      <c r="G42" s="1658">
        <f>+'F16'!AF88</f>
        <v>0.9958061246111789</v>
      </c>
      <c r="H42" s="1678">
        <f>+'F16'!AF112</f>
        <v>0.98955153655678973</v>
      </c>
      <c r="I42" s="1678">
        <f>+'F16'!AF136</f>
        <v>0.99548025876239155</v>
      </c>
      <c r="J42" s="1678">
        <f>+'F16'!AF160</f>
        <v>0.99296216433224482</v>
      </c>
      <c r="K42" s="1680">
        <v>1</v>
      </c>
      <c r="L42" s="1680">
        <v>1</v>
      </c>
      <c r="M42" s="1680">
        <v>1</v>
      </c>
      <c r="N42" s="1680">
        <v>1</v>
      </c>
      <c r="O42" s="1680">
        <v>1</v>
      </c>
      <c r="P42" s="3"/>
    </row>
    <row r="43" spans="2:17" s="6" customFormat="1" x14ac:dyDescent="0.35">
      <c r="B43" s="54"/>
      <c r="C43" s="1655" t="s">
        <v>1830</v>
      </c>
      <c r="D43" s="1658">
        <f>+'F16'!AF20</f>
        <v>0</v>
      </c>
      <c r="E43" s="1658">
        <f>+'F16'!AF43</f>
        <v>0</v>
      </c>
      <c r="F43" s="1658">
        <f>+'F16'!AF66</f>
        <v>0</v>
      </c>
      <c r="G43" s="1658">
        <f>+'F16'!AF89</f>
        <v>0.99431746111152142</v>
      </c>
      <c r="H43" s="1678">
        <f>+'F16'!AF113</f>
        <v>1.0234329883664055</v>
      </c>
      <c r="I43" s="1678">
        <f>+'F16'!AF137</f>
        <v>0.99239828295945343</v>
      </c>
      <c r="J43" s="1678">
        <f>+'F16'!AF161</f>
        <v>0.99305827759427345</v>
      </c>
      <c r="K43" s="1680">
        <v>1</v>
      </c>
      <c r="L43" s="1680">
        <v>1</v>
      </c>
      <c r="M43" s="1680">
        <v>1</v>
      </c>
      <c r="N43" s="1680">
        <v>1</v>
      </c>
      <c r="O43" s="1680">
        <v>1</v>
      </c>
      <c r="P43" s="3"/>
    </row>
    <row r="44" spans="2:17" s="6" customFormat="1" x14ac:dyDescent="0.35">
      <c r="B44" s="54"/>
      <c r="C44" s="1655" t="s">
        <v>1831</v>
      </c>
      <c r="D44" s="1658">
        <f>+'F16'!AF21</f>
        <v>1.0000073125510631</v>
      </c>
      <c r="E44" s="1658">
        <f>+'F16'!AF44</f>
        <v>0.92232146826499117</v>
      </c>
      <c r="F44" s="1658">
        <f>+'F16'!AF67</f>
        <v>0</v>
      </c>
      <c r="G44" s="1658">
        <f>+'F16'!AF90</f>
        <v>1.0000058577748994</v>
      </c>
      <c r="H44" s="1678">
        <f>+'F16'!AF114</f>
        <v>0.99999190334015953</v>
      </c>
      <c r="I44" s="1678">
        <f>+'F16'!AF138</f>
        <v>1.0000053927812234</v>
      </c>
      <c r="J44" s="1678">
        <f>+'F16'!AF162</f>
        <v>1.0000030940235285</v>
      </c>
      <c r="K44" s="1680">
        <v>1</v>
      </c>
      <c r="L44" s="1680">
        <v>1</v>
      </c>
      <c r="M44" s="1680">
        <v>1</v>
      </c>
      <c r="N44" s="1680">
        <v>1</v>
      </c>
      <c r="O44" s="1680">
        <v>1</v>
      </c>
      <c r="P44" s="3"/>
    </row>
    <row r="45" spans="2:17" x14ac:dyDescent="0.4">
      <c r="B45" s="149"/>
      <c r="C45" s="428" t="s">
        <v>1832</v>
      </c>
      <c r="D45" s="1658">
        <f>+'F16'!AF22</f>
        <v>0</v>
      </c>
      <c r="E45" s="1658">
        <f>+'F16'!AF45</f>
        <v>0.94550941196238925</v>
      </c>
      <c r="F45" s="1658">
        <f>+'F16'!AF68</f>
        <v>0</v>
      </c>
      <c r="G45" s="1658">
        <f>+'F16'!AF91</f>
        <v>0.97469895383281036</v>
      </c>
      <c r="H45" s="1678">
        <f>+'F16'!AF115</f>
        <v>0</v>
      </c>
      <c r="I45" s="1678">
        <f>+'F16'!AF139</f>
        <v>0</v>
      </c>
      <c r="J45" s="1678">
        <f>+'F16'!AF163</f>
        <v>0</v>
      </c>
      <c r="K45" s="1680">
        <v>1</v>
      </c>
      <c r="L45" s="1680">
        <v>1</v>
      </c>
      <c r="M45" s="1680">
        <v>1</v>
      </c>
      <c r="N45" s="1680">
        <v>1</v>
      </c>
      <c r="O45" s="1680">
        <v>1</v>
      </c>
      <c r="P45" s="2"/>
    </row>
    <row r="46" spans="2:17" x14ac:dyDescent="0.4">
      <c r="B46" s="43"/>
      <c r="C46" s="428" t="s">
        <v>1833</v>
      </c>
      <c r="D46" s="28"/>
      <c r="E46" s="28"/>
      <c r="F46" s="28"/>
      <c r="G46" s="1658">
        <f>+'F16'!AF92</f>
        <v>0.99945003236057128</v>
      </c>
      <c r="H46" s="1678">
        <f>+'F16'!AF116</f>
        <v>0.21395191712178369</v>
      </c>
      <c r="I46" s="1678">
        <f>+'F16'!AF140</f>
        <v>0.99946361983508414</v>
      </c>
      <c r="J46" s="1678">
        <f>+'F16'!AF164</f>
        <v>1.0064719096831456</v>
      </c>
      <c r="K46" s="1680">
        <v>1</v>
      </c>
      <c r="L46" s="1680">
        <v>1</v>
      </c>
      <c r="M46" s="1680">
        <v>1</v>
      </c>
      <c r="N46" s="1680">
        <v>1</v>
      </c>
      <c r="O46" s="1680">
        <v>1</v>
      </c>
      <c r="P46" s="2"/>
    </row>
    <row r="47" spans="2:17" x14ac:dyDescent="0.4">
      <c r="B47" s="2"/>
      <c r="C47" s="275"/>
      <c r="D47" s="2"/>
      <c r="E47" s="2"/>
      <c r="F47" s="2"/>
      <c r="H47" s="2"/>
      <c r="I47" s="2"/>
      <c r="J47" s="2"/>
      <c r="K47" s="2"/>
      <c r="L47" s="2"/>
      <c r="M47" s="2"/>
      <c r="N47" s="2"/>
      <c r="O47" s="2"/>
      <c r="P47" s="2"/>
    </row>
    <row r="48" spans="2:17" x14ac:dyDescent="0.4">
      <c r="B48" s="2"/>
      <c r="C48" s="92" t="s">
        <v>164</v>
      </c>
      <c r="D48" s="1659">
        <f>+'F16'!AF24</f>
        <v>0.73627350852880435</v>
      </c>
      <c r="E48" s="1659">
        <f>+'F16'!AF47</f>
        <v>0.71204051353984232</v>
      </c>
      <c r="F48" s="1659" t="e">
        <f>+'F16'!AF70</f>
        <v>#DIV/0!</v>
      </c>
      <c r="G48" s="1677">
        <f>+'F16'!AF94</f>
        <v>0.98789010419710921</v>
      </c>
      <c r="H48" s="1679">
        <f>+'F16'!AF118</f>
        <v>0.98341302939944886</v>
      </c>
      <c r="I48" s="1679">
        <f>+'F16'!AF142</f>
        <v>0.77742005505126377</v>
      </c>
      <c r="J48" s="1679">
        <f>+'F16'!AF166</f>
        <v>1.098926685643137</v>
      </c>
      <c r="K48" s="1681">
        <v>1</v>
      </c>
      <c r="L48" s="1681">
        <v>1</v>
      </c>
      <c r="M48" s="1681">
        <v>1</v>
      </c>
      <c r="N48" s="1681">
        <v>1</v>
      </c>
      <c r="O48" s="1681">
        <v>1</v>
      </c>
      <c r="P48" s="2"/>
    </row>
    <row r="50" spans="6:10" x14ac:dyDescent="0.4">
      <c r="F50" s="1657"/>
      <c r="G50" s="1657"/>
      <c r="H50" s="1657"/>
      <c r="I50" s="1657"/>
      <c r="J50" s="1657"/>
    </row>
  </sheetData>
  <mergeCells count="25">
    <mergeCell ref="M13:M26"/>
    <mergeCell ref="N13:N26"/>
    <mergeCell ref="O13:O26"/>
    <mergeCell ref="F36:F37"/>
    <mergeCell ref="H13:H26"/>
    <mergeCell ref="I13:I26"/>
    <mergeCell ref="J13:J26"/>
    <mergeCell ref="K13:K26"/>
    <mergeCell ref="L13:L26"/>
    <mergeCell ref="B3:P3"/>
    <mergeCell ref="B1:P1"/>
    <mergeCell ref="B2:P2"/>
    <mergeCell ref="B4:P4"/>
    <mergeCell ref="P31:P33"/>
    <mergeCell ref="B31:B33"/>
    <mergeCell ref="C31:C33"/>
    <mergeCell ref="K31:O31"/>
    <mergeCell ref="B9:B11"/>
    <mergeCell ref="C9:C11"/>
    <mergeCell ref="K9:O9"/>
    <mergeCell ref="P9:P11"/>
    <mergeCell ref="D13:D26"/>
    <mergeCell ref="E13:E26"/>
    <mergeCell ref="F13:F26"/>
    <mergeCell ref="G13:G26"/>
  </mergeCells>
  <pageMargins left="1.0236220472440944" right="0.23622047244094491" top="0.98425196850393704" bottom="0.98425196850393704" header="0.23622047244094491" footer="0.23622047244094491"/>
  <pageSetup paperSize="9" scale="57" orientation="landscape" r:id="rId1"/>
  <headerFooter alignWithMargins="0">
    <oddHeader>&amp;F</oddHead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3:V335"/>
  <sheetViews>
    <sheetView showGridLines="0" view="pageBreakPreview" topLeftCell="A275" zoomScale="70" zoomScaleNormal="80" zoomScaleSheetLayoutView="70" workbookViewId="0">
      <selection activeCell="H276" sqref="H276"/>
    </sheetView>
  </sheetViews>
  <sheetFormatPr defaultColWidth="9.33203125" defaultRowHeight="13.9" x14ac:dyDescent="0.4"/>
  <cols>
    <col min="1" max="1" width="3.33203125" style="1" customWidth="1"/>
    <col min="2" max="2" width="54.6640625" style="51" bestFit="1" customWidth="1"/>
    <col min="3" max="3" width="19.6640625" style="1" customWidth="1"/>
    <col min="4" max="4" width="13.53125" style="1" customWidth="1"/>
    <col min="5" max="5" width="21.33203125" style="1" bestFit="1" customWidth="1"/>
    <col min="6" max="7" width="21.33203125" style="1" customWidth="1"/>
    <col min="8" max="10" width="18.6640625" style="1" customWidth="1"/>
    <col min="11" max="11" width="35.6640625" style="1" customWidth="1"/>
    <col min="12" max="12" width="18.6640625" style="1" customWidth="1"/>
    <col min="13" max="13" width="34.53125" style="1" customWidth="1"/>
    <col min="14" max="14" width="18.6640625" style="1" customWidth="1"/>
    <col min="15" max="15" width="17.53125" style="1" customWidth="1"/>
    <col min="16" max="16" width="14.6640625" style="1" customWidth="1"/>
    <col min="17" max="17" width="15.53125" style="1" customWidth="1"/>
    <col min="18" max="18" width="15.33203125" style="1" customWidth="1"/>
    <col min="19" max="16384" width="9.33203125" style="1"/>
  </cols>
  <sheetData>
    <row r="3" spans="2:22" x14ac:dyDescent="0.4">
      <c r="C3" s="144"/>
      <c r="D3" s="144"/>
      <c r="E3" s="120" t="s">
        <v>106</v>
      </c>
      <c r="F3" s="120"/>
      <c r="G3" s="120"/>
      <c r="H3" s="144"/>
      <c r="I3" s="144"/>
      <c r="J3" s="144"/>
      <c r="K3" s="144"/>
      <c r="L3" s="144"/>
      <c r="M3" s="144"/>
      <c r="N3" s="144"/>
    </row>
    <row r="4" spans="2:22" x14ac:dyDescent="0.4">
      <c r="C4" s="144"/>
      <c r="D4" s="144"/>
      <c r="E4" s="53" t="s">
        <v>340</v>
      </c>
      <c r="F4" s="53"/>
      <c r="G4" s="53"/>
      <c r="H4" s="144"/>
      <c r="I4" s="144"/>
      <c r="J4" s="144"/>
      <c r="K4" s="144"/>
      <c r="L4" s="144"/>
      <c r="M4" s="144"/>
      <c r="N4" s="144"/>
    </row>
    <row r="5" spans="2:22" x14ac:dyDescent="0.4">
      <c r="C5" s="144"/>
      <c r="D5" s="144"/>
      <c r="E5" s="53" t="s">
        <v>790</v>
      </c>
      <c r="F5" s="53"/>
      <c r="G5" s="53"/>
      <c r="H5" s="144"/>
      <c r="I5" s="144"/>
      <c r="J5" s="144"/>
      <c r="K5" s="144"/>
      <c r="L5" s="144"/>
      <c r="M5" s="144"/>
      <c r="N5" s="144"/>
    </row>
    <row r="6" spans="2:22" x14ac:dyDescent="0.4">
      <c r="B6" s="84"/>
      <c r="C6" s="7"/>
      <c r="D6" s="5"/>
      <c r="E6" s="5"/>
      <c r="F6" s="5"/>
      <c r="G6" s="5"/>
      <c r="H6" s="5"/>
      <c r="I6" s="5"/>
    </row>
    <row r="7" spans="2:22" s="376" customFormat="1" ht="12.75" x14ac:dyDescent="0.35">
      <c r="B7" s="430" t="s">
        <v>1113</v>
      </c>
      <c r="C7" s="377"/>
      <c r="D7" s="377"/>
      <c r="E7" s="377"/>
      <c r="F7" s="377"/>
      <c r="G7" s="377"/>
      <c r="H7" s="377"/>
    </row>
    <row r="8" spans="2:22" s="376" customFormat="1" ht="12.75" x14ac:dyDescent="0.35">
      <c r="B8" s="430"/>
      <c r="C8" s="377"/>
      <c r="D8" s="377"/>
      <c r="E8" s="377"/>
      <c r="F8" s="377"/>
      <c r="G8" s="377"/>
      <c r="H8" s="377"/>
    </row>
    <row r="9" spans="2:22" s="376" customFormat="1" ht="12.75" x14ac:dyDescent="0.35">
      <c r="B9" s="430" t="s">
        <v>791</v>
      </c>
      <c r="C9" s="377"/>
      <c r="D9" s="377"/>
      <c r="E9" s="377"/>
      <c r="F9" s="377"/>
      <c r="G9" s="377"/>
      <c r="H9" s="377"/>
    </row>
    <row r="10" spans="2:22" s="376" customFormat="1" ht="12.75" x14ac:dyDescent="0.35">
      <c r="B10" s="430"/>
      <c r="C10" s="377"/>
      <c r="D10" s="431"/>
      <c r="E10" s="377"/>
      <c r="F10" s="377"/>
      <c r="G10" s="377"/>
      <c r="H10" s="377"/>
    </row>
    <row r="11" spans="2:22" s="376" customFormat="1" ht="12.75" x14ac:dyDescent="0.35">
      <c r="B11" s="2118" t="s">
        <v>111</v>
      </c>
      <c r="C11" s="2121" t="s">
        <v>792</v>
      </c>
      <c r="D11" s="2122"/>
      <c r="E11" s="2123"/>
      <c r="F11" s="2121" t="s">
        <v>793</v>
      </c>
      <c r="G11" s="2122"/>
      <c r="H11" s="2123"/>
      <c r="I11" s="2127" t="s">
        <v>794</v>
      </c>
      <c r="J11" s="2127" t="s">
        <v>795</v>
      </c>
    </row>
    <row r="12" spans="2:22" s="376" customFormat="1" ht="25.5" x14ac:dyDescent="0.35">
      <c r="B12" s="2120"/>
      <c r="C12" s="433" t="s">
        <v>796</v>
      </c>
      <c r="D12" s="433" t="s">
        <v>797</v>
      </c>
      <c r="E12" s="433" t="s">
        <v>798</v>
      </c>
      <c r="F12" s="433" t="s">
        <v>796</v>
      </c>
      <c r="G12" s="433" t="s">
        <v>797</v>
      </c>
      <c r="H12" s="432" t="s">
        <v>799</v>
      </c>
      <c r="I12" s="2127"/>
      <c r="J12" s="2127"/>
    </row>
    <row r="13" spans="2:22" s="436" customFormat="1" ht="12.75" x14ac:dyDescent="0.35">
      <c r="B13" s="434" t="s">
        <v>1117</v>
      </c>
      <c r="C13" s="382"/>
      <c r="D13" s="382"/>
      <c r="E13" s="382"/>
      <c r="F13" s="382"/>
      <c r="G13" s="382"/>
      <c r="H13" s="382"/>
      <c r="I13" s="435"/>
      <c r="J13" s="435"/>
      <c r="K13" s="376"/>
      <c r="L13" s="376"/>
      <c r="M13" s="376"/>
      <c r="N13" s="376"/>
      <c r="O13" s="376"/>
      <c r="P13" s="376"/>
      <c r="Q13" s="376"/>
      <c r="R13" s="376"/>
      <c r="S13" s="376"/>
      <c r="T13" s="376"/>
      <c r="U13" s="376"/>
      <c r="V13" s="376"/>
    </row>
    <row r="14" spans="2:22" s="376" customFormat="1" ht="12.75" x14ac:dyDescent="0.35">
      <c r="B14" s="437" t="s">
        <v>1118</v>
      </c>
      <c r="C14" s="438">
        <v>43407</v>
      </c>
      <c r="D14" s="439">
        <v>0.12148680000000001</v>
      </c>
      <c r="E14" s="440">
        <f t="shared" ref="E14:E20" si="0">C14+30</f>
        <v>43437</v>
      </c>
      <c r="F14" s="440">
        <v>43409</v>
      </c>
      <c r="G14" s="439">
        <f>D14</f>
        <v>0.12148680000000001</v>
      </c>
      <c r="H14" s="441">
        <f>G14/D14</f>
        <v>1</v>
      </c>
      <c r="I14" s="437"/>
      <c r="J14" s="439">
        <f>D14-G14</f>
        <v>0</v>
      </c>
    </row>
    <row r="15" spans="2:22" s="376" customFormat="1" ht="12.75" x14ac:dyDescent="0.35">
      <c r="B15" s="437" t="s">
        <v>1118</v>
      </c>
      <c r="C15" s="438">
        <v>43438</v>
      </c>
      <c r="D15" s="439">
        <v>2.2228999999999999E-3</v>
      </c>
      <c r="E15" s="440">
        <f t="shared" si="0"/>
        <v>43468</v>
      </c>
      <c r="F15" s="440">
        <v>43445</v>
      </c>
      <c r="G15" s="439">
        <f t="shared" ref="G15:G20" si="1">D15</f>
        <v>2.2228999999999999E-3</v>
      </c>
      <c r="H15" s="441">
        <f t="shared" ref="H15:H20" si="2">G15/D15</f>
        <v>1</v>
      </c>
      <c r="I15" s="437"/>
      <c r="J15" s="439">
        <f t="shared" ref="J15:J20" si="3">D15-G15</f>
        <v>0</v>
      </c>
    </row>
    <row r="16" spans="2:22" s="376" customFormat="1" ht="12.75" x14ac:dyDescent="0.35">
      <c r="B16" s="437" t="s">
        <v>1118</v>
      </c>
      <c r="C16" s="438">
        <v>43438</v>
      </c>
      <c r="D16" s="439">
        <v>0.1206531</v>
      </c>
      <c r="E16" s="440">
        <f t="shared" si="0"/>
        <v>43468</v>
      </c>
      <c r="F16" s="440">
        <v>43445</v>
      </c>
      <c r="G16" s="439">
        <f t="shared" si="1"/>
        <v>0.1206531</v>
      </c>
      <c r="H16" s="441">
        <f t="shared" si="2"/>
        <v>1</v>
      </c>
      <c r="I16" s="437"/>
      <c r="J16" s="439">
        <f t="shared" si="3"/>
        <v>0</v>
      </c>
    </row>
    <row r="17" spans="2:10" s="376" customFormat="1" ht="12.75" x14ac:dyDescent="0.35">
      <c r="B17" s="437" t="s">
        <v>1118</v>
      </c>
      <c r="C17" s="438">
        <v>43103</v>
      </c>
      <c r="D17" s="439">
        <v>0.12839300000000001</v>
      </c>
      <c r="E17" s="440">
        <f t="shared" si="0"/>
        <v>43133</v>
      </c>
      <c r="F17" s="440">
        <v>43473</v>
      </c>
      <c r="G17" s="439">
        <f t="shared" si="1"/>
        <v>0.12839300000000001</v>
      </c>
      <c r="H17" s="441">
        <f t="shared" si="2"/>
        <v>1</v>
      </c>
      <c r="I17" s="437"/>
      <c r="J17" s="439">
        <f t="shared" si="3"/>
        <v>0</v>
      </c>
    </row>
    <row r="18" spans="2:10" s="376" customFormat="1" ht="12.75" x14ac:dyDescent="0.35">
      <c r="B18" s="437" t="s">
        <v>1118</v>
      </c>
      <c r="C18" s="438">
        <v>43498</v>
      </c>
      <c r="D18" s="439">
        <v>0.1228157</v>
      </c>
      <c r="E18" s="440">
        <f t="shared" si="0"/>
        <v>43528</v>
      </c>
      <c r="F18" s="440">
        <v>43504</v>
      </c>
      <c r="G18" s="439">
        <f t="shared" si="1"/>
        <v>0.1228157</v>
      </c>
      <c r="H18" s="441">
        <f t="shared" si="2"/>
        <v>1</v>
      </c>
      <c r="I18" s="437"/>
      <c r="J18" s="439">
        <f t="shared" si="3"/>
        <v>0</v>
      </c>
    </row>
    <row r="19" spans="2:10" s="376" customFormat="1" ht="12.75" x14ac:dyDescent="0.35">
      <c r="B19" s="437" t="s">
        <v>1118</v>
      </c>
      <c r="C19" s="438">
        <v>43526</v>
      </c>
      <c r="D19" s="439">
        <v>0.1154453</v>
      </c>
      <c r="E19" s="440">
        <f t="shared" si="0"/>
        <v>43556</v>
      </c>
      <c r="F19" s="440">
        <v>43530</v>
      </c>
      <c r="G19" s="439">
        <f t="shared" si="1"/>
        <v>0.1154453</v>
      </c>
      <c r="H19" s="441">
        <f t="shared" si="2"/>
        <v>1</v>
      </c>
      <c r="I19" s="437"/>
      <c r="J19" s="439">
        <f t="shared" si="3"/>
        <v>0</v>
      </c>
    </row>
    <row r="20" spans="2:10" s="376" customFormat="1" ht="12.75" x14ac:dyDescent="0.35">
      <c r="B20" s="437" t="s">
        <v>1118</v>
      </c>
      <c r="C20" s="438">
        <v>43557</v>
      </c>
      <c r="D20" s="439">
        <v>0.1246462</v>
      </c>
      <c r="E20" s="440">
        <f t="shared" si="0"/>
        <v>43587</v>
      </c>
      <c r="F20" s="440">
        <v>43564</v>
      </c>
      <c r="G20" s="439">
        <f t="shared" si="1"/>
        <v>0.1246462</v>
      </c>
      <c r="H20" s="441">
        <f t="shared" si="2"/>
        <v>1</v>
      </c>
      <c r="I20" s="437"/>
      <c r="J20" s="439">
        <f t="shared" si="3"/>
        <v>0</v>
      </c>
    </row>
    <row r="21" spans="2:10" s="376" customFormat="1" ht="12.75" x14ac:dyDescent="0.35">
      <c r="B21" s="437"/>
      <c r="C21" s="438"/>
      <c r="D21" s="442"/>
      <c r="E21" s="443"/>
      <c r="F21" s="440"/>
      <c r="G21" s="439"/>
      <c r="H21" s="441"/>
      <c r="I21" s="437"/>
      <c r="J21" s="439"/>
    </row>
    <row r="22" spans="2:10" s="376" customFormat="1" ht="12.75" x14ac:dyDescent="0.35">
      <c r="B22" s="444" t="s">
        <v>1119</v>
      </c>
      <c r="C22" s="438"/>
      <c r="D22" s="439"/>
      <c r="E22" s="440"/>
      <c r="F22" s="440"/>
      <c r="G22" s="439"/>
      <c r="H22" s="441"/>
      <c r="I22" s="437"/>
      <c r="J22" s="439"/>
    </row>
    <row r="23" spans="2:10" s="376" customFormat="1" ht="12.75" x14ac:dyDescent="0.35">
      <c r="B23" s="437" t="s">
        <v>1120</v>
      </c>
      <c r="C23" s="438">
        <v>43374</v>
      </c>
      <c r="D23" s="439">
        <v>0.13</v>
      </c>
      <c r="E23" s="440">
        <f>EDATE(C23,1)-1</f>
        <v>43404</v>
      </c>
      <c r="F23" s="440">
        <v>43402</v>
      </c>
      <c r="G23" s="439">
        <f>D23</f>
        <v>0.13</v>
      </c>
      <c r="H23" s="441">
        <f t="shared" ref="H23:H29" si="4">G23/D23</f>
        <v>1</v>
      </c>
      <c r="I23" s="437"/>
      <c r="J23" s="439">
        <f t="shared" ref="J23:J29" si="5">D23-G23</f>
        <v>0</v>
      </c>
    </row>
    <row r="24" spans="2:10" s="376" customFormat="1" ht="12.75" x14ac:dyDescent="0.35">
      <c r="B24" s="437" t="s">
        <v>1120</v>
      </c>
      <c r="C24" s="438">
        <v>43405</v>
      </c>
      <c r="D24" s="439">
        <v>0.13</v>
      </c>
      <c r="E24" s="440">
        <f t="shared" ref="E24:E29" si="6">EDATE(C24,1)-1</f>
        <v>43434</v>
      </c>
      <c r="F24" s="440">
        <v>43433</v>
      </c>
      <c r="G24" s="439">
        <f t="shared" ref="G24:G29" si="7">D24</f>
        <v>0.13</v>
      </c>
      <c r="H24" s="441">
        <f t="shared" si="4"/>
        <v>1</v>
      </c>
      <c r="I24" s="437"/>
      <c r="J24" s="439">
        <f t="shared" si="5"/>
        <v>0</v>
      </c>
    </row>
    <row r="25" spans="2:10" s="376" customFormat="1" ht="12.75" x14ac:dyDescent="0.35">
      <c r="B25" s="437" t="s">
        <v>1120</v>
      </c>
      <c r="C25" s="438">
        <v>43435</v>
      </c>
      <c r="D25" s="439">
        <v>0.13</v>
      </c>
      <c r="E25" s="440">
        <f t="shared" si="6"/>
        <v>43465</v>
      </c>
      <c r="F25" s="440">
        <v>43461</v>
      </c>
      <c r="G25" s="439">
        <f t="shared" si="7"/>
        <v>0.13</v>
      </c>
      <c r="H25" s="441">
        <f t="shared" si="4"/>
        <v>1</v>
      </c>
      <c r="I25" s="437"/>
      <c r="J25" s="439">
        <f t="shared" si="5"/>
        <v>0</v>
      </c>
    </row>
    <row r="26" spans="2:10" s="376" customFormat="1" ht="12.75" x14ac:dyDescent="0.35">
      <c r="B26" s="437" t="s">
        <v>1120</v>
      </c>
      <c r="C26" s="438">
        <v>43466</v>
      </c>
      <c r="D26" s="439">
        <v>0.13</v>
      </c>
      <c r="E26" s="440">
        <f t="shared" si="6"/>
        <v>43496</v>
      </c>
      <c r="F26" s="440">
        <v>43489</v>
      </c>
      <c r="G26" s="439">
        <f t="shared" si="7"/>
        <v>0.13</v>
      </c>
      <c r="H26" s="441">
        <f t="shared" si="4"/>
        <v>1</v>
      </c>
      <c r="I26" s="437"/>
      <c r="J26" s="439">
        <f t="shared" si="5"/>
        <v>0</v>
      </c>
    </row>
    <row r="27" spans="2:10" s="376" customFormat="1" ht="12.75" x14ac:dyDescent="0.35">
      <c r="B27" s="437" t="s">
        <v>1120</v>
      </c>
      <c r="C27" s="438">
        <v>43497</v>
      </c>
      <c r="D27" s="439">
        <v>0.13</v>
      </c>
      <c r="E27" s="440">
        <f t="shared" si="6"/>
        <v>43524</v>
      </c>
      <c r="F27" s="440">
        <v>43516</v>
      </c>
      <c r="G27" s="439">
        <f t="shared" si="7"/>
        <v>0.13</v>
      </c>
      <c r="H27" s="441">
        <f t="shared" si="4"/>
        <v>1</v>
      </c>
      <c r="I27" s="437"/>
      <c r="J27" s="439">
        <f t="shared" si="5"/>
        <v>0</v>
      </c>
    </row>
    <row r="28" spans="2:10" s="376" customFormat="1" ht="12.75" x14ac:dyDescent="0.35">
      <c r="B28" s="437" t="s">
        <v>1120</v>
      </c>
      <c r="C28" s="438">
        <v>43525</v>
      </c>
      <c r="D28" s="439">
        <v>0.13</v>
      </c>
      <c r="E28" s="440">
        <f t="shared" si="6"/>
        <v>43555</v>
      </c>
      <c r="F28" s="440">
        <v>43546</v>
      </c>
      <c r="G28" s="439">
        <f t="shared" si="7"/>
        <v>0.13</v>
      </c>
      <c r="H28" s="441">
        <f t="shared" si="4"/>
        <v>1</v>
      </c>
      <c r="I28" s="437"/>
      <c r="J28" s="439">
        <f t="shared" si="5"/>
        <v>0</v>
      </c>
    </row>
    <row r="29" spans="2:10" s="376" customFormat="1" ht="12.75" x14ac:dyDescent="0.35">
      <c r="B29" s="437" t="s">
        <v>1120</v>
      </c>
      <c r="C29" s="438">
        <v>43556</v>
      </c>
      <c r="D29" s="439">
        <v>0.13</v>
      </c>
      <c r="E29" s="440">
        <f t="shared" si="6"/>
        <v>43585</v>
      </c>
      <c r="F29" s="440">
        <v>43585</v>
      </c>
      <c r="G29" s="439">
        <f t="shared" si="7"/>
        <v>0.13</v>
      </c>
      <c r="H29" s="441">
        <f t="shared" si="4"/>
        <v>1</v>
      </c>
      <c r="I29" s="437"/>
      <c r="J29" s="439">
        <f t="shared" si="5"/>
        <v>0</v>
      </c>
    </row>
    <row r="30" spans="2:10" s="376" customFormat="1" ht="12.75" x14ac:dyDescent="0.35">
      <c r="B30" s="437"/>
      <c r="C30" s="445"/>
      <c r="D30" s="439"/>
      <c r="E30" s="440"/>
      <c r="F30" s="440"/>
      <c r="G30" s="439"/>
      <c r="H30" s="441"/>
      <c r="I30" s="437"/>
      <c r="J30" s="439"/>
    </row>
    <row r="31" spans="2:10" s="446" customFormat="1" ht="12.75" x14ac:dyDescent="0.35">
      <c r="B31" s="437"/>
      <c r="C31" s="445"/>
      <c r="D31" s="439"/>
      <c r="E31" s="440"/>
      <c r="F31" s="440"/>
      <c r="G31" s="439"/>
      <c r="H31" s="441"/>
      <c r="I31" s="437"/>
      <c r="J31" s="439"/>
    </row>
    <row r="32" spans="2:10" s="436" customFormat="1" ht="12.75" x14ac:dyDescent="0.35">
      <c r="B32" s="419" t="s">
        <v>164</v>
      </c>
      <c r="C32" s="447"/>
      <c r="D32" s="448">
        <f>SUM(D14:D31)</f>
        <v>1.6456629999999994</v>
      </c>
      <c r="E32" s="449"/>
      <c r="F32" s="449"/>
      <c r="G32" s="448">
        <f>SUM(G14:G31)</f>
        <v>1.6456629999999994</v>
      </c>
      <c r="H32" s="449"/>
      <c r="I32" s="449"/>
      <c r="J32" s="448">
        <f>SUM(J14:J31)</f>
        <v>0</v>
      </c>
    </row>
    <row r="33" spans="2:22" s="376" customFormat="1" ht="12.75" x14ac:dyDescent="0.35">
      <c r="B33" s="436"/>
      <c r="C33" s="377"/>
      <c r="D33" s="450"/>
      <c r="E33" s="377"/>
      <c r="F33" s="377"/>
      <c r="G33" s="377"/>
      <c r="H33" s="377"/>
    </row>
    <row r="34" spans="2:22" s="376" customFormat="1" ht="12.75" x14ac:dyDescent="0.35">
      <c r="B34" s="430" t="s">
        <v>1114</v>
      </c>
      <c r="C34" s="377"/>
      <c r="D34" s="377"/>
      <c r="E34" s="377"/>
      <c r="F34" s="377"/>
      <c r="G34" s="377"/>
      <c r="H34" s="377"/>
    </row>
    <row r="35" spans="2:22" s="376" customFormat="1" ht="12.75" x14ac:dyDescent="0.35">
      <c r="B35" s="430"/>
      <c r="C35" s="377"/>
      <c r="D35" s="377"/>
      <c r="E35" s="377"/>
      <c r="F35" s="377"/>
      <c r="G35" s="377"/>
      <c r="H35" s="377"/>
    </row>
    <row r="36" spans="2:22" s="376" customFormat="1" ht="12.75" x14ac:dyDescent="0.35">
      <c r="B36" s="430" t="s">
        <v>812</v>
      </c>
      <c r="C36" s="377"/>
      <c r="D36" s="377"/>
      <c r="E36" s="377"/>
      <c r="F36" s="377"/>
      <c r="G36" s="377"/>
      <c r="H36" s="377"/>
    </row>
    <row r="37" spans="2:22" s="376" customFormat="1" ht="12.75" x14ac:dyDescent="0.35">
      <c r="B37" s="430"/>
      <c r="C37" s="377"/>
      <c r="D37" s="377"/>
      <c r="E37" s="377"/>
      <c r="F37" s="377"/>
      <c r="G37" s="377"/>
      <c r="H37" s="377"/>
    </row>
    <row r="38" spans="2:22" s="376" customFormat="1" ht="12.75" x14ac:dyDescent="0.35">
      <c r="B38" s="2118" t="s">
        <v>111</v>
      </c>
      <c r="C38" s="2121" t="s">
        <v>792</v>
      </c>
      <c r="D38" s="2122"/>
      <c r="E38" s="2123"/>
      <c r="F38" s="2121" t="s">
        <v>793</v>
      </c>
      <c r="G38" s="2122"/>
      <c r="H38" s="2123"/>
      <c r="I38" s="2128" t="s">
        <v>794</v>
      </c>
      <c r="J38" s="2128" t="s">
        <v>795</v>
      </c>
    </row>
    <row r="39" spans="2:22" s="376" customFormat="1" ht="25.5" x14ac:dyDescent="0.35">
      <c r="B39" s="2120"/>
      <c r="C39" s="433" t="s">
        <v>796</v>
      </c>
      <c r="D39" s="433" t="s">
        <v>797</v>
      </c>
      <c r="E39" s="433" t="s">
        <v>798</v>
      </c>
      <c r="F39" s="433" t="s">
        <v>796</v>
      </c>
      <c r="G39" s="433" t="s">
        <v>797</v>
      </c>
      <c r="H39" s="432" t="s">
        <v>799</v>
      </c>
      <c r="I39" s="2129"/>
      <c r="J39" s="2129"/>
    </row>
    <row r="40" spans="2:22" s="436" customFormat="1" ht="12.75" x14ac:dyDescent="0.35">
      <c r="B40" s="434" t="s">
        <v>1117</v>
      </c>
      <c r="C40" s="382"/>
      <c r="D40" s="382"/>
      <c r="E40" s="382"/>
      <c r="F40" s="382"/>
      <c r="G40" s="382"/>
      <c r="H40" s="382"/>
      <c r="I40" s="435"/>
      <c r="J40" s="435"/>
      <c r="K40" s="376"/>
      <c r="L40" s="376"/>
      <c r="M40" s="376"/>
      <c r="N40" s="376"/>
      <c r="O40" s="376"/>
      <c r="P40" s="376"/>
      <c r="Q40" s="376"/>
      <c r="R40" s="376"/>
      <c r="S40" s="376"/>
      <c r="T40" s="376"/>
      <c r="U40" s="376"/>
      <c r="V40" s="376"/>
    </row>
    <row r="41" spans="2:22" s="376" customFormat="1" ht="12.75" x14ac:dyDescent="0.35">
      <c r="B41" s="437" t="s">
        <v>1118</v>
      </c>
      <c r="C41" s="438">
        <v>43588</v>
      </c>
      <c r="D41" s="439">
        <v>0.13025049999999999</v>
      </c>
      <c r="E41" s="440">
        <f>C41+30</f>
        <v>43618</v>
      </c>
      <c r="F41" s="440">
        <v>43593</v>
      </c>
      <c r="G41" s="439">
        <f>D41</f>
        <v>0.13025049999999999</v>
      </c>
      <c r="H41" s="441">
        <f>G41/D41</f>
        <v>1</v>
      </c>
      <c r="I41" s="437"/>
      <c r="J41" s="439">
        <f>D41-G41</f>
        <v>0</v>
      </c>
    </row>
    <row r="42" spans="2:22" s="376" customFormat="1" ht="12.75" x14ac:dyDescent="0.35">
      <c r="B42" s="437" t="s">
        <v>1118</v>
      </c>
      <c r="C42" s="438">
        <v>43619</v>
      </c>
      <c r="D42" s="439">
        <v>0.14087640000000001</v>
      </c>
      <c r="E42" s="440">
        <f t="shared" ref="E42:E52" si="8">C42+30</f>
        <v>43649</v>
      </c>
      <c r="F42" s="440">
        <v>43623</v>
      </c>
      <c r="G42" s="439">
        <f t="shared" ref="G42:G51" si="9">D42</f>
        <v>0.14087640000000001</v>
      </c>
      <c r="H42" s="441">
        <f t="shared" ref="H42:H51" si="10">G42/D42</f>
        <v>1</v>
      </c>
      <c r="I42" s="437"/>
      <c r="J42" s="439">
        <f t="shared" ref="J42:J51" si="11">D42-G42</f>
        <v>0</v>
      </c>
    </row>
    <row r="43" spans="2:22" s="376" customFormat="1" ht="12.75" x14ac:dyDescent="0.35">
      <c r="B43" s="437" t="s">
        <v>1118</v>
      </c>
      <c r="C43" s="438">
        <v>43649</v>
      </c>
      <c r="D43" s="439">
        <v>0.14154900000000001</v>
      </c>
      <c r="E43" s="440">
        <f t="shared" si="8"/>
        <v>43679</v>
      </c>
      <c r="F43" s="440">
        <v>43656</v>
      </c>
      <c r="G43" s="439">
        <f t="shared" si="9"/>
        <v>0.14154900000000001</v>
      </c>
      <c r="H43" s="441">
        <f t="shared" si="10"/>
        <v>1</v>
      </c>
      <c r="I43" s="437"/>
      <c r="J43" s="439">
        <f t="shared" si="11"/>
        <v>0</v>
      </c>
    </row>
    <row r="44" spans="2:22" s="376" customFormat="1" ht="12.75" x14ac:dyDescent="0.35">
      <c r="B44" s="437" t="s">
        <v>1118</v>
      </c>
      <c r="C44" s="438">
        <v>43679</v>
      </c>
      <c r="D44" s="439">
        <v>0.15179580000000001</v>
      </c>
      <c r="E44" s="440">
        <f t="shared" si="8"/>
        <v>43709</v>
      </c>
      <c r="F44" s="440">
        <v>43686</v>
      </c>
      <c r="G44" s="439">
        <f t="shared" si="9"/>
        <v>0.15179580000000001</v>
      </c>
      <c r="H44" s="441">
        <f t="shared" si="10"/>
        <v>1</v>
      </c>
      <c r="I44" s="437"/>
      <c r="J44" s="439">
        <f t="shared" si="11"/>
        <v>0</v>
      </c>
    </row>
    <row r="45" spans="2:22" s="376" customFormat="1" ht="12.75" x14ac:dyDescent="0.35">
      <c r="B45" s="437" t="s">
        <v>1118</v>
      </c>
      <c r="C45" s="438">
        <v>43711</v>
      </c>
      <c r="D45" s="439">
        <v>0.1410013</v>
      </c>
      <c r="E45" s="440">
        <f t="shared" si="8"/>
        <v>43741</v>
      </c>
      <c r="F45" s="440">
        <v>43717</v>
      </c>
      <c r="G45" s="439">
        <f t="shared" si="9"/>
        <v>0.1410013</v>
      </c>
      <c r="H45" s="441">
        <f t="shared" si="10"/>
        <v>1</v>
      </c>
      <c r="I45" s="437"/>
      <c r="J45" s="439">
        <f t="shared" si="11"/>
        <v>0</v>
      </c>
    </row>
    <row r="46" spans="2:22" s="376" customFormat="1" ht="12.75" x14ac:dyDescent="0.35">
      <c r="B46" s="437" t="s">
        <v>1118</v>
      </c>
      <c r="C46" s="438">
        <v>43741</v>
      </c>
      <c r="D46" s="439">
        <v>0.14340430000000001</v>
      </c>
      <c r="E46" s="440">
        <f t="shared" si="8"/>
        <v>43771</v>
      </c>
      <c r="F46" s="440">
        <v>43747</v>
      </c>
      <c r="G46" s="439">
        <f t="shared" si="9"/>
        <v>0.14340430000000001</v>
      </c>
      <c r="H46" s="441">
        <f t="shared" si="10"/>
        <v>1</v>
      </c>
      <c r="I46" s="437"/>
      <c r="J46" s="439">
        <f t="shared" si="11"/>
        <v>0</v>
      </c>
    </row>
    <row r="47" spans="2:22" s="376" customFormat="1" ht="12.75" x14ac:dyDescent="0.35">
      <c r="B47" s="437" t="s">
        <v>1118</v>
      </c>
      <c r="C47" s="438">
        <v>43771</v>
      </c>
      <c r="D47" s="439">
        <v>0.14851980000000001</v>
      </c>
      <c r="E47" s="440">
        <f t="shared" si="8"/>
        <v>43801</v>
      </c>
      <c r="F47" s="440">
        <v>43775</v>
      </c>
      <c r="G47" s="439">
        <f t="shared" si="9"/>
        <v>0.14851980000000001</v>
      </c>
      <c r="H47" s="441">
        <f t="shared" si="10"/>
        <v>1</v>
      </c>
      <c r="I47" s="437"/>
      <c r="J47" s="439">
        <f t="shared" si="11"/>
        <v>0</v>
      </c>
    </row>
    <row r="48" spans="2:22" s="376" customFormat="1" ht="12.75" x14ac:dyDescent="0.35">
      <c r="B48" s="437" t="s">
        <v>1118</v>
      </c>
      <c r="C48" s="438">
        <v>43801</v>
      </c>
      <c r="D48" s="439">
        <v>0.13829949999999999</v>
      </c>
      <c r="E48" s="440">
        <f t="shared" si="8"/>
        <v>43831</v>
      </c>
      <c r="F48" s="440">
        <v>43804</v>
      </c>
      <c r="G48" s="439">
        <f t="shared" si="9"/>
        <v>0.13829949999999999</v>
      </c>
      <c r="H48" s="441">
        <f t="shared" si="10"/>
        <v>1</v>
      </c>
      <c r="I48" s="437"/>
      <c r="J48" s="439">
        <f t="shared" si="11"/>
        <v>0</v>
      </c>
    </row>
    <row r="49" spans="2:10" s="376" customFormat="1" ht="12.75" x14ac:dyDescent="0.35">
      <c r="B49" s="437" t="s">
        <v>1118</v>
      </c>
      <c r="C49" s="438">
        <v>43833</v>
      </c>
      <c r="D49" s="439">
        <v>0.14330599999999999</v>
      </c>
      <c r="E49" s="440">
        <f t="shared" si="8"/>
        <v>43863</v>
      </c>
      <c r="F49" s="440">
        <v>43837</v>
      </c>
      <c r="G49" s="439">
        <f t="shared" si="9"/>
        <v>0.14330599999999999</v>
      </c>
      <c r="H49" s="441">
        <f t="shared" si="10"/>
        <v>1</v>
      </c>
      <c r="I49" s="437"/>
      <c r="J49" s="439">
        <f t="shared" si="11"/>
        <v>0</v>
      </c>
    </row>
    <row r="50" spans="2:10" s="376" customFormat="1" ht="12.75" x14ac:dyDescent="0.35">
      <c r="B50" s="437" t="s">
        <v>1118</v>
      </c>
      <c r="C50" s="438">
        <v>43864</v>
      </c>
      <c r="D50" s="439">
        <v>0.14041509999999999</v>
      </c>
      <c r="E50" s="440">
        <f t="shared" si="8"/>
        <v>43894</v>
      </c>
      <c r="F50" s="440">
        <v>43868</v>
      </c>
      <c r="G50" s="439">
        <f t="shared" si="9"/>
        <v>0.14041509999999999</v>
      </c>
      <c r="H50" s="441">
        <f t="shared" si="10"/>
        <v>1</v>
      </c>
      <c r="I50" s="437"/>
      <c r="J50" s="439">
        <f t="shared" si="11"/>
        <v>0</v>
      </c>
    </row>
    <row r="51" spans="2:10" s="446" customFormat="1" ht="12.75" x14ac:dyDescent="0.35">
      <c r="B51" s="437" t="s">
        <v>1118</v>
      </c>
      <c r="C51" s="438">
        <v>43893</v>
      </c>
      <c r="D51" s="439">
        <v>0.13314210000000001</v>
      </c>
      <c r="E51" s="440">
        <f t="shared" si="8"/>
        <v>43923</v>
      </c>
      <c r="F51" s="440">
        <v>43896</v>
      </c>
      <c r="G51" s="439">
        <f t="shared" si="9"/>
        <v>0.13314210000000001</v>
      </c>
      <c r="H51" s="441">
        <f t="shared" si="10"/>
        <v>1</v>
      </c>
      <c r="I51" s="437"/>
      <c r="J51" s="439">
        <f t="shared" si="11"/>
        <v>0</v>
      </c>
    </row>
    <row r="52" spans="2:10" s="446" customFormat="1" ht="12.75" x14ac:dyDescent="0.35">
      <c r="B52" s="437" t="s">
        <v>1118</v>
      </c>
      <c r="C52" s="438">
        <v>43924</v>
      </c>
      <c r="D52" s="439">
        <v>0.13260350000000001</v>
      </c>
      <c r="E52" s="440">
        <f t="shared" si="8"/>
        <v>43954</v>
      </c>
      <c r="F52" s="440">
        <v>43930</v>
      </c>
      <c r="G52" s="439">
        <f>D52</f>
        <v>0.13260350000000001</v>
      </c>
      <c r="H52" s="441">
        <f>G52/D52</f>
        <v>1</v>
      </c>
      <c r="I52" s="437"/>
      <c r="J52" s="439">
        <f>D52-G52</f>
        <v>0</v>
      </c>
    </row>
    <row r="53" spans="2:10" s="446" customFormat="1" ht="12.75" x14ac:dyDescent="0.35">
      <c r="B53" s="437"/>
      <c r="C53" s="445"/>
      <c r="D53" s="439"/>
      <c r="E53" s="454"/>
      <c r="F53" s="454"/>
      <c r="G53" s="439"/>
      <c r="H53" s="441"/>
      <c r="I53" s="437"/>
      <c r="J53" s="439"/>
    </row>
    <row r="54" spans="2:10" s="446" customFormat="1" ht="12.75" x14ac:dyDescent="0.35">
      <c r="B54" s="457"/>
      <c r="C54" s="445"/>
      <c r="D54" s="439"/>
      <c r="E54" s="454"/>
      <c r="F54" s="454"/>
      <c r="G54" s="439"/>
      <c r="H54" s="441"/>
      <c r="I54" s="437"/>
      <c r="J54" s="439"/>
    </row>
    <row r="55" spans="2:10" s="446" customFormat="1" ht="12.75" x14ac:dyDescent="0.35">
      <c r="B55" s="437" t="s">
        <v>1120</v>
      </c>
      <c r="C55" s="438">
        <v>43587</v>
      </c>
      <c r="D55" s="439">
        <v>0.32</v>
      </c>
      <c r="E55" s="440">
        <f t="shared" ref="E55:E66" si="12">EDATE(C55,1)-1</f>
        <v>43617</v>
      </c>
      <c r="F55" s="440">
        <v>43615</v>
      </c>
      <c r="G55" s="439">
        <f>D55</f>
        <v>0.32</v>
      </c>
      <c r="H55" s="441">
        <f>G55/D55</f>
        <v>1</v>
      </c>
      <c r="I55" s="437"/>
      <c r="J55" s="439">
        <f>D55-G55</f>
        <v>0</v>
      </c>
    </row>
    <row r="56" spans="2:10" s="446" customFormat="1" ht="12.75" x14ac:dyDescent="0.35">
      <c r="B56" s="437" t="s">
        <v>1120</v>
      </c>
      <c r="C56" s="438">
        <v>43617</v>
      </c>
      <c r="D56" s="439">
        <v>0.32</v>
      </c>
      <c r="E56" s="440">
        <f t="shared" si="12"/>
        <v>43646</v>
      </c>
      <c r="F56" s="440">
        <v>43615</v>
      </c>
      <c r="G56" s="439">
        <f t="shared" ref="G56:G66" si="13">D56</f>
        <v>0.32</v>
      </c>
      <c r="H56" s="441">
        <f t="shared" ref="H56:H66" si="14">G56/D56</f>
        <v>1</v>
      </c>
      <c r="I56" s="437"/>
      <c r="J56" s="439">
        <f t="shared" ref="J56:J66" si="15">D56-G56</f>
        <v>0</v>
      </c>
    </row>
    <row r="57" spans="2:10" s="446" customFormat="1" ht="12.75" x14ac:dyDescent="0.35">
      <c r="B57" s="437" t="s">
        <v>1120</v>
      </c>
      <c r="C57" s="438">
        <v>43647</v>
      </c>
      <c r="D57" s="439">
        <v>0.32</v>
      </c>
      <c r="E57" s="440">
        <f t="shared" si="12"/>
        <v>43677</v>
      </c>
      <c r="F57" s="440">
        <v>43677</v>
      </c>
      <c r="G57" s="439">
        <f t="shared" si="13"/>
        <v>0.32</v>
      </c>
      <c r="H57" s="441">
        <f t="shared" si="14"/>
        <v>1</v>
      </c>
      <c r="I57" s="437"/>
      <c r="J57" s="439">
        <f t="shared" si="15"/>
        <v>0</v>
      </c>
    </row>
    <row r="58" spans="2:10" s="446" customFormat="1" ht="12.75" x14ac:dyDescent="0.35">
      <c r="B58" s="437" t="s">
        <v>1120</v>
      </c>
      <c r="C58" s="438">
        <v>43678</v>
      </c>
      <c r="D58" s="439">
        <v>0.320129</v>
      </c>
      <c r="E58" s="440">
        <f t="shared" si="12"/>
        <v>43708</v>
      </c>
      <c r="F58" s="440">
        <v>43704</v>
      </c>
      <c r="G58" s="439">
        <f t="shared" si="13"/>
        <v>0.320129</v>
      </c>
      <c r="H58" s="441">
        <f t="shared" si="14"/>
        <v>1</v>
      </c>
      <c r="I58" s="437"/>
      <c r="J58" s="439">
        <f t="shared" si="15"/>
        <v>0</v>
      </c>
    </row>
    <row r="59" spans="2:10" s="446" customFormat="1" ht="12.75" x14ac:dyDescent="0.35">
      <c r="B59" s="437" t="s">
        <v>1120</v>
      </c>
      <c r="C59" s="438">
        <v>43711</v>
      </c>
      <c r="D59" s="439">
        <v>0.32</v>
      </c>
      <c r="E59" s="440">
        <f t="shared" si="12"/>
        <v>43740</v>
      </c>
      <c r="F59" s="440">
        <v>43739</v>
      </c>
      <c r="G59" s="439">
        <f t="shared" si="13"/>
        <v>0.32</v>
      </c>
      <c r="H59" s="441">
        <f t="shared" si="14"/>
        <v>1</v>
      </c>
      <c r="I59" s="437"/>
      <c r="J59" s="439">
        <f t="shared" si="15"/>
        <v>0</v>
      </c>
    </row>
    <row r="60" spans="2:10" s="446" customFormat="1" ht="12.75" x14ac:dyDescent="0.35">
      <c r="B60" s="437" t="s">
        <v>1120</v>
      </c>
      <c r="C60" s="438">
        <v>43739</v>
      </c>
      <c r="D60" s="439">
        <v>0.32</v>
      </c>
      <c r="E60" s="440">
        <f t="shared" si="12"/>
        <v>43769</v>
      </c>
      <c r="F60" s="440">
        <v>43762</v>
      </c>
      <c r="G60" s="439">
        <f t="shared" si="13"/>
        <v>0.32</v>
      </c>
      <c r="H60" s="441">
        <f t="shared" si="14"/>
        <v>1</v>
      </c>
      <c r="I60" s="437"/>
      <c r="J60" s="439">
        <f t="shared" si="15"/>
        <v>0</v>
      </c>
    </row>
    <row r="61" spans="2:10" s="446" customFormat="1" ht="12.75" x14ac:dyDescent="0.35">
      <c r="B61" s="437" t="s">
        <v>1120</v>
      </c>
      <c r="C61" s="438">
        <v>43770</v>
      </c>
      <c r="D61" s="439">
        <v>0.32</v>
      </c>
      <c r="E61" s="440">
        <f t="shared" si="12"/>
        <v>43799</v>
      </c>
      <c r="F61" s="440">
        <v>43796</v>
      </c>
      <c r="G61" s="439">
        <f t="shared" si="13"/>
        <v>0.32</v>
      </c>
      <c r="H61" s="441">
        <f t="shared" si="14"/>
        <v>1</v>
      </c>
      <c r="I61" s="437"/>
      <c r="J61" s="439">
        <f t="shared" si="15"/>
        <v>0</v>
      </c>
    </row>
    <row r="62" spans="2:10" s="446" customFormat="1" ht="12.75" x14ac:dyDescent="0.35">
      <c r="B62" s="437" t="s">
        <v>1120</v>
      </c>
      <c r="C62" s="438">
        <v>43801</v>
      </c>
      <c r="D62" s="439">
        <v>0.13</v>
      </c>
      <c r="E62" s="440">
        <f t="shared" si="12"/>
        <v>43831</v>
      </c>
      <c r="F62" s="440">
        <v>43829</v>
      </c>
      <c r="G62" s="439">
        <f t="shared" si="13"/>
        <v>0.13</v>
      </c>
      <c r="H62" s="441">
        <f t="shared" si="14"/>
        <v>1</v>
      </c>
      <c r="I62" s="437"/>
      <c r="J62" s="439">
        <f t="shared" si="15"/>
        <v>0</v>
      </c>
    </row>
    <row r="63" spans="2:10" s="446" customFormat="1" ht="12.75" x14ac:dyDescent="0.35">
      <c r="B63" s="437" t="s">
        <v>1120</v>
      </c>
      <c r="C63" s="438">
        <v>43831</v>
      </c>
      <c r="D63" s="439">
        <v>0.13</v>
      </c>
      <c r="E63" s="440">
        <f t="shared" si="12"/>
        <v>43861</v>
      </c>
      <c r="F63" s="440">
        <v>43860</v>
      </c>
      <c r="G63" s="439">
        <f t="shared" si="13"/>
        <v>0.13</v>
      </c>
      <c r="H63" s="441">
        <f t="shared" si="14"/>
        <v>1</v>
      </c>
      <c r="I63" s="437"/>
      <c r="J63" s="439">
        <f t="shared" si="15"/>
        <v>0</v>
      </c>
    </row>
    <row r="64" spans="2:10" s="446" customFormat="1" ht="12.75" x14ac:dyDescent="0.35">
      <c r="B64" s="437" t="s">
        <v>1120</v>
      </c>
      <c r="C64" s="438">
        <v>43862</v>
      </c>
      <c r="D64" s="439">
        <v>0.13</v>
      </c>
      <c r="E64" s="440">
        <f t="shared" si="12"/>
        <v>43890</v>
      </c>
      <c r="F64" s="440">
        <v>43889</v>
      </c>
      <c r="G64" s="439">
        <f t="shared" si="13"/>
        <v>0.13</v>
      </c>
      <c r="H64" s="441">
        <f t="shared" si="14"/>
        <v>1</v>
      </c>
      <c r="I64" s="437"/>
      <c r="J64" s="439">
        <f t="shared" si="15"/>
        <v>0</v>
      </c>
    </row>
    <row r="65" spans="2:10" s="446" customFormat="1" ht="12.75" x14ac:dyDescent="0.35">
      <c r="B65" s="437" t="s">
        <v>1120</v>
      </c>
      <c r="C65" s="438">
        <v>43892</v>
      </c>
      <c r="D65" s="439">
        <v>0.13</v>
      </c>
      <c r="E65" s="440">
        <f t="shared" si="12"/>
        <v>43922</v>
      </c>
      <c r="F65" s="440">
        <v>43921</v>
      </c>
      <c r="G65" s="439">
        <f t="shared" si="13"/>
        <v>0.13</v>
      </c>
      <c r="H65" s="441">
        <f t="shared" si="14"/>
        <v>1</v>
      </c>
      <c r="I65" s="437"/>
      <c r="J65" s="439">
        <f t="shared" si="15"/>
        <v>0</v>
      </c>
    </row>
    <row r="66" spans="2:10" s="446" customFormat="1" ht="12.75" x14ac:dyDescent="0.35">
      <c r="B66" s="437" t="s">
        <v>1120</v>
      </c>
      <c r="C66" s="438">
        <v>43922</v>
      </c>
      <c r="D66" s="439">
        <v>0.13</v>
      </c>
      <c r="E66" s="440">
        <f t="shared" si="12"/>
        <v>43951</v>
      </c>
      <c r="F66" s="440">
        <v>43951</v>
      </c>
      <c r="G66" s="439">
        <f t="shared" si="13"/>
        <v>0.13</v>
      </c>
      <c r="H66" s="441">
        <f t="shared" si="14"/>
        <v>1</v>
      </c>
      <c r="I66" s="437"/>
      <c r="J66" s="439">
        <f t="shared" si="15"/>
        <v>0</v>
      </c>
    </row>
    <row r="67" spans="2:10" s="446" customFormat="1" ht="12.75" x14ac:dyDescent="0.35">
      <c r="B67" s="437"/>
      <c r="C67" s="458"/>
      <c r="D67" s="439"/>
      <c r="E67" s="454"/>
      <c r="F67" s="454"/>
      <c r="G67" s="439"/>
      <c r="H67" s="441"/>
      <c r="I67" s="437"/>
      <c r="J67" s="439"/>
    </row>
    <row r="68" spans="2:10" s="446" customFormat="1" ht="12.75" x14ac:dyDescent="0.35">
      <c r="B68" s="437"/>
      <c r="C68" s="445"/>
      <c r="D68" s="439"/>
      <c r="E68" s="454"/>
      <c r="F68" s="454"/>
      <c r="G68" s="439"/>
      <c r="H68" s="441"/>
      <c r="I68" s="437"/>
      <c r="J68" s="439"/>
    </row>
    <row r="69" spans="2:10" s="436" customFormat="1" ht="12.75" x14ac:dyDescent="0.35">
      <c r="B69" s="419" t="s">
        <v>164</v>
      </c>
      <c r="C69" s="447"/>
      <c r="D69" s="448">
        <f>SUM(D41:D68)</f>
        <v>4.5752922999999992</v>
      </c>
      <c r="E69" s="448"/>
      <c r="F69" s="448"/>
      <c r="G69" s="448">
        <f>SUM(G41:G68)</f>
        <v>4.5752922999999992</v>
      </c>
      <c r="H69" s="448"/>
      <c r="I69" s="419"/>
      <c r="J69" s="417">
        <f>SUM(J41:J68)</f>
        <v>0</v>
      </c>
    </row>
    <row r="70" spans="2:10" s="376" customFormat="1" ht="12.75" x14ac:dyDescent="0.35">
      <c r="B70" s="436"/>
      <c r="C70" s="377"/>
      <c r="D70" s="377"/>
      <c r="E70" s="377"/>
      <c r="F70" s="377"/>
      <c r="G70" s="377"/>
      <c r="H70" s="377"/>
    </row>
    <row r="71" spans="2:10" s="405" customFormat="1" ht="12.75" x14ac:dyDescent="0.35">
      <c r="B71" s="461"/>
    </row>
    <row r="72" spans="2:10" s="405" customFormat="1" ht="12.75" x14ac:dyDescent="0.35">
      <c r="B72" s="430" t="s">
        <v>1115</v>
      </c>
      <c r="C72" s="413"/>
      <c r="D72" s="462"/>
      <c r="E72" s="463"/>
      <c r="F72" s="463"/>
      <c r="G72" s="462"/>
      <c r="H72" s="463"/>
      <c r="I72" s="413"/>
      <c r="J72" s="462"/>
    </row>
    <row r="73" spans="2:10" s="405" customFormat="1" ht="12.75" x14ac:dyDescent="0.35">
      <c r="B73" s="430"/>
      <c r="C73" s="413"/>
      <c r="D73" s="462"/>
      <c r="E73" s="463"/>
      <c r="F73" s="463"/>
      <c r="G73" s="462"/>
      <c r="H73" s="463"/>
      <c r="I73" s="413"/>
      <c r="J73" s="462"/>
    </row>
    <row r="74" spans="2:10" s="405" customFormat="1" ht="12.75" x14ac:dyDescent="0.35">
      <c r="B74" s="430" t="s">
        <v>812</v>
      </c>
      <c r="C74" s="413"/>
      <c r="D74" s="462"/>
      <c r="E74" s="463"/>
      <c r="F74" s="463"/>
      <c r="G74" s="462"/>
      <c r="H74" s="463"/>
      <c r="I74" s="413"/>
      <c r="J74" s="462"/>
    </row>
    <row r="75" spans="2:10" s="405" customFormat="1" ht="12.75" x14ac:dyDescent="0.35">
      <c r="B75" s="430"/>
      <c r="C75" s="413"/>
      <c r="D75" s="462"/>
      <c r="E75" s="463"/>
      <c r="F75" s="463"/>
      <c r="G75" s="462"/>
      <c r="H75" s="463"/>
      <c r="I75" s="413"/>
      <c r="J75" s="462"/>
    </row>
    <row r="76" spans="2:10" s="405" customFormat="1" ht="12.75" x14ac:dyDescent="0.35">
      <c r="B76" s="2164" t="s">
        <v>111</v>
      </c>
      <c r="C76" s="2121" t="s">
        <v>792</v>
      </c>
      <c r="D76" s="2122"/>
      <c r="E76" s="2123"/>
      <c r="F76" s="2121" t="s">
        <v>793</v>
      </c>
      <c r="G76" s="2122"/>
      <c r="H76" s="2123"/>
      <c r="I76" s="2128" t="s">
        <v>794</v>
      </c>
      <c r="J76" s="2166" t="s">
        <v>795</v>
      </c>
    </row>
    <row r="77" spans="2:10" s="405" customFormat="1" ht="25.5" x14ac:dyDescent="0.35">
      <c r="B77" s="2165"/>
      <c r="C77" s="433" t="s">
        <v>796</v>
      </c>
      <c r="D77" s="464" t="s">
        <v>797</v>
      </c>
      <c r="E77" s="433" t="s">
        <v>798</v>
      </c>
      <c r="F77" s="433" t="s">
        <v>796</v>
      </c>
      <c r="G77" s="464" t="s">
        <v>797</v>
      </c>
      <c r="H77" s="432" t="s">
        <v>799</v>
      </c>
      <c r="I77" s="2129"/>
      <c r="J77" s="2167"/>
    </row>
    <row r="78" spans="2:10" s="405" customFormat="1" ht="12.75" x14ac:dyDescent="0.35">
      <c r="B78" s="465" t="s">
        <v>1117</v>
      </c>
      <c r="C78" s="382"/>
      <c r="D78" s="466"/>
      <c r="E78" s="382"/>
      <c r="F78" s="382"/>
      <c r="G78" s="466"/>
      <c r="H78" s="382"/>
      <c r="I78" s="382"/>
      <c r="J78" s="466"/>
    </row>
    <row r="79" spans="2:10" s="405" customFormat="1" ht="12.75" x14ac:dyDescent="0.35">
      <c r="B79" s="467" t="s">
        <v>1118</v>
      </c>
      <c r="C79" s="468">
        <v>43954</v>
      </c>
      <c r="D79" s="469">
        <v>0.1121968</v>
      </c>
      <c r="E79" s="468">
        <v>43961</v>
      </c>
      <c r="F79" s="468">
        <v>43962</v>
      </c>
      <c r="G79" s="469">
        <f>D79</f>
        <v>0.1121968</v>
      </c>
      <c r="H79" s="470">
        <f>G79/D79</f>
        <v>1</v>
      </c>
      <c r="I79" s="471"/>
      <c r="J79" s="469">
        <f>D79-G79</f>
        <v>0</v>
      </c>
    </row>
    <row r="80" spans="2:10" s="405" customFormat="1" ht="12.75" x14ac:dyDescent="0.35">
      <c r="B80" s="467" t="s">
        <v>1118</v>
      </c>
      <c r="C80" s="468">
        <v>43985</v>
      </c>
      <c r="D80" s="469">
        <v>0.1222853</v>
      </c>
      <c r="E80" s="468">
        <v>43992</v>
      </c>
      <c r="F80" s="468">
        <v>43992</v>
      </c>
      <c r="G80" s="469">
        <f t="shared" ref="G80:G91" si="16">D80</f>
        <v>0.1222853</v>
      </c>
      <c r="H80" s="470">
        <f t="shared" ref="H80:H91" si="17">G80/D80</f>
        <v>1</v>
      </c>
      <c r="I80" s="471"/>
      <c r="J80" s="469">
        <f t="shared" ref="J80:J91" si="18">D80-G80</f>
        <v>0</v>
      </c>
    </row>
    <row r="81" spans="2:10" s="405" customFormat="1" ht="12.75" x14ac:dyDescent="0.35">
      <c r="B81" s="467" t="s">
        <v>1118</v>
      </c>
      <c r="C81" s="468">
        <v>44002</v>
      </c>
      <c r="D81" s="469">
        <v>4.5073999999999999E-3</v>
      </c>
      <c r="E81" s="468">
        <v>44012</v>
      </c>
      <c r="F81" s="468">
        <v>44012</v>
      </c>
      <c r="G81" s="469">
        <f t="shared" si="16"/>
        <v>4.5073999999999999E-3</v>
      </c>
      <c r="H81" s="470">
        <f t="shared" si="17"/>
        <v>1</v>
      </c>
      <c r="I81" s="471"/>
      <c r="J81" s="469">
        <f t="shared" si="18"/>
        <v>0</v>
      </c>
    </row>
    <row r="82" spans="2:10" s="405" customFormat="1" ht="12.75" x14ac:dyDescent="0.35">
      <c r="B82" s="467" t="s">
        <v>1118</v>
      </c>
      <c r="C82" s="468">
        <v>44015</v>
      </c>
      <c r="D82" s="469">
        <v>0.16451160000000001</v>
      </c>
      <c r="E82" s="468">
        <v>44022</v>
      </c>
      <c r="F82" s="468">
        <v>44016</v>
      </c>
      <c r="G82" s="469">
        <f t="shared" si="16"/>
        <v>0.16451160000000001</v>
      </c>
      <c r="H82" s="470">
        <f t="shared" si="17"/>
        <v>1</v>
      </c>
      <c r="I82" s="471"/>
      <c r="J82" s="469">
        <f t="shared" si="18"/>
        <v>0</v>
      </c>
    </row>
    <row r="83" spans="2:10" s="405" customFormat="1" ht="12.75" x14ac:dyDescent="0.35">
      <c r="B83" s="467" t="s">
        <v>1118</v>
      </c>
      <c r="C83" s="468">
        <v>44046</v>
      </c>
      <c r="D83" s="469">
        <v>0.25315979999999999</v>
      </c>
      <c r="E83" s="468">
        <v>44053</v>
      </c>
      <c r="F83" s="468">
        <v>44047</v>
      </c>
      <c r="G83" s="469">
        <f t="shared" si="16"/>
        <v>0.25315979999999999</v>
      </c>
      <c r="H83" s="470">
        <f t="shared" si="17"/>
        <v>1</v>
      </c>
      <c r="I83" s="471"/>
      <c r="J83" s="469">
        <f t="shared" si="18"/>
        <v>0</v>
      </c>
    </row>
    <row r="84" spans="2:10" s="405" customFormat="1" ht="12.75" x14ac:dyDescent="0.35">
      <c r="B84" s="467" t="s">
        <v>1118</v>
      </c>
      <c r="C84" s="468">
        <v>44077</v>
      </c>
      <c r="D84" s="469">
        <v>0.40166760000000001</v>
      </c>
      <c r="E84" s="468">
        <v>44084</v>
      </c>
      <c r="F84" s="468">
        <v>44082</v>
      </c>
      <c r="G84" s="469">
        <f t="shared" si="16"/>
        <v>0.40166760000000001</v>
      </c>
      <c r="H84" s="470">
        <f t="shared" si="17"/>
        <v>1</v>
      </c>
      <c r="I84" s="471"/>
      <c r="J84" s="469">
        <f t="shared" si="18"/>
        <v>0</v>
      </c>
    </row>
    <row r="85" spans="2:10" s="405" customFormat="1" ht="12.75" x14ac:dyDescent="0.35">
      <c r="B85" s="467" t="s">
        <v>1118</v>
      </c>
      <c r="C85" s="468">
        <v>44107</v>
      </c>
      <c r="D85" s="469">
        <v>0.42534949999999999</v>
      </c>
      <c r="E85" s="468">
        <v>44113</v>
      </c>
      <c r="F85" s="468">
        <v>44113</v>
      </c>
      <c r="G85" s="469">
        <f t="shared" si="16"/>
        <v>0.42534949999999999</v>
      </c>
      <c r="H85" s="470">
        <f t="shared" si="17"/>
        <v>1</v>
      </c>
      <c r="I85" s="471"/>
      <c r="J85" s="469">
        <f t="shared" si="18"/>
        <v>0</v>
      </c>
    </row>
    <row r="86" spans="2:10" s="405" customFormat="1" ht="12.75" x14ac:dyDescent="0.35">
      <c r="B86" s="467" t="s">
        <v>1118</v>
      </c>
      <c r="C86" s="468">
        <v>44138</v>
      </c>
      <c r="D86" s="469">
        <v>0.38861289999999998</v>
      </c>
      <c r="E86" s="468">
        <v>44145</v>
      </c>
      <c r="F86" s="468">
        <v>44144</v>
      </c>
      <c r="G86" s="469">
        <f t="shared" si="16"/>
        <v>0.38861289999999998</v>
      </c>
      <c r="H86" s="470">
        <f t="shared" si="17"/>
        <v>1</v>
      </c>
      <c r="I86" s="471"/>
      <c r="J86" s="469">
        <f t="shared" si="18"/>
        <v>0</v>
      </c>
    </row>
    <row r="87" spans="2:10" s="405" customFormat="1" ht="12.75" x14ac:dyDescent="0.35">
      <c r="B87" s="467" t="s">
        <v>1118</v>
      </c>
      <c r="C87" s="468">
        <v>44167</v>
      </c>
      <c r="D87" s="469">
        <v>0.38370110000000002</v>
      </c>
      <c r="E87" s="468">
        <v>44174</v>
      </c>
      <c r="F87" s="468">
        <v>44174</v>
      </c>
      <c r="G87" s="469">
        <f t="shared" si="16"/>
        <v>0.38370110000000002</v>
      </c>
      <c r="H87" s="470">
        <f t="shared" si="17"/>
        <v>1</v>
      </c>
      <c r="I87" s="471"/>
      <c r="J87" s="469">
        <f t="shared" si="18"/>
        <v>0</v>
      </c>
    </row>
    <row r="88" spans="2:10" s="405" customFormat="1" ht="12.75" x14ac:dyDescent="0.35">
      <c r="B88" s="467" t="s">
        <v>1118</v>
      </c>
      <c r="C88" s="468">
        <v>44198</v>
      </c>
      <c r="D88" s="469">
        <v>0.3625601</v>
      </c>
      <c r="E88" s="468">
        <v>44205</v>
      </c>
      <c r="F88" s="468">
        <v>44197</v>
      </c>
      <c r="G88" s="469">
        <f t="shared" si="16"/>
        <v>0.3625601</v>
      </c>
      <c r="H88" s="470">
        <f t="shared" si="17"/>
        <v>1</v>
      </c>
      <c r="I88" s="471"/>
      <c r="J88" s="469">
        <f t="shared" si="18"/>
        <v>0</v>
      </c>
    </row>
    <row r="89" spans="2:10" s="405" customFormat="1" ht="12.75" x14ac:dyDescent="0.35">
      <c r="B89" s="467" t="s">
        <v>1118</v>
      </c>
      <c r="C89" s="468">
        <v>44229</v>
      </c>
      <c r="D89" s="469">
        <v>0.42056199999999999</v>
      </c>
      <c r="E89" s="468">
        <v>44236</v>
      </c>
      <c r="F89" s="468">
        <v>44235</v>
      </c>
      <c r="G89" s="469">
        <f t="shared" si="16"/>
        <v>0.42056199999999999</v>
      </c>
      <c r="H89" s="470">
        <f t="shared" si="17"/>
        <v>1</v>
      </c>
      <c r="I89" s="471"/>
      <c r="J89" s="469">
        <f t="shared" si="18"/>
        <v>0</v>
      </c>
    </row>
    <row r="90" spans="2:10" s="405" customFormat="1" ht="12.75" x14ac:dyDescent="0.35">
      <c r="B90" s="467" t="s">
        <v>1118</v>
      </c>
      <c r="C90" s="468">
        <v>44258</v>
      </c>
      <c r="D90" s="469">
        <v>0.41621059999999999</v>
      </c>
      <c r="E90" s="468">
        <v>44265</v>
      </c>
      <c r="F90" s="468">
        <v>44263</v>
      </c>
      <c r="G90" s="469">
        <f t="shared" si="16"/>
        <v>0.41621059999999999</v>
      </c>
      <c r="H90" s="470">
        <f t="shared" si="17"/>
        <v>1</v>
      </c>
      <c r="I90" s="471"/>
      <c r="J90" s="469">
        <f t="shared" si="18"/>
        <v>0</v>
      </c>
    </row>
    <row r="91" spans="2:10" s="405" customFormat="1" ht="12.75" x14ac:dyDescent="0.35">
      <c r="B91" s="467" t="s">
        <v>1118</v>
      </c>
      <c r="C91" s="468">
        <v>44289</v>
      </c>
      <c r="D91" s="469">
        <v>0.52911322200000011</v>
      </c>
      <c r="E91" s="468">
        <v>44296</v>
      </c>
      <c r="F91" s="468">
        <v>44295</v>
      </c>
      <c r="G91" s="469">
        <f t="shared" si="16"/>
        <v>0.52911322200000011</v>
      </c>
      <c r="H91" s="470">
        <f t="shared" si="17"/>
        <v>1</v>
      </c>
      <c r="I91" s="471"/>
      <c r="J91" s="469">
        <f t="shared" si="18"/>
        <v>0</v>
      </c>
    </row>
    <row r="92" spans="2:10" s="405" customFormat="1" ht="12.75" x14ac:dyDescent="0.35">
      <c r="B92" s="467"/>
      <c r="C92" s="472"/>
      <c r="D92" s="469"/>
      <c r="E92" s="473"/>
      <c r="F92" s="473"/>
      <c r="G92" s="469"/>
      <c r="H92" s="470"/>
      <c r="I92" s="471"/>
      <c r="J92" s="469"/>
    </row>
    <row r="93" spans="2:10" s="405" customFormat="1" ht="12.75" x14ac:dyDescent="0.35">
      <c r="B93" s="474" t="s">
        <v>1119</v>
      </c>
      <c r="C93" s="472"/>
      <c r="D93" s="469"/>
      <c r="E93" s="473"/>
      <c r="F93" s="473"/>
      <c r="G93" s="469"/>
      <c r="H93" s="470"/>
      <c r="I93" s="471"/>
      <c r="J93" s="469"/>
    </row>
    <row r="94" spans="2:10" s="405" customFormat="1" ht="12.75" x14ac:dyDescent="0.35">
      <c r="B94" s="467" t="s">
        <v>1120</v>
      </c>
      <c r="C94" s="468">
        <v>43955</v>
      </c>
      <c r="D94" s="469">
        <f>100000/10^7</f>
        <v>0.01</v>
      </c>
      <c r="E94" s="468">
        <f t="shared" ref="E94:E105" si="19">EDATE(C94,1)-1</f>
        <v>43985</v>
      </c>
      <c r="F94" s="468">
        <v>43981</v>
      </c>
      <c r="G94" s="469">
        <f t="shared" ref="G94:G105" si="20">D94</f>
        <v>0.01</v>
      </c>
      <c r="H94" s="470">
        <f t="shared" ref="H94:H105" si="21">G94/D94</f>
        <v>1</v>
      </c>
      <c r="I94" s="471"/>
      <c r="J94" s="469">
        <f t="shared" ref="J94:J105" si="22">D94-G94</f>
        <v>0</v>
      </c>
    </row>
    <row r="95" spans="2:10" s="405" customFormat="1" ht="12.75" x14ac:dyDescent="0.35">
      <c r="B95" s="467" t="s">
        <v>1120</v>
      </c>
      <c r="C95" s="468">
        <v>43983</v>
      </c>
      <c r="D95" s="469">
        <f t="shared" ref="D95:D105" si="23">100000/10^7</f>
        <v>0.01</v>
      </c>
      <c r="E95" s="468">
        <f t="shared" si="19"/>
        <v>44012</v>
      </c>
      <c r="F95" s="468">
        <v>44002</v>
      </c>
      <c r="G95" s="469">
        <f t="shared" si="20"/>
        <v>0.01</v>
      </c>
      <c r="H95" s="470">
        <f t="shared" si="21"/>
        <v>1</v>
      </c>
      <c r="I95" s="471"/>
      <c r="J95" s="469">
        <f t="shared" si="22"/>
        <v>0</v>
      </c>
    </row>
    <row r="96" spans="2:10" s="405" customFormat="1" ht="12.75" x14ac:dyDescent="0.35">
      <c r="B96" s="467" t="s">
        <v>1120</v>
      </c>
      <c r="C96" s="468">
        <v>44013</v>
      </c>
      <c r="D96" s="469">
        <f t="shared" si="23"/>
        <v>0.01</v>
      </c>
      <c r="E96" s="468">
        <f t="shared" si="19"/>
        <v>44043</v>
      </c>
      <c r="F96" s="468">
        <v>44040</v>
      </c>
      <c r="G96" s="469">
        <f t="shared" si="20"/>
        <v>0.01</v>
      </c>
      <c r="H96" s="470">
        <f t="shared" si="21"/>
        <v>1</v>
      </c>
      <c r="I96" s="471"/>
      <c r="J96" s="469">
        <f t="shared" si="22"/>
        <v>0</v>
      </c>
    </row>
    <row r="97" spans="2:10" s="405" customFormat="1" ht="12.75" x14ac:dyDescent="0.35">
      <c r="B97" s="467" t="s">
        <v>1120</v>
      </c>
      <c r="C97" s="468">
        <v>44046</v>
      </c>
      <c r="D97" s="469">
        <f t="shared" si="23"/>
        <v>0.01</v>
      </c>
      <c r="E97" s="468">
        <f t="shared" si="19"/>
        <v>44076</v>
      </c>
      <c r="F97" s="468">
        <v>44071</v>
      </c>
      <c r="G97" s="469">
        <f t="shared" si="20"/>
        <v>0.01</v>
      </c>
      <c r="H97" s="470">
        <f t="shared" si="21"/>
        <v>1</v>
      </c>
      <c r="I97" s="471"/>
      <c r="J97" s="469">
        <f t="shared" si="22"/>
        <v>0</v>
      </c>
    </row>
    <row r="98" spans="2:10" s="405" customFormat="1" ht="12.75" x14ac:dyDescent="0.35">
      <c r="B98" s="467" t="s">
        <v>1120</v>
      </c>
      <c r="C98" s="468">
        <v>44076</v>
      </c>
      <c r="D98" s="469">
        <f t="shared" si="23"/>
        <v>0.01</v>
      </c>
      <c r="E98" s="468">
        <f t="shared" si="19"/>
        <v>44105</v>
      </c>
      <c r="F98" s="468">
        <v>44103</v>
      </c>
      <c r="G98" s="469">
        <f t="shared" si="20"/>
        <v>0.01</v>
      </c>
      <c r="H98" s="470">
        <f t="shared" si="21"/>
        <v>1</v>
      </c>
      <c r="I98" s="471"/>
      <c r="J98" s="469">
        <f t="shared" si="22"/>
        <v>0</v>
      </c>
    </row>
    <row r="99" spans="2:10" s="405" customFormat="1" ht="12.75" x14ac:dyDescent="0.35">
      <c r="B99" s="467" t="s">
        <v>1120</v>
      </c>
      <c r="C99" s="468">
        <v>44105</v>
      </c>
      <c r="D99" s="469">
        <f t="shared" si="23"/>
        <v>0.01</v>
      </c>
      <c r="E99" s="468">
        <f t="shared" si="19"/>
        <v>44135</v>
      </c>
      <c r="F99" s="468">
        <v>43762</v>
      </c>
      <c r="G99" s="469">
        <f t="shared" si="20"/>
        <v>0.01</v>
      </c>
      <c r="H99" s="470">
        <f t="shared" si="21"/>
        <v>1</v>
      </c>
      <c r="I99" s="471"/>
      <c r="J99" s="469">
        <f t="shared" si="22"/>
        <v>0</v>
      </c>
    </row>
    <row r="100" spans="2:10" s="405" customFormat="1" ht="12.75" x14ac:dyDescent="0.35">
      <c r="B100" s="467" t="s">
        <v>1120</v>
      </c>
      <c r="C100" s="468">
        <v>44137</v>
      </c>
      <c r="D100" s="469">
        <f t="shared" si="23"/>
        <v>0.01</v>
      </c>
      <c r="E100" s="468">
        <f t="shared" si="19"/>
        <v>44166</v>
      </c>
      <c r="F100" s="2168" t="s">
        <v>1122</v>
      </c>
      <c r="G100" s="469">
        <f t="shared" si="20"/>
        <v>0.01</v>
      </c>
      <c r="H100" s="470">
        <f t="shared" si="21"/>
        <v>1</v>
      </c>
      <c r="I100" s="471"/>
      <c r="J100" s="469">
        <f t="shared" si="22"/>
        <v>0</v>
      </c>
    </row>
    <row r="101" spans="2:10" s="405" customFormat="1" ht="12.75" x14ac:dyDescent="0.35">
      <c r="B101" s="467" t="s">
        <v>1120</v>
      </c>
      <c r="C101" s="468">
        <v>44166</v>
      </c>
      <c r="D101" s="469">
        <f t="shared" si="23"/>
        <v>0.01</v>
      </c>
      <c r="E101" s="468">
        <f t="shared" si="19"/>
        <v>44196</v>
      </c>
      <c r="F101" s="2169"/>
      <c r="G101" s="469">
        <f t="shared" si="20"/>
        <v>0.01</v>
      </c>
      <c r="H101" s="470">
        <f t="shared" si="21"/>
        <v>1</v>
      </c>
      <c r="I101" s="471"/>
      <c r="J101" s="469">
        <f t="shared" si="22"/>
        <v>0</v>
      </c>
    </row>
    <row r="102" spans="2:10" s="405" customFormat="1" ht="12.75" x14ac:dyDescent="0.35">
      <c r="B102" s="467" t="s">
        <v>1120</v>
      </c>
      <c r="C102" s="468">
        <v>44197</v>
      </c>
      <c r="D102" s="469">
        <f t="shared" si="23"/>
        <v>0.01</v>
      </c>
      <c r="E102" s="468">
        <f t="shared" si="19"/>
        <v>44227</v>
      </c>
      <c r="F102" s="2169"/>
      <c r="G102" s="469">
        <f>D102</f>
        <v>0.01</v>
      </c>
      <c r="H102" s="470">
        <f t="shared" si="21"/>
        <v>1</v>
      </c>
      <c r="I102" s="471"/>
      <c r="J102" s="469">
        <f t="shared" si="22"/>
        <v>0</v>
      </c>
    </row>
    <row r="103" spans="2:10" s="405" customFormat="1" ht="12.75" x14ac:dyDescent="0.35">
      <c r="B103" s="467" t="s">
        <v>1120</v>
      </c>
      <c r="C103" s="468">
        <v>44228</v>
      </c>
      <c r="D103" s="469">
        <f t="shared" si="23"/>
        <v>0.01</v>
      </c>
      <c r="E103" s="468">
        <f t="shared" si="19"/>
        <v>44255</v>
      </c>
      <c r="F103" s="2169"/>
      <c r="G103" s="469">
        <f t="shared" si="20"/>
        <v>0.01</v>
      </c>
      <c r="H103" s="470">
        <f t="shared" si="21"/>
        <v>1</v>
      </c>
      <c r="I103" s="471"/>
      <c r="J103" s="469">
        <f t="shared" si="22"/>
        <v>0</v>
      </c>
    </row>
    <row r="104" spans="2:10" s="405" customFormat="1" ht="12.75" x14ac:dyDescent="0.35">
      <c r="B104" s="467" t="s">
        <v>1120</v>
      </c>
      <c r="C104" s="468">
        <v>44256</v>
      </c>
      <c r="D104" s="469">
        <f t="shared" si="23"/>
        <v>0.01</v>
      </c>
      <c r="E104" s="468">
        <f t="shared" si="19"/>
        <v>44286</v>
      </c>
      <c r="F104" s="2170"/>
      <c r="G104" s="469">
        <f t="shared" si="20"/>
        <v>0.01</v>
      </c>
      <c r="H104" s="470">
        <f t="shared" si="21"/>
        <v>1</v>
      </c>
      <c r="I104" s="471"/>
      <c r="J104" s="469">
        <f t="shared" si="22"/>
        <v>0</v>
      </c>
    </row>
    <row r="105" spans="2:10" s="405" customFormat="1" ht="12.75" x14ac:dyDescent="0.35">
      <c r="B105" s="467" t="s">
        <v>1120</v>
      </c>
      <c r="C105" s="468">
        <v>44287</v>
      </c>
      <c r="D105" s="469">
        <f t="shared" si="23"/>
        <v>0.01</v>
      </c>
      <c r="E105" s="468">
        <f t="shared" si="19"/>
        <v>44316</v>
      </c>
      <c r="F105" s="468">
        <v>44302</v>
      </c>
      <c r="G105" s="469">
        <f t="shared" si="20"/>
        <v>0.01</v>
      </c>
      <c r="H105" s="470">
        <f t="shared" si="21"/>
        <v>1</v>
      </c>
      <c r="I105" s="471"/>
      <c r="J105" s="469">
        <f t="shared" si="22"/>
        <v>0</v>
      </c>
    </row>
    <row r="106" spans="2:10" s="405" customFormat="1" ht="12.75" x14ac:dyDescent="0.35">
      <c r="B106" s="467"/>
      <c r="C106" s="472"/>
      <c r="D106" s="469"/>
      <c r="E106" s="473"/>
      <c r="F106" s="473"/>
      <c r="G106" s="469"/>
      <c r="H106" s="470"/>
      <c r="I106" s="471"/>
      <c r="J106" s="469"/>
    </row>
    <row r="107" spans="2:10" s="405" customFormat="1" ht="12.75" x14ac:dyDescent="0.35">
      <c r="B107" s="475" t="s">
        <v>164</v>
      </c>
      <c r="C107" s="447"/>
      <c r="D107" s="476">
        <f>SUM(D79:D106)</f>
        <v>4.1044379219999971</v>
      </c>
      <c r="E107" s="477"/>
      <c r="F107" s="477"/>
      <c r="G107" s="476">
        <f>SUM(G79:G106)</f>
        <v>4.1044379219999971</v>
      </c>
      <c r="H107" s="477"/>
      <c r="I107" s="447"/>
      <c r="J107" s="476">
        <f>SUM(J79:J106)</f>
        <v>0</v>
      </c>
    </row>
    <row r="108" spans="2:10" s="405" customFormat="1" ht="12.75" x14ac:dyDescent="0.35">
      <c r="B108" s="430"/>
      <c r="C108" s="413"/>
      <c r="D108" s="462"/>
      <c r="E108" s="463"/>
      <c r="F108" s="463"/>
      <c r="G108" s="462"/>
      <c r="H108" s="463"/>
      <c r="I108" s="413"/>
      <c r="J108" s="462"/>
    </row>
    <row r="109" spans="2:10" s="405" customFormat="1" ht="12.75" x14ac:dyDescent="0.35">
      <c r="B109" s="456"/>
      <c r="C109" s="377"/>
      <c r="D109" s="478"/>
      <c r="E109" s="377"/>
      <c r="F109" s="377"/>
      <c r="G109" s="478"/>
      <c r="H109" s="377"/>
      <c r="I109" s="377"/>
      <c r="J109" s="478"/>
    </row>
    <row r="110" spans="2:10" s="405" customFormat="1" ht="12.75" x14ac:dyDescent="0.35">
      <c r="B110" s="430" t="s">
        <v>800</v>
      </c>
      <c r="C110" s="377"/>
      <c r="D110" s="478"/>
      <c r="E110" s="377"/>
      <c r="F110" s="377"/>
      <c r="G110" s="478"/>
      <c r="H110" s="377"/>
      <c r="I110" s="377"/>
      <c r="J110" s="478"/>
    </row>
    <row r="111" spans="2:10" s="405" customFormat="1" ht="12.75" x14ac:dyDescent="0.35">
      <c r="B111" s="456"/>
      <c r="C111" s="377"/>
      <c r="D111" s="479"/>
      <c r="E111" s="377"/>
      <c r="F111" s="377"/>
      <c r="G111" s="479"/>
      <c r="H111" s="377"/>
      <c r="I111" s="377"/>
      <c r="J111" s="479"/>
    </row>
    <row r="112" spans="2:10" s="405" customFormat="1" ht="12.75" x14ac:dyDescent="0.35">
      <c r="B112" s="2164" t="s">
        <v>111</v>
      </c>
      <c r="C112" s="2121" t="s">
        <v>801</v>
      </c>
      <c r="D112" s="2122"/>
      <c r="E112" s="2123"/>
      <c r="F112" s="2121" t="s">
        <v>793</v>
      </c>
      <c r="G112" s="2122"/>
      <c r="H112" s="2123"/>
      <c r="I112" s="2128" t="s">
        <v>794</v>
      </c>
      <c r="J112" s="2166" t="s">
        <v>795</v>
      </c>
    </row>
    <row r="113" spans="2:10" s="405" customFormat="1" ht="25.5" x14ac:dyDescent="0.35">
      <c r="B113" s="2165"/>
      <c r="C113" s="433" t="s">
        <v>796</v>
      </c>
      <c r="D113" s="464" t="s">
        <v>797</v>
      </c>
      <c r="E113" s="433" t="s">
        <v>798</v>
      </c>
      <c r="F113" s="433" t="s">
        <v>796</v>
      </c>
      <c r="G113" s="464" t="s">
        <v>797</v>
      </c>
      <c r="H113" s="432" t="s">
        <v>802</v>
      </c>
      <c r="I113" s="2129"/>
      <c r="J113" s="2167"/>
    </row>
    <row r="114" spans="2:10" s="405" customFormat="1" ht="12.75" x14ac:dyDescent="0.35">
      <c r="B114" s="480"/>
      <c r="C114" s="451"/>
      <c r="D114" s="481"/>
      <c r="E114" s="451"/>
      <c r="F114" s="451"/>
      <c r="G114" s="481"/>
      <c r="H114" s="452"/>
      <c r="I114" s="452"/>
      <c r="J114" s="482"/>
    </row>
    <row r="115" spans="2:10" s="405" customFormat="1" ht="12.75" x14ac:dyDescent="0.35">
      <c r="B115" s="475" t="s">
        <v>803</v>
      </c>
      <c r="C115" s="382"/>
      <c r="D115" s="466"/>
      <c r="E115" s="382"/>
      <c r="F115" s="382"/>
      <c r="G115" s="466"/>
      <c r="H115" s="382"/>
      <c r="I115" s="382"/>
      <c r="J115" s="466"/>
    </row>
    <row r="116" spans="2:10" s="405" customFormat="1" ht="12.75" x14ac:dyDescent="0.35">
      <c r="B116" s="475"/>
      <c r="C116" s="382"/>
      <c r="D116" s="466"/>
      <c r="E116" s="382"/>
      <c r="F116" s="382"/>
      <c r="G116" s="466"/>
      <c r="H116" s="382"/>
      <c r="I116" s="382"/>
      <c r="J116" s="466"/>
    </row>
    <row r="117" spans="2:10" s="405" customFormat="1" ht="12.75" x14ac:dyDescent="0.35">
      <c r="B117" s="483" t="s">
        <v>1121</v>
      </c>
      <c r="C117" s="472">
        <v>43922</v>
      </c>
      <c r="D117" s="484"/>
      <c r="E117" s="473"/>
      <c r="F117" s="473">
        <v>43922</v>
      </c>
      <c r="G117" s="484">
        <v>3.5177899999999998E-2</v>
      </c>
      <c r="H117" s="455"/>
      <c r="I117" s="485"/>
      <c r="J117" s="453"/>
    </row>
    <row r="118" spans="2:10" s="405" customFormat="1" ht="12.75" x14ac:dyDescent="0.35">
      <c r="B118" s="483"/>
      <c r="C118" s="472">
        <v>43952</v>
      </c>
      <c r="D118" s="484"/>
      <c r="E118" s="473"/>
      <c r="F118" s="473">
        <v>43952</v>
      </c>
      <c r="G118" s="484">
        <v>0</v>
      </c>
      <c r="H118" s="455"/>
      <c r="I118" s="485"/>
      <c r="J118" s="453"/>
    </row>
    <row r="119" spans="2:10" s="405" customFormat="1" ht="12.75" x14ac:dyDescent="0.35">
      <c r="B119" s="483"/>
      <c r="C119" s="472">
        <v>43983</v>
      </c>
      <c r="D119" s="484"/>
      <c r="E119" s="473"/>
      <c r="F119" s="473">
        <v>43983</v>
      </c>
      <c r="G119" s="484">
        <v>1.02</v>
      </c>
      <c r="H119" s="455"/>
      <c r="I119" s="485"/>
      <c r="J119" s="453"/>
    </row>
    <row r="120" spans="2:10" s="405" customFormat="1" ht="12.75" x14ac:dyDescent="0.35">
      <c r="B120" s="483"/>
      <c r="C120" s="472">
        <v>44013</v>
      </c>
      <c r="D120" s="484"/>
      <c r="E120" s="473"/>
      <c r="F120" s="473">
        <v>44013</v>
      </c>
      <c r="G120" s="484">
        <v>4.2125649000000003</v>
      </c>
      <c r="H120" s="455"/>
      <c r="I120" s="485"/>
      <c r="J120" s="453"/>
    </row>
    <row r="121" spans="2:10" s="405" customFormat="1" ht="12.75" x14ac:dyDescent="0.35">
      <c r="B121" s="483"/>
      <c r="C121" s="472">
        <v>44044</v>
      </c>
      <c r="D121" s="484"/>
      <c r="E121" s="473"/>
      <c r="F121" s="473">
        <v>44044</v>
      </c>
      <c r="G121" s="484">
        <v>0</v>
      </c>
      <c r="H121" s="455"/>
      <c r="I121" s="485"/>
      <c r="J121" s="453"/>
    </row>
    <row r="122" spans="2:10" s="405" customFormat="1" ht="12.75" x14ac:dyDescent="0.35">
      <c r="B122" s="483"/>
      <c r="C122" s="472">
        <v>44075</v>
      </c>
      <c r="D122" s="484"/>
      <c r="E122" s="473"/>
      <c r="F122" s="473">
        <v>44075</v>
      </c>
      <c r="G122" s="484">
        <v>0.80269599999999997</v>
      </c>
      <c r="H122" s="455"/>
      <c r="I122" s="485"/>
      <c r="J122" s="453"/>
    </row>
    <row r="123" spans="2:10" s="405" customFormat="1" ht="12.75" x14ac:dyDescent="0.35">
      <c r="B123" s="483"/>
      <c r="C123" s="472">
        <v>44105</v>
      </c>
      <c r="D123" s="484"/>
      <c r="E123" s="473"/>
      <c r="F123" s="473">
        <v>44105</v>
      </c>
      <c r="G123" s="484">
        <v>0</v>
      </c>
      <c r="H123" s="455"/>
      <c r="I123" s="485"/>
      <c r="J123" s="453"/>
    </row>
    <row r="124" spans="2:10" s="405" customFormat="1" ht="12.75" x14ac:dyDescent="0.35">
      <c r="B124" s="483"/>
      <c r="C124" s="472">
        <v>44136</v>
      </c>
      <c r="D124" s="484"/>
      <c r="E124" s="473"/>
      <c r="F124" s="473">
        <v>44136</v>
      </c>
      <c r="G124" s="484">
        <v>1.165</v>
      </c>
      <c r="H124" s="455"/>
      <c r="I124" s="485"/>
      <c r="J124" s="453"/>
    </row>
    <row r="125" spans="2:10" s="405" customFormat="1" ht="12.75" x14ac:dyDescent="0.35">
      <c r="B125" s="483"/>
      <c r="C125" s="472">
        <v>44166</v>
      </c>
      <c r="D125" s="484"/>
      <c r="E125" s="473"/>
      <c r="F125" s="473">
        <v>44166</v>
      </c>
      <c r="G125" s="484">
        <v>0.4</v>
      </c>
      <c r="H125" s="455"/>
      <c r="I125" s="485"/>
      <c r="J125" s="453"/>
    </row>
    <row r="126" spans="2:10" s="405" customFormat="1" ht="12.75" x14ac:dyDescent="0.35">
      <c r="B126" s="483"/>
      <c r="C126" s="472">
        <v>44197</v>
      </c>
      <c r="D126" s="484"/>
      <c r="E126" s="473"/>
      <c r="F126" s="473">
        <v>44197</v>
      </c>
      <c r="G126" s="484">
        <v>0</v>
      </c>
      <c r="H126" s="455"/>
      <c r="I126" s="485"/>
      <c r="J126" s="453"/>
    </row>
    <row r="127" spans="2:10" s="405" customFormat="1" ht="12.75" x14ac:dyDescent="0.35">
      <c r="B127" s="483"/>
      <c r="C127" s="472">
        <v>44228</v>
      </c>
      <c r="D127" s="484"/>
      <c r="E127" s="473"/>
      <c r="F127" s="473">
        <v>44228</v>
      </c>
      <c r="G127" s="484">
        <v>90.866575699999999</v>
      </c>
      <c r="H127" s="455"/>
      <c r="I127" s="485"/>
      <c r="J127" s="453"/>
    </row>
    <row r="128" spans="2:10" s="405" customFormat="1" ht="12.75" x14ac:dyDescent="0.35">
      <c r="B128" s="483"/>
      <c r="C128" s="472">
        <v>44256</v>
      </c>
      <c r="D128" s="484"/>
      <c r="E128" s="473"/>
      <c r="F128" s="473">
        <v>44256</v>
      </c>
      <c r="G128" s="484">
        <v>0.35</v>
      </c>
      <c r="H128" s="455"/>
      <c r="I128" s="485"/>
      <c r="J128" s="453"/>
    </row>
    <row r="129" spans="2:10" s="405" customFormat="1" ht="12.75" x14ac:dyDescent="0.35">
      <c r="B129" s="483"/>
      <c r="C129" s="382"/>
      <c r="D129" s="466"/>
      <c r="E129" s="382"/>
      <c r="F129" s="382"/>
      <c r="G129" s="466"/>
      <c r="H129" s="382"/>
      <c r="I129" s="382"/>
      <c r="J129" s="466"/>
    </row>
    <row r="130" spans="2:10" s="405" customFormat="1" ht="12.75" x14ac:dyDescent="0.35">
      <c r="B130" s="483"/>
      <c r="C130" s="382"/>
      <c r="D130" s="466"/>
      <c r="E130" s="382"/>
      <c r="F130" s="382"/>
      <c r="G130" s="466"/>
      <c r="H130" s="382"/>
      <c r="I130" s="382"/>
      <c r="J130" s="466"/>
    </row>
    <row r="131" spans="2:10" s="405" customFormat="1" ht="12.75" x14ac:dyDescent="0.35">
      <c r="B131" s="475" t="s">
        <v>164</v>
      </c>
      <c r="C131" s="382"/>
      <c r="D131" s="486">
        <f>SUM(D117:D129)</f>
        <v>0</v>
      </c>
      <c r="E131" s="447"/>
      <c r="F131" s="447"/>
      <c r="G131" s="486">
        <f>SUM(G117:G129)</f>
        <v>98.852014499999996</v>
      </c>
      <c r="H131" s="382"/>
      <c r="I131" s="382"/>
      <c r="J131" s="486">
        <f>SUM(J117:J130)</f>
        <v>0</v>
      </c>
    </row>
    <row r="132" spans="2:10" s="405" customFormat="1" ht="12.75" x14ac:dyDescent="0.35">
      <c r="B132" s="456" t="s">
        <v>1123</v>
      </c>
      <c r="C132" s="487"/>
      <c r="D132" s="488"/>
      <c r="E132" s="489"/>
      <c r="F132" s="489"/>
      <c r="G132" s="488"/>
      <c r="H132" s="489"/>
      <c r="I132" s="489"/>
      <c r="J132" s="488"/>
    </row>
    <row r="133" spans="2:10" s="405" customFormat="1" ht="12.75" x14ac:dyDescent="0.35">
      <c r="B133" s="456"/>
      <c r="C133" s="487"/>
      <c r="D133" s="488"/>
      <c r="E133" s="489"/>
      <c r="F133" s="489"/>
      <c r="G133" s="488"/>
      <c r="H133" s="489"/>
      <c r="I133" s="489"/>
      <c r="J133" s="488"/>
    </row>
    <row r="134" spans="2:10" s="405" customFormat="1" ht="12.75" x14ac:dyDescent="0.35">
      <c r="B134" s="430" t="s">
        <v>1116</v>
      </c>
      <c r="C134" s="413"/>
      <c r="D134" s="462"/>
      <c r="E134" s="463"/>
      <c r="F134" s="463"/>
      <c r="G134" s="462"/>
      <c r="H134" s="463"/>
      <c r="I134" s="413"/>
      <c r="J134" s="462"/>
    </row>
    <row r="135" spans="2:10" s="405" customFormat="1" ht="12.75" x14ac:dyDescent="0.35">
      <c r="B135" s="430"/>
      <c r="C135" s="413"/>
      <c r="D135" s="462"/>
      <c r="E135" s="463"/>
      <c r="F135" s="463"/>
      <c r="G135" s="462"/>
      <c r="H135" s="463"/>
      <c r="I135" s="413"/>
      <c r="J135" s="462"/>
    </row>
    <row r="136" spans="2:10" s="405" customFormat="1" ht="12.75" x14ac:dyDescent="0.35">
      <c r="B136" s="430" t="s">
        <v>812</v>
      </c>
      <c r="C136" s="413"/>
      <c r="D136" s="462"/>
      <c r="E136" s="463"/>
      <c r="F136" s="463"/>
      <c r="G136" s="462"/>
      <c r="H136" s="463"/>
      <c r="I136" s="413"/>
      <c r="J136" s="462"/>
    </row>
    <row r="137" spans="2:10" s="405" customFormat="1" ht="12.75" x14ac:dyDescent="0.35">
      <c r="B137" s="430"/>
      <c r="C137" s="413"/>
      <c r="D137" s="462"/>
      <c r="E137" s="463"/>
      <c r="F137" s="463"/>
      <c r="G137" s="462"/>
      <c r="H137" s="463"/>
      <c r="I137" s="413"/>
      <c r="J137" s="462"/>
    </row>
    <row r="138" spans="2:10" s="405" customFormat="1" ht="12.75" x14ac:dyDescent="0.35">
      <c r="B138" s="2164" t="s">
        <v>111</v>
      </c>
      <c r="C138" s="2121" t="s">
        <v>792</v>
      </c>
      <c r="D138" s="2122"/>
      <c r="E138" s="2123"/>
      <c r="F138" s="2121" t="s">
        <v>793</v>
      </c>
      <c r="G138" s="2122"/>
      <c r="H138" s="2123"/>
      <c r="I138" s="2128" t="s">
        <v>794</v>
      </c>
      <c r="J138" s="2166" t="s">
        <v>795</v>
      </c>
    </row>
    <row r="139" spans="2:10" s="405" customFormat="1" ht="25.5" x14ac:dyDescent="0.35">
      <c r="B139" s="2165"/>
      <c r="C139" s="433" t="s">
        <v>796</v>
      </c>
      <c r="D139" s="464" t="s">
        <v>797</v>
      </c>
      <c r="E139" s="433" t="s">
        <v>798</v>
      </c>
      <c r="F139" s="433" t="s">
        <v>796</v>
      </c>
      <c r="G139" s="464" t="s">
        <v>797</v>
      </c>
      <c r="H139" s="432" t="s">
        <v>799</v>
      </c>
      <c r="I139" s="2129"/>
      <c r="J139" s="2167"/>
    </row>
    <row r="140" spans="2:10" s="405" customFormat="1" ht="12.75" x14ac:dyDescent="0.35">
      <c r="B140" s="465" t="s">
        <v>1117</v>
      </c>
      <c r="C140" s="382"/>
      <c r="D140" s="466"/>
      <c r="E140" s="382"/>
      <c r="F140" s="382"/>
      <c r="G140" s="466"/>
      <c r="H140" s="382"/>
      <c r="I140" s="382"/>
      <c r="J140" s="466"/>
    </row>
    <row r="141" spans="2:10" s="405" customFormat="1" ht="12.75" x14ac:dyDescent="0.35">
      <c r="B141" s="467" t="s">
        <v>1118</v>
      </c>
      <c r="C141" s="468">
        <v>43954</v>
      </c>
      <c r="D141" s="469">
        <v>0.1121968</v>
      </c>
      <c r="E141" s="468">
        <v>43961</v>
      </c>
      <c r="F141" s="468">
        <v>43962</v>
      </c>
      <c r="G141" s="469">
        <f>D141</f>
        <v>0.1121968</v>
      </c>
      <c r="H141" s="470">
        <f>G141/D141</f>
        <v>1</v>
      </c>
      <c r="I141" s="471"/>
      <c r="J141" s="469">
        <f>D141-G141</f>
        <v>0</v>
      </c>
    </row>
    <row r="142" spans="2:10" s="405" customFormat="1" ht="12.75" x14ac:dyDescent="0.35">
      <c r="B142" s="467" t="s">
        <v>1118</v>
      </c>
      <c r="C142" s="468">
        <v>43985</v>
      </c>
      <c r="D142" s="469">
        <v>0.1222853</v>
      </c>
      <c r="E142" s="468">
        <v>43992</v>
      </c>
      <c r="F142" s="468">
        <v>43992</v>
      </c>
      <c r="G142" s="469">
        <f t="shared" ref="G142:G153" si="24">D142</f>
        <v>0.1222853</v>
      </c>
      <c r="H142" s="470">
        <f t="shared" ref="H142:H153" si="25">G142/D142</f>
        <v>1</v>
      </c>
      <c r="I142" s="471"/>
      <c r="J142" s="469">
        <f t="shared" ref="J142:J153" si="26">D142-G142</f>
        <v>0</v>
      </c>
    </row>
    <row r="143" spans="2:10" s="405" customFormat="1" ht="12.75" x14ac:dyDescent="0.35">
      <c r="B143" s="467" t="s">
        <v>1118</v>
      </c>
      <c r="C143" s="468">
        <v>44002</v>
      </c>
      <c r="D143" s="469">
        <v>4.5073999999999999E-3</v>
      </c>
      <c r="E143" s="468">
        <v>44012</v>
      </c>
      <c r="F143" s="468">
        <v>44012</v>
      </c>
      <c r="G143" s="469">
        <f t="shared" si="24"/>
        <v>4.5073999999999999E-3</v>
      </c>
      <c r="H143" s="470">
        <f t="shared" si="25"/>
        <v>1</v>
      </c>
      <c r="I143" s="471"/>
      <c r="J143" s="469">
        <f t="shared" si="26"/>
        <v>0</v>
      </c>
    </row>
    <row r="144" spans="2:10" s="405" customFormat="1" ht="12.75" x14ac:dyDescent="0.35">
      <c r="B144" s="467" t="s">
        <v>1118</v>
      </c>
      <c r="C144" s="468">
        <v>44015</v>
      </c>
      <c r="D144" s="469">
        <v>0.16451160000000001</v>
      </c>
      <c r="E144" s="468">
        <v>44022</v>
      </c>
      <c r="F144" s="468">
        <v>44016</v>
      </c>
      <c r="G144" s="469">
        <f t="shared" si="24"/>
        <v>0.16451160000000001</v>
      </c>
      <c r="H144" s="470">
        <f t="shared" si="25"/>
        <v>1</v>
      </c>
      <c r="I144" s="471"/>
      <c r="J144" s="469">
        <f t="shared" si="26"/>
        <v>0</v>
      </c>
    </row>
    <row r="145" spans="2:10" s="405" customFormat="1" ht="12.75" x14ac:dyDescent="0.35">
      <c r="B145" s="467" t="s">
        <v>1118</v>
      </c>
      <c r="C145" s="468">
        <v>44046</v>
      </c>
      <c r="D145" s="469">
        <v>0.25315979999999999</v>
      </c>
      <c r="E145" s="468">
        <v>44053</v>
      </c>
      <c r="F145" s="468">
        <v>44047</v>
      </c>
      <c r="G145" s="469">
        <f t="shared" si="24"/>
        <v>0.25315979999999999</v>
      </c>
      <c r="H145" s="470">
        <f t="shared" si="25"/>
        <v>1</v>
      </c>
      <c r="I145" s="471"/>
      <c r="J145" s="469">
        <f t="shared" si="26"/>
        <v>0</v>
      </c>
    </row>
    <row r="146" spans="2:10" s="405" customFormat="1" ht="12.75" x14ac:dyDescent="0.35">
      <c r="B146" s="467" t="s">
        <v>1118</v>
      </c>
      <c r="C146" s="468">
        <v>44077</v>
      </c>
      <c r="D146" s="469">
        <v>0.40166760000000001</v>
      </c>
      <c r="E146" s="468">
        <v>44084</v>
      </c>
      <c r="F146" s="468">
        <v>44082</v>
      </c>
      <c r="G146" s="469">
        <f t="shared" si="24"/>
        <v>0.40166760000000001</v>
      </c>
      <c r="H146" s="470">
        <f t="shared" si="25"/>
        <v>1</v>
      </c>
      <c r="I146" s="471"/>
      <c r="J146" s="469">
        <f t="shared" si="26"/>
        <v>0</v>
      </c>
    </row>
    <row r="147" spans="2:10" s="405" customFormat="1" ht="12.75" x14ac:dyDescent="0.35">
      <c r="B147" s="467" t="s">
        <v>1118</v>
      </c>
      <c r="C147" s="468">
        <v>44107</v>
      </c>
      <c r="D147" s="469">
        <v>0.42534949999999999</v>
      </c>
      <c r="E147" s="468">
        <v>44113</v>
      </c>
      <c r="F147" s="468">
        <v>44113</v>
      </c>
      <c r="G147" s="469">
        <f t="shared" si="24"/>
        <v>0.42534949999999999</v>
      </c>
      <c r="H147" s="470">
        <f t="shared" si="25"/>
        <v>1</v>
      </c>
      <c r="I147" s="471"/>
      <c r="J147" s="469">
        <f t="shared" si="26"/>
        <v>0</v>
      </c>
    </row>
    <row r="148" spans="2:10" s="405" customFormat="1" ht="12.75" x14ac:dyDescent="0.35">
      <c r="B148" s="467" t="s">
        <v>1118</v>
      </c>
      <c r="C148" s="468">
        <v>44138</v>
      </c>
      <c r="D148" s="469">
        <v>0.38861289999999998</v>
      </c>
      <c r="E148" s="468">
        <v>44145</v>
      </c>
      <c r="F148" s="468">
        <v>44144</v>
      </c>
      <c r="G148" s="469">
        <f t="shared" si="24"/>
        <v>0.38861289999999998</v>
      </c>
      <c r="H148" s="470">
        <f t="shared" si="25"/>
        <v>1</v>
      </c>
      <c r="I148" s="471"/>
      <c r="J148" s="469">
        <f t="shared" si="26"/>
        <v>0</v>
      </c>
    </row>
    <row r="149" spans="2:10" s="405" customFormat="1" ht="12.75" x14ac:dyDescent="0.35">
      <c r="B149" s="467" t="s">
        <v>1118</v>
      </c>
      <c r="C149" s="468">
        <v>44167</v>
      </c>
      <c r="D149" s="469">
        <v>0.38370110000000002</v>
      </c>
      <c r="E149" s="468">
        <v>44174</v>
      </c>
      <c r="F149" s="468">
        <v>44174</v>
      </c>
      <c r="G149" s="469">
        <f t="shared" si="24"/>
        <v>0.38370110000000002</v>
      </c>
      <c r="H149" s="470">
        <f t="shared" si="25"/>
        <v>1</v>
      </c>
      <c r="I149" s="471"/>
      <c r="J149" s="469">
        <f t="shared" si="26"/>
        <v>0</v>
      </c>
    </row>
    <row r="150" spans="2:10" s="405" customFormat="1" ht="12.75" x14ac:dyDescent="0.35">
      <c r="B150" s="467" t="s">
        <v>1118</v>
      </c>
      <c r="C150" s="468">
        <v>44198</v>
      </c>
      <c r="D150" s="469">
        <v>0.3625601</v>
      </c>
      <c r="E150" s="468">
        <v>44205</v>
      </c>
      <c r="F150" s="468">
        <v>44197</v>
      </c>
      <c r="G150" s="469">
        <f t="shared" si="24"/>
        <v>0.3625601</v>
      </c>
      <c r="H150" s="470">
        <f t="shared" si="25"/>
        <v>1</v>
      </c>
      <c r="I150" s="471"/>
      <c r="J150" s="469">
        <f t="shared" si="26"/>
        <v>0</v>
      </c>
    </row>
    <row r="151" spans="2:10" s="405" customFormat="1" ht="12.75" x14ac:dyDescent="0.35">
      <c r="B151" s="467" t="s">
        <v>1118</v>
      </c>
      <c r="C151" s="468">
        <v>44229</v>
      </c>
      <c r="D151" s="469">
        <v>0.42056199999999999</v>
      </c>
      <c r="E151" s="468">
        <v>44236</v>
      </c>
      <c r="F151" s="468">
        <v>44235</v>
      </c>
      <c r="G151" s="469">
        <f t="shared" si="24"/>
        <v>0.42056199999999999</v>
      </c>
      <c r="H151" s="470">
        <f t="shared" si="25"/>
        <v>1</v>
      </c>
      <c r="I151" s="471"/>
      <c r="J151" s="469">
        <f t="shared" si="26"/>
        <v>0</v>
      </c>
    </row>
    <row r="152" spans="2:10" s="405" customFormat="1" ht="12.75" x14ac:dyDescent="0.35">
      <c r="B152" s="467" t="s">
        <v>1118</v>
      </c>
      <c r="C152" s="468">
        <v>44258</v>
      </c>
      <c r="D152" s="469">
        <v>0.41621059999999999</v>
      </c>
      <c r="E152" s="468">
        <v>44265</v>
      </c>
      <c r="F152" s="468">
        <v>44263</v>
      </c>
      <c r="G152" s="469">
        <f t="shared" si="24"/>
        <v>0.41621059999999999</v>
      </c>
      <c r="H152" s="470">
        <f t="shared" si="25"/>
        <v>1</v>
      </c>
      <c r="I152" s="471"/>
      <c r="J152" s="469">
        <f t="shared" si="26"/>
        <v>0</v>
      </c>
    </row>
    <row r="153" spans="2:10" s="405" customFormat="1" ht="12.75" x14ac:dyDescent="0.35">
      <c r="B153" s="467" t="s">
        <v>1118</v>
      </c>
      <c r="C153" s="468">
        <v>44289</v>
      </c>
      <c r="D153" s="469">
        <v>0.52911322200000011</v>
      </c>
      <c r="E153" s="468">
        <v>44296</v>
      </c>
      <c r="F153" s="468">
        <v>44295</v>
      </c>
      <c r="G153" s="469">
        <f t="shared" si="24"/>
        <v>0.52911322200000011</v>
      </c>
      <c r="H153" s="470">
        <f t="shared" si="25"/>
        <v>1</v>
      </c>
      <c r="I153" s="471"/>
      <c r="J153" s="469">
        <f t="shared" si="26"/>
        <v>0</v>
      </c>
    </row>
    <row r="154" spans="2:10" s="405" customFormat="1" ht="12.75" x14ac:dyDescent="0.35">
      <c r="B154" s="467"/>
      <c r="C154" s="472"/>
      <c r="D154" s="469"/>
      <c r="E154" s="473"/>
      <c r="F154" s="473"/>
      <c r="G154" s="469"/>
      <c r="H154" s="470"/>
      <c r="I154" s="471"/>
      <c r="J154" s="469"/>
    </row>
    <row r="155" spans="2:10" s="405" customFormat="1" ht="12.75" x14ac:dyDescent="0.35">
      <c r="B155" s="474" t="s">
        <v>1119</v>
      </c>
      <c r="C155" s="472"/>
      <c r="D155" s="469"/>
      <c r="E155" s="473"/>
      <c r="F155" s="473"/>
      <c r="G155" s="469"/>
      <c r="H155" s="470"/>
      <c r="I155" s="471"/>
      <c r="J155" s="469"/>
    </row>
    <row r="156" spans="2:10" s="405" customFormat="1" ht="12.75" x14ac:dyDescent="0.35">
      <c r="B156" s="467" t="s">
        <v>1120</v>
      </c>
      <c r="C156" s="468">
        <v>43955</v>
      </c>
      <c r="D156" s="469">
        <f>100000/10^7</f>
        <v>0.01</v>
      </c>
      <c r="E156" s="468">
        <f t="shared" ref="E156:E167" si="27">EDATE(C156,1)-1</f>
        <v>43985</v>
      </c>
      <c r="F156" s="468">
        <v>43981</v>
      </c>
      <c r="G156" s="469">
        <f t="shared" ref="G156:G163" si="28">D156</f>
        <v>0.01</v>
      </c>
      <c r="H156" s="470">
        <f t="shared" ref="H156:H167" si="29">G156/D156</f>
        <v>1</v>
      </c>
      <c r="I156" s="471"/>
      <c r="J156" s="469">
        <f t="shared" ref="J156:J167" si="30">D156-G156</f>
        <v>0</v>
      </c>
    </row>
    <row r="157" spans="2:10" s="405" customFormat="1" ht="12.75" x14ac:dyDescent="0.35">
      <c r="B157" s="467" t="s">
        <v>1120</v>
      </c>
      <c r="C157" s="468">
        <v>43983</v>
      </c>
      <c r="D157" s="469">
        <f t="shared" ref="D157:D167" si="31">100000/10^7</f>
        <v>0.01</v>
      </c>
      <c r="E157" s="468">
        <f t="shared" si="27"/>
        <v>44012</v>
      </c>
      <c r="F157" s="468">
        <v>44002</v>
      </c>
      <c r="G157" s="469">
        <f t="shared" si="28"/>
        <v>0.01</v>
      </c>
      <c r="H157" s="470">
        <f t="shared" si="29"/>
        <v>1</v>
      </c>
      <c r="I157" s="471"/>
      <c r="J157" s="469">
        <f t="shared" si="30"/>
        <v>0</v>
      </c>
    </row>
    <row r="158" spans="2:10" s="405" customFormat="1" ht="12.75" x14ac:dyDescent="0.35">
      <c r="B158" s="467" t="s">
        <v>1120</v>
      </c>
      <c r="C158" s="468">
        <v>44013</v>
      </c>
      <c r="D158" s="469">
        <f t="shared" si="31"/>
        <v>0.01</v>
      </c>
      <c r="E158" s="468">
        <f t="shared" si="27"/>
        <v>44043</v>
      </c>
      <c r="F158" s="468">
        <v>44040</v>
      </c>
      <c r="G158" s="469">
        <f t="shared" si="28"/>
        <v>0.01</v>
      </c>
      <c r="H158" s="470">
        <f t="shared" si="29"/>
        <v>1</v>
      </c>
      <c r="I158" s="471"/>
      <c r="J158" s="469">
        <f t="shared" si="30"/>
        <v>0</v>
      </c>
    </row>
    <row r="159" spans="2:10" s="405" customFormat="1" ht="12.75" x14ac:dyDescent="0.35">
      <c r="B159" s="467" t="s">
        <v>1120</v>
      </c>
      <c r="C159" s="468">
        <v>44046</v>
      </c>
      <c r="D159" s="469">
        <f t="shared" si="31"/>
        <v>0.01</v>
      </c>
      <c r="E159" s="468">
        <f t="shared" si="27"/>
        <v>44076</v>
      </c>
      <c r="F159" s="468">
        <v>44071</v>
      </c>
      <c r="G159" s="469">
        <f t="shared" si="28"/>
        <v>0.01</v>
      </c>
      <c r="H159" s="470">
        <f t="shared" si="29"/>
        <v>1</v>
      </c>
      <c r="I159" s="471"/>
      <c r="J159" s="469">
        <f t="shared" si="30"/>
        <v>0</v>
      </c>
    </row>
    <row r="160" spans="2:10" s="405" customFormat="1" ht="12.75" x14ac:dyDescent="0.35">
      <c r="B160" s="467" t="s">
        <v>1120</v>
      </c>
      <c r="C160" s="468">
        <v>44076</v>
      </c>
      <c r="D160" s="469">
        <f t="shared" si="31"/>
        <v>0.01</v>
      </c>
      <c r="E160" s="468">
        <f t="shared" si="27"/>
        <v>44105</v>
      </c>
      <c r="F160" s="468">
        <v>44103</v>
      </c>
      <c r="G160" s="469">
        <f t="shared" si="28"/>
        <v>0.01</v>
      </c>
      <c r="H160" s="470">
        <f t="shared" si="29"/>
        <v>1</v>
      </c>
      <c r="I160" s="471"/>
      <c r="J160" s="469">
        <f t="shared" si="30"/>
        <v>0</v>
      </c>
    </row>
    <row r="161" spans="2:10" s="405" customFormat="1" ht="12.75" x14ac:dyDescent="0.35">
      <c r="B161" s="467" t="s">
        <v>1120</v>
      </c>
      <c r="C161" s="468">
        <v>44105</v>
      </c>
      <c r="D161" s="469">
        <f t="shared" si="31"/>
        <v>0.01</v>
      </c>
      <c r="E161" s="468">
        <f t="shared" si="27"/>
        <v>44135</v>
      </c>
      <c r="F161" s="468">
        <v>43762</v>
      </c>
      <c r="G161" s="469">
        <f t="shared" si="28"/>
        <v>0.01</v>
      </c>
      <c r="H161" s="470">
        <f t="shared" si="29"/>
        <v>1</v>
      </c>
      <c r="I161" s="471"/>
      <c r="J161" s="469">
        <f t="shared" si="30"/>
        <v>0</v>
      </c>
    </row>
    <row r="162" spans="2:10" s="405" customFormat="1" ht="12.75" x14ac:dyDescent="0.35">
      <c r="B162" s="467" t="s">
        <v>1120</v>
      </c>
      <c r="C162" s="468">
        <v>44137</v>
      </c>
      <c r="D162" s="469">
        <f t="shared" si="31"/>
        <v>0.01</v>
      </c>
      <c r="E162" s="468">
        <f t="shared" si="27"/>
        <v>44166</v>
      </c>
      <c r="F162" s="2168" t="s">
        <v>1122</v>
      </c>
      <c r="G162" s="469">
        <f t="shared" si="28"/>
        <v>0.01</v>
      </c>
      <c r="H162" s="470">
        <f t="shared" si="29"/>
        <v>1</v>
      </c>
      <c r="I162" s="471"/>
      <c r="J162" s="469">
        <f t="shared" si="30"/>
        <v>0</v>
      </c>
    </row>
    <row r="163" spans="2:10" s="405" customFormat="1" ht="12.75" x14ac:dyDescent="0.35">
      <c r="B163" s="467" t="s">
        <v>1120</v>
      </c>
      <c r="C163" s="468">
        <v>44166</v>
      </c>
      <c r="D163" s="469">
        <f t="shared" si="31"/>
        <v>0.01</v>
      </c>
      <c r="E163" s="468">
        <f t="shared" si="27"/>
        <v>44196</v>
      </c>
      <c r="F163" s="2169"/>
      <c r="G163" s="469">
        <f t="shared" si="28"/>
        <v>0.01</v>
      </c>
      <c r="H163" s="470">
        <f t="shared" si="29"/>
        <v>1</v>
      </c>
      <c r="I163" s="471"/>
      <c r="J163" s="469">
        <f t="shared" si="30"/>
        <v>0</v>
      </c>
    </row>
    <row r="164" spans="2:10" s="405" customFormat="1" ht="12.75" x14ac:dyDescent="0.35">
      <c r="B164" s="467" t="s">
        <v>1120</v>
      </c>
      <c r="C164" s="468">
        <v>44197</v>
      </c>
      <c r="D164" s="469">
        <f t="shared" si="31"/>
        <v>0.01</v>
      </c>
      <c r="E164" s="468">
        <f t="shared" si="27"/>
        <v>44227</v>
      </c>
      <c r="F164" s="2169"/>
      <c r="G164" s="469">
        <f>D164</f>
        <v>0.01</v>
      </c>
      <c r="H164" s="470">
        <f t="shared" si="29"/>
        <v>1</v>
      </c>
      <c r="I164" s="471"/>
      <c r="J164" s="469">
        <f t="shared" si="30"/>
        <v>0</v>
      </c>
    </row>
    <row r="165" spans="2:10" s="405" customFormat="1" ht="12.75" x14ac:dyDescent="0.35">
      <c r="B165" s="467" t="s">
        <v>1120</v>
      </c>
      <c r="C165" s="468">
        <v>44228</v>
      </c>
      <c r="D165" s="469">
        <f t="shared" si="31"/>
        <v>0.01</v>
      </c>
      <c r="E165" s="468">
        <f t="shared" si="27"/>
        <v>44255</v>
      </c>
      <c r="F165" s="2169"/>
      <c r="G165" s="469">
        <f>D165</f>
        <v>0.01</v>
      </c>
      <c r="H165" s="470">
        <f t="shared" si="29"/>
        <v>1</v>
      </c>
      <c r="I165" s="471"/>
      <c r="J165" s="469">
        <f t="shared" si="30"/>
        <v>0</v>
      </c>
    </row>
    <row r="166" spans="2:10" s="405" customFormat="1" ht="12.75" x14ac:dyDescent="0.35">
      <c r="B166" s="467" t="s">
        <v>1120</v>
      </c>
      <c r="C166" s="468">
        <v>44256</v>
      </c>
      <c r="D166" s="469">
        <f t="shared" si="31"/>
        <v>0.01</v>
      </c>
      <c r="E166" s="468">
        <f t="shared" si="27"/>
        <v>44286</v>
      </c>
      <c r="F166" s="2170"/>
      <c r="G166" s="469">
        <f>D166</f>
        <v>0.01</v>
      </c>
      <c r="H166" s="470">
        <f t="shared" si="29"/>
        <v>1</v>
      </c>
      <c r="I166" s="471"/>
      <c r="J166" s="469">
        <f t="shared" si="30"/>
        <v>0</v>
      </c>
    </row>
    <row r="167" spans="2:10" s="405" customFormat="1" ht="12.75" x14ac:dyDescent="0.35">
      <c r="B167" s="467" t="s">
        <v>1120</v>
      </c>
      <c r="C167" s="468">
        <v>44287</v>
      </c>
      <c r="D167" s="469">
        <f t="shared" si="31"/>
        <v>0.01</v>
      </c>
      <c r="E167" s="468">
        <f t="shared" si="27"/>
        <v>44316</v>
      </c>
      <c r="F167" s="468">
        <v>44302</v>
      </c>
      <c r="G167" s="469">
        <f>D167</f>
        <v>0.01</v>
      </c>
      <c r="H167" s="470">
        <f t="shared" si="29"/>
        <v>1</v>
      </c>
      <c r="I167" s="471"/>
      <c r="J167" s="469">
        <f t="shared" si="30"/>
        <v>0</v>
      </c>
    </row>
    <row r="168" spans="2:10" s="405" customFormat="1" ht="12.75" x14ac:dyDescent="0.35">
      <c r="B168" s="467"/>
      <c r="C168" s="472"/>
      <c r="D168" s="469"/>
      <c r="E168" s="473"/>
      <c r="F168" s="473"/>
      <c r="G168" s="469"/>
      <c r="H168" s="470"/>
      <c r="I168" s="471"/>
      <c r="J168" s="469"/>
    </row>
    <row r="169" spans="2:10" s="405" customFormat="1" ht="12.75" x14ac:dyDescent="0.35">
      <c r="B169" s="475" t="s">
        <v>164</v>
      </c>
      <c r="C169" s="447"/>
      <c r="D169" s="476">
        <f>SUM(D141:D168)</f>
        <v>4.1044379219999971</v>
      </c>
      <c r="E169" s="477"/>
      <c r="F169" s="477"/>
      <c r="G169" s="476">
        <f>SUM(G141:G168)</f>
        <v>4.1044379219999971</v>
      </c>
      <c r="H169" s="477"/>
      <c r="I169" s="447"/>
      <c r="J169" s="476">
        <f>SUM(J141:J168)</f>
        <v>0</v>
      </c>
    </row>
    <row r="170" spans="2:10" s="405" customFormat="1" ht="12.75" x14ac:dyDescent="0.35">
      <c r="B170" s="430"/>
      <c r="C170" s="413"/>
      <c r="D170" s="462"/>
      <c r="E170" s="463"/>
      <c r="F170" s="463"/>
      <c r="G170" s="462"/>
      <c r="H170" s="463"/>
      <c r="I170" s="413"/>
      <c r="J170" s="462"/>
    </row>
    <row r="171" spans="2:10" s="405" customFormat="1" ht="12.75" x14ac:dyDescent="0.35">
      <c r="B171" s="456"/>
      <c r="C171" s="377"/>
      <c r="D171" s="478"/>
      <c r="E171" s="377"/>
      <c r="F171" s="377"/>
      <c r="G171" s="478"/>
      <c r="H171" s="377"/>
      <c r="I171" s="377"/>
      <c r="J171" s="478"/>
    </row>
    <row r="172" spans="2:10" s="405" customFormat="1" ht="12.75" x14ac:dyDescent="0.35">
      <c r="B172" s="430" t="s">
        <v>800</v>
      </c>
      <c r="C172" s="377"/>
      <c r="D172" s="478"/>
      <c r="E172" s="377"/>
      <c r="F172" s="377"/>
      <c r="G172" s="478"/>
      <c r="H172" s="377"/>
      <c r="I172" s="377"/>
      <c r="J172" s="478"/>
    </row>
    <row r="173" spans="2:10" s="405" customFormat="1" ht="12.75" x14ac:dyDescent="0.35">
      <c r="B173" s="456"/>
      <c r="C173" s="377"/>
      <c r="D173" s="479"/>
      <c r="E173" s="377"/>
      <c r="F173" s="377"/>
      <c r="G173" s="479"/>
      <c r="H173" s="377"/>
      <c r="I173" s="377"/>
      <c r="J173" s="479"/>
    </row>
    <row r="174" spans="2:10" s="405" customFormat="1" ht="12.75" x14ac:dyDescent="0.35">
      <c r="B174" s="2164" t="s">
        <v>111</v>
      </c>
      <c r="C174" s="2121" t="s">
        <v>801</v>
      </c>
      <c r="D174" s="2122"/>
      <c r="E174" s="2123"/>
      <c r="F174" s="2121" t="s">
        <v>793</v>
      </c>
      <c r="G174" s="2122"/>
      <c r="H174" s="2123"/>
      <c r="I174" s="2127" t="s">
        <v>794</v>
      </c>
      <c r="J174" s="2171" t="s">
        <v>795</v>
      </c>
    </row>
    <row r="175" spans="2:10" s="405" customFormat="1" ht="25.5" x14ac:dyDescent="0.35">
      <c r="B175" s="2165"/>
      <c r="C175" s="433" t="s">
        <v>796</v>
      </c>
      <c r="D175" s="464" t="s">
        <v>797</v>
      </c>
      <c r="E175" s="433" t="s">
        <v>798</v>
      </c>
      <c r="F175" s="433" t="s">
        <v>796</v>
      </c>
      <c r="G175" s="464" t="s">
        <v>797</v>
      </c>
      <c r="H175" s="432" t="s">
        <v>802</v>
      </c>
      <c r="I175" s="2127"/>
      <c r="J175" s="2171"/>
    </row>
    <row r="176" spans="2:10" s="405" customFormat="1" ht="12.75" x14ac:dyDescent="0.35">
      <c r="B176" s="480"/>
      <c r="C176" s="451"/>
      <c r="D176" s="481"/>
      <c r="E176" s="451"/>
      <c r="F176" s="451"/>
      <c r="G176" s="481"/>
      <c r="H176" s="452"/>
      <c r="I176" s="452"/>
      <c r="J176" s="482"/>
    </row>
    <row r="177" spans="2:10" s="405" customFormat="1" ht="12.75" x14ac:dyDescent="0.35">
      <c r="B177" s="475" t="s">
        <v>803</v>
      </c>
      <c r="C177" s="382"/>
      <c r="D177" s="466"/>
      <c r="E177" s="382"/>
      <c r="F177" s="382"/>
      <c r="G177" s="466"/>
      <c r="H177" s="382"/>
      <c r="I177" s="382"/>
      <c r="J177" s="466"/>
    </row>
    <row r="178" spans="2:10" s="405" customFormat="1" ht="12.75" x14ac:dyDescent="0.35">
      <c r="B178" s="475"/>
      <c r="C178" s="382"/>
      <c r="D178" s="466"/>
      <c r="E178" s="382"/>
      <c r="F178" s="382"/>
      <c r="G178" s="466"/>
      <c r="H178" s="382"/>
      <c r="I178" s="382"/>
      <c r="J178" s="466"/>
    </row>
    <row r="179" spans="2:10" s="405" customFormat="1" ht="12.75" x14ac:dyDescent="0.35">
      <c r="B179" s="483" t="s">
        <v>1121</v>
      </c>
      <c r="C179" s="472">
        <v>43922</v>
      </c>
      <c r="D179" s="484"/>
      <c r="E179" s="473"/>
      <c r="F179" s="473">
        <v>43922</v>
      </c>
      <c r="G179" s="484">
        <v>3.5177899999999998E-2</v>
      </c>
      <c r="H179" s="455"/>
      <c r="I179" s="485"/>
      <c r="J179" s="453"/>
    </row>
    <row r="180" spans="2:10" s="405" customFormat="1" ht="12.75" x14ac:dyDescent="0.35">
      <c r="B180" s="483"/>
      <c r="C180" s="472">
        <v>43952</v>
      </c>
      <c r="D180" s="484"/>
      <c r="E180" s="473"/>
      <c r="F180" s="473">
        <v>43952</v>
      </c>
      <c r="G180" s="484">
        <v>0</v>
      </c>
      <c r="H180" s="455"/>
      <c r="I180" s="485"/>
      <c r="J180" s="453"/>
    </row>
    <row r="181" spans="2:10" s="405" customFormat="1" ht="12.75" x14ac:dyDescent="0.35">
      <c r="B181" s="483"/>
      <c r="C181" s="472">
        <v>43983</v>
      </c>
      <c r="D181" s="484"/>
      <c r="E181" s="473"/>
      <c r="F181" s="473">
        <v>43983</v>
      </c>
      <c r="G181" s="484">
        <v>1.02</v>
      </c>
      <c r="H181" s="455"/>
      <c r="I181" s="485"/>
      <c r="J181" s="453"/>
    </row>
    <row r="182" spans="2:10" s="405" customFormat="1" ht="12.75" x14ac:dyDescent="0.35">
      <c r="B182" s="483"/>
      <c r="C182" s="472">
        <v>44013</v>
      </c>
      <c r="D182" s="484"/>
      <c r="E182" s="473"/>
      <c r="F182" s="473">
        <v>44013</v>
      </c>
      <c r="G182" s="484">
        <v>4.2125649000000003</v>
      </c>
      <c r="H182" s="455"/>
      <c r="I182" s="485"/>
      <c r="J182" s="453"/>
    </row>
    <row r="183" spans="2:10" s="405" customFormat="1" ht="12.75" x14ac:dyDescent="0.35">
      <c r="B183" s="483"/>
      <c r="C183" s="472">
        <v>44044</v>
      </c>
      <c r="D183" s="484"/>
      <c r="E183" s="473"/>
      <c r="F183" s="473">
        <v>44044</v>
      </c>
      <c r="G183" s="484">
        <v>0</v>
      </c>
      <c r="H183" s="455"/>
      <c r="I183" s="485"/>
      <c r="J183" s="453"/>
    </row>
    <row r="184" spans="2:10" s="405" customFormat="1" ht="12.75" x14ac:dyDescent="0.35">
      <c r="B184" s="483"/>
      <c r="C184" s="472">
        <v>44075</v>
      </c>
      <c r="D184" s="484"/>
      <c r="E184" s="473"/>
      <c r="F184" s="473">
        <v>44075</v>
      </c>
      <c r="G184" s="484">
        <v>0.80269599999999997</v>
      </c>
      <c r="H184" s="455"/>
      <c r="I184" s="485"/>
      <c r="J184" s="453"/>
    </row>
    <row r="185" spans="2:10" s="405" customFormat="1" ht="12.75" x14ac:dyDescent="0.35">
      <c r="B185" s="483"/>
      <c r="C185" s="472">
        <v>44105</v>
      </c>
      <c r="D185" s="484"/>
      <c r="E185" s="473"/>
      <c r="F185" s="473">
        <v>44105</v>
      </c>
      <c r="G185" s="484">
        <v>0</v>
      </c>
      <c r="H185" s="455"/>
      <c r="I185" s="485"/>
      <c r="J185" s="453"/>
    </row>
    <row r="186" spans="2:10" s="405" customFormat="1" ht="12.75" x14ac:dyDescent="0.35">
      <c r="B186" s="483"/>
      <c r="C186" s="472">
        <v>44136</v>
      </c>
      <c r="D186" s="484"/>
      <c r="E186" s="473"/>
      <c r="F186" s="473">
        <v>44136</v>
      </c>
      <c r="G186" s="484">
        <v>1.165</v>
      </c>
      <c r="H186" s="455"/>
      <c r="I186" s="485"/>
      <c r="J186" s="453"/>
    </row>
    <row r="187" spans="2:10" s="405" customFormat="1" ht="12.75" x14ac:dyDescent="0.35">
      <c r="B187" s="483"/>
      <c r="C187" s="472">
        <v>44166</v>
      </c>
      <c r="D187" s="484"/>
      <c r="E187" s="473"/>
      <c r="F187" s="473">
        <v>44166</v>
      </c>
      <c r="G187" s="484">
        <v>0.4</v>
      </c>
      <c r="H187" s="455"/>
      <c r="I187" s="485"/>
      <c r="J187" s="453"/>
    </row>
    <row r="188" spans="2:10" s="405" customFormat="1" ht="12.75" x14ac:dyDescent="0.35">
      <c r="B188" s="483"/>
      <c r="C188" s="472">
        <v>44197</v>
      </c>
      <c r="D188" s="484"/>
      <c r="E188" s="473"/>
      <c r="F188" s="473">
        <v>44197</v>
      </c>
      <c r="G188" s="484">
        <v>0</v>
      </c>
      <c r="H188" s="455"/>
      <c r="I188" s="485"/>
      <c r="J188" s="453"/>
    </row>
    <row r="189" spans="2:10" s="405" customFormat="1" ht="12.75" x14ac:dyDescent="0.35">
      <c r="B189" s="483"/>
      <c r="C189" s="472">
        <v>44228</v>
      </c>
      <c r="D189" s="484"/>
      <c r="E189" s="473"/>
      <c r="F189" s="473">
        <v>44228</v>
      </c>
      <c r="G189" s="484">
        <v>90.866575699999999</v>
      </c>
      <c r="H189" s="455"/>
      <c r="I189" s="485"/>
      <c r="J189" s="453"/>
    </row>
    <row r="190" spans="2:10" s="405" customFormat="1" ht="12.75" x14ac:dyDescent="0.35">
      <c r="B190" s="483"/>
      <c r="C190" s="472">
        <v>44256</v>
      </c>
      <c r="D190" s="484"/>
      <c r="E190" s="473"/>
      <c r="F190" s="473">
        <v>44256</v>
      </c>
      <c r="G190" s="484">
        <v>0.35</v>
      </c>
      <c r="H190" s="455"/>
      <c r="I190" s="485"/>
      <c r="J190" s="453"/>
    </row>
    <row r="191" spans="2:10" s="405" customFormat="1" ht="12.75" x14ac:dyDescent="0.35">
      <c r="B191" s="483"/>
      <c r="C191" s="382"/>
      <c r="D191" s="466"/>
      <c r="E191" s="382"/>
      <c r="F191" s="382"/>
      <c r="G191" s="466"/>
      <c r="H191" s="382"/>
      <c r="I191" s="382"/>
      <c r="J191" s="466"/>
    </row>
    <row r="192" spans="2:10" s="405" customFormat="1" ht="12.75" x14ac:dyDescent="0.35">
      <c r="B192" s="483"/>
      <c r="C192" s="382"/>
      <c r="D192" s="466"/>
      <c r="E192" s="382"/>
      <c r="F192" s="382"/>
      <c r="G192" s="466"/>
      <c r="H192" s="382"/>
      <c r="I192" s="382"/>
      <c r="J192" s="466"/>
    </row>
    <row r="193" spans="2:22" s="405" customFormat="1" ht="12.75" x14ac:dyDescent="0.35">
      <c r="B193" s="475" t="s">
        <v>164</v>
      </c>
      <c r="C193" s="382"/>
      <c r="D193" s="486">
        <f>SUM(D179:D191)</f>
        <v>0</v>
      </c>
      <c r="E193" s="447"/>
      <c r="F193" s="447"/>
      <c r="G193" s="486">
        <f>SUM(G179:G191)</f>
        <v>98.852014499999996</v>
      </c>
      <c r="H193" s="382"/>
      <c r="I193" s="382"/>
      <c r="J193" s="486">
        <f>SUM(J179:J192)</f>
        <v>0</v>
      </c>
    </row>
    <row r="194" spans="2:22" s="405" customFormat="1" ht="12.75" x14ac:dyDescent="0.35">
      <c r="B194" s="456" t="s">
        <v>1123</v>
      </c>
      <c r="C194" s="487"/>
      <c r="D194" s="488"/>
      <c r="E194" s="489"/>
      <c r="F194" s="489"/>
      <c r="G194" s="488"/>
      <c r="H194" s="489"/>
      <c r="I194" s="489"/>
      <c r="J194" s="488"/>
    </row>
    <row r="195" spans="2:22" s="405" customFormat="1" ht="12.75" x14ac:dyDescent="0.35">
      <c r="B195" s="456"/>
      <c r="C195" s="487"/>
      <c r="D195" s="488"/>
      <c r="E195" s="489"/>
      <c r="F195" s="489"/>
      <c r="G195" s="488"/>
      <c r="H195" s="489"/>
      <c r="I195" s="489"/>
      <c r="J195" s="488"/>
    </row>
    <row r="196" spans="2:22" s="10" customFormat="1" x14ac:dyDescent="0.35">
      <c r="B196" s="49" t="s">
        <v>763</v>
      </c>
      <c r="C196" s="57"/>
      <c r="D196" s="57"/>
      <c r="E196" s="57"/>
      <c r="F196" s="57"/>
      <c r="G196" s="57"/>
      <c r="H196" s="57"/>
    </row>
    <row r="197" spans="2:22" s="10" customFormat="1" x14ac:dyDescent="0.35">
      <c r="B197" s="49"/>
      <c r="C197" s="57"/>
      <c r="D197" s="57"/>
      <c r="E197" s="57"/>
      <c r="F197" s="57"/>
      <c r="G197" s="57"/>
      <c r="H197" s="57"/>
    </row>
    <row r="198" spans="2:22" s="10" customFormat="1" x14ac:dyDescent="0.35">
      <c r="B198" s="49" t="s">
        <v>1892</v>
      </c>
      <c r="C198" s="57"/>
      <c r="D198" s="57"/>
      <c r="E198" s="57"/>
      <c r="F198" s="57"/>
      <c r="G198" s="57"/>
      <c r="H198" s="57"/>
    </row>
    <row r="199" spans="2:22" s="10" customFormat="1" x14ac:dyDescent="0.35">
      <c r="B199" s="49"/>
      <c r="C199" s="57"/>
      <c r="D199" s="57"/>
      <c r="E199" s="57"/>
      <c r="F199" s="57"/>
      <c r="G199" s="57"/>
      <c r="H199" s="57"/>
    </row>
    <row r="200" spans="2:22" s="10" customFormat="1" x14ac:dyDescent="0.35">
      <c r="B200" s="2162" t="s">
        <v>111</v>
      </c>
      <c r="C200" s="2141" t="s">
        <v>792</v>
      </c>
      <c r="D200" s="2142"/>
      <c r="E200" s="2143"/>
      <c r="F200" s="2141" t="s">
        <v>793</v>
      </c>
      <c r="G200" s="2142"/>
      <c r="H200" s="2143"/>
      <c r="I200" s="1991" t="s">
        <v>794</v>
      </c>
      <c r="J200" s="1991" t="s">
        <v>795</v>
      </c>
    </row>
    <row r="201" spans="2:22" s="10" customFormat="1" ht="27" x14ac:dyDescent="0.35">
      <c r="B201" s="2163"/>
      <c r="C201" s="184" t="s">
        <v>796</v>
      </c>
      <c r="D201" s="184" t="s">
        <v>797</v>
      </c>
      <c r="E201" s="184" t="s">
        <v>798</v>
      </c>
      <c r="F201" s="184" t="s">
        <v>796</v>
      </c>
      <c r="G201" s="184" t="s">
        <v>797</v>
      </c>
      <c r="H201" s="185" t="s">
        <v>799</v>
      </c>
      <c r="I201" s="1991"/>
      <c r="J201" s="1991"/>
    </row>
    <row r="202" spans="2:22" s="16" customFormat="1" x14ac:dyDescent="0.35">
      <c r="B202" s="19"/>
      <c r="C202" s="58"/>
      <c r="D202" s="58"/>
      <c r="E202" s="58"/>
      <c r="F202" s="58"/>
      <c r="G202" s="58"/>
      <c r="H202" s="58"/>
      <c r="I202" s="19"/>
      <c r="J202" s="19"/>
      <c r="K202" s="10"/>
      <c r="L202" s="10"/>
      <c r="M202" s="10"/>
      <c r="N202" s="10"/>
      <c r="O202" s="10"/>
      <c r="P202" s="10"/>
      <c r="Q202" s="10"/>
      <c r="R202" s="10"/>
      <c r="S202" s="10"/>
      <c r="T202" s="10"/>
      <c r="U202" s="10"/>
      <c r="V202" s="10"/>
    </row>
    <row r="203" spans="2:22" s="10" customFormat="1" x14ac:dyDescent="0.35">
      <c r="B203" s="1853" t="s">
        <v>1883</v>
      </c>
      <c r="C203" s="1854">
        <v>44683</v>
      </c>
      <c r="D203" s="1855">
        <v>0.63327599999999995</v>
      </c>
      <c r="E203" s="1856">
        <v>44713</v>
      </c>
      <c r="F203" s="1856">
        <v>44688</v>
      </c>
      <c r="G203" s="1855">
        <v>0.619977204</v>
      </c>
      <c r="H203" s="1858">
        <f>+G203/D203</f>
        <v>0.97900000000000009</v>
      </c>
      <c r="I203" s="675">
        <f>MAX(0,F203-E203)</f>
        <v>0</v>
      </c>
      <c r="J203" s="675">
        <v>0</v>
      </c>
    </row>
    <row r="204" spans="2:22" s="10" customFormat="1" x14ac:dyDescent="0.35">
      <c r="B204" s="1853" t="s">
        <v>1883</v>
      </c>
      <c r="C204" s="1854">
        <v>44713</v>
      </c>
      <c r="D204" s="1855">
        <v>0.66775435999999999</v>
      </c>
      <c r="E204" s="1856">
        <v>44743</v>
      </c>
      <c r="F204" s="1856">
        <v>44719</v>
      </c>
      <c r="G204" s="1855">
        <v>0.65373151843999988</v>
      </c>
      <c r="H204" s="1858">
        <f t="shared" ref="H204:H216" si="32">+G204/D204</f>
        <v>0.97899999999999987</v>
      </c>
      <c r="I204" s="675">
        <f t="shared" ref="I204:I216" si="33">MAX(0,F204-E204)</f>
        <v>0</v>
      </c>
      <c r="J204" s="675">
        <v>0</v>
      </c>
    </row>
    <row r="205" spans="2:22" s="10" customFormat="1" x14ac:dyDescent="0.35">
      <c r="B205" s="1853" t="s">
        <v>1883</v>
      </c>
      <c r="C205" s="1854">
        <v>44743</v>
      </c>
      <c r="D205" s="1855">
        <v>0.67204799999999998</v>
      </c>
      <c r="E205" s="1856">
        <v>44773</v>
      </c>
      <c r="F205" s="1856">
        <v>44749</v>
      </c>
      <c r="G205" s="1855">
        <v>0.65793500000000005</v>
      </c>
      <c r="H205" s="1858">
        <f t="shared" si="32"/>
        <v>0.97900001190391173</v>
      </c>
      <c r="I205" s="675">
        <f t="shared" si="33"/>
        <v>0</v>
      </c>
      <c r="J205" s="675">
        <v>0</v>
      </c>
    </row>
    <row r="206" spans="2:22" s="10" customFormat="1" x14ac:dyDescent="0.35">
      <c r="B206" s="1853" t="s">
        <v>1883</v>
      </c>
      <c r="C206" s="1854">
        <v>44774</v>
      </c>
      <c r="D206" s="1855">
        <v>0.92102751799999993</v>
      </c>
      <c r="E206" s="1856">
        <v>44804</v>
      </c>
      <c r="F206" s="1856">
        <v>44778</v>
      </c>
      <c r="G206" s="1855">
        <v>0.90168599999999999</v>
      </c>
      <c r="H206" s="1858">
        <f t="shared" si="32"/>
        <v>0.97900006501217274</v>
      </c>
      <c r="I206" s="675">
        <f t="shared" si="33"/>
        <v>0</v>
      </c>
      <c r="J206" s="675">
        <v>0</v>
      </c>
    </row>
    <row r="207" spans="2:22" s="10" customFormat="1" x14ac:dyDescent="0.35">
      <c r="B207" s="1853" t="s">
        <v>1883</v>
      </c>
      <c r="C207" s="1854">
        <v>44805</v>
      </c>
      <c r="D207" s="1855">
        <v>0.89773536999999992</v>
      </c>
      <c r="E207" s="1856">
        <v>44835</v>
      </c>
      <c r="F207" s="1856">
        <v>44811</v>
      </c>
      <c r="G207" s="1855">
        <v>0.87888299999999997</v>
      </c>
      <c r="H207" s="1858">
        <f t="shared" si="32"/>
        <v>0.97900008105952208</v>
      </c>
      <c r="I207" s="675">
        <f t="shared" si="33"/>
        <v>0</v>
      </c>
      <c r="J207" s="675">
        <v>0</v>
      </c>
    </row>
    <row r="208" spans="2:22" s="10" customFormat="1" x14ac:dyDescent="0.35">
      <c r="B208" s="1853" t="s">
        <v>1883</v>
      </c>
      <c r="C208" s="1854">
        <v>44835</v>
      </c>
      <c r="D208" s="1855">
        <v>0.93092728000000002</v>
      </c>
      <c r="E208" s="1856">
        <v>44865</v>
      </c>
      <c r="F208" s="1856">
        <v>44841</v>
      </c>
      <c r="G208" s="1855">
        <v>0.91137789999999996</v>
      </c>
      <c r="H208" s="1858">
        <f t="shared" si="32"/>
        <v>0.97900009977148794</v>
      </c>
      <c r="I208" s="675">
        <f t="shared" si="33"/>
        <v>0</v>
      </c>
      <c r="J208" s="675">
        <v>0</v>
      </c>
    </row>
    <row r="209" spans="2:10" s="10" customFormat="1" x14ac:dyDescent="0.35">
      <c r="B209" s="1853" t="s">
        <v>1883</v>
      </c>
      <c r="C209" s="1854">
        <v>44866</v>
      </c>
      <c r="D209" s="1855">
        <v>0.86395964299999994</v>
      </c>
      <c r="E209" s="1856">
        <v>44896</v>
      </c>
      <c r="F209" s="1856">
        <v>44872</v>
      </c>
      <c r="G209" s="1855">
        <v>0.84581649999999997</v>
      </c>
      <c r="H209" s="1858">
        <f t="shared" si="32"/>
        <v>0.97900001099935641</v>
      </c>
      <c r="I209" s="675">
        <f t="shared" si="33"/>
        <v>0</v>
      </c>
      <c r="J209" s="675">
        <v>0</v>
      </c>
    </row>
    <row r="210" spans="2:10" s="10" customFormat="1" x14ac:dyDescent="0.35">
      <c r="B210" s="1853" t="s">
        <v>1883</v>
      </c>
      <c r="C210" s="1854">
        <v>44896</v>
      </c>
      <c r="D210" s="1855">
        <v>0.96567070500000007</v>
      </c>
      <c r="E210" s="1856">
        <v>44926</v>
      </c>
      <c r="F210" s="1856">
        <v>44902</v>
      </c>
      <c r="G210" s="1855">
        <v>0.9453916</v>
      </c>
      <c r="H210" s="1858">
        <f t="shared" si="32"/>
        <v>0.97899997908707392</v>
      </c>
      <c r="I210" s="675">
        <f t="shared" si="33"/>
        <v>0</v>
      </c>
      <c r="J210" s="675">
        <v>0</v>
      </c>
    </row>
    <row r="211" spans="2:10" s="10" customFormat="1" x14ac:dyDescent="0.35">
      <c r="B211" s="1853" t="s">
        <v>1883</v>
      </c>
      <c r="C211" s="1854">
        <v>44928</v>
      </c>
      <c r="D211" s="1855">
        <v>0.413098295</v>
      </c>
      <c r="E211" s="1856">
        <v>44958</v>
      </c>
      <c r="F211" s="1856">
        <v>44935</v>
      </c>
      <c r="G211" s="1855">
        <v>0.40442319999999998</v>
      </c>
      <c r="H211" s="1858">
        <f t="shared" si="32"/>
        <v>0.9789999254293702</v>
      </c>
      <c r="I211" s="675">
        <f t="shared" si="33"/>
        <v>0</v>
      </c>
      <c r="J211" s="675">
        <v>0</v>
      </c>
    </row>
    <row r="212" spans="2:10" s="10" customFormat="1" x14ac:dyDescent="0.35">
      <c r="B212" s="1853" t="s">
        <v>1883</v>
      </c>
      <c r="C212" s="1854">
        <v>44958</v>
      </c>
      <c r="D212" s="1855">
        <v>1.0088503499999999</v>
      </c>
      <c r="E212" s="1856">
        <v>44988</v>
      </c>
      <c r="F212" s="1856">
        <v>44963</v>
      </c>
      <c r="G212" s="1855">
        <v>0.98766449999999995</v>
      </c>
      <c r="H212" s="1858">
        <f t="shared" si="32"/>
        <v>0.97900000728552061</v>
      </c>
      <c r="I212" s="675">
        <f t="shared" si="33"/>
        <v>0</v>
      </c>
      <c r="J212" s="675">
        <v>0</v>
      </c>
    </row>
    <row r="213" spans="2:10" s="10" customFormat="1" x14ac:dyDescent="0.35">
      <c r="B213" s="1853" t="s">
        <v>1883</v>
      </c>
      <c r="C213" s="1854">
        <v>44988</v>
      </c>
      <c r="D213" s="1855">
        <v>0.80304839800000005</v>
      </c>
      <c r="E213" s="1856">
        <v>45018</v>
      </c>
      <c r="F213" s="1856">
        <v>44991</v>
      </c>
      <c r="G213" s="1855">
        <v>0.78618440000000001</v>
      </c>
      <c r="H213" s="1858">
        <f t="shared" si="32"/>
        <v>0.97900002286039045</v>
      </c>
      <c r="I213" s="675">
        <f t="shared" si="33"/>
        <v>0</v>
      </c>
      <c r="J213" s="675">
        <v>0</v>
      </c>
    </row>
    <row r="214" spans="2:10" s="10" customFormat="1" x14ac:dyDescent="0.35">
      <c r="B214" s="1853" t="s">
        <v>1884</v>
      </c>
      <c r="C214" s="1854">
        <v>44986</v>
      </c>
      <c r="D214" s="1855">
        <v>0.70436359999999998</v>
      </c>
      <c r="E214" s="1856">
        <v>45016</v>
      </c>
      <c r="F214" s="1856">
        <v>44994</v>
      </c>
      <c r="G214" s="1855">
        <v>0.68957190000000002</v>
      </c>
      <c r="H214" s="1858">
        <f t="shared" si="32"/>
        <v>0.9789999085699489</v>
      </c>
      <c r="I214" s="675">
        <f t="shared" si="33"/>
        <v>0</v>
      </c>
      <c r="J214" s="675">
        <v>0</v>
      </c>
    </row>
    <row r="215" spans="2:10" s="10" customFormat="1" x14ac:dyDescent="0.35">
      <c r="B215" s="1853" t="s">
        <v>1883</v>
      </c>
      <c r="C215" s="1854">
        <v>45017</v>
      </c>
      <c r="D215" s="1855">
        <v>0.87076779999999998</v>
      </c>
      <c r="E215" s="1856">
        <v>45047</v>
      </c>
      <c r="F215" s="1856">
        <v>45022</v>
      </c>
      <c r="G215" s="1855">
        <v>0.85248159999999995</v>
      </c>
      <c r="H215" s="1858">
        <f t="shared" si="32"/>
        <v>0.97899991249102225</v>
      </c>
      <c r="I215" s="675">
        <f t="shared" si="33"/>
        <v>0</v>
      </c>
      <c r="J215" s="675">
        <v>0</v>
      </c>
    </row>
    <row r="216" spans="2:10" s="10" customFormat="1" x14ac:dyDescent="0.35">
      <c r="B216" s="1853" t="s">
        <v>1884</v>
      </c>
      <c r="C216" s="1854">
        <v>45020</v>
      </c>
      <c r="D216" s="1855">
        <v>0.76693900000000004</v>
      </c>
      <c r="E216" s="1856">
        <v>45050</v>
      </c>
      <c r="F216" s="1856">
        <v>45026</v>
      </c>
      <c r="G216" s="1855">
        <v>0.75083330000000004</v>
      </c>
      <c r="H216" s="1858">
        <f t="shared" si="32"/>
        <v>0.97900002477380865</v>
      </c>
      <c r="I216" s="675">
        <f t="shared" si="33"/>
        <v>0</v>
      </c>
      <c r="J216" s="675">
        <v>0</v>
      </c>
    </row>
    <row r="217" spans="2:10" s="10" customFormat="1" x14ac:dyDescent="0.35">
      <c r="B217" s="19"/>
      <c r="C217" s="58"/>
      <c r="D217" s="58"/>
      <c r="E217" s="58"/>
      <c r="F217" s="58"/>
      <c r="G217" s="58"/>
      <c r="H217" s="58"/>
      <c r="I217" s="19"/>
      <c r="J217" s="19"/>
    </row>
    <row r="218" spans="2:10" s="10" customFormat="1" x14ac:dyDescent="0.35">
      <c r="B218" s="19"/>
      <c r="C218" s="58"/>
      <c r="D218" s="58"/>
      <c r="E218" s="58"/>
      <c r="F218" s="58"/>
      <c r="G218" s="58"/>
      <c r="H218" s="58"/>
      <c r="I218" s="19"/>
      <c r="J218" s="19"/>
    </row>
    <row r="219" spans="2:10" s="10" customFormat="1" x14ac:dyDescent="0.35">
      <c r="B219" s="22" t="s">
        <v>164</v>
      </c>
      <c r="C219" s="58"/>
      <c r="D219" s="1859">
        <f>SUM(D203:D218)</f>
        <v>11.119466319000001</v>
      </c>
      <c r="E219" s="59"/>
      <c r="F219" s="59"/>
      <c r="G219" s="1859">
        <f>SUM(G203:G218)</f>
        <v>10.885957622439999</v>
      </c>
      <c r="H219" s="1860">
        <f t="shared" ref="H219" si="34">+G219/D219</f>
        <v>0.97900000864600834</v>
      </c>
      <c r="I219" s="22"/>
      <c r="J219" s="1859">
        <f>SUM(J203:J218)</f>
        <v>0</v>
      </c>
    </row>
    <row r="220" spans="2:10" s="10" customFormat="1" x14ac:dyDescent="0.35">
      <c r="B220" s="16"/>
      <c r="C220" s="57"/>
      <c r="D220" s="57"/>
      <c r="E220" s="57"/>
      <c r="F220" s="57"/>
      <c r="G220" s="57"/>
      <c r="H220" s="57"/>
    </row>
    <row r="221" spans="2:10" s="10" customFormat="1" hidden="1" x14ac:dyDescent="0.35">
      <c r="C221" s="57"/>
      <c r="D221" s="57"/>
      <c r="E221" s="57"/>
      <c r="F221" s="57"/>
      <c r="G221" s="57"/>
      <c r="H221" s="57"/>
    </row>
    <row r="222" spans="2:10" s="10" customFormat="1" hidden="1" x14ac:dyDescent="0.35">
      <c r="B222" s="16" t="s">
        <v>800</v>
      </c>
      <c r="C222" s="57"/>
      <c r="D222" s="57"/>
      <c r="E222" s="57"/>
      <c r="F222" s="57"/>
      <c r="G222" s="57"/>
      <c r="H222" s="57"/>
    </row>
    <row r="223" spans="2:10" s="10" customFormat="1" hidden="1" x14ac:dyDescent="0.35"/>
    <row r="224" spans="2:10" s="10" customFormat="1" hidden="1" x14ac:dyDescent="0.35">
      <c r="B224" s="2162" t="s">
        <v>111</v>
      </c>
      <c r="C224" s="2141" t="s">
        <v>801</v>
      </c>
      <c r="D224" s="2142"/>
      <c r="E224" s="2143"/>
      <c r="F224" s="2141" t="s">
        <v>793</v>
      </c>
      <c r="G224" s="2142"/>
      <c r="H224" s="2143"/>
      <c r="I224" s="1991" t="s">
        <v>794</v>
      </c>
      <c r="J224" s="1991" t="s">
        <v>795</v>
      </c>
    </row>
    <row r="225" spans="2:21" s="10" customFormat="1" ht="27" hidden="1" x14ac:dyDescent="0.35">
      <c r="B225" s="2163"/>
      <c r="C225" s="184" t="s">
        <v>796</v>
      </c>
      <c r="D225" s="184" t="s">
        <v>797</v>
      </c>
      <c r="E225" s="184" t="s">
        <v>798</v>
      </c>
      <c r="F225" s="184" t="s">
        <v>796</v>
      </c>
      <c r="G225" s="184" t="s">
        <v>797</v>
      </c>
      <c r="H225" s="185" t="s">
        <v>802</v>
      </c>
      <c r="I225" s="1991"/>
      <c r="J225" s="1991"/>
    </row>
    <row r="226" spans="2:21" s="10" customFormat="1" hidden="1" x14ac:dyDescent="0.35">
      <c r="B226" s="186"/>
      <c r="C226" s="187"/>
      <c r="D226" s="187"/>
      <c r="E226" s="187"/>
      <c r="F226" s="187"/>
      <c r="G226" s="187"/>
      <c r="H226" s="93"/>
      <c r="I226" s="93"/>
      <c r="J226" s="93"/>
    </row>
    <row r="227" spans="2:21" s="16" customFormat="1" hidden="1" x14ac:dyDescent="0.35">
      <c r="B227" s="22" t="s">
        <v>803</v>
      </c>
      <c r="C227" s="58"/>
      <c r="D227" s="58"/>
      <c r="E227" s="58"/>
      <c r="F227" s="58"/>
      <c r="G227" s="58"/>
      <c r="H227" s="58"/>
      <c r="I227" s="19"/>
      <c r="J227" s="19"/>
      <c r="K227" s="10"/>
      <c r="L227" s="10"/>
      <c r="M227" s="10"/>
      <c r="N227" s="10"/>
      <c r="O227" s="10"/>
      <c r="P227" s="10"/>
      <c r="Q227" s="10"/>
      <c r="R227" s="10"/>
      <c r="S227" s="10"/>
      <c r="T227" s="10"/>
      <c r="U227" s="10"/>
    </row>
    <row r="228" spans="2:21" s="16" customFormat="1" hidden="1" x14ac:dyDescent="0.35">
      <c r="B228" s="22"/>
      <c r="C228" s="58"/>
      <c r="D228" s="58"/>
      <c r="E228" s="58"/>
      <c r="F228" s="58"/>
      <c r="G228" s="58"/>
      <c r="H228" s="58"/>
      <c r="I228" s="19"/>
      <c r="J228" s="19"/>
      <c r="K228" s="10"/>
      <c r="L228" s="10"/>
      <c r="M228" s="10"/>
      <c r="N228" s="10"/>
      <c r="O228" s="10"/>
      <c r="P228" s="10"/>
      <c r="Q228" s="10"/>
      <c r="R228" s="10"/>
      <c r="S228" s="10"/>
      <c r="T228" s="10"/>
      <c r="U228" s="10"/>
    </row>
    <row r="229" spans="2:21" s="16" customFormat="1" hidden="1" x14ac:dyDescent="0.35">
      <c r="B229" s="19" t="s">
        <v>804</v>
      </c>
      <c r="C229" s="58"/>
      <c r="D229" s="58"/>
      <c r="E229" s="58"/>
      <c r="F229" s="58"/>
      <c r="G229" s="58"/>
      <c r="H229" s="58"/>
      <c r="I229" s="19"/>
      <c r="J229" s="19"/>
      <c r="K229" s="10"/>
      <c r="L229" s="10"/>
      <c r="M229" s="10"/>
      <c r="N229" s="10"/>
      <c r="O229" s="10"/>
      <c r="P229" s="10"/>
      <c r="Q229" s="10"/>
      <c r="R229" s="10"/>
      <c r="S229" s="10"/>
      <c r="T229" s="10"/>
      <c r="U229" s="10"/>
    </row>
    <row r="230" spans="2:21" s="16" customFormat="1" hidden="1" x14ac:dyDescent="0.35">
      <c r="B230" s="19" t="s">
        <v>805</v>
      </c>
      <c r="C230" s="58"/>
      <c r="D230" s="58"/>
      <c r="E230" s="58"/>
      <c r="F230" s="58"/>
      <c r="G230" s="58"/>
      <c r="H230" s="58"/>
      <c r="I230" s="19"/>
      <c r="J230" s="19"/>
      <c r="K230" s="10"/>
      <c r="L230" s="10"/>
      <c r="M230" s="10"/>
      <c r="N230" s="10"/>
      <c r="O230" s="10"/>
      <c r="P230" s="10"/>
      <c r="Q230" s="10"/>
      <c r="R230" s="10"/>
      <c r="S230" s="10"/>
      <c r="T230" s="10"/>
      <c r="U230" s="10"/>
    </row>
    <row r="231" spans="2:21" s="16" customFormat="1" hidden="1" x14ac:dyDescent="0.35">
      <c r="B231" s="19" t="s">
        <v>806</v>
      </c>
      <c r="C231" s="58"/>
      <c r="D231" s="58"/>
      <c r="E231" s="58"/>
      <c r="F231" s="58"/>
      <c r="G231" s="58"/>
      <c r="H231" s="58"/>
      <c r="I231" s="19"/>
      <c r="J231" s="19"/>
      <c r="K231" s="10"/>
      <c r="L231" s="10"/>
      <c r="M231" s="10"/>
      <c r="N231" s="10"/>
      <c r="O231" s="10"/>
      <c r="P231" s="10"/>
      <c r="Q231" s="10"/>
      <c r="R231" s="10"/>
      <c r="S231" s="10"/>
      <c r="T231" s="10"/>
      <c r="U231" s="10"/>
    </row>
    <row r="232" spans="2:21" s="16" customFormat="1" hidden="1" x14ac:dyDescent="0.35">
      <c r="B232" s="19" t="s">
        <v>270</v>
      </c>
      <c r="C232" s="58"/>
      <c r="D232" s="58"/>
      <c r="E232" s="58"/>
      <c r="F232" s="58"/>
      <c r="G232" s="58"/>
      <c r="H232" s="58"/>
      <c r="I232" s="19"/>
      <c r="J232" s="19"/>
      <c r="K232" s="10"/>
      <c r="L232" s="10"/>
      <c r="M232" s="10"/>
      <c r="N232" s="10"/>
      <c r="O232" s="10"/>
      <c r="P232" s="10"/>
      <c r="Q232" s="10"/>
      <c r="R232" s="10"/>
      <c r="S232" s="10"/>
      <c r="T232" s="10"/>
      <c r="U232" s="10"/>
    </row>
    <row r="233" spans="2:21" s="10" customFormat="1" hidden="1" x14ac:dyDescent="0.35">
      <c r="B233" s="22" t="s">
        <v>164</v>
      </c>
      <c r="C233" s="58"/>
      <c r="D233" s="58"/>
      <c r="E233" s="58"/>
      <c r="F233" s="58"/>
      <c r="G233" s="58"/>
      <c r="H233" s="58"/>
      <c r="I233" s="19"/>
      <c r="J233" s="19"/>
    </row>
    <row r="234" spans="2:21" s="10" customFormat="1" hidden="1" x14ac:dyDescent="0.35">
      <c r="B234" s="22"/>
      <c r="C234" s="58"/>
      <c r="D234" s="58"/>
      <c r="E234" s="58"/>
      <c r="F234" s="58"/>
      <c r="G234" s="58"/>
      <c r="H234" s="58"/>
      <c r="I234" s="19"/>
      <c r="J234" s="19"/>
    </row>
    <row r="235" spans="2:21" s="10" customFormat="1" hidden="1" x14ac:dyDescent="0.35">
      <c r="B235" s="22"/>
      <c r="C235" s="58"/>
      <c r="D235" s="58"/>
      <c r="E235" s="58"/>
      <c r="F235" s="58"/>
      <c r="G235" s="58"/>
      <c r="H235" s="58"/>
      <c r="I235" s="19"/>
      <c r="J235" s="19"/>
    </row>
    <row r="236" spans="2:21" s="16" customFormat="1" hidden="1" x14ac:dyDescent="0.35">
      <c r="B236" s="22" t="s">
        <v>807</v>
      </c>
      <c r="C236" s="58"/>
      <c r="D236" s="58"/>
      <c r="E236" s="58"/>
      <c r="F236" s="58"/>
      <c r="G236" s="58"/>
      <c r="H236" s="58"/>
      <c r="I236" s="19"/>
      <c r="J236" s="19"/>
      <c r="K236" s="10"/>
      <c r="L236" s="10"/>
      <c r="M236" s="10"/>
      <c r="N236" s="10"/>
      <c r="O236" s="10"/>
      <c r="P236" s="10"/>
      <c r="Q236" s="10"/>
      <c r="R236" s="10"/>
      <c r="S236" s="10"/>
      <c r="T236" s="10"/>
      <c r="U236" s="10"/>
    </row>
    <row r="237" spans="2:21" s="10" customFormat="1" hidden="1" x14ac:dyDescent="0.35">
      <c r="B237" s="19"/>
      <c r="C237" s="58"/>
      <c r="D237" s="58"/>
      <c r="E237" s="58"/>
      <c r="F237" s="58"/>
      <c r="G237" s="58"/>
      <c r="H237" s="58"/>
      <c r="I237" s="19"/>
      <c r="J237" s="19"/>
    </row>
    <row r="238" spans="2:21" s="10" customFormat="1" hidden="1" x14ac:dyDescent="0.35">
      <c r="B238" s="19" t="s">
        <v>808</v>
      </c>
      <c r="C238" s="58"/>
      <c r="D238" s="58"/>
      <c r="E238" s="58"/>
      <c r="F238" s="58"/>
      <c r="G238" s="58"/>
      <c r="H238" s="58"/>
      <c r="I238" s="19"/>
      <c r="J238" s="19"/>
    </row>
    <row r="239" spans="2:21" s="10" customFormat="1" hidden="1" x14ac:dyDescent="0.35">
      <c r="B239" s="19" t="s">
        <v>809</v>
      </c>
      <c r="C239" s="58"/>
      <c r="D239" s="58"/>
      <c r="E239" s="58"/>
      <c r="F239" s="58"/>
      <c r="G239" s="58"/>
      <c r="H239" s="58"/>
      <c r="I239" s="19"/>
      <c r="J239" s="19"/>
    </row>
    <row r="240" spans="2:21" s="10" customFormat="1" hidden="1" x14ac:dyDescent="0.35">
      <c r="B240" s="19" t="s">
        <v>810</v>
      </c>
      <c r="C240" s="58"/>
      <c r="D240" s="58"/>
      <c r="E240" s="58"/>
      <c r="F240" s="58"/>
      <c r="G240" s="58"/>
      <c r="H240" s="58"/>
      <c r="I240" s="19"/>
      <c r="J240" s="19"/>
    </row>
    <row r="241" spans="2:22" s="10" customFormat="1" hidden="1" x14ac:dyDescent="0.35">
      <c r="B241" s="19" t="s">
        <v>270</v>
      </c>
      <c r="C241" s="58"/>
      <c r="D241" s="58"/>
      <c r="E241" s="58"/>
      <c r="F241" s="58"/>
      <c r="G241" s="58"/>
      <c r="H241" s="58"/>
      <c r="I241" s="19"/>
      <c r="J241" s="19"/>
    </row>
    <row r="242" spans="2:22" s="10" customFormat="1" hidden="1" x14ac:dyDescent="0.35">
      <c r="B242" s="22" t="s">
        <v>164</v>
      </c>
      <c r="C242" s="58"/>
      <c r="D242" s="58"/>
      <c r="E242" s="58"/>
      <c r="F242" s="58"/>
      <c r="G242" s="58"/>
      <c r="H242" s="58"/>
      <c r="I242" s="19"/>
      <c r="J242" s="19"/>
    </row>
    <row r="243" spans="2:22" s="10" customFormat="1" hidden="1" x14ac:dyDescent="0.35"/>
    <row r="244" spans="2:22" hidden="1" x14ac:dyDescent="0.4">
      <c r="B244" s="84"/>
      <c r="C244" s="7"/>
      <c r="D244" s="5"/>
      <c r="E244" s="5"/>
      <c r="F244" s="5"/>
      <c r="G244" s="5"/>
      <c r="H244" s="5"/>
      <c r="I244" s="5"/>
    </row>
    <row r="245" spans="2:22" s="10" customFormat="1" x14ac:dyDescent="0.35">
      <c r="B245" s="49" t="s">
        <v>785</v>
      </c>
      <c r="C245" s="57"/>
      <c r="D245" s="57"/>
      <c r="E245" s="57"/>
      <c r="F245" s="57"/>
      <c r="G245" s="57"/>
      <c r="H245" s="57"/>
    </row>
    <row r="246" spans="2:22" s="10" customFormat="1" x14ac:dyDescent="0.35">
      <c r="B246" s="49"/>
      <c r="C246" s="57"/>
      <c r="D246" s="57"/>
      <c r="E246" s="57"/>
      <c r="F246" s="57"/>
      <c r="G246" s="57"/>
      <c r="H246" s="57"/>
    </row>
    <row r="247" spans="2:22" s="10" customFormat="1" x14ac:dyDescent="0.35">
      <c r="B247" s="49" t="s">
        <v>1891</v>
      </c>
      <c r="C247" s="57"/>
      <c r="D247" s="57"/>
      <c r="E247" s="57"/>
      <c r="F247" s="57"/>
      <c r="G247" s="57"/>
      <c r="H247" s="57"/>
    </row>
    <row r="248" spans="2:22" s="10" customFormat="1" x14ac:dyDescent="0.35">
      <c r="B248" s="49"/>
      <c r="C248" s="57"/>
      <c r="D248" s="57"/>
      <c r="E248" s="57"/>
      <c r="F248" s="57"/>
      <c r="G248" s="57"/>
      <c r="H248" s="57"/>
    </row>
    <row r="249" spans="2:22" s="10" customFormat="1" x14ac:dyDescent="0.35">
      <c r="B249" s="2162" t="s">
        <v>111</v>
      </c>
      <c r="C249" s="2141" t="s">
        <v>792</v>
      </c>
      <c r="D249" s="2142"/>
      <c r="E249" s="2143"/>
      <c r="F249" s="2141" t="s">
        <v>793</v>
      </c>
      <c r="G249" s="2142"/>
      <c r="H249" s="2143"/>
      <c r="I249" s="1991" t="s">
        <v>794</v>
      </c>
      <c r="J249" s="1991" t="s">
        <v>795</v>
      </c>
    </row>
    <row r="250" spans="2:22" s="10" customFormat="1" ht="27" x14ac:dyDescent="0.35">
      <c r="B250" s="2163"/>
      <c r="C250" s="184" t="s">
        <v>796</v>
      </c>
      <c r="D250" s="184" t="s">
        <v>797</v>
      </c>
      <c r="E250" s="184" t="s">
        <v>798</v>
      </c>
      <c r="F250" s="184" t="s">
        <v>796</v>
      </c>
      <c r="G250" s="184" t="s">
        <v>797</v>
      </c>
      <c r="H250" s="185" t="s">
        <v>799</v>
      </c>
      <c r="I250" s="1991"/>
      <c r="J250" s="1991"/>
    </row>
    <row r="251" spans="2:22" s="16" customFormat="1" x14ac:dyDescent="0.35">
      <c r="B251" s="19"/>
      <c r="C251" s="58"/>
      <c r="D251" s="58"/>
      <c r="E251" s="58"/>
      <c r="F251" s="58"/>
      <c r="G251" s="58"/>
      <c r="H251" s="58"/>
      <c r="I251" s="19"/>
      <c r="J251" s="19"/>
      <c r="K251" s="10"/>
      <c r="L251" s="10"/>
      <c r="M251" s="10"/>
      <c r="N251" s="10"/>
      <c r="O251" s="10"/>
      <c r="P251" s="10"/>
      <c r="Q251" s="10"/>
      <c r="R251" s="10"/>
      <c r="S251" s="10"/>
      <c r="T251" s="10"/>
      <c r="U251" s="10"/>
      <c r="V251" s="10"/>
    </row>
    <row r="252" spans="2:22" s="10" customFormat="1" x14ac:dyDescent="0.35">
      <c r="B252" s="1857" t="s">
        <v>1884</v>
      </c>
      <c r="C252" s="1856">
        <v>45083</v>
      </c>
      <c r="D252" s="1855">
        <v>0.82216849999999997</v>
      </c>
      <c r="E252" s="1856">
        <v>45113</v>
      </c>
      <c r="F252" s="1856">
        <v>45086</v>
      </c>
      <c r="G252" s="1855">
        <v>0.80490289999999998</v>
      </c>
      <c r="H252" s="1858">
        <f>+G252/D252</f>
        <v>0.97899992519781531</v>
      </c>
      <c r="I252" s="675">
        <f>MAX(0,F252-E252)</f>
        <v>0</v>
      </c>
      <c r="J252" s="675">
        <v>0</v>
      </c>
    </row>
    <row r="253" spans="2:22" s="10" customFormat="1" x14ac:dyDescent="0.35">
      <c r="B253" s="1857" t="s">
        <v>1883</v>
      </c>
      <c r="C253" s="1856">
        <v>45108</v>
      </c>
      <c r="D253" s="1855">
        <v>0.84254804999999999</v>
      </c>
      <c r="E253" s="1856">
        <v>45138</v>
      </c>
      <c r="F253" s="1856">
        <v>45114</v>
      </c>
      <c r="G253" s="1855">
        <v>0.82485459999999999</v>
      </c>
      <c r="H253" s="1858">
        <f t="shared" ref="H253:H272" si="35">+G253/D253</f>
        <v>0.97900007008502365</v>
      </c>
      <c r="I253" s="675">
        <f t="shared" ref="I253:I272" si="36">MAX(0,F253-E253)</f>
        <v>0</v>
      </c>
      <c r="J253" s="675">
        <v>0</v>
      </c>
    </row>
    <row r="254" spans="2:22" s="10" customFormat="1" x14ac:dyDescent="0.35">
      <c r="B254" s="1857" t="s">
        <v>1884</v>
      </c>
      <c r="C254" s="1856">
        <v>45112</v>
      </c>
      <c r="D254" s="1855">
        <v>0.85431780000000002</v>
      </c>
      <c r="E254" s="1856">
        <v>45142</v>
      </c>
      <c r="F254" s="1856">
        <v>45113</v>
      </c>
      <c r="G254" s="1855">
        <v>0.83637714400000007</v>
      </c>
      <c r="H254" s="1858">
        <f t="shared" si="35"/>
        <v>0.97900002083533788</v>
      </c>
      <c r="I254" s="675">
        <f t="shared" si="36"/>
        <v>0</v>
      </c>
      <c r="J254" s="675">
        <v>0</v>
      </c>
    </row>
    <row r="255" spans="2:22" s="10" customFormat="1" x14ac:dyDescent="0.35">
      <c r="B255" s="1857" t="s">
        <v>1883</v>
      </c>
      <c r="C255" s="1856">
        <v>45139</v>
      </c>
      <c r="D255" s="1855">
        <v>1.0297799999999999</v>
      </c>
      <c r="E255" s="1856">
        <v>45169</v>
      </c>
      <c r="F255" s="1856">
        <v>45145</v>
      </c>
      <c r="G255" s="1855">
        <v>1.0081545999999999</v>
      </c>
      <c r="H255" s="1858">
        <f t="shared" si="35"/>
        <v>0.97899998057837589</v>
      </c>
      <c r="I255" s="675">
        <f t="shared" si="36"/>
        <v>0</v>
      </c>
      <c r="J255" s="675">
        <v>0</v>
      </c>
    </row>
    <row r="256" spans="2:22" s="10" customFormat="1" x14ac:dyDescent="0.35">
      <c r="B256" s="1857" t="s">
        <v>1884</v>
      </c>
      <c r="C256" s="1856">
        <v>45140</v>
      </c>
      <c r="D256" s="1855">
        <v>0.33767249999999999</v>
      </c>
      <c r="E256" s="1856">
        <v>45170</v>
      </c>
      <c r="F256" s="1856">
        <v>45145</v>
      </c>
      <c r="G256" s="1855">
        <f>3305813/10^7</f>
        <v>0.33058130000000002</v>
      </c>
      <c r="H256" s="1858">
        <f t="shared" si="35"/>
        <v>0.97899977048767672</v>
      </c>
      <c r="I256" s="675">
        <f t="shared" si="36"/>
        <v>0</v>
      </c>
      <c r="J256" s="675">
        <v>0</v>
      </c>
    </row>
    <row r="257" spans="2:10" s="10" customFormat="1" x14ac:dyDescent="0.35">
      <c r="B257" s="1857" t="s">
        <v>1883</v>
      </c>
      <c r="C257" s="1856">
        <v>45170</v>
      </c>
      <c r="D257" s="1855">
        <v>1.139751</v>
      </c>
      <c r="E257" s="1856">
        <v>45200</v>
      </c>
      <c r="F257" s="1856">
        <v>45176</v>
      </c>
      <c r="G257" s="1855">
        <v>1.1158162</v>
      </c>
      <c r="H257" s="1858">
        <f t="shared" si="35"/>
        <v>0.97899997455584609</v>
      </c>
      <c r="I257" s="675">
        <f t="shared" si="36"/>
        <v>0</v>
      </c>
      <c r="J257" s="675">
        <v>0</v>
      </c>
    </row>
    <row r="258" spans="2:10" s="10" customFormat="1" x14ac:dyDescent="0.35">
      <c r="B258" s="1857" t="s">
        <v>1884</v>
      </c>
      <c r="C258" s="1856">
        <v>45173</v>
      </c>
      <c r="D258" s="1855">
        <v>0.1703297</v>
      </c>
      <c r="E258" s="1856">
        <v>45203</v>
      </c>
      <c r="F258" s="1856">
        <v>45175</v>
      </c>
      <c r="G258" s="1855">
        <f>1667528/10^7</f>
        <v>0.16675280000000001</v>
      </c>
      <c r="H258" s="1858">
        <f t="shared" si="35"/>
        <v>0.97900013914191131</v>
      </c>
      <c r="I258" s="675">
        <f t="shared" si="36"/>
        <v>0</v>
      </c>
      <c r="J258" s="675">
        <v>0</v>
      </c>
    </row>
    <row r="259" spans="2:10" s="10" customFormat="1" x14ac:dyDescent="0.35">
      <c r="B259" s="1857" t="s">
        <v>1883</v>
      </c>
      <c r="C259" s="1856">
        <v>45202</v>
      </c>
      <c r="D259" s="1855">
        <v>1.059075</v>
      </c>
      <c r="E259" s="1856">
        <v>45232</v>
      </c>
      <c r="F259" s="1856">
        <v>45204</v>
      </c>
      <c r="G259" s="1855">
        <f>10368344/10^7</f>
        <v>1.0368344</v>
      </c>
      <c r="H259" s="1858">
        <f t="shared" si="35"/>
        <v>0.97899997639449521</v>
      </c>
      <c r="I259" s="675">
        <f t="shared" si="36"/>
        <v>0</v>
      </c>
      <c r="J259" s="675">
        <v>0</v>
      </c>
    </row>
    <row r="260" spans="2:10" s="10" customFormat="1" x14ac:dyDescent="0.35">
      <c r="B260" s="1857" t="s">
        <v>1884</v>
      </c>
      <c r="C260" s="1856">
        <v>45204</v>
      </c>
      <c r="D260" s="1855">
        <v>0.62618850000000004</v>
      </c>
      <c r="E260" s="1856">
        <v>45234</v>
      </c>
      <c r="F260" s="1856">
        <v>45204</v>
      </c>
      <c r="G260" s="1855">
        <f>6130385/10^7</f>
        <v>0.61303850000000004</v>
      </c>
      <c r="H260" s="1858">
        <f t="shared" si="35"/>
        <v>0.97899993372602656</v>
      </c>
      <c r="I260" s="675">
        <f t="shared" si="36"/>
        <v>0</v>
      </c>
      <c r="J260" s="675">
        <v>0</v>
      </c>
    </row>
    <row r="261" spans="2:10" s="10" customFormat="1" x14ac:dyDescent="0.35">
      <c r="B261" s="1857" t="s">
        <v>1883</v>
      </c>
      <c r="C261" s="1856">
        <v>45231</v>
      </c>
      <c r="D261" s="1855">
        <v>1.1983140000000001</v>
      </c>
      <c r="E261" s="1856">
        <v>45261</v>
      </c>
      <c r="F261" s="1856">
        <v>45238</v>
      </c>
      <c r="G261" s="1855">
        <v>1.1731494</v>
      </c>
      <c r="H261" s="1858">
        <f t="shared" si="35"/>
        <v>0.97899999499296508</v>
      </c>
      <c r="I261" s="675">
        <f t="shared" si="36"/>
        <v>0</v>
      </c>
      <c r="J261" s="675">
        <v>0</v>
      </c>
    </row>
    <row r="262" spans="2:10" s="10" customFormat="1" x14ac:dyDescent="0.35">
      <c r="B262" s="1857" t="s">
        <v>1884</v>
      </c>
      <c r="C262" s="1856">
        <v>45236</v>
      </c>
      <c r="D262" s="1855">
        <v>0.72526809999999997</v>
      </c>
      <c r="E262" s="1856">
        <v>45266</v>
      </c>
      <c r="F262" s="1856">
        <v>45237</v>
      </c>
      <c r="G262" s="1855">
        <f>7100374/10^7</f>
        <v>0.71003740000000004</v>
      </c>
      <c r="H262" s="1858">
        <f t="shared" si="35"/>
        <v>0.97899990362184697</v>
      </c>
      <c r="I262" s="675">
        <f t="shared" si="36"/>
        <v>0</v>
      </c>
      <c r="J262" s="675">
        <v>0</v>
      </c>
    </row>
    <row r="263" spans="2:10" s="10" customFormat="1" x14ac:dyDescent="0.35">
      <c r="B263" s="1857" t="s">
        <v>1883</v>
      </c>
      <c r="C263" s="1856">
        <v>45261</v>
      </c>
      <c r="D263" s="1855">
        <v>0.98136900000000005</v>
      </c>
      <c r="E263" s="1856">
        <v>45291</v>
      </c>
      <c r="F263" s="1856">
        <v>45266</v>
      </c>
      <c r="G263" s="1855">
        <f>9607602/10^7</f>
        <v>0.96076019999999995</v>
      </c>
      <c r="H263" s="1858">
        <f t="shared" si="35"/>
        <v>0.97899994803178003</v>
      </c>
      <c r="I263" s="675">
        <f t="shared" si="36"/>
        <v>0</v>
      </c>
      <c r="J263" s="675">
        <v>0</v>
      </c>
    </row>
    <row r="264" spans="2:10" s="10" customFormat="1" x14ac:dyDescent="0.35">
      <c r="B264" s="1857" t="s">
        <v>1884</v>
      </c>
      <c r="C264" s="1856">
        <v>45265</v>
      </c>
      <c r="D264" s="1855">
        <v>0.79987330000000001</v>
      </c>
      <c r="E264" s="1856">
        <v>45295</v>
      </c>
      <c r="F264" s="1856">
        <v>45272</v>
      </c>
      <c r="G264" s="1855">
        <v>0.78307590000000005</v>
      </c>
      <c r="H264" s="1858">
        <f t="shared" si="35"/>
        <v>0.97899992411298142</v>
      </c>
      <c r="I264" s="675">
        <f t="shared" si="36"/>
        <v>0</v>
      </c>
      <c r="J264" s="675">
        <v>0</v>
      </c>
    </row>
    <row r="265" spans="2:10" s="10" customFormat="1" x14ac:dyDescent="0.35">
      <c r="B265" s="1857" t="s">
        <v>1883</v>
      </c>
      <c r="C265" s="1856">
        <v>45292</v>
      </c>
      <c r="D265" s="1855">
        <v>1.0843739999999999</v>
      </c>
      <c r="E265" s="1856">
        <v>45322</v>
      </c>
      <c r="F265" s="1856">
        <v>45296</v>
      </c>
      <c r="G265" s="1855">
        <v>1.0616021</v>
      </c>
      <c r="H265" s="1858">
        <f t="shared" si="35"/>
        <v>0.97899995757921165</v>
      </c>
      <c r="I265" s="675">
        <f t="shared" si="36"/>
        <v>0</v>
      </c>
      <c r="J265" s="675">
        <v>0</v>
      </c>
    </row>
    <row r="266" spans="2:10" s="10" customFormat="1" x14ac:dyDescent="0.35">
      <c r="B266" s="1857" t="s">
        <v>1884</v>
      </c>
      <c r="C266" s="1856">
        <v>45294</v>
      </c>
      <c r="D266" s="1855">
        <v>0.87654929999999998</v>
      </c>
      <c r="E266" s="1856">
        <v>45324</v>
      </c>
      <c r="F266" s="1856">
        <v>45296</v>
      </c>
      <c r="G266" s="1855">
        <v>0.85814179999999995</v>
      </c>
      <c r="H266" s="1858">
        <f t="shared" si="35"/>
        <v>0.97900004027155119</v>
      </c>
      <c r="I266" s="675">
        <f t="shared" si="36"/>
        <v>0</v>
      </c>
      <c r="J266" s="675">
        <v>0</v>
      </c>
    </row>
    <row r="267" spans="2:10" s="10" customFormat="1" x14ac:dyDescent="0.35">
      <c r="B267" s="1857" t="s">
        <v>1883</v>
      </c>
      <c r="C267" s="1856">
        <v>45323</v>
      </c>
      <c r="D267" s="1855">
        <v>1.137942</v>
      </c>
      <c r="E267" s="1856">
        <v>45353</v>
      </c>
      <c r="F267" s="1856">
        <v>45327</v>
      </c>
      <c r="G267" s="1855">
        <v>1.114045218</v>
      </c>
      <c r="H267" s="1858">
        <f t="shared" si="35"/>
        <v>0.97899999999999998</v>
      </c>
      <c r="I267" s="675">
        <f t="shared" si="36"/>
        <v>0</v>
      </c>
      <c r="J267" s="675">
        <v>0</v>
      </c>
    </row>
    <row r="268" spans="2:10" s="10" customFormat="1" x14ac:dyDescent="0.35">
      <c r="B268" s="1857" t="s">
        <v>1884</v>
      </c>
      <c r="C268" s="1856">
        <v>45324</v>
      </c>
      <c r="D268" s="1855">
        <v>0.8293606</v>
      </c>
      <c r="E268" s="1856">
        <v>45354</v>
      </c>
      <c r="F268" s="1856">
        <v>45329</v>
      </c>
      <c r="G268" s="1855">
        <v>0.811944</v>
      </c>
      <c r="H268" s="1858">
        <f t="shared" si="35"/>
        <v>0.97899996696250102</v>
      </c>
      <c r="I268" s="675">
        <f t="shared" si="36"/>
        <v>0</v>
      </c>
      <c r="J268" s="675">
        <v>0</v>
      </c>
    </row>
    <row r="269" spans="2:10" s="10" customFormat="1" x14ac:dyDescent="0.35">
      <c r="B269" s="1857" t="s">
        <v>1883</v>
      </c>
      <c r="C269" s="1856">
        <v>45352</v>
      </c>
      <c r="D269" s="1855">
        <v>1.1032200000000001</v>
      </c>
      <c r="E269" s="1856">
        <v>45382</v>
      </c>
      <c r="F269" s="1856">
        <v>45356</v>
      </c>
      <c r="G269" s="1855">
        <v>1.0800523</v>
      </c>
      <c r="H269" s="1858">
        <f t="shared" si="35"/>
        <v>0.97899992748499831</v>
      </c>
      <c r="I269" s="675">
        <f t="shared" si="36"/>
        <v>0</v>
      </c>
      <c r="J269" s="675">
        <v>0</v>
      </c>
    </row>
    <row r="270" spans="2:10" s="10" customFormat="1" x14ac:dyDescent="0.35">
      <c r="B270" s="1857" t="s">
        <v>1884</v>
      </c>
      <c r="C270" s="1856">
        <v>45356</v>
      </c>
      <c r="D270" s="1855">
        <v>0.7681772</v>
      </c>
      <c r="E270" s="1856">
        <v>45386</v>
      </c>
      <c r="F270" s="1856">
        <v>45357</v>
      </c>
      <c r="G270" s="1855">
        <v>0.75204545599999995</v>
      </c>
      <c r="H270" s="1858">
        <f t="shared" si="35"/>
        <v>0.97899997031934816</v>
      </c>
      <c r="I270" s="675">
        <f t="shared" si="36"/>
        <v>0</v>
      </c>
      <c r="J270" s="675">
        <v>0</v>
      </c>
    </row>
    <row r="271" spans="2:10" s="10" customFormat="1" x14ac:dyDescent="0.35">
      <c r="B271" s="1857" t="s">
        <v>1883</v>
      </c>
      <c r="C271" s="1856">
        <v>45383</v>
      </c>
      <c r="D271" s="1855">
        <v>1.19448</v>
      </c>
      <c r="E271" s="1856">
        <v>45413</v>
      </c>
      <c r="F271" s="1856">
        <v>45386</v>
      </c>
      <c r="G271" s="1855">
        <v>1.1693959</v>
      </c>
      <c r="H271" s="1858">
        <f t="shared" si="35"/>
        <v>0.97899998325631243</v>
      </c>
      <c r="I271" s="675">
        <f t="shared" si="36"/>
        <v>0</v>
      </c>
      <c r="J271" s="675">
        <v>0</v>
      </c>
    </row>
    <row r="272" spans="2:10" s="10" customFormat="1" x14ac:dyDescent="0.35">
      <c r="B272" s="1857" t="s">
        <v>1884</v>
      </c>
      <c r="C272" s="1856">
        <v>45383</v>
      </c>
      <c r="D272" s="1855">
        <v>0.80377279999999995</v>
      </c>
      <c r="E272" s="1856">
        <v>45413</v>
      </c>
      <c r="F272" s="1856">
        <v>45382</v>
      </c>
      <c r="G272" s="1855">
        <v>0.786893544</v>
      </c>
      <c r="H272" s="1858">
        <f t="shared" si="35"/>
        <v>0.97899996615959139</v>
      </c>
      <c r="I272" s="675">
        <f t="shared" si="36"/>
        <v>0</v>
      </c>
      <c r="J272" s="675">
        <v>0</v>
      </c>
    </row>
    <row r="273" spans="2:22" s="10" customFormat="1" x14ac:dyDescent="0.35">
      <c r="B273" s="19" t="s">
        <v>239</v>
      </c>
      <c r="C273" s="58"/>
      <c r="D273" s="58"/>
      <c r="E273" s="58"/>
      <c r="F273" s="58"/>
      <c r="G273" s="58"/>
      <c r="H273" s="58"/>
      <c r="I273" s="19"/>
      <c r="J273" s="19"/>
    </row>
    <row r="274" spans="2:22" s="10" customFormat="1" x14ac:dyDescent="0.35">
      <c r="B274" s="19"/>
      <c r="C274" s="58"/>
      <c r="D274" s="58"/>
      <c r="E274" s="58"/>
      <c r="F274" s="58"/>
      <c r="G274" s="58"/>
      <c r="H274" s="58"/>
      <c r="I274" s="19"/>
      <c r="J274" s="19"/>
    </row>
    <row r="275" spans="2:22" s="10" customFormat="1" x14ac:dyDescent="0.35">
      <c r="B275" s="19"/>
      <c r="C275" s="58"/>
      <c r="D275" s="58"/>
      <c r="E275" s="58"/>
      <c r="F275" s="58"/>
      <c r="G275" s="58"/>
      <c r="H275" s="58"/>
      <c r="I275" s="19"/>
      <c r="J275" s="19"/>
    </row>
    <row r="276" spans="2:22" s="10" customFormat="1" x14ac:dyDescent="0.35">
      <c r="B276" s="22" t="s">
        <v>164</v>
      </c>
      <c r="C276" s="58"/>
      <c r="D276" s="1859">
        <f>SUM(D252:D275)</f>
        <v>18.38453135</v>
      </c>
      <c r="E276" s="59"/>
      <c r="F276" s="59"/>
      <c r="G276" s="1859">
        <f>SUM(G252:G275)</f>
        <v>17.998455662000005</v>
      </c>
      <c r="H276" s="1860">
        <f t="shared" ref="H276" si="37">+G276/D276</f>
        <v>0.97899997119045434</v>
      </c>
      <c r="I276" s="22"/>
      <c r="J276" s="1859">
        <f>SUM(J255:J275)</f>
        <v>0</v>
      </c>
    </row>
    <row r="277" spans="2:22" s="10" customFormat="1" x14ac:dyDescent="0.35">
      <c r="B277" s="16"/>
      <c r="C277" s="57"/>
      <c r="D277" s="57"/>
      <c r="E277" s="57"/>
      <c r="F277" s="57"/>
      <c r="G277" s="57"/>
      <c r="H277" s="57"/>
    </row>
    <row r="278" spans="2:22" s="10" customFormat="1" x14ac:dyDescent="0.35">
      <c r="B278" s="49" t="s">
        <v>811</v>
      </c>
      <c r="C278" s="57"/>
      <c r="D278" s="57"/>
      <c r="E278" s="57"/>
      <c r="F278" s="57"/>
      <c r="G278" s="57"/>
      <c r="H278" s="57"/>
    </row>
    <row r="279" spans="2:22" s="10" customFormat="1" x14ac:dyDescent="0.35">
      <c r="B279" s="49"/>
      <c r="C279" s="57"/>
      <c r="D279" s="57"/>
      <c r="E279" s="57"/>
      <c r="F279" s="57"/>
      <c r="G279" s="57"/>
      <c r="H279" s="57"/>
    </row>
    <row r="280" spans="2:22" s="10" customFormat="1" x14ac:dyDescent="0.35">
      <c r="B280" s="49" t="s">
        <v>812</v>
      </c>
      <c r="C280" s="57"/>
      <c r="D280" s="57"/>
      <c r="E280" s="57"/>
      <c r="F280" s="57"/>
      <c r="G280" s="57"/>
      <c r="H280" s="57"/>
    </row>
    <row r="281" spans="2:22" s="10" customFormat="1" x14ac:dyDescent="0.35">
      <c r="B281" s="49"/>
      <c r="C281" s="57"/>
      <c r="D281" s="57"/>
      <c r="E281" s="57"/>
      <c r="F281" s="57"/>
      <c r="G281" s="57"/>
      <c r="H281" s="57"/>
    </row>
    <row r="282" spans="2:22" s="10" customFormat="1" x14ac:dyDescent="0.35">
      <c r="B282" s="2162" t="s">
        <v>111</v>
      </c>
      <c r="C282" s="2141" t="s">
        <v>792</v>
      </c>
      <c r="D282" s="2142"/>
      <c r="E282" s="2143"/>
      <c r="F282" s="2141" t="s">
        <v>793</v>
      </c>
      <c r="G282" s="2142"/>
      <c r="H282" s="2143"/>
      <c r="I282" s="1991" t="s">
        <v>794</v>
      </c>
      <c r="J282" s="1991" t="s">
        <v>795</v>
      </c>
    </row>
    <row r="283" spans="2:22" s="10" customFormat="1" ht="27" x14ac:dyDescent="0.35">
      <c r="B283" s="2163"/>
      <c r="C283" s="184" t="s">
        <v>796</v>
      </c>
      <c r="D283" s="184" t="s">
        <v>797</v>
      </c>
      <c r="E283" s="184" t="s">
        <v>798</v>
      </c>
      <c r="F283" s="184" t="s">
        <v>796</v>
      </c>
      <c r="G283" s="184" t="s">
        <v>797</v>
      </c>
      <c r="H283" s="185" t="s">
        <v>799</v>
      </c>
      <c r="I283" s="1991"/>
      <c r="J283" s="1991"/>
    </row>
    <row r="284" spans="2:22" s="16" customFormat="1" x14ac:dyDescent="0.35">
      <c r="B284" s="19"/>
      <c r="C284" s="58"/>
      <c r="D284" s="58"/>
      <c r="E284" s="58"/>
      <c r="F284" s="58"/>
      <c r="G284" s="58"/>
      <c r="H284" s="58"/>
      <c r="I284" s="19"/>
      <c r="J284" s="19"/>
      <c r="K284" s="10"/>
      <c r="L284" s="10"/>
      <c r="M284" s="10"/>
      <c r="N284" s="10"/>
      <c r="O284" s="10"/>
      <c r="P284" s="10"/>
      <c r="Q284" s="10"/>
      <c r="R284" s="10"/>
      <c r="S284" s="10"/>
      <c r="T284" s="10"/>
      <c r="U284" s="10"/>
      <c r="V284" s="10"/>
    </row>
    <row r="285" spans="2:22" s="10" customFormat="1" x14ac:dyDescent="0.35">
      <c r="B285" s="1861" t="s">
        <v>1885</v>
      </c>
      <c r="C285" s="1856">
        <v>45413</v>
      </c>
      <c r="D285" s="1855">
        <v>1.1664000000000001</v>
      </c>
      <c r="E285" s="1856">
        <v>45443</v>
      </c>
      <c r="F285" s="1856">
        <v>45419</v>
      </c>
      <c r="G285" s="1855">
        <v>1.1419056000000001</v>
      </c>
      <c r="H285" s="1858">
        <f t="shared" ref="H285:H333" si="38">+G285/D285</f>
        <v>0.97899999999999998</v>
      </c>
      <c r="I285" s="675">
        <f>MAX(0,F285-E285)</f>
        <v>0</v>
      </c>
      <c r="J285" s="675">
        <v>0</v>
      </c>
    </row>
    <row r="286" spans="2:22" s="10" customFormat="1" x14ac:dyDescent="0.35">
      <c r="B286" s="1861" t="s">
        <v>1884</v>
      </c>
      <c r="C286" s="1856">
        <v>45415</v>
      </c>
      <c r="D286" s="1855">
        <v>0.784856</v>
      </c>
      <c r="E286" s="1856">
        <v>45445</v>
      </c>
      <c r="F286" s="1856">
        <v>45419</v>
      </c>
      <c r="G286" s="1855">
        <v>0.76837402399999999</v>
      </c>
      <c r="H286" s="1858">
        <f t="shared" si="38"/>
        <v>0.97899999999999998</v>
      </c>
      <c r="I286" s="675">
        <f t="shared" ref="I286:I333" si="39">MAX(0,F286-E286)</f>
        <v>0</v>
      </c>
      <c r="J286" s="675">
        <v>0</v>
      </c>
    </row>
    <row r="287" spans="2:22" s="10" customFormat="1" x14ac:dyDescent="0.35">
      <c r="B287" s="1861" t="s">
        <v>1885</v>
      </c>
      <c r="C287" s="1856">
        <v>45444</v>
      </c>
      <c r="D287" s="1855">
        <v>0.86831999999999998</v>
      </c>
      <c r="E287" s="1856">
        <v>45474</v>
      </c>
      <c r="F287" s="1856" t="s">
        <v>1887</v>
      </c>
      <c r="G287" s="1855">
        <v>0.85008530000000004</v>
      </c>
      <c r="H287" s="1858">
        <f t="shared" si="38"/>
        <v>0.97900002303298328</v>
      </c>
      <c r="I287" s="675">
        <v>0</v>
      </c>
      <c r="J287" s="675">
        <v>0</v>
      </c>
    </row>
    <row r="288" spans="2:22" s="10" customFormat="1" x14ac:dyDescent="0.35">
      <c r="B288" s="1861" t="s">
        <v>1884</v>
      </c>
      <c r="C288" s="1856">
        <v>45446</v>
      </c>
      <c r="D288" s="1855">
        <v>0.83664090000000002</v>
      </c>
      <c r="E288" s="1856">
        <v>45476</v>
      </c>
      <c r="F288" s="1856">
        <v>45448</v>
      </c>
      <c r="G288" s="1855">
        <v>0.83580429999999994</v>
      </c>
      <c r="H288" s="1858">
        <f t="shared" si="38"/>
        <v>0.99900004888596761</v>
      </c>
      <c r="I288" s="675">
        <f t="shared" si="39"/>
        <v>0</v>
      </c>
      <c r="J288" s="675">
        <v>0</v>
      </c>
    </row>
    <row r="289" spans="2:10" s="10" customFormat="1" x14ac:dyDescent="0.35">
      <c r="B289" s="1861" t="s">
        <v>1885</v>
      </c>
      <c r="C289" s="1856">
        <v>45475</v>
      </c>
      <c r="D289" s="1855">
        <v>0.62207999999999997</v>
      </c>
      <c r="E289" s="1856">
        <v>45505</v>
      </c>
      <c r="F289" s="1856">
        <v>45478</v>
      </c>
      <c r="G289" s="1855">
        <v>0.60902869999999998</v>
      </c>
      <c r="H289" s="1858">
        <f t="shared" si="38"/>
        <v>0.97901990097736624</v>
      </c>
      <c r="I289" s="675">
        <f t="shared" si="39"/>
        <v>0</v>
      </c>
      <c r="J289" s="675">
        <v>0</v>
      </c>
    </row>
    <row r="290" spans="2:10" s="10" customFormat="1" x14ac:dyDescent="0.35">
      <c r="B290" s="1861" t="s">
        <v>1884</v>
      </c>
      <c r="C290" s="1856">
        <v>45475</v>
      </c>
      <c r="D290" s="1855">
        <v>0.70164519999999997</v>
      </c>
      <c r="E290" s="1856">
        <v>45505</v>
      </c>
      <c r="F290" s="1856">
        <v>45478</v>
      </c>
      <c r="G290" s="1855">
        <v>0.67017785080000003</v>
      </c>
      <c r="H290" s="1858">
        <f t="shared" si="38"/>
        <v>0.95515204949738142</v>
      </c>
      <c r="I290" s="675">
        <f t="shared" si="39"/>
        <v>0</v>
      </c>
      <c r="J290" s="675">
        <v>0</v>
      </c>
    </row>
    <row r="291" spans="2:10" x14ac:dyDescent="0.4">
      <c r="B291" s="1861" t="s">
        <v>1884</v>
      </c>
      <c r="C291" s="1856">
        <v>45506</v>
      </c>
      <c r="D291" s="1855">
        <v>0.38027860000000002</v>
      </c>
      <c r="E291" s="1856">
        <v>45536</v>
      </c>
      <c r="F291" s="1856">
        <v>45510</v>
      </c>
      <c r="G291" s="1855">
        <v>0.37229269999999998</v>
      </c>
      <c r="H291" s="1858">
        <f t="shared" si="38"/>
        <v>0.97899987009524059</v>
      </c>
      <c r="I291" s="675">
        <f t="shared" si="39"/>
        <v>0</v>
      </c>
      <c r="J291" s="675">
        <v>0</v>
      </c>
    </row>
    <row r="292" spans="2:10" x14ac:dyDescent="0.4">
      <c r="B292" s="1861" t="s">
        <v>1884</v>
      </c>
      <c r="C292" s="1856">
        <v>45538</v>
      </c>
      <c r="D292" s="1855">
        <v>0.68149519999999997</v>
      </c>
      <c r="E292" s="1856">
        <v>45568</v>
      </c>
      <c r="F292" s="1856">
        <v>45544</v>
      </c>
      <c r="G292" s="1855">
        <v>0.66718379999999999</v>
      </c>
      <c r="H292" s="1858">
        <f t="shared" si="38"/>
        <v>0.97899999882611066</v>
      </c>
      <c r="I292" s="675">
        <f t="shared" si="39"/>
        <v>0</v>
      </c>
      <c r="J292" s="675">
        <v>0</v>
      </c>
    </row>
    <row r="293" spans="2:10" x14ac:dyDescent="0.4">
      <c r="B293" s="1861" t="s">
        <v>1886</v>
      </c>
      <c r="C293" s="1856">
        <v>45513</v>
      </c>
      <c r="D293" s="1855">
        <v>0.82656000000000007</v>
      </c>
      <c r="E293" s="1856">
        <v>45543</v>
      </c>
      <c r="F293" s="1856" t="s">
        <v>1888</v>
      </c>
      <c r="G293" s="1855">
        <v>0.80920224000000007</v>
      </c>
      <c r="H293" s="1858">
        <f t="shared" si="38"/>
        <v>0.97899999999999998</v>
      </c>
      <c r="I293" s="675">
        <v>0</v>
      </c>
      <c r="J293" s="675">
        <v>0</v>
      </c>
    </row>
    <row r="294" spans="2:10" x14ac:dyDescent="0.4">
      <c r="B294" s="1861" t="s">
        <v>1886</v>
      </c>
      <c r="C294" s="1856">
        <v>45520</v>
      </c>
      <c r="D294" s="1855">
        <v>0.72323999999999999</v>
      </c>
      <c r="E294" s="1856">
        <v>45550</v>
      </c>
      <c r="F294" s="1856">
        <v>45525</v>
      </c>
      <c r="G294" s="1855">
        <v>0.70805200000000001</v>
      </c>
      <c r="H294" s="1858">
        <f t="shared" si="38"/>
        <v>0.97900005530667555</v>
      </c>
      <c r="I294" s="675">
        <f t="shared" si="39"/>
        <v>0</v>
      </c>
      <c r="J294" s="675">
        <v>0</v>
      </c>
    </row>
    <row r="295" spans="2:10" x14ac:dyDescent="0.4">
      <c r="B295" s="1861" t="s">
        <v>1886</v>
      </c>
      <c r="C295" s="1856">
        <v>45528</v>
      </c>
      <c r="D295" s="1855">
        <v>0.82656000000000007</v>
      </c>
      <c r="E295" s="1856">
        <v>45558</v>
      </c>
      <c r="F295" s="1856">
        <v>45534</v>
      </c>
      <c r="G295" s="1855">
        <v>0.80920224000000007</v>
      </c>
      <c r="H295" s="1858">
        <f t="shared" si="38"/>
        <v>0.97899999999999998</v>
      </c>
      <c r="I295" s="675">
        <f t="shared" si="39"/>
        <v>0</v>
      </c>
      <c r="J295" s="675">
        <v>0</v>
      </c>
    </row>
    <row r="296" spans="2:10" x14ac:dyDescent="0.4">
      <c r="B296" s="1861" t="s">
        <v>1886</v>
      </c>
      <c r="C296" s="1856">
        <v>45536</v>
      </c>
      <c r="D296" s="1855">
        <v>0.82656000000000007</v>
      </c>
      <c r="E296" s="1856">
        <v>45566</v>
      </c>
      <c r="F296" s="1856">
        <v>45548</v>
      </c>
      <c r="G296" s="1855">
        <v>0.82573339999999995</v>
      </c>
      <c r="H296" s="1858">
        <f t="shared" si="38"/>
        <v>0.99899995160665878</v>
      </c>
      <c r="I296" s="675">
        <f t="shared" si="39"/>
        <v>0</v>
      </c>
      <c r="J296" s="675">
        <v>0</v>
      </c>
    </row>
    <row r="297" spans="2:10" x14ac:dyDescent="0.4">
      <c r="B297" s="1861" t="s">
        <v>1884</v>
      </c>
      <c r="C297" s="1856">
        <v>45568</v>
      </c>
      <c r="D297" s="1855">
        <v>0.78416359999999996</v>
      </c>
      <c r="E297" s="1856">
        <v>45598</v>
      </c>
      <c r="F297" s="1856">
        <v>45573</v>
      </c>
      <c r="G297" s="1855">
        <v>0.78337939999999995</v>
      </c>
      <c r="H297" s="1858">
        <f t="shared" si="38"/>
        <v>0.99899995358111493</v>
      </c>
      <c r="I297" s="675">
        <f t="shared" si="39"/>
        <v>0</v>
      </c>
      <c r="J297" s="675">
        <v>0</v>
      </c>
    </row>
    <row r="298" spans="2:10" x14ac:dyDescent="0.4">
      <c r="B298" s="1861" t="s">
        <v>1886</v>
      </c>
      <c r="C298" s="1856">
        <v>45544</v>
      </c>
      <c r="D298" s="1855">
        <v>0.82656000000000007</v>
      </c>
      <c r="E298" s="1856">
        <v>45574</v>
      </c>
      <c r="F298" s="1856">
        <v>45558</v>
      </c>
      <c r="G298" s="1855">
        <v>0.82573339999999995</v>
      </c>
      <c r="H298" s="1858">
        <f t="shared" si="38"/>
        <v>0.99899995160665878</v>
      </c>
      <c r="I298" s="675">
        <f t="shared" si="39"/>
        <v>0</v>
      </c>
      <c r="J298" s="675">
        <v>0</v>
      </c>
    </row>
    <row r="299" spans="2:10" x14ac:dyDescent="0.4">
      <c r="B299" s="1861" t="s">
        <v>1886</v>
      </c>
      <c r="C299" s="1856">
        <v>45551</v>
      </c>
      <c r="D299" s="1855">
        <v>0.72323999999999999</v>
      </c>
      <c r="E299" s="1856">
        <v>45581</v>
      </c>
      <c r="F299" s="1856">
        <v>45565</v>
      </c>
      <c r="G299" s="1855">
        <v>0.72251679999999996</v>
      </c>
      <c r="H299" s="1858">
        <f t="shared" si="38"/>
        <v>0.99900005530667546</v>
      </c>
      <c r="I299" s="675">
        <f t="shared" si="39"/>
        <v>0</v>
      </c>
      <c r="J299" s="675">
        <v>0</v>
      </c>
    </row>
    <row r="300" spans="2:10" x14ac:dyDescent="0.4">
      <c r="B300" s="1861" t="s">
        <v>1886</v>
      </c>
      <c r="C300" s="1856">
        <v>45559</v>
      </c>
      <c r="D300" s="1855">
        <v>0.82656000000000007</v>
      </c>
      <c r="E300" s="1856">
        <v>45589</v>
      </c>
      <c r="F300" s="1856" t="s">
        <v>1889</v>
      </c>
      <c r="G300" s="1855">
        <v>0.82573339999999995</v>
      </c>
      <c r="H300" s="1858">
        <f t="shared" si="38"/>
        <v>0.99899995160665878</v>
      </c>
      <c r="I300" s="675">
        <v>0</v>
      </c>
      <c r="J300" s="675">
        <v>0</v>
      </c>
    </row>
    <row r="301" spans="2:10" x14ac:dyDescent="0.4">
      <c r="B301" s="1861" t="s">
        <v>1886</v>
      </c>
      <c r="C301" s="1856">
        <v>45566</v>
      </c>
      <c r="D301" s="1855">
        <v>0.64575000000000005</v>
      </c>
      <c r="E301" s="1856">
        <v>45596</v>
      </c>
      <c r="F301" s="1856">
        <v>45579</v>
      </c>
      <c r="G301" s="1855">
        <v>0.64510420000000002</v>
      </c>
      <c r="H301" s="1858">
        <f t="shared" si="38"/>
        <v>0.99899992257065429</v>
      </c>
      <c r="I301" s="675">
        <f t="shared" si="39"/>
        <v>0</v>
      </c>
      <c r="J301" s="675">
        <v>0</v>
      </c>
    </row>
    <row r="302" spans="2:10" x14ac:dyDescent="0.4">
      <c r="B302" s="1861" t="s">
        <v>1884</v>
      </c>
      <c r="C302" s="1856">
        <v>45600</v>
      </c>
      <c r="D302" s="1855">
        <v>0.72124200000000005</v>
      </c>
      <c r="E302" s="1856">
        <v>45630</v>
      </c>
      <c r="F302" s="1856">
        <v>45607</v>
      </c>
      <c r="G302" s="1855">
        <v>0.69041269999999999</v>
      </c>
      <c r="H302" s="1858">
        <f t="shared" si="38"/>
        <v>0.95725526245005133</v>
      </c>
      <c r="I302" s="675">
        <f t="shared" si="39"/>
        <v>0</v>
      </c>
      <c r="J302" s="675">
        <v>0</v>
      </c>
    </row>
    <row r="303" spans="2:10" x14ac:dyDescent="0.4">
      <c r="B303" s="1861" t="s">
        <v>1886</v>
      </c>
      <c r="C303" s="1856">
        <v>45575</v>
      </c>
      <c r="D303" s="1855">
        <v>0.82656000000000007</v>
      </c>
      <c r="E303" s="1856">
        <v>45605</v>
      </c>
      <c r="F303" s="1856">
        <v>45587</v>
      </c>
      <c r="G303" s="1855">
        <v>0.8257333</v>
      </c>
      <c r="H303" s="1858">
        <f t="shared" si="38"/>
        <v>0.99899983062330611</v>
      </c>
      <c r="I303" s="675">
        <f t="shared" si="39"/>
        <v>0</v>
      </c>
      <c r="J303" s="675">
        <v>0</v>
      </c>
    </row>
    <row r="304" spans="2:10" x14ac:dyDescent="0.4">
      <c r="B304" s="1861" t="s">
        <v>1886</v>
      </c>
      <c r="C304" s="1856">
        <v>45584</v>
      </c>
      <c r="D304" s="1855">
        <v>0.66420000000000001</v>
      </c>
      <c r="E304" s="1856">
        <v>45614</v>
      </c>
      <c r="F304" s="1856">
        <v>45593</v>
      </c>
      <c r="G304" s="1855">
        <v>0.66353569999999995</v>
      </c>
      <c r="H304" s="1858">
        <f t="shared" si="38"/>
        <v>0.99899984944293874</v>
      </c>
      <c r="I304" s="675">
        <f t="shared" si="39"/>
        <v>0</v>
      </c>
      <c r="J304" s="675">
        <v>0</v>
      </c>
    </row>
    <row r="305" spans="2:10" x14ac:dyDescent="0.4">
      <c r="B305" s="1861" t="s">
        <v>1886</v>
      </c>
      <c r="C305" s="1856">
        <v>45589</v>
      </c>
      <c r="D305" s="1855">
        <v>0.78781500000000004</v>
      </c>
      <c r="E305" s="1856">
        <v>45619</v>
      </c>
      <c r="F305" s="1856">
        <v>45603</v>
      </c>
      <c r="G305" s="1855">
        <v>0.78702720000000004</v>
      </c>
      <c r="H305" s="1858">
        <f t="shared" si="38"/>
        <v>0.99900001904000302</v>
      </c>
      <c r="I305" s="675">
        <f t="shared" si="39"/>
        <v>0</v>
      </c>
      <c r="J305" s="675">
        <v>0</v>
      </c>
    </row>
    <row r="306" spans="2:10" x14ac:dyDescent="0.4">
      <c r="B306" s="1861" t="s">
        <v>1886</v>
      </c>
      <c r="C306" s="1856">
        <v>45597</v>
      </c>
      <c r="D306" s="1855">
        <v>0.80934000000000006</v>
      </c>
      <c r="E306" s="1856">
        <v>45627</v>
      </c>
      <c r="F306" s="1856">
        <v>45610</v>
      </c>
      <c r="G306" s="1855">
        <v>0.80853070000000005</v>
      </c>
      <c r="H306" s="1858">
        <f t="shared" si="38"/>
        <v>0.99900004942298659</v>
      </c>
      <c r="I306" s="675">
        <f t="shared" si="39"/>
        <v>0</v>
      </c>
      <c r="J306" s="675">
        <v>0</v>
      </c>
    </row>
    <row r="307" spans="2:10" x14ac:dyDescent="0.4">
      <c r="B307" s="1861" t="s">
        <v>1884</v>
      </c>
      <c r="C307" s="1856">
        <v>45630</v>
      </c>
      <c r="D307" s="1855">
        <v>0.78647250000000002</v>
      </c>
      <c r="E307" s="1856">
        <v>45660</v>
      </c>
      <c r="F307" s="1856">
        <v>45633</v>
      </c>
      <c r="G307" s="1855">
        <v>0.76995650000000004</v>
      </c>
      <c r="H307" s="1858">
        <f t="shared" si="38"/>
        <v>0.97899990145872873</v>
      </c>
      <c r="I307" s="675">
        <f t="shared" si="39"/>
        <v>0</v>
      </c>
      <c r="J307" s="675">
        <v>0</v>
      </c>
    </row>
    <row r="308" spans="2:10" x14ac:dyDescent="0.4">
      <c r="B308" s="1861" t="s">
        <v>1886</v>
      </c>
      <c r="C308" s="1856">
        <v>45607</v>
      </c>
      <c r="D308" s="1855">
        <v>0.79642500000000005</v>
      </c>
      <c r="E308" s="1856">
        <v>45637</v>
      </c>
      <c r="F308" s="1856">
        <v>45618</v>
      </c>
      <c r="G308" s="1855">
        <v>0.79562860000000002</v>
      </c>
      <c r="H308" s="1858">
        <f t="shared" si="38"/>
        <v>0.99900003139027527</v>
      </c>
      <c r="I308" s="675">
        <f t="shared" si="39"/>
        <v>0</v>
      </c>
      <c r="J308" s="675">
        <v>0</v>
      </c>
    </row>
    <row r="309" spans="2:10" x14ac:dyDescent="0.4">
      <c r="B309" s="1861" t="s">
        <v>1886</v>
      </c>
      <c r="C309" s="1856">
        <v>45612</v>
      </c>
      <c r="D309" s="1855">
        <v>0.72323999999999999</v>
      </c>
      <c r="E309" s="1856">
        <v>45642</v>
      </c>
      <c r="F309" s="1856">
        <v>45624</v>
      </c>
      <c r="G309" s="1855">
        <v>0.72251679999999996</v>
      </c>
      <c r="H309" s="1858">
        <f t="shared" si="38"/>
        <v>0.99900005530667546</v>
      </c>
      <c r="I309" s="675">
        <f t="shared" si="39"/>
        <v>0</v>
      </c>
      <c r="J309" s="675">
        <v>0</v>
      </c>
    </row>
    <row r="310" spans="2:10" x14ac:dyDescent="0.4">
      <c r="B310" s="1861" t="s">
        <v>1886</v>
      </c>
      <c r="C310" s="1856">
        <v>45620</v>
      </c>
      <c r="D310" s="1855">
        <v>0.82656000000000007</v>
      </c>
      <c r="E310" s="1856">
        <v>45650</v>
      </c>
      <c r="F310" s="1856">
        <v>45630</v>
      </c>
      <c r="G310" s="1855">
        <v>0.82573339999999995</v>
      </c>
      <c r="H310" s="1858">
        <f t="shared" si="38"/>
        <v>0.99899995160665878</v>
      </c>
      <c r="I310" s="675">
        <f t="shared" si="39"/>
        <v>0</v>
      </c>
      <c r="J310" s="675">
        <v>0</v>
      </c>
    </row>
    <row r="311" spans="2:10" x14ac:dyDescent="0.4">
      <c r="B311" s="1861" t="s">
        <v>1886</v>
      </c>
      <c r="C311" s="1856">
        <v>45627</v>
      </c>
      <c r="D311" s="1855">
        <v>0.30996000000000001</v>
      </c>
      <c r="E311" s="1856">
        <v>45657</v>
      </c>
      <c r="F311" s="1856">
        <v>45637</v>
      </c>
      <c r="G311" s="1855">
        <v>0.30964999999999998</v>
      </c>
      <c r="H311" s="1858">
        <f t="shared" si="38"/>
        <v>0.99899987095109033</v>
      </c>
      <c r="I311" s="675">
        <f t="shared" si="39"/>
        <v>0</v>
      </c>
      <c r="J311" s="675">
        <v>0</v>
      </c>
    </row>
    <row r="312" spans="2:10" x14ac:dyDescent="0.4">
      <c r="B312" s="1861" t="s">
        <v>1884</v>
      </c>
      <c r="C312" s="1856">
        <v>45660</v>
      </c>
      <c r="D312" s="1855">
        <v>0.86625790000000003</v>
      </c>
      <c r="E312" s="1856">
        <v>45690</v>
      </c>
      <c r="F312" s="1856">
        <v>45663</v>
      </c>
      <c r="G312" s="1855">
        <v>0.8480664</v>
      </c>
      <c r="H312" s="1858">
        <f t="shared" si="38"/>
        <v>0.97899990291574823</v>
      </c>
      <c r="I312" s="675">
        <f t="shared" si="39"/>
        <v>0</v>
      </c>
      <c r="J312" s="675">
        <v>0</v>
      </c>
    </row>
    <row r="313" spans="2:10" x14ac:dyDescent="0.4">
      <c r="B313" s="1861" t="s">
        <v>1886</v>
      </c>
      <c r="C313" s="1856">
        <v>45635</v>
      </c>
      <c r="D313" s="1855">
        <v>0.22176000000000001</v>
      </c>
      <c r="E313" s="1856">
        <v>45665</v>
      </c>
      <c r="F313" s="1856">
        <v>45646</v>
      </c>
      <c r="G313" s="1855">
        <v>0.22153819999999999</v>
      </c>
      <c r="H313" s="1858">
        <f t="shared" si="38"/>
        <v>0.99899981962481954</v>
      </c>
      <c r="I313" s="675">
        <f t="shared" si="39"/>
        <v>0</v>
      </c>
      <c r="J313" s="675">
        <v>0</v>
      </c>
    </row>
    <row r="314" spans="2:10" x14ac:dyDescent="0.4">
      <c r="B314" s="1861" t="s">
        <v>1886</v>
      </c>
      <c r="C314" s="1856">
        <v>45642</v>
      </c>
      <c r="D314" s="1855">
        <v>0.77615999999999996</v>
      </c>
      <c r="E314" s="1856">
        <v>45672</v>
      </c>
      <c r="F314" s="1856">
        <v>45656</v>
      </c>
      <c r="G314" s="1855">
        <v>0.77538379999999996</v>
      </c>
      <c r="H314" s="1858">
        <f t="shared" si="38"/>
        <v>0.99899994846423412</v>
      </c>
      <c r="I314" s="675">
        <f t="shared" si="39"/>
        <v>0</v>
      </c>
      <c r="J314" s="675">
        <v>0</v>
      </c>
    </row>
    <row r="315" spans="2:10" x14ac:dyDescent="0.4">
      <c r="B315" s="1861" t="s">
        <v>1886</v>
      </c>
      <c r="C315" s="1856">
        <v>45650</v>
      </c>
      <c r="D315" s="1855">
        <v>0.88704000000000005</v>
      </c>
      <c r="E315" s="1856">
        <v>45680</v>
      </c>
      <c r="F315" s="1856">
        <v>45663</v>
      </c>
      <c r="G315" s="1855">
        <v>0.88615299999999997</v>
      </c>
      <c r="H315" s="1858">
        <f t="shared" si="38"/>
        <v>0.99900004509379503</v>
      </c>
      <c r="I315" s="675">
        <f t="shared" si="39"/>
        <v>0</v>
      </c>
      <c r="J315" s="675">
        <v>0</v>
      </c>
    </row>
    <row r="316" spans="2:10" x14ac:dyDescent="0.4">
      <c r="B316" s="1861" t="s">
        <v>1886</v>
      </c>
      <c r="C316" s="1856">
        <v>45658</v>
      </c>
      <c r="D316" s="1855">
        <v>0.88704000000000005</v>
      </c>
      <c r="E316" s="1856">
        <v>45688</v>
      </c>
      <c r="F316" s="1856">
        <v>45670</v>
      </c>
      <c r="G316" s="1855">
        <v>0.88615299999999997</v>
      </c>
      <c r="H316" s="1858">
        <f t="shared" si="38"/>
        <v>0.99900004509379503</v>
      </c>
      <c r="I316" s="675">
        <f t="shared" si="39"/>
        <v>0</v>
      </c>
      <c r="J316" s="675">
        <v>0</v>
      </c>
    </row>
    <row r="317" spans="2:10" x14ac:dyDescent="0.4">
      <c r="B317" s="1861" t="s">
        <v>1884</v>
      </c>
      <c r="C317" s="1856">
        <v>45691</v>
      </c>
      <c r="D317" s="1855">
        <v>0.80549000000000004</v>
      </c>
      <c r="E317" s="1856">
        <v>45721</v>
      </c>
      <c r="F317" s="1856">
        <v>45694</v>
      </c>
      <c r="G317" s="1855">
        <v>0.77124939999999997</v>
      </c>
      <c r="H317" s="1858">
        <f t="shared" si="38"/>
        <v>0.95749096823051794</v>
      </c>
      <c r="I317" s="675">
        <f t="shared" si="39"/>
        <v>0</v>
      </c>
      <c r="J317" s="675">
        <v>0</v>
      </c>
    </row>
    <row r="318" spans="2:10" x14ac:dyDescent="0.4">
      <c r="B318" s="1861" t="s">
        <v>1885</v>
      </c>
      <c r="C318" s="1856">
        <v>45689</v>
      </c>
      <c r="D318" s="1855">
        <v>0.35730600000000001</v>
      </c>
      <c r="E318" s="1856">
        <v>45719</v>
      </c>
      <c r="F318" s="1856">
        <v>45694</v>
      </c>
      <c r="G318" s="1855">
        <v>0.34980260000000002</v>
      </c>
      <c r="H318" s="1858">
        <f t="shared" si="38"/>
        <v>0.97900007276676015</v>
      </c>
      <c r="I318" s="675">
        <f t="shared" si="39"/>
        <v>0</v>
      </c>
      <c r="J318" s="675">
        <v>0</v>
      </c>
    </row>
    <row r="319" spans="2:10" x14ac:dyDescent="0.4">
      <c r="B319" s="1861" t="s">
        <v>1886</v>
      </c>
      <c r="C319" s="1856">
        <v>45666</v>
      </c>
      <c r="D319" s="1855">
        <v>0.66725999999999996</v>
      </c>
      <c r="E319" s="1856">
        <v>45696</v>
      </c>
      <c r="F319" s="1856">
        <v>45679</v>
      </c>
      <c r="G319" s="1855">
        <v>0.66659270000000004</v>
      </c>
      <c r="H319" s="1858">
        <f t="shared" si="38"/>
        <v>0.99899994005335258</v>
      </c>
      <c r="I319" s="675">
        <f t="shared" si="39"/>
        <v>0</v>
      </c>
      <c r="J319" s="675">
        <v>0</v>
      </c>
    </row>
    <row r="320" spans="2:10" x14ac:dyDescent="0.4">
      <c r="B320" s="1861" t="s">
        <v>1886</v>
      </c>
      <c r="C320" s="1856">
        <v>45673</v>
      </c>
      <c r="D320" s="1855">
        <v>0.72072000000000003</v>
      </c>
      <c r="E320" s="1856">
        <v>45703</v>
      </c>
      <c r="F320" s="1856">
        <v>45686</v>
      </c>
      <c r="G320" s="1855">
        <v>0.71999930000000001</v>
      </c>
      <c r="H320" s="1858">
        <f t="shared" si="38"/>
        <v>0.99900002775002772</v>
      </c>
      <c r="I320" s="675">
        <f t="shared" si="39"/>
        <v>0</v>
      </c>
      <c r="J320" s="675">
        <v>0</v>
      </c>
    </row>
    <row r="321" spans="2:10" x14ac:dyDescent="0.4">
      <c r="B321" s="1861" t="s">
        <v>1886</v>
      </c>
      <c r="C321" s="1856">
        <v>45681</v>
      </c>
      <c r="D321" s="1855">
        <v>0.825264</v>
      </c>
      <c r="E321" s="1856">
        <v>45711</v>
      </c>
      <c r="F321" s="1856">
        <v>45694</v>
      </c>
      <c r="G321" s="1855">
        <v>0.79450109999999996</v>
      </c>
      <c r="H321" s="1858">
        <f t="shared" si="38"/>
        <v>0.96272356482289301</v>
      </c>
      <c r="I321" s="675">
        <f t="shared" si="39"/>
        <v>0</v>
      </c>
      <c r="J321" s="675">
        <v>0</v>
      </c>
    </row>
    <row r="322" spans="2:10" x14ac:dyDescent="0.4">
      <c r="B322" s="1861" t="s">
        <v>1886</v>
      </c>
      <c r="C322" s="1856">
        <v>45689</v>
      </c>
      <c r="D322" s="1855">
        <v>0.82764000000000004</v>
      </c>
      <c r="E322" s="1856">
        <v>45719</v>
      </c>
      <c r="F322" s="1856">
        <v>45701</v>
      </c>
      <c r="G322" s="1855">
        <v>0.8268124</v>
      </c>
      <c r="H322" s="1858">
        <f t="shared" si="38"/>
        <v>0.99900004833019185</v>
      </c>
      <c r="I322" s="675">
        <f t="shared" si="39"/>
        <v>0</v>
      </c>
      <c r="J322" s="675">
        <v>0</v>
      </c>
    </row>
    <row r="323" spans="2:10" x14ac:dyDescent="0.4">
      <c r="B323" s="1861" t="s">
        <v>1884</v>
      </c>
      <c r="C323" s="1856">
        <v>45720</v>
      </c>
      <c r="D323" s="1855">
        <v>0.75229425000000005</v>
      </c>
      <c r="E323" s="1856">
        <v>45750</v>
      </c>
      <c r="F323" s="1856" t="s">
        <v>1890</v>
      </c>
      <c r="G323" s="1855">
        <v>0.74401150000000005</v>
      </c>
      <c r="H323" s="1858">
        <f t="shared" si="38"/>
        <v>0.98899001288392141</v>
      </c>
      <c r="I323" s="675">
        <v>0</v>
      </c>
      <c r="J323" s="675">
        <v>0</v>
      </c>
    </row>
    <row r="324" spans="2:10" x14ac:dyDescent="0.4">
      <c r="B324" s="1861" t="s">
        <v>1885</v>
      </c>
      <c r="C324" s="1856">
        <v>45717</v>
      </c>
      <c r="D324" s="1855">
        <v>0.35527199999999998</v>
      </c>
      <c r="E324" s="1856">
        <v>45747</v>
      </c>
      <c r="F324" s="1856">
        <v>45723</v>
      </c>
      <c r="G324" s="1855">
        <v>0.34781129999999999</v>
      </c>
      <c r="H324" s="1858">
        <f t="shared" si="38"/>
        <v>0.97900003377693712</v>
      </c>
      <c r="I324" s="675">
        <f t="shared" si="39"/>
        <v>0</v>
      </c>
      <c r="J324" s="675">
        <v>0</v>
      </c>
    </row>
    <row r="325" spans="2:10" x14ac:dyDescent="0.4">
      <c r="B325" s="1861" t="s">
        <v>1886</v>
      </c>
      <c r="C325" s="1856">
        <v>45705</v>
      </c>
      <c r="D325" s="1855">
        <v>0.11088000000000001</v>
      </c>
      <c r="E325" s="1856">
        <v>45735</v>
      </c>
      <c r="F325" s="1856">
        <v>45715</v>
      </c>
      <c r="G325" s="1855">
        <v>0.1107691</v>
      </c>
      <c r="H325" s="1858">
        <f t="shared" si="38"/>
        <v>0.99899981962481954</v>
      </c>
      <c r="I325" s="675">
        <f t="shared" si="39"/>
        <v>0</v>
      </c>
      <c r="J325" s="675">
        <v>0</v>
      </c>
    </row>
    <row r="326" spans="2:10" x14ac:dyDescent="0.4">
      <c r="B326" s="1861" t="s">
        <v>1886</v>
      </c>
      <c r="C326" s="1856">
        <v>45712</v>
      </c>
      <c r="D326" s="1855">
        <v>0.88704000000000005</v>
      </c>
      <c r="E326" s="1856">
        <v>45742</v>
      </c>
      <c r="F326" s="1856">
        <v>45723</v>
      </c>
      <c r="G326" s="1855">
        <v>0.88615299999999997</v>
      </c>
      <c r="H326" s="1858">
        <f t="shared" si="38"/>
        <v>0.99900004509379503</v>
      </c>
      <c r="I326" s="675">
        <f t="shared" si="39"/>
        <v>0</v>
      </c>
      <c r="J326" s="675">
        <v>0</v>
      </c>
    </row>
    <row r="327" spans="2:10" x14ac:dyDescent="0.4">
      <c r="B327" s="1861" t="s">
        <v>1886</v>
      </c>
      <c r="C327" s="1856">
        <v>45717</v>
      </c>
      <c r="D327" s="1855">
        <v>0.5544</v>
      </c>
      <c r="E327" s="1856">
        <v>45747</v>
      </c>
      <c r="F327" s="1856">
        <v>45728</v>
      </c>
      <c r="G327" s="1855">
        <v>0.55384560000000005</v>
      </c>
      <c r="H327" s="1858">
        <f t="shared" si="38"/>
        <v>0.99900000000000011</v>
      </c>
      <c r="I327" s="675">
        <f t="shared" si="39"/>
        <v>0</v>
      </c>
      <c r="J327" s="675">
        <v>0</v>
      </c>
    </row>
    <row r="328" spans="2:10" x14ac:dyDescent="0.4">
      <c r="B328" s="1861" t="s">
        <v>1884</v>
      </c>
      <c r="C328" s="1856">
        <v>45748</v>
      </c>
      <c r="D328" s="1855">
        <v>0.84659629999999997</v>
      </c>
      <c r="E328" s="1856">
        <v>45778</v>
      </c>
      <c r="F328" s="1856">
        <v>45752</v>
      </c>
      <c r="G328" s="1855">
        <v>0.82881780000000005</v>
      </c>
      <c r="H328" s="1858">
        <f t="shared" si="38"/>
        <v>0.97900002634077199</v>
      </c>
      <c r="I328" s="675">
        <f t="shared" si="39"/>
        <v>0</v>
      </c>
      <c r="J328" s="675">
        <v>0</v>
      </c>
    </row>
    <row r="329" spans="2:10" x14ac:dyDescent="0.4">
      <c r="B329" s="1861" t="s">
        <v>1885</v>
      </c>
      <c r="C329" s="1856">
        <v>45748</v>
      </c>
      <c r="D329" s="1855">
        <v>0.42036000000000001</v>
      </c>
      <c r="E329" s="1856">
        <v>45778</v>
      </c>
      <c r="F329" s="1856">
        <v>45755</v>
      </c>
      <c r="G329" s="1855">
        <v>0.41153240000000002</v>
      </c>
      <c r="H329" s="1858">
        <f t="shared" si="38"/>
        <v>0.97899990484346755</v>
      </c>
      <c r="I329" s="675">
        <f t="shared" si="39"/>
        <v>0</v>
      </c>
      <c r="J329" s="675">
        <v>0</v>
      </c>
    </row>
    <row r="330" spans="2:10" x14ac:dyDescent="0.4">
      <c r="B330" s="1861" t="s">
        <v>1886</v>
      </c>
      <c r="C330" s="1856">
        <v>45725</v>
      </c>
      <c r="D330" s="1855">
        <v>0.88704000000000005</v>
      </c>
      <c r="E330" s="1856">
        <v>45755</v>
      </c>
      <c r="F330" s="1856">
        <v>45737</v>
      </c>
      <c r="G330" s="1855">
        <v>0.88615299999999997</v>
      </c>
      <c r="H330" s="1858">
        <f t="shared" si="38"/>
        <v>0.99900004509379503</v>
      </c>
      <c r="I330" s="675">
        <f t="shared" si="39"/>
        <v>0</v>
      </c>
      <c r="J330" s="675">
        <v>0</v>
      </c>
    </row>
    <row r="331" spans="2:10" x14ac:dyDescent="0.4">
      <c r="B331" s="1861" t="s">
        <v>1886</v>
      </c>
      <c r="C331" s="1856">
        <v>45732</v>
      </c>
      <c r="D331" s="1855">
        <v>0.77615999999999996</v>
      </c>
      <c r="E331" s="1856">
        <v>45762</v>
      </c>
      <c r="F331" s="1856">
        <v>45742</v>
      </c>
      <c r="G331" s="1855">
        <v>0.77538379999999996</v>
      </c>
      <c r="H331" s="1858">
        <f t="shared" si="38"/>
        <v>0.99899994846423412</v>
      </c>
      <c r="I331" s="675">
        <f t="shared" si="39"/>
        <v>0</v>
      </c>
      <c r="J331" s="675">
        <v>0</v>
      </c>
    </row>
    <row r="332" spans="2:10" x14ac:dyDescent="0.4">
      <c r="B332" s="1861" t="s">
        <v>1886</v>
      </c>
      <c r="C332" s="1856">
        <v>45740</v>
      </c>
      <c r="D332" s="1855">
        <v>0.88704000000000005</v>
      </c>
      <c r="E332" s="1856">
        <v>45770</v>
      </c>
      <c r="F332" s="1856">
        <v>45752</v>
      </c>
      <c r="G332" s="1855">
        <v>0.88615299999999997</v>
      </c>
      <c r="H332" s="1858">
        <f t="shared" si="38"/>
        <v>0.99900004509379503</v>
      </c>
      <c r="I332" s="675">
        <f t="shared" si="39"/>
        <v>0</v>
      </c>
      <c r="J332" s="675">
        <v>0</v>
      </c>
    </row>
    <row r="333" spans="2:10" x14ac:dyDescent="0.4">
      <c r="B333" s="1861" t="s">
        <v>1886</v>
      </c>
      <c r="C333" s="1856">
        <v>45747</v>
      </c>
      <c r="D333" s="1855">
        <v>0.88704000000000005</v>
      </c>
      <c r="E333" s="1856">
        <v>45777</v>
      </c>
      <c r="F333" s="1856">
        <v>45758</v>
      </c>
      <c r="G333" s="1855">
        <v>0.78126050000000002</v>
      </c>
      <c r="H333" s="1858">
        <f t="shared" si="38"/>
        <v>0.88075002254689749</v>
      </c>
      <c r="I333" s="675">
        <f t="shared" si="39"/>
        <v>0</v>
      </c>
      <c r="J333" s="675">
        <v>0</v>
      </c>
    </row>
    <row r="335" spans="2:10" x14ac:dyDescent="0.4">
      <c r="B335" s="22" t="s">
        <v>164</v>
      </c>
      <c r="C335" s="58"/>
      <c r="D335" s="1859">
        <f>SUM(D285:D334)</f>
        <v>35.508784449999993</v>
      </c>
      <c r="E335" s="59"/>
      <c r="F335" s="59"/>
      <c r="G335" s="1859">
        <f>SUM(G285:G334)</f>
        <v>35.026377154800002</v>
      </c>
      <c r="H335" s="1860">
        <f t="shared" ref="H335" si="40">+G335/D335</f>
        <v>0.98641442384829392</v>
      </c>
      <c r="I335" s="22"/>
      <c r="J335" s="1859">
        <f>SUM(J314:J334)</f>
        <v>0</v>
      </c>
    </row>
  </sheetData>
  <mergeCells count="52">
    <mergeCell ref="J174:J175"/>
    <mergeCell ref="F162:F166"/>
    <mergeCell ref="B174:B175"/>
    <mergeCell ref="C174:E174"/>
    <mergeCell ref="F174:H174"/>
    <mergeCell ref="I174:I175"/>
    <mergeCell ref="B138:B139"/>
    <mergeCell ref="C138:E138"/>
    <mergeCell ref="F138:H138"/>
    <mergeCell ref="I138:I139"/>
    <mergeCell ref="J138:J139"/>
    <mergeCell ref="J112:J113"/>
    <mergeCell ref="F100:F104"/>
    <mergeCell ref="B112:B113"/>
    <mergeCell ref="C112:E112"/>
    <mergeCell ref="F112:H112"/>
    <mergeCell ref="I112:I113"/>
    <mergeCell ref="B76:B77"/>
    <mergeCell ref="C76:E76"/>
    <mergeCell ref="F76:H76"/>
    <mergeCell ref="I76:I77"/>
    <mergeCell ref="J76:J77"/>
    <mergeCell ref="B38:B39"/>
    <mergeCell ref="C38:E38"/>
    <mergeCell ref="F38:H38"/>
    <mergeCell ref="I38:I39"/>
    <mergeCell ref="J38:J39"/>
    <mergeCell ref="B11:B12"/>
    <mergeCell ref="C11:E11"/>
    <mergeCell ref="F11:H11"/>
    <mergeCell ref="I11:I12"/>
    <mergeCell ref="J11:J12"/>
    <mergeCell ref="B224:B225"/>
    <mergeCell ref="C224:E224"/>
    <mergeCell ref="F224:H224"/>
    <mergeCell ref="I224:I225"/>
    <mergeCell ref="J224:J225"/>
    <mergeCell ref="B200:B201"/>
    <mergeCell ref="C200:E200"/>
    <mergeCell ref="F200:H200"/>
    <mergeCell ref="I200:I201"/>
    <mergeCell ref="J200:J201"/>
    <mergeCell ref="B249:B250"/>
    <mergeCell ref="C249:E249"/>
    <mergeCell ref="F249:H249"/>
    <mergeCell ref="I249:I250"/>
    <mergeCell ref="J249:J250"/>
    <mergeCell ref="B282:B283"/>
    <mergeCell ref="C282:E282"/>
    <mergeCell ref="F282:H282"/>
    <mergeCell ref="I282:I283"/>
    <mergeCell ref="J282:J283"/>
  </mergeCells>
  <phoneticPr fontId="19" type="noConversion"/>
  <dataValidations disablePrompts="1" count="2">
    <dataValidation type="date" allowBlank="1" showInputMessage="1" showErrorMessage="1" sqref="C203:C205" xr:uid="{C523A4EC-2DE7-4231-AE07-093A569BFB7E}">
      <formula1>44470</formula1>
      <formula2>44742</formula2>
    </dataValidation>
    <dataValidation showInputMessage="1" showErrorMessage="1" sqref="C206:C208 C211" xr:uid="{B8F63FE1-0CD8-457B-A8F2-293E3F3772EC}"/>
  </dataValidations>
  <pageMargins left="0.74803149606299213" right="0.74803149606299213" top="0.98425196850393704" bottom="0.98425196850393704" header="0.51181102362204722" footer="0.51181102362204722"/>
  <pageSetup paperSize="9" scale="35" fitToHeight="2" orientation="landscape" r:id="rId1"/>
  <headerFooter alignWithMargins="0"/>
  <rowBreaks count="7" manualBreakCount="7">
    <brk id="33" min="1" max="9" man="1"/>
    <brk id="70" min="1" max="9" man="1"/>
    <brk id="169" min="1" max="9" man="1"/>
    <brk id="195" min="1" max="9" man="1"/>
    <brk id="244" min="1" max="9" man="1"/>
    <brk id="277" min="1" max="9" man="1"/>
    <brk id="335" min="1" max="9" man="1"/>
  </rowBreaks>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J42"/>
  <sheetViews>
    <sheetView showGridLines="0" view="pageBreakPreview" zoomScale="72" zoomScaleNormal="75" workbookViewId="0">
      <selection activeCell="C90" sqref="B90:P113"/>
    </sheetView>
  </sheetViews>
  <sheetFormatPr defaultColWidth="9.33203125" defaultRowHeight="13.9" x14ac:dyDescent="0.35"/>
  <cols>
    <col min="1" max="1" width="6.6640625" style="10" customWidth="1"/>
    <col min="2" max="2" width="6.53125" style="10" customWidth="1"/>
    <col min="3" max="3" width="29.33203125" style="10" customWidth="1"/>
    <col min="4" max="4" width="19.6640625" style="10" customWidth="1"/>
    <col min="5" max="5" width="16.6640625" style="10" customWidth="1"/>
    <col min="6" max="9" width="20.53125" style="10" customWidth="1"/>
    <col min="10" max="10" width="10.33203125" style="10" bestFit="1" customWidth="1"/>
    <col min="11" max="16384" width="9.33203125" style="10"/>
  </cols>
  <sheetData>
    <row r="1" spans="2:10" x14ac:dyDescent="0.35">
      <c r="C1" s="48"/>
    </row>
    <row r="2" spans="2:10" ht="16.25" customHeight="1" x14ac:dyDescent="0.35">
      <c r="B2" s="16"/>
      <c r="C2" s="66"/>
      <c r="E2" s="120" t="s">
        <v>106</v>
      </c>
      <c r="G2" s="66"/>
      <c r="H2" s="66"/>
      <c r="I2" s="66"/>
    </row>
    <row r="3" spans="2:10" s="1" customFormat="1" ht="16.25" customHeight="1" x14ac:dyDescent="0.4">
      <c r="B3" s="153"/>
      <c r="C3" s="150"/>
      <c r="E3" s="53" t="s">
        <v>211</v>
      </c>
      <c r="G3" s="150"/>
      <c r="H3" s="150"/>
      <c r="I3" s="150"/>
      <c r="J3" s="27"/>
    </row>
    <row r="4" spans="2:10" s="1" customFormat="1" ht="16.25" customHeight="1" x14ac:dyDescent="0.4">
      <c r="B4" s="153"/>
      <c r="C4" s="150"/>
      <c r="E4" s="123" t="s">
        <v>813</v>
      </c>
      <c r="G4" s="150"/>
      <c r="H4" s="150"/>
      <c r="I4" s="150"/>
      <c r="J4" s="6"/>
    </row>
    <row r="5" spans="2:10" x14ac:dyDescent="0.35">
      <c r="D5" s="123"/>
    </row>
    <row r="6" spans="2:10" x14ac:dyDescent="0.35">
      <c r="B6" s="49" t="s">
        <v>112</v>
      </c>
    </row>
    <row r="7" spans="2:10" x14ac:dyDescent="0.35">
      <c r="I7" s="15" t="s">
        <v>110</v>
      </c>
    </row>
    <row r="8" spans="2:10" ht="27" x14ac:dyDescent="0.35">
      <c r="B8" s="1938" t="s">
        <v>1</v>
      </c>
      <c r="C8" s="2003" t="s">
        <v>814</v>
      </c>
      <c r="D8" s="98" t="s">
        <v>815</v>
      </c>
      <c r="E8" s="98" t="s">
        <v>816</v>
      </c>
      <c r="F8" s="98" t="s">
        <v>817</v>
      </c>
      <c r="G8" s="98" t="s">
        <v>818</v>
      </c>
      <c r="H8" s="98" t="s">
        <v>819</v>
      </c>
      <c r="I8" s="98" t="s">
        <v>820</v>
      </c>
    </row>
    <row r="9" spans="2:10" x14ac:dyDescent="0.35">
      <c r="B9" s="1939"/>
      <c r="C9" s="2004"/>
      <c r="D9" s="98" t="s">
        <v>821</v>
      </c>
      <c r="E9" s="98" t="s">
        <v>821</v>
      </c>
      <c r="F9" s="98" t="s">
        <v>821</v>
      </c>
      <c r="G9" s="98" t="s">
        <v>236</v>
      </c>
      <c r="H9" s="98" t="s">
        <v>629</v>
      </c>
      <c r="I9" s="98" t="s">
        <v>629</v>
      </c>
    </row>
    <row r="10" spans="2:10" x14ac:dyDescent="0.35">
      <c r="B10" s="1983"/>
      <c r="C10" s="2065"/>
      <c r="D10" s="98" t="s">
        <v>128</v>
      </c>
      <c r="E10" s="98" t="s">
        <v>129</v>
      </c>
      <c r="F10" s="98" t="s">
        <v>712</v>
      </c>
      <c r="G10" s="98" t="s">
        <v>130</v>
      </c>
      <c r="H10" s="98" t="s">
        <v>822</v>
      </c>
      <c r="I10" s="98" t="s">
        <v>823</v>
      </c>
    </row>
    <row r="11" spans="2:10" x14ac:dyDescent="0.35">
      <c r="B11" s="58">
        <v>1</v>
      </c>
      <c r="C11" s="19" t="s">
        <v>824</v>
      </c>
      <c r="D11" s="22"/>
      <c r="E11" s="22"/>
      <c r="F11" s="22"/>
      <c r="G11" s="22"/>
      <c r="H11" s="22"/>
      <c r="I11" s="22"/>
    </row>
    <row r="12" spans="2:10" x14ac:dyDescent="0.35">
      <c r="B12" s="58">
        <f>B11+1</f>
        <v>2</v>
      </c>
      <c r="C12" s="19" t="s">
        <v>825</v>
      </c>
      <c r="D12" s="19"/>
      <c r="E12" s="19"/>
      <c r="F12" s="19"/>
      <c r="G12" s="19"/>
      <c r="H12" s="19"/>
      <c r="I12" s="19"/>
    </row>
    <row r="13" spans="2:10" x14ac:dyDescent="0.35">
      <c r="B13" s="58">
        <f>B12+1</f>
        <v>3</v>
      </c>
      <c r="C13" s="19" t="s">
        <v>826</v>
      </c>
      <c r="D13" s="19"/>
      <c r="E13" s="19"/>
      <c r="F13" s="19"/>
      <c r="G13" s="19"/>
      <c r="H13" s="19"/>
      <c r="I13" s="19"/>
    </row>
    <row r="14" spans="2:10" x14ac:dyDescent="0.35">
      <c r="B14" s="58">
        <f>B13+1</f>
        <v>4</v>
      </c>
      <c r="C14" s="61" t="s">
        <v>270</v>
      </c>
      <c r="D14" s="19"/>
      <c r="E14" s="19"/>
      <c r="F14" s="19"/>
      <c r="G14" s="19"/>
      <c r="H14" s="19"/>
      <c r="I14" s="19"/>
    </row>
    <row r="15" spans="2:10" x14ac:dyDescent="0.35">
      <c r="B15" s="58">
        <f>B14+1</f>
        <v>5</v>
      </c>
      <c r="C15" s="63" t="s">
        <v>827</v>
      </c>
      <c r="D15" s="22"/>
      <c r="E15" s="22"/>
      <c r="F15" s="22"/>
      <c r="G15" s="22"/>
      <c r="H15" s="22"/>
      <c r="I15" s="22"/>
    </row>
    <row r="17" spans="2:9" x14ac:dyDescent="0.35">
      <c r="D17" s="123"/>
    </row>
    <row r="18" spans="2:9" x14ac:dyDescent="0.35">
      <c r="B18" s="49" t="s">
        <v>113</v>
      </c>
    </row>
    <row r="19" spans="2:9" x14ac:dyDescent="0.35">
      <c r="I19" s="15" t="s">
        <v>110</v>
      </c>
    </row>
    <row r="20" spans="2:9" ht="27" x14ac:dyDescent="0.35">
      <c r="B20" s="1938" t="s">
        <v>1</v>
      </c>
      <c r="C20" s="2003" t="s">
        <v>814</v>
      </c>
      <c r="D20" s="98" t="s">
        <v>815</v>
      </c>
      <c r="E20" s="98" t="s">
        <v>816</v>
      </c>
      <c r="F20" s="98" t="s">
        <v>817</v>
      </c>
      <c r="G20" s="98" t="s">
        <v>818</v>
      </c>
      <c r="H20" s="98" t="s">
        <v>819</v>
      </c>
      <c r="I20" s="98" t="s">
        <v>820</v>
      </c>
    </row>
    <row r="21" spans="2:9" x14ac:dyDescent="0.35">
      <c r="B21" s="1939"/>
      <c r="C21" s="2004"/>
      <c r="D21" s="98" t="s">
        <v>821</v>
      </c>
      <c r="E21" s="98" t="s">
        <v>821</v>
      </c>
      <c r="F21" s="98" t="s">
        <v>821</v>
      </c>
      <c r="G21" s="98" t="s">
        <v>236</v>
      </c>
      <c r="H21" s="98" t="s">
        <v>629</v>
      </c>
      <c r="I21" s="98" t="s">
        <v>629</v>
      </c>
    </row>
    <row r="22" spans="2:9" x14ac:dyDescent="0.35">
      <c r="B22" s="1983"/>
      <c r="C22" s="2065"/>
      <c r="D22" s="98" t="s">
        <v>128</v>
      </c>
      <c r="E22" s="98" t="s">
        <v>129</v>
      </c>
      <c r="F22" s="98" t="s">
        <v>712</v>
      </c>
      <c r="G22" s="98" t="s">
        <v>130</v>
      </c>
      <c r="H22" s="98" t="s">
        <v>822</v>
      </c>
      <c r="I22" s="98" t="s">
        <v>823</v>
      </c>
    </row>
    <row r="23" spans="2:9" s="16" customFormat="1" x14ac:dyDescent="0.35">
      <c r="B23" s="58">
        <v>1</v>
      </c>
      <c r="C23" s="19" t="s">
        <v>824</v>
      </c>
      <c r="D23" s="22"/>
      <c r="E23" s="22"/>
      <c r="F23" s="22"/>
      <c r="G23" s="22"/>
      <c r="H23" s="22"/>
      <c r="I23" s="22"/>
    </row>
    <row r="24" spans="2:9" x14ac:dyDescent="0.35">
      <c r="B24" s="58">
        <f>B23+1</f>
        <v>2</v>
      </c>
      <c r="C24" s="19" t="s">
        <v>825</v>
      </c>
      <c r="D24" s="19"/>
      <c r="E24" s="19"/>
      <c r="F24" s="19"/>
      <c r="G24" s="19"/>
      <c r="H24" s="19"/>
      <c r="I24" s="19"/>
    </row>
    <row r="25" spans="2:9" x14ac:dyDescent="0.35">
      <c r="B25" s="58">
        <f>B24+1</f>
        <v>3</v>
      </c>
      <c r="C25" s="19" t="s">
        <v>826</v>
      </c>
      <c r="D25" s="19"/>
      <c r="E25" s="19"/>
      <c r="F25" s="19"/>
      <c r="G25" s="19"/>
      <c r="H25" s="19"/>
      <c r="I25" s="19"/>
    </row>
    <row r="26" spans="2:9" x14ac:dyDescent="0.35">
      <c r="B26" s="58">
        <f>B25+1</f>
        <v>4</v>
      </c>
      <c r="C26" s="61" t="s">
        <v>270</v>
      </c>
      <c r="D26" s="19"/>
      <c r="E26" s="19"/>
      <c r="F26" s="19"/>
      <c r="G26" s="19"/>
      <c r="H26" s="19"/>
      <c r="I26" s="19"/>
    </row>
    <row r="27" spans="2:9" s="16" customFormat="1" x14ac:dyDescent="0.35">
      <c r="B27" s="58">
        <f>B26+1</f>
        <v>5</v>
      </c>
      <c r="C27" s="63" t="s">
        <v>827</v>
      </c>
      <c r="D27" s="22"/>
      <c r="E27" s="22"/>
      <c r="F27" s="22"/>
      <c r="G27" s="22"/>
      <c r="H27" s="22"/>
      <c r="I27" s="22"/>
    </row>
    <row r="30" spans="2:9" x14ac:dyDescent="0.35">
      <c r="B30" s="49" t="s">
        <v>114</v>
      </c>
    </row>
    <row r="31" spans="2:9" x14ac:dyDescent="0.35">
      <c r="I31" s="15" t="s">
        <v>110</v>
      </c>
    </row>
    <row r="32" spans="2:9" ht="27" x14ac:dyDescent="0.35">
      <c r="B32" s="1938" t="s">
        <v>1</v>
      </c>
      <c r="C32" s="2003" t="s">
        <v>814</v>
      </c>
      <c r="D32" s="98" t="s">
        <v>815</v>
      </c>
      <c r="E32" s="98" t="s">
        <v>816</v>
      </c>
      <c r="F32" s="98" t="s">
        <v>817</v>
      </c>
      <c r="G32" s="98" t="s">
        <v>818</v>
      </c>
      <c r="H32" s="98" t="s">
        <v>819</v>
      </c>
      <c r="I32" s="98" t="s">
        <v>820</v>
      </c>
    </row>
    <row r="33" spans="2:9" x14ac:dyDescent="0.35">
      <c r="B33" s="1939"/>
      <c r="C33" s="2004"/>
      <c r="D33" s="98" t="s">
        <v>821</v>
      </c>
      <c r="E33" s="98" t="s">
        <v>821</v>
      </c>
      <c r="F33" s="98" t="s">
        <v>821</v>
      </c>
      <c r="G33" s="98" t="s">
        <v>236</v>
      </c>
      <c r="H33" s="98" t="s">
        <v>629</v>
      </c>
      <c r="I33" s="98" t="s">
        <v>629</v>
      </c>
    </row>
    <row r="34" spans="2:9" x14ac:dyDescent="0.35">
      <c r="B34" s="1983"/>
      <c r="C34" s="2065"/>
      <c r="D34" s="98" t="s">
        <v>128</v>
      </c>
      <c r="E34" s="98" t="s">
        <v>129</v>
      </c>
      <c r="F34" s="98" t="s">
        <v>712</v>
      </c>
      <c r="G34" s="98" t="s">
        <v>130</v>
      </c>
      <c r="H34" s="98" t="s">
        <v>822</v>
      </c>
      <c r="I34" s="98" t="s">
        <v>823</v>
      </c>
    </row>
    <row r="35" spans="2:9" x14ac:dyDescent="0.35">
      <c r="B35" s="58">
        <v>1</v>
      </c>
      <c r="C35" s="19" t="s">
        <v>824</v>
      </c>
      <c r="D35" s="22"/>
      <c r="E35" s="22"/>
      <c r="F35" s="22"/>
      <c r="G35" s="22"/>
      <c r="H35" s="22"/>
      <c r="I35" s="22"/>
    </row>
    <row r="36" spans="2:9" x14ac:dyDescent="0.35">
      <c r="B36" s="58">
        <f>B35+1</f>
        <v>2</v>
      </c>
      <c r="C36" s="19" t="s">
        <v>825</v>
      </c>
      <c r="D36" s="19"/>
      <c r="E36" s="19"/>
      <c r="F36" s="19"/>
      <c r="G36" s="19"/>
      <c r="H36" s="19"/>
      <c r="I36" s="19"/>
    </row>
    <row r="37" spans="2:9" x14ac:dyDescent="0.35">
      <c r="B37" s="58">
        <f>B36+1</f>
        <v>3</v>
      </c>
      <c r="C37" s="19" t="s">
        <v>826</v>
      </c>
      <c r="D37" s="19"/>
      <c r="E37" s="19"/>
      <c r="F37" s="19"/>
      <c r="G37" s="19"/>
      <c r="H37" s="19"/>
      <c r="I37" s="19"/>
    </row>
    <row r="38" spans="2:9" x14ac:dyDescent="0.35">
      <c r="B38" s="58">
        <f>B37+1</f>
        <v>4</v>
      </c>
      <c r="C38" s="61" t="s">
        <v>270</v>
      </c>
      <c r="D38" s="19"/>
      <c r="E38" s="19"/>
      <c r="F38" s="19"/>
      <c r="G38" s="19"/>
      <c r="H38" s="19"/>
      <c r="I38" s="19"/>
    </row>
    <row r="39" spans="2:9" x14ac:dyDescent="0.35">
      <c r="B39" s="58">
        <f>B38+1</f>
        <v>5</v>
      </c>
      <c r="C39" s="63" t="s">
        <v>827</v>
      </c>
      <c r="D39" s="22"/>
      <c r="E39" s="22"/>
      <c r="F39" s="22"/>
      <c r="G39" s="22"/>
      <c r="H39" s="22"/>
      <c r="I39" s="22"/>
    </row>
    <row r="42" spans="2:9" x14ac:dyDescent="0.35">
      <c r="B42" s="10" t="s">
        <v>828</v>
      </c>
    </row>
  </sheetData>
  <mergeCells count="6">
    <mergeCell ref="B20:B22"/>
    <mergeCell ref="C20:C22"/>
    <mergeCell ref="B32:B34"/>
    <mergeCell ref="C32:C34"/>
    <mergeCell ref="B8:B10"/>
    <mergeCell ref="C8:C10"/>
  </mergeCells>
  <pageMargins left="1.1023622047244095" right="0.27559055118110237" top="1.2204724409448819" bottom="0.98425196850393704" header="0.51181102362204722" footer="0.51181102362204722"/>
  <pageSetup paperSize="9" scale="7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K431"/>
  <sheetViews>
    <sheetView showGridLines="0" view="pageBreakPreview" topLeftCell="A11" zoomScale="80" zoomScaleNormal="75" zoomScaleSheetLayoutView="50" workbookViewId="0">
      <selection activeCell="H15" sqref="H15"/>
    </sheetView>
  </sheetViews>
  <sheetFormatPr defaultColWidth="9.33203125" defaultRowHeight="13.9" x14ac:dyDescent="0.35"/>
  <cols>
    <col min="1" max="1" width="6.6640625" style="10" customWidth="1"/>
    <col min="2" max="2" width="6.53125" style="10" customWidth="1"/>
    <col min="3" max="3" width="50.6640625" style="10" customWidth="1"/>
    <col min="4" max="4" width="10.33203125" style="10" bestFit="1" customWidth="1"/>
    <col min="5" max="5" width="11.6640625" style="10" customWidth="1"/>
    <col min="6" max="6" width="13" style="10" customWidth="1"/>
    <col min="7" max="7" width="14.46484375" style="10" customWidth="1"/>
    <col min="8" max="8" width="17.33203125" style="10" customWidth="1"/>
    <col min="9" max="9" width="18.46484375" style="10" customWidth="1"/>
    <col min="10" max="10" width="22.46484375" style="10" customWidth="1"/>
    <col min="11" max="11" width="9.33203125" style="10"/>
    <col min="12" max="12" width="48.796875" style="10" customWidth="1"/>
    <col min="13" max="16384" width="9.33203125" style="10"/>
  </cols>
  <sheetData>
    <row r="1" spans="2:10" x14ac:dyDescent="0.35">
      <c r="C1" s="48"/>
    </row>
    <row r="2" spans="2:10" x14ac:dyDescent="0.35">
      <c r="B2" s="16"/>
      <c r="C2" s="66"/>
      <c r="E2" s="120" t="str">
        <f>+Index!B2</f>
        <v>Nidar Utilities Panvel LLP</v>
      </c>
      <c r="F2" s="66"/>
      <c r="G2" s="66"/>
      <c r="H2" s="66"/>
      <c r="I2" s="66"/>
    </row>
    <row r="3" spans="2:10" s="1" customFormat="1" x14ac:dyDescent="0.4">
      <c r="B3" s="153"/>
      <c r="C3" s="150"/>
      <c r="E3" s="53" t="s">
        <v>211</v>
      </c>
      <c r="F3" s="150"/>
      <c r="G3" s="150"/>
      <c r="H3" s="150"/>
      <c r="I3" s="150"/>
      <c r="J3" s="27"/>
    </row>
    <row r="4" spans="2:10" s="1" customFormat="1" x14ac:dyDescent="0.4">
      <c r="B4" s="153"/>
      <c r="C4" s="150"/>
      <c r="E4" s="123" t="s">
        <v>1835</v>
      </c>
      <c r="F4" s="150"/>
      <c r="G4" s="150"/>
      <c r="H4" s="150"/>
      <c r="I4" s="150"/>
      <c r="J4" s="6"/>
    </row>
    <row r="5" spans="2:10" s="376" customFormat="1" ht="12.75" x14ac:dyDescent="0.35">
      <c r="B5" s="430" t="s">
        <v>196</v>
      </c>
    </row>
    <row r="6" spans="2:10" s="376" customFormat="1" ht="12.75" x14ac:dyDescent="0.35">
      <c r="B6" s="430"/>
    </row>
    <row r="7" spans="2:10" s="376" customFormat="1" ht="12.75" x14ac:dyDescent="0.35">
      <c r="B7" s="430"/>
      <c r="C7" s="436" t="s">
        <v>553</v>
      </c>
    </row>
    <row r="8" spans="2:10" s="376" customFormat="1" ht="12.75" x14ac:dyDescent="0.35">
      <c r="J8" s="404" t="s">
        <v>110</v>
      </c>
    </row>
    <row r="9" spans="2:10" s="376" customFormat="1" ht="25.5" x14ac:dyDescent="0.35">
      <c r="B9" s="402" t="s">
        <v>1</v>
      </c>
      <c r="C9" s="490" t="s">
        <v>111</v>
      </c>
      <c r="D9" s="389" t="s">
        <v>358</v>
      </c>
      <c r="E9" s="389" t="s">
        <v>186</v>
      </c>
      <c r="F9" s="389" t="s">
        <v>1124</v>
      </c>
      <c r="G9" s="389" t="s">
        <v>830</v>
      </c>
      <c r="H9" s="389" t="s">
        <v>831</v>
      </c>
      <c r="I9" s="389" t="s">
        <v>832</v>
      </c>
      <c r="J9" s="389" t="s">
        <v>1125</v>
      </c>
    </row>
    <row r="10" spans="2:10" s="376" customFormat="1" ht="12.75" x14ac:dyDescent="0.35">
      <c r="B10" s="382">
        <v>1</v>
      </c>
      <c r="C10" s="491" t="s">
        <v>136</v>
      </c>
      <c r="D10" s="492"/>
      <c r="E10" s="493">
        <f>+'ARR-Summary'!E12</f>
        <v>1.6365304878</v>
      </c>
      <c r="F10" s="492"/>
      <c r="G10" s="419"/>
      <c r="H10" s="492"/>
      <c r="I10" s="435"/>
      <c r="J10" s="493">
        <f>+E10</f>
        <v>1.6365304878</v>
      </c>
    </row>
    <row r="11" spans="2:10" s="376" customFormat="1" ht="12.75" x14ac:dyDescent="0.35">
      <c r="B11" s="382">
        <f>B10+1</f>
        <v>2</v>
      </c>
      <c r="C11" s="494" t="s">
        <v>137</v>
      </c>
      <c r="D11" s="492"/>
      <c r="E11" s="493">
        <f>+'ARR-Summary'!E13</f>
        <v>1.22570998</v>
      </c>
      <c r="F11" s="492"/>
      <c r="G11" s="435"/>
      <c r="H11" s="435"/>
      <c r="I11" s="492"/>
      <c r="J11" s="493">
        <f t="shared" ref="J11:J21" si="0">+E11</f>
        <v>1.22570998</v>
      </c>
    </row>
    <row r="12" spans="2:10" s="376" customFormat="1" ht="12.75" x14ac:dyDescent="0.35">
      <c r="B12" s="382">
        <f t="shared" ref="B12:B22" si="1">B11+1</f>
        <v>3</v>
      </c>
      <c r="C12" s="491" t="s">
        <v>52</v>
      </c>
      <c r="D12" s="492"/>
      <c r="E12" s="493">
        <f>+'ARR-Summary'!E14</f>
        <v>2.1021769640539563</v>
      </c>
      <c r="F12" s="492"/>
      <c r="G12" s="435"/>
      <c r="H12" s="435"/>
      <c r="I12" s="492"/>
      <c r="J12" s="493">
        <f t="shared" si="0"/>
        <v>2.1021769640539563</v>
      </c>
    </row>
    <row r="13" spans="2:10" s="376" customFormat="1" ht="12.75" x14ac:dyDescent="0.35">
      <c r="B13" s="382">
        <f t="shared" si="1"/>
        <v>4</v>
      </c>
      <c r="C13" s="494" t="s">
        <v>139</v>
      </c>
      <c r="D13" s="495"/>
      <c r="E13" s="493">
        <f>+'ARR-Summary'!E15</f>
        <v>1.1963686382215582E-2</v>
      </c>
      <c r="F13" s="495"/>
      <c r="G13" s="496"/>
      <c r="H13" s="496">
        <f>+E13</f>
        <v>1.1963686382215582E-2</v>
      </c>
      <c r="I13" s="497"/>
      <c r="J13" s="493">
        <f>+H13/3</f>
        <v>3.9878954607385272E-3</v>
      </c>
    </row>
    <row r="14" spans="2:10" s="376" customFormat="1" ht="25.5" x14ac:dyDescent="0.35">
      <c r="B14" s="382">
        <f t="shared" si="1"/>
        <v>5</v>
      </c>
      <c r="C14" s="494" t="s">
        <v>140</v>
      </c>
      <c r="D14" s="492"/>
      <c r="E14" s="493">
        <f>+'ARR-Summary'!E16</f>
        <v>1.1004869E-3</v>
      </c>
      <c r="F14" s="492"/>
      <c r="G14" s="435"/>
      <c r="H14" s="435"/>
      <c r="I14" s="492"/>
      <c r="J14" s="493">
        <f t="shared" si="0"/>
        <v>1.1004869E-3</v>
      </c>
    </row>
    <row r="15" spans="2:10" s="376" customFormat="1" ht="12.75" x14ac:dyDescent="0.35">
      <c r="B15" s="382">
        <f t="shared" si="1"/>
        <v>6</v>
      </c>
      <c r="C15" s="494" t="s">
        <v>60</v>
      </c>
      <c r="D15" s="492"/>
      <c r="E15" s="493">
        <f>+'ARR-Summary'!E17</f>
        <v>0</v>
      </c>
      <c r="F15" s="418"/>
      <c r="G15" s="435"/>
      <c r="H15" s="435"/>
      <c r="I15" s="418"/>
      <c r="J15" s="493">
        <f t="shared" si="0"/>
        <v>0</v>
      </c>
    </row>
    <row r="16" spans="2:10" s="376" customFormat="1" ht="12.75" x14ac:dyDescent="0.35">
      <c r="B16" s="382">
        <f t="shared" si="1"/>
        <v>7</v>
      </c>
      <c r="C16" s="494" t="s">
        <v>141</v>
      </c>
      <c r="D16" s="492"/>
      <c r="E16" s="493">
        <f>+'ARR-Summary'!E18</f>
        <v>0</v>
      </c>
      <c r="F16" s="492"/>
      <c r="G16" s="435"/>
      <c r="H16" s="435"/>
      <c r="I16" s="492"/>
      <c r="J16" s="493">
        <f t="shared" si="0"/>
        <v>0</v>
      </c>
    </row>
    <row r="17" spans="2:11" s="376" customFormat="1" ht="12.75" x14ac:dyDescent="0.35">
      <c r="B17" s="382">
        <f t="shared" si="1"/>
        <v>8</v>
      </c>
      <c r="C17" s="491" t="s">
        <v>64</v>
      </c>
      <c r="D17" s="492"/>
      <c r="E17" s="493">
        <f>+'ARR-Summary'!E19</f>
        <v>0</v>
      </c>
      <c r="F17" s="492"/>
      <c r="G17" s="435"/>
      <c r="H17" s="435"/>
      <c r="I17" s="492"/>
      <c r="J17" s="493">
        <f t="shared" si="0"/>
        <v>0</v>
      </c>
    </row>
    <row r="18" spans="2:11" s="376" customFormat="1" ht="12.75" x14ac:dyDescent="0.35">
      <c r="B18" s="382">
        <f t="shared" si="1"/>
        <v>9</v>
      </c>
      <c r="C18" s="426" t="s">
        <v>142</v>
      </c>
      <c r="D18" s="499"/>
      <c r="E18" s="500">
        <f>SUM(E10:E17)</f>
        <v>4.9774816051361723</v>
      </c>
      <c r="F18" s="499"/>
      <c r="G18" s="435"/>
      <c r="H18" s="435"/>
      <c r="I18" s="499"/>
      <c r="J18" s="500">
        <f>SUM(J10:J17)</f>
        <v>4.9695058142146955</v>
      </c>
    </row>
    <row r="19" spans="2:11" s="376" customFormat="1" ht="12.75" x14ac:dyDescent="0.35">
      <c r="B19" s="382">
        <f t="shared" si="1"/>
        <v>10</v>
      </c>
      <c r="C19" s="491" t="s">
        <v>143</v>
      </c>
      <c r="D19" s="492"/>
      <c r="E19" s="493">
        <f>+'ARR-Summary'!E22</f>
        <v>1.2914649936543752</v>
      </c>
      <c r="F19" s="492"/>
      <c r="G19" s="419"/>
      <c r="H19" s="419"/>
      <c r="I19" s="492"/>
      <c r="J19" s="493">
        <f t="shared" si="0"/>
        <v>1.2914649936543752</v>
      </c>
    </row>
    <row r="20" spans="2:11" s="376" customFormat="1" ht="12.75" x14ac:dyDescent="0.35">
      <c r="B20" s="382">
        <f t="shared" si="1"/>
        <v>11</v>
      </c>
      <c r="C20" s="426" t="s">
        <v>144</v>
      </c>
      <c r="D20" s="499"/>
      <c r="E20" s="500">
        <f>+E18+E19</f>
        <v>6.2689465987905475</v>
      </c>
      <c r="F20" s="499"/>
      <c r="G20" s="435"/>
      <c r="H20" s="435"/>
      <c r="I20" s="418"/>
      <c r="J20" s="500">
        <f>+J18+J19</f>
        <v>6.2609708078690707</v>
      </c>
    </row>
    <row r="21" spans="2:11" s="376" customFormat="1" ht="12.75" x14ac:dyDescent="0.35">
      <c r="B21" s="382">
        <f t="shared" si="1"/>
        <v>12</v>
      </c>
      <c r="C21" s="491" t="s">
        <v>145</v>
      </c>
      <c r="D21" s="492"/>
      <c r="E21" s="493">
        <f>+'ARR-Summary'!E24</f>
        <v>3.9127140099999999E-2</v>
      </c>
      <c r="F21" s="492"/>
      <c r="G21" s="419"/>
      <c r="H21" s="419"/>
      <c r="I21" s="492"/>
      <c r="J21" s="493">
        <f t="shared" si="0"/>
        <v>3.9127140099999999E-2</v>
      </c>
    </row>
    <row r="22" spans="2:11" s="376" customFormat="1" ht="12.75" x14ac:dyDescent="0.35">
      <c r="B22" s="382">
        <f t="shared" si="1"/>
        <v>13</v>
      </c>
      <c r="C22" s="491" t="s">
        <v>146</v>
      </c>
      <c r="D22" s="492"/>
      <c r="E22" s="493"/>
      <c r="F22" s="418"/>
      <c r="G22" s="419"/>
      <c r="H22" s="419"/>
      <c r="I22" s="418"/>
      <c r="J22" s="493"/>
    </row>
    <row r="23" spans="2:11" s="376" customFormat="1" ht="12.75" x14ac:dyDescent="0.35">
      <c r="B23" s="501"/>
      <c r="C23" s="491"/>
      <c r="D23" s="492"/>
      <c r="E23" s="493"/>
      <c r="F23" s="418"/>
      <c r="G23" s="419"/>
      <c r="H23" s="419"/>
      <c r="I23" s="418"/>
      <c r="J23" s="493"/>
    </row>
    <row r="24" spans="2:11" s="376" customFormat="1" ht="12.75" x14ac:dyDescent="0.35">
      <c r="B24" s="502" t="s">
        <v>226</v>
      </c>
      <c r="C24" s="426" t="s">
        <v>147</v>
      </c>
      <c r="D24" s="499"/>
      <c r="E24" s="500">
        <f>+E20-E21</f>
        <v>6.2298194586905478</v>
      </c>
      <c r="F24" s="499"/>
      <c r="G24" s="419"/>
      <c r="H24" s="419"/>
      <c r="I24" s="499"/>
      <c r="J24" s="500">
        <f>+J20-J21</f>
        <v>6.2218436677690709</v>
      </c>
      <c r="K24" s="503"/>
    </row>
    <row r="25" spans="2:11" s="376" customFormat="1" ht="12.75" x14ac:dyDescent="0.35">
      <c r="B25" s="502"/>
      <c r="C25" s="426"/>
      <c r="D25" s="419"/>
      <c r="E25" s="500"/>
      <c r="F25" s="419"/>
      <c r="G25" s="419"/>
      <c r="H25" s="419"/>
      <c r="I25" s="419"/>
      <c r="J25" s="493"/>
    </row>
    <row r="26" spans="2:11" s="376" customFormat="1" ht="12.75" x14ac:dyDescent="0.35">
      <c r="B26" s="502" t="s">
        <v>228</v>
      </c>
      <c r="C26" s="419" t="s">
        <v>834</v>
      </c>
      <c r="D26" s="419"/>
      <c r="E26" s="500"/>
      <c r="F26" s="419"/>
      <c r="G26" s="419"/>
      <c r="H26" s="419"/>
      <c r="I26" s="419"/>
      <c r="J26" s="493"/>
    </row>
    <row r="27" spans="2:11" s="376" customFormat="1" ht="12.75" x14ac:dyDescent="0.35">
      <c r="B27" s="501">
        <v>14</v>
      </c>
      <c r="C27" s="494" t="s">
        <v>835</v>
      </c>
      <c r="D27" s="435"/>
      <c r="E27" s="493">
        <f>+'ARR-Summary'!E$39</f>
        <v>0.101274535</v>
      </c>
      <c r="F27" s="435"/>
      <c r="G27" s="435"/>
      <c r="H27" s="435"/>
      <c r="I27" s="435"/>
      <c r="J27" s="493">
        <f>+E27</f>
        <v>0.101274535</v>
      </c>
    </row>
    <row r="28" spans="2:11" s="376" customFormat="1" ht="12.75" x14ac:dyDescent="0.35">
      <c r="B28" s="501"/>
      <c r="C28" s="494"/>
      <c r="D28" s="435"/>
      <c r="E28" s="493"/>
      <c r="F28" s="435"/>
      <c r="G28" s="435"/>
      <c r="H28" s="435"/>
      <c r="I28" s="435"/>
      <c r="J28" s="493"/>
    </row>
    <row r="29" spans="2:11" s="376" customFormat="1" ht="12.75" x14ac:dyDescent="0.35">
      <c r="B29" s="502" t="s">
        <v>274</v>
      </c>
      <c r="C29" s="504" t="s">
        <v>836</v>
      </c>
      <c r="D29" s="419"/>
      <c r="E29" s="500">
        <f>+E24-E27</f>
        <v>6.1285449236905478</v>
      </c>
      <c r="F29" s="419"/>
      <c r="G29" s="419"/>
      <c r="H29" s="419"/>
      <c r="I29" s="419"/>
      <c r="J29" s="500">
        <f>+J24-J27</f>
        <v>6.120569132769071</v>
      </c>
      <c r="K29" s="1661">
        <f>+'ARR-Summary'!E40-J29</f>
        <v>0</v>
      </c>
    </row>
    <row r="30" spans="2:11" s="376" customFormat="1" ht="12.75" x14ac:dyDescent="0.35"/>
    <row r="31" spans="2:11" s="376" customFormat="1" ht="12.75" x14ac:dyDescent="0.35">
      <c r="B31" s="392" t="s">
        <v>837</v>
      </c>
    </row>
    <row r="32" spans="2:11" s="376" customFormat="1" ht="12.75" x14ac:dyDescent="0.35"/>
    <row r="33" spans="2:10" s="376" customFormat="1" ht="12.75" x14ac:dyDescent="0.35">
      <c r="B33" s="430" t="s">
        <v>196</v>
      </c>
    </row>
    <row r="34" spans="2:10" s="376" customFormat="1" ht="12.75" x14ac:dyDescent="0.35">
      <c r="C34" s="436" t="s">
        <v>278</v>
      </c>
      <c r="D34" s="391"/>
      <c r="E34" s="391"/>
      <c r="F34" s="391"/>
      <c r="G34" s="391"/>
      <c r="H34" s="391"/>
      <c r="I34" s="391"/>
    </row>
    <row r="35" spans="2:10" s="376" customFormat="1" ht="12.75" x14ac:dyDescent="0.35">
      <c r="C35" s="392"/>
      <c r="D35" s="391"/>
      <c r="E35" s="391"/>
      <c r="F35" s="391"/>
      <c r="G35" s="391"/>
      <c r="H35" s="391"/>
      <c r="I35" s="391"/>
      <c r="J35" s="404" t="s">
        <v>110</v>
      </c>
    </row>
    <row r="36" spans="2:10" s="376" customFormat="1" ht="25.5" x14ac:dyDescent="0.35">
      <c r="B36" s="402" t="s">
        <v>1</v>
      </c>
      <c r="C36" s="490" t="s">
        <v>111</v>
      </c>
      <c r="D36" s="389" t="s">
        <v>358</v>
      </c>
      <c r="E36" s="389" t="s">
        <v>186</v>
      </c>
      <c r="F36" s="389" t="s">
        <v>1124</v>
      </c>
      <c r="G36" s="389" t="s">
        <v>830</v>
      </c>
      <c r="H36" s="389" t="s">
        <v>831</v>
      </c>
      <c r="I36" s="389" t="s">
        <v>832</v>
      </c>
      <c r="J36" s="389" t="s">
        <v>1125</v>
      </c>
    </row>
    <row r="37" spans="2:10" s="376" customFormat="1" ht="25.5" x14ac:dyDescent="0.35">
      <c r="B37" s="382">
        <v>1</v>
      </c>
      <c r="C37" s="491" t="s">
        <v>150</v>
      </c>
      <c r="D37" s="492"/>
      <c r="E37" s="493">
        <f>+'ARR-Summary'!E49</f>
        <v>0.75848660000000001</v>
      </c>
      <c r="F37" s="492"/>
      <c r="G37" s="435"/>
      <c r="H37" s="435"/>
      <c r="I37" s="492"/>
      <c r="J37" s="493">
        <f>+E37</f>
        <v>0.75848660000000001</v>
      </c>
    </row>
    <row r="38" spans="2:10" s="376" customFormat="1" ht="12.75" x14ac:dyDescent="0.35">
      <c r="B38" s="382">
        <f>B37+1</f>
        <v>2</v>
      </c>
      <c r="C38" s="491" t="s">
        <v>136</v>
      </c>
      <c r="D38" s="492"/>
      <c r="E38" s="493">
        <f>+'ARR-Summary'!E50</f>
        <v>0.88120872419999996</v>
      </c>
      <c r="F38" s="492"/>
      <c r="G38" s="419"/>
      <c r="H38" s="492"/>
      <c r="I38" s="419"/>
      <c r="J38" s="493">
        <f t="shared" ref="J38:J56" si="2">+E38</f>
        <v>0.88120872419999996</v>
      </c>
    </row>
    <row r="39" spans="2:10" s="376" customFormat="1" ht="12.75" x14ac:dyDescent="0.35">
      <c r="B39" s="382">
        <f t="shared" ref="B39:B56" si="3">B38+1</f>
        <v>3</v>
      </c>
      <c r="C39" s="494" t="s">
        <v>137</v>
      </c>
      <c r="D39" s="492"/>
      <c r="E39" s="493">
        <f>+'ARR-Summary'!E51</f>
        <v>3.7417869999999999E-2</v>
      </c>
      <c r="F39" s="492"/>
      <c r="G39" s="435"/>
      <c r="H39" s="435"/>
      <c r="I39" s="492"/>
      <c r="J39" s="493">
        <f t="shared" si="2"/>
        <v>3.7417869999999999E-2</v>
      </c>
    </row>
    <row r="40" spans="2:10" s="376" customFormat="1" ht="12.75" x14ac:dyDescent="0.35">
      <c r="B40" s="382">
        <f t="shared" si="3"/>
        <v>4</v>
      </c>
      <c r="C40" s="491" t="s">
        <v>52</v>
      </c>
      <c r="D40" s="492"/>
      <c r="E40" s="493">
        <f>+'ARR-Summary'!E52</f>
        <v>2.7840723025384616E-2</v>
      </c>
      <c r="F40" s="492"/>
      <c r="G40" s="435"/>
      <c r="H40" s="435"/>
      <c r="I40" s="492"/>
      <c r="J40" s="493">
        <f t="shared" si="2"/>
        <v>2.7840723025384616E-2</v>
      </c>
    </row>
    <row r="41" spans="2:10" s="376" customFormat="1" ht="12.75" x14ac:dyDescent="0.35">
      <c r="B41" s="382">
        <f t="shared" si="3"/>
        <v>5</v>
      </c>
      <c r="C41" s="494" t="s">
        <v>139</v>
      </c>
      <c r="D41" s="495"/>
      <c r="E41" s="493">
        <f>+'ARR-Summary'!E53</f>
        <v>0</v>
      </c>
      <c r="F41" s="495"/>
      <c r="G41" s="496"/>
      <c r="H41" s="496"/>
      <c r="I41" s="505"/>
      <c r="J41" s="493">
        <f t="shared" si="2"/>
        <v>0</v>
      </c>
    </row>
    <row r="42" spans="2:10" s="376" customFormat="1" ht="12.75" x14ac:dyDescent="0.35">
      <c r="B42" s="382">
        <f t="shared" si="3"/>
        <v>6</v>
      </c>
      <c r="C42" s="494" t="s">
        <v>152</v>
      </c>
      <c r="D42" s="492"/>
      <c r="E42" s="493">
        <f>+'ARR-Summary'!E54</f>
        <v>9.9043821000000011E-3</v>
      </c>
      <c r="F42" s="492"/>
      <c r="G42" s="435"/>
      <c r="H42" s="435"/>
      <c r="I42" s="492"/>
      <c r="J42" s="493">
        <f t="shared" si="2"/>
        <v>9.9043821000000011E-3</v>
      </c>
    </row>
    <row r="43" spans="2:10" s="376" customFormat="1" ht="12.75" x14ac:dyDescent="0.35">
      <c r="B43" s="382">
        <f t="shared" si="3"/>
        <v>7</v>
      </c>
      <c r="C43" s="494" t="s">
        <v>153</v>
      </c>
      <c r="D43" s="492"/>
      <c r="E43" s="493">
        <f>+'ARR-Summary'!E55</f>
        <v>0</v>
      </c>
      <c r="F43" s="418"/>
      <c r="G43" s="435"/>
      <c r="H43" s="435"/>
      <c r="I43" s="418"/>
      <c r="J43" s="493">
        <f t="shared" si="2"/>
        <v>0</v>
      </c>
    </row>
    <row r="44" spans="2:10" s="376" customFormat="1" ht="12.75" x14ac:dyDescent="0.35">
      <c r="B44" s="382">
        <f t="shared" si="3"/>
        <v>8</v>
      </c>
      <c r="C44" s="494" t="s">
        <v>141</v>
      </c>
      <c r="D44" s="492"/>
      <c r="E44" s="493">
        <f>+'ARR-Summary'!E56</f>
        <v>0</v>
      </c>
      <c r="F44" s="418"/>
      <c r="G44" s="435"/>
      <c r="H44" s="435"/>
      <c r="I44" s="418"/>
      <c r="J44" s="493">
        <f t="shared" si="2"/>
        <v>0</v>
      </c>
    </row>
    <row r="45" spans="2:10" s="376" customFormat="1" ht="12.75" x14ac:dyDescent="0.35">
      <c r="B45" s="382">
        <f t="shared" si="3"/>
        <v>9</v>
      </c>
      <c r="C45" s="494" t="s">
        <v>154</v>
      </c>
      <c r="D45" s="492"/>
      <c r="E45" s="493">
        <f>+'ARR-Summary'!E57</f>
        <v>0.91071400000000002</v>
      </c>
      <c r="F45" s="492"/>
      <c r="G45" s="435"/>
      <c r="H45" s="435"/>
      <c r="I45" s="492"/>
      <c r="J45" s="493">
        <f t="shared" si="2"/>
        <v>0.91071400000000002</v>
      </c>
    </row>
    <row r="46" spans="2:10" s="376" customFormat="1" ht="12.75" x14ac:dyDescent="0.35">
      <c r="B46" s="382">
        <f t="shared" si="3"/>
        <v>10</v>
      </c>
      <c r="C46" s="494" t="s">
        <v>155</v>
      </c>
      <c r="D46" s="492"/>
      <c r="E46" s="493">
        <f>+'ARR-Summary'!E58</f>
        <v>5.0124999999999996E-2</v>
      </c>
      <c r="F46" s="492"/>
      <c r="G46" s="435"/>
      <c r="H46" s="435"/>
      <c r="I46" s="492"/>
      <c r="J46" s="493">
        <f t="shared" si="2"/>
        <v>5.0124999999999996E-2</v>
      </c>
    </row>
    <row r="47" spans="2:10" s="376" customFormat="1" x14ac:dyDescent="0.35">
      <c r="B47" s="382">
        <f t="shared" si="3"/>
        <v>11</v>
      </c>
      <c r="C47" s="61" t="s">
        <v>1239</v>
      </c>
      <c r="D47" s="492"/>
      <c r="E47" s="493">
        <f>+'ARR-Summary'!E59</f>
        <v>0</v>
      </c>
      <c r="F47" s="492"/>
      <c r="G47" s="435"/>
      <c r="H47" s="435"/>
      <c r="I47" s="492"/>
      <c r="J47" s="493">
        <f t="shared" si="2"/>
        <v>0</v>
      </c>
    </row>
    <row r="48" spans="2:10" s="376" customFormat="1" x14ac:dyDescent="0.35">
      <c r="B48" s="382">
        <f t="shared" si="3"/>
        <v>12</v>
      </c>
      <c r="C48" s="61" t="s">
        <v>1354</v>
      </c>
      <c r="D48" s="492"/>
      <c r="E48" s="493">
        <f>+'ARR-Summary'!E60</f>
        <v>0</v>
      </c>
      <c r="F48" s="492"/>
      <c r="G48" s="435"/>
      <c r="H48" s="435"/>
      <c r="I48" s="492"/>
      <c r="J48" s="493">
        <f t="shared" si="2"/>
        <v>0</v>
      </c>
    </row>
    <row r="49" spans="2:11" s="376" customFormat="1" ht="12.75" x14ac:dyDescent="0.35">
      <c r="B49" s="382">
        <f t="shared" si="3"/>
        <v>13</v>
      </c>
      <c r="C49" s="491" t="s">
        <v>64</v>
      </c>
      <c r="D49" s="492"/>
      <c r="E49" s="493">
        <f>+'ARR-Summary'!E61</f>
        <v>0</v>
      </c>
      <c r="F49" s="492"/>
      <c r="G49" s="419"/>
      <c r="H49" s="419"/>
      <c r="I49" s="492"/>
      <c r="J49" s="493">
        <f t="shared" si="2"/>
        <v>0</v>
      </c>
    </row>
    <row r="50" spans="2:11" s="376" customFormat="1" ht="12.75" x14ac:dyDescent="0.35">
      <c r="B50" s="382">
        <f t="shared" si="3"/>
        <v>14</v>
      </c>
      <c r="C50" s="426" t="s">
        <v>142</v>
      </c>
      <c r="D50" s="499"/>
      <c r="E50" s="500">
        <f t="shared" ref="E50:J50" si="4">SUM(E37:E49)</f>
        <v>2.6756972993253845</v>
      </c>
      <c r="F50" s="500">
        <f t="shared" si="4"/>
        <v>0</v>
      </c>
      <c r="G50" s="500">
        <f t="shared" si="4"/>
        <v>0</v>
      </c>
      <c r="H50" s="500">
        <f t="shared" si="4"/>
        <v>0</v>
      </c>
      <c r="I50" s="500">
        <f t="shared" si="4"/>
        <v>0</v>
      </c>
      <c r="J50" s="500">
        <f t="shared" si="4"/>
        <v>2.6756972993253845</v>
      </c>
    </row>
    <row r="51" spans="2:11" s="376" customFormat="1" ht="12.75" x14ac:dyDescent="0.35">
      <c r="B51" s="382">
        <f t="shared" si="3"/>
        <v>15</v>
      </c>
      <c r="C51" s="491" t="s">
        <v>143</v>
      </c>
      <c r="D51" s="492"/>
      <c r="E51" s="493">
        <f>+'ARR-Summary'!E64</f>
        <v>2.0105230621875001E-2</v>
      </c>
      <c r="F51" s="492"/>
      <c r="G51" s="419"/>
      <c r="H51" s="419"/>
      <c r="I51" s="492"/>
      <c r="J51" s="493">
        <f t="shared" si="2"/>
        <v>2.0105230621875001E-2</v>
      </c>
    </row>
    <row r="52" spans="2:11" s="376" customFormat="1" ht="12.75" x14ac:dyDescent="0.35">
      <c r="B52" s="382">
        <f t="shared" si="3"/>
        <v>16</v>
      </c>
      <c r="C52" s="426" t="s">
        <v>144</v>
      </c>
      <c r="D52" s="499"/>
      <c r="E52" s="500">
        <f t="shared" ref="E52:J52" si="5">+E50+E51</f>
        <v>2.6958025299472594</v>
      </c>
      <c r="F52" s="500">
        <f t="shared" si="5"/>
        <v>0</v>
      </c>
      <c r="G52" s="500">
        <f t="shared" si="5"/>
        <v>0</v>
      </c>
      <c r="H52" s="500">
        <f t="shared" si="5"/>
        <v>0</v>
      </c>
      <c r="I52" s="500">
        <f t="shared" si="5"/>
        <v>0</v>
      </c>
      <c r="J52" s="500">
        <f t="shared" si="5"/>
        <v>2.6958025299472594</v>
      </c>
    </row>
    <row r="53" spans="2:11" s="376" customFormat="1" ht="12.75" x14ac:dyDescent="0.35">
      <c r="B53" s="382">
        <f t="shared" si="3"/>
        <v>17</v>
      </c>
      <c r="C53" s="491" t="s">
        <v>145</v>
      </c>
      <c r="D53" s="492"/>
      <c r="E53" s="493">
        <f>+'ARR-Summary'!E66</f>
        <v>0.3596102289</v>
      </c>
      <c r="F53" s="418"/>
      <c r="G53" s="419"/>
      <c r="H53" s="419"/>
      <c r="I53" s="418"/>
      <c r="J53" s="493">
        <f t="shared" si="2"/>
        <v>0.3596102289</v>
      </c>
    </row>
    <row r="54" spans="2:11" s="376" customFormat="1" ht="12.75" x14ac:dyDescent="0.35">
      <c r="B54" s="382">
        <f t="shared" si="3"/>
        <v>18</v>
      </c>
      <c r="C54" s="491" t="s">
        <v>146</v>
      </c>
      <c r="D54" s="492"/>
      <c r="E54" s="493">
        <f>+'ARR-Summary'!E67</f>
        <v>0</v>
      </c>
      <c r="F54" s="418"/>
      <c r="G54" s="419"/>
      <c r="H54" s="419"/>
      <c r="I54" s="418"/>
      <c r="J54" s="493">
        <f t="shared" si="2"/>
        <v>0</v>
      </c>
    </row>
    <row r="55" spans="2:11" s="376" customFormat="1" ht="12.75" x14ac:dyDescent="0.35">
      <c r="B55" s="382">
        <f t="shared" si="3"/>
        <v>19</v>
      </c>
      <c r="C55" s="491" t="s">
        <v>156</v>
      </c>
      <c r="D55" s="492"/>
      <c r="E55" s="493">
        <f>+'ARR-Summary'!E68</f>
        <v>0</v>
      </c>
      <c r="F55" s="418"/>
      <c r="G55" s="419"/>
      <c r="H55" s="419"/>
      <c r="I55" s="418"/>
      <c r="J55" s="493">
        <f t="shared" si="2"/>
        <v>0</v>
      </c>
    </row>
    <row r="56" spans="2:11" s="376" customFormat="1" ht="12.75" x14ac:dyDescent="0.35">
      <c r="B56" s="382">
        <f t="shared" si="3"/>
        <v>20</v>
      </c>
      <c r="C56" s="491" t="s">
        <v>157</v>
      </c>
      <c r="D56" s="492"/>
      <c r="E56" s="493">
        <f>+'ARR-Summary'!E69</f>
        <v>0</v>
      </c>
      <c r="F56" s="418"/>
      <c r="G56" s="435"/>
      <c r="H56" s="435"/>
      <c r="I56" s="418"/>
      <c r="J56" s="493">
        <f t="shared" si="2"/>
        <v>0</v>
      </c>
    </row>
    <row r="57" spans="2:11" s="376" customFormat="1" ht="12.75" x14ac:dyDescent="0.35">
      <c r="B57" s="382"/>
      <c r="C57" s="491"/>
      <c r="D57" s="492"/>
      <c r="E57" s="493"/>
      <c r="F57" s="418"/>
      <c r="G57" s="435"/>
      <c r="H57" s="435"/>
      <c r="I57" s="418"/>
      <c r="J57" s="493"/>
    </row>
    <row r="58" spans="2:11" s="376" customFormat="1" ht="12.75" x14ac:dyDescent="0.35">
      <c r="B58" s="447" t="s">
        <v>226</v>
      </c>
      <c r="C58" s="426" t="s">
        <v>158</v>
      </c>
      <c r="D58" s="499"/>
      <c r="E58" s="500">
        <f t="shared" ref="E58:J58" si="6">+E52-SUM(E53:E56)</f>
        <v>2.3361923010472596</v>
      </c>
      <c r="F58" s="500">
        <f t="shared" si="6"/>
        <v>0</v>
      </c>
      <c r="G58" s="500">
        <f t="shared" si="6"/>
        <v>0</v>
      </c>
      <c r="H58" s="500">
        <f t="shared" si="6"/>
        <v>0</v>
      </c>
      <c r="I58" s="500">
        <f t="shared" si="6"/>
        <v>0</v>
      </c>
      <c r="J58" s="500">
        <f t="shared" si="6"/>
        <v>2.3361923010472596</v>
      </c>
      <c r="K58" s="506"/>
    </row>
    <row r="59" spans="2:11" s="376" customFormat="1" ht="12.75" x14ac:dyDescent="0.35">
      <c r="B59" s="447"/>
      <c r="C59" s="419"/>
      <c r="D59" s="435"/>
      <c r="E59" s="493"/>
      <c r="F59" s="435"/>
      <c r="G59" s="435"/>
      <c r="H59" s="435"/>
      <c r="I59" s="435"/>
      <c r="J59" s="493"/>
    </row>
    <row r="60" spans="2:11" s="376" customFormat="1" ht="12.75" x14ac:dyDescent="0.35">
      <c r="B60" s="502" t="s">
        <v>228</v>
      </c>
      <c r="C60" s="419" t="s">
        <v>834</v>
      </c>
      <c r="D60" s="419"/>
      <c r="E60" s="500"/>
      <c r="F60" s="419"/>
      <c r="G60" s="419"/>
      <c r="H60" s="419"/>
      <c r="I60" s="419"/>
      <c r="J60" s="493"/>
    </row>
    <row r="61" spans="2:11" s="376" customFormat="1" ht="12.75" x14ac:dyDescent="0.35">
      <c r="B61" s="501">
        <f>+B56+1</f>
        <v>21</v>
      </c>
      <c r="C61" s="494" t="s">
        <v>835</v>
      </c>
      <c r="D61" s="435"/>
      <c r="E61" s="493">
        <f>+'ARR-Summary'!E83</f>
        <v>1.4247892500000001</v>
      </c>
      <c r="F61" s="435"/>
      <c r="G61" s="435"/>
      <c r="H61" s="435"/>
      <c r="I61" s="435"/>
      <c r="J61" s="493">
        <f>+E61</f>
        <v>1.4247892500000001</v>
      </c>
    </row>
    <row r="62" spans="2:11" s="376" customFormat="1" ht="12.75" x14ac:dyDescent="0.35">
      <c r="B62" s="501"/>
      <c r="C62" s="494"/>
      <c r="D62" s="435"/>
      <c r="E62" s="493"/>
      <c r="F62" s="435"/>
      <c r="G62" s="435"/>
      <c r="H62" s="435"/>
      <c r="I62" s="435"/>
      <c r="J62" s="493"/>
    </row>
    <row r="63" spans="2:11" s="376" customFormat="1" ht="12.75" x14ac:dyDescent="0.35">
      <c r="B63" s="502" t="s">
        <v>274</v>
      </c>
      <c r="C63" s="504" t="s">
        <v>836</v>
      </c>
      <c r="D63" s="419"/>
      <c r="E63" s="500">
        <f t="shared" ref="E63:J63" si="7">+E58-E61</f>
        <v>0.91140305104725949</v>
      </c>
      <c r="F63" s="500">
        <f t="shared" si="7"/>
        <v>0</v>
      </c>
      <c r="G63" s="500">
        <f t="shared" si="7"/>
        <v>0</v>
      </c>
      <c r="H63" s="500">
        <f t="shared" si="7"/>
        <v>0</v>
      </c>
      <c r="I63" s="500">
        <f t="shared" si="7"/>
        <v>0</v>
      </c>
      <c r="J63" s="500">
        <f t="shared" si="7"/>
        <v>0.91140305104725949</v>
      </c>
      <c r="K63" s="506">
        <f>+'ARR-Summary'!E84-J63</f>
        <v>0</v>
      </c>
    </row>
    <row r="64" spans="2:11" s="376" customFormat="1" ht="12.75" x14ac:dyDescent="0.35"/>
    <row r="65" spans="2:10" s="376" customFormat="1" ht="12.75" x14ac:dyDescent="0.35">
      <c r="B65" s="392" t="s">
        <v>837</v>
      </c>
    </row>
    <row r="66" spans="2:10" s="376" customFormat="1" ht="12.75" x14ac:dyDescent="0.35"/>
    <row r="67" spans="2:10" s="376" customFormat="1" ht="12.75" x14ac:dyDescent="0.35">
      <c r="B67" s="430" t="s">
        <v>197</v>
      </c>
    </row>
    <row r="68" spans="2:10" s="376" customFormat="1" ht="12.75" x14ac:dyDescent="0.35">
      <c r="B68" s="430"/>
    </row>
    <row r="69" spans="2:10" s="376" customFormat="1" ht="12.75" x14ac:dyDescent="0.35">
      <c r="B69" s="430"/>
      <c r="C69" s="436" t="s">
        <v>553</v>
      </c>
    </row>
    <row r="70" spans="2:10" s="376" customFormat="1" ht="12.75" x14ac:dyDescent="0.35">
      <c r="J70" s="404" t="s">
        <v>110</v>
      </c>
    </row>
    <row r="71" spans="2:10" s="376" customFormat="1" ht="25.5" x14ac:dyDescent="0.35">
      <c r="B71" s="402" t="s">
        <v>1</v>
      </c>
      <c r="C71" s="490" t="s">
        <v>111</v>
      </c>
      <c r="D71" s="389" t="s">
        <v>358</v>
      </c>
      <c r="E71" s="389" t="s">
        <v>186</v>
      </c>
      <c r="F71" s="389" t="s">
        <v>1124</v>
      </c>
      <c r="G71" s="389" t="s">
        <v>830</v>
      </c>
      <c r="H71" s="389" t="s">
        <v>831</v>
      </c>
      <c r="I71" s="389" t="s">
        <v>832</v>
      </c>
      <c r="J71" s="389" t="s">
        <v>1125</v>
      </c>
    </row>
    <row r="72" spans="2:10" s="376" customFormat="1" ht="12.75" x14ac:dyDescent="0.35">
      <c r="B72" s="382">
        <v>1</v>
      </c>
      <c r="C72" s="491" t="s">
        <v>136</v>
      </c>
      <c r="D72" s="492"/>
      <c r="E72" s="493">
        <f>+'ARR-Summary'!F12</f>
        <v>2.8627018337781109</v>
      </c>
      <c r="F72" s="492"/>
      <c r="G72" s="419"/>
      <c r="H72" s="492"/>
      <c r="I72" s="435"/>
      <c r="J72" s="493">
        <f>+E72</f>
        <v>2.8627018337781109</v>
      </c>
    </row>
    <row r="73" spans="2:10" s="376" customFormat="1" ht="12.75" x14ac:dyDescent="0.35">
      <c r="B73" s="382">
        <f>B72+1</f>
        <v>2</v>
      </c>
      <c r="C73" s="494" t="s">
        <v>137</v>
      </c>
      <c r="D73" s="492"/>
      <c r="E73" s="493">
        <f>+'ARR-Summary'!F13</f>
        <v>2.7690982556663637</v>
      </c>
      <c r="F73" s="492"/>
      <c r="G73" s="435"/>
      <c r="H73" s="435"/>
      <c r="I73" s="492"/>
      <c r="J73" s="493">
        <f>+E73</f>
        <v>2.7690982556663637</v>
      </c>
    </row>
    <row r="74" spans="2:10" s="376" customFormat="1" ht="12.75" x14ac:dyDescent="0.35">
      <c r="B74" s="382">
        <f t="shared" ref="B74:B84" si="8">B73+1</f>
        <v>3</v>
      </c>
      <c r="C74" s="491" t="s">
        <v>52</v>
      </c>
      <c r="D74" s="492"/>
      <c r="E74" s="493">
        <f>+'ARR-Summary'!F14</f>
        <v>4.4640726972573592</v>
      </c>
      <c r="F74" s="492"/>
      <c r="G74" s="435"/>
      <c r="H74" s="435"/>
      <c r="I74" s="492"/>
      <c r="J74" s="493">
        <f>+E74</f>
        <v>4.4640726972573592</v>
      </c>
    </row>
    <row r="75" spans="2:10" s="376" customFormat="1" ht="12.75" x14ac:dyDescent="0.35">
      <c r="B75" s="382">
        <f t="shared" si="8"/>
        <v>4</v>
      </c>
      <c r="C75" s="494" t="s">
        <v>139</v>
      </c>
      <c r="D75" s="495"/>
      <c r="E75" s="493">
        <f>+'ARR-Summary'!F15</f>
        <v>4.3107786676804462E-2</v>
      </c>
      <c r="F75" s="495"/>
      <c r="G75" s="496"/>
      <c r="H75" s="496">
        <f>+E75</f>
        <v>4.3107786676804462E-2</v>
      </c>
      <c r="I75" s="497"/>
      <c r="J75" s="493">
        <f>+H75/3</f>
        <v>1.4369262225601488E-2</v>
      </c>
    </row>
    <row r="76" spans="2:10" s="376" customFormat="1" ht="25.5" x14ac:dyDescent="0.35">
      <c r="B76" s="382">
        <f t="shared" si="8"/>
        <v>5</v>
      </c>
      <c r="C76" s="494" t="s">
        <v>140</v>
      </c>
      <c r="D76" s="492"/>
      <c r="E76" s="493">
        <f>+'ARR-Summary'!F16</f>
        <v>6.1948608000000002E-3</v>
      </c>
      <c r="F76" s="492"/>
      <c r="G76" s="435"/>
      <c r="H76" s="435"/>
      <c r="I76" s="492"/>
      <c r="J76" s="493">
        <f>+E76</f>
        <v>6.1948608000000002E-3</v>
      </c>
    </row>
    <row r="77" spans="2:10" s="376" customFormat="1" ht="12.75" x14ac:dyDescent="0.35">
      <c r="B77" s="382">
        <f t="shared" si="8"/>
        <v>6</v>
      </c>
      <c r="C77" s="494" t="s">
        <v>60</v>
      </c>
      <c r="D77" s="492"/>
      <c r="E77" s="493">
        <f>+'ARR-Summary'!F17</f>
        <v>0</v>
      </c>
      <c r="F77" s="418"/>
      <c r="G77" s="435"/>
      <c r="H77" s="435"/>
      <c r="I77" s="418"/>
      <c r="J77" s="493">
        <f>+E77</f>
        <v>0</v>
      </c>
    </row>
    <row r="78" spans="2:10" s="376" customFormat="1" ht="12.75" x14ac:dyDescent="0.35">
      <c r="B78" s="382">
        <f t="shared" si="8"/>
        <v>7</v>
      </c>
      <c r="C78" s="494" t="s">
        <v>141</v>
      </c>
      <c r="D78" s="492"/>
      <c r="E78" s="493">
        <f>+'ARR-Summary'!F18</f>
        <v>0.13886720361875002</v>
      </c>
      <c r="F78" s="492"/>
      <c r="G78" s="435"/>
      <c r="H78" s="435"/>
      <c r="I78" s="492"/>
      <c r="J78" s="493">
        <f>+E78</f>
        <v>0.13886720361875002</v>
      </c>
    </row>
    <row r="79" spans="2:10" s="376" customFormat="1" ht="12.75" x14ac:dyDescent="0.35">
      <c r="B79" s="382">
        <f t="shared" si="8"/>
        <v>8</v>
      </c>
      <c r="C79" s="491" t="s">
        <v>64</v>
      </c>
      <c r="D79" s="492"/>
      <c r="E79" s="493">
        <f>+'ARR-Summary'!F19</f>
        <v>0</v>
      </c>
      <c r="F79" s="492"/>
      <c r="G79" s="435"/>
      <c r="H79" s="435"/>
      <c r="I79" s="492"/>
      <c r="J79" s="493">
        <f>+E79</f>
        <v>0</v>
      </c>
    </row>
    <row r="80" spans="2:10" s="376" customFormat="1" ht="12.75" x14ac:dyDescent="0.35">
      <c r="B80" s="382">
        <f t="shared" si="8"/>
        <v>9</v>
      </c>
      <c r="C80" s="426" t="s">
        <v>142</v>
      </c>
      <c r="D80" s="499"/>
      <c r="E80" s="500">
        <f>SUM(E72:E79)</f>
        <v>10.284042637797389</v>
      </c>
      <c r="F80" s="499"/>
      <c r="G80" s="435"/>
      <c r="H80" s="435"/>
      <c r="I80" s="499"/>
      <c r="J80" s="500">
        <f>SUM(J72:J79)</f>
        <v>10.255304113346186</v>
      </c>
    </row>
    <row r="81" spans="2:11" s="376" customFormat="1" ht="12.75" x14ac:dyDescent="0.35">
      <c r="B81" s="382">
        <f t="shared" si="8"/>
        <v>10</v>
      </c>
      <c r="C81" s="491" t="s">
        <v>143</v>
      </c>
      <c r="D81" s="492"/>
      <c r="E81" s="493">
        <f>+'ARR-Summary'!F22</f>
        <v>2.851735535430167</v>
      </c>
      <c r="F81" s="492"/>
      <c r="G81" s="419"/>
      <c r="H81" s="419"/>
      <c r="I81" s="492"/>
      <c r="J81" s="493">
        <f>+E81</f>
        <v>2.851735535430167</v>
      </c>
    </row>
    <row r="82" spans="2:11" s="376" customFormat="1" ht="12.75" x14ac:dyDescent="0.35">
      <c r="B82" s="382">
        <f t="shared" si="8"/>
        <v>11</v>
      </c>
      <c r="C82" s="426" t="s">
        <v>144</v>
      </c>
      <c r="D82" s="499"/>
      <c r="E82" s="500">
        <f>+E80+E81</f>
        <v>13.135778173227557</v>
      </c>
      <c r="F82" s="499"/>
      <c r="G82" s="435"/>
      <c r="H82" s="435"/>
      <c r="I82" s="418"/>
      <c r="J82" s="500">
        <f>+J80+J81</f>
        <v>13.107039648776354</v>
      </c>
    </row>
    <row r="83" spans="2:11" s="376" customFormat="1" ht="12.75" x14ac:dyDescent="0.35">
      <c r="B83" s="382">
        <f t="shared" si="8"/>
        <v>12</v>
      </c>
      <c r="C83" s="491" t="s">
        <v>145</v>
      </c>
      <c r="D83" s="492"/>
      <c r="E83" s="493">
        <f>+'ARR-Summary'!F24</f>
        <v>0.12518914</v>
      </c>
      <c r="F83" s="492"/>
      <c r="G83" s="419"/>
      <c r="H83" s="419"/>
      <c r="I83" s="492"/>
      <c r="J83" s="493">
        <f>+E83</f>
        <v>0.12518914</v>
      </c>
    </row>
    <row r="84" spans="2:11" s="376" customFormat="1" ht="12.75" x14ac:dyDescent="0.35">
      <c r="B84" s="382">
        <f t="shared" si="8"/>
        <v>13</v>
      </c>
      <c r="C84" s="491" t="s">
        <v>146</v>
      </c>
      <c r="D84" s="492"/>
      <c r="E84" s="493"/>
      <c r="F84" s="418"/>
      <c r="G84" s="419"/>
      <c r="H84" s="419"/>
      <c r="I84" s="418"/>
      <c r="J84" s="493"/>
    </row>
    <row r="85" spans="2:11" s="376" customFormat="1" ht="12.75" x14ac:dyDescent="0.35">
      <c r="B85" s="501"/>
      <c r="C85" s="491"/>
      <c r="D85" s="492"/>
      <c r="E85" s="493"/>
      <c r="F85" s="418"/>
      <c r="G85" s="419"/>
      <c r="H85" s="419"/>
      <c r="I85" s="418"/>
      <c r="J85" s="493"/>
    </row>
    <row r="86" spans="2:11" s="376" customFormat="1" ht="12.75" x14ac:dyDescent="0.35">
      <c r="B86" s="502" t="s">
        <v>226</v>
      </c>
      <c r="C86" s="426" t="s">
        <v>147</v>
      </c>
      <c r="D86" s="499"/>
      <c r="E86" s="500">
        <f>+E82-E83</f>
        <v>13.010589033227557</v>
      </c>
      <c r="F86" s="499"/>
      <c r="G86" s="419"/>
      <c r="H86" s="419"/>
      <c r="I86" s="499"/>
      <c r="J86" s="500">
        <f>+J82-J83</f>
        <v>12.981850508776354</v>
      </c>
      <c r="K86" s="503"/>
    </row>
    <row r="87" spans="2:11" s="376" customFormat="1" ht="12.75" x14ac:dyDescent="0.35">
      <c r="B87" s="502"/>
      <c r="C87" s="426"/>
      <c r="D87" s="419"/>
      <c r="E87" s="500"/>
      <c r="F87" s="419"/>
      <c r="G87" s="419"/>
      <c r="H87" s="419"/>
      <c r="I87" s="419"/>
      <c r="J87" s="493"/>
    </row>
    <row r="88" spans="2:11" s="376" customFormat="1" ht="12.75" x14ac:dyDescent="0.35">
      <c r="B88" s="502" t="s">
        <v>228</v>
      </c>
      <c r="C88" s="419" t="s">
        <v>834</v>
      </c>
      <c r="D88" s="419"/>
      <c r="E88" s="500"/>
      <c r="F88" s="419"/>
      <c r="G88" s="419"/>
      <c r="H88" s="419"/>
      <c r="I88" s="419"/>
      <c r="J88" s="493"/>
    </row>
    <row r="89" spans="2:11" s="376" customFormat="1" ht="12.75" x14ac:dyDescent="0.35">
      <c r="B89" s="501">
        <v>14</v>
      </c>
      <c r="C89" s="494" t="s">
        <v>835</v>
      </c>
      <c r="D89" s="435"/>
      <c r="E89" s="493">
        <f>+'ARR-Summary'!F39</f>
        <v>0.26795036315999998</v>
      </c>
      <c r="F89" s="435"/>
      <c r="G89" s="435"/>
      <c r="H89" s="435"/>
      <c r="I89" s="435"/>
      <c r="J89" s="493">
        <f>+E89</f>
        <v>0.26795036315999998</v>
      </c>
    </row>
    <row r="90" spans="2:11" s="376" customFormat="1" ht="12.75" x14ac:dyDescent="0.35">
      <c r="B90" s="501"/>
      <c r="C90" s="494"/>
      <c r="D90" s="435"/>
      <c r="E90" s="493"/>
      <c r="F90" s="435"/>
      <c r="G90" s="435"/>
      <c r="H90" s="435"/>
      <c r="I90" s="435"/>
      <c r="J90" s="493"/>
    </row>
    <row r="91" spans="2:11" s="376" customFormat="1" ht="12.75" x14ac:dyDescent="0.35">
      <c r="B91" s="502" t="s">
        <v>274</v>
      </c>
      <c r="C91" s="504" t="s">
        <v>836</v>
      </c>
      <c r="D91" s="419"/>
      <c r="E91" s="500">
        <f>+E86-E89</f>
        <v>12.742638670067556</v>
      </c>
      <c r="F91" s="419"/>
      <c r="G91" s="419"/>
      <c r="H91" s="419"/>
      <c r="I91" s="419"/>
      <c r="J91" s="500">
        <f>+J86-J89</f>
        <v>12.713900145616353</v>
      </c>
      <c r="K91" s="1661">
        <f>+'ARR-Summary'!F$40-J91</f>
        <v>0</v>
      </c>
    </row>
    <row r="92" spans="2:11" s="376" customFormat="1" ht="12.75" x14ac:dyDescent="0.35"/>
    <row r="93" spans="2:11" s="376" customFormat="1" ht="12.75" x14ac:dyDescent="0.35">
      <c r="B93" s="392" t="s">
        <v>837</v>
      </c>
    </row>
    <row r="94" spans="2:11" s="376" customFormat="1" ht="12.75" x14ac:dyDescent="0.35">
      <c r="B94" s="392"/>
    </row>
    <row r="95" spans="2:11" s="376" customFormat="1" ht="12.75" x14ac:dyDescent="0.35"/>
    <row r="96" spans="2:11" s="376" customFormat="1" ht="12.75" x14ac:dyDescent="0.35">
      <c r="B96" s="430" t="s">
        <v>197</v>
      </c>
    </row>
    <row r="97" spans="2:10" s="376" customFormat="1" ht="12.75" x14ac:dyDescent="0.35">
      <c r="C97" s="436" t="s">
        <v>278</v>
      </c>
      <c r="D97" s="391"/>
      <c r="E97" s="391"/>
      <c r="F97" s="391"/>
      <c r="G97" s="391"/>
      <c r="H97" s="391"/>
      <c r="I97" s="391"/>
    </row>
    <row r="98" spans="2:10" s="376" customFormat="1" ht="12.75" x14ac:dyDescent="0.35">
      <c r="C98" s="392"/>
      <c r="D98" s="391"/>
      <c r="E98" s="391"/>
      <c r="F98" s="391"/>
      <c r="G98" s="391"/>
      <c r="H98" s="391"/>
      <c r="I98" s="391"/>
      <c r="J98" s="404" t="s">
        <v>110</v>
      </c>
    </row>
    <row r="99" spans="2:10" s="376" customFormat="1" ht="25.5" x14ac:dyDescent="0.35">
      <c r="B99" s="402" t="s">
        <v>1</v>
      </c>
      <c r="C99" s="490" t="s">
        <v>111</v>
      </c>
      <c r="D99" s="389" t="s">
        <v>358</v>
      </c>
      <c r="E99" s="389" t="s">
        <v>186</v>
      </c>
      <c r="F99" s="389" t="s">
        <v>1124</v>
      </c>
      <c r="G99" s="389" t="s">
        <v>830</v>
      </c>
      <c r="H99" s="389" t="s">
        <v>831</v>
      </c>
      <c r="I99" s="389" t="s">
        <v>832</v>
      </c>
      <c r="J99" s="389" t="s">
        <v>1125</v>
      </c>
    </row>
    <row r="100" spans="2:10" s="376" customFormat="1" ht="25.5" x14ac:dyDescent="0.35">
      <c r="B100" s="382">
        <v>1</v>
      </c>
      <c r="C100" s="491" t="s">
        <v>150</v>
      </c>
      <c r="D100" s="492"/>
      <c r="E100" s="493">
        <f>+'ARR-Summary'!F49</f>
        <v>1.7147583</v>
      </c>
      <c r="F100" s="492"/>
      <c r="G100" s="435"/>
      <c r="H100" s="435"/>
      <c r="I100" s="492"/>
      <c r="J100" s="493">
        <f>+E100</f>
        <v>1.7147583</v>
      </c>
    </row>
    <row r="101" spans="2:10" s="376" customFormat="1" ht="12.75" x14ac:dyDescent="0.35">
      <c r="B101" s="382">
        <f>B100+1</f>
        <v>2</v>
      </c>
      <c r="C101" s="491" t="s">
        <v>136</v>
      </c>
      <c r="D101" s="492"/>
      <c r="E101" s="493">
        <f>+'ARR-Summary'!F50</f>
        <v>1.5414548335728289</v>
      </c>
      <c r="F101" s="492"/>
      <c r="G101" s="419"/>
      <c r="H101" s="492"/>
      <c r="I101" s="419"/>
      <c r="J101" s="493">
        <f t="shared" ref="J101:J112" si="9">+E101</f>
        <v>1.5414548335728289</v>
      </c>
    </row>
    <row r="102" spans="2:10" s="376" customFormat="1" ht="12.75" x14ac:dyDescent="0.35">
      <c r="B102" s="382">
        <f t="shared" ref="B102:B119" si="10">B101+1</f>
        <v>3</v>
      </c>
      <c r="C102" s="494" t="s">
        <v>137</v>
      </c>
      <c r="D102" s="492"/>
      <c r="E102" s="493">
        <f>+'ARR-Summary'!F51</f>
        <v>9.431896360344888E-2</v>
      </c>
      <c r="F102" s="492"/>
      <c r="G102" s="435"/>
      <c r="H102" s="435"/>
      <c r="I102" s="492"/>
      <c r="J102" s="493">
        <f t="shared" si="9"/>
        <v>9.431896360344888E-2</v>
      </c>
    </row>
    <row r="103" spans="2:10" s="376" customFormat="1" ht="12.75" x14ac:dyDescent="0.35">
      <c r="B103" s="382">
        <f t="shared" si="10"/>
        <v>4</v>
      </c>
      <c r="C103" s="491" t="s">
        <v>52</v>
      </c>
      <c r="D103" s="492"/>
      <c r="E103" s="493">
        <f>+'ARR-Summary'!F52</f>
        <v>9.9157609373700731E-2</v>
      </c>
      <c r="F103" s="492"/>
      <c r="G103" s="435"/>
      <c r="H103" s="435"/>
      <c r="I103" s="492"/>
      <c r="J103" s="493">
        <f t="shared" si="9"/>
        <v>9.9157609373700731E-2</v>
      </c>
    </row>
    <row r="104" spans="2:10" s="376" customFormat="1" ht="12.75" x14ac:dyDescent="0.35">
      <c r="B104" s="382">
        <f t="shared" si="10"/>
        <v>5</v>
      </c>
      <c r="C104" s="494" t="s">
        <v>139</v>
      </c>
      <c r="D104" s="495"/>
      <c r="E104" s="493">
        <f>+'ARR-Summary'!F53</f>
        <v>0</v>
      </c>
      <c r="F104" s="495"/>
      <c r="G104" s="496"/>
      <c r="H104" s="496"/>
      <c r="I104" s="505"/>
      <c r="J104" s="493">
        <f t="shared" si="9"/>
        <v>0</v>
      </c>
    </row>
    <row r="105" spans="2:10" s="376" customFormat="1" ht="12.75" x14ac:dyDescent="0.35">
      <c r="B105" s="382">
        <f t="shared" si="10"/>
        <v>6</v>
      </c>
      <c r="C105" s="494" t="s">
        <v>152</v>
      </c>
      <c r="D105" s="492"/>
      <c r="E105" s="493">
        <f>+'ARR-Summary'!F54</f>
        <v>5.5753747199999995E-2</v>
      </c>
      <c r="F105" s="492"/>
      <c r="G105" s="435"/>
      <c r="H105" s="435"/>
      <c r="I105" s="492"/>
      <c r="J105" s="493">
        <f t="shared" si="9"/>
        <v>5.5753747199999995E-2</v>
      </c>
    </row>
    <row r="106" spans="2:10" s="376" customFormat="1" ht="12.75" x14ac:dyDescent="0.35">
      <c r="B106" s="382">
        <f t="shared" si="10"/>
        <v>7</v>
      </c>
      <c r="C106" s="494" t="s">
        <v>153</v>
      </c>
      <c r="D106" s="492"/>
      <c r="E106" s="493">
        <f>+'ARR-Summary'!F55</f>
        <v>0</v>
      </c>
      <c r="F106" s="418"/>
      <c r="G106" s="435"/>
      <c r="H106" s="435"/>
      <c r="I106" s="418"/>
      <c r="J106" s="493">
        <f t="shared" si="9"/>
        <v>0</v>
      </c>
    </row>
    <row r="107" spans="2:10" s="376" customFormat="1" ht="12.75" x14ac:dyDescent="0.35">
      <c r="B107" s="382">
        <f t="shared" si="10"/>
        <v>8</v>
      </c>
      <c r="C107" s="494" t="s">
        <v>141</v>
      </c>
      <c r="D107" s="492"/>
      <c r="E107" s="493">
        <f>+'ARR-Summary'!F56</f>
        <v>1.9147838687500003E-3</v>
      </c>
      <c r="F107" s="418"/>
      <c r="G107" s="435"/>
      <c r="H107" s="435"/>
      <c r="I107" s="418"/>
      <c r="J107" s="493">
        <f t="shared" si="9"/>
        <v>1.9147838687500003E-3</v>
      </c>
    </row>
    <row r="108" spans="2:10" s="376" customFormat="1" ht="12.75" x14ac:dyDescent="0.35">
      <c r="B108" s="382">
        <f t="shared" si="10"/>
        <v>9</v>
      </c>
      <c r="C108" s="494" t="s">
        <v>154</v>
      </c>
      <c r="D108" s="492"/>
      <c r="E108" s="493">
        <f>+'ARR-Summary'!F57</f>
        <v>2.4552548000000001</v>
      </c>
      <c r="F108" s="492"/>
      <c r="G108" s="435"/>
      <c r="H108" s="435"/>
      <c r="I108" s="492"/>
      <c r="J108" s="493">
        <f t="shared" si="9"/>
        <v>2.4552548000000001</v>
      </c>
    </row>
    <row r="109" spans="2:10" s="376" customFormat="1" ht="12.75" x14ac:dyDescent="0.35">
      <c r="B109" s="382">
        <f t="shared" si="10"/>
        <v>10</v>
      </c>
      <c r="C109" s="494" t="s">
        <v>155</v>
      </c>
      <c r="D109" s="492"/>
      <c r="E109" s="493">
        <f>+'ARR-Summary'!F58</f>
        <v>0.13397500000000001</v>
      </c>
      <c r="F109" s="492"/>
      <c r="G109" s="435"/>
      <c r="H109" s="435"/>
      <c r="I109" s="492"/>
      <c r="J109" s="493">
        <f t="shared" si="9"/>
        <v>0.13397500000000001</v>
      </c>
    </row>
    <row r="110" spans="2:10" s="376" customFormat="1" x14ac:dyDescent="0.35">
      <c r="B110" s="382">
        <f t="shared" si="10"/>
        <v>11</v>
      </c>
      <c r="C110" s="61" t="s">
        <v>1239</v>
      </c>
      <c r="D110" s="492"/>
      <c r="E110" s="493">
        <f>+'ARR-Summary'!F59</f>
        <v>0</v>
      </c>
      <c r="F110" s="492"/>
      <c r="G110" s="435"/>
      <c r="H110" s="435"/>
      <c r="I110" s="492"/>
      <c r="J110" s="493">
        <f t="shared" si="9"/>
        <v>0</v>
      </c>
    </row>
    <row r="111" spans="2:10" s="376" customFormat="1" x14ac:dyDescent="0.35">
      <c r="B111" s="382">
        <f t="shared" si="10"/>
        <v>12</v>
      </c>
      <c r="C111" s="61" t="s">
        <v>1354</v>
      </c>
      <c r="D111" s="492"/>
      <c r="E111" s="493">
        <f>+'ARR-Summary'!F60</f>
        <v>2.2743800000000002E-2</v>
      </c>
      <c r="F111" s="492"/>
      <c r="G111" s="435"/>
      <c r="H111" s="435"/>
      <c r="I111" s="492"/>
      <c r="J111" s="493">
        <f t="shared" si="9"/>
        <v>2.2743800000000002E-2</v>
      </c>
    </row>
    <row r="112" spans="2:10" s="376" customFormat="1" ht="12.75" x14ac:dyDescent="0.35">
      <c r="B112" s="382">
        <f t="shared" si="10"/>
        <v>13</v>
      </c>
      <c r="C112" s="491" t="s">
        <v>64</v>
      </c>
      <c r="D112" s="492"/>
      <c r="E112" s="493">
        <f>+'ARR-Summary'!F61</f>
        <v>0</v>
      </c>
      <c r="F112" s="492"/>
      <c r="G112" s="419"/>
      <c r="H112" s="419"/>
      <c r="I112" s="492"/>
      <c r="J112" s="493">
        <f t="shared" si="9"/>
        <v>0</v>
      </c>
    </row>
    <row r="113" spans="2:11" s="376" customFormat="1" ht="12.75" x14ac:dyDescent="0.35">
      <c r="B113" s="382">
        <f t="shared" si="10"/>
        <v>14</v>
      </c>
      <c r="C113" s="426" t="s">
        <v>142</v>
      </c>
      <c r="D113" s="499"/>
      <c r="E113" s="500">
        <f t="shared" ref="E113:J113" si="11">SUM(E100:E112)</f>
        <v>6.1193318376187289</v>
      </c>
      <c r="F113" s="500">
        <f t="shared" si="11"/>
        <v>0</v>
      </c>
      <c r="G113" s="500">
        <f t="shared" si="11"/>
        <v>0</v>
      </c>
      <c r="H113" s="500">
        <f t="shared" si="11"/>
        <v>0</v>
      </c>
      <c r="I113" s="500">
        <f t="shared" si="11"/>
        <v>0</v>
      </c>
      <c r="J113" s="500">
        <f t="shared" si="11"/>
        <v>6.1193318376187289</v>
      </c>
    </row>
    <row r="114" spans="2:11" s="376" customFormat="1" ht="12.75" x14ac:dyDescent="0.35">
      <c r="B114" s="382">
        <f t="shared" si="10"/>
        <v>15</v>
      </c>
      <c r="C114" s="491" t="s">
        <v>143</v>
      </c>
      <c r="D114" s="492"/>
      <c r="E114" s="493">
        <f>+'ARR-Summary'!F64</f>
        <v>7.3511980340490113E-2</v>
      </c>
      <c r="F114" s="492"/>
      <c r="G114" s="419"/>
      <c r="H114" s="419"/>
      <c r="I114" s="492"/>
      <c r="J114" s="493">
        <f>+E114</f>
        <v>7.3511980340490113E-2</v>
      </c>
    </row>
    <row r="115" spans="2:11" s="376" customFormat="1" ht="12.75" x14ac:dyDescent="0.35">
      <c r="B115" s="382">
        <f t="shared" si="10"/>
        <v>16</v>
      </c>
      <c r="C115" s="426" t="s">
        <v>144</v>
      </c>
      <c r="D115" s="499"/>
      <c r="E115" s="500">
        <f t="shared" ref="E115:J115" si="12">+E113+E114</f>
        <v>6.1928438179592193</v>
      </c>
      <c r="F115" s="500">
        <f t="shared" si="12"/>
        <v>0</v>
      </c>
      <c r="G115" s="500">
        <f t="shared" si="12"/>
        <v>0</v>
      </c>
      <c r="H115" s="500">
        <f t="shared" si="12"/>
        <v>0</v>
      </c>
      <c r="I115" s="500">
        <f t="shared" si="12"/>
        <v>0</v>
      </c>
      <c r="J115" s="500">
        <f t="shared" si="12"/>
        <v>6.1928438179592193</v>
      </c>
    </row>
    <row r="116" spans="2:11" s="376" customFormat="1" ht="12.75" x14ac:dyDescent="0.35">
      <c r="B116" s="382">
        <f t="shared" si="10"/>
        <v>17</v>
      </c>
      <c r="C116" s="491" t="s">
        <v>145</v>
      </c>
      <c r="D116" s="492"/>
      <c r="E116" s="493">
        <f>+'ARR-Summary'!F66</f>
        <v>1.1437298600000001</v>
      </c>
      <c r="F116" s="418"/>
      <c r="G116" s="419"/>
      <c r="H116" s="419"/>
      <c r="I116" s="418"/>
      <c r="J116" s="493">
        <f>+E116</f>
        <v>1.1437298600000001</v>
      </c>
    </row>
    <row r="117" spans="2:11" s="376" customFormat="1" ht="12.75" x14ac:dyDescent="0.35">
      <c r="B117" s="382">
        <f t="shared" si="10"/>
        <v>18</v>
      </c>
      <c r="C117" s="491" t="s">
        <v>146</v>
      </c>
      <c r="D117" s="492"/>
      <c r="E117" s="493">
        <f>+'ARR-Summary'!F67</f>
        <v>0</v>
      </c>
      <c r="F117" s="418"/>
      <c r="G117" s="419"/>
      <c r="H117" s="419"/>
      <c r="I117" s="418"/>
      <c r="J117" s="493">
        <f>+E117</f>
        <v>0</v>
      </c>
    </row>
    <row r="118" spans="2:11" s="376" customFormat="1" ht="12.75" x14ac:dyDescent="0.35">
      <c r="B118" s="382">
        <f t="shared" si="10"/>
        <v>19</v>
      </c>
      <c r="C118" s="491" t="s">
        <v>156</v>
      </c>
      <c r="D118" s="492"/>
      <c r="E118" s="493">
        <f>+'ARR-Summary'!F68</f>
        <v>0</v>
      </c>
      <c r="F118" s="418"/>
      <c r="G118" s="419"/>
      <c r="H118" s="419"/>
      <c r="I118" s="418"/>
      <c r="J118" s="493">
        <f>+E118</f>
        <v>0</v>
      </c>
    </row>
    <row r="119" spans="2:11" s="376" customFormat="1" ht="12.75" x14ac:dyDescent="0.35">
      <c r="B119" s="382">
        <f t="shared" si="10"/>
        <v>20</v>
      </c>
      <c r="C119" s="491" t="s">
        <v>157</v>
      </c>
      <c r="D119" s="492"/>
      <c r="E119" s="493">
        <f>+'ARR-Summary'!F69</f>
        <v>0</v>
      </c>
      <c r="F119" s="418"/>
      <c r="G119" s="435"/>
      <c r="H119" s="435"/>
      <c r="I119" s="418"/>
      <c r="J119" s="493">
        <f>+E119</f>
        <v>0</v>
      </c>
    </row>
    <row r="120" spans="2:11" s="376" customFormat="1" ht="12.75" x14ac:dyDescent="0.35">
      <c r="B120" s="382"/>
      <c r="C120" s="491"/>
      <c r="D120" s="492"/>
      <c r="E120" s="493"/>
      <c r="F120" s="418"/>
      <c r="G120" s="435"/>
      <c r="H120" s="435"/>
      <c r="I120" s="418"/>
      <c r="J120" s="493"/>
      <c r="K120" s="506"/>
    </row>
    <row r="121" spans="2:11" s="376" customFormat="1" ht="12.75" x14ac:dyDescent="0.35">
      <c r="B121" s="447" t="s">
        <v>226</v>
      </c>
      <c r="C121" s="426" t="s">
        <v>158</v>
      </c>
      <c r="D121" s="499"/>
      <c r="E121" s="500">
        <f t="shared" ref="E121:J121" si="13">+E115-SUM(E116:E119)</f>
        <v>5.0491139579592197</v>
      </c>
      <c r="F121" s="500">
        <f t="shared" si="13"/>
        <v>0</v>
      </c>
      <c r="G121" s="500">
        <f t="shared" si="13"/>
        <v>0</v>
      </c>
      <c r="H121" s="500">
        <f t="shared" si="13"/>
        <v>0</v>
      </c>
      <c r="I121" s="500">
        <f t="shared" si="13"/>
        <v>0</v>
      </c>
      <c r="J121" s="500">
        <f t="shared" si="13"/>
        <v>5.0491139579592197</v>
      </c>
    </row>
    <row r="122" spans="2:11" s="376" customFormat="1" ht="12.75" x14ac:dyDescent="0.35">
      <c r="B122" s="447"/>
      <c r="C122" s="419"/>
      <c r="D122" s="435"/>
      <c r="E122" s="493"/>
      <c r="F122" s="435"/>
      <c r="G122" s="435"/>
      <c r="H122" s="435"/>
      <c r="I122" s="435"/>
      <c r="J122" s="493"/>
    </row>
    <row r="123" spans="2:11" s="376" customFormat="1" ht="12.75" x14ac:dyDescent="0.35">
      <c r="B123" s="502" t="s">
        <v>228</v>
      </c>
      <c r="C123" s="419" t="s">
        <v>834</v>
      </c>
      <c r="D123" s="419"/>
      <c r="E123" s="500"/>
      <c r="F123" s="419"/>
      <c r="G123" s="419"/>
      <c r="H123" s="419"/>
      <c r="I123" s="419"/>
      <c r="J123" s="493"/>
    </row>
    <row r="124" spans="2:11" s="376" customFormat="1" ht="12.75" x14ac:dyDescent="0.35">
      <c r="B124" s="501">
        <f>+B119+1</f>
        <v>21</v>
      </c>
      <c r="C124" s="494" t="s">
        <v>835</v>
      </c>
      <c r="D124" s="435"/>
      <c r="E124" s="493">
        <f>+'ARR-Summary'!F83</f>
        <v>4.022594647700001</v>
      </c>
      <c r="F124" s="435"/>
      <c r="G124" s="435"/>
      <c r="H124" s="435"/>
      <c r="I124" s="435"/>
      <c r="J124" s="493">
        <f>+E124</f>
        <v>4.022594647700001</v>
      </c>
    </row>
    <row r="125" spans="2:11" s="376" customFormat="1" ht="12.75" x14ac:dyDescent="0.35">
      <c r="B125" s="501"/>
      <c r="C125" s="494"/>
      <c r="D125" s="435"/>
      <c r="E125" s="493"/>
      <c r="F125" s="435"/>
      <c r="G125" s="435"/>
      <c r="H125" s="435"/>
      <c r="I125" s="435"/>
      <c r="J125" s="493"/>
      <c r="K125" s="506"/>
    </row>
    <row r="126" spans="2:11" s="376" customFormat="1" ht="12.75" x14ac:dyDescent="0.35">
      <c r="B126" s="502" t="s">
        <v>274</v>
      </c>
      <c r="C126" s="504" t="s">
        <v>836</v>
      </c>
      <c r="D126" s="419"/>
      <c r="E126" s="500">
        <f t="shared" ref="E126:J126" si="14">+E121-E124</f>
        <v>1.0265193102592187</v>
      </c>
      <c r="F126" s="500">
        <f t="shared" si="14"/>
        <v>0</v>
      </c>
      <c r="G126" s="500">
        <f t="shared" si="14"/>
        <v>0</v>
      </c>
      <c r="H126" s="500">
        <f t="shared" si="14"/>
        <v>0</v>
      </c>
      <c r="I126" s="500">
        <f t="shared" si="14"/>
        <v>0</v>
      </c>
      <c r="J126" s="500">
        <f t="shared" si="14"/>
        <v>1.0265193102592187</v>
      </c>
      <c r="K126" s="506">
        <f>+'ARR-Summary'!F$84-J126</f>
        <v>0</v>
      </c>
    </row>
    <row r="127" spans="2:11" s="376" customFormat="1" ht="12.75" x14ac:dyDescent="0.35">
      <c r="B127" s="392" t="s">
        <v>837</v>
      </c>
    </row>
    <row r="128" spans="2:11" s="376" customFormat="1" ht="12.75" x14ac:dyDescent="0.35"/>
    <row r="129" spans="2:10" s="376" customFormat="1" ht="12.75" x14ac:dyDescent="0.35"/>
    <row r="130" spans="2:10" s="376" customFormat="1" ht="12.75" x14ac:dyDescent="0.35">
      <c r="B130" s="430" t="s">
        <v>198</v>
      </c>
    </row>
    <row r="131" spans="2:10" s="376" customFormat="1" ht="12.75" x14ac:dyDescent="0.35">
      <c r="B131" s="430"/>
    </row>
    <row r="132" spans="2:10" s="376" customFormat="1" ht="12.75" x14ac:dyDescent="0.35">
      <c r="B132" s="430"/>
      <c r="C132" s="436" t="s">
        <v>553</v>
      </c>
    </row>
    <row r="133" spans="2:10" s="376" customFormat="1" ht="12.75" x14ac:dyDescent="0.35">
      <c r="J133" s="404" t="s">
        <v>110</v>
      </c>
    </row>
    <row r="134" spans="2:10" s="376" customFormat="1" ht="25.5" x14ac:dyDescent="0.35">
      <c r="B134" s="402" t="s">
        <v>1</v>
      </c>
      <c r="C134" s="490" t="s">
        <v>111</v>
      </c>
      <c r="D134" s="389" t="s">
        <v>358</v>
      </c>
      <c r="E134" s="389" t="s">
        <v>186</v>
      </c>
      <c r="F134" s="389" t="s">
        <v>1124</v>
      </c>
      <c r="G134" s="389" t="s">
        <v>830</v>
      </c>
      <c r="H134" s="389" t="s">
        <v>831</v>
      </c>
      <c r="I134" s="389" t="s">
        <v>832</v>
      </c>
      <c r="J134" s="389" t="s">
        <v>1125</v>
      </c>
    </row>
    <row r="135" spans="2:10" s="376" customFormat="1" ht="12.75" x14ac:dyDescent="0.35">
      <c r="B135" s="382">
        <v>1</v>
      </c>
      <c r="C135" s="491" t="s">
        <v>136</v>
      </c>
      <c r="D135" s="492"/>
      <c r="E135" s="493">
        <f>+'ARR-Summary'!G12</f>
        <v>2.8698322802499998</v>
      </c>
      <c r="F135" s="492"/>
      <c r="G135" s="419"/>
      <c r="H135" s="492"/>
      <c r="I135" s="435"/>
      <c r="J135" s="493">
        <f>+E135</f>
        <v>2.8698322802499998</v>
      </c>
    </row>
    <row r="136" spans="2:10" s="376" customFormat="1" ht="12.75" x14ac:dyDescent="0.35">
      <c r="B136" s="382">
        <f>B135+1</f>
        <v>2</v>
      </c>
      <c r="C136" s="494" t="s">
        <v>137</v>
      </c>
      <c r="D136" s="492"/>
      <c r="E136" s="493">
        <f>+'ARR-Summary'!G13</f>
        <v>2.7650085338080106</v>
      </c>
      <c r="F136" s="492"/>
      <c r="G136" s="435"/>
      <c r="H136" s="435"/>
      <c r="I136" s="492"/>
      <c r="J136" s="493">
        <f>+E136</f>
        <v>2.7650085338080106</v>
      </c>
    </row>
    <row r="137" spans="2:10" s="376" customFormat="1" ht="12.75" x14ac:dyDescent="0.35">
      <c r="B137" s="382">
        <f t="shared" ref="B137:B147" si="15">B136+1</f>
        <v>3</v>
      </c>
      <c r="C137" s="491" t="s">
        <v>52</v>
      </c>
      <c r="D137" s="492"/>
      <c r="E137" s="493">
        <f>+'ARR-Summary'!G14</f>
        <v>4.4105461309108724</v>
      </c>
      <c r="F137" s="492"/>
      <c r="G137" s="435"/>
      <c r="H137" s="435"/>
      <c r="I137" s="492"/>
      <c r="J137" s="493">
        <f>+E137</f>
        <v>4.4105461309108724</v>
      </c>
    </row>
    <row r="138" spans="2:10" s="376" customFormat="1" ht="12.75" x14ac:dyDescent="0.35">
      <c r="B138" s="382">
        <f t="shared" si="15"/>
        <v>4</v>
      </c>
      <c r="C138" s="494" t="s">
        <v>139</v>
      </c>
      <c r="D138" s="495"/>
      <c r="E138" s="493">
        <f>+'ARR-Summary'!G15</f>
        <v>5.4931949405263206E-2</v>
      </c>
      <c r="F138" s="495"/>
      <c r="G138" s="496"/>
      <c r="H138" s="496">
        <f>+E138</f>
        <v>5.4931949405263206E-2</v>
      </c>
      <c r="I138" s="497"/>
      <c r="J138" s="493">
        <f>+H138/3</f>
        <v>1.8310649801754401E-2</v>
      </c>
    </row>
    <row r="139" spans="2:10" s="376" customFormat="1" ht="25.5" x14ac:dyDescent="0.35">
      <c r="B139" s="382">
        <f t="shared" si="15"/>
        <v>5</v>
      </c>
      <c r="C139" s="494" t="s">
        <v>140</v>
      </c>
      <c r="D139" s="492"/>
      <c r="E139" s="493">
        <f>+'ARR-Summary'!G16</f>
        <v>1.1833463700000001E-2</v>
      </c>
      <c r="F139" s="492"/>
      <c r="G139" s="435"/>
      <c r="H139" s="435"/>
      <c r="I139" s="492"/>
      <c r="J139" s="493">
        <f>+E139</f>
        <v>1.1833463700000001E-2</v>
      </c>
    </row>
    <row r="140" spans="2:10" s="376" customFormat="1" ht="12.75" x14ac:dyDescent="0.35">
      <c r="B140" s="382">
        <f t="shared" si="15"/>
        <v>6</v>
      </c>
      <c r="C140" s="494" t="s">
        <v>60</v>
      </c>
      <c r="D140" s="492"/>
      <c r="E140" s="493">
        <f>+'ARR-Summary'!G17</f>
        <v>0</v>
      </c>
      <c r="F140" s="418"/>
      <c r="G140" s="435"/>
      <c r="H140" s="435"/>
      <c r="I140" s="418"/>
      <c r="J140" s="493">
        <f>+E140</f>
        <v>0</v>
      </c>
    </row>
    <row r="141" spans="2:10" s="376" customFormat="1" ht="12.75" x14ac:dyDescent="0.35">
      <c r="B141" s="382">
        <f t="shared" si="15"/>
        <v>7</v>
      </c>
      <c r="C141" s="494" t="s">
        <v>141</v>
      </c>
      <c r="D141" s="492"/>
      <c r="E141" s="493">
        <f>+'ARR-Summary'!G18</f>
        <v>0.16777102599739699</v>
      </c>
      <c r="F141" s="492"/>
      <c r="G141" s="435"/>
      <c r="H141" s="435"/>
      <c r="I141" s="492"/>
      <c r="J141" s="493">
        <f>+E141</f>
        <v>0.16777102599739699</v>
      </c>
    </row>
    <row r="142" spans="2:10" s="376" customFormat="1" ht="12.75" x14ac:dyDescent="0.35">
      <c r="B142" s="382">
        <f t="shared" si="15"/>
        <v>8</v>
      </c>
      <c r="C142" s="491" t="s">
        <v>64</v>
      </c>
      <c r="D142" s="492"/>
      <c r="E142" s="493">
        <f>+'ARR-Summary'!G19</f>
        <v>0</v>
      </c>
      <c r="F142" s="492"/>
      <c r="G142" s="435"/>
      <c r="H142" s="435"/>
      <c r="I142" s="492"/>
      <c r="J142" s="493">
        <f>+E142</f>
        <v>0</v>
      </c>
    </row>
    <row r="143" spans="2:10" s="376" customFormat="1" ht="12.75" x14ac:dyDescent="0.35">
      <c r="B143" s="382">
        <f t="shared" si="15"/>
        <v>9</v>
      </c>
      <c r="C143" s="426" t="s">
        <v>142</v>
      </c>
      <c r="D143" s="499"/>
      <c r="E143" s="500">
        <f>SUM(E135:E142)</f>
        <v>10.279923384071543</v>
      </c>
      <c r="F143" s="499"/>
      <c r="G143" s="435"/>
      <c r="H143" s="435"/>
      <c r="I143" s="499"/>
      <c r="J143" s="500">
        <f>SUM(J135:J142)</f>
        <v>10.243302084468034</v>
      </c>
    </row>
    <row r="144" spans="2:10" s="376" customFormat="1" ht="12.75" x14ac:dyDescent="0.35">
      <c r="B144" s="382">
        <f t="shared" si="15"/>
        <v>10</v>
      </c>
      <c r="C144" s="491" t="s">
        <v>143</v>
      </c>
      <c r="D144" s="492"/>
      <c r="E144" s="493">
        <f>+'ARR-Summary'!G22</f>
        <v>3.0485579085656456</v>
      </c>
      <c r="F144" s="492"/>
      <c r="G144" s="419"/>
      <c r="H144" s="419"/>
      <c r="I144" s="492"/>
      <c r="J144" s="493">
        <f>+E144</f>
        <v>3.0485579085656456</v>
      </c>
    </row>
    <row r="145" spans="2:11" s="376" customFormat="1" ht="12.75" x14ac:dyDescent="0.35">
      <c r="B145" s="382">
        <f t="shared" si="15"/>
        <v>11</v>
      </c>
      <c r="C145" s="426" t="s">
        <v>144</v>
      </c>
      <c r="D145" s="499"/>
      <c r="E145" s="500">
        <f>+E143+E144</f>
        <v>13.328481292637189</v>
      </c>
      <c r="F145" s="499"/>
      <c r="G145" s="435"/>
      <c r="H145" s="435"/>
      <c r="I145" s="418"/>
      <c r="J145" s="500">
        <f>+J143+J144</f>
        <v>13.291859993033679</v>
      </c>
    </row>
    <row r="146" spans="2:11" s="376" customFormat="1" ht="12.75" x14ac:dyDescent="0.35">
      <c r="B146" s="382">
        <f t="shared" si="15"/>
        <v>12</v>
      </c>
      <c r="C146" s="491" t="s">
        <v>145</v>
      </c>
      <c r="D146" s="492"/>
      <c r="E146" s="493">
        <f>+'ARR-Summary'!G24</f>
        <v>0.59084810799999998</v>
      </c>
      <c r="F146" s="492"/>
      <c r="G146" s="419"/>
      <c r="H146" s="419"/>
      <c r="I146" s="492"/>
      <c r="J146" s="493">
        <f>+E146</f>
        <v>0.59084810799999998</v>
      </c>
    </row>
    <row r="147" spans="2:11" s="376" customFormat="1" ht="12.75" x14ac:dyDescent="0.35">
      <c r="B147" s="382">
        <f t="shared" si="15"/>
        <v>13</v>
      </c>
      <c r="C147" s="491" t="s">
        <v>146</v>
      </c>
      <c r="D147" s="492"/>
      <c r="E147" s="493">
        <f>+'ARR-Summary'!G25</f>
        <v>0</v>
      </c>
      <c r="F147" s="418"/>
      <c r="G147" s="419"/>
      <c r="H147" s="419"/>
      <c r="I147" s="418"/>
      <c r="J147" s="493"/>
    </row>
    <row r="148" spans="2:11" s="376" customFormat="1" ht="12.75" x14ac:dyDescent="0.35">
      <c r="B148" s="501"/>
      <c r="C148" s="491"/>
      <c r="D148" s="492"/>
      <c r="E148" s="493"/>
      <c r="F148" s="418"/>
      <c r="G148" s="419"/>
      <c r="H148" s="419"/>
      <c r="I148" s="418"/>
      <c r="J148" s="493"/>
    </row>
    <row r="149" spans="2:11" s="376" customFormat="1" ht="12.75" x14ac:dyDescent="0.35">
      <c r="B149" s="502" t="s">
        <v>226</v>
      </c>
      <c r="C149" s="426" t="s">
        <v>147</v>
      </c>
      <c r="D149" s="499"/>
      <c r="E149" s="500">
        <f>+E145-E146</f>
        <v>12.73763318463719</v>
      </c>
      <c r="F149" s="499"/>
      <c r="G149" s="419"/>
      <c r="H149" s="419"/>
      <c r="I149" s="499"/>
      <c r="J149" s="500">
        <f>+J145-J146</f>
        <v>12.70101188503368</v>
      </c>
      <c r="K149" s="503"/>
    </row>
    <row r="150" spans="2:11" s="376" customFormat="1" ht="12.75" x14ac:dyDescent="0.35">
      <c r="B150" s="502"/>
      <c r="C150" s="426"/>
      <c r="D150" s="419"/>
      <c r="E150" s="500"/>
      <c r="F150" s="419"/>
      <c r="G150" s="419"/>
      <c r="H150" s="419"/>
      <c r="I150" s="419"/>
      <c r="J150" s="493"/>
    </row>
    <row r="151" spans="2:11" s="376" customFormat="1" ht="12.75" x14ac:dyDescent="0.35">
      <c r="B151" s="502" t="s">
        <v>228</v>
      </c>
      <c r="C151" s="419" t="s">
        <v>834</v>
      </c>
      <c r="D151" s="419"/>
      <c r="E151" s="500"/>
      <c r="F151" s="419"/>
      <c r="G151" s="419"/>
      <c r="H151" s="419"/>
      <c r="I151" s="419"/>
      <c r="J151" s="493"/>
    </row>
    <row r="152" spans="2:11" s="376" customFormat="1" ht="12.75" x14ac:dyDescent="0.35">
      <c r="B152" s="501">
        <v>14</v>
      </c>
      <c r="C152" s="494" t="s">
        <v>835</v>
      </c>
      <c r="D152" s="435"/>
      <c r="E152" s="493">
        <f>+'ARR-Summary'!G39</f>
        <v>0.57569096230999994</v>
      </c>
      <c r="F152" s="435"/>
      <c r="G152" s="435"/>
      <c r="H152" s="435"/>
      <c r="I152" s="435"/>
      <c r="J152" s="493">
        <f>+E152</f>
        <v>0.57569096230999994</v>
      </c>
    </row>
    <row r="153" spans="2:11" s="376" customFormat="1" ht="12.75" x14ac:dyDescent="0.35">
      <c r="B153" s="501"/>
      <c r="C153" s="494"/>
      <c r="D153" s="435"/>
      <c r="E153" s="493"/>
      <c r="F153" s="435"/>
      <c r="G153" s="435"/>
      <c r="H153" s="435"/>
      <c r="I153" s="435"/>
      <c r="J153" s="493"/>
    </row>
    <row r="154" spans="2:11" s="376" customFormat="1" ht="12.75" x14ac:dyDescent="0.35">
      <c r="B154" s="502" t="s">
        <v>274</v>
      </c>
      <c r="C154" s="504" t="s">
        <v>836</v>
      </c>
      <c r="D154" s="419"/>
      <c r="E154" s="500">
        <f>+E149-E152</f>
        <v>12.161942222327189</v>
      </c>
      <c r="F154" s="419"/>
      <c r="G154" s="419"/>
      <c r="H154" s="419"/>
      <c r="I154" s="419"/>
      <c r="J154" s="500">
        <f>+J149-J152</f>
        <v>12.125320922723679</v>
      </c>
      <c r="K154" s="1661">
        <f>+'ARR-Summary'!G$40-J154</f>
        <v>0</v>
      </c>
    </row>
    <row r="155" spans="2:11" s="376" customFormat="1" ht="12.75" x14ac:dyDescent="0.35"/>
    <row r="156" spans="2:11" s="376" customFormat="1" ht="12.75" x14ac:dyDescent="0.35">
      <c r="B156" s="392" t="s">
        <v>837</v>
      </c>
    </row>
    <row r="157" spans="2:11" s="376" customFormat="1" ht="12.75" x14ac:dyDescent="0.35">
      <c r="B157" s="392"/>
    </row>
    <row r="158" spans="2:11" s="376" customFormat="1" ht="12.75" x14ac:dyDescent="0.35"/>
    <row r="159" spans="2:11" s="376" customFormat="1" ht="12.75" x14ac:dyDescent="0.35">
      <c r="B159" s="430" t="s">
        <v>198</v>
      </c>
    </row>
    <row r="160" spans="2:11" s="376" customFormat="1" ht="12.75" x14ac:dyDescent="0.35">
      <c r="C160" s="436" t="s">
        <v>278</v>
      </c>
      <c r="D160" s="391"/>
      <c r="E160" s="391"/>
      <c r="F160" s="391"/>
      <c r="G160" s="391"/>
      <c r="H160" s="391"/>
      <c r="I160" s="391"/>
    </row>
    <row r="161" spans="2:10" s="376" customFormat="1" ht="12.75" x14ac:dyDescent="0.35">
      <c r="C161" s="392"/>
      <c r="D161" s="391"/>
      <c r="E161" s="391"/>
      <c r="F161" s="391"/>
      <c r="G161" s="391"/>
      <c r="H161" s="391"/>
      <c r="I161" s="391"/>
      <c r="J161" s="404" t="s">
        <v>110</v>
      </c>
    </row>
    <row r="162" spans="2:10" s="376" customFormat="1" ht="25.5" x14ac:dyDescent="0.35">
      <c r="B162" s="402" t="s">
        <v>1</v>
      </c>
      <c r="C162" s="490" t="s">
        <v>111</v>
      </c>
      <c r="D162" s="389" t="s">
        <v>358</v>
      </c>
      <c r="E162" s="389" t="s">
        <v>186</v>
      </c>
      <c r="F162" s="389" t="s">
        <v>1124</v>
      </c>
      <c r="G162" s="389" t="s">
        <v>830</v>
      </c>
      <c r="H162" s="389" t="s">
        <v>831</v>
      </c>
      <c r="I162" s="389" t="s">
        <v>832</v>
      </c>
      <c r="J162" s="389" t="s">
        <v>1125</v>
      </c>
    </row>
    <row r="163" spans="2:10" s="376" customFormat="1" ht="25.5" x14ac:dyDescent="0.35">
      <c r="B163" s="382">
        <v>1</v>
      </c>
      <c r="C163" s="491" t="s">
        <v>150</v>
      </c>
      <c r="D163" s="492"/>
      <c r="E163" s="493">
        <f>+'ARR-Summary'!G49</f>
        <v>4.0937451949999994</v>
      </c>
      <c r="F163" s="492"/>
      <c r="G163" s="435"/>
      <c r="H163" s="435"/>
      <c r="I163" s="492"/>
      <c r="J163" s="493">
        <f>+E163</f>
        <v>4.0937451949999994</v>
      </c>
    </row>
    <row r="164" spans="2:10" s="376" customFormat="1" ht="12.75" x14ac:dyDescent="0.35">
      <c r="B164" s="382">
        <f>B163+1</f>
        <v>2</v>
      </c>
      <c r="C164" s="491" t="s">
        <v>136</v>
      </c>
      <c r="D164" s="492"/>
      <c r="E164" s="493">
        <f>+'ARR-Summary'!G50</f>
        <v>1.5452943047499998</v>
      </c>
      <c r="F164" s="492"/>
      <c r="G164" s="419"/>
      <c r="H164" s="492"/>
      <c r="I164" s="419"/>
      <c r="J164" s="493">
        <f t="shared" ref="J164:J175" si="16">+E164</f>
        <v>1.5452943047499998</v>
      </c>
    </row>
    <row r="165" spans="2:10" s="376" customFormat="1" ht="12.75" x14ac:dyDescent="0.35">
      <c r="B165" s="382">
        <f t="shared" ref="B165:B182" si="17">B164+1</f>
        <v>3</v>
      </c>
      <c r="C165" s="494" t="s">
        <v>137</v>
      </c>
      <c r="D165" s="492"/>
      <c r="E165" s="493">
        <f>+'ARR-Summary'!G51</f>
        <v>0.20449249065307429</v>
      </c>
      <c r="F165" s="492"/>
      <c r="G165" s="435"/>
      <c r="H165" s="435"/>
      <c r="I165" s="492"/>
      <c r="J165" s="493">
        <f t="shared" si="16"/>
        <v>0.20449249065307429</v>
      </c>
    </row>
    <row r="166" spans="2:10" s="376" customFormat="1" ht="12.75" x14ac:dyDescent="0.35">
      <c r="B166" s="382">
        <f t="shared" si="17"/>
        <v>4</v>
      </c>
      <c r="C166" s="491" t="s">
        <v>52</v>
      </c>
      <c r="D166" s="492"/>
      <c r="E166" s="493">
        <f>+'ARR-Summary'!G52</f>
        <v>0.12475960624454406</v>
      </c>
      <c r="F166" s="492"/>
      <c r="G166" s="435"/>
      <c r="H166" s="435"/>
      <c r="I166" s="492"/>
      <c r="J166" s="493">
        <f t="shared" si="16"/>
        <v>0.12475960624454406</v>
      </c>
    </row>
    <row r="167" spans="2:10" s="376" customFormat="1" ht="12.75" x14ac:dyDescent="0.35">
      <c r="B167" s="382">
        <f t="shared" si="17"/>
        <v>5</v>
      </c>
      <c r="C167" s="494" t="s">
        <v>139</v>
      </c>
      <c r="D167" s="495"/>
      <c r="E167" s="493">
        <f>+'ARR-Summary'!G53</f>
        <v>0</v>
      </c>
      <c r="F167" s="495"/>
      <c r="G167" s="496"/>
      <c r="H167" s="496"/>
      <c r="I167" s="505"/>
      <c r="J167" s="493">
        <f t="shared" si="16"/>
        <v>0</v>
      </c>
    </row>
    <row r="168" spans="2:10" s="376" customFormat="1" ht="12.75" x14ac:dyDescent="0.35">
      <c r="B168" s="382">
        <f t="shared" si="17"/>
        <v>6</v>
      </c>
      <c r="C168" s="494" t="s">
        <v>152</v>
      </c>
      <c r="D168" s="492"/>
      <c r="E168" s="493">
        <f>+'ARR-Summary'!G54</f>
        <v>0.1065011733</v>
      </c>
      <c r="F168" s="492"/>
      <c r="G168" s="435"/>
      <c r="H168" s="435"/>
      <c r="I168" s="492"/>
      <c r="J168" s="493">
        <f t="shared" si="16"/>
        <v>0.1065011733</v>
      </c>
    </row>
    <row r="169" spans="2:10" s="376" customFormat="1" ht="12.75" x14ac:dyDescent="0.35">
      <c r="B169" s="382">
        <f t="shared" si="17"/>
        <v>7</v>
      </c>
      <c r="C169" s="494" t="s">
        <v>153</v>
      </c>
      <c r="D169" s="492"/>
      <c r="E169" s="493">
        <f>+'ARR-Summary'!G55</f>
        <v>0</v>
      </c>
      <c r="F169" s="418"/>
      <c r="G169" s="435"/>
      <c r="H169" s="435"/>
      <c r="I169" s="418"/>
      <c r="J169" s="493">
        <f t="shared" si="16"/>
        <v>0</v>
      </c>
    </row>
    <row r="170" spans="2:10" s="376" customFormat="1" ht="12.75" x14ac:dyDescent="0.35">
      <c r="B170" s="382">
        <f t="shared" si="17"/>
        <v>8</v>
      </c>
      <c r="C170" s="494" t="s">
        <v>141</v>
      </c>
      <c r="D170" s="492"/>
      <c r="E170" s="493">
        <f>+'ARR-Summary'!G56</f>
        <v>5.0863571160585817E-3</v>
      </c>
      <c r="F170" s="418"/>
      <c r="G170" s="435"/>
      <c r="H170" s="435"/>
      <c r="I170" s="418"/>
      <c r="J170" s="493">
        <f t="shared" si="16"/>
        <v>5.0863571160585817E-3</v>
      </c>
    </row>
    <row r="171" spans="2:10" s="376" customFormat="1" ht="12.75" x14ac:dyDescent="0.35">
      <c r="B171" s="382">
        <f t="shared" si="17"/>
        <v>9</v>
      </c>
      <c r="C171" s="494" t="s">
        <v>154</v>
      </c>
      <c r="D171" s="492"/>
      <c r="E171" s="493">
        <f>+'ARR-Summary'!G57</f>
        <v>0.40523419999999999</v>
      </c>
      <c r="F171" s="492"/>
      <c r="G171" s="435"/>
      <c r="H171" s="435"/>
      <c r="I171" s="492"/>
      <c r="J171" s="493">
        <f t="shared" si="16"/>
        <v>0.40523419999999999</v>
      </c>
    </row>
    <row r="172" spans="2:10" s="376" customFormat="1" ht="12.75" x14ac:dyDescent="0.35">
      <c r="B172" s="382">
        <f t="shared" si="17"/>
        <v>10</v>
      </c>
      <c r="C172" s="494" t="s">
        <v>155</v>
      </c>
      <c r="D172" s="492"/>
      <c r="E172" s="493">
        <f>+'ARR-Summary'!G58</f>
        <v>9.4439999999999996E-2</v>
      </c>
      <c r="F172" s="492"/>
      <c r="G172" s="435"/>
      <c r="H172" s="435"/>
      <c r="I172" s="492"/>
      <c r="J172" s="493">
        <f t="shared" si="16"/>
        <v>9.4439999999999996E-2</v>
      </c>
    </row>
    <row r="173" spans="2:10" s="376" customFormat="1" x14ac:dyDescent="0.35">
      <c r="B173" s="382">
        <f t="shared" si="17"/>
        <v>11</v>
      </c>
      <c r="C173" s="61" t="s">
        <v>1239</v>
      </c>
      <c r="D173" s="492"/>
      <c r="E173" s="493">
        <f>+'ARR-Summary'!G59</f>
        <v>0</v>
      </c>
      <c r="F173" s="492"/>
      <c r="G173" s="435"/>
      <c r="H173" s="435"/>
      <c r="I173" s="492"/>
      <c r="J173" s="493">
        <f t="shared" si="16"/>
        <v>0</v>
      </c>
    </row>
    <row r="174" spans="2:10" s="376" customFormat="1" x14ac:dyDescent="0.35">
      <c r="B174" s="382">
        <f t="shared" si="17"/>
        <v>12</v>
      </c>
      <c r="C174" s="61" t="s">
        <v>1354</v>
      </c>
      <c r="D174" s="492"/>
      <c r="E174" s="493">
        <f>+'ARR-Summary'!G60</f>
        <v>2.9569515999999997E-2</v>
      </c>
      <c r="F174" s="492"/>
      <c r="G174" s="435"/>
      <c r="H174" s="435"/>
      <c r="I174" s="492"/>
      <c r="J174" s="493">
        <f t="shared" si="16"/>
        <v>2.9569515999999997E-2</v>
      </c>
    </row>
    <row r="175" spans="2:10" s="376" customFormat="1" ht="12.75" x14ac:dyDescent="0.35">
      <c r="B175" s="382">
        <f t="shared" si="17"/>
        <v>13</v>
      </c>
      <c r="C175" s="491" t="s">
        <v>64</v>
      </c>
      <c r="D175" s="492"/>
      <c r="E175" s="493">
        <f>+'ARR-Summary'!G61</f>
        <v>0</v>
      </c>
      <c r="F175" s="492"/>
      <c r="G175" s="419"/>
      <c r="H175" s="419"/>
      <c r="I175" s="492"/>
      <c r="J175" s="493">
        <f t="shared" si="16"/>
        <v>0</v>
      </c>
    </row>
    <row r="176" spans="2:10" s="376" customFormat="1" ht="12.75" x14ac:dyDescent="0.35">
      <c r="B176" s="382">
        <f t="shared" si="17"/>
        <v>14</v>
      </c>
      <c r="C176" s="426" t="s">
        <v>142</v>
      </c>
      <c r="D176" s="499"/>
      <c r="E176" s="500">
        <f t="shared" ref="E176:J176" si="18">SUM(E163:E175)</f>
        <v>6.6091228430636759</v>
      </c>
      <c r="F176" s="500">
        <f t="shared" si="18"/>
        <v>0</v>
      </c>
      <c r="G176" s="500">
        <f t="shared" si="18"/>
        <v>0</v>
      </c>
      <c r="H176" s="500">
        <f t="shared" si="18"/>
        <v>0</v>
      </c>
      <c r="I176" s="500">
        <f t="shared" si="18"/>
        <v>0</v>
      </c>
      <c r="J176" s="500">
        <f t="shared" si="18"/>
        <v>6.6091228430636759</v>
      </c>
    </row>
    <row r="177" spans="2:11" s="376" customFormat="1" ht="12.75" x14ac:dyDescent="0.35">
      <c r="B177" s="382">
        <f t="shared" si="17"/>
        <v>15</v>
      </c>
      <c r="C177" s="491" t="s">
        <v>143</v>
      </c>
      <c r="D177" s="492"/>
      <c r="E177" s="493">
        <f>+'ARR-Summary'!G64</f>
        <v>0.10708442337723022</v>
      </c>
      <c r="F177" s="492"/>
      <c r="G177" s="419"/>
      <c r="H177" s="419"/>
      <c r="I177" s="492"/>
      <c r="J177" s="493">
        <f>+E177</f>
        <v>0.10708442337723022</v>
      </c>
    </row>
    <row r="178" spans="2:11" s="376" customFormat="1" ht="12.75" x14ac:dyDescent="0.35">
      <c r="B178" s="382">
        <f t="shared" si="17"/>
        <v>16</v>
      </c>
      <c r="C178" s="426" t="s">
        <v>144</v>
      </c>
      <c r="D178" s="499"/>
      <c r="E178" s="500">
        <f t="shared" ref="E178:J178" si="19">+E176+E177</f>
        <v>6.7162072664409065</v>
      </c>
      <c r="F178" s="500">
        <f t="shared" si="19"/>
        <v>0</v>
      </c>
      <c r="G178" s="500">
        <f t="shared" si="19"/>
        <v>0</v>
      </c>
      <c r="H178" s="500">
        <f t="shared" si="19"/>
        <v>0</v>
      </c>
      <c r="I178" s="500">
        <f t="shared" si="19"/>
        <v>0</v>
      </c>
      <c r="J178" s="500">
        <f t="shared" si="19"/>
        <v>6.7162072664409065</v>
      </c>
    </row>
    <row r="179" spans="2:11" s="376" customFormat="1" ht="12.75" x14ac:dyDescent="0.35">
      <c r="B179" s="382">
        <f t="shared" si="17"/>
        <v>17</v>
      </c>
      <c r="C179" s="491" t="s">
        <v>145</v>
      </c>
      <c r="D179" s="492"/>
      <c r="E179" s="493">
        <f>+'ARR-Summary'!G66</f>
        <v>1.389514704</v>
      </c>
      <c r="F179" s="418"/>
      <c r="G179" s="419"/>
      <c r="H179" s="419"/>
      <c r="I179" s="418"/>
      <c r="J179" s="493">
        <f>+E179</f>
        <v>1.389514704</v>
      </c>
    </row>
    <row r="180" spans="2:11" s="376" customFormat="1" ht="12.75" x14ac:dyDescent="0.35">
      <c r="B180" s="382">
        <f t="shared" si="17"/>
        <v>18</v>
      </c>
      <c r="C180" s="491" t="s">
        <v>146</v>
      </c>
      <c r="D180" s="492"/>
      <c r="E180" s="493">
        <f>+'ARR-Summary'!G67</f>
        <v>0</v>
      </c>
      <c r="F180" s="418"/>
      <c r="G180" s="419"/>
      <c r="H180" s="419"/>
      <c r="I180" s="418"/>
      <c r="J180" s="493">
        <f>+E180</f>
        <v>0</v>
      </c>
    </row>
    <row r="181" spans="2:11" s="376" customFormat="1" ht="12.75" x14ac:dyDescent="0.35">
      <c r="B181" s="382">
        <f t="shared" si="17"/>
        <v>19</v>
      </c>
      <c r="C181" s="491" t="s">
        <v>156</v>
      </c>
      <c r="D181" s="492"/>
      <c r="E181" s="493">
        <f>+'ARR-Summary'!G68</f>
        <v>0</v>
      </c>
      <c r="F181" s="418"/>
      <c r="G181" s="419"/>
      <c r="H181" s="419"/>
      <c r="I181" s="418"/>
      <c r="J181" s="493">
        <f>+E181</f>
        <v>0</v>
      </c>
    </row>
    <row r="182" spans="2:11" s="376" customFormat="1" ht="12.75" x14ac:dyDescent="0.35">
      <c r="B182" s="382">
        <f t="shared" si="17"/>
        <v>20</v>
      </c>
      <c r="C182" s="491" t="s">
        <v>157</v>
      </c>
      <c r="D182" s="492"/>
      <c r="E182" s="493">
        <f>+'ARR-Summary'!G69</f>
        <v>0</v>
      </c>
      <c r="F182" s="418"/>
      <c r="G182" s="435"/>
      <c r="H182" s="435"/>
      <c r="I182" s="418"/>
      <c r="J182" s="493">
        <f>+E182</f>
        <v>0</v>
      </c>
    </row>
    <row r="183" spans="2:11" s="376" customFormat="1" ht="12.75" x14ac:dyDescent="0.35">
      <c r="B183" s="382"/>
      <c r="C183" s="491"/>
      <c r="D183" s="492"/>
      <c r="E183" s="493"/>
      <c r="F183" s="418"/>
      <c r="G183" s="435"/>
      <c r="H183" s="435"/>
      <c r="I183" s="418"/>
      <c r="J183" s="493"/>
      <c r="K183" s="506"/>
    </row>
    <row r="184" spans="2:11" s="376" customFormat="1" ht="12.75" x14ac:dyDescent="0.35">
      <c r="B184" s="447" t="s">
        <v>226</v>
      </c>
      <c r="C184" s="426" t="s">
        <v>158</v>
      </c>
      <c r="D184" s="499"/>
      <c r="E184" s="500">
        <f t="shared" ref="E184:J184" si="20">+E178-SUM(E179:E182)</f>
        <v>5.3266925624409067</v>
      </c>
      <c r="F184" s="500">
        <f t="shared" si="20"/>
        <v>0</v>
      </c>
      <c r="G184" s="500">
        <f t="shared" si="20"/>
        <v>0</v>
      </c>
      <c r="H184" s="500">
        <f t="shared" si="20"/>
        <v>0</v>
      </c>
      <c r="I184" s="500">
        <f t="shared" si="20"/>
        <v>0</v>
      </c>
      <c r="J184" s="500">
        <f t="shared" si="20"/>
        <v>5.3266925624409067</v>
      </c>
    </row>
    <row r="185" spans="2:11" s="376" customFormat="1" ht="12.75" x14ac:dyDescent="0.35">
      <c r="B185" s="447"/>
      <c r="C185" s="419"/>
      <c r="D185" s="435"/>
      <c r="E185" s="493"/>
      <c r="F185" s="435"/>
      <c r="G185" s="435"/>
      <c r="H185" s="435"/>
      <c r="I185" s="435"/>
      <c r="J185" s="493"/>
    </row>
    <row r="186" spans="2:11" s="376" customFormat="1" ht="12.75" x14ac:dyDescent="0.35">
      <c r="B186" s="502" t="s">
        <v>228</v>
      </c>
      <c r="C186" s="419" t="s">
        <v>834</v>
      </c>
      <c r="D186" s="419"/>
      <c r="E186" s="500"/>
      <c r="F186" s="419"/>
      <c r="G186" s="419"/>
      <c r="H186" s="419"/>
      <c r="I186" s="419"/>
      <c r="J186" s="493"/>
    </row>
    <row r="187" spans="2:11" s="376" customFormat="1" ht="12.75" x14ac:dyDescent="0.35">
      <c r="B187" s="501">
        <f>+B182+1</f>
        <v>21</v>
      </c>
      <c r="C187" s="494" t="s">
        <v>835</v>
      </c>
      <c r="D187" s="435"/>
      <c r="E187" s="493">
        <f>+'ARR-Summary'!G83</f>
        <v>10.823322184146999</v>
      </c>
      <c r="F187" s="435"/>
      <c r="G187" s="435"/>
      <c r="H187" s="435"/>
      <c r="I187" s="435"/>
      <c r="J187" s="493">
        <f>+E187</f>
        <v>10.823322184146999</v>
      </c>
    </row>
    <row r="188" spans="2:11" s="376" customFormat="1" ht="12.75" x14ac:dyDescent="0.35">
      <c r="B188" s="501"/>
      <c r="C188" s="494"/>
      <c r="D188" s="435"/>
      <c r="E188" s="493"/>
      <c r="F188" s="435"/>
      <c r="G188" s="435"/>
      <c r="H188" s="435"/>
      <c r="I188" s="435"/>
      <c r="J188" s="493"/>
      <c r="K188" s="506"/>
    </row>
    <row r="189" spans="2:11" s="376" customFormat="1" ht="12.75" x14ac:dyDescent="0.35">
      <c r="B189" s="502" t="s">
        <v>274</v>
      </c>
      <c r="C189" s="504" t="s">
        <v>836</v>
      </c>
      <c r="D189" s="419"/>
      <c r="E189" s="500">
        <f t="shared" ref="E189:J189" si="21">+E184-E187</f>
        <v>-5.4966296217060924</v>
      </c>
      <c r="F189" s="500">
        <f t="shared" si="21"/>
        <v>0</v>
      </c>
      <c r="G189" s="500">
        <f t="shared" si="21"/>
        <v>0</v>
      </c>
      <c r="H189" s="500">
        <f t="shared" si="21"/>
        <v>0</v>
      </c>
      <c r="I189" s="500">
        <f t="shared" si="21"/>
        <v>0</v>
      </c>
      <c r="J189" s="500">
        <f t="shared" si="21"/>
        <v>-5.4966296217060924</v>
      </c>
      <c r="K189" s="506">
        <f>+'ARR-Summary'!G$84-J189</f>
        <v>0</v>
      </c>
    </row>
    <row r="190" spans="2:11" s="376" customFormat="1" ht="12.75" x14ac:dyDescent="0.35">
      <c r="B190" s="430" t="s">
        <v>199</v>
      </c>
    </row>
    <row r="191" spans="2:11" s="376" customFormat="1" ht="12.75" x14ac:dyDescent="0.35">
      <c r="B191" s="430"/>
    </row>
    <row r="192" spans="2:11" s="376" customFormat="1" ht="12.75" x14ac:dyDescent="0.35">
      <c r="B192" s="430"/>
      <c r="C192" s="436" t="s">
        <v>553</v>
      </c>
    </row>
    <row r="193" spans="2:10" s="376" customFormat="1" ht="12.75" x14ac:dyDescent="0.35">
      <c r="J193" s="404" t="s">
        <v>110</v>
      </c>
    </row>
    <row r="194" spans="2:10" s="376" customFormat="1" ht="25.5" x14ac:dyDescent="0.35">
      <c r="B194" s="402" t="s">
        <v>1</v>
      </c>
      <c r="C194" s="490" t="s">
        <v>111</v>
      </c>
      <c r="D194" s="389" t="s">
        <v>358</v>
      </c>
      <c r="E194" s="389" t="s">
        <v>186</v>
      </c>
      <c r="F194" s="389" t="s">
        <v>1124</v>
      </c>
      <c r="G194" s="389" t="s">
        <v>830</v>
      </c>
      <c r="H194" s="389" t="s">
        <v>831</v>
      </c>
      <c r="I194" s="389" t="s">
        <v>832</v>
      </c>
      <c r="J194" s="389" t="s">
        <v>1125</v>
      </c>
    </row>
    <row r="195" spans="2:10" s="376" customFormat="1" ht="12.75" x14ac:dyDescent="0.35">
      <c r="B195" s="382">
        <v>1</v>
      </c>
      <c r="C195" s="491" t="s">
        <v>136</v>
      </c>
      <c r="D195" s="492"/>
      <c r="E195" s="493">
        <f>+'ARR-Summary'!H12</f>
        <v>3.4037611231000011</v>
      </c>
      <c r="F195" s="492"/>
      <c r="G195" s="419"/>
      <c r="H195" s="492"/>
      <c r="I195" s="435"/>
      <c r="J195" s="493">
        <f>+E195</f>
        <v>3.4037611231000011</v>
      </c>
    </row>
    <row r="196" spans="2:10" s="376" customFormat="1" ht="12.75" x14ac:dyDescent="0.35">
      <c r="B196" s="382">
        <f>B195+1</f>
        <v>2</v>
      </c>
      <c r="C196" s="494" t="s">
        <v>137</v>
      </c>
      <c r="D196" s="492"/>
      <c r="E196" s="493">
        <f>+'ARR-Summary'!H13</f>
        <v>3.1202968223767797</v>
      </c>
      <c r="F196" s="492"/>
      <c r="G196" s="435"/>
      <c r="H196" s="435"/>
      <c r="I196" s="492"/>
      <c r="J196" s="493">
        <f>+E196</f>
        <v>3.1202968223767797</v>
      </c>
    </row>
    <row r="197" spans="2:10" s="376" customFormat="1" ht="12.75" x14ac:dyDescent="0.35">
      <c r="B197" s="382">
        <f t="shared" ref="B197:B207" si="22">B196+1</f>
        <v>3</v>
      </c>
      <c r="C197" s="491" t="s">
        <v>52</v>
      </c>
      <c r="D197" s="492"/>
      <c r="E197" s="493">
        <f>+'ARR-Summary'!H14</f>
        <v>3.9717485564537505</v>
      </c>
      <c r="F197" s="492"/>
      <c r="G197" s="435"/>
      <c r="H197" s="435"/>
      <c r="I197" s="492"/>
      <c r="J197" s="493">
        <f>+E197</f>
        <v>3.9717485564537505</v>
      </c>
    </row>
    <row r="198" spans="2:10" s="376" customFormat="1" ht="12.75" x14ac:dyDescent="0.35">
      <c r="B198" s="382">
        <f t="shared" si="22"/>
        <v>4</v>
      </c>
      <c r="C198" s="494" t="s">
        <v>139</v>
      </c>
      <c r="D198" s="495"/>
      <c r="E198" s="493">
        <f>+'ARR-Summary'!H15</f>
        <v>4.397256275708581E-2</v>
      </c>
      <c r="F198" s="495"/>
      <c r="G198" s="496"/>
      <c r="H198" s="496">
        <f>+E198</f>
        <v>4.397256275708581E-2</v>
      </c>
      <c r="I198" s="497"/>
      <c r="J198" s="493">
        <f>+H198/3</f>
        <v>1.4657520919028603E-2</v>
      </c>
    </row>
    <row r="199" spans="2:10" s="376" customFormat="1" ht="25.5" x14ac:dyDescent="0.35">
      <c r="B199" s="382">
        <f t="shared" si="22"/>
        <v>5</v>
      </c>
      <c r="C199" s="494" t="s">
        <v>140</v>
      </c>
      <c r="D199" s="492"/>
      <c r="E199" s="493">
        <f>+'ARR-Summary'!H16</f>
        <v>2.234883E-2</v>
      </c>
      <c r="F199" s="492"/>
      <c r="G199" s="435"/>
      <c r="H199" s="435"/>
      <c r="I199" s="492"/>
      <c r="J199" s="493">
        <f>+E199</f>
        <v>2.234883E-2</v>
      </c>
    </row>
    <row r="200" spans="2:10" s="376" customFormat="1" ht="12.75" x14ac:dyDescent="0.35">
      <c r="B200" s="382">
        <f t="shared" si="22"/>
        <v>6</v>
      </c>
      <c r="C200" s="494" t="s">
        <v>60</v>
      </c>
      <c r="D200" s="492"/>
      <c r="E200" s="493">
        <f>+'ARR-Summary'!H17</f>
        <v>0</v>
      </c>
      <c r="F200" s="418"/>
      <c r="G200" s="435"/>
      <c r="H200" s="435"/>
      <c r="I200" s="418"/>
      <c r="J200" s="493">
        <f>+E200</f>
        <v>0</v>
      </c>
    </row>
    <row r="201" spans="2:10" s="376" customFormat="1" ht="12.75" x14ac:dyDescent="0.35">
      <c r="B201" s="382">
        <f t="shared" si="22"/>
        <v>7</v>
      </c>
      <c r="C201" s="494" t="s">
        <v>141</v>
      </c>
      <c r="D201" s="492"/>
      <c r="E201" s="493">
        <f>+'ARR-Summary'!H18</f>
        <v>0.17095763050989696</v>
      </c>
      <c r="F201" s="492"/>
      <c r="G201" s="435"/>
      <c r="H201" s="435"/>
      <c r="I201" s="492"/>
      <c r="J201" s="493">
        <f>+E201</f>
        <v>0.17095763050989696</v>
      </c>
    </row>
    <row r="202" spans="2:10" s="376" customFormat="1" ht="12.75" x14ac:dyDescent="0.35">
      <c r="B202" s="382">
        <f t="shared" si="22"/>
        <v>8</v>
      </c>
      <c r="C202" s="491" t="s">
        <v>64</v>
      </c>
      <c r="D202" s="492"/>
      <c r="E202" s="493">
        <f>+'ARR-Summary'!H19</f>
        <v>0</v>
      </c>
      <c r="F202" s="492"/>
      <c r="G202" s="435"/>
      <c r="H202" s="435"/>
      <c r="I202" s="492"/>
      <c r="J202" s="493">
        <f>+E202</f>
        <v>0</v>
      </c>
    </row>
    <row r="203" spans="2:10" s="376" customFormat="1" ht="12.75" x14ac:dyDescent="0.35">
      <c r="B203" s="382">
        <f t="shared" si="22"/>
        <v>9</v>
      </c>
      <c r="C203" s="426" t="s">
        <v>142</v>
      </c>
      <c r="D203" s="499"/>
      <c r="E203" s="500">
        <f>SUM(E195:E202)</f>
        <v>10.733085525197513</v>
      </c>
      <c r="F203" s="499"/>
      <c r="G203" s="435"/>
      <c r="H203" s="435"/>
      <c r="I203" s="499"/>
      <c r="J203" s="500">
        <f>SUM(J195:J202)</f>
        <v>10.703770483359456</v>
      </c>
    </row>
    <row r="204" spans="2:10" s="376" customFormat="1" ht="12.75" x14ac:dyDescent="0.35">
      <c r="B204" s="382">
        <f t="shared" si="22"/>
        <v>10</v>
      </c>
      <c r="C204" s="491" t="s">
        <v>143</v>
      </c>
      <c r="D204" s="492"/>
      <c r="E204" s="493">
        <f>+'ARR-Summary'!H22</f>
        <v>3.1950381815035835</v>
      </c>
      <c r="F204" s="492"/>
      <c r="G204" s="419"/>
      <c r="H204" s="419"/>
      <c r="I204" s="492"/>
      <c r="J204" s="493">
        <f>+E204</f>
        <v>3.1950381815035835</v>
      </c>
    </row>
    <row r="205" spans="2:10" s="376" customFormat="1" ht="12.75" x14ac:dyDescent="0.35">
      <c r="B205" s="382">
        <f t="shared" si="22"/>
        <v>11</v>
      </c>
      <c r="C205" s="426" t="s">
        <v>144</v>
      </c>
      <c r="D205" s="499"/>
      <c r="E205" s="500">
        <f>+E203+E204</f>
        <v>13.928123706701097</v>
      </c>
      <c r="F205" s="499"/>
      <c r="G205" s="435"/>
      <c r="H205" s="435"/>
      <c r="I205" s="418"/>
      <c r="J205" s="500">
        <f>+J203+J204</f>
        <v>13.89880866486304</v>
      </c>
    </row>
    <row r="206" spans="2:10" s="376" customFormat="1" ht="12.75" x14ac:dyDescent="0.35">
      <c r="B206" s="382">
        <f t="shared" si="22"/>
        <v>12</v>
      </c>
      <c r="C206" s="491" t="s">
        <v>145</v>
      </c>
      <c r="D206" s="492"/>
      <c r="E206" s="493">
        <f>+'ARR-Summary'!H24</f>
        <v>9.4766288000000011E-3</v>
      </c>
      <c r="F206" s="492"/>
      <c r="G206" s="419"/>
      <c r="H206" s="419"/>
      <c r="I206" s="492"/>
      <c r="J206" s="493">
        <f>+E206</f>
        <v>9.4766288000000011E-3</v>
      </c>
    </row>
    <row r="207" spans="2:10" s="376" customFormat="1" ht="12.75" x14ac:dyDescent="0.35">
      <c r="B207" s="382">
        <f t="shared" si="22"/>
        <v>13</v>
      </c>
      <c r="C207" s="491" t="s">
        <v>146</v>
      </c>
      <c r="D207" s="492"/>
      <c r="E207" s="493">
        <f>+'ARR-Summary'!H25</f>
        <v>0</v>
      </c>
      <c r="F207" s="418"/>
      <c r="G207" s="419"/>
      <c r="H207" s="419"/>
      <c r="I207" s="418"/>
      <c r="J207" s="493"/>
    </row>
    <row r="208" spans="2:10" s="376" customFormat="1" ht="12.75" x14ac:dyDescent="0.35">
      <c r="B208" s="501"/>
      <c r="C208" s="491"/>
      <c r="D208" s="492"/>
      <c r="E208" s="493"/>
      <c r="F208" s="418"/>
      <c r="G208" s="419"/>
      <c r="H208" s="419"/>
      <c r="I208" s="418"/>
      <c r="J208" s="493"/>
    </row>
    <row r="209" spans="2:11" s="376" customFormat="1" ht="12.75" x14ac:dyDescent="0.35">
      <c r="B209" s="502" t="s">
        <v>226</v>
      </c>
      <c r="C209" s="426" t="s">
        <v>147</v>
      </c>
      <c r="D209" s="499"/>
      <c r="E209" s="500">
        <f>+E205-E206</f>
        <v>13.918647077901097</v>
      </c>
      <c r="F209" s="499"/>
      <c r="G209" s="419"/>
      <c r="H209" s="419"/>
      <c r="I209" s="499"/>
      <c r="J209" s="500">
        <f>+J205-J206</f>
        <v>13.88933203606304</v>
      </c>
      <c r="K209" s="503"/>
    </row>
    <row r="210" spans="2:11" s="376" customFormat="1" ht="12.75" x14ac:dyDescent="0.35">
      <c r="B210" s="502"/>
      <c r="C210" s="426"/>
      <c r="D210" s="419"/>
      <c r="E210" s="500"/>
      <c r="F210" s="419"/>
      <c r="G210" s="419"/>
      <c r="H210" s="419"/>
      <c r="I210" s="419"/>
      <c r="J210" s="493"/>
    </row>
    <row r="211" spans="2:11" s="376" customFormat="1" ht="12.75" x14ac:dyDescent="0.35">
      <c r="B211" s="502" t="s">
        <v>228</v>
      </c>
      <c r="C211" s="419" t="s">
        <v>834</v>
      </c>
      <c r="D211" s="419"/>
      <c r="E211" s="500"/>
      <c r="F211" s="419"/>
      <c r="G211" s="419"/>
      <c r="H211" s="419"/>
      <c r="I211" s="419"/>
      <c r="J211" s="493"/>
    </row>
    <row r="212" spans="2:11" s="376" customFormat="1" ht="12.75" x14ac:dyDescent="0.35">
      <c r="B212" s="501">
        <v>14</v>
      </c>
      <c r="C212" s="494" t="s">
        <v>835</v>
      </c>
      <c r="D212" s="435"/>
      <c r="E212" s="493">
        <f>+'ARR-Summary'!H$39</f>
        <v>1.1427758834599999</v>
      </c>
      <c r="F212" s="435"/>
      <c r="G212" s="435"/>
      <c r="H212" s="435"/>
      <c r="I212" s="435"/>
      <c r="J212" s="493">
        <f>+E212</f>
        <v>1.1427758834599999</v>
      </c>
    </row>
    <row r="213" spans="2:11" s="376" customFormat="1" ht="12.75" x14ac:dyDescent="0.35">
      <c r="B213" s="501"/>
      <c r="C213" s="494"/>
      <c r="D213" s="435"/>
      <c r="E213" s="493"/>
      <c r="F213" s="435"/>
      <c r="G213" s="435"/>
      <c r="H213" s="435"/>
      <c r="I213" s="435"/>
      <c r="J213" s="493"/>
    </row>
    <row r="214" spans="2:11" s="376" customFormat="1" ht="12.75" x14ac:dyDescent="0.35">
      <c r="B214" s="502" t="s">
        <v>274</v>
      </c>
      <c r="C214" s="504" t="s">
        <v>836</v>
      </c>
      <c r="D214" s="419"/>
      <c r="E214" s="500">
        <f>+E209-E212</f>
        <v>12.775871194441097</v>
      </c>
      <c r="F214" s="419"/>
      <c r="G214" s="419"/>
      <c r="H214" s="419"/>
      <c r="I214" s="419"/>
      <c r="J214" s="500">
        <f>+J209-J212</f>
        <v>12.74655615260304</v>
      </c>
      <c r="K214" s="1661">
        <f>+'ARR-Summary'!H$40-J214</f>
        <v>0</v>
      </c>
    </row>
    <row r="215" spans="2:11" s="376" customFormat="1" ht="12.75" x14ac:dyDescent="0.35"/>
    <row r="216" spans="2:11" s="376" customFormat="1" ht="12.75" x14ac:dyDescent="0.35">
      <c r="B216" s="392" t="s">
        <v>837</v>
      </c>
    </row>
    <row r="217" spans="2:11" s="376" customFormat="1" ht="12.75" x14ac:dyDescent="0.35">
      <c r="B217" s="392"/>
    </row>
    <row r="218" spans="2:11" s="376" customFormat="1" ht="12.75" x14ac:dyDescent="0.35"/>
    <row r="219" spans="2:11" s="376" customFormat="1" ht="12.75" x14ac:dyDescent="0.35">
      <c r="B219" s="430" t="s">
        <v>199</v>
      </c>
    </row>
    <row r="220" spans="2:11" s="376" customFormat="1" ht="12.75" x14ac:dyDescent="0.35">
      <c r="C220" s="436" t="s">
        <v>278</v>
      </c>
      <c r="D220" s="391"/>
      <c r="E220" s="391"/>
      <c r="F220" s="391"/>
      <c r="G220" s="391"/>
      <c r="H220" s="391"/>
      <c r="I220" s="391"/>
    </row>
    <row r="221" spans="2:11" s="376" customFormat="1" ht="12.75" x14ac:dyDescent="0.35">
      <c r="C221" s="392"/>
      <c r="D221" s="391"/>
      <c r="E221" s="391"/>
      <c r="F221" s="391"/>
      <c r="G221" s="391"/>
      <c r="H221" s="391"/>
      <c r="I221" s="391"/>
      <c r="J221" s="404" t="s">
        <v>110</v>
      </c>
    </row>
    <row r="222" spans="2:11" s="376" customFormat="1" ht="25.5" x14ac:dyDescent="0.35">
      <c r="B222" s="402" t="s">
        <v>1</v>
      </c>
      <c r="C222" s="490" t="s">
        <v>111</v>
      </c>
      <c r="D222" s="389" t="s">
        <v>358</v>
      </c>
      <c r="E222" s="389" t="s">
        <v>186</v>
      </c>
      <c r="F222" s="389" t="s">
        <v>1124</v>
      </c>
      <c r="G222" s="389" t="s">
        <v>830</v>
      </c>
      <c r="H222" s="389" t="s">
        <v>831</v>
      </c>
      <c r="I222" s="389" t="s">
        <v>832</v>
      </c>
      <c r="J222" s="389" t="s">
        <v>1125</v>
      </c>
    </row>
    <row r="223" spans="2:11" s="376" customFormat="1" ht="25.5" x14ac:dyDescent="0.35">
      <c r="B223" s="382">
        <v>1</v>
      </c>
      <c r="C223" s="491" t="s">
        <v>150</v>
      </c>
      <c r="D223" s="492"/>
      <c r="E223" s="493">
        <f>+'ARR-Summary'!H49</f>
        <v>8.4885383060000024</v>
      </c>
      <c r="F223" s="492"/>
      <c r="G223" s="435"/>
      <c r="H223" s="435"/>
      <c r="I223" s="492"/>
      <c r="J223" s="493">
        <f>+E223</f>
        <v>8.4885383060000024</v>
      </c>
    </row>
    <row r="224" spans="2:11" s="376" customFormat="1" ht="12.75" x14ac:dyDescent="0.35">
      <c r="B224" s="382">
        <f>B223+1</f>
        <v>2</v>
      </c>
      <c r="C224" s="491" t="s">
        <v>136</v>
      </c>
      <c r="D224" s="492"/>
      <c r="E224" s="493">
        <f>+'ARR-Summary'!H50</f>
        <v>1.8327944509000003</v>
      </c>
      <c r="F224" s="492"/>
      <c r="G224" s="419"/>
      <c r="H224" s="492"/>
      <c r="I224" s="419"/>
      <c r="J224" s="493">
        <f t="shared" ref="J224:J235" si="23">+E224</f>
        <v>1.8327944509000003</v>
      </c>
    </row>
    <row r="225" spans="2:10" s="376" customFormat="1" ht="12.75" x14ac:dyDescent="0.35">
      <c r="B225" s="382">
        <f t="shared" ref="B225:B242" si="24">B224+1</f>
        <v>3</v>
      </c>
      <c r="C225" s="494" t="s">
        <v>137</v>
      </c>
      <c r="D225" s="492"/>
      <c r="E225" s="493">
        <f>+'ARR-Summary'!H51</f>
        <v>0.21784318911137904</v>
      </c>
      <c r="F225" s="492"/>
      <c r="G225" s="435"/>
      <c r="H225" s="435"/>
      <c r="I225" s="492"/>
      <c r="J225" s="493">
        <f t="shared" si="23"/>
        <v>0.21784318911137904</v>
      </c>
    </row>
    <row r="226" spans="2:10" s="376" customFormat="1" ht="12.75" x14ac:dyDescent="0.35">
      <c r="B226" s="382">
        <f t="shared" si="24"/>
        <v>4</v>
      </c>
      <c r="C226" s="491" t="s">
        <v>52</v>
      </c>
      <c r="D226" s="492"/>
      <c r="E226" s="493">
        <f>+'ARR-Summary'!H52</f>
        <v>0.108312592696461</v>
      </c>
      <c r="F226" s="492"/>
      <c r="G226" s="435"/>
      <c r="H226" s="435"/>
      <c r="I226" s="492"/>
      <c r="J226" s="493">
        <f t="shared" si="23"/>
        <v>0.108312592696461</v>
      </c>
    </row>
    <row r="227" spans="2:10" s="376" customFormat="1" ht="12.75" x14ac:dyDescent="0.35">
      <c r="B227" s="382">
        <f t="shared" si="24"/>
        <v>5</v>
      </c>
      <c r="C227" s="494" t="s">
        <v>139</v>
      </c>
      <c r="D227" s="495"/>
      <c r="E227" s="493">
        <f>+'ARR-Summary'!H53</f>
        <v>0</v>
      </c>
      <c r="F227" s="495"/>
      <c r="G227" s="496"/>
      <c r="H227" s="496"/>
      <c r="I227" s="505"/>
      <c r="J227" s="493">
        <f t="shared" si="23"/>
        <v>0</v>
      </c>
    </row>
    <row r="228" spans="2:10" s="376" customFormat="1" ht="12.75" x14ac:dyDescent="0.35">
      <c r="B228" s="382">
        <f t="shared" si="24"/>
        <v>6</v>
      </c>
      <c r="C228" s="494" t="s">
        <v>152</v>
      </c>
      <c r="D228" s="492"/>
      <c r="E228" s="493">
        <f>+'ARR-Summary'!H54</f>
        <v>0.20113947000000001</v>
      </c>
      <c r="F228" s="492"/>
      <c r="G228" s="435"/>
      <c r="H228" s="435"/>
      <c r="I228" s="492"/>
      <c r="J228" s="493">
        <f t="shared" si="23"/>
        <v>0.20113947000000001</v>
      </c>
    </row>
    <row r="229" spans="2:10" s="376" customFormat="1" ht="12.75" x14ac:dyDescent="0.35">
      <c r="B229" s="382">
        <f t="shared" si="24"/>
        <v>7</v>
      </c>
      <c r="C229" s="494" t="s">
        <v>153</v>
      </c>
      <c r="D229" s="492"/>
      <c r="E229" s="493">
        <f>+'ARR-Summary'!H55</f>
        <v>0</v>
      </c>
      <c r="F229" s="418"/>
      <c r="G229" s="435"/>
      <c r="H229" s="435"/>
      <c r="I229" s="418"/>
      <c r="J229" s="493">
        <f t="shared" si="23"/>
        <v>0</v>
      </c>
    </row>
    <row r="230" spans="2:10" s="376" customFormat="1" ht="12.75" x14ac:dyDescent="0.35">
      <c r="B230" s="382">
        <f t="shared" si="24"/>
        <v>8</v>
      </c>
      <c r="C230" s="494" t="s">
        <v>141</v>
      </c>
      <c r="D230" s="492"/>
      <c r="E230" s="493">
        <f>+'ARR-Summary'!H56</f>
        <v>5.1121593960585824E-3</v>
      </c>
      <c r="F230" s="418"/>
      <c r="G230" s="435"/>
      <c r="H230" s="435"/>
      <c r="I230" s="418"/>
      <c r="J230" s="493">
        <f t="shared" si="23"/>
        <v>5.1121593960585824E-3</v>
      </c>
    </row>
    <row r="231" spans="2:10" s="376" customFormat="1" ht="12.75" x14ac:dyDescent="0.35">
      <c r="B231" s="382">
        <f t="shared" si="24"/>
        <v>9</v>
      </c>
      <c r="C231" s="494" t="s">
        <v>154</v>
      </c>
      <c r="D231" s="492"/>
      <c r="E231" s="493">
        <f>+'ARR-Summary'!H57</f>
        <v>0.67052683400000002</v>
      </c>
      <c r="F231" s="492"/>
      <c r="G231" s="435"/>
      <c r="H231" s="435"/>
      <c r="I231" s="492"/>
      <c r="J231" s="493">
        <f t="shared" si="23"/>
        <v>0.67052683400000002</v>
      </c>
    </row>
    <row r="232" spans="2:10" s="376" customFormat="1" ht="12.75" x14ac:dyDescent="0.35">
      <c r="B232" s="382">
        <f t="shared" si="24"/>
        <v>10</v>
      </c>
      <c r="C232" s="494" t="s">
        <v>155</v>
      </c>
      <c r="D232" s="492"/>
      <c r="E232" s="493">
        <f>+'ARR-Summary'!H58</f>
        <v>5.9357601999999995E-2</v>
      </c>
      <c r="F232" s="492"/>
      <c r="G232" s="435"/>
      <c r="H232" s="435"/>
      <c r="I232" s="492"/>
      <c r="J232" s="493">
        <f t="shared" si="23"/>
        <v>5.9357601999999995E-2</v>
      </c>
    </row>
    <row r="233" spans="2:10" s="376" customFormat="1" x14ac:dyDescent="0.35">
      <c r="B233" s="382">
        <f t="shared" si="24"/>
        <v>11</v>
      </c>
      <c r="C233" s="61" t="s">
        <v>1239</v>
      </c>
      <c r="D233" s="492"/>
      <c r="E233" s="493">
        <f>+'ARR-Summary'!H59</f>
        <v>0</v>
      </c>
      <c r="F233" s="492"/>
      <c r="G233" s="435"/>
      <c r="H233" s="435"/>
      <c r="I233" s="492"/>
      <c r="J233" s="493">
        <f t="shared" si="23"/>
        <v>0</v>
      </c>
    </row>
    <row r="234" spans="2:10" s="376" customFormat="1" x14ac:dyDescent="0.35">
      <c r="B234" s="382">
        <f t="shared" si="24"/>
        <v>12</v>
      </c>
      <c r="C234" s="61" t="s">
        <v>1354</v>
      </c>
      <c r="D234" s="492"/>
      <c r="E234" s="493">
        <f>+'ARR-Summary'!H60</f>
        <v>5.7784603000000004E-2</v>
      </c>
      <c r="F234" s="492"/>
      <c r="G234" s="435"/>
      <c r="H234" s="435"/>
      <c r="I234" s="492"/>
      <c r="J234" s="493">
        <f t="shared" si="23"/>
        <v>5.7784603000000004E-2</v>
      </c>
    </row>
    <row r="235" spans="2:10" s="376" customFormat="1" ht="12.75" x14ac:dyDescent="0.35">
      <c r="B235" s="382">
        <f t="shared" si="24"/>
        <v>13</v>
      </c>
      <c r="C235" s="491" t="s">
        <v>64</v>
      </c>
      <c r="D235" s="492"/>
      <c r="E235" s="493">
        <f>+'ARR-Summary'!H61</f>
        <v>0</v>
      </c>
      <c r="F235" s="492"/>
      <c r="G235" s="419"/>
      <c r="H235" s="419"/>
      <c r="I235" s="492"/>
      <c r="J235" s="493">
        <f t="shared" si="23"/>
        <v>0</v>
      </c>
    </row>
    <row r="236" spans="2:10" s="376" customFormat="1" ht="12.75" x14ac:dyDescent="0.35">
      <c r="B236" s="382">
        <f t="shared" si="24"/>
        <v>14</v>
      </c>
      <c r="C236" s="426" t="s">
        <v>142</v>
      </c>
      <c r="D236" s="499"/>
      <c r="E236" s="500">
        <f t="shared" ref="E236:J236" si="25">SUM(E223:E235)</f>
        <v>11.641409207103901</v>
      </c>
      <c r="F236" s="500">
        <f t="shared" si="25"/>
        <v>0</v>
      </c>
      <c r="G236" s="500">
        <f t="shared" si="25"/>
        <v>0</v>
      </c>
      <c r="H236" s="500">
        <f t="shared" si="25"/>
        <v>0</v>
      </c>
      <c r="I236" s="500">
        <f t="shared" si="25"/>
        <v>0</v>
      </c>
      <c r="J236" s="500">
        <f t="shared" si="25"/>
        <v>11.641409207103901</v>
      </c>
    </row>
    <row r="237" spans="2:10" s="376" customFormat="1" ht="12.75" x14ac:dyDescent="0.35">
      <c r="B237" s="382">
        <f t="shared" si="24"/>
        <v>15</v>
      </c>
      <c r="C237" s="491" t="s">
        <v>143</v>
      </c>
      <c r="D237" s="492"/>
      <c r="E237" s="493">
        <f>+'ARR-Summary'!H64</f>
        <v>0.11539478857848021</v>
      </c>
      <c r="F237" s="492"/>
      <c r="G237" s="419"/>
      <c r="H237" s="419"/>
      <c r="I237" s="492"/>
      <c r="J237" s="493">
        <f>+E237</f>
        <v>0.11539478857848021</v>
      </c>
    </row>
    <row r="238" spans="2:10" s="376" customFormat="1" ht="12.75" x14ac:dyDescent="0.35">
      <c r="B238" s="382">
        <f t="shared" si="24"/>
        <v>16</v>
      </c>
      <c r="C238" s="426" t="s">
        <v>144</v>
      </c>
      <c r="D238" s="499"/>
      <c r="E238" s="500">
        <f t="shared" ref="E238:J238" si="26">+E236+E237</f>
        <v>11.756803995682382</v>
      </c>
      <c r="F238" s="500">
        <f t="shared" si="26"/>
        <v>0</v>
      </c>
      <c r="G238" s="500">
        <f t="shared" si="26"/>
        <v>0</v>
      </c>
      <c r="H238" s="500">
        <f t="shared" si="26"/>
        <v>0</v>
      </c>
      <c r="I238" s="500">
        <f t="shared" si="26"/>
        <v>0</v>
      </c>
      <c r="J238" s="500">
        <f t="shared" si="26"/>
        <v>11.756803995682382</v>
      </c>
    </row>
    <row r="239" spans="2:10" s="376" customFormat="1" ht="12.75" x14ac:dyDescent="0.35">
      <c r="B239" s="382">
        <f t="shared" si="24"/>
        <v>17</v>
      </c>
      <c r="C239" s="491" t="s">
        <v>145</v>
      </c>
      <c r="D239" s="492"/>
      <c r="E239" s="493">
        <f>+'ARR-Summary'!H66</f>
        <v>0.17903095920000001</v>
      </c>
      <c r="F239" s="418"/>
      <c r="G239" s="419"/>
      <c r="H239" s="419"/>
      <c r="I239" s="418"/>
      <c r="J239" s="493">
        <f>+E239</f>
        <v>0.17903095920000001</v>
      </c>
    </row>
    <row r="240" spans="2:10" s="376" customFormat="1" ht="12.75" x14ac:dyDescent="0.35">
      <c r="B240" s="382">
        <f t="shared" si="24"/>
        <v>18</v>
      </c>
      <c r="C240" s="491" t="s">
        <v>146</v>
      </c>
      <c r="D240" s="492"/>
      <c r="E240" s="493">
        <f>+'ARR-Summary'!H67</f>
        <v>0</v>
      </c>
      <c r="F240" s="418"/>
      <c r="G240" s="419"/>
      <c r="H240" s="419"/>
      <c r="I240" s="418"/>
      <c r="J240" s="493">
        <f>+E240</f>
        <v>0</v>
      </c>
    </row>
    <row r="241" spans="2:11" s="376" customFormat="1" ht="12.75" x14ac:dyDescent="0.35">
      <c r="B241" s="382">
        <f t="shared" si="24"/>
        <v>19</v>
      </c>
      <c r="C241" s="491" t="s">
        <v>156</v>
      </c>
      <c r="D241" s="492"/>
      <c r="E241" s="493">
        <f>+'ARR-Summary'!H68</f>
        <v>0</v>
      </c>
      <c r="F241" s="418"/>
      <c r="G241" s="419"/>
      <c r="H241" s="419"/>
      <c r="I241" s="418"/>
      <c r="J241" s="493">
        <f>+E241</f>
        <v>0</v>
      </c>
    </row>
    <row r="242" spans="2:11" s="376" customFormat="1" ht="12.75" x14ac:dyDescent="0.35">
      <c r="B242" s="382">
        <f t="shared" si="24"/>
        <v>20</v>
      </c>
      <c r="C242" s="491" t="s">
        <v>157</v>
      </c>
      <c r="D242" s="492"/>
      <c r="E242" s="493">
        <f>+'ARR-Summary'!H69</f>
        <v>0</v>
      </c>
      <c r="F242" s="418"/>
      <c r="G242" s="435"/>
      <c r="H242" s="435"/>
      <c r="I242" s="418"/>
      <c r="J242" s="493">
        <f>+E242</f>
        <v>0</v>
      </c>
    </row>
    <row r="243" spans="2:11" s="376" customFormat="1" ht="12.75" x14ac:dyDescent="0.35">
      <c r="B243" s="382"/>
      <c r="C243" s="491"/>
      <c r="D243" s="492"/>
      <c r="E243" s="493"/>
      <c r="F243" s="418"/>
      <c r="G243" s="435"/>
      <c r="H243" s="435"/>
      <c r="I243" s="418"/>
      <c r="J243" s="493"/>
      <c r="K243" s="506"/>
    </row>
    <row r="244" spans="2:11" s="376" customFormat="1" ht="12.75" x14ac:dyDescent="0.35">
      <c r="B244" s="447" t="s">
        <v>226</v>
      </c>
      <c r="C244" s="426" t="s">
        <v>158</v>
      </c>
      <c r="D244" s="499"/>
      <c r="E244" s="500">
        <f t="shared" ref="E244:J244" si="27">+E238-SUM(E239:E242)</f>
        <v>11.577773036482382</v>
      </c>
      <c r="F244" s="500">
        <f t="shared" si="27"/>
        <v>0</v>
      </c>
      <c r="G244" s="500">
        <f t="shared" si="27"/>
        <v>0</v>
      </c>
      <c r="H244" s="500">
        <f t="shared" si="27"/>
        <v>0</v>
      </c>
      <c r="I244" s="500">
        <f t="shared" si="27"/>
        <v>0</v>
      </c>
      <c r="J244" s="500">
        <f t="shared" si="27"/>
        <v>11.577773036482382</v>
      </c>
    </row>
    <row r="245" spans="2:11" s="376" customFormat="1" ht="12.75" x14ac:dyDescent="0.35">
      <c r="B245" s="447"/>
      <c r="C245" s="419"/>
      <c r="D245" s="435"/>
      <c r="E245" s="493"/>
      <c r="F245" s="435"/>
      <c r="G245" s="435"/>
      <c r="H245" s="435"/>
      <c r="I245" s="435"/>
      <c r="J245" s="493"/>
    </row>
    <row r="246" spans="2:11" s="376" customFormat="1" ht="12.75" x14ac:dyDescent="0.35">
      <c r="B246" s="502" t="s">
        <v>228</v>
      </c>
      <c r="C246" s="419" t="s">
        <v>834</v>
      </c>
      <c r="D246" s="419"/>
      <c r="E246" s="500"/>
      <c r="F246" s="419"/>
      <c r="G246" s="419"/>
      <c r="H246" s="419"/>
      <c r="I246" s="419"/>
      <c r="J246" s="493"/>
    </row>
    <row r="247" spans="2:11" s="376" customFormat="1" ht="12.75" x14ac:dyDescent="0.35">
      <c r="B247" s="501">
        <f>+B242+1</f>
        <v>21</v>
      </c>
      <c r="C247" s="494" t="s">
        <v>835</v>
      </c>
      <c r="D247" s="435"/>
      <c r="E247" s="493">
        <f>+'ARR-Summary'!H$83</f>
        <v>13.44977864066</v>
      </c>
      <c r="F247" s="435"/>
      <c r="G247" s="435"/>
      <c r="H247" s="435"/>
      <c r="I247" s="435"/>
      <c r="J247" s="493">
        <f>+E247</f>
        <v>13.44977864066</v>
      </c>
    </row>
    <row r="248" spans="2:11" s="376" customFormat="1" ht="12.75" x14ac:dyDescent="0.35">
      <c r="B248" s="501"/>
      <c r="C248" s="494"/>
      <c r="D248" s="435"/>
      <c r="E248" s="493"/>
      <c r="F248" s="435"/>
      <c r="G248" s="435"/>
      <c r="H248" s="435"/>
      <c r="I248" s="435"/>
      <c r="J248" s="493"/>
      <c r="K248" s="506"/>
    </row>
    <row r="249" spans="2:11" s="376" customFormat="1" ht="12.75" x14ac:dyDescent="0.35">
      <c r="B249" s="502" t="s">
        <v>274</v>
      </c>
      <c r="C249" s="504" t="s">
        <v>836</v>
      </c>
      <c r="D249" s="419"/>
      <c r="E249" s="500">
        <f t="shared" ref="E249:J249" si="28">+E244-E247</f>
        <v>-1.8720056041776179</v>
      </c>
      <c r="F249" s="500">
        <f t="shared" si="28"/>
        <v>0</v>
      </c>
      <c r="G249" s="500">
        <f t="shared" si="28"/>
        <v>0</v>
      </c>
      <c r="H249" s="500">
        <f t="shared" si="28"/>
        <v>0</v>
      </c>
      <c r="I249" s="500">
        <f t="shared" si="28"/>
        <v>0</v>
      </c>
      <c r="J249" s="500">
        <f t="shared" si="28"/>
        <v>-1.8720056041776179</v>
      </c>
      <c r="K249" s="506">
        <f>+'ARR-Summary'!H$84-J249</f>
        <v>0</v>
      </c>
    </row>
    <row r="250" spans="2:11" s="376" customFormat="1" ht="12.75" x14ac:dyDescent="0.35">
      <c r="B250" s="1662"/>
      <c r="C250" s="1663"/>
      <c r="D250" s="436"/>
      <c r="E250" s="507"/>
      <c r="F250" s="507"/>
      <c r="G250" s="507"/>
      <c r="H250" s="507"/>
      <c r="I250" s="507"/>
      <c r="J250" s="507"/>
      <c r="K250" s="506"/>
    </row>
    <row r="251" spans="2:11" x14ac:dyDescent="0.35">
      <c r="B251" s="49" t="s">
        <v>112</v>
      </c>
    </row>
    <row r="252" spans="2:11" x14ac:dyDescent="0.35">
      <c r="B252" s="49"/>
    </row>
    <row r="253" spans="2:11" x14ac:dyDescent="0.35">
      <c r="B253" s="49"/>
      <c r="C253" s="16" t="s">
        <v>553</v>
      </c>
    </row>
    <row r="254" spans="2:11" x14ac:dyDescent="0.35">
      <c r="J254" s="15" t="s">
        <v>110</v>
      </c>
    </row>
    <row r="255" spans="2:11" ht="27" x14ac:dyDescent="0.35">
      <c r="B255" s="169" t="s">
        <v>1</v>
      </c>
      <c r="C255" s="157" t="s">
        <v>111</v>
      </c>
      <c r="D255" s="98" t="s">
        <v>358</v>
      </c>
      <c r="E255" s="98" t="s">
        <v>186</v>
      </c>
      <c r="F255" s="98" t="s">
        <v>829</v>
      </c>
      <c r="G255" s="98" t="s">
        <v>830</v>
      </c>
      <c r="H255" s="98" t="s">
        <v>831</v>
      </c>
      <c r="I255" s="98" t="s">
        <v>832</v>
      </c>
      <c r="J255" s="98" t="s">
        <v>833</v>
      </c>
    </row>
    <row r="256" spans="2:11" x14ac:dyDescent="0.35">
      <c r="B256" s="382">
        <v>1</v>
      </c>
      <c r="C256" s="491" t="s">
        <v>136</v>
      </c>
      <c r="D256" s="492"/>
      <c r="E256" s="493">
        <f>+'ARR-Summary'!I12</f>
        <v>3.9814925915563326</v>
      </c>
      <c r="F256" s="492"/>
      <c r="G256" s="419"/>
      <c r="H256" s="492"/>
      <c r="I256" s="435"/>
      <c r="J256" s="493">
        <f>+E256</f>
        <v>3.9814925915563326</v>
      </c>
      <c r="K256" s="376"/>
    </row>
    <row r="257" spans="2:11" x14ac:dyDescent="0.35">
      <c r="B257" s="382">
        <f>B256+1</f>
        <v>2</v>
      </c>
      <c r="C257" s="494" t="s">
        <v>137</v>
      </c>
      <c r="D257" s="492"/>
      <c r="E257" s="493">
        <f>+'ARR-Summary'!I13</f>
        <v>3.148131733728825</v>
      </c>
      <c r="F257" s="492"/>
      <c r="G257" s="435"/>
      <c r="H257" s="435"/>
      <c r="I257" s="492"/>
      <c r="J257" s="493">
        <f>+E257</f>
        <v>3.148131733728825</v>
      </c>
      <c r="K257" s="376"/>
    </row>
    <row r="258" spans="2:11" x14ac:dyDescent="0.35">
      <c r="B258" s="382">
        <f t="shared" ref="B258:B268" si="29">B257+1</f>
        <v>3</v>
      </c>
      <c r="C258" s="491" t="s">
        <v>52</v>
      </c>
      <c r="D258" s="492"/>
      <c r="E258" s="493">
        <f>+'ARR-Summary'!I14</f>
        <v>3.6841626967063688</v>
      </c>
      <c r="F258" s="492"/>
      <c r="G258" s="435"/>
      <c r="H258" s="435"/>
      <c r="I258" s="492"/>
      <c r="J258" s="493">
        <f>+E258</f>
        <v>3.6841626967063688</v>
      </c>
      <c r="K258" s="376"/>
    </row>
    <row r="259" spans="2:11" x14ac:dyDescent="0.35">
      <c r="B259" s="382">
        <f t="shared" si="29"/>
        <v>4</v>
      </c>
      <c r="C259" s="494" t="s">
        <v>139</v>
      </c>
      <c r="D259" s="495"/>
      <c r="E259" s="493">
        <f>+'ARR-Summary'!I15</f>
        <v>5.6110103453735946E-2</v>
      </c>
      <c r="F259" s="495"/>
      <c r="G259" s="496"/>
      <c r="H259" s="496">
        <f>+E259</f>
        <v>5.6110103453735946E-2</v>
      </c>
      <c r="I259" s="497"/>
      <c r="J259" s="493">
        <f>+H259/3</f>
        <v>1.8703367817911983E-2</v>
      </c>
      <c r="K259" s="376"/>
    </row>
    <row r="260" spans="2:11" ht="25.5" x14ac:dyDescent="0.35">
      <c r="B260" s="382">
        <f t="shared" si="29"/>
        <v>5</v>
      </c>
      <c r="C260" s="494" t="s">
        <v>140</v>
      </c>
      <c r="D260" s="492"/>
      <c r="E260" s="493">
        <f>+'ARR-Summary'!I16</f>
        <v>2.5726390000000002E-2</v>
      </c>
      <c r="F260" s="492"/>
      <c r="G260" s="435"/>
      <c r="H260" s="435"/>
      <c r="I260" s="492"/>
      <c r="J260" s="493">
        <f>+E260</f>
        <v>2.5726390000000002E-2</v>
      </c>
      <c r="K260" s="376"/>
    </row>
    <row r="261" spans="2:11" x14ac:dyDescent="0.35">
      <c r="B261" s="382">
        <f t="shared" si="29"/>
        <v>6</v>
      </c>
      <c r="C261" s="494" t="s">
        <v>60</v>
      </c>
      <c r="D261" s="492"/>
      <c r="E261" s="493">
        <f>+'ARR-Summary'!I17</f>
        <v>0</v>
      </c>
      <c r="F261" s="418"/>
      <c r="G261" s="435"/>
      <c r="H261" s="435"/>
      <c r="I261" s="418"/>
      <c r="J261" s="493">
        <f>+E261</f>
        <v>0</v>
      </c>
      <c r="K261" s="376"/>
    </row>
    <row r="262" spans="2:11" x14ac:dyDescent="0.35">
      <c r="B262" s="382">
        <f t="shared" si="29"/>
        <v>7</v>
      </c>
      <c r="C262" s="494" t="s">
        <v>141</v>
      </c>
      <c r="D262" s="492"/>
      <c r="E262" s="493">
        <f>+'ARR-Summary'!I18</f>
        <v>0.17259486212489694</v>
      </c>
      <c r="F262" s="492"/>
      <c r="G262" s="435"/>
      <c r="H262" s="435"/>
      <c r="I262" s="492"/>
      <c r="J262" s="493">
        <f>+E262</f>
        <v>0.17259486212489694</v>
      </c>
      <c r="K262" s="376"/>
    </row>
    <row r="263" spans="2:11" x14ac:dyDescent="0.35">
      <c r="B263" s="382">
        <f t="shared" si="29"/>
        <v>8</v>
      </c>
      <c r="C263" s="491" t="s">
        <v>64</v>
      </c>
      <c r="D263" s="492"/>
      <c r="E263" s="493">
        <f>+'ARR-Summary'!I19</f>
        <v>0</v>
      </c>
      <c r="F263" s="492"/>
      <c r="G263" s="435"/>
      <c r="H263" s="435"/>
      <c r="I263" s="492"/>
      <c r="J263" s="493">
        <f>+E263</f>
        <v>0</v>
      </c>
      <c r="K263" s="376"/>
    </row>
    <row r="264" spans="2:11" x14ac:dyDescent="0.35">
      <c r="B264" s="382">
        <f t="shared" si="29"/>
        <v>9</v>
      </c>
      <c r="C264" s="426" t="s">
        <v>142</v>
      </c>
      <c r="D264" s="499"/>
      <c r="E264" s="500">
        <f>SUM(E256:E263)</f>
        <v>11.068218377570162</v>
      </c>
      <c r="F264" s="499"/>
      <c r="G264" s="435"/>
      <c r="H264" s="435"/>
      <c r="I264" s="499"/>
      <c r="J264" s="500">
        <f>SUM(J256:J263)</f>
        <v>11.030811641934335</v>
      </c>
      <c r="K264" s="376"/>
    </row>
    <row r="265" spans="2:11" x14ac:dyDescent="0.35">
      <c r="B265" s="382">
        <f t="shared" si="29"/>
        <v>10</v>
      </c>
      <c r="C265" s="491" t="s">
        <v>143</v>
      </c>
      <c r="D265" s="492"/>
      <c r="E265" s="493">
        <f>+'ARR-Summary'!I22</f>
        <v>3.2103801040638342</v>
      </c>
      <c r="F265" s="492"/>
      <c r="G265" s="419"/>
      <c r="H265" s="419"/>
      <c r="I265" s="492"/>
      <c r="J265" s="493">
        <f>+E265</f>
        <v>3.2103801040638342</v>
      </c>
      <c r="K265" s="376"/>
    </row>
    <row r="266" spans="2:11" x14ac:dyDescent="0.35">
      <c r="B266" s="382">
        <f t="shared" si="29"/>
        <v>11</v>
      </c>
      <c r="C266" s="426" t="s">
        <v>144</v>
      </c>
      <c r="D266" s="499"/>
      <c r="E266" s="500">
        <f>+E264+E265</f>
        <v>14.278598481633995</v>
      </c>
      <c r="F266" s="499"/>
      <c r="G266" s="435"/>
      <c r="H266" s="435"/>
      <c r="I266" s="418"/>
      <c r="J266" s="500">
        <f>+J264+J265</f>
        <v>14.241191745998169</v>
      </c>
      <c r="K266" s="376"/>
    </row>
    <row r="267" spans="2:11" x14ac:dyDescent="0.35">
      <c r="B267" s="382">
        <f t="shared" si="29"/>
        <v>12</v>
      </c>
      <c r="C267" s="491" t="s">
        <v>145</v>
      </c>
      <c r="D267" s="492"/>
      <c r="E267" s="493">
        <f>+'ARR-Summary'!I24</f>
        <v>0.13637018000000004</v>
      </c>
      <c r="F267" s="492"/>
      <c r="G267" s="419"/>
      <c r="H267" s="419"/>
      <c r="I267" s="492"/>
      <c r="J267" s="493">
        <f>+E267</f>
        <v>0.13637018000000004</v>
      </c>
      <c r="K267" s="376"/>
    </row>
    <row r="268" spans="2:11" x14ac:dyDescent="0.35">
      <c r="B268" s="382">
        <f t="shared" si="29"/>
        <v>13</v>
      </c>
      <c r="C268" s="491" t="s">
        <v>146</v>
      </c>
      <c r="D268" s="492"/>
      <c r="E268" s="493">
        <f>+'ARR-Summary'!I25</f>
        <v>0</v>
      </c>
      <c r="F268" s="418"/>
      <c r="G268" s="419"/>
      <c r="H268" s="419"/>
      <c r="I268" s="418"/>
      <c r="J268" s="493"/>
      <c r="K268" s="376"/>
    </row>
    <row r="269" spans="2:11" x14ac:dyDescent="0.35">
      <c r="B269" s="501"/>
      <c r="C269" s="491"/>
      <c r="D269" s="492"/>
      <c r="E269" s="493"/>
      <c r="F269" s="418"/>
      <c r="G269" s="419"/>
      <c r="H269" s="419"/>
      <c r="I269" s="418"/>
      <c r="J269" s="493"/>
      <c r="K269" s="376"/>
    </row>
    <row r="270" spans="2:11" x14ac:dyDescent="0.35">
      <c r="B270" s="502" t="s">
        <v>226</v>
      </c>
      <c r="C270" s="426" t="s">
        <v>147</v>
      </c>
      <c r="D270" s="499"/>
      <c r="E270" s="500">
        <f>+E266-E267</f>
        <v>14.142228301633995</v>
      </c>
      <c r="F270" s="499"/>
      <c r="G270" s="419"/>
      <c r="H270" s="419"/>
      <c r="I270" s="499"/>
      <c r="J270" s="500">
        <f>+J266-J267</f>
        <v>14.104821565998169</v>
      </c>
      <c r="K270" s="503"/>
    </row>
    <row r="271" spans="2:11" x14ac:dyDescent="0.35">
      <c r="B271" s="502"/>
      <c r="C271" s="426"/>
      <c r="D271" s="419"/>
      <c r="E271" s="500"/>
      <c r="F271" s="419"/>
      <c r="G271" s="419"/>
      <c r="H271" s="419"/>
      <c r="I271" s="419"/>
      <c r="J271" s="493"/>
      <c r="K271" s="376"/>
    </row>
    <row r="272" spans="2:11" x14ac:dyDescent="0.35">
      <c r="B272" s="502" t="s">
        <v>228</v>
      </c>
      <c r="C272" s="419" t="s">
        <v>834</v>
      </c>
      <c r="D272" s="419"/>
      <c r="E272" s="500"/>
      <c r="F272" s="419"/>
      <c r="G272" s="419"/>
      <c r="H272" s="419"/>
      <c r="I272" s="419"/>
      <c r="J272" s="493"/>
      <c r="K272" s="376"/>
    </row>
    <row r="273" spans="2:11" x14ac:dyDescent="0.35">
      <c r="B273" s="501">
        <v>14</v>
      </c>
      <c r="C273" s="494" t="s">
        <v>835</v>
      </c>
      <c r="D273" s="435"/>
      <c r="E273" s="493">
        <f>+'ARR-Summary'!I$39</f>
        <v>1.7379515281555</v>
      </c>
      <c r="F273" s="435"/>
      <c r="G273" s="435"/>
      <c r="H273" s="435"/>
      <c r="I273" s="435"/>
      <c r="J273" s="493">
        <f>+E273</f>
        <v>1.7379515281555</v>
      </c>
      <c r="K273" s="376"/>
    </row>
    <row r="274" spans="2:11" x14ac:dyDescent="0.35">
      <c r="B274" s="501"/>
      <c r="C274" s="494"/>
      <c r="D274" s="435"/>
      <c r="E274" s="493"/>
      <c r="F274" s="435"/>
      <c r="G274" s="435"/>
      <c r="H274" s="435"/>
      <c r="I274" s="435"/>
      <c r="J274" s="493"/>
      <c r="K274" s="376"/>
    </row>
    <row r="275" spans="2:11" x14ac:dyDescent="0.35">
      <c r="B275" s="502" t="s">
        <v>274</v>
      </c>
      <c r="C275" s="504" t="s">
        <v>836</v>
      </c>
      <c r="D275" s="419"/>
      <c r="E275" s="500">
        <f>+E270-E273</f>
        <v>12.404276773478495</v>
      </c>
      <c r="F275" s="419"/>
      <c r="G275" s="419"/>
      <c r="H275" s="419"/>
      <c r="I275" s="419"/>
      <c r="J275" s="500">
        <f>+J270-J273</f>
        <v>12.366870037842668</v>
      </c>
      <c r="K275" s="1661">
        <f>+'ARR-Summary'!I$40-J275</f>
        <v>0</v>
      </c>
    </row>
    <row r="276" spans="2:11" x14ac:dyDescent="0.35">
      <c r="B276" s="1662"/>
      <c r="C276" s="1663"/>
      <c r="D276" s="436"/>
      <c r="E276" s="507"/>
      <c r="F276" s="436"/>
      <c r="G276" s="436"/>
      <c r="H276" s="436"/>
      <c r="I276" s="436"/>
      <c r="J276" s="507"/>
      <c r="K276" s="1661"/>
    </row>
    <row r="278" spans="2:11" x14ac:dyDescent="0.35">
      <c r="B278" s="49" t="s">
        <v>112</v>
      </c>
    </row>
    <row r="279" spans="2:11" x14ac:dyDescent="0.35">
      <c r="C279" s="16" t="s">
        <v>278</v>
      </c>
      <c r="D279" s="50"/>
      <c r="E279" s="50"/>
      <c r="F279" s="50"/>
      <c r="G279" s="50"/>
      <c r="H279" s="50"/>
      <c r="I279" s="50"/>
    </row>
    <row r="280" spans="2:11" x14ac:dyDescent="0.35">
      <c r="C280" s="69"/>
      <c r="D280" s="50"/>
      <c r="E280" s="50"/>
      <c r="F280" s="50"/>
      <c r="G280" s="50"/>
      <c r="H280" s="50"/>
      <c r="I280" s="50"/>
      <c r="J280" s="15" t="s">
        <v>110</v>
      </c>
    </row>
    <row r="281" spans="2:11" ht="27" x14ac:dyDescent="0.35">
      <c r="B281" s="169" t="s">
        <v>1</v>
      </c>
      <c r="C281" s="157" t="s">
        <v>111</v>
      </c>
      <c r="D281" s="98" t="s">
        <v>358</v>
      </c>
      <c r="E281" s="98" t="s">
        <v>186</v>
      </c>
      <c r="F281" s="98" t="s">
        <v>829</v>
      </c>
      <c r="G281" s="98" t="s">
        <v>830</v>
      </c>
      <c r="H281" s="98" t="s">
        <v>831</v>
      </c>
      <c r="I281" s="98" t="s">
        <v>832</v>
      </c>
      <c r="J281" s="98" t="s">
        <v>833</v>
      </c>
    </row>
    <row r="282" spans="2:11" ht="25.5" x14ac:dyDescent="0.35">
      <c r="B282" s="382">
        <v>1</v>
      </c>
      <c r="C282" s="491" t="s">
        <v>150</v>
      </c>
      <c r="D282" s="492"/>
      <c r="E282" s="493">
        <f>+'ARR-Summary'!I49</f>
        <v>11.923470432999999</v>
      </c>
      <c r="F282" s="492"/>
      <c r="G282" s="435"/>
      <c r="H282" s="435"/>
      <c r="I282" s="492"/>
      <c r="J282" s="493">
        <f>+E282</f>
        <v>11.923470432999999</v>
      </c>
      <c r="K282" s="376"/>
    </row>
    <row r="283" spans="2:11" x14ac:dyDescent="0.35">
      <c r="B283" s="382">
        <f>B282+1</f>
        <v>2</v>
      </c>
      <c r="C283" s="491" t="s">
        <v>136</v>
      </c>
      <c r="D283" s="492"/>
      <c r="E283" s="493">
        <f>+'ARR-Summary'!I50</f>
        <v>2.1438806262226402</v>
      </c>
      <c r="F283" s="492"/>
      <c r="G283" s="419"/>
      <c r="H283" s="492"/>
      <c r="I283" s="419"/>
      <c r="J283" s="493">
        <f t="shared" ref="J283:J294" si="30">+E283</f>
        <v>2.1438806262226402</v>
      </c>
      <c r="K283" s="376"/>
    </row>
    <row r="284" spans="2:11" x14ac:dyDescent="0.35">
      <c r="B284" s="382">
        <f t="shared" ref="B284:B301" si="31">B283+1</f>
        <v>3</v>
      </c>
      <c r="C284" s="494" t="s">
        <v>137</v>
      </c>
      <c r="D284" s="492"/>
      <c r="E284" s="493">
        <f>+'ARR-Summary'!I51</f>
        <v>0.22896785647938628</v>
      </c>
      <c r="F284" s="492"/>
      <c r="G284" s="435"/>
      <c r="H284" s="435"/>
      <c r="I284" s="492"/>
      <c r="J284" s="493">
        <f t="shared" si="30"/>
        <v>0.22896785647938628</v>
      </c>
      <c r="K284" s="376"/>
    </row>
    <row r="285" spans="2:11" x14ac:dyDescent="0.35">
      <c r="B285" s="382">
        <f t="shared" si="31"/>
        <v>4</v>
      </c>
      <c r="C285" s="491" t="s">
        <v>52</v>
      </c>
      <c r="D285" s="492"/>
      <c r="E285" s="493">
        <f>+'ARR-Summary'!I52</f>
        <v>0.13939003459464031</v>
      </c>
      <c r="F285" s="492"/>
      <c r="G285" s="435"/>
      <c r="H285" s="435"/>
      <c r="I285" s="492"/>
      <c r="J285" s="493">
        <f t="shared" si="30"/>
        <v>0.13939003459464031</v>
      </c>
      <c r="K285" s="376"/>
    </row>
    <row r="286" spans="2:11" x14ac:dyDescent="0.35">
      <c r="B286" s="382">
        <f t="shared" si="31"/>
        <v>5</v>
      </c>
      <c r="C286" s="494" t="s">
        <v>139</v>
      </c>
      <c r="D286" s="495"/>
      <c r="E286" s="493">
        <f>+'ARR-Summary'!I53</f>
        <v>0</v>
      </c>
      <c r="F286" s="495"/>
      <c r="G286" s="496"/>
      <c r="H286" s="496"/>
      <c r="I286" s="505"/>
      <c r="J286" s="493">
        <f t="shared" si="30"/>
        <v>0</v>
      </c>
      <c r="K286" s="376"/>
    </row>
    <row r="287" spans="2:11" x14ac:dyDescent="0.35">
      <c r="B287" s="382">
        <f t="shared" si="31"/>
        <v>6</v>
      </c>
      <c r="C287" s="494" t="s">
        <v>152</v>
      </c>
      <c r="D287" s="492"/>
      <c r="E287" s="493">
        <f>+'ARR-Summary'!I54</f>
        <v>0.23153751</v>
      </c>
      <c r="F287" s="492"/>
      <c r="G287" s="435"/>
      <c r="H287" s="435"/>
      <c r="I287" s="492"/>
      <c r="J287" s="493">
        <f t="shared" si="30"/>
        <v>0.23153751</v>
      </c>
      <c r="K287" s="376"/>
    </row>
    <row r="288" spans="2:11" x14ac:dyDescent="0.35">
      <c r="B288" s="382">
        <f t="shared" si="31"/>
        <v>7</v>
      </c>
      <c r="C288" s="494" t="s">
        <v>153</v>
      </c>
      <c r="D288" s="492"/>
      <c r="E288" s="493">
        <f>+'ARR-Summary'!I55</f>
        <v>0</v>
      </c>
      <c r="F288" s="418"/>
      <c r="G288" s="435"/>
      <c r="H288" s="435"/>
      <c r="I288" s="418"/>
      <c r="J288" s="493">
        <f t="shared" si="30"/>
        <v>0</v>
      </c>
      <c r="K288" s="376"/>
    </row>
    <row r="289" spans="2:11" x14ac:dyDescent="0.35">
      <c r="B289" s="382">
        <f t="shared" si="31"/>
        <v>8</v>
      </c>
      <c r="C289" s="494" t="s">
        <v>141</v>
      </c>
      <c r="D289" s="492"/>
      <c r="E289" s="493">
        <f>+'ARR-Summary'!I56</f>
        <v>5.8778204685585823E-3</v>
      </c>
      <c r="F289" s="418"/>
      <c r="G289" s="435"/>
      <c r="H289" s="435"/>
      <c r="I289" s="418"/>
      <c r="J289" s="493">
        <f t="shared" si="30"/>
        <v>5.8778204685585823E-3</v>
      </c>
      <c r="K289" s="376"/>
    </row>
    <row r="290" spans="2:11" x14ac:dyDescent="0.35">
      <c r="B290" s="382">
        <f t="shared" si="31"/>
        <v>9</v>
      </c>
      <c r="C290" s="494" t="s">
        <v>154</v>
      </c>
      <c r="D290" s="492"/>
      <c r="E290" s="493">
        <f>+'ARR-Summary'!I57</f>
        <v>1.247478358</v>
      </c>
      <c r="F290" s="492"/>
      <c r="G290" s="435"/>
      <c r="H290" s="435"/>
      <c r="I290" s="492"/>
      <c r="J290" s="493">
        <f t="shared" si="30"/>
        <v>1.247478358</v>
      </c>
      <c r="K290" s="376"/>
    </row>
    <row r="291" spans="2:11" x14ac:dyDescent="0.35">
      <c r="B291" s="382">
        <f t="shared" si="31"/>
        <v>10</v>
      </c>
      <c r="C291" s="494" t="s">
        <v>155</v>
      </c>
      <c r="D291" s="492"/>
      <c r="E291" s="493">
        <f>+'ARR-Summary'!I58</f>
        <v>6.4282559000000003E-2</v>
      </c>
      <c r="F291" s="492"/>
      <c r="G291" s="435"/>
      <c r="H291" s="435"/>
      <c r="I291" s="492"/>
      <c r="J291" s="493">
        <f t="shared" si="30"/>
        <v>6.4282559000000003E-2</v>
      </c>
      <c r="K291" s="376"/>
    </row>
    <row r="292" spans="2:11" x14ac:dyDescent="0.35">
      <c r="B292" s="382">
        <f t="shared" si="31"/>
        <v>11</v>
      </c>
      <c r="C292" s="61" t="s">
        <v>1239</v>
      </c>
      <c r="D292" s="492"/>
      <c r="E292" s="493">
        <f>+'ARR-Summary'!I59</f>
        <v>0</v>
      </c>
      <c r="F292" s="492"/>
      <c r="G292" s="435"/>
      <c r="H292" s="435"/>
      <c r="I292" s="492"/>
      <c r="J292" s="493">
        <f t="shared" si="30"/>
        <v>0</v>
      </c>
      <c r="K292" s="376"/>
    </row>
    <row r="293" spans="2:11" x14ac:dyDescent="0.35">
      <c r="B293" s="382">
        <f t="shared" si="31"/>
        <v>12</v>
      </c>
      <c r="C293" s="61" t="s">
        <v>1354</v>
      </c>
      <c r="D293" s="492"/>
      <c r="E293" s="493">
        <f>+'ARR-Summary'!I60</f>
        <v>0.110465919</v>
      </c>
      <c r="F293" s="492"/>
      <c r="G293" s="435"/>
      <c r="H293" s="435"/>
      <c r="I293" s="492"/>
      <c r="J293" s="493">
        <f t="shared" si="30"/>
        <v>0.110465919</v>
      </c>
      <c r="K293" s="376"/>
    </row>
    <row r="294" spans="2:11" x14ac:dyDescent="0.35">
      <c r="B294" s="382">
        <f t="shared" si="31"/>
        <v>13</v>
      </c>
      <c r="C294" s="491" t="s">
        <v>64</v>
      </c>
      <c r="D294" s="492"/>
      <c r="E294" s="493">
        <f>+'ARR-Summary'!I61</f>
        <v>0</v>
      </c>
      <c r="F294" s="492"/>
      <c r="G294" s="419"/>
      <c r="H294" s="419"/>
      <c r="I294" s="492"/>
      <c r="J294" s="493">
        <f t="shared" si="30"/>
        <v>0</v>
      </c>
      <c r="K294" s="376"/>
    </row>
    <row r="295" spans="2:11" x14ac:dyDescent="0.35">
      <c r="B295" s="382">
        <f t="shared" si="31"/>
        <v>14</v>
      </c>
      <c r="C295" s="426" t="s">
        <v>142</v>
      </c>
      <c r="D295" s="499"/>
      <c r="E295" s="500">
        <f t="shared" ref="E295:J295" si="32">SUM(E282:E294)</f>
        <v>16.095351116765226</v>
      </c>
      <c r="F295" s="500">
        <f t="shared" si="32"/>
        <v>0</v>
      </c>
      <c r="G295" s="500">
        <f t="shared" si="32"/>
        <v>0</v>
      </c>
      <c r="H295" s="500">
        <f t="shared" si="32"/>
        <v>0</v>
      </c>
      <c r="I295" s="500">
        <f t="shared" si="32"/>
        <v>0</v>
      </c>
      <c r="J295" s="500">
        <f t="shared" si="32"/>
        <v>16.095351116765226</v>
      </c>
      <c r="K295" s="376"/>
    </row>
    <row r="296" spans="2:11" x14ac:dyDescent="0.35">
      <c r="B296" s="382">
        <f t="shared" si="31"/>
        <v>15</v>
      </c>
      <c r="C296" s="491" t="s">
        <v>143</v>
      </c>
      <c r="D296" s="492"/>
      <c r="E296" s="493">
        <f>+'ARR-Summary'!I64</f>
        <v>0.15568037031348023</v>
      </c>
      <c r="F296" s="492"/>
      <c r="G296" s="419"/>
      <c r="H296" s="419"/>
      <c r="I296" s="492"/>
      <c r="J296" s="493">
        <f>+E296</f>
        <v>0.15568037031348023</v>
      </c>
      <c r="K296" s="376"/>
    </row>
    <row r="297" spans="2:11" x14ac:dyDescent="0.35">
      <c r="B297" s="382">
        <f t="shared" si="31"/>
        <v>16</v>
      </c>
      <c r="C297" s="426" t="s">
        <v>144</v>
      </c>
      <c r="D297" s="499"/>
      <c r="E297" s="500">
        <f t="shared" ref="E297:J297" si="33">+E295+E296</f>
        <v>16.251031487078706</v>
      </c>
      <c r="F297" s="500">
        <f t="shared" si="33"/>
        <v>0</v>
      </c>
      <c r="G297" s="500">
        <f t="shared" si="33"/>
        <v>0</v>
      </c>
      <c r="H297" s="500">
        <f t="shared" si="33"/>
        <v>0</v>
      </c>
      <c r="I297" s="500">
        <f t="shared" si="33"/>
        <v>0</v>
      </c>
      <c r="J297" s="500">
        <f t="shared" si="33"/>
        <v>16.251031487078706</v>
      </c>
      <c r="K297" s="376"/>
    </row>
    <row r="298" spans="2:11" x14ac:dyDescent="0.35">
      <c r="B298" s="382">
        <f t="shared" si="31"/>
        <v>17</v>
      </c>
      <c r="C298" s="491" t="s">
        <v>145</v>
      </c>
      <c r="D298" s="492"/>
      <c r="E298" s="493">
        <f>+'ARR-Summary'!I66</f>
        <v>1.5217543900000001</v>
      </c>
      <c r="F298" s="418"/>
      <c r="G298" s="419"/>
      <c r="H298" s="419"/>
      <c r="I298" s="418"/>
      <c r="J298" s="493">
        <f>+E298</f>
        <v>1.5217543900000001</v>
      </c>
      <c r="K298" s="376"/>
    </row>
    <row r="299" spans="2:11" x14ac:dyDescent="0.35">
      <c r="B299" s="382">
        <f t="shared" si="31"/>
        <v>18</v>
      </c>
      <c r="C299" s="491" t="s">
        <v>146</v>
      </c>
      <c r="D299" s="492"/>
      <c r="E299" s="493">
        <f>+'ARR-Summary'!I67</f>
        <v>0</v>
      </c>
      <c r="F299" s="418"/>
      <c r="G299" s="419"/>
      <c r="H299" s="419"/>
      <c r="I299" s="418"/>
      <c r="J299" s="493">
        <f>+E299</f>
        <v>0</v>
      </c>
      <c r="K299" s="376"/>
    </row>
    <row r="300" spans="2:11" x14ac:dyDescent="0.35">
      <c r="B300" s="382">
        <f t="shared" si="31"/>
        <v>19</v>
      </c>
      <c r="C300" s="491" t="s">
        <v>156</v>
      </c>
      <c r="D300" s="492"/>
      <c r="E300" s="493">
        <f>+'ARR-Summary'!I68</f>
        <v>0</v>
      </c>
      <c r="F300" s="418"/>
      <c r="G300" s="419"/>
      <c r="H300" s="419"/>
      <c r="I300" s="418"/>
      <c r="J300" s="493">
        <f>+E300</f>
        <v>0</v>
      </c>
      <c r="K300" s="376"/>
    </row>
    <row r="301" spans="2:11" x14ac:dyDescent="0.35">
      <c r="B301" s="382">
        <f t="shared" si="31"/>
        <v>20</v>
      </c>
      <c r="C301" s="491" t="s">
        <v>157</v>
      </c>
      <c r="D301" s="492"/>
      <c r="E301" s="493">
        <f>+'ARR-Summary'!I69</f>
        <v>0</v>
      </c>
      <c r="F301" s="418"/>
      <c r="G301" s="435"/>
      <c r="H301" s="435"/>
      <c r="I301" s="418"/>
      <c r="J301" s="493">
        <f>+E301</f>
        <v>0</v>
      </c>
      <c r="K301" s="376"/>
    </row>
    <row r="302" spans="2:11" x14ac:dyDescent="0.35">
      <c r="B302" s="382"/>
      <c r="C302" s="491"/>
      <c r="D302" s="492"/>
      <c r="E302" s="493"/>
      <c r="F302" s="418"/>
      <c r="G302" s="435"/>
      <c r="H302" s="435"/>
      <c r="I302" s="418"/>
      <c r="J302" s="493"/>
      <c r="K302" s="506"/>
    </row>
    <row r="303" spans="2:11" x14ac:dyDescent="0.35">
      <c r="B303" s="447" t="s">
        <v>226</v>
      </c>
      <c r="C303" s="426" t="s">
        <v>158</v>
      </c>
      <c r="D303" s="499"/>
      <c r="E303" s="500">
        <f t="shared" ref="E303:J303" si="34">+E297-SUM(E298:E301)</f>
        <v>14.729277097078706</v>
      </c>
      <c r="F303" s="500">
        <f t="shared" si="34"/>
        <v>0</v>
      </c>
      <c r="G303" s="500">
        <f t="shared" si="34"/>
        <v>0</v>
      </c>
      <c r="H303" s="500">
        <f t="shared" si="34"/>
        <v>0</v>
      </c>
      <c r="I303" s="500">
        <f t="shared" si="34"/>
        <v>0</v>
      </c>
      <c r="J303" s="500">
        <f t="shared" si="34"/>
        <v>14.729277097078706</v>
      </c>
      <c r="K303" s="376"/>
    </row>
    <row r="304" spans="2:11" x14ac:dyDescent="0.35">
      <c r="B304" s="447"/>
      <c r="C304" s="419"/>
      <c r="D304" s="435"/>
      <c r="E304" s="493"/>
      <c r="F304" s="435"/>
      <c r="G304" s="435"/>
      <c r="H304" s="435"/>
      <c r="I304" s="435"/>
      <c r="J304" s="493"/>
      <c r="K304" s="376"/>
    </row>
    <row r="305" spans="2:11" x14ac:dyDescent="0.35">
      <c r="B305" s="502" t="s">
        <v>228</v>
      </c>
      <c r="C305" s="419" t="s">
        <v>834</v>
      </c>
      <c r="D305" s="419"/>
      <c r="E305" s="500"/>
      <c r="F305" s="419"/>
      <c r="G305" s="419"/>
      <c r="H305" s="419"/>
      <c r="I305" s="419"/>
      <c r="J305" s="493"/>
      <c r="K305" s="376"/>
    </row>
    <row r="306" spans="2:11" x14ac:dyDescent="0.35">
      <c r="B306" s="501">
        <f>+B301+1</f>
        <v>21</v>
      </c>
      <c r="C306" s="494" t="s">
        <v>835</v>
      </c>
      <c r="D306" s="435"/>
      <c r="E306" s="493">
        <f>+'ARR-Summary'!I$83</f>
        <v>20.046621716524697</v>
      </c>
      <c r="F306" s="435"/>
      <c r="G306" s="435"/>
      <c r="H306" s="435"/>
      <c r="I306" s="435"/>
      <c r="J306" s="493">
        <f>+E306</f>
        <v>20.046621716524697</v>
      </c>
      <c r="K306" s="376"/>
    </row>
    <row r="307" spans="2:11" x14ac:dyDescent="0.35">
      <c r="B307" s="501"/>
      <c r="C307" s="494"/>
      <c r="D307" s="435"/>
      <c r="E307" s="493"/>
      <c r="F307" s="435"/>
      <c r="G307" s="435"/>
      <c r="H307" s="435"/>
      <c r="I307" s="435"/>
      <c r="J307" s="493"/>
      <c r="K307" s="506"/>
    </row>
    <row r="308" spans="2:11" x14ac:dyDescent="0.35">
      <c r="B308" s="502" t="s">
        <v>274</v>
      </c>
      <c r="C308" s="504" t="s">
        <v>836</v>
      </c>
      <c r="D308" s="419"/>
      <c r="E308" s="500">
        <f t="shared" ref="E308:J308" si="35">+E303-E306</f>
        <v>-5.3173446194459917</v>
      </c>
      <c r="F308" s="500">
        <f t="shared" si="35"/>
        <v>0</v>
      </c>
      <c r="G308" s="500">
        <f t="shared" si="35"/>
        <v>0</v>
      </c>
      <c r="H308" s="500">
        <f t="shared" si="35"/>
        <v>0</v>
      </c>
      <c r="I308" s="500">
        <f t="shared" si="35"/>
        <v>0</v>
      </c>
      <c r="J308" s="500">
        <f t="shared" si="35"/>
        <v>-5.3173446194459917</v>
      </c>
      <c r="K308" s="506">
        <f>+'ARR-Summary'!I$84-J308</f>
        <v>0</v>
      </c>
    </row>
    <row r="309" spans="2:11" x14ac:dyDescent="0.35">
      <c r="B309" s="1662"/>
      <c r="C309" s="1663"/>
      <c r="D309" s="436"/>
      <c r="E309" s="507"/>
      <c r="F309" s="507"/>
      <c r="G309" s="507"/>
      <c r="H309" s="507"/>
      <c r="I309" s="507"/>
      <c r="J309" s="507"/>
      <c r="K309" s="506"/>
    </row>
    <row r="310" spans="2:11" x14ac:dyDescent="0.35">
      <c r="B310" s="1662"/>
      <c r="C310" s="1663"/>
      <c r="D310" s="436"/>
      <c r="E310" s="507"/>
      <c r="F310" s="507"/>
      <c r="G310" s="507"/>
      <c r="H310" s="507"/>
      <c r="I310" s="507"/>
      <c r="J310" s="507"/>
      <c r="K310" s="506"/>
    </row>
    <row r="311" spans="2:11" x14ac:dyDescent="0.35">
      <c r="B311" s="49" t="s">
        <v>113</v>
      </c>
    </row>
    <row r="312" spans="2:11" x14ac:dyDescent="0.35">
      <c r="B312" s="49"/>
    </row>
    <row r="313" spans="2:11" x14ac:dyDescent="0.35">
      <c r="B313" s="49"/>
      <c r="C313" s="16" t="s">
        <v>553</v>
      </c>
    </row>
    <row r="314" spans="2:11" x14ac:dyDescent="0.35">
      <c r="J314" s="15" t="s">
        <v>110</v>
      </c>
    </row>
    <row r="315" spans="2:11" ht="53" customHeight="1" x14ac:dyDescent="0.35">
      <c r="B315" s="169" t="s">
        <v>1</v>
      </c>
      <c r="C315" s="157" t="s">
        <v>111</v>
      </c>
      <c r="D315" s="98" t="s">
        <v>358</v>
      </c>
      <c r="E315" s="98" t="s">
        <v>186</v>
      </c>
      <c r="F315" s="98" t="s">
        <v>829</v>
      </c>
      <c r="G315" s="98" t="s">
        <v>830</v>
      </c>
      <c r="H315" s="98" t="s">
        <v>831</v>
      </c>
      <c r="I315" s="98" t="s">
        <v>832</v>
      </c>
      <c r="J315" s="98" t="s">
        <v>833</v>
      </c>
    </row>
    <row r="316" spans="2:11" s="16" customFormat="1" ht="13.5" x14ac:dyDescent="0.35">
      <c r="B316" s="382">
        <v>1</v>
      </c>
      <c r="C316" s="491" t="s">
        <v>136</v>
      </c>
      <c r="D316" s="492"/>
      <c r="E316" s="493">
        <f>+'ARR-Summary'!J12</f>
        <v>3.1647316337000002</v>
      </c>
      <c r="F316" s="492"/>
      <c r="G316" s="419"/>
      <c r="H316" s="492"/>
      <c r="I316" s="435"/>
      <c r="J316" s="493">
        <f>+E316</f>
        <v>3.1647316337000002</v>
      </c>
      <c r="K316" s="376"/>
    </row>
    <row r="317" spans="2:11" x14ac:dyDescent="0.35">
      <c r="B317" s="382">
        <f>B316+1</f>
        <v>2</v>
      </c>
      <c r="C317" s="494" t="s">
        <v>137</v>
      </c>
      <c r="D317" s="492"/>
      <c r="E317" s="493">
        <f>+'ARR-Summary'!J13</f>
        <v>3.1558017279791564</v>
      </c>
      <c r="F317" s="492"/>
      <c r="G317" s="435"/>
      <c r="H317" s="435"/>
      <c r="I317" s="492"/>
      <c r="J317" s="493">
        <f>+E317</f>
        <v>3.1558017279791564</v>
      </c>
      <c r="K317" s="376"/>
    </row>
    <row r="318" spans="2:11" x14ac:dyDescent="0.35">
      <c r="B318" s="382">
        <f t="shared" ref="B318:B328" si="36">B317+1</f>
        <v>3</v>
      </c>
      <c r="C318" s="491" t="s">
        <v>52</v>
      </c>
      <c r="D318" s="492"/>
      <c r="E318" s="493">
        <f>+'ARR-Summary'!J14</f>
        <v>3.3765637294690167</v>
      </c>
      <c r="F318" s="492"/>
      <c r="G318" s="435"/>
      <c r="H318" s="435"/>
      <c r="I318" s="492"/>
      <c r="J318" s="493">
        <f>+E318</f>
        <v>3.3765637294690167</v>
      </c>
      <c r="K318" s="376"/>
    </row>
    <row r="319" spans="2:11" x14ac:dyDescent="0.35">
      <c r="B319" s="382">
        <f t="shared" si="36"/>
        <v>4</v>
      </c>
      <c r="C319" s="494" t="s">
        <v>139</v>
      </c>
      <c r="D319" s="495"/>
      <c r="E319" s="493">
        <f>+'ARR-Summary'!J15</f>
        <v>6.18699101915638E-2</v>
      </c>
      <c r="F319" s="495"/>
      <c r="G319" s="496"/>
      <c r="H319" s="496">
        <f>+E319</f>
        <v>6.18699101915638E-2</v>
      </c>
      <c r="I319" s="497"/>
      <c r="J319" s="493">
        <f>+H319/3</f>
        <v>2.0623303397187934E-2</v>
      </c>
      <c r="K319" s="376"/>
    </row>
    <row r="320" spans="2:11" ht="25.5" x14ac:dyDescent="0.35">
      <c r="B320" s="382">
        <f t="shared" si="36"/>
        <v>5</v>
      </c>
      <c r="C320" s="494" t="s">
        <v>140</v>
      </c>
      <c r="D320" s="492"/>
      <c r="E320" s="493">
        <f>+'ARR-Summary'!J16</f>
        <v>4.4022800000000001E-2</v>
      </c>
      <c r="F320" s="492"/>
      <c r="G320" s="435"/>
      <c r="H320" s="435"/>
      <c r="I320" s="492"/>
      <c r="J320" s="493">
        <f>+E320</f>
        <v>4.4022800000000001E-2</v>
      </c>
      <c r="K320" s="376"/>
    </row>
    <row r="321" spans="2:11" x14ac:dyDescent="0.35">
      <c r="B321" s="382">
        <f t="shared" si="36"/>
        <v>6</v>
      </c>
      <c r="C321" s="494" t="s">
        <v>60</v>
      </c>
      <c r="D321" s="492"/>
      <c r="E321" s="493">
        <f>+'ARR-Summary'!J17</f>
        <v>0</v>
      </c>
      <c r="F321" s="418"/>
      <c r="G321" s="435"/>
      <c r="H321" s="435"/>
      <c r="I321" s="418"/>
      <c r="J321" s="493">
        <f>+E321</f>
        <v>0</v>
      </c>
      <c r="K321" s="376"/>
    </row>
    <row r="322" spans="2:11" x14ac:dyDescent="0.35">
      <c r="B322" s="382">
        <f t="shared" si="36"/>
        <v>7</v>
      </c>
      <c r="C322" s="494" t="s">
        <v>141</v>
      </c>
      <c r="D322" s="492"/>
      <c r="E322" s="493">
        <f>+'ARR-Summary'!J18</f>
        <v>0.17260729960239693</v>
      </c>
      <c r="F322" s="492"/>
      <c r="G322" s="435"/>
      <c r="H322" s="435"/>
      <c r="I322" s="492"/>
      <c r="J322" s="493">
        <f>+E322</f>
        <v>0.17260729960239693</v>
      </c>
      <c r="K322" s="376"/>
    </row>
    <row r="323" spans="2:11" x14ac:dyDescent="0.35">
      <c r="B323" s="382">
        <f t="shared" si="36"/>
        <v>8</v>
      </c>
      <c r="C323" s="491" t="s">
        <v>64</v>
      </c>
      <c r="D323" s="492"/>
      <c r="E323" s="493">
        <f>+'ARR-Summary'!J19</f>
        <v>0</v>
      </c>
      <c r="F323" s="492"/>
      <c r="G323" s="435"/>
      <c r="H323" s="435"/>
      <c r="I323" s="492"/>
      <c r="J323" s="493">
        <f>+E323</f>
        <v>0</v>
      </c>
      <c r="K323" s="376"/>
    </row>
    <row r="324" spans="2:11" s="16" customFormat="1" ht="13.5" x14ac:dyDescent="0.35">
      <c r="B324" s="382">
        <f t="shared" si="36"/>
        <v>9</v>
      </c>
      <c r="C324" s="426" t="s">
        <v>142</v>
      </c>
      <c r="D324" s="499"/>
      <c r="E324" s="500">
        <f>SUM(E316:E323)</f>
        <v>9.9755971009421351</v>
      </c>
      <c r="F324" s="499"/>
      <c r="G324" s="435"/>
      <c r="H324" s="435"/>
      <c r="I324" s="499"/>
      <c r="J324" s="500">
        <f>SUM(J316:J323)</f>
        <v>9.9343504941477594</v>
      </c>
      <c r="K324" s="376"/>
    </row>
    <row r="325" spans="2:11" x14ac:dyDescent="0.35">
      <c r="B325" s="382">
        <f t="shared" si="36"/>
        <v>10</v>
      </c>
      <c r="C325" s="491" t="s">
        <v>143</v>
      </c>
      <c r="D325" s="492"/>
      <c r="E325" s="493">
        <f>+'ARR-Summary'!J22</f>
        <v>3.0061588988595824</v>
      </c>
      <c r="F325" s="492"/>
      <c r="G325" s="419"/>
      <c r="H325" s="419"/>
      <c r="I325" s="492"/>
      <c r="J325" s="493">
        <f>+E325</f>
        <v>3.0061588988595824</v>
      </c>
      <c r="K325" s="376"/>
    </row>
    <row r="326" spans="2:11" s="16" customFormat="1" ht="13.5" x14ac:dyDescent="0.35">
      <c r="B326" s="382">
        <f t="shared" si="36"/>
        <v>11</v>
      </c>
      <c r="C326" s="426" t="s">
        <v>144</v>
      </c>
      <c r="D326" s="499"/>
      <c r="E326" s="500">
        <f>+E324+E325</f>
        <v>12.981755999801717</v>
      </c>
      <c r="F326" s="499"/>
      <c r="G326" s="435"/>
      <c r="H326" s="435"/>
      <c r="I326" s="418"/>
      <c r="J326" s="500">
        <f>+J324+J325</f>
        <v>12.940509393007343</v>
      </c>
      <c r="K326" s="376"/>
    </row>
    <row r="327" spans="2:11" s="16" customFormat="1" ht="13.5" x14ac:dyDescent="0.35">
      <c r="B327" s="382">
        <f t="shared" si="36"/>
        <v>12</v>
      </c>
      <c r="C327" s="491" t="s">
        <v>145</v>
      </c>
      <c r="D327" s="492"/>
      <c r="E327" s="493">
        <f>+'ARR-Summary'!J24</f>
        <v>4.81095837E-2</v>
      </c>
      <c r="F327" s="492"/>
      <c r="G327" s="419"/>
      <c r="H327" s="419"/>
      <c r="I327" s="492"/>
      <c r="J327" s="493">
        <f>+E327</f>
        <v>4.81095837E-2</v>
      </c>
      <c r="K327" s="376"/>
    </row>
    <row r="328" spans="2:11" s="16" customFormat="1" ht="13.5" x14ac:dyDescent="0.35">
      <c r="B328" s="382">
        <f t="shared" si="36"/>
        <v>13</v>
      </c>
      <c r="C328" s="491" t="s">
        <v>146</v>
      </c>
      <c r="D328" s="492"/>
      <c r="E328" s="493">
        <f>+'ARR-Summary'!J25</f>
        <v>0</v>
      </c>
      <c r="F328" s="418"/>
      <c r="G328" s="419"/>
      <c r="H328" s="419"/>
      <c r="I328" s="418"/>
      <c r="J328" s="493"/>
      <c r="K328" s="376"/>
    </row>
    <row r="329" spans="2:11" s="16" customFormat="1" ht="13.5" x14ac:dyDescent="0.35">
      <c r="B329" s="501"/>
      <c r="C329" s="491"/>
      <c r="D329" s="492"/>
      <c r="E329" s="493"/>
      <c r="F329" s="418"/>
      <c r="G329" s="419"/>
      <c r="H329" s="419"/>
      <c r="I329" s="418"/>
      <c r="J329" s="493"/>
      <c r="K329" s="376"/>
    </row>
    <row r="330" spans="2:11" s="16" customFormat="1" ht="13.5" x14ac:dyDescent="0.35">
      <c r="B330" s="502" t="s">
        <v>226</v>
      </c>
      <c r="C330" s="426" t="s">
        <v>147</v>
      </c>
      <c r="D330" s="499"/>
      <c r="E330" s="500">
        <f>+E326-E327</f>
        <v>12.933646416101716</v>
      </c>
      <c r="F330" s="499"/>
      <c r="G330" s="419"/>
      <c r="H330" s="419"/>
      <c r="I330" s="499"/>
      <c r="J330" s="500">
        <f>+J326-J327</f>
        <v>12.892399809307342</v>
      </c>
      <c r="K330" s="503"/>
    </row>
    <row r="331" spans="2:11" x14ac:dyDescent="0.35">
      <c r="B331" s="502"/>
      <c r="C331" s="426"/>
      <c r="D331" s="419"/>
      <c r="E331" s="500"/>
      <c r="F331" s="419"/>
      <c r="G331" s="419"/>
      <c r="H331" s="419"/>
      <c r="I331" s="419"/>
      <c r="J331" s="493"/>
      <c r="K331" s="376"/>
    </row>
    <row r="332" spans="2:11" x14ac:dyDescent="0.35">
      <c r="B332" s="502" t="s">
        <v>228</v>
      </c>
      <c r="C332" s="419" t="s">
        <v>834</v>
      </c>
      <c r="D332" s="419"/>
      <c r="E332" s="500"/>
      <c r="F332" s="419"/>
      <c r="G332" s="419"/>
      <c r="H332" s="419"/>
      <c r="I332" s="419"/>
      <c r="J332" s="493"/>
      <c r="K332" s="376"/>
    </row>
    <row r="333" spans="2:11" s="16" customFormat="1" ht="13.5" x14ac:dyDescent="0.35">
      <c r="B333" s="501">
        <v>14</v>
      </c>
      <c r="C333" s="494" t="s">
        <v>835</v>
      </c>
      <c r="D333" s="435"/>
      <c r="E333" s="493">
        <f>+'ARR-Summary'!J$39</f>
        <v>2.6987527027679996</v>
      </c>
      <c r="F333" s="435"/>
      <c r="G333" s="435"/>
      <c r="H333" s="435"/>
      <c r="I333" s="435"/>
      <c r="J333" s="493">
        <f>+E333</f>
        <v>2.6987527027679996</v>
      </c>
      <c r="K333" s="376"/>
    </row>
    <row r="334" spans="2:11" x14ac:dyDescent="0.35">
      <c r="B334" s="501"/>
      <c r="C334" s="494"/>
      <c r="D334" s="435"/>
      <c r="E334" s="493"/>
      <c r="F334" s="435"/>
      <c r="G334" s="435"/>
      <c r="H334" s="435"/>
      <c r="I334" s="435"/>
      <c r="J334" s="493"/>
      <c r="K334" s="376"/>
    </row>
    <row r="335" spans="2:11" x14ac:dyDescent="0.35">
      <c r="B335" s="502" t="s">
        <v>274</v>
      </c>
      <c r="C335" s="504" t="s">
        <v>836</v>
      </c>
      <c r="D335" s="419"/>
      <c r="E335" s="500">
        <f>+E330-E333</f>
        <v>10.234893713333717</v>
      </c>
      <c r="F335" s="419"/>
      <c r="G335" s="419"/>
      <c r="H335" s="419"/>
      <c r="I335" s="419"/>
      <c r="J335" s="500">
        <f>+J330-J333</f>
        <v>10.193647106539343</v>
      </c>
      <c r="K335" s="1661">
        <f>+'ARR-Summary'!J$40-J335</f>
        <v>0</v>
      </c>
    </row>
    <row r="338" spans="2:11" x14ac:dyDescent="0.35">
      <c r="B338" s="49" t="s">
        <v>113</v>
      </c>
    </row>
    <row r="340" spans="2:11" x14ac:dyDescent="0.35">
      <c r="C340" s="16" t="s">
        <v>278</v>
      </c>
      <c r="D340" s="50"/>
      <c r="E340" s="50"/>
      <c r="F340" s="50"/>
      <c r="G340" s="50"/>
      <c r="H340" s="50"/>
      <c r="I340" s="50"/>
    </row>
    <row r="341" spans="2:11" x14ac:dyDescent="0.35">
      <c r="C341" s="69"/>
      <c r="D341" s="50"/>
      <c r="E341" s="50"/>
      <c r="F341" s="50"/>
      <c r="G341" s="50"/>
      <c r="H341" s="50"/>
      <c r="I341" s="50"/>
      <c r="J341" s="15" t="s">
        <v>110</v>
      </c>
    </row>
    <row r="342" spans="2:11" ht="47" customHeight="1" x14ac:dyDescent="0.35">
      <c r="B342" s="169" t="s">
        <v>1</v>
      </c>
      <c r="C342" s="157" t="s">
        <v>111</v>
      </c>
      <c r="D342" s="98" t="s">
        <v>358</v>
      </c>
      <c r="E342" s="98" t="s">
        <v>186</v>
      </c>
      <c r="F342" s="98" t="s">
        <v>829</v>
      </c>
      <c r="G342" s="98" t="s">
        <v>830</v>
      </c>
      <c r="H342" s="98" t="s">
        <v>831</v>
      </c>
      <c r="I342" s="98" t="s">
        <v>832</v>
      </c>
      <c r="J342" s="98" t="s">
        <v>833</v>
      </c>
    </row>
    <row r="343" spans="2:11" ht="25.5" x14ac:dyDescent="0.35">
      <c r="B343" s="382">
        <v>1</v>
      </c>
      <c r="C343" s="491" t="s">
        <v>150</v>
      </c>
      <c r="D343" s="492"/>
      <c r="E343" s="493">
        <f>+'ARR-Summary'!J49</f>
        <v>21.223852761</v>
      </c>
      <c r="F343" s="492"/>
      <c r="G343" s="435"/>
      <c r="H343" s="435"/>
      <c r="I343" s="492"/>
      <c r="J343" s="493">
        <f>+E343</f>
        <v>21.223852761</v>
      </c>
      <c r="K343" s="376"/>
    </row>
    <row r="344" spans="2:11" x14ac:dyDescent="0.35">
      <c r="B344" s="382">
        <f>B343+1</f>
        <v>2</v>
      </c>
      <c r="C344" s="491" t="s">
        <v>136</v>
      </c>
      <c r="D344" s="492"/>
      <c r="E344" s="493">
        <f>+'ARR-Summary'!J50</f>
        <v>1.7040862642999999</v>
      </c>
      <c r="F344" s="492"/>
      <c r="G344" s="419"/>
      <c r="H344" s="492"/>
      <c r="I344" s="419"/>
      <c r="J344" s="493">
        <f t="shared" ref="J344:J356" si="37">+E344</f>
        <v>1.7040862642999999</v>
      </c>
      <c r="K344" s="376"/>
    </row>
    <row r="345" spans="2:11" x14ac:dyDescent="0.35">
      <c r="B345" s="382">
        <f t="shared" ref="B345:B363" si="38">B344+1</f>
        <v>3</v>
      </c>
      <c r="C345" s="494" t="s">
        <v>137</v>
      </c>
      <c r="D345" s="492"/>
      <c r="E345" s="493">
        <f>+'ARR-Summary'!J51</f>
        <v>0.28281842445432775</v>
      </c>
      <c r="F345" s="492"/>
      <c r="G345" s="435"/>
      <c r="H345" s="435"/>
      <c r="I345" s="492"/>
      <c r="J345" s="493">
        <f t="shared" si="37"/>
        <v>0.28281842445432775</v>
      </c>
      <c r="K345" s="376"/>
    </row>
    <row r="346" spans="2:11" x14ac:dyDescent="0.35">
      <c r="B346" s="382">
        <f t="shared" si="38"/>
        <v>4</v>
      </c>
      <c r="C346" s="491" t="s">
        <v>52</v>
      </c>
      <c r="D346" s="492"/>
      <c r="E346" s="493">
        <f>+'ARR-Summary'!J52</f>
        <v>0.15826253090410008</v>
      </c>
      <c r="F346" s="492"/>
      <c r="G346" s="435"/>
      <c r="H346" s="435"/>
      <c r="I346" s="492"/>
      <c r="J346" s="493">
        <f t="shared" si="37"/>
        <v>0.15826253090410008</v>
      </c>
      <c r="K346" s="376"/>
    </row>
    <row r="347" spans="2:11" x14ac:dyDescent="0.35">
      <c r="B347" s="382">
        <f t="shared" si="38"/>
        <v>5</v>
      </c>
      <c r="C347" s="494" t="s">
        <v>139</v>
      </c>
      <c r="D347" s="495"/>
      <c r="E347" s="493">
        <f>+'ARR-Summary'!J53</f>
        <v>0</v>
      </c>
      <c r="F347" s="495"/>
      <c r="G347" s="496"/>
      <c r="H347" s="496"/>
      <c r="I347" s="505"/>
      <c r="J347" s="493">
        <f t="shared" si="37"/>
        <v>0</v>
      </c>
      <c r="K347" s="376"/>
    </row>
    <row r="348" spans="2:11" x14ac:dyDescent="0.35">
      <c r="B348" s="382">
        <f t="shared" si="38"/>
        <v>6</v>
      </c>
      <c r="C348" s="494" t="s">
        <v>152</v>
      </c>
      <c r="D348" s="492"/>
      <c r="E348" s="493">
        <f>+'ARR-Summary'!J54</f>
        <v>0.39620520000000004</v>
      </c>
      <c r="F348" s="492"/>
      <c r="G348" s="435"/>
      <c r="H348" s="435"/>
      <c r="I348" s="492"/>
      <c r="J348" s="493">
        <f t="shared" si="37"/>
        <v>0.39620520000000004</v>
      </c>
      <c r="K348" s="376"/>
    </row>
    <row r="349" spans="2:11" x14ac:dyDescent="0.35">
      <c r="B349" s="382">
        <f t="shared" si="38"/>
        <v>7</v>
      </c>
      <c r="C349" s="494" t="s">
        <v>153</v>
      </c>
      <c r="D349" s="492"/>
      <c r="E349" s="493">
        <f>+'ARR-Summary'!J55</f>
        <v>0</v>
      </c>
      <c r="F349" s="418"/>
      <c r="G349" s="435"/>
      <c r="H349" s="435"/>
      <c r="I349" s="418"/>
      <c r="J349" s="493">
        <f t="shared" si="37"/>
        <v>0</v>
      </c>
      <c r="K349" s="376"/>
    </row>
    <row r="350" spans="2:11" x14ac:dyDescent="0.35">
      <c r="B350" s="382">
        <f t="shared" si="38"/>
        <v>8</v>
      </c>
      <c r="C350" s="494" t="s">
        <v>141</v>
      </c>
      <c r="D350" s="492"/>
      <c r="E350" s="493">
        <f>+'ARR-Summary'!J56</f>
        <v>8.9488814660585812E-3</v>
      </c>
      <c r="F350" s="418"/>
      <c r="G350" s="435"/>
      <c r="H350" s="435"/>
      <c r="I350" s="418"/>
      <c r="J350" s="493">
        <f t="shared" si="37"/>
        <v>8.9488814660585812E-3</v>
      </c>
      <c r="K350" s="376"/>
    </row>
    <row r="351" spans="2:11" x14ac:dyDescent="0.35">
      <c r="B351" s="382">
        <f t="shared" si="38"/>
        <v>9</v>
      </c>
      <c r="C351" s="494" t="s">
        <v>154</v>
      </c>
      <c r="D351" s="492"/>
      <c r="E351" s="493">
        <f>+'ARR-Summary'!J57</f>
        <v>1.825815781</v>
      </c>
      <c r="F351" s="492"/>
      <c r="G351" s="435"/>
      <c r="H351" s="435"/>
      <c r="I351" s="492"/>
      <c r="J351" s="493">
        <f t="shared" si="37"/>
        <v>1.825815781</v>
      </c>
      <c r="K351" s="376"/>
    </row>
    <row r="352" spans="2:11" x14ac:dyDescent="0.35">
      <c r="B352" s="382">
        <f t="shared" si="38"/>
        <v>10</v>
      </c>
      <c r="C352" s="494" t="s">
        <v>155</v>
      </c>
      <c r="D352" s="492"/>
      <c r="E352" s="493">
        <f>+'ARR-Summary'!J58</f>
        <v>3.5238630999999999E-2</v>
      </c>
      <c r="F352" s="492"/>
      <c r="G352" s="435"/>
      <c r="H352" s="435"/>
      <c r="I352" s="492"/>
      <c r="J352" s="493">
        <f t="shared" si="37"/>
        <v>3.5238630999999999E-2</v>
      </c>
      <c r="K352" s="376"/>
    </row>
    <row r="353" spans="2:11" x14ac:dyDescent="0.35">
      <c r="B353" s="382">
        <f t="shared" si="38"/>
        <v>11</v>
      </c>
      <c r="C353" s="61" t="s">
        <v>1239</v>
      </c>
      <c r="D353" s="492"/>
      <c r="E353" s="493">
        <f>+'ARR-Summary'!J59</f>
        <v>0</v>
      </c>
      <c r="F353" s="492"/>
      <c r="G353" s="435"/>
      <c r="H353" s="435"/>
      <c r="I353" s="492"/>
      <c r="J353" s="493">
        <f t="shared" si="37"/>
        <v>0</v>
      </c>
      <c r="K353" s="376"/>
    </row>
    <row r="354" spans="2:11" x14ac:dyDescent="0.35">
      <c r="B354" s="382">
        <f t="shared" si="38"/>
        <v>12</v>
      </c>
      <c r="C354" s="61" t="s">
        <v>1354</v>
      </c>
      <c r="D354" s="492"/>
      <c r="E354" s="493">
        <f>+'ARR-Summary'!J60</f>
        <v>7.2670307000000003E-2</v>
      </c>
      <c r="F354" s="492"/>
      <c r="G354" s="435"/>
      <c r="H354" s="435"/>
      <c r="I354" s="492"/>
      <c r="J354" s="493">
        <f t="shared" si="37"/>
        <v>7.2670307000000003E-2</v>
      </c>
      <c r="K354" s="376"/>
    </row>
    <row r="355" spans="2:11" x14ac:dyDescent="0.35">
      <c r="B355" s="382">
        <f t="shared" si="38"/>
        <v>13</v>
      </c>
      <c r="C355" s="491" t="s">
        <v>64</v>
      </c>
      <c r="D355" s="492"/>
      <c r="E355" s="493">
        <f>+'ARR-Summary'!J61</f>
        <v>0</v>
      </c>
      <c r="F355" s="492"/>
      <c r="G355" s="419"/>
      <c r="H355" s="419"/>
      <c r="I355" s="492"/>
      <c r="J355" s="493">
        <f t="shared" si="37"/>
        <v>0</v>
      </c>
      <c r="K355" s="376"/>
    </row>
    <row r="356" spans="2:11" x14ac:dyDescent="0.35">
      <c r="B356" s="382">
        <f t="shared" si="38"/>
        <v>14</v>
      </c>
      <c r="C356" s="491" t="s">
        <v>1794</v>
      </c>
      <c r="D356" s="492"/>
      <c r="E356" s="493">
        <f>+'ARR-Summary'!J80</f>
        <v>0.21661227011144263</v>
      </c>
      <c r="F356" s="492"/>
      <c r="G356" s="419"/>
      <c r="H356" s="419"/>
      <c r="I356" s="492"/>
      <c r="J356" s="493">
        <f t="shared" si="37"/>
        <v>0.21661227011144263</v>
      </c>
      <c r="K356" s="376"/>
    </row>
    <row r="357" spans="2:11" x14ac:dyDescent="0.35">
      <c r="B357" s="382">
        <f t="shared" si="38"/>
        <v>15</v>
      </c>
      <c r="C357" s="426" t="s">
        <v>142</v>
      </c>
      <c r="D357" s="499"/>
      <c r="E357" s="500">
        <f t="shared" ref="E357:J357" si="39">SUM(E343:E356)</f>
        <v>25.924511051235925</v>
      </c>
      <c r="F357" s="500">
        <f t="shared" si="39"/>
        <v>0</v>
      </c>
      <c r="G357" s="500">
        <f t="shared" si="39"/>
        <v>0</v>
      </c>
      <c r="H357" s="500">
        <f t="shared" si="39"/>
        <v>0</v>
      </c>
      <c r="I357" s="500">
        <f t="shared" si="39"/>
        <v>0</v>
      </c>
      <c r="J357" s="500">
        <f t="shared" si="39"/>
        <v>25.924511051235925</v>
      </c>
      <c r="K357" s="376"/>
    </row>
    <row r="358" spans="2:11" x14ac:dyDescent="0.35">
      <c r="B358" s="382">
        <f t="shared" si="38"/>
        <v>16</v>
      </c>
      <c r="C358" s="491" t="s">
        <v>143</v>
      </c>
      <c r="D358" s="492"/>
      <c r="E358" s="493">
        <f>+'ARR-Summary'!J64</f>
        <v>0.17835236100858493</v>
      </c>
      <c r="F358" s="492"/>
      <c r="G358" s="419"/>
      <c r="H358" s="419"/>
      <c r="I358" s="492"/>
      <c r="J358" s="493">
        <f>+E358</f>
        <v>0.17835236100858493</v>
      </c>
      <c r="K358" s="376"/>
    </row>
    <row r="359" spans="2:11" x14ac:dyDescent="0.35">
      <c r="B359" s="382">
        <f t="shared" si="38"/>
        <v>17</v>
      </c>
      <c r="C359" s="426" t="s">
        <v>144</v>
      </c>
      <c r="D359" s="499"/>
      <c r="E359" s="500">
        <f t="shared" ref="E359:J359" si="40">+E357+E358</f>
        <v>26.10286341224451</v>
      </c>
      <c r="F359" s="500">
        <f t="shared" si="40"/>
        <v>0</v>
      </c>
      <c r="G359" s="500">
        <f t="shared" si="40"/>
        <v>0</v>
      </c>
      <c r="H359" s="500">
        <f t="shared" si="40"/>
        <v>0</v>
      </c>
      <c r="I359" s="500">
        <f t="shared" si="40"/>
        <v>0</v>
      </c>
      <c r="J359" s="500">
        <f t="shared" si="40"/>
        <v>26.10286341224451</v>
      </c>
      <c r="K359" s="376"/>
    </row>
    <row r="360" spans="2:11" x14ac:dyDescent="0.35">
      <c r="B360" s="382">
        <f t="shared" si="38"/>
        <v>18</v>
      </c>
      <c r="C360" s="491" t="s">
        <v>145</v>
      </c>
      <c r="D360" s="492"/>
      <c r="E360" s="493">
        <f>+'ARR-Summary'!J66</f>
        <v>0.85398535330000003</v>
      </c>
      <c r="F360" s="418"/>
      <c r="G360" s="419"/>
      <c r="H360" s="419"/>
      <c r="I360" s="418"/>
      <c r="J360" s="493">
        <f>+E360</f>
        <v>0.85398535330000003</v>
      </c>
      <c r="K360" s="376"/>
    </row>
    <row r="361" spans="2:11" x14ac:dyDescent="0.35">
      <c r="B361" s="382">
        <f t="shared" si="38"/>
        <v>19</v>
      </c>
      <c r="C361" s="491" t="s">
        <v>146</v>
      </c>
      <c r="D361" s="492"/>
      <c r="E361" s="493">
        <f>+'ARR-Summary'!J67</f>
        <v>0</v>
      </c>
      <c r="F361" s="418"/>
      <c r="G361" s="419"/>
      <c r="H361" s="419"/>
      <c r="I361" s="418"/>
      <c r="J361" s="493">
        <f>+E361</f>
        <v>0</v>
      </c>
      <c r="K361" s="376"/>
    </row>
    <row r="362" spans="2:11" x14ac:dyDescent="0.35">
      <c r="B362" s="382">
        <f t="shared" si="38"/>
        <v>20</v>
      </c>
      <c r="C362" s="491" t="s">
        <v>156</v>
      </c>
      <c r="D362" s="492"/>
      <c r="E362" s="493">
        <f>+'ARR-Summary'!J68</f>
        <v>0</v>
      </c>
      <c r="F362" s="418"/>
      <c r="G362" s="419"/>
      <c r="H362" s="419"/>
      <c r="I362" s="418"/>
      <c r="J362" s="493">
        <f>+E362</f>
        <v>0</v>
      </c>
      <c r="K362" s="376"/>
    </row>
    <row r="363" spans="2:11" s="16" customFormat="1" ht="13.5" x14ac:dyDescent="0.35">
      <c r="B363" s="382">
        <f t="shared" si="38"/>
        <v>21</v>
      </c>
      <c r="C363" s="491" t="s">
        <v>157</v>
      </c>
      <c r="D363" s="492"/>
      <c r="E363" s="493">
        <f>+'ARR-Summary'!J69</f>
        <v>0</v>
      </c>
      <c r="F363" s="418"/>
      <c r="G363" s="435"/>
      <c r="H363" s="435"/>
      <c r="I363" s="418"/>
      <c r="J363" s="493">
        <f>+E363</f>
        <v>0</v>
      </c>
      <c r="K363" s="376"/>
    </row>
    <row r="364" spans="2:11" x14ac:dyDescent="0.35">
      <c r="B364" s="382"/>
      <c r="C364" s="491"/>
      <c r="D364" s="492"/>
      <c r="E364" s="493"/>
      <c r="F364" s="418"/>
      <c r="G364" s="435"/>
      <c r="H364" s="435"/>
      <c r="I364" s="418"/>
      <c r="J364" s="493"/>
      <c r="K364" s="506"/>
    </row>
    <row r="365" spans="2:11" x14ac:dyDescent="0.35">
      <c r="B365" s="447" t="s">
        <v>226</v>
      </c>
      <c r="C365" s="426" t="s">
        <v>158</v>
      </c>
      <c r="D365" s="499"/>
      <c r="E365" s="500">
        <f t="shared" ref="E365:J365" si="41">+E359-SUM(E360:E363)</f>
        <v>25.248878058944509</v>
      </c>
      <c r="F365" s="500">
        <f t="shared" si="41"/>
        <v>0</v>
      </c>
      <c r="G365" s="500">
        <f t="shared" si="41"/>
        <v>0</v>
      </c>
      <c r="H365" s="500">
        <f t="shared" si="41"/>
        <v>0</v>
      </c>
      <c r="I365" s="500">
        <f t="shared" si="41"/>
        <v>0</v>
      </c>
      <c r="J365" s="500">
        <f t="shared" si="41"/>
        <v>25.248878058944509</v>
      </c>
      <c r="K365" s="376"/>
    </row>
    <row r="366" spans="2:11" s="16" customFormat="1" ht="13.5" x14ac:dyDescent="0.35">
      <c r="B366" s="447"/>
      <c r="C366" s="419"/>
      <c r="D366" s="435"/>
      <c r="E366" s="493"/>
      <c r="F366" s="435"/>
      <c r="G366" s="435"/>
      <c r="H366" s="435"/>
      <c r="I366" s="435"/>
      <c r="J366" s="493"/>
      <c r="K366" s="376"/>
    </row>
    <row r="367" spans="2:11" x14ac:dyDescent="0.35">
      <c r="B367" s="502" t="s">
        <v>228</v>
      </c>
      <c r="C367" s="419" t="s">
        <v>834</v>
      </c>
      <c r="D367" s="419"/>
      <c r="E367" s="500"/>
      <c r="F367" s="419"/>
      <c r="G367" s="419"/>
      <c r="H367" s="419"/>
      <c r="I367" s="419"/>
      <c r="J367" s="493"/>
      <c r="K367" s="376"/>
    </row>
    <row r="368" spans="2:11" x14ac:dyDescent="0.35">
      <c r="B368" s="501">
        <f>+B363+1</f>
        <v>22</v>
      </c>
      <c r="C368" s="494" t="s">
        <v>835</v>
      </c>
      <c r="D368" s="435"/>
      <c r="E368" s="493">
        <f>+'ARR-Summary'!J$83</f>
        <v>38.171723830581996</v>
      </c>
      <c r="F368" s="435"/>
      <c r="G368" s="435"/>
      <c r="H368" s="435"/>
      <c r="I368" s="435"/>
      <c r="J368" s="493">
        <f>+E368</f>
        <v>38.171723830581996</v>
      </c>
      <c r="K368" s="376"/>
    </row>
    <row r="369" spans="2:11" x14ac:dyDescent="0.35">
      <c r="B369" s="501"/>
      <c r="C369" s="494"/>
      <c r="D369" s="435"/>
      <c r="E369" s="493"/>
      <c r="F369" s="435"/>
      <c r="G369" s="435"/>
      <c r="H369" s="435"/>
      <c r="I369" s="435"/>
      <c r="J369" s="493"/>
      <c r="K369" s="506"/>
    </row>
    <row r="370" spans="2:11" x14ac:dyDescent="0.35">
      <c r="B370" s="502" t="s">
        <v>274</v>
      </c>
      <c r="C370" s="504" t="s">
        <v>836</v>
      </c>
      <c r="D370" s="419"/>
      <c r="E370" s="500">
        <f t="shared" ref="E370:J370" si="42">+E365-E368</f>
        <v>-12.922845771637487</v>
      </c>
      <c r="F370" s="500">
        <f t="shared" si="42"/>
        <v>0</v>
      </c>
      <c r="G370" s="500">
        <f t="shared" si="42"/>
        <v>0</v>
      </c>
      <c r="H370" s="500">
        <f t="shared" si="42"/>
        <v>0</v>
      </c>
      <c r="I370" s="500">
        <f t="shared" si="42"/>
        <v>0</v>
      </c>
      <c r="J370" s="500">
        <f t="shared" si="42"/>
        <v>-12.922845771637487</v>
      </c>
      <c r="K370" s="506">
        <f>+'ARR-Summary'!J$84-J370</f>
        <v>0</v>
      </c>
    </row>
    <row r="371" spans="2:11" x14ac:dyDescent="0.35">
      <c r="B371" s="1662"/>
      <c r="C371" s="1663"/>
      <c r="D371" s="436"/>
      <c r="E371" s="507"/>
      <c r="F371" s="507"/>
      <c r="G371" s="507"/>
      <c r="H371" s="507"/>
      <c r="I371" s="507"/>
      <c r="J371" s="507"/>
      <c r="K371" s="506"/>
    </row>
    <row r="372" spans="2:11" x14ac:dyDescent="0.35">
      <c r="B372" s="1662"/>
      <c r="C372" s="1663"/>
      <c r="D372" s="436"/>
      <c r="E372" s="507"/>
      <c r="F372" s="507"/>
      <c r="G372" s="507"/>
      <c r="H372" s="507"/>
      <c r="I372" s="507"/>
      <c r="J372" s="507"/>
      <c r="K372" s="506"/>
    </row>
    <row r="373" spans="2:11" x14ac:dyDescent="0.35">
      <c r="B373" s="1662"/>
      <c r="C373" s="1663"/>
      <c r="D373" s="436"/>
      <c r="E373" s="507"/>
      <c r="F373" s="507"/>
      <c r="G373" s="507"/>
      <c r="H373" s="507"/>
      <c r="I373" s="507"/>
      <c r="J373" s="507"/>
      <c r="K373" s="506"/>
    </row>
    <row r="374" spans="2:11" x14ac:dyDescent="0.35">
      <c r="B374" s="49" t="s">
        <v>114</v>
      </c>
    </row>
    <row r="375" spans="2:11" x14ac:dyDescent="0.35">
      <c r="B375" s="49"/>
      <c r="C375" s="16" t="s">
        <v>553</v>
      </c>
    </row>
    <row r="376" spans="2:11" x14ac:dyDescent="0.35">
      <c r="J376" s="15" t="s">
        <v>110</v>
      </c>
    </row>
    <row r="377" spans="2:11" ht="53" customHeight="1" x14ac:dyDescent="0.35">
      <c r="B377" s="169" t="s">
        <v>1</v>
      </c>
      <c r="C377" s="157" t="s">
        <v>111</v>
      </c>
      <c r="D377" s="98" t="s">
        <v>358</v>
      </c>
      <c r="E377" s="98" t="s">
        <v>186</v>
      </c>
      <c r="F377" s="98" t="s">
        <v>829</v>
      </c>
      <c r="G377" s="98" t="s">
        <v>830</v>
      </c>
      <c r="H377" s="98" t="s">
        <v>831</v>
      </c>
      <c r="I377" s="98" t="s">
        <v>832</v>
      </c>
      <c r="J377" s="98" t="s">
        <v>833</v>
      </c>
    </row>
    <row r="378" spans="2:11" s="16" customFormat="1" ht="13.5" x14ac:dyDescent="0.35">
      <c r="B378" s="382">
        <v>1</v>
      </c>
      <c r="C378" s="491" t="s">
        <v>136</v>
      </c>
      <c r="D378" s="492"/>
      <c r="E378" s="493">
        <f>+'ARR-Summary'!K12</f>
        <v>4.9056607359499997</v>
      </c>
      <c r="F378" s="492"/>
      <c r="G378" s="419"/>
      <c r="H378" s="492"/>
      <c r="I378" s="435"/>
      <c r="J378" s="493">
        <f>+E378</f>
        <v>4.9056607359499997</v>
      </c>
      <c r="K378" s="376"/>
    </row>
    <row r="379" spans="2:11" x14ac:dyDescent="0.35">
      <c r="B379" s="382">
        <f>B378+1</f>
        <v>2</v>
      </c>
      <c r="C379" s="494" t="s">
        <v>137</v>
      </c>
      <c r="D379" s="492"/>
      <c r="E379" s="493">
        <f>+'ARR-Summary'!K13</f>
        <v>3.1589807008245008</v>
      </c>
      <c r="F379" s="492"/>
      <c r="G379" s="435"/>
      <c r="H379" s="435"/>
      <c r="I379" s="492"/>
      <c r="J379" s="493">
        <f>+E379</f>
        <v>3.1589807008245008</v>
      </c>
      <c r="K379" s="376"/>
    </row>
    <row r="380" spans="2:11" x14ac:dyDescent="0.35">
      <c r="B380" s="382">
        <f t="shared" ref="B380:B390" si="43">B379+1</f>
        <v>3</v>
      </c>
      <c r="C380" s="491" t="s">
        <v>52</v>
      </c>
      <c r="D380" s="492"/>
      <c r="E380" s="493">
        <f>+'ARR-Summary'!K14</f>
        <v>3.0687079387548146</v>
      </c>
      <c r="F380" s="492"/>
      <c r="G380" s="435"/>
      <c r="H380" s="435"/>
      <c r="I380" s="492"/>
      <c r="J380" s="493">
        <f>+E380</f>
        <v>3.0687079387548146</v>
      </c>
      <c r="K380" s="376"/>
    </row>
    <row r="381" spans="2:11" x14ac:dyDescent="0.35">
      <c r="B381" s="382">
        <f t="shared" si="43"/>
        <v>4</v>
      </c>
      <c r="C381" s="494" t="s">
        <v>139</v>
      </c>
      <c r="D381" s="495"/>
      <c r="E381" s="493">
        <f>+'ARR-Summary'!K15</f>
        <v>9.0647674474657915E-3</v>
      </c>
      <c r="F381" s="495"/>
      <c r="G381" s="496"/>
      <c r="H381" s="496">
        <f>+E381</f>
        <v>9.0647674474657915E-3</v>
      </c>
      <c r="I381" s="497"/>
      <c r="J381" s="493">
        <f>+H381/3</f>
        <v>3.021589149155264E-3</v>
      </c>
      <c r="K381" s="376"/>
    </row>
    <row r="382" spans="2:11" ht="25.5" x14ac:dyDescent="0.35">
      <c r="B382" s="382">
        <f t="shared" si="43"/>
        <v>5</v>
      </c>
      <c r="C382" s="494" t="s">
        <v>140</v>
      </c>
      <c r="D382" s="492"/>
      <c r="E382" s="493">
        <f>+'ARR-Summary'!K16</f>
        <v>8.6225510000000005E-2</v>
      </c>
      <c r="F382" s="492"/>
      <c r="G382" s="435"/>
      <c r="H382" s="435"/>
      <c r="I382" s="492"/>
      <c r="J382" s="493">
        <f>+E382</f>
        <v>8.6225510000000005E-2</v>
      </c>
      <c r="K382" s="376"/>
    </row>
    <row r="383" spans="2:11" x14ac:dyDescent="0.35">
      <c r="B383" s="382">
        <f t="shared" si="43"/>
        <v>6</v>
      </c>
      <c r="C383" s="494" t="s">
        <v>60</v>
      </c>
      <c r="D383" s="492"/>
      <c r="E383" s="493">
        <f>+'ARR-Summary'!K17</f>
        <v>0</v>
      </c>
      <c r="F383" s="418"/>
      <c r="G383" s="435"/>
      <c r="H383" s="435"/>
      <c r="I383" s="418"/>
      <c r="J383" s="493">
        <f>+E383</f>
        <v>0</v>
      </c>
      <c r="K383" s="376"/>
    </row>
    <row r="384" spans="2:11" x14ac:dyDescent="0.35">
      <c r="B384" s="382">
        <f t="shared" si="43"/>
        <v>7</v>
      </c>
      <c r="C384" s="494" t="s">
        <v>141</v>
      </c>
      <c r="D384" s="492"/>
      <c r="E384" s="493">
        <f>+'ARR-Summary'!K18</f>
        <v>0.172928206013647</v>
      </c>
      <c r="F384" s="492"/>
      <c r="G384" s="435"/>
      <c r="H384" s="435"/>
      <c r="I384" s="492"/>
      <c r="J384" s="493">
        <f>+E384</f>
        <v>0.172928206013647</v>
      </c>
      <c r="K384" s="376"/>
    </row>
    <row r="385" spans="2:11" x14ac:dyDescent="0.35">
      <c r="B385" s="382">
        <f t="shared" si="43"/>
        <v>8</v>
      </c>
      <c r="C385" s="491" t="s">
        <v>64</v>
      </c>
      <c r="D385" s="492"/>
      <c r="E385" s="493">
        <f>+'ARR-Summary'!K19</f>
        <v>0</v>
      </c>
      <c r="F385" s="492"/>
      <c r="G385" s="435"/>
      <c r="H385" s="435"/>
      <c r="I385" s="492"/>
      <c r="J385" s="493">
        <f>+E385</f>
        <v>0</v>
      </c>
      <c r="K385" s="376"/>
    </row>
    <row r="386" spans="2:11" s="16" customFormat="1" ht="13.5" x14ac:dyDescent="0.35">
      <c r="B386" s="382">
        <f t="shared" si="43"/>
        <v>9</v>
      </c>
      <c r="C386" s="426" t="s">
        <v>142</v>
      </c>
      <c r="D386" s="499"/>
      <c r="E386" s="500">
        <f>SUM(E378:E385)</f>
        <v>11.401567858990429</v>
      </c>
      <c r="F386" s="499"/>
      <c r="G386" s="435"/>
      <c r="H386" s="435"/>
      <c r="I386" s="499"/>
      <c r="J386" s="500">
        <f>SUM(J378:J385)</f>
        <v>11.395524680692118</v>
      </c>
      <c r="K386" s="376"/>
    </row>
    <row r="387" spans="2:11" x14ac:dyDescent="0.35">
      <c r="B387" s="382">
        <f t="shared" si="43"/>
        <v>10</v>
      </c>
      <c r="C387" s="491" t="s">
        <v>143</v>
      </c>
      <c r="D387" s="492"/>
      <c r="E387" s="493">
        <f>+'ARR-Summary'!K22</f>
        <v>3.1130016884081457</v>
      </c>
      <c r="F387" s="492"/>
      <c r="G387" s="419"/>
      <c r="H387" s="419"/>
      <c r="I387" s="492"/>
      <c r="J387" s="493">
        <f>+E387</f>
        <v>3.1130016884081457</v>
      </c>
      <c r="K387" s="376"/>
    </row>
    <row r="388" spans="2:11" s="16" customFormat="1" ht="13.5" x14ac:dyDescent="0.35">
      <c r="B388" s="382">
        <f t="shared" si="43"/>
        <v>11</v>
      </c>
      <c r="C388" s="426" t="s">
        <v>144</v>
      </c>
      <c r="D388" s="499"/>
      <c r="E388" s="500">
        <f>+E386+E387</f>
        <v>14.514569547398574</v>
      </c>
      <c r="F388" s="499"/>
      <c r="G388" s="435"/>
      <c r="H388" s="435"/>
      <c r="I388" s="418"/>
      <c r="J388" s="500">
        <f>+J386+J387</f>
        <v>14.508526369100263</v>
      </c>
      <c r="K388" s="376"/>
    </row>
    <row r="389" spans="2:11" s="16" customFormat="1" ht="13.5" x14ac:dyDescent="0.35">
      <c r="B389" s="382">
        <f t="shared" si="43"/>
        <v>12</v>
      </c>
      <c r="C389" s="491" t="s">
        <v>145</v>
      </c>
      <c r="D389" s="492"/>
      <c r="E389" s="493">
        <f>+'ARR-Summary'!K24</f>
        <v>0.11306312199999999</v>
      </c>
      <c r="F389" s="492"/>
      <c r="G389" s="419"/>
      <c r="H389" s="419"/>
      <c r="I389" s="492"/>
      <c r="J389" s="493">
        <f>+E389</f>
        <v>0.11306312199999999</v>
      </c>
      <c r="K389" s="376"/>
    </row>
    <row r="390" spans="2:11" s="16" customFormat="1" ht="13.5" x14ac:dyDescent="0.35">
      <c r="B390" s="382">
        <f t="shared" si="43"/>
        <v>13</v>
      </c>
      <c r="C390" s="491" t="s">
        <v>146</v>
      </c>
      <c r="D390" s="492"/>
      <c r="E390" s="493">
        <f>+'ARR-Summary'!K25</f>
        <v>0</v>
      </c>
      <c r="F390" s="418"/>
      <c r="G390" s="419"/>
      <c r="H390" s="419"/>
      <c r="I390" s="418"/>
      <c r="J390" s="493"/>
      <c r="K390" s="376"/>
    </row>
    <row r="391" spans="2:11" s="16" customFormat="1" ht="13.5" x14ac:dyDescent="0.35">
      <c r="B391" s="501"/>
      <c r="C391" s="491"/>
      <c r="D391" s="492"/>
      <c r="E391" s="493"/>
      <c r="F391" s="418"/>
      <c r="G391" s="419"/>
      <c r="H391" s="419"/>
      <c r="I391" s="418"/>
      <c r="J391" s="493"/>
      <c r="K391" s="376"/>
    </row>
    <row r="392" spans="2:11" s="16" customFormat="1" ht="13.5" x14ac:dyDescent="0.35">
      <c r="B392" s="502" t="s">
        <v>226</v>
      </c>
      <c r="C392" s="426" t="s">
        <v>147</v>
      </c>
      <c r="D392" s="499"/>
      <c r="E392" s="500">
        <f>+E388-E389</f>
        <v>14.401506425398575</v>
      </c>
      <c r="F392" s="499"/>
      <c r="G392" s="419"/>
      <c r="H392" s="419"/>
      <c r="I392" s="499"/>
      <c r="J392" s="500">
        <f>+J388-J389</f>
        <v>14.395463247100263</v>
      </c>
      <c r="K392" s="503"/>
    </row>
    <row r="393" spans="2:11" x14ac:dyDescent="0.35">
      <c r="B393" s="502"/>
      <c r="C393" s="426"/>
      <c r="D393" s="419"/>
      <c r="E393" s="500"/>
      <c r="F393" s="419"/>
      <c r="G393" s="419"/>
      <c r="H393" s="419"/>
      <c r="I393" s="419"/>
      <c r="J393" s="493"/>
      <c r="K393" s="376"/>
    </row>
    <row r="394" spans="2:11" x14ac:dyDescent="0.35">
      <c r="B394" s="502" t="s">
        <v>228</v>
      </c>
      <c r="C394" s="419" t="s">
        <v>834</v>
      </c>
      <c r="D394" s="419"/>
      <c r="E394" s="500"/>
      <c r="F394" s="419"/>
      <c r="G394" s="419"/>
      <c r="H394" s="419"/>
      <c r="I394" s="419"/>
      <c r="J394" s="493"/>
      <c r="K394" s="376"/>
    </row>
    <row r="395" spans="2:11" s="16" customFormat="1" ht="13.5" x14ac:dyDescent="0.35">
      <c r="B395" s="501">
        <v>14</v>
      </c>
      <c r="C395" s="494" t="s">
        <v>835</v>
      </c>
      <c r="D395" s="435"/>
      <c r="E395" s="493">
        <f>+'ARR-Summary'!K$39</f>
        <v>5.2246419989710002</v>
      </c>
      <c r="F395" s="435"/>
      <c r="G395" s="435"/>
      <c r="H395" s="435"/>
      <c r="I395" s="435"/>
      <c r="J395" s="493">
        <f>+E395</f>
        <v>5.2246419989710002</v>
      </c>
      <c r="K395" s="376"/>
    </row>
    <row r="396" spans="2:11" x14ac:dyDescent="0.35">
      <c r="B396" s="501"/>
      <c r="C396" s="494"/>
      <c r="D396" s="435"/>
      <c r="E396" s="493"/>
      <c r="F396" s="435"/>
      <c r="G396" s="435"/>
      <c r="H396" s="435"/>
      <c r="I396" s="435"/>
      <c r="J396" s="493"/>
      <c r="K396" s="376"/>
    </row>
    <row r="397" spans="2:11" x14ac:dyDescent="0.35">
      <c r="B397" s="502" t="s">
        <v>274</v>
      </c>
      <c r="C397" s="504" t="s">
        <v>836</v>
      </c>
      <c r="D397" s="419"/>
      <c r="E397" s="500">
        <f>+E392-E395</f>
        <v>9.1768644264275743</v>
      </c>
      <c r="F397" s="419"/>
      <c r="G397" s="419"/>
      <c r="H397" s="419"/>
      <c r="I397" s="419"/>
      <c r="J397" s="500">
        <f>+J392-J395</f>
        <v>9.170821248129263</v>
      </c>
      <c r="K397" s="1661">
        <f>+'ARR-Summary'!K$40-J397</f>
        <v>0</v>
      </c>
    </row>
    <row r="400" spans="2:11" x14ac:dyDescent="0.35">
      <c r="B400" s="49" t="s">
        <v>114</v>
      </c>
    </row>
    <row r="402" spans="2:11" x14ac:dyDescent="0.35">
      <c r="C402" s="16" t="s">
        <v>278</v>
      </c>
      <c r="D402" s="50"/>
      <c r="E402" s="50"/>
      <c r="F402" s="50"/>
      <c r="G402" s="50"/>
      <c r="H402" s="50"/>
      <c r="I402" s="50"/>
    </row>
    <row r="403" spans="2:11" x14ac:dyDescent="0.35">
      <c r="C403" s="69"/>
      <c r="D403" s="50"/>
      <c r="E403" s="50"/>
      <c r="F403" s="50"/>
      <c r="G403" s="50"/>
      <c r="H403" s="50"/>
      <c r="I403" s="50"/>
      <c r="J403" s="15" t="s">
        <v>110</v>
      </c>
    </row>
    <row r="404" spans="2:11" ht="47" customHeight="1" x14ac:dyDescent="0.35">
      <c r="B404" s="169" t="s">
        <v>1</v>
      </c>
      <c r="C404" s="157" t="s">
        <v>111</v>
      </c>
      <c r="D404" s="98" t="s">
        <v>358</v>
      </c>
      <c r="E404" s="98" t="s">
        <v>186</v>
      </c>
      <c r="F404" s="98" t="s">
        <v>829</v>
      </c>
      <c r="G404" s="98" t="s">
        <v>830</v>
      </c>
      <c r="H404" s="98" t="s">
        <v>831</v>
      </c>
      <c r="I404" s="98" t="s">
        <v>832</v>
      </c>
      <c r="J404" s="98" t="s">
        <v>833</v>
      </c>
    </row>
    <row r="405" spans="2:11" ht="25.5" x14ac:dyDescent="0.35">
      <c r="B405" s="382">
        <v>1</v>
      </c>
      <c r="C405" s="491" t="s">
        <v>150</v>
      </c>
      <c r="D405" s="492"/>
      <c r="E405" s="493">
        <f>+'ARR-Summary'!K49</f>
        <v>48.259510922520001</v>
      </c>
      <c r="F405" s="492"/>
      <c r="G405" s="435"/>
      <c r="H405" s="435"/>
      <c r="I405" s="492"/>
      <c r="J405" s="493">
        <f>+E405</f>
        <v>48.259510922520001</v>
      </c>
      <c r="K405" s="376"/>
    </row>
    <row r="406" spans="2:11" x14ac:dyDescent="0.35">
      <c r="B406" s="382">
        <f>B405+1</f>
        <v>2</v>
      </c>
      <c r="C406" s="491" t="s">
        <v>136</v>
      </c>
      <c r="D406" s="492"/>
      <c r="E406" s="493">
        <f>+'ARR-Summary'!K50</f>
        <v>2.6415096270499991</v>
      </c>
      <c r="F406" s="492"/>
      <c r="G406" s="419"/>
      <c r="H406" s="492"/>
      <c r="I406" s="419"/>
      <c r="J406" s="493">
        <f t="shared" ref="J406:J417" si="44">+E406</f>
        <v>2.6415096270499991</v>
      </c>
      <c r="K406" s="376"/>
    </row>
    <row r="407" spans="2:11" x14ac:dyDescent="0.35">
      <c r="B407" s="382">
        <f t="shared" ref="B407:B424" si="45">B406+1</f>
        <v>3</v>
      </c>
      <c r="C407" s="494" t="s">
        <v>137</v>
      </c>
      <c r="D407" s="492"/>
      <c r="E407" s="493">
        <f>+'ARR-Summary'!K51</f>
        <v>0.28589177536232302</v>
      </c>
      <c r="F407" s="492"/>
      <c r="G407" s="435"/>
      <c r="H407" s="435"/>
      <c r="I407" s="492"/>
      <c r="J407" s="493">
        <f t="shared" si="44"/>
        <v>0.28589177536232302</v>
      </c>
      <c r="K407" s="376"/>
    </row>
    <row r="408" spans="2:11" x14ac:dyDescent="0.35">
      <c r="B408" s="382">
        <f t="shared" si="45"/>
        <v>4</v>
      </c>
      <c r="C408" s="491" t="s">
        <v>52</v>
      </c>
      <c r="D408" s="492"/>
      <c r="E408" s="493">
        <f>+'ARR-Summary'!K52</f>
        <v>0.13244963504464763</v>
      </c>
      <c r="F408" s="492"/>
      <c r="G408" s="435"/>
      <c r="H408" s="435"/>
      <c r="I408" s="492"/>
      <c r="J408" s="493">
        <f t="shared" si="44"/>
        <v>0.13244963504464763</v>
      </c>
      <c r="K408" s="376"/>
    </row>
    <row r="409" spans="2:11" x14ac:dyDescent="0.35">
      <c r="B409" s="382">
        <f t="shared" si="45"/>
        <v>5</v>
      </c>
      <c r="C409" s="494" t="s">
        <v>139</v>
      </c>
      <c r="D409" s="495"/>
      <c r="E409" s="493">
        <f>+'ARR-Summary'!K53</f>
        <v>0</v>
      </c>
      <c r="F409" s="495"/>
      <c r="G409" s="496"/>
      <c r="H409" s="496"/>
      <c r="I409" s="505"/>
      <c r="J409" s="493">
        <f t="shared" si="44"/>
        <v>0</v>
      </c>
      <c r="K409" s="376"/>
    </row>
    <row r="410" spans="2:11" x14ac:dyDescent="0.35">
      <c r="B410" s="382">
        <f t="shared" si="45"/>
        <v>6</v>
      </c>
      <c r="C410" s="494" t="s">
        <v>152</v>
      </c>
      <c r="D410" s="492"/>
      <c r="E410" s="493">
        <f>+'ARR-Summary'!K54</f>
        <v>0.77602959000000005</v>
      </c>
      <c r="F410" s="492"/>
      <c r="G410" s="435"/>
      <c r="H410" s="435"/>
      <c r="I410" s="492"/>
      <c r="J410" s="493">
        <f t="shared" si="44"/>
        <v>0.77602959000000005</v>
      </c>
      <c r="K410" s="376"/>
    </row>
    <row r="411" spans="2:11" x14ac:dyDescent="0.35">
      <c r="B411" s="382">
        <f t="shared" si="45"/>
        <v>7</v>
      </c>
      <c r="C411" s="494" t="s">
        <v>153</v>
      </c>
      <c r="D411" s="492"/>
      <c r="E411" s="493">
        <f>+'ARR-Summary'!K55</f>
        <v>0</v>
      </c>
      <c r="F411" s="418"/>
      <c r="G411" s="435"/>
      <c r="H411" s="435"/>
      <c r="I411" s="418"/>
      <c r="J411" s="493">
        <f t="shared" si="44"/>
        <v>0</v>
      </c>
      <c r="K411" s="376"/>
    </row>
    <row r="412" spans="2:11" x14ac:dyDescent="0.35">
      <c r="B412" s="382">
        <f t="shared" si="45"/>
        <v>8</v>
      </c>
      <c r="C412" s="494" t="s">
        <v>141</v>
      </c>
      <c r="D412" s="492"/>
      <c r="E412" s="493">
        <f>+'ARR-Summary'!K56</f>
        <v>9.066508534808582E-3</v>
      </c>
      <c r="F412" s="418"/>
      <c r="G412" s="435"/>
      <c r="H412" s="435"/>
      <c r="I412" s="418"/>
      <c r="J412" s="493">
        <f t="shared" si="44"/>
        <v>9.066508534808582E-3</v>
      </c>
      <c r="K412" s="376"/>
    </row>
    <row r="413" spans="2:11" x14ac:dyDescent="0.35">
      <c r="B413" s="382">
        <f t="shared" si="45"/>
        <v>9</v>
      </c>
      <c r="C413" s="494" t="s">
        <v>154</v>
      </c>
      <c r="D413" s="492"/>
      <c r="E413" s="493">
        <f>+'ARR-Summary'!K57</f>
        <v>3.7389622</v>
      </c>
      <c r="F413" s="492"/>
      <c r="G413" s="435"/>
      <c r="H413" s="435"/>
      <c r="I413" s="492"/>
      <c r="J413" s="493">
        <f t="shared" si="44"/>
        <v>3.7389622</v>
      </c>
      <c r="K413" s="376"/>
    </row>
    <row r="414" spans="2:11" x14ac:dyDescent="0.35">
      <c r="B414" s="382">
        <f t="shared" si="45"/>
        <v>10</v>
      </c>
      <c r="C414" s="494" t="s">
        <v>155</v>
      </c>
      <c r="D414" s="492"/>
      <c r="E414" s="493">
        <f>+'ARR-Summary'!K58</f>
        <v>1.5324399999999998E-2</v>
      </c>
      <c r="F414" s="492"/>
      <c r="G414" s="435"/>
      <c r="H414" s="435"/>
      <c r="I414" s="492"/>
      <c r="J414" s="493">
        <f t="shared" si="44"/>
        <v>1.5324399999999998E-2</v>
      </c>
      <c r="K414" s="376"/>
    </row>
    <row r="415" spans="2:11" x14ac:dyDescent="0.35">
      <c r="B415" s="382">
        <f t="shared" si="45"/>
        <v>11</v>
      </c>
      <c r="C415" s="61" t="s">
        <v>1239</v>
      </c>
      <c r="D415" s="492"/>
      <c r="E415" s="493">
        <f>+'ARR-Summary'!K59</f>
        <v>0</v>
      </c>
      <c r="F415" s="492"/>
      <c r="G415" s="435"/>
      <c r="H415" s="435"/>
      <c r="I415" s="492"/>
      <c r="J415" s="493">
        <f t="shared" si="44"/>
        <v>0</v>
      </c>
      <c r="K415" s="376"/>
    </row>
    <row r="416" spans="2:11" x14ac:dyDescent="0.35">
      <c r="B416" s="382">
        <f t="shared" si="45"/>
        <v>12</v>
      </c>
      <c r="C416" s="61" t="s">
        <v>1354</v>
      </c>
      <c r="D416" s="492"/>
      <c r="E416" s="493">
        <f>+'ARR-Summary'!K60</f>
        <v>0.105229266</v>
      </c>
      <c r="F416" s="492"/>
      <c r="G416" s="435"/>
      <c r="H416" s="435"/>
      <c r="I416" s="492"/>
      <c r="J416" s="493">
        <f t="shared" si="44"/>
        <v>0.105229266</v>
      </c>
      <c r="K416" s="376"/>
    </row>
    <row r="417" spans="2:11" x14ac:dyDescent="0.35">
      <c r="B417" s="382">
        <f t="shared" si="45"/>
        <v>13</v>
      </c>
      <c r="C417" s="491" t="s">
        <v>64</v>
      </c>
      <c r="D417" s="492"/>
      <c r="E417" s="493">
        <f>+'ARR-Summary'!K61</f>
        <v>0</v>
      </c>
      <c r="F417" s="492"/>
      <c r="G417" s="419"/>
      <c r="H417" s="419"/>
      <c r="I417" s="492"/>
      <c r="J417" s="493">
        <f t="shared" si="44"/>
        <v>0</v>
      </c>
      <c r="K417" s="376"/>
    </row>
    <row r="418" spans="2:11" x14ac:dyDescent="0.35">
      <c r="B418" s="382">
        <f t="shared" si="45"/>
        <v>14</v>
      </c>
      <c r="C418" s="426" t="s">
        <v>142</v>
      </c>
      <c r="D418" s="499"/>
      <c r="E418" s="500">
        <f t="shared" ref="E418:J418" si="46">SUM(E405:E417)</f>
        <v>55.963973924511784</v>
      </c>
      <c r="F418" s="500">
        <f t="shared" si="46"/>
        <v>0</v>
      </c>
      <c r="G418" s="500">
        <f t="shared" si="46"/>
        <v>0</v>
      </c>
      <c r="H418" s="500">
        <f t="shared" si="46"/>
        <v>0</v>
      </c>
      <c r="I418" s="500">
        <f t="shared" si="46"/>
        <v>0</v>
      </c>
      <c r="J418" s="500">
        <f t="shared" si="46"/>
        <v>55.963973924511784</v>
      </c>
      <c r="K418" s="376"/>
    </row>
    <row r="419" spans="2:11" x14ac:dyDescent="0.35">
      <c r="B419" s="382">
        <f t="shared" si="45"/>
        <v>15</v>
      </c>
      <c r="C419" s="491" t="s">
        <v>143</v>
      </c>
      <c r="D419" s="492"/>
      <c r="E419" s="493">
        <f>+'ARR-Summary'!K64</f>
        <v>0.19094409108723021</v>
      </c>
      <c r="F419" s="492"/>
      <c r="G419" s="419"/>
      <c r="H419" s="419"/>
      <c r="I419" s="492"/>
      <c r="J419" s="493">
        <f>+E419</f>
        <v>0.19094409108723021</v>
      </c>
      <c r="K419" s="376"/>
    </row>
    <row r="420" spans="2:11" x14ac:dyDescent="0.35">
      <c r="B420" s="382">
        <f t="shared" si="45"/>
        <v>16</v>
      </c>
      <c r="C420" s="426" t="s">
        <v>144</v>
      </c>
      <c r="D420" s="499"/>
      <c r="E420" s="500">
        <f t="shared" ref="E420:J420" si="47">+E418+E419</f>
        <v>56.154918015599016</v>
      </c>
      <c r="F420" s="500">
        <f t="shared" si="47"/>
        <v>0</v>
      </c>
      <c r="G420" s="500">
        <f t="shared" si="47"/>
        <v>0</v>
      </c>
      <c r="H420" s="500">
        <f t="shared" si="47"/>
        <v>0</v>
      </c>
      <c r="I420" s="500">
        <f t="shared" si="47"/>
        <v>0</v>
      </c>
      <c r="J420" s="500">
        <f t="shared" si="47"/>
        <v>56.154918015599016</v>
      </c>
      <c r="K420" s="376"/>
    </row>
    <row r="421" spans="2:11" x14ac:dyDescent="0.35">
      <c r="B421" s="382">
        <f t="shared" si="45"/>
        <v>17</v>
      </c>
      <c r="C421" s="491" t="s">
        <v>145</v>
      </c>
      <c r="D421" s="492"/>
      <c r="E421" s="493">
        <f>+'ARR-Summary'!K66</f>
        <v>1.3363390979999998</v>
      </c>
      <c r="F421" s="418"/>
      <c r="G421" s="419"/>
      <c r="H421" s="419"/>
      <c r="I421" s="418"/>
      <c r="J421" s="493">
        <f>+E421</f>
        <v>1.3363390979999998</v>
      </c>
      <c r="K421" s="376"/>
    </row>
    <row r="422" spans="2:11" x14ac:dyDescent="0.35">
      <c r="B422" s="382">
        <f t="shared" si="45"/>
        <v>18</v>
      </c>
      <c r="C422" s="491" t="s">
        <v>146</v>
      </c>
      <c r="D422" s="492"/>
      <c r="E422" s="493">
        <f>+'ARR-Summary'!K67</f>
        <v>0</v>
      </c>
      <c r="F422" s="418"/>
      <c r="G422" s="419"/>
      <c r="H422" s="419"/>
      <c r="I422" s="418"/>
      <c r="J422" s="493">
        <f>+E422</f>
        <v>0</v>
      </c>
      <c r="K422" s="376"/>
    </row>
    <row r="423" spans="2:11" x14ac:dyDescent="0.35">
      <c r="B423" s="382">
        <f t="shared" si="45"/>
        <v>19</v>
      </c>
      <c r="C423" s="491" t="s">
        <v>156</v>
      </c>
      <c r="D423" s="492"/>
      <c r="E423" s="493">
        <f>+'ARR-Summary'!K68</f>
        <v>0</v>
      </c>
      <c r="F423" s="418"/>
      <c r="G423" s="419"/>
      <c r="H423" s="419"/>
      <c r="I423" s="418"/>
      <c r="J423" s="493">
        <f>+E423</f>
        <v>0</v>
      </c>
      <c r="K423" s="376"/>
    </row>
    <row r="424" spans="2:11" s="16" customFormat="1" ht="13.5" x14ac:dyDescent="0.35">
      <c r="B424" s="382">
        <f t="shared" si="45"/>
        <v>20</v>
      </c>
      <c r="C424" s="491" t="s">
        <v>157</v>
      </c>
      <c r="D424" s="492"/>
      <c r="E424" s="493">
        <f>+'ARR-Summary'!K69</f>
        <v>0</v>
      </c>
      <c r="F424" s="418"/>
      <c r="G424" s="435"/>
      <c r="H424" s="435"/>
      <c r="I424" s="418"/>
      <c r="J424" s="493">
        <f>+E424</f>
        <v>0</v>
      </c>
      <c r="K424" s="376"/>
    </row>
    <row r="425" spans="2:11" x14ac:dyDescent="0.35">
      <c r="B425" s="382"/>
      <c r="C425" s="491"/>
      <c r="D425" s="492"/>
      <c r="E425" s="493"/>
      <c r="F425" s="418"/>
      <c r="G425" s="435"/>
      <c r="H425" s="435"/>
      <c r="I425" s="418"/>
      <c r="J425" s="493"/>
      <c r="K425" s="506"/>
    </row>
    <row r="426" spans="2:11" x14ac:dyDescent="0.35">
      <c r="B426" s="447" t="s">
        <v>226</v>
      </c>
      <c r="C426" s="426" t="s">
        <v>158</v>
      </c>
      <c r="D426" s="499"/>
      <c r="E426" s="500">
        <f t="shared" ref="E426:J426" si="48">+E420-SUM(E421:E424)</f>
        <v>54.818578917599012</v>
      </c>
      <c r="F426" s="500">
        <f t="shared" si="48"/>
        <v>0</v>
      </c>
      <c r="G426" s="500">
        <f t="shared" si="48"/>
        <v>0</v>
      </c>
      <c r="H426" s="500">
        <f t="shared" si="48"/>
        <v>0</v>
      </c>
      <c r="I426" s="500">
        <f t="shared" si="48"/>
        <v>0</v>
      </c>
      <c r="J426" s="500">
        <f t="shared" si="48"/>
        <v>54.818578917599012</v>
      </c>
      <c r="K426" s="376"/>
    </row>
    <row r="427" spans="2:11" s="16" customFormat="1" ht="13.5" x14ac:dyDescent="0.35">
      <c r="B427" s="447"/>
      <c r="C427" s="419"/>
      <c r="D427" s="435"/>
      <c r="E427" s="493"/>
      <c r="F427" s="435"/>
      <c r="G427" s="435"/>
      <c r="H427" s="435"/>
      <c r="I427" s="435"/>
      <c r="J427" s="493"/>
      <c r="K427" s="376"/>
    </row>
    <row r="428" spans="2:11" x14ac:dyDescent="0.35">
      <c r="B428" s="502" t="s">
        <v>228</v>
      </c>
      <c r="C428" s="419" t="s">
        <v>834</v>
      </c>
      <c r="D428" s="419"/>
      <c r="E428" s="500"/>
      <c r="F428" s="419"/>
      <c r="G428" s="419"/>
      <c r="H428" s="419"/>
      <c r="I428" s="419"/>
      <c r="J428" s="493"/>
      <c r="K428" s="376"/>
    </row>
    <row r="429" spans="2:11" x14ac:dyDescent="0.35">
      <c r="B429" s="501">
        <f>+B424+1</f>
        <v>21</v>
      </c>
      <c r="C429" s="494" t="s">
        <v>835</v>
      </c>
      <c r="D429" s="435"/>
      <c r="E429" s="493">
        <f>+'ARR-Summary'!K$83</f>
        <v>68.747444840086985</v>
      </c>
      <c r="F429" s="435"/>
      <c r="G429" s="435"/>
      <c r="H429" s="435"/>
      <c r="I429" s="435"/>
      <c r="J429" s="493">
        <f>+E429</f>
        <v>68.747444840086985</v>
      </c>
      <c r="K429" s="376"/>
    </row>
    <row r="430" spans="2:11" x14ac:dyDescent="0.35">
      <c r="B430" s="501"/>
      <c r="C430" s="494"/>
      <c r="D430" s="435"/>
      <c r="E430" s="493"/>
      <c r="F430" s="435"/>
      <c r="G430" s="435"/>
      <c r="H430" s="435"/>
      <c r="I430" s="435"/>
      <c r="J430" s="493"/>
      <c r="K430" s="506"/>
    </row>
    <row r="431" spans="2:11" x14ac:dyDescent="0.35">
      <c r="B431" s="502" t="s">
        <v>274</v>
      </c>
      <c r="C431" s="504" t="s">
        <v>836</v>
      </c>
      <c r="D431" s="419"/>
      <c r="E431" s="500">
        <f t="shared" ref="E431:J431" si="49">+E426-E429</f>
        <v>-13.928865922487972</v>
      </c>
      <c r="F431" s="500">
        <f t="shared" si="49"/>
        <v>0</v>
      </c>
      <c r="G431" s="500">
        <f t="shared" si="49"/>
        <v>0</v>
      </c>
      <c r="H431" s="500">
        <f t="shared" si="49"/>
        <v>0</v>
      </c>
      <c r="I431" s="500">
        <f t="shared" si="49"/>
        <v>0</v>
      </c>
      <c r="J431" s="500">
        <f t="shared" si="49"/>
        <v>-13.928865922487972</v>
      </c>
      <c r="K431" s="506">
        <f>+'ARR-Summary'!K$84-J431</f>
        <v>0</v>
      </c>
    </row>
  </sheetData>
  <pageMargins left="1.1023622047244095" right="0.27559055118110237" top="1.2204724409448819" bottom="0.98425196850393704" header="0.51181102362204722" footer="0.51181102362204722"/>
  <pageSetup paperSize="9" scale="79" fitToHeight="3" orientation="landscape" r:id="rId1"/>
  <headerFooter alignWithMargins="0"/>
  <rowBreaks count="13" manualBreakCount="13">
    <brk id="32" min="1" max="9" man="1"/>
    <brk id="66" min="1" max="9" man="1"/>
    <brk id="94" min="1" max="9" man="1"/>
    <brk id="129" min="1" max="9" man="1"/>
    <brk id="157" min="1" max="9" man="1"/>
    <brk id="189" min="1" max="9" man="1"/>
    <brk id="218" min="1" max="9" man="1"/>
    <brk id="250" min="1" max="9" man="1"/>
    <brk id="276" min="1" max="9" man="1"/>
    <brk id="310" min="1" max="9" man="1"/>
    <brk id="336" min="1" max="9" man="1"/>
    <brk id="372" min="1" max="9" man="1"/>
    <brk id="399" min="1" max="9"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7717B-6EB2-4037-BF1A-C1D85CEAD3A1}">
  <dimension ref="A2:X27"/>
  <sheetViews>
    <sheetView view="pageBreakPreview" zoomScale="120" zoomScaleNormal="100" workbookViewId="0">
      <selection activeCell="H16" sqref="H16"/>
    </sheetView>
  </sheetViews>
  <sheetFormatPr defaultRowHeight="12.75" x14ac:dyDescent="0.35"/>
  <cols>
    <col min="2" max="2" width="13.46484375" customWidth="1"/>
    <col min="3" max="3" width="15.86328125" customWidth="1"/>
    <col min="4" max="4" width="14.6640625" customWidth="1"/>
    <col min="5" max="5" width="13.46484375" customWidth="1"/>
    <col min="6" max="6" width="13.1328125" customWidth="1"/>
  </cols>
  <sheetData>
    <row r="2" spans="2:24" ht="13.5" x14ac:dyDescent="0.35">
      <c r="D2" s="53" t="s">
        <v>838</v>
      </c>
      <c r="F2" s="172"/>
      <c r="G2" s="172"/>
      <c r="H2" s="66"/>
      <c r="I2" s="66"/>
      <c r="J2" s="66"/>
      <c r="K2" s="66"/>
      <c r="L2" s="66"/>
      <c r="M2" s="66"/>
      <c r="N2" s="66"/>
      <c r="O2" s="66"/>
      <c r="P2" s="66"/>
      <c r="Q2" s="66"/>
      <c r="R2" s="66"/>
      <c r="S2" s="66"/>
      <c r="T2" s="66"/>
      <c r="U2" s="66"/>
      <c r="V2" s="66"/>
      <c r="W2" s="66"/>
      <c r="X2" s="66"/>
    </row>
    <row r="3" spans="2:24" ht="13.5" x14ac:dyDescent="0.35">
      <c r="D3" s="53" t="s">
        <v>107</v>
      </c>
      <c r="F3" s="172"/>
      <c r="G3" s="172"/>
      <c r="H3" s="66"/>
      <c r="I3" s="66"/>
      <c r="J3" s="66"/>
      <c r="K3" s="66"/>
      <c r="L3" s="66"/>
      <c r="M3" s="66"/>
      <c r="N3" s="66"/>
      <c r="O3" s="66"/>
      <c r="P3" s="66"/>
      <c r="Q3" s="66"/>
      <c r="R3" s="66"/>
      <c r="S3" s="66"/>
      <c r="T3" s="66"/>
      <c r="U3" s="66"/>
      <c r="V3" s="66"/>
      <c r="W3" s="66"/>
      <c r="X3" s="66"/>
    </row>
    <row r="4" spans="2:24" ht="13.5" x14ac:dyDescent="0.35">
      <c r="D4" s="280" t="s">
        <v>880</v>
      </c>
      <c r="F4" s="281"/>
      <c r="G4" s="281"/>
      <c r="H4" s="353"/>
      <c r="I4" s="353"/>
      <c r="J4" s="353"/>
      <c r="K4" s="353"/>
      <c r="L4" s="353"/>
      <c r="M4" s="353"/>
      <c r="N4" s="353"/>
      <c r="O4" s="353"/>
      <c r="P4" s="353"/>
      <c r="Q4" s="353"/>
      <c r="R4" s="353"/>
      <c r="S4" s="353"/>
      <c r="T4" s="353"/>
      <c r="U4" s="353"/>
      <c r="V4" s="353"/>
      <c r="W4" s="353"/>
      <c r="X4" s="353"/>
    </row>
    <row r="6" spans="2:24" ht="13.5" x14ac:dyDescent="0.35">
      <c r="B6" s="2172" t="s">
        <v>881</v>
      </c>
      <c r="C6" s="2172"/>
      <c r="D6" s="2172"/>
      <c r="E6" s="2172"/>
      <c r="F6" s="2172"/>
    </row>
    <row r="8" spans="2:24" ht="27.6" customHeight="1" x14ac:dyDescent="0.35">
      <c r="B8" s="2173" t="s">
        <v>123</v>
      </c>
      <c r="C8" s="2173"/>
      <c r="D8" s="2173"/>
      <c r="E8" s="2173"/>
      <c r="F8" s="2173"/>
    </row>
    <row r="9" spans="2:24" ht="27" x14ac:dyDescent="0.35">
      <c r="B9" s="354" t="s">
        <v>882</v>
      </c>
      <c r="C9" s="354" t="s">
        <v>883</v>
      </c>
      <c r="D9" s="354" t="s">
        <v>884</v>
      </c>
      <c r="E9" s="354" t="s">
        <v>885</v>
      </c>
      <c r="F9" s="354" t="s">
        <v>886</v>
      </c>
    </row>
    <row r="10" spans="2:24" ht="13.9" x14ac:dyDescent="0.35">
      <c r="B10" s="355"/>
      <c r="C10" s="355"/>
      <c r="D10" s="355"/>
      <c r="E10" s="355"/>
      <c r="F10" s="355"/>
    </row>
    <row r="12" spans="2:24" ht="13.5" x14ac:dyDescent="0.35">
      <c r="B12" s="2173" t="s">
        <v>124</v>
      </c>
      <c r="C12" s="2173"/>
      <c r="D12" s="2173"/>
      <c r="E12" s="2173"/>
      <c r="F12" s="2173"/>
    </row>
    <row r="13" spans="2:24" ht="27" x14ac:dyDescent="0.35">
      <c r="B13" s="354" t="s">
        <v>882</v>
      </c>
      <c r="C13" s="354" t="s">
        <v>883</v>
      </c>
      <c r="D13" s="354" t="s">
        <v>884</v>
      </c>
      <c r="E13" s="354" t="s">
        <v>885</v>
      </c>
      <c r="F13" s="354" t="s">
        <v>886</v>
      </c>
    </row>
    <row r="14" spans="2:24" ht="13.9" x14ac:dyDescent="0.35">
      <c r="B14" s="355"/>
      <c r="C14" s="355"/>
      <c r="D14" s="355"/>
      <c r="E14" s="355"/>
      <c r="F14" s="355"/>
    </row>
    <row r="16" spans="2:24" ht="13.5" x14ac:dyDescent="0.35">
      <c r="B16" s="2173" t="s">
        <v>125</v>
      </c>
      <c r="C16" s="2173"/>
      <c r="D16" s="2173"/>
      <c r="E16" s="2173"/>
      <c r="F16" s="2173"/>
    </row>
    <row r="17" spans="1:6" ht="27" x14ac:dyDescent="0.35">
      <c r="B17" s="354" t="s">
        <v>882</v>
      </c>
      <c r="C17" s="354" t="s">
        <v>883</v>
      </c>
      <c r="D17" s="354" t="s">
        <v>884</v>
      </c>
      <c r="E17" s="354" t="s">
        <v>885</v>
      </c>
      <c r="F17" s="354" t="s">
        <v>886</v>
      </c>
    </row>
    <row r="18" spans="1:6" ht="13.9" x14ac:dyDescent="0.35">
      <c r="B18" s="355"/>
      <c r="C18" s="355"/>
      <c r="D18" s="355"/>
      <c r="E18" s="355"/>
      <c r="F18" s="355"/>
    </row>
    <row r="20" spans="1:6" ht="13.5" x14ac:dyDescent="0.35">
      <c r="B20" s="2173" t="s">
        <v>126</v>
      </c>
      <c r="C20" s="2173"/>
      <c r="D20" s="2173"/>
      <c r="E20" s="2173"/>
      <c r="F20" s="2173"/>
    </row>
    <row r="21" spans="1:6" ht="27" x14ac:dyDescent="0.35">
      <c r="B21" s="354" t="s">
        <v>882</v>
      </c>
      <c r="C21" s="354" t="s">
        <v>883</v>
      </c>
      <c r="D21" s="354" t="s">
        <v>884</v>
      </c>
      <c r="E21" s="354" t="s">
        <v>885</v>
      </c>
      <c r="F21" s="354" t="s">
        <v>886</v>
      </c>
    </row>
    <row r="22" spans="1:6" ht="13.9" x14ac:dyDescent="0.35">
      <c r="B22" s="355"/>
      <c r="C22" s="355"/>
      <c r="D22" s="355"/>
      <c r="E22" s="355"/>
      <c r="F22" s="355"/>
    </row>
    <row r="24" spans="1:6" ht="13.5" x14ac:dyDescent="0.35">
      <c r="B24" s="2173" t="s">
        <v>127</v>
      </c>
      <c r="C24" s="2173"/>
      <c r="D24" s="2173"/>
      <c r="E24" s="2173"/>
      <c r="F24" s="2173"/>
    </row>
    <row r="25" spans="1:6" ht="27" x14ac:dyDescent="0.35">
      <c r="B25" s="354" t="s">
        <v>882</v>
      </c>
      <c r="C25" s="354" t="s">
        <v>883</v>
      </c>
      <c r="D25" s="354" t="s">
        <v>884</v>
      </c>
      <c r="E25" s="354" t="s">
        <v>885</v>
      </c>
      <c r="F25" s="354" t="s">
        <v>886</v>
      </c>
    </row>
    <row r="26" spans="1:6" ht="13.9" x14ac:dyDescent="0.35">
      <c r="B26" s="355"/>
      <c r="C26" s="355"/>
      <c r="D26" s="355"/>
      <c r="E26" s="355"/>
      <c r="F26" s="355"/>
    </row>
    <row r="27" spans="1:6" x14ac:dyDescent="0.35">
      <c r="A27" s="356" t="s">
        <v>887</v>
      </c>
    </row>
  </sheetData>
  <mergeCells count="6">
    <mergeCell ref="B6:F6"/>
    <mergeCell ref="B12:F12"/>
    <mergeCell ref="B16:F16"/>
    <mergeCell ref="B20:F20"/>
    <mergeCell ref="B24:F24"/>
    <mergeCell ref="B8:F8"/>
  </mergeCells>
  <pageMargins left="0.7" right="0.7" top="0.75" bottom="0.75" header="0.3" footer="0.3"/>
  <pageSetup scale="87" orientation="portrait" r:id="rId1"/>
  <colBreaks count="1" manualBreakCount="1">
    <brk id="8"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FE22D-092C-42E6-8DAC-2A2DB2CA7175}">
  <sheetPr>
    <tabColor theme="2" tint="-0.249977111117893"/>
  </sheetPr>
  <dimension ref="A1"/>
  <sheetViews>
    <sheetView workbookViewId="0">
      <selection activeCell="C90" sqref="B90:P113"/>
    </sheetView>
  </sheetViews>
  <sheetFormatPr defaultRowHeight="12.75" x14ac:dyDescent="0.3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D1C4D-D071-4C8D-BCD7-904559E6185E}">
  <dimension ref="B4:C18"/>
  <sheetViews>
    <sheetView showGridLines="0" topLeftCell="A10" workbookViewId="0">
      <selection activeCell="C90" sqref="B90:P113"/>
    </sheetView>
  </sheetViews>
  <sheetFormatPr defaultColWidth="9.1328125" defaultRowHeight="13.5" x14ac:dyDescent="0.35"/>
  <cols>
    <col min="1" max="1" width="9.1328125" style="285"/>
    <col min="2" max="2" width="7" style="292" bestFit="1" customWidth="1"/>
    <col min="3" max="3" width="125.1328125" style="293" customWidth="1"/>
    <col min="4" max="16384" width="9.1328125" style="285"/>
  </cols>
  <sheetData>
    <row r="4" spans="2:3" x14ac:dyDescent="0.35">
      <c r="B4" s="2174" t="s">
        <v>888</v>
      </c>
      <c r="C4" s="2174"/>
    </row>
    <row r="5" spans="2:3" x14ac:dyDescent="0.35">
      <c r="B5" s="286" t="s">
        <v>889</v>
      </c>
      <c r="C5" s="287" t="s">
        <v>782</v>
      </c>
    </row>
    <row r="6" spans="2:3" ht="33.75" customHeight="1" x14ac:dyDescent="0.35">
      <c r="B6" s="288">
        <v>1</v>
      </c>
      <c r="C6" s="289" t="s">
        <v>890</v>
      </c>
    </row>
    <row r="7" spans="2:3" ht="27" x14ac:dyDescent="0.35">
      <c r="B7" s="288">
        <f>B6+1</f>
        <v>2</v>
      </c>
      <c r="C7" s="289" t="s">
        <v>891</v>
      </c>
    </row>
    <row r="8" spans="2:3" x14ac:dyDescent="0.35">
      <c r="B8" s="288">
        <f t="shared" ref="B8:B18" si="0">B7+1</f>
        <v>3</v>
      </c>
      <c r="C8" s="289" t="s">
        <v>892</v>
      </c>
    </row>
    <row r="9" spans="2:3" x14ac:dyDescent="0.35">
      <c r="B9" s="288">
        <f t="shared" si="0"/>
        <v>4</v>
      </c>
      <c r="C9" s="289" t="s">
        <v>893</v>
      </c>
    </row>
    <row r="10" spans="2:3" x14ac:dyDescent="0.35">
      <c r="B10" s="288">
        <f t="shared" si="0"/>
        <v>5</v>
      </c>
      <c r="C10" s="289" t="s">
        <v>894</v>
      </c>
    </row>
    <row r="11" spans="2:3" x14ac:dyDescent="0.35">
      <c r="B11" s="288">
        <f t="shared" si="0"/>
        <v>6</v>
      </c>
      <c r="C11" s="289" t="s">
        <v>895</v>
      </c>
    </row>
    <row r="12" spans="2:3" ht="27" x14ac:dyDescent="0.35">
      <c r="B12" s="288">
        <f t="shared" si="0"/>
        <v>7</v>
      </c>
      <c r="C12" s="289" t="s">
        <v>896</v>
      </c>
    </row>
    <row r="13" spans="2:3" ht="27" x14ac:dyDescent="0.35">
      <c r="B13" s="288">
        <f t="shared" si="0"/>
        <v>8</v>
      </c>
      <c r="C13" s="289" t="s">
        <v>897</v>
      </c>
    </row>
    <row r="14" spans="2:3" ht="27" x14ac:dyDescent="0.35">
      <c r="B14" s="288">
        <f t="shared" si="0"/>
        <v>9</v>
      </c>
      <c r="C14" s="289" t="s">
        <v>898</v>
      </c>
    </row>
    <row r="15" spans="2:3" x14ac:dyDescent="0.35">
      <c r="B15" s="288">
        <f t="shared" si="0"/>
        <v>10</v>
      </c>
      <c r="C15" s="289" t="s">
        <v>899</v>
      </c>
    </row>
    <row r="16" spans="2:3" ht="27" x14ac:dyDescent="0.35">
      <c r="B16" s="288">
        <f t="shared" si="0"/>
        <v>11</v>
      </c>
      <c r="C16" s="289" t="s">
        <v>900</v>
      </c>
    </row>
    <row r="17" spans="2:3" x14ac:dyDescent="0.35">
      <c r="B17" s="288">
        <f t="shared" si="0"/>
        <v>12</v>
      </c>
      <c r="C17" s="289" t="s">
        <v>901</v>
      </c>
    </row>
    <row r="18" spans="2:3" ht="27" x14ac:dyDescent="0.35">
      <c r="B18" s="290">
        <f t="shared" si="0"/>
        <v>13</v>
      </c>
      <c r="C18" s="291" t="s">
        <v>902</v>
      </c>
    </row>
  </sheetData>
  <mergeCells count="1">
    <mergeCell ref="B4:C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Y172"/>
  <sheetViews>
    <sheetView showGridLines="0" topLeftCell="A89" zoomScale="80" zoomScaleNormal="80" zoomScaleSheetLayoutView="80" workbookViewId="0">
      <selection activeCell="E127" sqref="E127:L127"/>
    </sheetView>
  </sheetViews>
  <sheetFormatPr defaultColWidth="9.33203125" defaultRowHeight="13.9" x14ac:dyDescent="0.35"/>
  <cols>
    <col min="1" max="1" width="6.6640625" style="10" customWidth="1"/>
    <col min="2" max="2" width="7" style="10" customWidth="1"/>
    <col min="3" max="3" width="50.6640625" style="50" customWidth="1"/>
    <col min="4" max="4" width="11.6640625" style="50" customWidth="1"/>
    <col min="5" max="8" width="11.53125" style="50" bestFit="1" customWidth="1"/>
    <col min="9" max="10" width="11.53125" style="10" bestFit="1" customWidth="1"/>
    <col min="11" max="11" width="13.46484375" style="10" bestFit="1" customWidth="1"/>
    <col min="12" max="13" width="11.53125" style="10" bestFit="1" customWidth="1"/>
    <col min="14" max="14" width="13.1328125" style="10" bestFit="1" customWidth="1"/>
    <col min="15" max="15" width="12.6640625" style="10" bestFit="1" customWidth="1"/>
    <col min="16" max="16" width="12.33203125" style="10" bestFit="1" customWidth="1"/>
    <col min="17" max="17" width="13.53125" style="10" customWidth="1"/>
    <col min="18" max="19" width="9.33203125" style="10"/>
    <col min="20" max="23" width="11.53125" style="50" bestFit="1" customWidth="1"/>
    <col min="24" max="25" width="11.53125" style="10" bestFit="1" customWidth="1"/>
    <col min="26" max="26" width="13.46484375" style="10" bestFit="1" customWidth="1"/>
    <col min="27" max="28" width="11.53125" style="10" bestFit="1" customWidth="1"/>
    <col min="29" max="29" width="13.1328125" style="10" bestFit="1" customWidth="1"/>
    <col min="30" max="30" width="12.6640625" style="10" bestFit="1" customWidth="1"/>
    <col min="31" max="31" width="12.33203125" style="10" bestFit="1" customWidth="1"/>
    <col min="32" max="33" width="9.33203125" style="10"/>
    <col min="34" max="45" width="11.46484375" style="10" customWidth="1"/>
    <col min="46" max="46" width="9.33203125" style="10"/>
    <col min="47" max="47" width="10.46484375" style="10" bestFit="1" customWidth="1"/>
    <col min="48" max="48" width="11.1328125" style="10" bestFit="1" customWidth="1"/>
    <col min="49" max="49" width="9.53125" style="10" bestFit="1" customWidth="1"/>
    <col min="50" max="50" width="10.19921875" style="10" bestFit="1" customWidth="1"/>
    <col min="51" max="51" width="13.1328125" style="745" bestFit="1" customWidth="1"/>
    <col min="52" max="16384" width="9.33203125" style="10"/>
  </cols>
  <sheetData>
    <row r="2" spans="2:51" x14ac:dyDescent="0.35">
      <c r="B2" s="1937" t="str">
        <f>+Index!$B$2</f>
        <v>Nidar Utilities Panvel LLP</v>
      </c>
      <c r="C2" s="1937"/>
      <c r="D2" s="1937"/>
      <c r="E2" s="1937"/>
      <c r="F2" s="1937"/>
      <c r="G2" s="1937"/>
      <c r="H2" s="1937"/>
      <c r="I2" s="1937"/>
      <c r="J2" s="1937"/>
      <c r="K2" s="1937"/>
      <c r="L2" s="1937"/>
      <c r="M2" s="1937"/>
      <c r="N2" s="1937"/>
      <c r="O2" s="1937"/>
      <c r="P2" s="1937"/>
      <c r="Q2" s="1937"/>
      <c r="T2" s="10"/>
      <c r="U2" s="10"/>
      <c r="V2" s="10"/>
      <c r="W2" s="10"/>
    </row>
    <row r="3" spans="2:51" s="1" customFormat="1" x14ac:dyDescent="0.4">
      <c r="B3" s="1875" t="s">
        <v>107</v>
      </c>
      <c r="C3" s="1875"/>
      <c r="D3" s="1875"/>
      <c r="E3" s="1875"/>
      <c r="F3" s="1875"/>
      <c r="G3" s="1875"/>
      <c r="H3" s="1875"/>
      <c r="I3" s="1875"/>
      <c r="J3" s="1875"/>
      <c r="K3" s="1875"/>
      <c r="L3" s="1875"/>
      <c r="M3" s="1875"/>
      <c r="N3" s="1875"/>
      <c r="O3" s="1875"/>
      <c r="P3" s="1875"/>
      <c r="Q3" s="1875"/>
      <c r="AY3" s="560"/>
    </row>
    <row r="4" spans="2:51" s="1" customFormat="1" x14ac:dyDescent="0.4">
      <c r="B4" s="1875" t="s">
        <v>108</v>
      </c>
      <c r="C4" s="1875"/>
      <c r="D4" s="1875"/>
      <c r="E4" s="1875"/>
      <c r="F4" s="1875"/>
      <c r="G4" s="1875"/>
      <c r="H4" s="1875"/>
      <c r="I4" s="1875"/>
      <c r="J4" s="1875"/>
      <c r="K4" s="1875"/>
      <c r="L4" s="1875"/>
      <c r="M4" s="1875"/>
      <c r="N4" s="1875"/>
      <c r="O4" s="1875"/>
      <c r="P4" s="1875"/>
      <c r="Q4" s="1875"/>
      <c r="AY4" s="560"/>
    </row>
    <row r="8" spans="2:51" x14ac:dyDescent="0.35">
      <c r="C8" s="34" t="s">
        <v>109</v>
      </c>
    </row>
    <row r="9" spans="2:51" x14ac:dyDescent="0.35">
      <c r="Q9" s="15" t="s">
        <v>110</v>
      </c>
      <c r="T9" s="1933" t="s">
        <v>1025</v>
      </c>
      <c r="U9" s="1933"/>
      <c r="V9" s="1933"/>
      <c r="W9" s="1933"/>
      <c r="X9" s="1933"/>
      <c r="Y9" s="1933"/>
      <c r="Z9" s="1933"/>
      <c r="AA9" s="1933"/>
      <c r="AB9" s="1933"/>
      <c r="AC9" s="1933"/>
      <c r="AD9" s="1933"/>
      <c r="AE9" s="1933"/>
      <c r="AH9" s="1933" t="s">
        <v>1025</v>
      </c>
      <c r="AI9" s="1933"/>
      <c r="AJ9" s="1933"/>
      <c r="AK9" s="1933"/>
      <c r="AL9" s="1933"/>
      <c r="AM9" s="1933"/>
      <c r="AN9" s="1933"/>
      <c r="AO9" s="1933"/>
      <c r="AP9" s="1933"/>
      <c r="AQ9" s="1933"/>
      <c r="AR9" s="1933"/>
      <c r="AS9" s="1933"/>
    </row>
    <row r="10" spans="2:51" s="57" customFormat="1" ht="12.75" customHeight="1" x14ac:dyDescent="0.35">
      <c r="B10" s="357" t="s">
        <v>1</v>
      </c>
      <c r="C10" s="98" t="s">
        <v>111</v>
      </c>
      <c r="D10" s="98" t="s">
        <v>3</v>
      </c>
      <c r="E10" s="98" t="s">
        <v>196</v>
      </c>
      <c r="F10" s="98" t="s">
        <v>197</v>
      </c>
      <c r="G10" s="98" t="s">
        <v>198</v>
      </c>
      <c r="H10" s="98" t="s">
        <v>199</v>
      </c>
      <c r="I10" s="358" t="s">
        <v>112</v>
      </c>
      <c r="J10" s="358" t="s">
        <v>113</v>
      </c>
      <c r="K10" s="358" t="s">
        <v>114</v>
      </c>
      <c r="L10" s="1934" t="s">
        <v>1019</v>
      </c>
      <c r="M10" s="1935"/>
      <c r="N10" s="1935"/>
      <c r="O10" s="1935"/>
      <c r="P10" s="1936"/>
      <c r="Q10" s="217" t="s">
        <v>116</v>
      </c>
      <c r="T10" s="98" t="s">
        <v>196</v>
      </c>
      <c r="U10" s="98" t="s">
        <v>197</v>
      </c>
      <c r="V10" s="98" t="s">
        <v>198</v>
      </c>
      <c r="W10" s="98" t="s">
        <v>199</v>
      </c>
      <c r="X10" s="358" t="s">
        <v>112</v>
      </c>
      <c r="Y10" s="358" t="s">
        <v>113</v>
      </c>
      <c r="Z10" s="358" t="s">
        <v>114</v>
      </c>
      <c r="AA10" s="1934" t="s">
        <v>1019</v>
      </c>
      <c r="AB10" s="1935"/>
      <c r="AC10" s="1935"/>
      <c r="AD10" s="1935"/>
      <c r="AE10" s="1936"/>
      <c r="AH10" s="98" t="s">
        <v>196</v>
      </c>
      <c r="AI10" s="98" t="s">
        <v>197</v>
      </c>
      <c r="AJ10" s="98" t="s">
        <v>198</v>
      </c>
      <c r="AK10" s="98" t="s">
        <v>199</v>
      </c>
      <c r="AL10" s="358" t="s">
        <v>112</v>
      </c>
      <c r="AM10" s="358" t="s">
        <v>113</v>
      </c>
      <c r="AN10" s="358" t="s">
        <v>114</v>
      </c>
      <c r="AO10" s="1934" t="s">
        <v>1019</v>
      </c>
      <c r="AP10" s="1935"/>
      <c r="AQ10" s="1935"/>
      <c r="AR10" s="1935"/>
      <c r="AS10" s="1936"/>
      <c r="AY10" s="681"/>
    </row>
    <row r="11" spans="2:51" ht="41.45" customHeight="1" x14ac:dyDescent="0.35">
      <c r="B11" s="361"/>
      <c r="C11" s="178"/>
      <c r="D11" s="178"/>
      <c r="E11" s="1934" t="s">
        <v>117</v>
      </c>
      <c r="F11" s="1935"/>
      <c r="G11" s="1935"/>
      <c r="H11" s="1935"/>
      <c r="I11" s="1935"/>
      <c r="J11" s="1935"/>
      <c r="K11" s="1936"/>
      <c r="L11" s="217" t="s">
        <v>123</v>
      </c>
      <c r="M11" s="217" t="s">
        <v>124</v>
      </c>
      <c r="N11" s="217" t="s">
        <v>125</v>
      </c>
      <c r="O11" s="217" t="s">
        <v>126</v>
      </c>
      <c r="P11" s="217" t="s">
        <v>127</v>
      </c>
      <c r="Q11" s="363"/>
      <c r="T11" s="1934" t="s">
        <v>117</v>
      </c>
      <c r="U11" s="1935"/>
      <c r="V11" s="1935"/>
      <c r="W11" s="1935"/>
      <c r="X11" s="1935"/>
      <c r="Y11" s="1935"/>
      <c r="Z11" s="1936"/>
      <c r="AA11" s="217" t="s">
        <v>123</v>
      </c>
      <c r="AB11" s="217" t="s">
        <v>124</v>
      </c>
      <c r="AC11" s="217" t="s">
        <v>125</v>
      </c>
      <c r="AD11" s="217" t="s">
        <v>126</v>
      </c>
      <c r="AE11" s="217" t="s">
        <v>127</v>
      </c>
      <c r="AH11" s="1934" t="s">
        <v>117</v>
      </c>
      <c r="AI11" s="1935"/>
      <c r="AJ11" s="1935"/>
      <c r="AK11" s="1935"/>
      <c r="AL11" s="1935"/>
      <c r="AM11" s="1935"/>
      <c r="AN11" s="1936"/>
      <c r="AO11" s="217" t="s">
        <v>123</v>
      </c>
      <c r="AP11" s="217" t="s">
        <v>124</v>
      </c>
      <c r="AQ11" s="217" t="s">
        <v>125</v>
      </c>
      <c r="AR11" s="217" t="s">
        <v>126</v>
      </c>
      <c r="AS11" s="217" t="s">
        <v>127</v>
      </c>
    </row>
    <row r="12" spans="2:51" x14ac:dyDescent="0.35">
      <c r="B12" s="58">
        <v>1</v>
      </c>
      <c r="C12" s="152" t="s">
        <v>136</v>
      </c>
      <c r="D12" s="262" t="s">
        <v>25</v>
      </c>
      <c r="E12" s="1241">
        <f>+'F3'!E16</f>
        <v>1.6365304878</v>
      </c>
      <c r="F12" s="1241">
        <f>+'F3'!F16</f>
        <v>2.8627018337781109</v>
      </c>
      <c r="G12" s="1241">
        <f>+'F3'!G16</f>
        <v>2.8698322802499998</v>
      </c>
      <c r="H12" s="1241">
        <f>+'F3'!H16</f>
        <v>3.4037611231000011</v>
      </c>
      <c r="I12" s="1241">
        <f>+'F3'!I16</f>
        <v>3.9814925915563326</v>
      </c>
      <c r="J12" s="1241">
        <f>+'F3'!J16</f>
        <v>3.1647316337000002</v>
      </c>
      <c r="K12" s="1241">
        <f>+'F3'!K16</f>
        <v>4.9056607359499997</v>
      </c>
      <c r="L12" s="1241">
        <f>+'F3'!L16</f>
        <v>5.2942660565512538</v>
      </c>
      <c r="M12" s="1241">
        <f>+'F3'!M16</f>
        <v>5.7166129712070166</v>
      </c>
      <c r="N12" s="1241">
        <f>+'F3'!N16</f>
        <v>6.175818643120417</v>
      </c>
      <c r="O12" s="1241">
        <f>+'F3'!O16</f>
        <v>6.675299049324587</v>
      </c>
      <c r="P12" s="1241">
        <f>+'F3'!P16</f>
        <v>7.2187982142963394</v>
      </c>
      <c r="Q12" s="676"/>
      <c r="T12" s="1241">
        <f>+E12</f>
        <v>1.6365304878</v>
      </c>
      <c r="U12" s="1241">
        <f>+'F3'!F52</f>
        <v>0.40042137990644638</v>
      </c>
      <c r="V12" s="1241">
        <f>+'F3'!G52</f>
        <v>0.56968353429448737</v>
      </c>
      <c r="W12" s="1241">
        <f>+'F3'!H52</f>
        <v>0.58854722377626234</v>
      </c>
      <c r="X12" s="1241">
        <f>+'F3'!I52</f>
        <v>0.77629935586494547</v>
      </c>
      <c r="Y12" s="1241">
        <f>+'F3'!J52</f>
        <v>0.5567991229288255</v>
      </c>
      <c r="Z12" s="1241">
        <f>+'F3'!K52</f>
        <v>1.5834135076825628</v>
      </c>
      <c r="AA12" s="1241">
        <f>+'F3'!L52</f>
        <v>2.5240009593485255</v>
      </c>
      <c r="AB12" s="1241">
        <f>+'F3'!M52</f>
        <v>2.9987764583321788</v>
      </c>
      <c r="AC12" s="1241">
        <f>+'F3'!N52</f>
        <v>3.4852864743110086</v>
      </c>
      <c r="AD12" s="1241">
        <f>+'F3'!O52</f>
        <v>3.9575214823830036</v>
      </c>
      <c r="AE12" s="1241">
        <f>+'F3'!P52</f>
        <v>4.2797660354419325</v>
      </c>
      <c r="AH12" s="1241"/>
      <c r="AI12" s="1241">
        <f>+'F3'!F53</f>
        <v>2.4622804538716645</v>
      </c>
      <c r="AJ12" s="1241">
        <f>+'F3'!G53</f>
        <v>2.3001487459555126</v>
      </c>
      <c r="AK12" s="1241">
        <f>+'F3'!H53</f>
        <v>2.815213899323739</v>
      </c>
      <c r="AL12" s="1241">
        <f>+'F3'!I53</f>
        <v>3.2051932356913873</v>
      </c>
      <c r="AM12" s="1241">
        <f>+'F3'!J53</f>
        <v>2.6079325107711746</v>
      </c>
      <c r="AN12" s="1241">
        <f>+'F3'!K53</f>
        <v>3.3222472282674369</v>
      </c>
      <c r="AO12" s="1241">
        <f>+'F3'!L53</f>
        <v>2.7702650972027283</v>
      </c>
      <c r="AP12" s="1241">
        <f>+'F3'!M53</f>
        <v>2.7178365128748365</v>
      </c>
      <c r="AQ12" s="1241">
        <f>+'F3'!N53</f>
        <v>2.6905321688094079</v>
      </c>
      <c r="AR12" s="1241">
        <f>+'F3'!O53</f>
        <v>2.7177775669415825</v>
      </c>
      <c r="AS12" s="1241">
        <f>+'F3'!P53</f>
        <v>2.9390321788544065</v>
      </c>
      <c r="AU12" s="1418">
        <f t="shared" ref="AU12:AU38" si="0">+SUM(E12:P12)</f>
        <v>53.905505620634059</v>
      </c>
      <c r="AV12" s="1418">
        <f t="shared" ref="AV12:AV38" si="1">SUM(T12:AE12)</f>
        <v>23.357046022070179</v>
      </c>
      <c r="AW12" s="1418">
        <f t="shared" ref="AW12:AW38" si="2">SUM(AH12:AS12)</f>
        <v>30.548459598563877</v>
      </c>
      <c r="AX12" s="660">
        <f t="shared" ref="AX12:AX38" si="3">+AU12-AV12-AW12</f>
        <v>0</v>
      </c>
    </row>
    <row r="13" spans="2:51" ht="27.75" x14ac:dyDescent="0.35">
      <c r="B13" s="58">
        <f>B12+1</f>
        <v>2</v>
      </c>
      <c r="C13" s="61" t="s">
        <v>137</v>
      </c>
      <c r="D13" s="262" t="s">
        <v>138</v>
      </c>
      <c r="E13" s="1241">
        <f>+'F5.1 (E) Exisiting'!E68</f>
        <v>1.22570998</v>
      </c>
      <c r="F13" s="1241">
        <f>+'F5.1 (E) Exisiting'!J68</f>
        <v>2.7690982556663637</v>
      </c>
      <c r="G13" s="1241">
        <f>+'F5.1 (E) Exisiting'!O68</f>
        <v>2.7650085338080106</v>
      </c>
      <c r="H13" s="1241">
        <f>+'F5.1 (E) Exisiting'!T68</f>
        <v>3.1202968223767797</v>
      </c>
      <c r="I13" s="1242">
        <f>+'F5.1 (E) Exisiting'!E82</f>
        <v>3.148131733728825</v>
      </c>
      <c r="J13" s="1243">
        <f>+'F5.1 (E) Exisiting'!J82</f>
        <v>3.1558017279791564</v>
      </c>
      <c r="K13" s="1243">
        <f>+'F5.1 (E) Exisiting'!O82</f>
        <v>3.1589807008245008</v>
      </c>
      <c r="L13" s="1243">
        <f>+'F5.1 (E) Exisiting'!T82+'F5.1 (N) New'!T82</f>
        <v>3.4459621558025231</v>
      </c>
      <c r="M13" s="1243">
        <f>+'F5.1 (E) Exisiting'!E96+'F5.1 (N) New'!E96</f>
        <v>3.457228815192523</v>
      </c>
      <c r="N13" s="1243">
        <f>+'F5.1 (E) Exisiting'!J96+'F5.1 (N) New'!J96</f>
        <v>3.4542406825987961</v>
      </c>
      <c r="O13" s="1243">
        <f>+'F5.1 (E) Exisiting'!O96+'F5.1 (N) New'!O96</f>
        <v>3.4480889907425234</v>
      </c>
      <c r="P13" s="1243">
        <f>+'F5.1 (E) Exisiting'!T96+'F5.1 (N) New'!T96</f>
        <v>3.4477782243425232</v>
      </c>
      <c r="Q13" s="676"/>
      <c r="T13" s="1241">
        <f t="shared" ref="T13:T39" si="4">+E13</f>
        <v>1.22570998</v>
      </c>
      <c r="U13" s="1241">
        <f>+F13*Assum!E$140</f>
        <v>1.7214337275890905</v>
      </c>
      <c r="V13" s="1241">
        <f>+G13*Assum!F$140</f>
        <v>1.6057374843381897</v>
      </c>
      <c r="W13" s="1241">
        <f>+H13*Assum!G$140</f>
        <v>1.8111421342163541</v>
      </c>
      <c r="X13" s="1241">
        <f>+I13*Assum!H$140</f>
        <v>1.8273494399653696</v>
      </c>
      <c r="Y13" s="1241">
        <f>+J13*Assum!I$140</f>
        <v>1.8331139698865597</v>
      </c>
      <c r="Z13" s="1241">
        <f>+K13*Assum!J$140</f>
        <v>1.8350940093433787</v>
      </c>
      <c r="AA13" s="1241">
        <f>+L13*Assum!K$140</f>
        <v>2.001805363004185</v>
      </c>
      <c r="AB13" s="1241">
        <f>+M13*Assum!L$140</f>
        <v>2.0083503156677152</v>
      </c>
      <c r="AC13" s="1241">
        <f>+N13*Assum!M$140</f>
        <v>2.0066144696017862</v>
      </c>
      <c r="AD13" s="1241">
        <f>+O13*Assum!N$140</f>
        <v>2.0030408697789617</v>
      </c>
      <c r="AE13" s="1241">
        <f>+P13*Assum!O$140</f>
        <v>2.002860341433601</v>
      </c>
      <c r="AH13" s="1241"/>
      <c r="AI13" s="1241">
        <f>+F13*Assum!P$140</f>
        <v>1.0476645280772729</v>
      </c>
      <c r="AJ13" s="1241">
        <f>+G13*Assum!Q$140</f>
        <v>1.1592710494698213</v>
      </c>
      <c r="AK13" s="1241">
        <f>+H13*Assum!R$140</f>
        <v>1.3091546881604257</v>
      </c>
      <c r="AL13" s="1241">
        <f>+I13*Assum!S$140</f>
        <v>1.3207822937634552</v>
      </c>
      <c r="AM13" s="1241">
        <f>+J13*Assum!T$140</f>
        <v>1.3226877580925962</v>
      </c>
      <c r="AN13" s="1241">
        <f>+K13*Assum!U$140</f>
        <v>1.3238866914811218</v>
      </c>
      <c r="AO13" s="1241">
        <f>+L13*Assum!V$140</f>
        <v>1.4441567927983376</v>
      </c>
      <c r="AP13" s="1241">
        <f>+M13*Assum!W$140</f>
        <v>1.4488784995248076</v>
      </c>
      <c r="AQ13" s="1241">
        <f>+N13*Assum!X$140</f>
        <v>1.4476262129970097</v>
      </c>
      <c r="AR13" s="1241">
        <f>+O13*Assum!Y$140</f>
        <v>1.4450481209635615</v>
      </c>
      <c r="AS13" s="1241">
        <f>+P13*Assum!Z$140</f>
        <v>1.444917882908922</v>
      </c>
      <c r="AU13" s="1418">
        <f t="shared" si="0"/>
        <v>36.596326623062524</v>
      </c>
      <c r="AV13" s="1418">
        <f t="shared" si="1"/>
        <v>21.882252104825188</v>
      </c>
      <c r="AW13" s="1418">
        <f t="shared" si="2"/>
        <v>14.71407451823733</v>
      </c>
      <c r="AX13" s="660">
        <f t="shared" si="3"/>
        <v>0</v>
      </c>
    </row>
    <row r="14" spans="2:51" x14ac:dyDescent="0.35">
      <c r="B14" s="58">
        <f t="shared" ref="B14:B40" si="5">B13+1</f>
        <v>3</v>
      </c>
      <c r="C14" s="152" t="s">
        <v>52</v>
      </c>
      <c r="D14" s="262" t="s">
        <v>53</v>
      </c>
      <c r="E14" s="1241">
        <f>+'F6'!D24</f>
        <v>2.1021769640539563</v>
      </c>
      <c r="F14" s="1241">
        <f>+'F6'!E24</f>
        <v>4.4640726972573592</v>
      </c>
      <c r="G14" s="1241">
        <f>+'F6'!F24</f>
        <v>4.4105461309108724</v>
      </c>
      <c r="H14" s="1241">
        <f>+'F6'!G24</f>
        <v>3.9717485564537505</v>
      </c>
      <c r="I14" s="1241">
        <f>+'F6'!H24</f>
        <v>3.6841626967063688</v>
      </c>
      <c r="J14" s="1241">
        <f>+'F6'!I24</f>
        <v>3.3765637294690167</v>
      </c>
      <c r="K14" s="1241">
        <f>+'F6'!J24</f>
        <v>3.0687079387548146</v>
      </c>
      <c r="L14" s="1241">
        <f>+'F6'!K24</f>
        <v>2.7522921797312927</v>
      </c>
      <c r="M14" s="1241">
        <f>+'F6'!L24</f>
        <v>2.4227319567464964</v>
      </c>
      <c r="N14" s="1241">
        <f>+'F6'!M24</f>
        <v>2.0825003068459567</v>
      </c>
      <c r="O14" s="1241">
        <f>+'F6'!N24</f>
        <v>1.7406411554699397</v>
      </c>
      <c r="P14" s="1241">
        <f>+'F6'!O24</f>
        <v>1.3991020772576011</v>
      </c>
      <c r="Q14" s="676"/>
      <c r="T14" s="1241">
        <f t="shared" si="4"/>
        <v>2.1021769640539563</v>
      </c>
      <c r="U14" s="1241">
        <f>+F14*Assum!E$140</f>
        <v>2.77512915540051</v>
      </c>
      <c r="V14" s="1241">
        <f>+G14*Assum!F$140</f>
        <v>2.5613589116315234</v>
      </c>
      <c r="W14" s="1241">
        <f>+H14*Assum!G$140</f>
        <v>2.3053579728440838</v>
      </c>
      <c r="X14" s="1241">
        <f>+I14*Assum!H$140</f>
        <v>2.1384914006103641</v>
      </c>
      <c r="Y14" s="1241">
        <f>+J14*Assum!I$140</f>
        <v>1.9613482329466543</v>
      </c>
      <c r="Z14" s="1241">
        <f>+K14*Assum!J$140</f>
        <v>1.7826533582062181</v>
      </c>
      <c r="AA14" s="1241">
        <f>+L14*Assum!K$140</f>
        <v>1.5988432248634117</v>
      </c>
      <c r="AB14" s="1241">
        <f>+M14*Assum!L$140</f>
        <v>1.4073972971439355</v>
      </c>
      <c r="AC14" s="1241">
        <f>+N14*Assum!M$140</f>
        <v>1.2097521952417505</v>
      </c>
      <c r="AD14" s="1241">
        <f>+O14*Assum!N$140</f>
        <v>1.0111616560321877</v>
      </c>
      <c r="AE14" s="1241">
        <f>+P14*Assum!O$140</f>
        <v>0.81275705159109768</v>
      </c>
      <c r="AH14" s="1241"/>
      <c r="AI14" s="1241">
        <f>+F14*Assum!P$140</f>
        <v>1.6889435418568486</v>
      </c>
      <c r="AJ14" s="1241">
        <f>+G14*Assum!Q$140</f>
        <v>1.8491872192793499</v>
      </c>
      <c r="AK14" s="1241">
        <f>+H14*Assum!R$140</f>
        <v>1.6663905836096669</v>
      </c>
      <c r="AL14" s="1241">
        <f>+I14*Assum!S$140</f>
        <v>1.5456712960960044</v>
      </c>
      <c r="AM14" s="1241">
        <f>+J14*Assum!T$140</f>
        <v>1.4152154965223618</v>
      </c>
      <c r="AN14" s="1241">
        <f>+K14*Assum!U$140</f>
        <v>1.2860545805485963</v>
      </c>
      <c r="AO14" s="1241">
        <f>+L14*Assum!V$140</f>
        <v>1.1534489548678808</v>
      </c>
      <c r="AP14" s="1241">
        <f>+M14*Assum!W$140</f>
        <v>1.0153346596025608</v>
      </c>
      <c r="AQ14" s="1241">
        <f>+N14*Assum!X$140</f>
        <v>0.87274811160420607</v>
      </c>
      <c r="AR14" s="1241">
        <f>+O14*Assum!Y$140</f>
        <v>0.72947949943775181</v>
      </c>
      <c r="AS14" s="1241">
        <f>+P14*Assum!Z$140</f>
        <v>0.58634502566650326</v>
      </c>
      <c r="AU14" s="1418">
        <f t="shared" si="0"/>
        <v>35.475246389657421</v>
      </c>
      <c r="AV14" s="1418">
        <f t="shared" si="1"/>
        <v>21.666427420565693</v>
      </c>
      <c r="AW14" s="1418">
        <f t="shared" si="2"/>
        <v>13.80881896909173</v>
      </c>
      <c r="AX14" s="660">
        <f t="shared" si="3"/>
        <v>0</v>
      </c>
    </row>
    <row r="15" spans="2:51" x14ac:dyDescent="0.35">
      <c r="B15" s="58">
        <f t="shared" si="5"/>
        <v>4</v>
      </c>
      <c r="C15" s="61" t="s">
        <v>139</v>
      </c>
      <c r="D15" s="262" t="s">
        <v>55</v>
      </c>
      <c r="E15" s="1241">
        <f>+'F7'!E23</f>
        <v>1.1963686382215582E-2</v>
      </c>
      <c r="F15" s="1241">
        <f>+'F7'!F23</f>
        <v>4.3107786676804462E-2</v>
      </c>
      <c r="G15" s="1241">
        <f>+'F7'!G23</f>
        <v>5.4931949405263206E-2</v>
      </c>
      <c r="H15" s="1241">
        <f>+'F7'!H23</f>
        <v>4.397256275708581E-2</v>
      </c>
      <c r="I15" s="1241">
        <f>+'F7'!I23</f>
        <v>5.6110103453735946E-2</v>
      </c>
      <c r="J15" s="1241">
        <f>+'F7'!J23</f>
        <v>6.18699101915638E-2</v>
      </c>
      <c r="K15" s="1241">
        <f>+'F7'!K23</f>
        <v>9.0647674474657915E-3</v>
      </c>
      <c r="L15" s="1243">
        <f>+'F7'!E74</f>
        <v>5.704476789000805E-2</v>
      </c>
      <c r="M15" s="1243">
        <f ca="1">+'F7'!F74</f>
        <v>0.34388081531911863</v>
      </c>
      <c r="N15" s="1243">
        <f ca="1">+'F7'!G74</f>
        <v>0.40783262857822172</v>
      </c>
      <c r="O15" s="1243">
        <f ca="1">+'F7'!H74</f>
        <v>0.48847244213112534</v>
      </c>
      <c r="P15" s="1243">
        <f ca="1">+'F7'!I74</f>
        <v>0.51082920470552995</v>
      </c>
      <c r="Q15" s="676"/>
      <c r="T15" s="1241">
        <f t="shared" si="4"/>
        <v>1.1963686382215582E-2</v>
      </c>
      <c r="U15" s="1233">
        <f>+F15*Assum!E$145</f>
        <v>9.3236360630816282E-3</v>
      </c>
      <c r="V15" s="1233">
        <f>+G15*Assum!F$145</f>
        <v>3.8116354434445811E-2</v>
      </c>
      <c r="W15" s="1233">
        <f>+H15*Assum!G$145</f>
        <v>3.4635252836058859E-2</v>
      </c>
      <c r="X15" s="1233">
        <f>+I15*Assum!H$145</f>
        <v>4.6755828615010174E-2</v>
      </c>
      <c r="Y15" s="1233">
        <f>+J15*Assum!I$145</f>
        <v>5.3050799518832362E-2</v>
      </c>
      <c r="Z15" s="1233">
        <f>+K15*Assum!J$145</f>
        <v>8.2520524266422798E-3</v>
      </c>
      <c r="AA15" s="1233">
        <f>+L15*Assum!K$145</f>
        <v>5.3093014260549791E-2</v>
      </c>
      <c r="AB15" s="1233">
        <f ca="1">+M15*Assum!L$145</f>
        <v>0.32095679362347435</v>
      </c>
      <c r="AC15" s="1233">
        <f ca="1">+N15*Assum!M$145</f>
        <v>0.38577268070762011</v>
      </c>
      <c r="AD15" s="1233">
        <f ca="1">+O15*Assum!N$145</f>
        <v>0.45940538812682208</v>
      </c>
      <c r="AE15" s="1233">
        <f ca="1">+P15*Assum!O$145</f>
        <v>0.48270819384984981</v>
      </c>
      <c r="AH15" s="1236"/>
      <c r="AI15" s="1233">
        <f>+F15*Assum!P$145</f>
        <v>3.3784150613722835E-2</v>
      </c>
      <c r="AJ15" s="1233">
        <f>+G15*Assum!Q$145</f>
        <v>1.6815594970817381E-2</v>
      </c>
      <c r="AK15" s="1233">
        <f>+H15*Assum!R$145</f>
        <v>9.3373099210269563E-3</v>
      </c>
      <c r="AL15" s="1233">
        <f>+I15*Assum!S$145</f>
        <v>9.3542748387257773E-3</v>
      </c>
      <c r="AM15" s="1233">
        <f>+J15*Assum!T$145</f>
        <v>8.8191106727314277E-3</v>
      </c>
      <c r="AN15" s="1233">
        <f>+K15*Assum!U$145</f>
        <v>8.1271502082351E-4</v>
      </c>
      <c r="AO15" s="1233">
        <f>+L15*Assum!V$145</f>
        <v>3.9517536294582491E-3</v>
      </c>
      <c r="AP15" s="1233">
        <f ca="1">+M15*Assum!W$145</f>
        <v>2.2924021695644239E-2</v>
      </c>
      <c r="AQ15" s="1233">
        <f ca="1">+N15*Assum!X$145</f>
        <v>2.2059947870601573E-2</v>
      </c>
      <c r="AR15" s="1233">
        <f ca="1">+O15*Assum!Y$145</f>
        <v>2.9067054004303192E-2</v>
      </c>
      <c r="AS15" s="1233">
        <f ca="1">+P15*Assum!Z$145</f>
        <v>2.8121010855680251E-2</v>
      </c>
      <c r="AU15" s="1418">
        <f t="shared" ca="1" si="0"/>
        <v>2.0890806249381382</v>
      </c>
      <c r="AV15" s="1418">
        <f t="shared" ca="1" si="1"/>
        <v>1.9040336808446028</v>
      </c>
      <c r="AW15" s="1418">
        <f t="shared" ca="1" si="2"/>
        <v>0.18504694409353539</v>
      </c>
      <c r="AX15" s="660">
        <f t="shared" ca="1" si="3"/>
        <v>0</v>
      </c>
    </row>
    <row r="16" spans="2:51" ht="27.75" x14ac:dyDescent="0.35">
      <c r="B16" s="58">
        <f t="shared" si="5"/>
        <v>5</v>
      </c>
      <c r="C16" s="61" t="s">
        <v>140</v>
      </c>
      <c r="D16" s="262" t="s">
        <v>55</v>
      </c>
      <c r="E16" s="1241">
        <f>+'F7'!E28</f>
        <v>1.1004869E-3</v>
      </c>
      <c r="F16" s="1241">
        <f>+'F7'!F28</f>
        <v>6.1948608000000002E-3</v>
      </c>
      <c r="G16" s="1241">
        <f>+'F7'!G28</f>
        <v>1.1833463700000001E-2</v>
      </c>
      <c r="H16" s="1241">
        <f>+'F7'!H28</f>
        <v>2.234883E-2</v>
      </c>
      <c r="I16" s="1241">
        <f>+'F7'!I28</f>
        <v>2.5726390000000002E-2</v>
      </c>
      <c r="J16" s="1241">
        <f>+'F7'!J28</f>
        <v>4.4022800000000001E-2</v>
      </c>
      <c r="K16" s="1241">
        <f>+'F7'!K28</f>
        <v>8.6225510000000005E-2</v>
      </c>
      <c r="L16" s="1243">
        <f>+'F7'!E78</f>
        <v>0.11012710494250003</v>
      </c>
      <c r="M16" s="1243">
        <f>+'F7'!F78</f>
        <v>0.12664617068387501</v>
      </c>
      <c r="N16" s="1243">
        <f>+'F7'!G78</f>
        <v>0.14564309628645625</v>
      </c>
      <c r="O16" s="1243">
        <f>+'F7'!H78</f>
        <v>0.16748956072942467</v>
      </c>
      <c r="P16" s="1243">
        <f>+'F7'!I78</f>
        <v>0.19261299483883837</v>
      </c>
      <c r="Q16" s="676"/>
      <c r="T16" s="1241">
        <f t="shared" si="4"/>
        <v>1.1004869E-3</v>
      </c>
      <c r="U16" s="1233">
        <f>+F16*Assum!E$145</f>
        <v>1.3398653007561997E-3</v>
      </c>
      <c r="V16" s="1233">
        <f>+G16*Assum!F$145</f>
        <v>8.2110411419903523E-3</v>
      </c>
      <c r="W16" s="1233">
        <f>+H16*Assum!G$145</f>
        <v>1.7603190014558893E-2</v>
      </c>
      <c r="X16" s="1233">
        <f>+I16*Assum!H$145</f>
        <v>2.1437470396302082E-2</v>
      </c>
      <c r="Y16" s="1233">
        <f>+J16*Assum!I$145</f>
        <v>3.7747666512308924E-2</v>
      </c>
      <c r="Z16" s="1233">
        <f>+K16*Assum!J$145</f>
        <v>7.8494835433741944E-2</v>
      </c>
      <c r="AA16" s="1233">
        <f>+L16*Assum!K$145</f>
        <v>0.10249809350542335</v>
      </c>
      <c r="AB16" s="1233">
        <f>+M16*Assum!L$145</f>
        <v>0.1182035957128542</v>
      </c>
      <c r="AC16" s="1233">
        <f>+N16*Assum!M$145</f>
        <v>0.13776516086232671</v>
      </c>
      <c r="AD16" s="1233">
        <f>+O16*Assum!N$145</f>
        <v>0.15752292251818995</v>
      </c>
      <c r="AE16" s="1233">
        <f>+P16*Assum!O$145</f>
        <v>0.18200970107858755</v>
      </c>
      <c r="AH16" s="1236"/>
      <c r="AI16" s="1233">
        <f>+F16*Assum!P$145</f>
        <v>4.8549954992438017E-3</v>
      </c>
      <c r="AJ16" s="1233">
        <f>+G16*Assum!Q$145</f>
        <v>3.6224225580096469E-3</v>
      </c>
      <c r="AK16" s="1233">
        <f>+H16*Assum!R$145</f>
        <v>4.7456399854411066E-3</v>
      </c>
      <c r="AL16" s="1233">
        <f>+I16*Assum!S$145</f>
        <v>4.2889196036979202E-3</v>
      </c>
      <c r="AM16" s="1233">
        <f>+J16*Assum!T$145</f>
        <v>6.2751334876910711E-3</v>
      </c>
      <c r="AN16" s="1233">
        <f>+K16*Assum!U$145</f>
        <v>7.7306745662580586E-3</v>
      </c>
      <c r="AO16" s="1233">
        <f>+L16*Assum!V$145</f>
        <v>7.6290114370766455E-3</v>
      </c>
      <c r="AP16" s="1233">
        <f>+M16*Assum!W$145</f>
        <v>8.4425749710207929E-3</v>
      </c>
      <c r="AQ16" s="1233">
        <f>+N16*Assum!X$145</f>
        <v>7.8779354241295205E-3</v>
      </c>
      <c r="AR16" s="1233">
        <f>+O16*Assum!Y$145</f>
        <v>9.9666382112347015E-3</v>
      </c>
      <c r="AS16" s="1233">
        <f>+P16*Assum!Z$145</f>
        <v>1.0603293760250865E-2</v>
      </c>
      <c r="AU16" s="1418">
        <f t="shared" si="0"/>
        <v>0.93997126888109439</v>
      </c>
      <c r="AV16" s="1418">
        <f t="shared" si="1"/>
        <v>0.86393402937704011</v>
      </c>
      <c r="AW16" s="1418">
        <f t="shared" si="2"/>
        <v>7.6037239504054124E-2</v>
      </c>
      <c r="AX16" s="660">
        <f t="shared" si="3"/>
        <v>1.5265566588595902E-16</v>
      </c>
    </row>
    <row r="17" spans="2:50" x14ac:dyDescent="0.35">
      <c r="B17" s="58">
        <f t="shared" si="5"/>
        <v>6</v>
      </c>
      <c r="C17" s="61" t="s">
        <v>60</v>
      </c>
      <c r="D17" s="262" t="s">
        <v>61</v>
      </c>
      <c r="E17" s="1241">
        <f>+'F10'!D14</f>
        <v>0</v>
      </c>
      <c r="F17" s="1241">
        <f>+'F10'!E14</f>
        <v>0</v>
      </c>
      <c r="G17" s="1241">
        <f>+'F10'!F14</f>
        <v>0</v>
      </c>
      <c r="H17" s="1241">
        <f>+'F10'!G14</f>
        <v>0</v>
      </c>
      <c r="I17" s="1241">
        <f>+'F10'!H14</f>
        <v>0</v>
      </c>
      <c r="J17" s="1241">
        <f>+'F10'!I14</f>
        <v>0</v>
      </c>
      <c r="K17" s="1241">
        <f>+'F10'!J14</f>
        <v>0</v>
      </c>
      <c r="L17" s="1241">
        <f>+'F10'!K14</f>
        <v>0</v>
      </c>
      <c r="M17" s="1241">
        <f>+'F10'!L14</f>
        <v>0</v>
      </c>
      <c r="N17" s="1241">
        <f>+'F10'!M14</f>
        <v>0</v>
      </c>
      <c r="O17" s="1241">
        <f>+'F10'!N14</f>
        <v>0</v>
      </c>
      <c r="P17" s="1241">
        <f>+'F10'!O14</f>
        <v>0</v>
      </c>
      <c r="Q17" s="676"/>
      <c r="T17" s="1241">
        <f t="shared" si="4"/>
        <v>0</v>
      </c>
      <c r="U17" s="1236"/>
      <c r="V17" s="1236"/>
      <c r="W17" s="1236"/>
      <c r="X17" s="1236"/>
      <c r="Y17" s="1236"/>
      <c r="Z17" s="1236"/>
      <c r="AA17" s="1236"/>
      <c r="AB17" s="1236"/>
      <c r="AC17" s="1236"/>
      <c r="AD17" s="1236"/>
      <c r="AE17" s="1236"/>
      <c r="AH17" s="1236"/>
      <c r="AI17" s="1233">
        <f>+F17*Assum!P$145</f>
        <v>0</v>
      </c>
      <c r="AJ17" s="1233">
        <f>+G17*Assum!Q$145</f>
        <v>0</v>
      </c>
      <c r="AK17" s="1233">
        <f>+H17*Assum!R$145</f>
        <v>0</v>
      </c>
      <c r="AL17" s="1233">
        <f>+I17*Assum!S$145</f>
        <v>0</v>
      </c>
      <c r="AM17" s="1233">
        <f>+J17*Assum!T$145</f>
        <v>0</v>
      </c>
      <c r="AN17" s="1233">
        <f>+K17*Assum!U$145</f>
        <v>0</v>
      </c>
      <c r="AO17" s="1233">
        <f>+L17*Assum!V$145</f>
        <v>0</v>
      </c>
      <c r="AP17" s="1233">
        <f>+M17*Assum!W$145</f>
        <v>0</v>
      </c>
      <c r="AQ17" s="1233">
        <f>+N17*Assum!X$145</f>
        <v>0</v>
      </c>
      <c r="AR17" s="1233">
        <f>+O17*Assum!Y$145</f>
        <v>0</v>
      </c>
      <c r="AS17" s="1233">
        <f>+P17*Assum!Z$145</f>
        <v>0</v>
      </c>
      <c r="AU17" s="1418">
        <f t="shared" si="0"/>
        <v>0</v>
      </c>
      <c r="AV17" s="1418">
        <f t="shared" si="1"/>
        <v>0</v>
      </c>
      <c r="AW17" s="1418">
        <f t="shared" si="2"/>
        <v>0</v>
      </c>
      <c r="AX17" s="660">
        <f t="shared" si="3"/>
        <v>0</v>
      </c>
    </row>
    <row r="18" spans="2:50" x14ac:dyDescent="0.35">
      <c r="B18" s="58">
        <f t="shared" si="5"/>
        <v>7</v>
      </c>
      <c r="C18" s="61" t="s">
        <v>141</v>
      </c>
      <c r="D18" s="262" t="s">
        <v>63</v>
      </c>
      <c r="E18" s="1241">
        <f>+'F11'!D13</f>
        <v>0</v>
      </c>
      <c r="F18" s="1241">
        <f>+'F11'!E13</f>
        <v>0.13886720361875002</v>
      </c>
      <c r="G18" s="1241">
        <f>+'F11'!F13</f>
        <v>0.16777102599739699</v>
      </c>
      <c r="H18" s="1241">
        <f>+'F11'!G13</f>
        <v>0.17095763050989696</v>
      </c>
      <c r="I18" s="1241">
        <f>+'F11'!H13</f>
        <v>0.17259486212489694</v>
      </c>
      <c r="J18" s="1241">
        <f>+'F11'!I13</f>
        <v>0.17260729960239693</v>
      </c>
      <c r="K18" s="1241">
        <f>+'F11'!J13</f>
        <v>0.172928206013647</v>
      </c>
      <c r="L18" s="1241">
        <f>+'F11'!K13</f>
        <v>0.17296087047614694</v>
      </c>
      <c r="M18" s="1241">
        <f>+'F11'!L13</f>
        <v>0.17370081197614695</v>
      </c>
      <c r="N18" s="1241">
        <f>+'F11'!M13</f>
        <v>0.17385081197614696</v>
      </c>
      <c r="O18" s="1241">
        <f>+'F11'!N13</f>
        <v>0.17385081197614696</v>
      </c>
      <c r="P18" s="1241">
        <f>+'F11'!O13</f>
        <v>0.17385081197614696</v>
      </c>
      <c r="Q18" s="676"/>
      <c r="T18" s="1241">
        <f t="shared" si="4"/>
        <v>0</v>
      </c>
      <c r="U18" s="1241">
        <f>+F18*Assum!E$140</f>
        <v>8.6327990520427472E-2</v>
      </c>
      <c r="V18" s="1241">
        <f>+G18*Assum!F$140</f>
        <v>9.7430522161492505E-2</v>
      </c>
      <c r="W18" s="1241">
        <f>+H18*Assum!G$140</f>
        <v>9.9230485241598471E-2</v>
      </c>
      <c r="X18" s="1241">
        <f>+I18*Assum!H$140</f>
        <v>0.10018358547889085</v>
      </c>
      <c r="Y18" s="1241">
        <f>+J18*Assum!I$140</f>
        <v>0.10026258918622356</v>
      </c>
      <c r="Z18" s="1241">
        <f>+K18*Assum!J$140</f>
        <v>0.10045630060966025</v>
      </c>
      <c r="AA18" s="1241">
        <f>+L18*Assum!K$140</f>
        <v>0.10047527583145772</v>
      </c>
      <c r="AB18" s="1241">
        <f>+M18*Assum!L$140</f>
        <v>0.10090511771480958</v>
      </c>
      <c r="AC18" s="1241">
        <f>+N18*Assum!M$140</f>
        <v>0.10099225471483293</v>
      </c>
      <c r="AD18" s="1241">
        <f>+O18*Assum!N$140</f>
        <v>0.10099225471483293</v>
      </c>
      <c r="AE18" s="1241">
        <f>+P18*Assum!O$140</f>
        <v>0.10099225471483293</v>
      </c>
      <c r="AH18" s="1241"/>
      <c r="AI18" s="1241">
        <f>+F18*Assum!P$140</f>
        <v>5.2539213098322532E-2</v>
      </c>
      <c r="AJ18" s="1241">
        <f>+G18*Assum!Q$140</f>
        <v>7.0340503835904511E-2</v>
      </c>
      <c r="AK18" s="1241">
        <f>+H18*Assum!R$140</f>
        <v>7.1727145268298487E-2</v>
      </c>
      <c r="AL18" s="1241">
        <f>+I18*Assum!S$140</f>
        <v>7.2411276646006079E-2</v>
      </c>
      <c r="AM18" s="1241">
        <f>+J18*Assum!T$140</f>
        <v>7.2344710416173325E-2</v>
      </c>
      <c r="AN18" s="1241">
        <f>+K18*Assum!U$140</f>
        <v>7.2471905403986736E-2</v>
      </c>
      <c r="AO18" s="1241">
        <f>+L18*Assum!V$140</f>
        <v>7.2485594644689219E-2</v>
      </c>
      <c r="AP18" s="1241">
        <f>+M18*Assum!W$140</f>
        <v>7.2795694261337363E-2</v>
      </c>
      <c r="AQ18" s="1241">
        <f>+N18*Assum!X$140</f>
        <v>7.2858557261314016E-2</v>
      </c>
      <c r="AR18" s="1241">
        <f>+O18*Assum!Y$140</f>
        <v>7.2858557261314016E-2</v>
      </c>
      <c r="AS18" s="1241">
        <f>+P18*Assum!Z$140</f>
        <v>7.2858557261314016E-2</v>
      </c>
      <c r="AU18" s="1418">
        <f t="shared" si="0"/>
        <v>1.8639403462477198</v>
      </c>
      <c r="AV18" s="1418">
        <f t="shared" si="1"/>
        <v>1.0882486308890593</v>
      </c>
      <c r="AW18" s="1418">
        <f t="shared" si="2"/>
        <v>0.77569171535866044</v>
      </c>
      <c r="AX18" s="660">
        <f t="shared" si="3"/>
        <v>0</v>
      </c>
    </row>
    <row r="19" spans="2:50" x14ac:dyDescent="0.35">
      <c r="B19" s="58">
        <f t="shared" si="5"/>
        <v>8</v>
      </c>
      <c r="C19" s="61" t="s">
        <v>64</v>
      </c>
      <c r="D19" s="262" t="s">
        <v>65</v>
      </c>
      <c r="E19" s="1241"/>
      <c r="F19" s="1241"/>
      <c r="G19" s="1241"/>
      <c r="H19" s="1241"/>
      <c r="I19" s="1242"/>
      <c r="J19" s="1243"/>
      <c r="K19" s="1243"/>
      <c r="L19" s="1243"/>
      <c r="M19" s="1243"/>
      <c r="N19" s="1243"/>
      <c r="O19" s="1243"/>
      <c r="P19" s="1243"/>
      <c r="Q19" s="676"/>
      <c r="T19" s="1241">
        <f t="shared" si="4"/>
        <v>0</v>
      </c>
      <c r="U19" s="1241"/>
      <c r="V19" s="1241"/>
      <c r="W19" s="1241"/>
      <c r="X19" s="1242"/>
      <c r="Y19" s="1243"/>
      <c r="Z19" s="1243"/>
      <c r="AA19" s="1243"/>
      <c r="AB19" s="1243"/>
      <c r="AC19" s="1243"/>
      <c r="AD19" s="1243"/>
      <c r="AE19" s="1243"/>
      <c r="AH19" s="1241"/>
      <c r="AI19" s="1241"/>
      <c r="AJ19" s="1241"/>
      <c r="AK19" s="1241"/>
      <c r="AL19" s="1242"/>
      <c r="AM19" s="1243"/>
      <c r="AN19" s="1243"/>
      <c r="AO19" s="1243"/>
      <c r="AP19" s="1243"/>
      <c r="AQ19" s="1243"/>
      <c r="AR19" s="1243"/>
      <c r="AS19" s="1243"/>
      <c r="AU19" s="1418">
        <f t="shared" si="0"/>
        <v>0</v>
      </c>
      <c r="AV19" s="1418">
        <f t="shared" si="1"/>
        <v>0</v>
      </c>
      <c r="AW19" s="1418">
        <f t="shared" si="2"/>
        <v>0</v>
      </c>
      <c r="AX19" s="660">
        <f t="shared" si="3"/>
        <v>0</v>
      </c>
    </row>
    <row r="20" spans="2:50" x14ac:dyDescent="0.35">
      <c r="B20" s="58">
        <f t="shared" si="5"/>
        <v>9</v>
      </c>
      <c r="C20" s="61" t="s">
        <v>1624</v>
      </c>
      <c r="D20" s="262"/>
      <c r="E20" s="1749">
        <f t="shared" ref="E20:K20" si="6">-E15*2/3</f>
        <v>-7.9757909214770543E-3</v>
      </c>
      <c r="F20" s="1749">
        <f t="shared" si="6"/>
        <v>-2.8738524451202976E-2</v>
      </c>
      <c r="G20" s="1749">
        <f t="shared" si="6"/>
        <v>-3.6621299603508801E-2</v>
      </c>
      <c r="H20" s="1749">
        <f t="shared" si="6"/>
        <v>-2.9315041838057207E-2</v>
      </c>
      <c r="I20" s="1749">
        <f t="shared" si="6"/>
        <v>-3.7406735635823966E-2</v>
      </c>
      <c r="J20" s="1749">
        <f t="shared" si="6"/>
        <v>-4.1246606794375869E-2</v>
      </c>
      <c r="K20" s="1749">
        <f t="shared" si="6"/>
        <v>-6.0431782983105279E-3</v>
      </c>
      <c r="L20" s="1243"/>
      <c r="M20" s="1243"/>
      <c r="N20" s="1243"/>
      <c r="O20" s="1243"/>
      <c r="P20" s="1243"/>
      <c r="Q20" s="676"/>
      <c r="T20" s="1241">
        <f t="shared" si="4"/>
        <v>-7.9757909214770543E-3</v>
      </c>
      <c r="U20" s="1233">
        <f>+F20*Assum!E$145</f>
        <v>-6.2157573753877518E-3</v>
      </c>
      <c r="V20" s="1233">
        <f>+G20*Assum!F$145</f>
        <v>-2.5410902956297207E-2</v>
      </c>
      <c r="W20" s="1233">
        <f>+H20*Assum!G$145</f>
        <v>-2.3090168557372573E-2</v>
      </c>
      <c r="X20" s="1233">
        <f>+I20*Assum!H$145</f>
        <v>-3.1170552410006783E-2</v>
      </c>
      <c r="Y20" s="1233">
        <f>+J20*Assum!I$145</f>
        <v>-3.5367199679221577E-2</v>
      </c>
      <c r="Z20" s="1233">
        <f>+K20*Assum!J$145</f>
        <v>-5.5013682844281871E-3</v>
      </c>
      <c r="AA20" s="1233">
        <f>+L20*Assum!K$145</f>
        <v>0</v>
      </c>
      <c r="AB20" s="1233">
        <f>+M20*Assum!L$145</f>
        <v>0</v>
      </c>
      <c r="AC20" s="1233">
        <f>+N20*Assum!M$145</f>
        <v>0</v>
      </c>
      <c r="AD20" s="1233">
        <f>+O20*Assum!N$145</f>
        <v>0</v>
      </c>
      <c r="AE20" s="1233">
        <f>+P20*Assum!O$145</f>
        <v>0</v>
      </c>
      <c r="AH20" s="1241"/>
      <c r="AI20" s="1233">
        <f>+F20*Assum!P$145</f>
        <v>-2.2522767075815228E-2</v>
      </c>
      <c r="AJ20" s="1233">
        <f>+G20*Assum!Q$145</f>
        <v>-1.1210396647211586E-2</v>
      </c>
      <c r="AK20" s="1233">
        <f>+H20*Assum!R$145</f>
        <v>-6.2248732806846367E-3</v>
      </c>
      <c r="AL20" s="1233">
        <f>+I20*Assum!S$145</f>
        <v>-6.2361832258171854E-3</v>
      </c>
      <c r="AM20" s="1233">
        <f>+J20*Assum!T$145</f>
        <v>-5.8794071151542851E-3</v>
      </c>
      <c r="AN20" s="1233">
        <f>+K20*Assum!U$145</f>
        <v>-5.4181001388234004E-4</v>
      </c>
      <c r="AO20" s="1233">
        <f>+L20*Assum!V$145</f>
        <v>0</v>
      </c>
      <c r="AP20" s="1233">
        <f>+M20*Assum!W$145</f>
        <v>0</v>
      </c>
      <c r="AQ20" s="1233">
        <f>+N20*Assum!X$145</f>
        <v>0</v>
      </c>
      <c r="AR20" s="1233">
        <f>+O20*Assum!Y$145</f>
        <v>0</v>
      </c>
      <c r="AS20" s="1233">
        <f>+P20*Assum!Z$145</f>
        <v>0</v>
      </c>
      <c r="AU20" s="1418">
        <f t="shared" si="0"/>
        <v>-0.1873471775427564</v>
      </c>
      <c r="AV20" s="1418">
        <f t="shared" si="1"/>
        <v>-0.13473174018419112</v>
      </c>
      <c r="AW20" s="1418">
        <f t="shared" si="2"/>
        <v>-5.2615437358565262E-2</v>
      </c>
      <c r="AX20" s="660">
        <f t="shared" si="3"/>
        <v>0</v>
      </c>
    </row>
    <row r="21" spans="2:50" x14ac:dyDescent="0.35">
      <c r="B21" s="58">
        <f t="shared" si="5"/>
        <v>10</v>
      </c>
      <c r="C21" s="105" t="s">
        <v>142</v>
      </c>
      <c r="D21" s="266"/>
      <c r="E21" s="1244">
        <f>SUM(E12:E20)</f>
        <v>4.9695058142146955</v>
      </c>
      <c r="F21" s="1244">
        <f t="shared" ref="F21:P21" si="7">SUM(F12:F20)</f>
        <v>10.255304113346186</v>
      </c>
      <c r="G21" s="1244">
        <f t="shared" si="7"/>
        <v>10.243302084468034</v>
      </c>
      <c r="H21" s="1244">
        <f t="shared" si="7"/>
        <v>10.703770483359456</v>
      </c>
      <c r="I21" s="1244">
        <f t="shared" si="7"/>
        <v>11.030811641934338</v>
      </c>
      <c r="J21" s="1244">
        <f t="shared" si="7"/>
        <v>9.9343504941477594</v>
      </c>
      <c r="K21" s="1244">
        <f t="shared" si="7"/>
        <v>11.395524680692118</v>
      </c>
      <c r="L21" s="1244">
        <f t="shared" si="7"/>
        <v>11.832653135393723</v>
      </c>
      <c r="M21" s="1244">
        <f t="shared" ca="1" si="7"/>
        <v>12.240801541125176</v>
      </c>
      <c r="N21" s="1244">
        <f t="shared" ca="1" si="7"/>
        <v>12.439886169405993</v>
      </c>
      <c r="O21" s="1244">
        <f t="shared" ca="1" si="7"/>
        <v>12.693842010373748</v>
      </c>
      <c r="P21" s="1244">
        <f t="shared" ca="1" si="7"/>
        <v>12.942971527416978</v>
      </c>
      <c r="Q21" s="676"/>
      <c r="T21" s="1244">
        <f>SUM(T12:T20)</f>
        <v>4.9695058142146955</v>
      </c>
      <c r="U21" s="1244">
        <f t="shared" ref="U21:AE21" si="8">SUM(U12:U20)</f>
        <v>4.9877599974049245</v>
      </c>
      <c r="V21" s="1244">
        <f t="shared" si="8"/>
        <v>4.8551269450458321</v>
      </c>
      <c r="W21" s="1244">
        <f t="shared" si="8"/>
        <v>4.8334260903715442</v>
      </c>
      <c r="X21" s="1244">
        <f t="shared" si="8"/>
        <v>4.8793465285208759</v>
      </c>
      <c r="Y21" s="1244">
        <f t="shared" si="8"/>
        <v>4.5069551813001825</v>
      </c>
      <c r="Z21" s="1244">
        <f t="shared" si="8"/>
        <v>5.3828626954177752</v>
      </c>
      <c r="AA21" s="1244">
        <f t="shared" si="8"/>
        <v>6.3807159308135537</v>
      </c>
      <c r="AB21" s="1244">
        <f t="shared" ca="1" si="8"/>
        <v>6.9545895781949678</v>
      </c>
      <c r="AC21" s="1244">
        <f t="shared" ca="1" si="8"/>
        <v>7.3261832354393253</v>
      </c>
      <c r="AD21" s="1244">
        <f t="shared" ca="1" si="8"/>
        <v>7.6896445735539976</v>
      </c>
      <c r="AE21" s="1244">
        <f t="shared" ca="1" si="8"/>
        <v>7.8610935781099025</v>
      </c>
      <c r="AH21" s="1244"/>
      <c r="AI21" s="1244">
        <f t="shared" ref="AI21:AS21" si="9">SUM(AI12:AI20)</f>
        <v>5.2675441159412602</v>
      </c>
      <c r="AJ21" s="1244">
        <f t="shared" si="9"/>
        <v>5.3881751394222048</v>
      </c>
      <c r="AK21" s="1244">
        <f t="shared" si="9"/>
        <v>5.8703443929879144</v>
      </c>
      <c r="AL21" s="1244">
        <f t="shared" si="9"/>
        <v>6.1514651134134599</v>
      </c>
      <c r="AM21" s="1244">
        <f t="shared" si="9"/>
        <v>5.4273953128475734</v>
      </c>
      <c r="AN21" s="1244">
        <f t="shared" si="9"/>
        <v>6.0126619852743408</v>
      </c>
      <c r="AO21" s="1244">
        <f t="shared" si="9"/>
        <v>5.4519372045801715</v>
      </c>
      <c r="AP21" s="1244">
        <f t="shared" ca="1" si="9"/>
        <v>5.2862119629302065</v>
      </c>
      <c r="AQ21" s="1244">
        <f t="shared" ca="1" si="9"/>
        <v>5.1137029339666684</v>
      </c>
      <c r="AR21" s="1244">
        <f t="shared" ca="1" si="9"/>
        <v>5.004197436819747</v>
      </c>
      <c r="AS21" s="1244">
        <f t="shared" ca="1" si="9"/>
        <v>5.081877949307076</v>
      </c>
      <c r="AU21" s="1418">
        <f t="shared" ca="1" si="0"/>
        <v>130.6827236958782</v>
      </c>
      <c r="AV21" s="1418">
        <f t="shared" ca="1" si="1"/>
        <v>70.627210148387576</v>
      </c>
      <c r="AW21" s="1418">
        <f t="shared" ca="1" si="2"/>
        <v>60.055513547490627</v>
      </c>
      <c r="AX21" s="660">
        <f t="shared" ca="1" si="3"/>
        <v>0</v>
      </c>
    </row>
    <row r="22" spans="2:50" x14ac:dyDescent="0.35">
      <c r="B22" s="58">
        <f t="shared" si="5"/>
        <v>11</v>
      </c>
      <c r="C22" s="152" t="s">
        <v>143</v>
      </c>
      <c r="D22" s="262" t="s">
        <v>57</v>
      </c>
      <c r="E22" s="1241">
        <f>+'F8'!D24</f>
        <v>1.2914649936543752</v>
      </c>
      <c r="F22" s="1241">
        <f>+'F8'!E24</f>
        <v>2.851735535430167</v>
      </c>
      <c r="G22" s="1241">
        <f>+'F8'!F24+'F8'!E40</f>
        <v>3.0485579085656456</v>
      </c>
      <c r="H22" s="1241">
        <f>+'F8'!G24+'F8'!F40</f>
        <v>3.1950381815035835</v>
      </c>
      <c r="I22" s="1241">
        <f>+'F8'!H24+'F8'!G40</f>
        <v>3.2103801040638342</v>
      </c>
      <c r="J22" s="1241">
        <f>+'F8'!I24+'F8'!H40</f>
        <v>3.0061588988595824</v>
      </c>
      <c r="K22" s="1241">
        <f>+'F8'!J24+'F8'!I40</f>
        <v>3.1130016884081457</v>
      </c>
      <c r="L22" s="1243">
        <f>+'F8'!D106</f>
        <v>3.2239536468063332</v>
      </c>
      <c r="M22" s="1243">
        <f>+'F8'!E106</f>
        <v>3.2322301027563332</v>
      </c>
      <c r="N22" s="1243">
        <f>+'F8'!F106</f>
        <v>3.2336251027563332</v>
      </c>
      <c r="O22" s="1243">
        <f>+'F8'!G106</f>
        <v>3.2336251027563332</v>
      </c>
      <c r="P22" s="1243">
        <f>+'F8'!H106</f>
        <v>3.2336251027563332</v>
      </c>
      <c r="Q22" s="676"/>
      <c r="T22" s="1241">
        <f t="shared" si="4"/>
        <v>1.2914649936543752</v>
      </c>
      <c r="U22" s="1241">
        <f>+F22*Assum!E$140</f>
        <v>1.7728059027188581</v>
      </c>
      <c r="V22" s="1241">
        <f>+G22*Assum!F$140</f>
        <v>1.7704045564798938</v>
      </c>
      <c r="W22" s="1241">
        <f>+H22*Assum!G$140</f>
        <v>1.8545249379651456</v>
      </c>
      <c r="X22" s="1241">
        <f>+I22*Assum!H$140</f>
        <v>1.863481830313503</v>
      </c>
      <c r="Y22" s="1241">
        <f>+J22*Assum!I$140</f>
        <v>1.7461907775578398</v>
      </c>
      <c r="Z22" s="1241">
        <f>+K22*Assum!J$140</f>
        <v>1.808384187970062</v>
      </c>
      <c r="AA22" s="1241">
        <f>+L22*Assum!K$140</f>
        <v>1.8728376599802858</v>
      </c>
      <c r="AB22" s="1241">
        <f>+M22*Assum!L$140</f>
        <v>1.8776455635956752</v>
      </c>
      <c r="AC22" s="1241">
        <f>+N22*Assum!M$140</f>
        <v>1.8784559376958923</v>
      </c>
      <c r="AD22" s="1241">
        <f>+O22*Assum!N$140</f>
        <v>1.8784559376958923</v>
      </c>
      <c r="AE22" s="1241">
        <f>+P22*Assum!O$140</f>
        <v>1.8784559376958923</v>
      </c>
      <c r="AH22" s="1241"/>
      <c r="AI22" s="1241">
        <f>+F22*Assum!P$140</f>
        <v>1.0789296327113085</v>
      </c>
      <c r="AJ22" s="1241">
        <f>+G22*Assum!Q$140</f>
        <v>1.2781533520857522</v>
      </c>
      <c r="AK22" s="1241">
        <f>+H22*Assum!R$140</f>
        <v>1.3405132435384379</v>
      </c>
      <c r="AL22" s="1241">
        <f>+I22*Assum!S$140</f>
        <v>1.346898273750331</v>
      </c>
      <c r="AM22" s="1241">
        <f>+J22*Assum!T$140</f>
        <v>1.259968121301742</v>
      </c>
      <c r="AN22" s="1241">
        <f>+K22*Assum!U$140</f>
        <v>1.3046175004380838</v>
      </c>
      <c r="AO22" s="1241">
        <f>+L22*Assum!V$140</f>
        <v>1.3511159868260472</v>
      </c>
      <c r="AP22" s="1241">
        <f>+M22*Assum!W$140</f>
        <v>1.3545845391606579</v>
      </c>
      <c r="AQ22" s="1241">
        <f>+N22*Assum!X$140</f>
        <v>1.3551691650604407</v>
      </c>
      <c r="AR22" s="1241">
        <f>+O22*Assum!Y$140</f>
        <v>1.3551691650604407</v>
      </c>
      <c r="AS22" s="1241">
        <f>+P22*Assum!Z$140</f>
        <v>1.3551691650604407</v>
      </c>
      <c r="AU22" s="1418">
        <f t="shared" si="0"/>
        <v>35.873396368317003</v>
      </c>
      <c r="AV22" s="1418">
        <f t="shared" si="1"/>
        <v>21.493108223323318</v>
      </c>
      <c r="AW22" s="1418">
        <f t="shared" si="2"/>
        <v>14.380288144993681</v>
      </c>
      <c r="AX22" s="660">
        <f t="shared" si="3"/>
        <v>0</v>
      </c>
    </row>
    <row r="23" spans="2:50" x14ac:dyDescent="0.35">
      <c r="B23" s="59">
        <f t="shared" si="5"/>
        <v>12</v>
      </c>
      <c r="C23" s="105" t="s">
        <v>144</v>
      </c>
      <c r="D23" s="262"/>
      <c r="E23" s="1244">
        <f>+E21+E22</f>
        <v>6.2609708078690707</v>
      </c>
      <c r="F23" s="1244">
        <f t="shared" ref="F23:P23" si="10">+F21+F22</f>
        <v>13.107039648776354</v>
      </c>
      <c r="G23" s="1244">
        <f t="shared" si="10"/>
        <v>13.291859993033679</v>
      </c>
      <c r="H23" s="1244">
        <f t="shared" si="10"/>
        <v>13.89880866486304</v>
      </c>
      <c r="I23" s="1244">
        <f t="shared" si="10"/>
        <v>14.241191745998172</v>
      </c>
      <c r="J23" s="1244">
        <f t="shared" si="10"/>
        <v>12.940509393007343</v>
      </c>
      <c r="K23" s="1244">
        <f t="shared" si="10"/>
        <v>14.508526369100263</v>
      </c>
      <c r="L23" s="1244">
        <f t="shared" si="10"/>
        <v>15.056606782200056</v>
      </c>
      <c r="M23" s="1244">
        <f t="shared" ca="1" si="10"/>
        <v>15.473031643881509</v>
      </c>
      <c r="N23" s="1244">
        <f t="shared" ca="1" si="10"/>
        <v>15.673511272162326</v>
      </c>
      <c r="O23" s="1244">
        <f t="shared" ca="1" si="10"/>
        <v>15.927467113130081</v>
      </c>
      <c r="P23" s="1244">
        <f t="shared" ca="1" si="10"/>
        <v>16.176596630173311</v>
      </c>
      <c r="Q23" s="676"/>
      <c r="T23" s="1244">
        <f>+T21+T22</f>
        <v>6.2609708078690707</v>
      </c>
      <c r="U23" s="1244">
        <f t="shared" ref="U23:AE23" si="11">+U21+U22</f>
        <v>6.7605659001237823</v>
      </c>
      <c r="V23" s="1244">
        <f t="shared" si="11"/>
        <v>6.6255315015257263</v>
      </c>
      <c r="W23" s="1244">
        <f t="shared" si="11"/>
        <v>6.6879510283366894</v>
      </c>
      <c r="X23" s="1244">
        <f t="shared" si="11"/>
        <v>6.7428283588343785</v>
      </c>
      <c r="Y23" s="1244">
        <f t="shared" si="11"/>
        <v>6.2531459588580223</v>
      </c>
      <c r="Z23" s="1244">
        <f t="shared" si="11"/>
        <v>7.1912468833878371</v>
      </c>
      <c r="AA23" s="1244">
        <f t="shared" si="11"/>
        <v>8.2535535907938389</v>
      </c>
      <c r="AB23" s="1244">
        <f t="shared" ca="1" si="11"/>
        <v>8.832235141790644</v>
      </c>
      <c r="AC23" s="1244">
        <f t="shared" ca="1" si="11"/>
        <v>9.2046391731352166</v>
      </c>
      <c r="AD23" s="1244">
        <f t="shared" ca="1" si="11"/>
        <v>9.5681005112498898</v>
      </c>
      <c r="AE23" s="1244">
        <f t="shared" ca="1" si="11"/>
        <v>9.7395495158057948</v>
      </c>
      <c r="AH23" s="1244"/>
      <c r="AI23" s="1244">
        <f t="shared" ref="AI23:AS23" si="12">+AI21+AI22</f>
        <v>6.3464737486525689</v>
      </c>
      <c r="AJ23" s="1244">
        <f t="shared" si="12"/>
        <v>6.666328491507957</v>
      </c>
      <c r="AK23" s="1244">
        <f t="shared" si="12"/>
        <v>7.2108576365263524</v>
      </c>
      <c r="AL23" s="1244">
        <f t="shared" si="12"/>
        <v>7.4983633871637911</v>
      </c>
      <c r="AM23" s="1244">
        <f t="shared" si="12"/>
        <v>6.6873634341493151</v>
      </c>
      <c r="AN23" s="1244">
        <f t="shared" si="12"/>
        <v>7.3172794857124241</v>
      </c>
      <c r="AO23" s="1244">
        <f t="shared" si="12"/>
        <v>6.8030531914062191</v>
      </c>
      <c r="AP23" s="1244">
        <f t="shared" ca="1" si="12"/>
        <v>6.6407965020908648</v>
      </c>
      <c r="AQ23" s="1244">
        <f t="shared" ca="1" si="12"/>
        <v>6.4688720990271094</v>
      </c>
      <c r="AR23" s="1244">
        <f t="shared" ca="1" si="12"/>
        <v>6.359366601880188</v>
      </c>
      <c r="AS23" s="1244">
        <f t="shared" ca="1" si="12"/>
        <v>6.437047114367517</v>
      </c>
      <c r="AU23" s="1418">
        <f t="shared" ca="1" si="0"/>
        <v>166.55612006419523</v>
      </c>
      <c r="AV23" s="1418">
        <f t="shared" ca="1" si="1"/>
        <v>92.120318371710908</v>
      </c>
      <c r="AW23" s="1418">
        <f t="shared" ca="1" si="2"/>
        <v>74.435801692484304</v>
      </c>
      <c r="AX23" s="660">
        <f t="shared" ca="1" si="3"/>
        <v>0</v>
      </c>
    </row>
    <row r="24" spans="2:50" x14ac:dyDescent="0.35">
      <c r="B24" s="58">
        <f t="shared" si="5"/>
        <v>13</v>
      </c>
      <c r="C24" s="152" t="s">
        <v>145</v>
      </c>
      <c r="D24" s="262" t="s">
        <v>59</v>
      </c>
      <c r="E24" s="1241">
        <f>+'F9'!D25</f>
        <v>3.9127140099999999E-2</v>
      </c>
      <c r="F24" s="1241">
        <f>+'F9'!E25</f>
        <v>0.12518914</v>
      </c>
      <c r="G24" s="1241">
        <f>+'F9'!F25</f>
        <v>0.59084810799999998</v>
      </c>
      <c r="H24" s="1241">
        <f>+'F9'!G25</f>
        <v>9.4766288000000011E-3</v>
      </c>
      <c r="I24" s="1241">
        <f>+'F9'!H25</f>
        <v>0.13637018000000004</v>
      </c>
      <c r="J24" s="1241">
        <f>+'F9'!I25</f>
        <v>4.81095837E-2</v>
      </c>
      <c r="K24" s="1241">
        <f>+'F9'!J25</f>
        <v>0.11306312199999999</v>
      </c>
      <c r="L24" s="1241">
        <f>+'F9'!K25</f>
        <v>0.11306312199999999</v>
      </c>
      <c r="M24" s="1241">
        <f>+'F9'!L25</f>
        <v>0.11306312199999999</v>
      </c>
      <c r="N24" s="1241">
        <f>+'F9'!M25</f>
        <v>0.11306312199999999</v>
      </c>
      <c r="O24" s="1241">
        <f>+'F9'!N25</f>
        <v>0.11306312199999999</v>
      </c>
      <c r="P24" s="1241">
        <f>+'F9'!O25</f>
        <v>0.11306312199999999</v>
      </c>
      <c r="Q24" s="676"/>
      <c r="T24" s="1241">
        <f t="shared" si="4"/>
        <v>3.9127140099999999E-2</v>
      </c>
      <c r="U24" s="1241">
        <f>+F24*Assum!E$157</f>
        <v>2.7076731848036033E-2</v>
      </c>
      <c r="V24" s="1241">
        <f>+G24*Assum!F$157</f>
        <v>0.40997955006657588</v>
      </c>
      <c r="W24" s="1241">
        <f>+H24*Assum!G$157</f>
        <v>7.4643235222533466E-3</v>
      </c>
      <c r="X24" s="1241">
        <f>+I24*Assum!H$157</f>
        <v>0.11363551966243172</v>
      </c>
      <c r="Y24" s="1241">
        <f>+J24*Assum!I$157</f>
        <v>4.1251908591766383E-2</v>
      </c>
      <c r="Z24" s="1241">
        <f>+K24*Assum!J$157</f>
        <v>0.1029262819670778</v>
      </c>
      <c r="AA24" s="1241">
        <f>+L24*Assum!K$157</f>
        <v>0.10523071914785966</v>
      </c>
      <c r="AB24" s="1241">
        <f>+M24*Assum!L$157</f>
        <v>0.10552602965217577</v>
      </c>
      <c r="AC24" s="1241">
        <f>+N24*Assum!M$157</f>
        <v>0.1069474598321578</v>
      </c>
      <c r="AD24" s="1241">
        <f>+O24*Assum!N$157</f>
        <v>0.10633518488499909</v>
      </c>
      <c r="AE24" s="1241">
        <f>+P24*Assum!O$157</f>
        <v>0.10683902742621403</v>
      </c>
      <c r="AH24" s="1241"/>
      <c r="AI24" s="1241">
        <f>+F24*Assum!P$157</f>
        <v>9.8112408151963981E-2</v>
      </c>
      <c r="AJ24" s="1241">
        <f>+G24*Assum!Q$157</f>
        <v>0.18086855793342399</v>
      </c>
      <c r="AK24" s="1241">
        <f>+H24*Assum!R$157</f>
        <v>2.0123052777466549E-3</v>
      </c>
      <c r="AL24" s="1241">
        <f>+I24*Assum!S$157</f>
        <v>2.2734660337568317E-2</v>
      </c>
      <c r="AM24" s="1241">
        <f>+J24*Assum!T$157</f>
        <v>6.8576751082336084E-3</v>
      </c>
      <c r="AN24" s="1241">
        <f>+K24*Assum!U$157</f>
        <v>1.013684003292218E-2</v>
      </c>
      <c r="AO24" s="1241">
        <f>+L24*Assum!V$157</f>
        <v>7.8324028521403067E-3</v>
      </c>
      <c r="AP24" s="1241">
        <f>+M24*Assum!W$157</f>
        <v>7.5370923478241866E-3</v>
      </c>
      <c r="AQ24" s="1241">
        <f>+N24*Assum!X$157</f>
        <v>6.1156621678421881E-3</v>
      </c>
      <c r="AR24" s="1241">
        <f>+O24*Assum!Y$157</f>
        <v>6.7279371150008845E-3</v>
      </c>
      <c r="AS24" s="1241">
        <f>+P24*Assum!Z$157</f>
        <v>6.2240945737859878E-3</v>
      </c>
      <c r="AU24" s="1418">
        <f t="shared" si="0"/>
        <v>1.6274995126</v>
      </c>
      <c r="AV24" s="1418">
        <f t="shared" si="1"/>
        <v>1.2723398767015475</v>
      </c>
      <c r="AW24" s="1418">
        <f t="shared" si="2"/>
        <v>0.35515963589845229</v>
      </c>
      <c r="AX24" s="660">
        <f t="shared" si="3"/>
        <v>0</v>
      </c>
    </row>
    <row r="25" spans="2:50" x14ac:dyDescent="0.35">
      <c r="B25" s="58">
        <f t="shared" si="5"/>
        <v>14</v>
      </c>
      <c r="C25" s="152" t="s">
        <v>146</v>
      </c>
      <c r="D25" s="262"/>
      <c r="E25" s="1241"/>
      <c r="F25" s="1241"/>
      <c r="G25" s="1241"/>
      <c r="H25" s="1241"/>
      <c r="I25" s="1242"/>
      <c r="J25" s="1243"/>
      <c r="K25" s="1243"/>
      <c r="L25" s="1243"/>
      <c r="M25" s="1243"/>
      <c r="N25" s="1243"/>
      <c r="O25" s="1243"/>
      <c r="P25" s="1243"/>
      <c r="Q25" s="676"/>
      <c r="T25" s="1241">
        <f t="shared" si="4"/>
        <v>0</v>
      </c>
      <c r="U25" s="1241"/>
      <c r="V25" s="1241"/>
      <c r="W25" s="1241"/>
      <c r="X25" s="1242"/>
      <c r="Y25" s="1243"/>
      <c r="Z25" s="1243"/>
      <c r="AA25" s="1243"/>
      <c r="AB25" s="1243"/>
      <c r="AC25" s="1243"/>
      <c r="AD25" s="1243"/>
      <c r="AE25" s="1243"/>
      <c r="AH25" s="1241"/>
      <c r="AI25" s="1241"/>
      <c r="AJ25" s="1241"/>
      <c r="AK25" s="1241"/>
      <c r="AL25" s="1242"/>
      <c r="AM25" s="1243"/>
      <c r="AN25" s="1243"/>
      <c r="AO25" s="1243"/>
      <c r="AP25" s="1243"/>
      <c r="AQ25" s="1243"/>
      <c r="AR25" s="1243"/>
      <c r="AS25" s="1243"/>
      <c r="AU25" s="1418">
        <f t="shared" si="0"/>
        <v>0</v>
      </c>
      <c r="AV25" s="1418">
        <f t="shared" si="1"/>
        <v>0</v>
      </c>
      <c r="AW25" s="1418">
        <f t="shared" si="2"/>
        <v>0</v>
      </c>
      <c r="AX25" s="660">
        <f t="shared" si="3"/>
        <v>0</v>
      </c>
    </row>
    <row r="26" spans="2:50" x14ac:dyDescent="0.35">
      <c r="B26" s="59">
        <f t="shared" si="5"/>
        <v>15</v>
      </c>
      <c r="C26" s="105" t="s">
        <v>147</v>
      </c>
      <c r="D26" s="268"/>
      <c r="E26" s="1245">
        <f>+E23-SUM(E24:E25)</f>
        <v>6.2218436677690709</v>
      </c>
      <c r="F26" s="1245">
        <f t="shared" ref="F26:P26" si="13">+F23-SUM(F24:F25)</f>
        <v>12.981850508776354</v>
      </c>
      <c r="G26" s="1245">
        <f t="shared" si="13"/>
        <v>12.70101188503368</v>
      </c>
      <c r="H26" s="1245">
        <f t="shared" si="13"/>
        <v>13.88933203606304</v>
      </c>
      <c r="I26" s="1245">
        <f t="shared" si="13"/>
        <v>14.104821565998172</v>
      </c>
      <c r="J26" s="1245">
        <f t="shared" si="13"/>
        <v>12.892399809307342</v>
      </c>
      <c r="K26" s="1245">
        <f t="shared" si="13"/>
        <v>14.395463247100263</v>
      </c>
      <c r="L26" s="1245">
        <f t="shared" si="13"/>
        <v>14.943543660200056</v>
      </c>
      <c r="M26" s="1245">
        <f t="shared" ca="1" si="13"/>
        <v>15.359968521881509</v>
      </c>
      <c r="N26" s="1245">
        <f t="shared" ca="1" si="13"/>
        <v>15.560448150162326</v>
      </c>
      <c r="O26" s="1245">
        <f t="shared" ca="1" si="13"/>
        <v>15.814403991130082</v>
      </c>
      <c r="P26" s="1245">
        <f t="shared" ca="1" si="13"/>
        <v>16.063533508173311</v>
      </c>
      <c r="Q26" s="676"/>
      <c r="T26" s="1245">
        <f>+T23-SUM(T24:T25)</f>
        <v>6.2218436677690709</v>
      </c>
      <c r="U26" s="1245">
        <f t="shared" ref="U26:AE26" si="14">+U23-SUM(U24:U25)</f>
        <v>6.7334891682757467</v>
      </c>
      <c r="V26" s="1245">
        <f t="shared" si="14"/>
        <v>6.2155519514591502</v>
      </c>
      <c r="W26" s="1245">
        <f t="shared" si="14"/>
        <v>6.6804867048144363</v>
      </c>
      <c r="X26" s="1245">
        <f t="shared" si="14"/>
        <v>6.6291928391719468</v>
      </c>
      <c r="Y26" s="1245">
        <f t="shared" si="14"/>
        <v>6.2118940502662561</v>
      </c>
      <c r="Z26" s="1245">
        <f t="shared" si="14"/>
        <v>7.0883206014207589</v>
      </c>
      <c r="AA26" s="1245">
        <f t="shared" si="14"/>
        <v>8.1483228716459788</v>
      </c>
      <c r="AB26" s="1245">
        <f t="shared" ca="1" si="14"/>
        <v>8.7267091121384688</v>
      </c>
      <c r="AC26" s="1245">
        <f t="shared" ca="1" si="14"/>
        <v>9.0976917133030586</v>
      </c>
      <c r="AD26" s="1245">
        <f t="shared" ca="1" si="14"/>
        <v>9.4617653263648904</v>
      </c>
      <c r="AE26" s="1245">
        <f t="shared" ca="1" si="14"/>
        <v>9.6327104883795815</v>
      </c>
      <c r="AH26" s="1245"/>
      <c r="AI26" s="1245">
        <f t="shared" ref="AI26:AS26" si="15">+AI23-SUM(AI24:AI25)</f>
        <v>6.2483613405006047</v>
      </c>
      <c r="AJ26" s="1245">
        <f t="shared" si="15"/>
        <v>6.4854599335745329</v>
      </c>
      <c r="AK26" s="1245">
        <f t="shared" si="15"/>
        <v>7.2088453312486056</v>
      </c>
      <c r="AL26" s="1245">
        <f t="shared" si="15"/>
        <v>7.4756287268262227</v>
      </c>
      <c r="AM26" s="1245">
        <f t="shared" si="15"/>
        <v>6.6805057590410817</v>
      </c>
      <c r="AN26" s="1245">
        <f t="shared" si="15"/>
        <v>7.3071426456795017</v>
      </c>
      <c r="AO26" s="1245">
        <f t="shared" si="15"/>
        <v>6.7952207885540785</v>
      </c>
      <c r="AP26" s="1245">
        <f t="shared" ca="1" si="15"/>
        <v>6.6332594097430402</v>
      </c>
      <c r="AQ26" s="1245">
        <f t="shared" ca="1" si="15"/>
        <v>6.4627564368592676</v>
      </c>
      <c r="AR26" s="1245">
        <f t="shared" ca="1" si="15"/>
        <v>6.3526386647651867</v>
      </c>
      <c r="AS26" s="1245">
        <f t="shared" ca="1" si="15"/>
        <v>6.4308230197937313</v>
      </c>
      <c r="AU26" s="1418">
        <f t="shared" ca="1" si="0"/>
        <v>164.92862055159523</v>
      </c>
      <c r="AV26" s="1418">
        <f t="shared" ca="1" si="1"/>
        <v>90.847978495009357</v>
      </c>
      <c r="AW26" s="1418">
        <f t="shared" ca="1" si="2"/>
        <v>74.080642056585859</v>
      </c>
      <c r="AX26" s="660">
        <f t="shared" ca="1" si="3"/>
        <v>0</v>
      </c>
    </row>
    <row r="27" spans="2:50" x14ac:dyDescent="0.35">
      <c r="B27" s="58">
        <f t="shared" si="5"/>
        <v>16</v>
      </c>
      <c r="C27" s="152" t="s">
        <v>1612</v>
      </c>
      <c r="D27" s="268"/>
      <c r="E27" s="1402"/>
      <c r="F27" s="1402"/>
      <c r="G27" s="1402"/>
      <c r="H27" s="1402"/>
      <c r="I27" s="1402"/>
      <c r="J27" s="1402"/>
      <c r="K27" s="1402"/>
      <c r="L27" s="19"/>
      <c r="M27" s="1402">
        <f t="array" ref="M27:M33">TRANSPOSE(E40:K40)</f>
        <v>6.120569132769071</v>
      </c>
      <c r="N27" s="1402"/>
      <c r="O27" s="1402"/>
      <c r="P27" s="1402"/>
      <c r="Q27" s="676"/>
      <c r="T27" s="1241">
        <f t="shared" si="4"/>
        <v>0</v>
      </c>
      <c r="U27" s="1402"/>
      <c r="V27" s="1402"/>
      <c r="W27" s="1402"/>
      <c r="X27" s="1402"/>
      <c r="Y27" s="1402"/>
      <c r="Z27" s="1402"/>
      <c r="AA27" s="19"/>
      <c r="AB27" s="1402">
        <f>+M27</f>
        <v>6.120569132769071</v>
      </c>
      <c r="AC27" s="1402"/>
      <c r="AD27" s="1402"/>
      <c r="AE27" s="1402"/>
      <c r="AH27" s="1402"/>
      <c r="AI27" s="1402"/>
      <c r="AJ27" s="1402"/>
      <c r="AK27" s="1402"/>
      <c r="AL27" s="1402"/>
      <c r="AM27" s="1402"/>
      <c r="AN27" s="1402"/>
      <c r="AO27" s="19"/>
      <c r="AP27" s="1402"/>
      <c r="AQ27" s="1402"/>
      <c r="AR27" s="1402"/>
      <c r="AS27" s="1402"/>
      <c r="AU27" s="1418">
        <f t="shared" si="0"/>
        <v>6.120569132769071</v>
      </c>
      <c r="AV27" s="1418">
        <f t="shared" si="1"/>
        <v>6.120569132769071</v>
      </c>
      <c r="AW27" s="1418">
        <f t="shared" si="2"/>
        <v>0</v>
      </c>
      <c r="AX27" s="660">
        <f t="shared" si="3"/>
        <v>0</v>
      </c>
    </row>
    <row r="28" spans="2:50" x14ac:dyDescent="0.35">
      <c r="B28" s="58">
        <f t="shared" si="5"/>
        <v>17</v>
      </c>
      <c r="C28" s="152" t="s">
        <v>1613</v>
      </c>
      <c r="D28" s="268"/>
      <c r="E28" s="1402"/>
      <c r="F28" s="1402"/>
      <c r="G28" s="1402"/>
      <c r="H28" s="1402"/>
      <c r="I28" s="1402"/>
      <c r="J28" s="1402"/>
      <c r="K28" s="1402"/>
      <c r="L28" s="19"/>
      <c r="M28" s="1402">
        <v>12.713900145616353</v>
      </c>
      <c r="N28" s="1402"/>
      <c r="O28" s="1402"/>
      <c r="P28" s="1402"/>
      <c r="Q28" s="676"/>
      <c r="T28" s="1241">
        <f t="shared" si="4"/>
        <v>0</v>
      </c>
      <c r="U28" s="1402"/>
      <c r="V28" s="1402"/>
      <c r="W28" s="1402"/>
      <c r="X28" s="1402"/>
      <c r="Y28" s="1402"/>
      <c r="Z28" s="1402"/>
      <c r="AA28" s="19"/>
      <c r="AB28" s="1402">
        <f t="shared" ref="AB28:AB35" si="16">+M28</f>
        <v>12.713900145616353</v>
      </c>
      <c r="AC28" s="1402"/>
      <c r="AD28" s="1402"/>
      <c r="AE28" s="1402"/>
      <c r="AH28" s="1402"/>
      <c r="AI28" s="1402"/>
      <c r="AJ28" s="1402"/>
      <c r="AK28" s="1402"/>
      <c r="AL28" s="1402"/>
      <c r="AM28" s="1402"/>
      <c r="AN28" s="1402"/>
      <c r="AO28" s="19"/>
      <c r="AP28" s="1402"/>
      <c r="AQ28" s="1402"/>
      <c r="AR28" s="1402"/>
      <c r="AS28" s="1402"/>
      <c r="AU28" s="1418">
        <f t="shared" si="0"/>
        <v>12.713900145616353</v>
      </c>
      <c r="AV28" s="1418">
        <f t="shared" si="1"/>
        <v>12.713900145616353</v>
      </c>
      <c r="AW28" s="1418">
        <f t="shared" si="2"/>
        <v>0</v>
      </c>
      <c r="AX28" s="660">
        <f t="shared" si="3"/>
        <v>0</v>
      </c>
    </row>
    <row r="29" spans="2:50" x14ac:dyDescent="0.35">
      <c r="B29" s="58">
        <f t="shared" si="5"/>
        <v>18</v>
      </c>
      <c r="C29" s="152" t="s">
        <v>1614</v>
      </c>
      <c r="D29" s="268"/>
      <c r="E29" s="1402"/>
      <c r="F29" s="1402"/>
      <c r="G29" s="1402"/>
      <c r="H29" s="1402"/>
      <c r="I29" s="1402"/>
      <c r="J29" s="1402"/>
      <c r="K29" s="1402"/>
      <c r="L29" s="19"/>
      <c r="M29" s="1402">
        <v>12.125320922723679</v>
      </c>
      <c r="N29" s="1402"/>
      <c r="O29" s="1402"/>
      <c r="P29" s="1402"/>
      <c r="Q29" s="676"/>
      <c r="T29" s="1241">
        <f t="shared" si="4"/>
        <v>0</v>
      </c>
      <c r="U29" s="1402"/>
      <c r="V29" s="1402"/>
      <c r="W29" s="1402"/>
      <c r="X29" s="1402"/>
      <c r="Y29" s="1402"/>
      <c r="Z29" s="1402"/>
      <c r="AA29" s="19"/>
      <c r="AB29" s="1402">
        <f t="shared" si="16"/>
        <v>12.125320922723679</v>
      </c>
      <c r="AC29" s="1402"/>
      <c r="AD29" s="1402"/>
      <c r="AE29" s="1402"/>
      <c r="AH29" s="1402"/>
      <c r="AI29" s="1402"/>
      <c r="AJ29" s="1402"/>
      <c r="AK29" s="1402"/>
      <c r="AL29" s="1402"/>
      <c r="AM29" s="1402"/>
      <c r="AN29" s="1402"/>
      <c r="AO29" s="19"/>
      <c r="AP29" s="1402"/>
      <c r="AQ29" s="1402"/>
      <c r="AR29" s="1402"/>
      <c r="AS29" s="1402"/>
      <c r="AU29" s="1418">
        <f t="shared" si="0"/>
        <v>12.125320922723679</v>
      </c>
      <c r="AV29" s="1418">
        <f t="shared" si="1"/>
        <v>12.125320922723679</v>
      </c>
      <c r="AW29" s="1418">
        <f t="shared" si="2"/>
        <v>0</v>
      </c>
      <c r="AX29" s="660">
        <f t="shared" si="3"/>
        <v>0</v>
      </c>
    </row>
    <row r="30" spans="2:50" x14ac:dyDescent="0.35">
      <c r="B30" s="58">
        <f t="shared" si="5"/>
        <v>19</v>
      </c>
      <c r="C30" s="152" t="s">
        <v>1615</v>
      </c>
      <c r="D30" s="268"/>
      <c r="E30" s="1402"/>
      <c r="F30" s="1402"/>
      <c r="G30" s="1402"/>
      <c r="H30" s="1402"/>
      <c r="I30" s="1402"/>
      <c r="J30" s="1402"/>
      <c r="K30" s="1402"/>
      <c r="L30" s="19"/>
      <c r="M30" s="1402">
        <v>12.74655615260304</v>
      </c>
      <c r="N30" s="1402"/>
      <c r="O30" s="1402"/>
      <c r="P30" s="1402"/>
      <c r="Q30" s="676"/>
      <c r="T30" s="1241">
        <f t="shared" si="4"/>
        <v>0</v>
      </c>
      <c r="U30" s="1402"/>
      <c r="V30" s="1402"/>
      <c r="W30" s="1402"/>
      <c r="X30" s="1402"/>
      <c r="Y30" s="1402"/>
      <c r="Z30" s="1402"/>
      <c r="AA30" s="19"/>
      <c r="AB30" s="1402">
        <f t="shared" si="16"/>
        <v>12.74655615260304</v>
      </c>
      <c r="AC30" s="1402"/>
      <c r="AD30" s="1402"/>
      <c r="AE30" s="1402"/>
      <c r="AH30" s="1402"/>
      <c r="AI30" s="1402"/>
      <c r="AJ30" s="1402"/>
      <c r="AK30" s="1402"/>
      <c r="AL30" s="1402"/>
      <c r="AM30" s="1402"/>
      <c r="AN30" s="1402"/>
      <c r="AO30" s="19"/>
      <c r="AP30" s="1402"/>
      <c r="AQ30" s="1402"/>
      <c r="AR30" s="1402"/>
      <c r="AS30" s="1402"/>
      <c r="AU30" s="1418">
        <f t="shared" si="0"/>
        <v>12.74655615260304</v>
      </c>
      <c r="AV30" s="1418">
        <f t="shared" si="1"/>
        <v>12.74655615260304</v>
      </c>
      <c r="AW30" s="1418">
        <f t="shared" si="2"/>
        <v>0</v>
      </c>
      <c r="AX30" s="660">
        <f t="shared" si="3"/>
        <v>0</v>
      </c>
    </row>
    <row r="31" spans="2:50" x14ac:dyDescent="0.35">
      <c r="B31" s="58">
        <f t="shared" si="5"/>
        <v>20</v>
      </c>
      <c r="C31" s="152" t="s">
        <v>1616</v>
      </c>
      <c r="D31" s="268"/>
      <c r="E31" s="1402"/>
      <c r="F31" s="1402"/>
      <c r="G31" s="1402"/>
      <c r="H31" s="1402"/>
      <c r="I31" s="1402"/>
      <c r="J31" s="1402"/>
      <c r="K31" s="1402"/>
      <c r="L31" s="19"/>
      <c r="M31" s="1402">
        <v>12.366870037842672</v>
      </c>
      <c r="N31" s="1402"/>
      <c r="O31" s="1402"/>
      <c r="P31" s="1402"/>
      <c r="Q31" s="676"/>
      <c r="T31" s="1241">
        <f t="shared" si="4"/>
        <v>0</v>
      </c>
      <c r="U31" s="1402"/>
      <c r="V31" s="1402"/>
      <c r="W31" s="1402"/>
      <c r="X31" s="1402"/>
      <c r="Y31" s="1402"/>
      <c r="Z31" s="1402"/>
      <c r="AA31" s="19"/>
      <c r="AB31" s="1402">
        <f t="shared" si="16"/>
        <v>12.366870037842672</v>
      </c>
      <c r="AC31" s="1402"/>
      <c r="AD31" s="1402"/>
      <c r="AE31" s="1402"/>
      <c r="AH31" s="1402"/>
      <c r="AI31" s="1402"/>
      <c r="AJ31" s="1402"/>
      <c r="AK31" s="1402"/>
      <c r="AL31" s="1402"/>
      <c r="AM31" s="1402"/>
      <c r="AN31" s="1402"/>
      <c r="AO31" s="19"/>
      <c r="AP31" s="1402"/>
      <c r="AQ31" s="1402"/>
      <c r="AR31" s="1402"/>
      <c r="AS31" s="1402"/>
      <c r="AU31" s="1418">
        <f t="shared" si="0"/>
        <v>12.366870037842672</v>
      </c>
      <c r="AV31" s="1418">
        <f t="shared" si="1"/>
        <v>12.366870037842672</v>
      </c>
      <c r="AW31" s="1418">
        <f t="shared" si="2"/>
        <v>0</v>
      </c>
      <c r="AX31" s="660">
        <f t="shared" si="3"/>
        <v>0</v>
      </c>
    </row>
    <row r="32" spans="2:50" x14ac:dyDescent="0.35">
      <c r="B32" s="58">
        <f t="shared" si="5"/>
        <v>21</v>
      </c>
      <c r="C32" s="152" t="s">
        <v>1617</v>
      </c>
      <c r="D32" s="268"/>
      <c r="E32" s="1402"/>
      <c r="F32" s="1402"/>
      <c r="G32" s="1402"/>
      <c r="H32" s="1402"/>
      <c r="I32" s="1402"/>
      <c r="J32" s="1402"/>
      <c r="K32" s="1402"/>
      <c r="L32" s="19"/>
      <c r="M32" s="1402">
        <v>10.193647106539343</v>
      </c>
      <c r="N32" s="1402"/>
      <c r="O32" s="1402"/>
      <c r="P32" s="1402"/>
      <c r="Q32" s="676"/>
      <c r="T32" s="1241">
        <f t="shared" si="4"/>
        <v>0</v>
      </c>
      <c r="U32" s="1402"/>
      <c r="V32" s="1402"/>
      <c r="W32" s="1402"/>
      <c r="X32" s="1402"/>
      <c r="Y32" s="1402"/>
      <c r="Z32" s="1402"/>
      <c r="AA32" s="19"/>
      <c r="AB32" s="1402">
        <f t="shared" si="16"/>
        <v>10.193647106539343</v>
      </c>
      <c r="AC32" s="1402"/>
      <c r="AD32" s="1402"/>
      <c r="AE32" s="1402"/>
      <c r="AH32" s="1402"/>
      <c r="AI32" s="1402"/>
      <c r="AJ32" s="1402"/>
      <c r="AK32" s="1402"/>
      <c r="AL32" s="1402"/>
      <c r="AM32" s="1402"/>
      <c r="AN32" s="1402"/>
      <c r="AO32" s="19"/>
      <c r="AP32" s="1402"/>
      <c r="AQ32" s="1402"/>
      <c r="AR32" s="1402"/>
      <c r="AS32" s="1402"/>
      <c r="AU32" s="1418">
        <f t="shared" si="0"/>
        <v>10.193647106539343</v>
      </c>
      <c r="AV32" s="1418">
        <f t="shared" si="1"/>
        <v>10.193647106539343</v>
      </c>
      <c r="AW32" s="1418">
        <f t="shared" si="2"/>
        <v>0</v>
      </c>
      <c r="AX32" s="660">
        <f t="shared" si="3"/>
        <v>0</v>
      </c>
    </row>
    <row r="33" spans="2:50" x14ac:dyDescent="0.35">
      <c r="B33" s="58">
        <f t="shared" si="5"/>
        <v>22</v>
      </c>
      <c r="C33" s="152" t="s">
        <v>1618</v>
      </c>
      <c r="D33" s="268"/>
      <c r="E33" s="1402"/>
      <c r="F33" s="1402"/>
      <c r="G33" s="1402"/>
      <c r="H33" s="1402"/>
      <c r="I33" s="1402"/>
      <c r="J33" s="1402"/>
      <c r="K33" s="1402"/>
      <c r="L33" s="19"/>
      <c r="M33" s="1402">
        <v>9.170821248129263</v>
      </c>
      <c r="N33" s="1402"/>
      <c r="O33" s="1402"/>
      <c r="P33" s="1402"/>
      <c r="Q33" s="676"/>
      <c r="T33" s="1241">
        <f t="shared" si="4"/>
        <v>0</v>
      </c>
      <c r="U33" s="1402"/>
      <c r="V33" s="1402"/>
      <c r="W33" s="1402"/>
      <c r="X33" s="1402"/>
      <c r="Y33" s="1402"/>
      <c r="Z33" s="1402"/>
      <c r="AA33" s="19"/>
      <c r="AB33" s="1402">
        <f t="shared" si="16"/>
        <v>9.170821248129263</v>
      </c>
      <c r="AC33" s="1402"/>
      <c r="AD33" s="1402"/>
      <c r="AE33" s="1402"/>
      <c r="AH33" s="1402"/>
      <c r="AI33" s="1402"/>
      <c r="AJ33" s="1402"/>
      <c r="AK33" s="1402"/>
      <c r="AL33" s="1402"/>
      <c r="AM33" s="1402"/>
      <c r="AN33" s="1402"/>
      <c r="AO33" s="19"/>
      <c r="AP33" s="1402"/>
      <c r="AQ33" s="1402"/>
      <c r="AR33" s="1402"/>
      <c r="AS33" s="1402"/>
      <c r="AU33" s="1418">
        <f t="shared" si="0"/>
        <v>9.170821248129263</v>
      </c>
      <c r="AV33" s="1418">
        <f t="shared" si="1"/>
        <v>9.170821248129263</v>
      </c>
      <c r="AW33" s="1418">
        <f t="shared" si="2"/>
        <v>0</v>
      </c>
      <c r="AX33" s="660">
        <f t="shared" si="3"/>
        <v>0</v>
      </c>
    </row>
    <row r="34" spans="2:50" ht="27.75" x14ac:dyDescent="0.35">
      <c r="B34" s="58">
        <f t="shared" si="5"/>
        <v>23</v>
      </c>
      <c r="C34" s="152" t="s">
        <v>1619</v>
      </c>
      <c r="D34" s="268"/>
      <c r="E34" s="1402"/>
      <c r="F34" s="1402"/>
      <c r="G34" s="1402"/>
      <c r="H34" s="1402"/>
      <c r="I34" s="1402"/>
      <c r="J34" s="1402"/>
      <c r="K34" s="1402"/>
      <c r="L34" s="1402"/>
      <c r="M34" s="1402">
        <f>+N141</f>
        <v>36.38219195091817</v>
      </c>
      <c r="N34" s="1402"/>
      <c r="O34" s="1402"/>
      <c r="P34" s="1402"/>
      <c r="Q34" s="676"/>
      <c r="T34" s="1241">
        <f t="shared" si="4"/>
        <v>0</v>
      </c>
      <c r="U34" s="1402"/>
      <c r="V34" s="1402"/>
      <c r="W34" s="1402"/>
      <c r="X34" s="1402"/>
      <c r="Y34" s="1402"/>
      <c r="Z34" s="1402"/>
      <c r="AA34" s="1402"/>
      <c r="AB34" s="1402">
        <f t="shared" si="16"/>
        <v>36.38219195091817</v>
      </c>
      <c r="AC34" s="1402"/>
      <c r="AD34" s="1402"/>
      <c r="AE34" s="1402"/>
      <c r="AH34" s="1402"/>
      <c r="AI34" s="1402"/>
      <c r="AJ34" s="1402"/>
      <c r="AK34" s="1402"/>
      <c r="AL34" s="1402"/>
      <c r="AM34" s="1402"/>
      <c r="AN34" s="1402"/>
      <c r="AO34" s="1402"/>
      <c r="AP34" s="1402"/>
      <c r="AQ34" s="1402"/>
      <c r="AR34" s="1402"/>
      <c r="AS34" s="1402"/>
      <c r="AU34" s="1418">
        <f t="shared" si="0"/>
        <v>36.38219195091817</v>
      </c>
      <c r="AV34" s="1418">
        <f t="shared" si="1"/>
        <v>36.38219195091817</v>
      </c>
      <c r="AW34" s="1418">
        <f t="shared" si="2"/>
        <v>0</v>
      </c>
      <c r="AX34" s="660">
        <f t="shared" si="3"/>
        <v>0</v>
      </c>
    </row>
    <row r="35" spans="2:50" x14ac:dyDescent="0.35">
      <c r="B35" s="58"/>
      <c r="C35" s="152" t="s">
        <v>1629</v>
      </c>
      <c r="D35" s="268"/>
      <c r="E35" s="1402"/>
      <c r="F35" s="1402"/>
      <c r="G35" s="1402"/>
      <c r="H35" s="1402"/>
      <c r="I35" s="1402"/>
      <c r="J35" s="1402"/>
      <c r="K35" s="1402"/>
      <c r="L35" s="1402"/>
      <c r="M35" s="1402">
        <f>+L40</f>
        <v>4.2551086441143173</v>
      </c>
      <c r="N35" s="1402"/>
      <c r="O35" s="1402"/>
      <c r="P35" s="1402"/>
      <c r="Q35" s="676"/>
      <c r="T35" s="1241">
        <f t="shared" si="4"/>
        <v>0</v>
      </c>
      <c r="U35" s="1402"/>
      <c r="V35" s="1402"/>
      <c r="W35" s="1402"/>
      <c r="X35" s="1402"/>
      <c r="Y35" s="1402"/>
      <c r="Z35" s="1402"/>
      <c r="AA35" s="1402"/>
      <c r="AB35" s="1402">
        <f t="shared" si="16"/>
        <v>4.2551086441143173</v>
      </c>
      <c r="AC35" s="1402"/>
      <c r="AD35" s="1402"/>
      <c r="AE35" s="1402"/>
      <c r="AH35" s="1402"/>
      <c r="AI35" s="1402"/>
      <c r="AJ35" s="1402"/>
      <c r="AK35" s="1402"/>
      <c r="AL35" s="1402"/>
      <c r="AM35" s="1402"/>
      <c r="AN35" s="1402"/>
      <c r="AO35" s="1402"/>
      <c r="AP35" s="1402"/>
      <c r="AQ35" s="1402"/>
      <c r="AR35" s="1402"/>
      <c r="AS35" s="1402"/>
      <c r="AU35" s="1418">
        <f t="shared" si="0"/>
        <v>4.2551086441143173</v>
      </c>
      <c r="AV35" s="1418">
        <f t="shared" si="1"/>
        <v>4.2551086441143173</v>
      </c>
      <c r="AW35" s="1418">
        <f t="shared" si="2"/>
        <v>0</v>
      </c>
      <c r="AX35" s="660">
        <f t="shared" si="3"/>
        <v>0</v>
      </c>
    </row>
    <row r="36" spans="2:50" x14ac:dyDescent="0.35">
      <c r="B36" s="58">
        <f>B34+1</f>
        <v>24</v>
      </c>
      <c r="C36" s="152"/>
      <c r="D36" s="268"/>
      <c r="E36" s="1402"/>
      <c r="F36" s="1402"/>
      <c r="G36" s="1402"/>
      <c r="H36" s="1402"/>
      <c r="I36" s="1402"/>
      <c r="J36" s="1402"/>
      <c r="K36" s="1402"/>
      <c r="L36" s="1402"/>
      <c r="M36" s="1402"/>
      <c r="N36" s="1402"/>
      <c r="O36" s="1402"/>
      <c r="P36" s="1402"/>
      <c r="Q36" s="676"/>
      <c r="T36" s="1241">
        <f t="shared" si="4"/>
        <v>0</v>
      </c>
      <c r="U36" s="1402"/>
      <c r="V36" s="1402"/>
      <c r="W36" s="1402"/>
      <c r="X36" s="1402"/>
      <c r="Y36" s="1402"/>
      <c r="Z36" s="1402"/>
      <c r="AA36" s="1402"/>
      <c r="AB36" s="1402"/>
      <c r="AC36" s="1402"/>
      <c r="AD36" s="1402"/>
      <c r="AE36" s="1402"/>
      <c r="AH36" s="1402"/>
      <c r="AI36" s="1402"/>
      <c r="AJ36" s="1402"/>
      <c r="AK36" s="1402"/>
      <c r="AL36" s="1402"/>
      <c r="AM36" s="1402"/>
      <c r="AN36" s="1402"/>
      <c r="AO36" s="1402"/>
      <c r="AP36" s="1402"/>
      <c r="AQ36" s="1402"/>
      <c r="AR36" s="1402"/>
      <c r="AS36" s="1402"/>
      <c r="AU36" s="1418">
        <f t="shared" si="0"/>
        <v>0</v>
      </c>
      <c r="AV36" s="1418">
        <f t="shared" si="1"/>
        <v>0</v>
      </c>
      <c r="AW36" s="1418">
        <f t="shared" si="2"/>
        <v>0</v>
      </c>
      <c r="AX36" s="660">
        <f t="shared" si="3"/>
        <v>0</v>
      </c>
    </row>
    <row r="37" spans="2:50" x14ac:dyDescent="0.35">
      <c r="B37" s="58">
        <f t="shared" si="5"/>
        <v>25</v>
      </c>
      <c r="C37" s="152"/>
      <c r="D37" s="268"/>
      <c r="E37" s="1402"/>
      <c r="F37" s="1402"/>
      <c r="G37" s="1402"/>
      <c r="H37" s="1402"/>
      <c r="I37" s="1402"/>
      <c r="J37" s="1402"/>
      <c r="K37" s="1402"/>
      <c r="L37" s="1402"/>
      <c r="M37" s="1402"/>
      <c r="N37" s="1402"/>
      <c r="O37" s="1402"/>
      <c r="P37" s="1402"/>
      <c r="Q37" s="676"/>
      <c r="T37" s="1241">
        <f t="shared" si="4"/>
        <v>0</v>
      </c>
      <c r="U37" s="1402"/>
      <c r="V37" s="1402"/>
      <c r="W37" s="1402"/>
      <c r="X37" s="1402"/>
      <c r="Y37" s="1402"/>
      <c r="Z37" s="1402"/>
      <c r="AA37" s="1402"/>
      <c r="AB37" s="1402"/>
      <c r="AC37" s="1402"/>
      <c r="AD37" s="1402"/>
      <c r="AE37" s="1402"/>
      <c r="AH37" s="1402"/>
      <c r="AI37" s="1402"/>
      <c r="AJ37" s="1402"/>
      <c r="AK37" s="1402"/>
      <c r="AL37" s="1402"/>
      <c r="AM37" s="1402"/>
      <c r="AN37" s="1402"/>
      <c r="AO37" s="1402"/>
      <c r="AP37" s="1402"/>
      <c r="AQ37" s="1402"/>
      <c r="AR37" s="1402"/>
      <c r="AS37" s="1402"/>
      <c r="AU37" s="1418">
        <f t="shared" si="0"/>
        <v>0</v>
      </c>
      <c r="AV37" s="1418">
        <f t="shared" si="1"/>
        <v>0</v>
      </c>
      <c r="AW37" s="1418">
        <f t="shared" si="2"/>
        <v>0</v>
      </c>
      <c r="AX37" s="660">
        <f t="shared" si="3"/>
        <v>0</v>
      </c>
    </row>
    <row r="38" spans="2:50" ht="27" x14ac:dyDescent="0.35">
      <c r="B38" s="58">
        <f t="shared" si="5"/>
        <v>26</v>
      </c>
      <c r="C38" s="105" t="s">
        <v>1621</v>
      </c>
      <c r="D38" s="268"/>
      <c r="E38" s="1245">
        <f>SUM(E26:E37)</f>
        <v>6.2218436677690709</v>
      </c>
      <c r="F38" s="1245">
        <f t="shared" ref="F38:P38" si="17">SUM(F26:F37)</f>
        <v>12.981850508776354</v>
      </c>
      <c r="G38" s="1245">
        <f t="shared" si="17"/>
        <v>12.70101188503368</v>
      </c>
      <c r="H38" s="1245">
        <f t="shared" si="17"/>
        <v>13.88933203606304</v>
      </c>
      <c r="I38" s="1245">
        <f t="shared" si="17"/>
        <v>14.104821565998172</v>
      </c>
      <c r="J38" s="1245">
        <f t="shared" si="17"/>
        <v>12.892399809307342</v>
      </c>
      <c r="K38" s="1245">
        <f t="shared" si="17"/>
        <v>14.395463247100263</v>
      </c>
      <c r="L38" s="1245">
        <f t="shared" si="17"/>
        <v>14.943543660200056</v>
      </c>
      <c r="M38" s="1245">
        <f t="shared" ca="1" si="17"/>
        <v>131.43495386313742</v>
      </c>
      <c r="N38" s="1245">
        <f t="shared" ca="1" si="17"/>
        <v>15.560448150162326</v>
      </c>
      <c r="O38" s="1245">
        <f t="shared" ca="1" si="17"/>
        <v>15.814403991130082</v>
      </c>
      <c r="P38" s="1245">
        <f t="shared" ca="1" si="17"/>
        <v>16.063533508173311</v>
      </c>
      <c r="Q38" s="676"/>
      <c r="T38" s="1245">
        <f>SUM(T26:T37)</f>
        <v>6.2218436677690709</v>
      </c>
      <c r="U38" s="1245">
        <f t="shared" ref="U38:AE38" si="18">SUM(U26:U37)</f>
        <v>6.7334891682757467</v>
      </c>
      <c r="V38" s="1245">
        <f t="shared" si="18"/>
        <v>6.2155519514591502</v>
      </c>
      <c r="W38" s="1245">
        <f t="shared" si="18"/>
        <v>6.6804867048144363</v>
      </c>
      <c r="X38" s="1245">
        <f t="shared" si="18"/>
        <v>6.6291928391719468</v>
      </c>
      <c r="Y38" s="1245">
        <f t="shared" si="18"/>
        <v>6.2118940502662561</v>
      </c>
      <c r="Z38" s="1245">
        <f t="shared" si="18"/>
        <v>7.0883206014207589</v>
      </c>
      <c r="AA38" s="1245">
        <f t="shared" si="18"/>
        <v>8.1483228716459788</v>
      </c>
      <c r="AB38" s="1245">
        <f t="shared" ca="1" si="18"/>
        <v>124.80169445339438</v>
      </c>
      <c r="AC38" s="1245">
        <f t="shared" ca="1" si="18"/>
        <v>9.0976917133030586</v>
      </c>
      <c r="AD38" s="1245">
        <f t="shared" ca="1" si="18"/>
        <v>9.4617653263648904</v>
      </c>
      <c r="AE38" s="1245">
        <f t="shared" ca="1" si="18"/>
        <v>9.6327104883795815</v>
      </c>
      <c r="AH38" s="1245"/>
      <c r="AI38" s="1245">
        <f t="shared" ref="AI38:AS38" si="19">SUM(AI26:AI37)</f>
        <v>6.2483613405006047</v>
      </c>
      <c r="AJ38" s="1245">
        <f t="shared" si="19"/>
        <v>6.4854599335745329</v>
      </c>
      <c r="AK38" s="1245">
        <f t="shared" si="19"/>
        <v>7.2088453312486056</v>
      </c>
      <c r="AL38" s="1245">
        <f t="shared" si="19"/>
        <v>7.4756287268262227</v>
      </c>
      <c r="AM38" s="1245">
        <f t="shared" si="19"/>
        <v>6.6805057590410817</v>
      </c>
      <c r="AN38" s="1245">
        <f t="shared" si="19"/>
        <v>7.3071426456795017</v>
      </c>
      <c r="AO38" s="1245">
        <f t="shared" si="19"/>
        <v>6.7952207885540785</v>
      </c>
      <c r="AP38" s="1245">
        <f t="shared" ca="1" si="19"/>
        <v>6.6332594097430402</v>
      </c>
      <c r="AQ38" s="1245">
        <f t="shared" ca="1" si="19"/>
        <v>6.4627564368592676</v>
      </c>
      <c r="AR38" s="1245">
        <f t="shared" ca="1" si="19"/>
        <v>6.3526386647651867</v>
      </c>
      <c r="AS38" s="1245">
        <f t="shared" ca="1" si="19"/>
        <v>6.4308230197937313</v>
      </c>
      <c r="AU38" s="1418">
        <f t="shared" ca="1" si="0"/>
        <v>281.00360589285111</v>
      </c>
      <c r="AV38" s="1418">
        <f t="shared" ca="1" si="1"/>
        <v>206.92296383626524</v>
      </c>
      <c r="AW38" s="1418">
        <f t="shared" ca="1" si="2"/>
        <v>74.080642056585859</v>
      </c>
      <c r="AX38" s="660">
        <f t="shared" ca="1" si="3"/>
        <v>0</v>
      </c>
    </row>
    <row r="39" spans="2:50" x14ac:dyDescent="0.35">
      <c r="B39" s="59">
        <f>B34+1</f>
        <v>24</v>
      </c>
      <c r="C39" s="105" t="s">
        <v>1457</v>
      </c>
      <c r="D39" s="268" t="s">
        <v>67</v>
      </c>
      <c r="E39" s="1245">
        <f>+'F13'!G33</f>
        <v>0.101274535</v>
      </c>
      <c r="F39" s="1245">
        <f>+'F13'!G69</f>
        <v>0.26795036315999998</v>
      </c>
      <c r="G39" s="1245">
        <f>+'F13'!G105</f>
        <v>0.57569096230999994</v>
      </c>
      <c r="H39" s="1245">
        <f>+'F13'!G135</f>
        <v>1.1427758834599999</v>
      </c>
      <c r="I39" s="1245">
        <f>+'F13'!G165</f>
        <v>1.7379515281555</v>
      </c>
      <c r="J39" s="1245">
        <f>+'F13'!G195</f>
        <v>2.6987527027679996</v>
      </c>
      <c r="K39" s="1245">
        <f>+'F13'!G226</f>
        <v>5.2246419989710002</v>
      </c>
      <c r="L39" s="1245">
        <f>+'F13.1'!Q100</f>
        <v>10.688435016085739</v>
      </c>
      <c r="M39" s="1245">
        <f>+'F13.2'!R154</f>
        <v>13.829254701899725</v>
      </c>
      <c r="N39" s="1245">
        <f>+'F13.3'!R154</f>
        <v>16.862043792808812</v>
      </c>
      <c r="O39" s="1245">
        <f>+'F13.4'!R154</f>
        <v>20.454048718357882</v>
      </c>
      <c r="P39" s="1245">
        <f>+'F13.5'!R154</f>
        <v>22.025539627448794</v>
      </c>
      <c r="Q39" s="676"/>
      <c r="T39" s="1244">
        <f t="shared" si="4"/>
        <v>0.101274535</v>
      </c>
      <c r="U39" s="1245">
        <f>+'F13 SEZ'!G69</f>
        <v>5.5803604599999987E-2</v>
      </c>
      <c r="V39" s="1245">
        <f>+'F13 SEZ'!G105</f>
        <v>0.35252254105999997</v>
      </c>
      <c r="W39" s="1245">
        <f>+'F13 SEZ'!G135</f>
        <v>0.7737175544999999</v>
      </c>
      <c r="X39" s="1245">
        <f>+'F13 SEZ'!G165</f>
        <v>1.200659328</v>
      </c>
      <c r="Y39" s="1245">
        <f>+'F13 SEZ'!G195</f>
        <v>2.0637611979999995</v>
      </c>
      <c r="Z39" s="1245">
        <f>+'F13 SEZ'!G226</f>
        <v>4.415284572</v>
      </c>
      <c r="AA39" s="1245">
        <f>+'F13.1'!Q35</f>
        <v>9.3951909348094542</v>
      </c>
      <c r="AB39" s="1245">
        <f>+'F13.2'!R65</f>
        <v>12.192940071633513</v>
      </c>
      <c r="AC39" s="1245">
        <f>+'F13.3'!R65</f>
        <v>15.225729162542603</v>
      </c>
      <c r="AD39" s="1245">
        <f>+'F13.4'!R65</f>
        <v>18.276900297531558</v>
      </c>
      <c r="AE39" s="1245">
        <f>+'F13.5'!R65</f>
        <v>19.84839120662247</v>
      </c>
      <c r="AH39" s="1245"/>
      <c r="AI39" s="1245">
        <f>+'F13 Non SEZ'!G69</f>
        <v>0.21214675855999998</v>
      </c>
      <c r="AJ39" s="1245">
        <f>+'F13 Non SEZ'!G105</f>
        <v>0.22316842125000003</v>
      </c>
      <c r="AK39" s="1245">
        <f>+'F13 Non SEZ'!G135</f>
        <v>0.36905832896000001</v>
      </c>
      <c r="AL39" s="1245">
        <f>+'F13 Non SEZ'!G165</f>
        <v>0.53729220015549994</v>
      </c>
      <c r="AM39" s="1245">
        <f>+'F13 Non SEZ'!G195</f>
        <v>0.63499150476799993</v>
      </c>
      <c r="AN39" s="1245">
        <f>+'F13 Non SEZ'!G226</f>
        <v>0.80935742697099999</v>
      </c>
      <c r="AO39" s="1245">
        <f>+'F13.1'!Q70</f>
        <v>1.2932440812762829</v>
      </c>
      <c r="AP39" s="1245">
        <f>+'F13.2'!R124</f>
        <v>1.6363146302662104</v>
      </c>
      <c r="AQ39" s="1245">
        <f>+'F13.3'!R124</f>
        <v>1.6363146302662104</v>
      </c>
      <c r="AR39" s="1245">
        <f>+'F13.4'!R124</f>
        <v>2.177148420826327</v>
      </c>
      <c r="AS39" s="1245">
        <f>+'F13.5'!R124</f>
        <v>2.177148420826327</v>
      </c>
      <c r="AU39" s="1418">
        <f>+SUM(E39:P39)</f>
        <v>95.608359830425442</v>
      </c>
      <c r="AV39" s="1418">
        <f>SUM(T39:AE39)</f>
        <v>83.902175006299586</v>
      </c>
      <c r="AW39" s="1418">
        <f>SUM(AH39:AS39)</f>
        <v>11.706184824125858</v>
      </c>
      <c r="AX39" s="660">
        <f>+AU39-AV39-AW39</f>
        <v>0</v>
      </c>
    </row>
    <row r="40" spans="2:50" x14ac:dyDescent="0.35">
      <c r="B40" s="59">
        <f t="shared" si="5"/>
        <v>25</v>
      </c>
      <c r="C40" s="105" t="s">
        <v>1459</v>
      </c>
      <c r="D40" s="268"/>
      <c r="E40" s="1245">
        <f>+E38-E39</f>
        <v>6.120569132769071</v>
      </c>
      <c r="F40" s="1245">
        <f t="shared" ref="F40:P40" si="20">+F38-F39</f>
        <v>12.713900145616353</v>
      </c>
      <c r="G40" s="1245">
        <f t="shared" si="20"/>
        <v>12.125320922723679</v>
      </c>
      <c r="H40" s="1245">
        <f t="shared" si="20"/>
        <v>12.74655615260304</v>
      </c>
      <c r="I40" s="1245">
        <f t="shared" si="20"/>
        <v>12.366870037842672</v>
      </c>
      <c r="J40" s="1245">
        <f t="shared" si="20"/>
        <v>10.193647106539343</v>
      </c>
      <c r="K40" s="1245">
        <f t="shared" si="20"/>
        <v>9.170821248129263</v>
      </c>
      <c r="L40" s="1245">
        <f t="shared" si="20"/>
        <v>4.2551086441143173</v>
      </c>
      <c r="M40" s="1245">
        <f t="shared" ca="1" si="20"/>
        <v>117.60569916123769</v>
      </c>
      <c r="N40" s="1245">
        <f t="shared" ca="1" si="20"/>
        <v>-1.3015956426464861</v>
      </c>
      <c r="O40" s="1245">
        <f t="shared" ca="1" si="20"/>
        <v>-4.6396447272278003</v>
      </c>
      <c r="P40" s="1245">
        <f t="shared" ca="1" si="20"/>
        <v>-5.9620061192754825</v>
      </c>
      <c r="Q40" s="676"/>
      <c r="T40" s="1245">
        <f>+T38-T39</f>
        <v>6.120569132769071</v>
      </c>
      <c r="U40" s="1245">
        <f t="shared" ref="U40:AE40" si="21">+U38-U39</f>
        <v>6.6776855636757464</v>
      </c>
      <c r="V40" s="1245">
        <f t="shared" si="21"/>
        <v>5.8630294103991503</v>
      </c>
      <c r="W40" s="1245">
        <f t="shared" si="21"/>
        <v>5.9067691503144362</v>
      </c>
      <c r="X40" s="1245">
        <f t="shared" si="21"/>
        <v>5.4285335111719473</v>
      </c>
      <c r="Y40" s="1245">
        <f t="shared" si="21"/>
        <v>4.1481328522662562</v>
      </c>
      <c r="Z40" s="1245">
        <f t="shared" si="21"/>
        <v>2.6730360294207589</v>
      </c>
      <c r="AA40" s="1245">
        <f t="shared" si="21"/>
        <v>-1.2468680631634754</v>
      </c>
      <c r="AB40" s="1245">
        <f t="shared" ca="1" si="21"/>
        <v>112.60875438176086</v>
      </c>
      <c r="AC40" s="1245">
        <f t="shared" ca="1" si="21"/>
        <v>-6.1280374492395442</v>
      </c>
      <c r="AD40" s="1245">
        <f t="shared" ca="1" si="21"/>
        <v>-8.8151349711666676</v>
      </c>
      <c r="AE40" s="1245">
        <f t="shared" ca="1" si="21"/>
        <v>-10.215680718242888</v>
      </c>
      <c r="AH40" s="1245"/>
      <c r="AI40" s="1245">
        <f t="shared" ref="AI40:AS40" si="22">+AI38-AI39</f>
        <v>6.0362145819406043</v>
      </c>
      <c r="AJ40" s="1245">
        <f t="shared" si="22"/>
        <v>6.2622915123245324</v>
      </c>
      <c r="AK40" s="1245">
        <f t="shared" si="22"/>
        <v>6.839787002288606</v>
      </c>
      <c r="AL40" s="1245">
        <f t="shared" si="22"/>
        <v>6.9383365266707226</v>
      </c>
      <c r="AM40" s="1245">
        <f t="shared" si="22"/>
        <v>6.0455142542730815</v>
      </c>
      <c r="AN40" s="1245">
        <f t="shared" si="22"/>
        <v>6.4977852187085015</v>
      </c>
      <c r="AO40" s="1245">
        <f t="shared" si="22"/>
        <v>5.5019767072777954</v>
      </c>
      <c r="AP40" s="1245">
        <f t="shared" ca="1" si="22"/>
        <v>4.9969447794768298</v>
      </c>
      <c r="AQ40" s="1245">
        <f t="shared" ca="1" si="22"/>
        <v>4.8264418065930572</v>
      </c>
      <c r="AR40" s="1245">
        <f t="shared" ca="1" si="22"/>
        <v>4.1754902439388601</v>
      </c>
      <c r="AS40" s="1245">
        <f t="shared" ca="1" si="22"/>
        <v>4.2536745989674039</v>
      </c>
    </row>
    <row r="41" spans="2:50" x14ac:dyDescent="0.35">
      <c r="B41" s="120"/>
      <c r="C41" s="34"/>
      <c r="D41" s="260"/>
      <c r="E41" s="1201"/>
      <c r="F41" s="1201"/>
      <c r="G41" s="1201"/>
      <c r="H41" s="1201"/>
      <c r="I41" s="1201"/>
      <c r="J41" s="1201"/>
      <c r="K41" s="1201"/>
      <c r="L41" s="1201"/>
      <c r="M41" s="1201"/>
      <c r="N41" s="1201"/>
      <c r="O41" s="1201"/>
      <c r="P41" s="1201"/>
      <c r="Q41" s="1202"/>
      <c r="T41" s="1201"/>
      <c r="U41" s="1201"/>
      <c r="V41" s="1201"/>
      <c r="W41" s="1201"/>
      <c r="X41" s="1201"/>
      <c r="Y41" s="1201"/>
      <c r="Z41" s="1201"/>
      <c r="AA41" s="1201"/>
      <c r="AB41" s="1201"/>
      <c r="AC41" s="1201"/>
      <c r="AD41" s="1201"/>
      <c r="AE41" s="1201"/>
      <c r="AH41" s="1201"/>
      <c r="AI41" s="1201"/>
      <c r="AJ41" s="1201"/>
      <c r="AK41" s="1201"/>
      <c r="AL41" s="1201"/>
      <c r="AM41" s="1201"/>
      <c r="AN41" s="1201"/>
      <c r="AO41" s="1201"/>
      <c r="AP41" s="1201"/>
      <c r="AQ41" s="1201"/>
      <c r="AR41" s="1201"/>
      <c r="AS41" s="1201"/>
    </row>
    <row r="42" spans="2:50" x14ac:dyDescent="0.35">
      <c r="B42" s="10" t="s">
        <v>148</v>
      </c>
      <c r="AH42" s="50"/>
      <c r="AI42" s="50"/>
      <c r="AJ42" s="50"/>
      <c r="AK42" s="50"/>
    </row>
    <row r="43" spans="2:50" x14ac:dyDescent="0.35">
      <c r="AH43" s="50"/>
      <c r="AI43" s="50"/>
      <c r="AJ43" s="50"/>
      <c r="AK43" s="50"/>
    </row>
    <row r="44" spans="2:50" x14ac:dyDescent="0.35">
      <c r="AH44" s="50"/>
      <c r="AI44" s="50"/>
      <c r="AJ44" s="50"/>
      <c r="AK44" s="50"/>
    </row>
    <row r="45" spans="2:50" x14ac:dyDescent="0.35">
      <c r="C45" s="34" t="s">
        <v>149</v>
      </c>
      <c r="AH45" s="50"/>
      <c r="AI45" s="50"/>
      <c r="AJ45" s="50"/>
      <c r="AK45" s="50"/>
    </row>
    <row r="46" spans="2:50" x14ac:dyDescent="0.35">
      <c r="AH46" s="50"/>
      <c r="AI46" s="50"/>
      <c r="AJ46" s="50"/>
      <c r="AK46" s="50"/>
    </row>
    <row r="47" spans="2:50" ht="12.75" customHeight="1" x14ac:dyDescent="0.35">
      <c r="B47" s="1938" t="s">
        <v>1</v>
      </c>
      <c r="C47" s="1940" t="s">
        <v>111</v>
      </c>
      <c r="D47" s="1940" t="s">
        <v>3</v>
      </c>
      <c r="E47" s="98" t="s">
        <v>196</v>
      </c>
      <c r="F47" s="98" t="s">
        <v>197</v>
      </c>
      <c r="G47" s="98" t="s">
        <v>198</v>
      </c>
      <c r="H47" s="98" t="s">
        <v>199</v>
      </c>
      <c r="I47" s="362" t="s">
        <v>112</v>
      </c>
      <c r="J47" s="362" t="s">
        <v>113</v>
      </c>
      <c r="K47" s="362" t="s">
        <v>114</v>
      </c>
      <c r="L47" s="1934" t="s">
        <v>1019</v>
      </c>
      <c r="M47" s="1935"/>
      <c r="N47" s="1935"/>
      <c r="O47" s="1935"/>
      <c r="P47" s="1936"/>
      <c r="Q47" s="1941" t="s">
        <v>116</v>
      </c>
      <c r="T47" s="98" t="s">
        <v>196</v>
      </c>
      <c r="U47" s="98" t="s">
        <v>197</v>
      </c>
      <c r="V47" s="98" t="s">
        <v>198</v>
      </c>
      <c r="W47" s="98" t="s">
        <v>199</v>
      </c>
      <c r="X47" s="362" t="s">
        <v>112</v>
      </c>
      <c r="Y47" s="362" t="s">
        <v>113</v>
      </c>
      <c r="Z47" s="362" t="s">
        <v>114</v>
      </c>
      <c r="AA47" s="1934" t="s">
        <v>1019</v>
      </c>
      <c r="AB47" s="1935"/>
      <c r="AC47" s="1935"/>
      <c r="AD47" s="1935"/>
      <c r="AE47" s="1936"/>
      <c r="AH47" s="98" t="s">
        <v>196</v>
      </c>
      <c r="AI47" s="98" t="s">
        <v>197</v>
      </c>
      <c r="AJ47" s="98" t="s">
        <v>198</v>
      </c>
      <c r="AK47" s="98" t="s">
        <v>199</v>
      </c>
      <c r="AL47" s="362" t="s">
        <v>112</v>
      </c>
      <c r="AM47" s="362" t="s">
        <v>113</v>
      </c>
      <c r="AN47" s="362" t="s">
        <v>114</v>
      </c>
      <c r="AO47" s="1934" t="s">
        <v>1019</v>
      </c>
      <c r="AP47" s="1935"/>
      <c r="AQ47" s="1935"/>
      <c r="AR47" s="1935"/>
      <c r="AS47" s="1936"/>
    </row>
    <row r="48" spans="2:50" ht="41.45" customHeight="1" x14ac:dyDescent="0.35">
      <c r="B48" s="1939"/>
      <c r="C48" s="1940"/>
      <c r="D48" s="1940"/>
      <c r="E48" s="1934" t="s">
        <v>117</v>
      </c>
      <c r="F48" s="1935"/>
      <c r="G48" s="1935"/>
      <c r="H48" s="1935"/>
      <c r="I48" s="1935"/>
      <c r="J48" s="1935"/>
      <c r="K48" s="1936"/>
      <c r="L48" s="217" t="s">
        <v>123</v>
      </c>
      <c r="M48" s="217" t="s">
        <v>124</v>
      </c>
      <c r="N48" s="217" t="s">
        <v>125</v>
      </c>
      <c r="O48" s="217" t="s">
        <v>126</v>
      </c>
      <c r="P48" s="217" t="s">
        <v>127</v>
      </c>
      <c r="Q48" s="1941"/>
      <c r="T48" s="1934" t="s">
        <v>117</v>
      </c>
      <c r="U48" s="1935"/>
      <c r="V48" s="1935"/>
      <c r="W48" s="1935"/>
      <c r="X48" s="1935"/>
      <c r="Y48" s="1935"/>
      <c r="Z48" s="1936"/>
      <c r="AA48" s="217" t="s">
        <v>123</v>
      </c>
      <c r="AB48" s="217" t="s">
        <v>124</v>
      </c>
      <c r="AC48" s="217" t="s">
        <v>125</v>
      </c>
      <c r="AD48" s="217" t="s">
        <v>126</v>
      </c>
      <c r="AE48" s="217" t="s">
        <v>127</v>
      </c>
      <c r="AH48" s="1934" t="s">
        <v>117</v>
      </c>
      <c r="AI48" s="1935"/>
      <c r="AJ48" s="1935"/>
      <c r="AK48" s="1935"/>
      <c r="AL48" s="1935"/>
      <c r="AM48" s="1935"/>
      <c r="AN48" s="1936"/>
      <c r="AO48" s="217" t="s">
        <v>123</v>
      </c>
      <c r="AP48" s="217" t="s">
        <v>124</v>
      </c>
      <c r="AQ48" s="217" t="s">
        <v>125</v>
      </c>
      <c r="AR48" s="217" t="s">
        <v>126</v>
      </c>
      <c r="AS48" s="217" t="s">
        <v>127</v>
      </c>
    </row>
    <row r="49" spans="2:50" ht="27.75" x14ac:dyDescent="0.35">
      <c r="B49" s="58">
        <v>1</v>
      </c>
      <c r="C49" s="152" t="s">
        <v>150</v>
      </c>
      <c r="D49" s="268" t="s">
        <v>17</v>
      </c>
      <c r="E49" s="1233">
        <f>+'F2'!Q21</f>
        <v>0.75848660000000001</v>
      </c>
      <c r="F49" s="1233">
        <f>+'F2'!Q36</f>
        <v>1.7147583</v>
      </c>
      <c r="G49" s="1233">
        <f>+'F2'!Q51</f>
        <v>4.0937451949999994</v>
      </c>
      <c r="H49" s="1233">
        <f>+'F2'!Q69</f>
        <v>8.4885383060000024</v>
      </c>
      <c r="I49" s="1234">
        <f>+'F2'!Q85</f>
        <v>11.923470432999999</v>
      </c>
      <c r="J49" s="1235">
        <f>+'F2'!Q101</f>
        <v>21.223852761</v>
      </c>
      <c r="K49" s="1235">
        <f>+'F2'!Q118</f>
        <v>48.259510922520001</v>
      </c>
      <c r="L49" s="1235">
        <f ca="1">+'F2'!Q136</f>
        <v>84.561639287896213</v>
      </c>
      <c r="M49" s="1235">
        <f ca="1">+'F2'!Q154</f>
        <v>106.46528929518276</v>
      </c>
      <c r="N49" s="1235">
        <f ca="1">+'F2'!Q167</f>
        <v>134.7013459150767</v>
      </c>
      <c r="O49" s="1235">
        <f ca="1">+'F2'!Q179</f>
        <v>164.42305909274285</v>
      </c>
      <c r="P49" s="1235">
        <f ca="1">+'F2'!Q192</f>
        <v>180.59522872888641</v>
      </c>
      <c r="Q49" s="19"/>
      <c r="T49" s="1241">
        <f t="shared" ref="T49:T83" si="23">+E49</f>
        <v>0.75848660000000001</v>
      </c>
      <c r="U49" s="1233">
        <f>+F49*Assum!E$132</f>
        <v>0.37087922062004841</v>
      </c>
      <c r="V49" s="1233">
        <f>+G49*Assum!F$132</f>
        <v>2.8405808369505801</v>
      </c>
      <c r="W49" s="1233">
        <f>+H49*Assum!G$132</f>
        <v>6.6860481173457371</v>
      </c>
      <c r="X49" s="1233">
        <f>+I49*Assum!H$132</f>
        <v>9.9356747848656823</v>
      </c>
      <c r="Y49" s="1233">
        <f>+J49*Assum!I$132</f>
        <v>18.198545211312659</v>
      </c>
      <c r="Z49" s="1233">
        <f>+K49*Assum!J$132</f>
        <v>43.932733688395452</v>
      </c>
      <c r="AA49" s="1233">
        <f ca="1">+L49*Assum!K$132</f>
        <v>78.703665325880721</v>
      </c>
      <c r="AB49" s="1233">
        <f ca="1">+M49*Assum!L$132</f>
        <v>99.36802625254704</v>
      </c>
      <c r="AC49" s="1233">
        <f ca="1">+N49*Assum!M$132</f>
        <v>127.41525730724346</v>
      </c>
      <c r="AD49" s="1233">
        <f ca="1">+O49*Assum!N$132</f>
        <v>154.6388962086501</v>
      </c>
      <c r="AE49" s="1233">
        <f ca="1">+P49*Assum!O$132</f>
        <v>170.65350977314154</v>
      </c>
      <c r="AH49" s="1233"/>
      <c r="AI49" s="1233">
        <f>+F49*Assum!P$132</f>
        <v>1.3438790793799518</v>
      </c>
      <c r="AJ49" s="1233">
        <f>+G49*Assum!Q$132</f>
        <v>1.2531643580494185</v>
      </c>
      <c r="AK49" s="1233">
        <f>+H49*Assum!R$132</f>
        <v>1.8024901886542664</v>
      </c>
      <c r="AL49" s="1233">
        <f>+I49*Assum!S$132</f>
        <v>1.9877956481343173</v>
      </c>
      <c r="AM49" s="1233">
        <f>+J49*Assum!T$132</f>
        <v>3.0253075496873367</v>
      </c>
      <c r="AN49" s="1233">
        <f>+K49*Assum!U$132</f>
        <v>4.3267772341245454</v>
      </c>
      <c r="AO49" s="1233">
        <f ca="1">+L49*Assum!V$132</f>
        <v>5.8579739620154676</v>
      </c>
      <c r="AP49" s="1233">
        <f ca="1">+M49*Assum!W$132</f>
        <v>7.0972630426356913</v>
      </c>
      <c r="AQ49" s="1233">
        <f ca="1">+N49*Assum!X$132</f>
        <v>7.2860886078332294</v>
      </c>
      <c r="AR49" s="1233">
        <f ca="1">+O49*Assum!Y$132</f>
        <v>9.7841628840927317</v>
      </c>
      <c r="AS49" s="1233">
        <f ca="1">+P49*Assum!Z$132</f>
        <v>9.9417189557449266</v>
      </c>
      <c r="AU49" s="1418">
        <f t="shared" ref="AU49:AU84" ca="1" si="24">+SUM(E49:P49)</f>
        <v>767.20892483730495</v>
      </c>
      <c r="AV49" s="1418">
        <f t="shared" ref="AV49:AV84" ca="1" si="25">SUM(T49:AE49)</f>
        <v>713.50230332695298</v>
      </c>
      <c r="AW49" s="1418">
        <f t="shared" ref="AW49:AW84" ca="1" si="26">SUM(AH49:AS49)</f>
        <v>53.70662151035188</v>
      </c>
      <c r="AX49" s="745">
        <f t="shared" ref="AX49:AX84" ca="1" si="27">+AU49-AV49-AW49</f>
        <v>8.5265128291212022E-14</v>
      </c>
    </row>
    <row r="50" spans="2:50" x14ac:dyDescent="0.35">
      <c r="B50" s="58">
        <f>B49+1</f>
        <v>2</v>
      </c>
      <c r="C50" s="152" t="s">
        <v>136</v>
      </c>
      <c r="D50" s="262" t="s">
        <v>25</v>
      </c>
      <c r="E50" s="1236">
        <f>+'F3'!E29</f>
        <v>0.88120872419999996</v>
      </c>
      <c r="F50" s="1236">
        <f>+'F3'!F29</f>
        <v>1.5414548335728289</v>
      </c>
      <c r="G50" s="1236">
        <f>+'F3'!G29</f>
        <v>1.5452943047499998</v>
      </c>
      <c r="H50" s="1236">
        <f>+'F3'!H29</f>
        <v>1.8327944509000003</v>
      </c>
      <c r="I50" s="1236">
        <f>+'F3'!I29</f>
        <v>2.1438806262226402</v>
      </c>
      <c r="J50" s="1236">
        <f>+'F3'!J29</f>
        <v>1.7040862642999999</v>
      </c>
      <c r="K50" s="1236">
        <f>+'F3'!K29</f>
        <v>2.6415096270499991</v>
      </c>
      <c r="L50" s="1236">
        <f>+'F3'!L29</f>
        <v>2.85075864583529</v>
      </c>
      <c r="M50" s="1236">
        <f>+'F3'!M29</f>
        <v>3.0781762152653158</v>
      </c>
      <c r="N50" s="1236">
        <f>+'F3'!N29</f>
        <v>3.3254408078340698</v>
      </c>
      <c r="O50" s="1236">
        <f>+'F3'!O29</f>
        <v>3.5943917957901612</v>
      </c>
      <c r="P50" s="1236">
        <f>+'F3'!P29</f>
        <v>3.8870451923134124</v>
      </c>
      <c r="Q50" s="19"/>
      <c r="T50" s="1241">
        <f t="shared" si="23"/>
        <v>0.88120872419999996</v>
      </c>
      <c r="U50" s="1241">
        <f>+'F3'!F69</f>
        <v>0.21139193062493092</v>
      </c>
      <c r="V50" s="1241">
        <f>+'F3'!G69</f>
        <v>0.30569695926068968</v>
      </c>
      <c r="W50" s="1241">
        <f>+'F3'!H69</f>
        <v>0.30659597074510769</v>
      </c>
      <c r="X50" s="1241">
        <f>+'F3'!I69</f>
        <v>0.39902466156344352</v>
      </c>
      <c r="Y50" s="1241">
        <f>+'F3'!J69</f>
        <v>0.28278978332331672</v>
      </c>
      <c r="Z50" s="1241">
        <f>+'F3'!K69</f>
        <v>0.83892512365002658</v>
      </c>
      <c r="AA50" s="1241">
        <f>+'F3'!L69</f>
        <v>1.344708377819626</v>
      </c>
      <c r="AB50" s="1241">
        <f>+'F3'!M69</f>
        <v>1.5996353249023174</v>
      </c>
      <c r="AC50" s="1241">
        <f>+'F3'!N69</f>
        <v>1.8608446402577521</v>
      </c>
      <c r="AD50" s="1241">
        <f>+'F3'!O69</f>
        <v>2.1143293767783788</v>
      </c>
      <c r="AE50" s="1241">
        <f>+'F3'!P69</f>
        <v>2.287010076419786</v>
      </c>
      <c r="AH50" s="1236"/>
      <c r="AI50" s="1241">
        <f>+'F3'!F70</f>
        <v>1.3300629029478979</v>
      </c>
      <c r="AJ50" s="1241">
        <f>+'F3'!G70</f>
        <v>1.2395973454893099</v>
      </c>
      <c r="AK50" s="1241">
        <f>+'F3'!H70</f>
        <v>1.5261984801548925</v>
      </c>
      <c r="AL50" s="1241">
        <f>+'F3'!I70</f>
        <v>1.7448559646591968</v>
      </c>
      <c r="AM50" s="1241">
        <f>+'F3'!J70</f>
        <v>1.421296480976683</v>
      </c>
      <c r="AN50" s="1241">
        <f>+'F3'!K70</f>
        <v>1.8025845033999728</v>
      </c>
      <c r="AO50" s="1241">
        <f>+'F3'!L70</f>
        <v>1.506050268015664</v>
      </c>
      <c r="AP50" s="1241">
        <f>+'F3'!M70</f>
        <v>1.478540890362998</v>
      </c>
      <c r="AQ50" s="1241">
        <f>+'F3'!N70</f>
        <v>1.4645961675763177</v>
      </c>
      <c r="AR50" s="1241">
        <f>+'F3'!O70</f>
        <v>1.4800624190117821</v>
      </c>
      <c r="AS50" s="1241">
        <f>+'F3'!P70</f>
        <v>1.6000351158936266</v>
      </c>
      <c r="AU50" s="1418">
        <f t="shared" si="24"/>
        <v>29.026041488033719</v>
      </c>
      <c r="AV50" s="1418">
        <f t="shared" si="25"/>
        <v>12.432160949545377</v>
      </c>
      <c r="AW50" s="1418">
        <f t="shared" si="26"/>
        <v>16.593880538488339</v>
      </c>
      <c r="AX50" s="660">
        <f t="shared" si="27"/>
        <v>0</v>
      </c>
    </row>
    <row r="51" spans="2:50" ht="27.75" x14ac:dyDescent="0.35">
      <c r="B51" s="58">
        <f t="shared" ref="B51:B69" si="28">B50+1</f>
        <v>3</v>
      </c>
      <c r="C51" s="61" t="s">
        <v>137</v>
      </c>
      <c r="D51" s="262" t="s">
        <v>151</v>
      </c>
      <c r="E51" s="1236">
        <f>+'F5.2 (E) Existing'!E68</f>
        <v>3.7417869999999999E-2</v>
      </c>
      <c r="F51" s="1236">
        <f>+'F5.2 (E) Existing'!J68</f>
        <v>9.431896360344888E-2</v>
      </c>
      <c r="G51" s="1236">
        <f>+'F5.2 (E) Existing'!O68</f>
        <v>0.20449249065307429</v>
      </c>
      <c r="H51" s="1236">
        <f>+'F5.2 (E) Existing'!T68</f>
        <v>0.21784318911137904</v>
      </c>
      <c r="I51" s="1236">
        <f>+'F5.2 (E) Existing'!E82</f>
        <v>0.22896785647938628</v>
      </c>
      <c r="J51" s="1236">
        <f>+'F5.2 (E) Existing'!J82</f>
        <v>0.28281842445432775</v>
      </c>
      <c r="K51" s="1236">
        <f>+'F5.2 (E) Existing'!O82</f>
        <v>0.28589177536232302</v>
      </c>
      <c r="L51" s="1236">
        <f>+'F5.2 (E) Existing'!T82+'F5.2 (N) New'!T82</f>
        <v>0.19380620621616954</v>
      </c>
      <c r="M51" s="1236">
        <f>+'F5.2 (E) Existing'!E96+'F5.2 (N) New'!E96</f>
        <v>0.19640992568945725</v>
      </c>
      <c r="N51" s="1236">
        <f>+'F5.2 (E) Existing'!J96+'F5.2 (N) New'!J96</f>
        <v>0.20235581610239717</v>
      </c>
      <c r="O51" s="1236">
        <f>+'F5.2 (E) Existing'!O96+'F5.2 (N) New'!O96</f>
        <v>0.21180883404612388</v>
      </c>
      <c r="P51" s="1236">
        <f>+'F5.2 (E) Existing'!T96+'F5.2 (N) New'!T96</f>
        <v>0.2304308164761239</v>
      </c>
      <c r="Q51" s="19"/>
      <c r="T51" s="1241">
        <f t="shared" si="23"/>
        <v>3.7417869999999999E-2</v>
      </c>
      <c r="U51" s="1241">
        <f>+F51*Assum!E$141</f>
        <v>1.5979095892488603E-2</v>
      </c>
      <c r="V51" s="1241">
        <f>+G51*Assum!F$141</f>
        <v>3.5312097234845061E-2</v>
      </c>
      <c r="W51" s="1241">
        <f>+H51*Assum!G$141</f>
        <v>3.3833184061685985E-2</v>
      </c>
      <c r="X51" s="1241">
        <f>+I51*Assum!H$141</f>
        <v>2.5111596770982243E-2</v>
      </c>
      <c r="Y51" s="1241">
        <f>+J51*Assum!I$141</f>
        <v>3.3611154252168901E-2</v>
      </c>
      <c r="Z51" s="1241">
        <f>+K51*Assum!J$141</f>
        <v>3.4692434672205091E-2</v>
      </c>
      <c r="AA51" s="1241">
        <f>+L51*Assum!K$141</f>
        <v>2.3518022299526625E-2</v>
      </c>
      <c r="AB51" s="1241">
        <f>+M51*Assum!L$141</f>
        <v>2.3833978810053395E-2</v>
      </c>
      <c r="AC51" s="1241">
        <f>+N51*Assum!M$141</f>
        <v>2.4555501541714996E-2</v>
      </c>
      <c r="AD51" s="1241">
        <f>+O51*Assum!N$141</f>
        <v>2.5702607669732491E-2</v>
      </c>
      <c r="AE51" s="1241">
        <f>+P51*Assum!O$141</f>
        <v>2.7962350567550975E-2</v>
      </c>
      <c r="AH51" s="1236"/>
      <c r="AI51" s="1241">
        <f>+F51*Assum!P$141</f>
        <v>7.8339867710960284E-2</v>
      </c>
      <c r="AJ51" s="1241">
        <f>+G51*Assum!Q$141</f>
        <v>0.16918039341822921</v>
      </c>
      <c r="AK51" s="1241">
        <f>+H51*Assum!R$141</f>
        <v>0.18401000504969303</v>
      </c>
      <c r="AL51" s="1241">
        <f>+I51*Assum!S$141</f>
        <v>0.20385625970840399</v>
      </c>
      <c r="AM51" s="1241">
        <f>+J51*Assum!T$141</f>
        <v>0.24920727020215883</v>
      </c>
      <c r="AN51" s="1241">
        <f>+K51*Assum!U$141</f>
        <v>0.25119934069011796</v>
      </c>
      <c r="AO51" s="1241">
        <f>+L51*Assum!V$141</f>
        <v>0.17028818391664294</v>
      </c>
      <c r="AP51" s="1241">
        <f>+M51*Assum!W$141</f>
        <v>0.17257594687940389</v>
      </c>
      <c r="AQ51" s="1241">
        <f>+N51*Assum!X$141</f>
        <v>0.17780031456068221</v>
      </c>
      <c r="AR51" s="1241">
        <f>+O51*Assum!Y$141</f>
        <v>0.18610622637639143</v>
      </c>
      <c r="AS51" s="1241">
        <f>+P51*Assum!Z$141</f>
        <v>0.20246846590857295</v>
      </c>
      <c r="AU51" s="1418">
        <f t="shared" si="24"/>
        <v>2.3865621681942106</v>
      </c>
      <c r="AV51" s="1418">
        <f t="shared" si="25"/>
        <v>0.34152989377295434</v>
      </c>
      <c r="AW51" s="1418">
        <f t="shared" si="26"/>
        <v>2.0450322744212568</v>
      </c>
      <c r="AX51" s="660">
        <f t="shared" si="27"/>
        <v>0</v>
      </c>
    </row>
    <row r="52" spans="2:50" x14ac:dyDescent="0.35">
      <c r="B52" s="58">
        <f t="shared" si="28"/>
        <v>4</v>
      </c>
      <c r="C52" s="152" t="s">
        <v>52</v>
      </c>
      <c r="D52" s="262" t="s">
        <v>53</v>
      </c>
      <c r="E52" s="1236">
        <f>+'F6'!D137</f>
        <v>2.7840723025384616E-2</v>
      </c>
      <c r="F52" s="1236">
        <f>+'F6'!E137</f>
        <v>9.9157609373700731E-2</v>
      </c>
      <c r="G52" s="1236">
        <f>+'F6'!F137</f>
        <v>0.12475960624454406</v>
      </c>
      <c r="H52" s="1236">
        <f>+'F6'!G137</f>
        <v>0.108312592696461</v>
      </c>
      <c r="I52" s="1236">
        <f>+'F6'!H137</f>
        <v>0.13939003459464031</v>
      </c>
      <c r="J52" s="1236">
        <f>+'F6'!I137</f>
        <v>0.15826253090410008</v>
      </c>
      <c r="K52" s="1236">
        <f>+'F6'!J137</f>
        <v>0.13244963504464763</v>
      </c>
      <c r="L52" s="1236">
        <f>+'F6'!K137</f>
        <v>0.11315773719058742</v>
      </c>
      <c r="M52" s="1236">
        <f>+'F6'!L137</f>
        <v>0.1051820130878629</v>
      </c>
      <c r="N52" s="1236">
        <f>+'F6'!M137</f>
        <v>0.10326249472119796</v>
      </c>
      <c r="O52" s="1236">
        <f>+'F6'!N137</f>
        <v>0.10797369256606799</v>
      </c>
      <c r="P52" s="1236">
        <f>+'F6'!O137</f>
        <v>0.11672550574750346</v>
      </c>
      <c r="Q52" s="19"/>
      <c r="T52" s="1241">
        <f t="shared" si="23"/>
        <v>2.7840723025384616E-2</v>
      </c>
      <c r="U52" s="1241">
        <f>+F52*Assum!E$141</f>
        <v>1.6798837562654826E-2</v>
      </c>
      <c r="V52" s="1241">
        <f>+G52*Assum!F$141</f>
        <v>2.1543692546453375E-2</v>
      </c>
      <c r="W52" s="1241">
        <f>+H52*Assum!G$141</f>
        <v>1.6822008068492659E-2</v>
      </c>
      <c r="X52" s="1241">
        <f>+I52*Assum!H$141</f>
        <v>1.5287326336782129E-2</v>
      </c>
      <c r="Y52" s="1241">
        <f>+J52*Assum!I$141</f>
        <v>1.8808485864453932E-2</v>
      </c>
      <c r="Z52" s="1241">
        <f>+K52*Assum!J$141</f>
        <v>1.6072516620390359E-2</v>
      </c>
      <c r="AA52" s="1241">
        <f>+L52*Assum!K$141</f>
        <v>1.3731480733098302E-2</v>
      </c>
      <c r="AB52" s="1241">
        <f>+M52*Assum!L$141</f>
        <v>1.276364146228811E-2</v>
      </c>
      <c r="AC52" s="1241">
        <f>+N52*Assum!M$141</f>
        <v>1.2530711482217067E-2</v>
      </c>
      <c r="AD52" s="1241">
        <f>+O52*Assum!N$141</f>
        <v>1.3102406569471146E-2</v>
      </c>
      <c r="AE52" s="1241">
        <f>+P52*Assum!O$141</f>
        <v>1.4164422805074637E-2</v>
      </c>
      <c r="AH52" s="1236"/>
      <c r="AI52" s="1241">
        <f>+F52*Assum!P$141</f>
        <v>8.2358771811045908E-2</v>
      </c>
      <c r="AJ52" s="1241">
        <f>+G52*Assum!Q$141</f>
        <v>0.10321591369809067</v>
      </c>
      <c r="AK52" s="1241">
        <f>+H52*Assum!R$141</f>
        <v>9.149058462796833E-2</v>
      </c>
      <c r="AL52" s="1241">
        <f>+I52*Assum!S$141</f>
        <v>0.12410270825785814</v>
      </c>
      <c r="AM52" s="1241">
        <f>+J52*Assum!T$141</f>
        <v>0.13945404503964615</v>
      </c>
      <c r="AN52" s="1241">
        <f>+K52*Assum!U$141</f>
        <v>0.11637711842425728</v>
      </c>
      <c r="AO52" s="1241">
        <f>+L52*Assum!V$141</f>
        <v>9.9426256457489134E-2</v>
      </c>
      <c r="AP52" s="1241">
        <f>+M52*Assum!W$141</f>
        <v>9.2418371625574813E-2</v>
      </c>
      <c r="AQ52" s="1241">
        <f>+N52*Assum!X$141</f>
        <v>9.0731783238980915E-2</v>
      </c>
      <c r="AR52" s="1241">
        <f>+O52*Assum!Y$141</f>
        <v>9.487128599659686E-2</v>
      </c>
      <c r="AS52" s="1241">
        <f>+P52*Assum!Z$141</f>
        <v>0.10256108294242884</v>
      </c>
      <c r="AU52" s="1418">
        <f t="shared" si="24"/>
        <v>1.336474175196698</v>
      </c>
      <c r="AV52" s="1418">
        <f t="shared" si="25"/>
        <v>0.19946625307676116</v>
      </c>
      <c r="AW52" s="1418">
        <f t="shared" si="26"/>
        <v>1.137007922119937</v>
      </c>
      <c r="AX52" s="660">
        <f t="shared" si="27"/>
        <v>0</v>
      </c>
    </row>
    <row r="53" spans="2:50" x14ac:dyDescent="0.35">
      <c r="B53" s="58">
        <f t="shared" si="28"/>
        <v>5</v>
      </c>
      <c r="C53" s="61" t="s">
        <v>139</v>
      </c>
      <c r="D53" s="262" t="s">
        <v>55</v>
      </c>
      <c r="E53" s="1236">
        <f>+'F7'!E48</f>
        <v>0</v>
      </c>
      <c r="F53" s="1236">
        <f>+'F7'!F48</f>
        <v>0</v>
      </c>
      <c r="G53" s="1236">
        <f>+'F7'!G48</f>
        <v>0</v>
      </c>
      <c r="H53" s="1236">
        <f>+'F7'!H48</f>
        <v>0</v>
      </c>
      <c r="I53" s="1236">
        <f>+'F7'!I48</f>
        <v>0</v>
      </c>
      <c r="J53" s="1236">
        <f>+'F7'!J48</f>
        <v>0</v>
      </c>
      <c r="K53" s="1236">
        <f>+'F7'!K48</f>
        <v>0</v>
      </c>
      <c r="L53" s="1236">
        <f ca="1">+'F7'!E94</f>
        <v>0</v>
      </c>
      <c r="M53" s="1236">
        <f ca="1">+'F7'!F94</f>
        <v>0</v>
      </c>
      <c r="N53" s="1236">
        <f ca="1">+'F7'!G94</f>
        <v>0</v>
      </c>
      <c r="O53" s="1236">
        <f ca="1">+'F7'!H94</f>
        <v>0</v>
      </c>
      <c r="P53" s="1236">
        <f ca="1">+'F7'!I94</f>
        <v>0</v>
      </c>
      <c r="Q53" s="19"/>
      <c r="T53" s="1241">
        <f t="shared" si="23"/>
        <v>0</v>
      </c>
      <c r="U53" s="1233">
        <f>+F53*Assum!E$145</f>
        <v>0</v>
      </c>
      <c r="V53" s="1233">
        <f>+G53*Assum!F$145</f>
        <v>0</v>
      </c>
      <c r="W53" s="1233">
        <f>+H53*Assum!G$145</f>
        <v>0</v>
      </c>
      <c r="X53" s="1233">
        <f>+I53*Assum!H$145</f>
        <v>0</v>
      </c>
      <c r="Y53" s="1233">
        <f>+J53*Assum!I$145</f>
        <v>0</v>
      </c>
      <c r="Z53" s="1233">
        <f>+K53*Assum!J$145</f>
        <v>0</v>
      </c>
      <c r="AA53" s="1233">
        <f ca="1">+L53*Assum!K$145</f>
        <v>0</v>
      </c>
      <c r="AB53" s="1233">
        <f ca="1">+M53*Assum!L$145</f>
        <v>0</v>
      </c>
      <c r="AC53" s="1233">
        <f ca="1">+N53*Assum!M$145</f>
        <v>0</v>
      </c>
      <c r="AD53" s="1233">
        <f ca="1">+O53*Assum!N$145</f>
        <v>0</v>
      </c>
      <c r="AE53" s="1233">
        <f ca="1">+P53*Assum!O$145</f>
        <v>0</v>
      </c>
      <c r="AH53" s="1236"/>
      <c r="AI53" s="1233">
        <f>+F53*Assum!P$145</f>
        <v>0</v>
      </c>
      <c r="AJ53" s="1233">
        <f>+G53*Assum!Q$145</f>
        <v>0</v>
      </c>
      <c r="AK53" s="1233">
        <f>+H53*Assum!R$145</f>
        <v>0</v>
      </c>
      <c r="AL53" s="1233">
        <f>+I53*Assum!S$145</f>
        <v>0</v>
      </c>
      <c r="AM53" s="1233">
        <f>+J53*Assum!T$145</f>
        <v>0</v>
      </c>
      <c r="AN53" s="1233">
        <f>+K53*Assum!U$145</f>
        <v>0</v>
      </c>
      <c r="AO53" s="1233">
        <f ca="1">+L53*Assum!V$145</f>
        <v>0</v>
      </c>
      <c r="AP53" s="1233">
        <f ca="1">+M53*Assum!W$145</f>
        <v>0</v>
      </c>
      <c r="AQ53" s="1233">
        <f ca="1">+N53*Assum!X$145</f>
        <v>0</v>
      </c>
      <c r="AR53" s="1233">
        <f ca="1">+O53*Assum!Y$145</f>
        <v>0</v>
      </c>
      <c r="AS53" s="1233">
        <f ca="1">+P53*Assum!Z$145</f>
        <v>0</v>
      </c>
      <c r="AU53" s="1418">
        <f t="shared" ca="1" si="24"/>
        <v>0</v>
      </c>
      <c r="AV53" s="1418">
        <f t="shared" ca="1" si="25"/>
        <v>0</v>
      </c>
      <c r="AW53" s="1418">
        <f t="shared" ca="1" si="26"/>
        <v>0</v>
      </c>
      <c r="AX53" s="660">
        <f t="shared" ca="1" si="27"/>
        <v>0</v>
      </c>
    </row>
    <row r="54" spans="2:50" x14ac:dyDescent="0.35">
      <c r="B54" s="58">
        <f t="shared" si="28"/>
        <v>6</v>
      </c>
      <c r="C54" s="61" t="s">
        <v>152</v>
      </c>
      <c r="D54" s="262" t="s">
        <v>55</v>
      </c>
      <c r="E54" s="1236">
        <f>+'F7'!E53</f>
        <v>9.9043821000000011E-3</v>
      </c>
      <c r="F54" s="1236">
        <f>+'F7'!F53</f>
        <v>5.5753747199999995E-2</v>
      </c>
      <c r="G54" s="1236">
        <f>+'F7'!G53</f>
        <v>0.1065011733</v>
      </c>
      <c r="H54" s="1236">
        <f>+'F7'!H53</f>
        <v>0.20113947000000001</v>
      </c>
      <c r="I54" s="1236">
        <f>+'F7'!I53</f>
        <v>0.23153751</v>
      </c>
      <c r="J54" s="1236">
        <f>+'F7'!J53</f>
        <v>0.39620520000000004</v>
      </c>
      <c r="K54" s="1236">
        <f>+'F7'!K53</f>
        <v>0.77602959000000005</v>
      </c>
      <c r="L54" s="1236">
        <f>+'F7'!E98</f>
        <v>0.99114394448250021</v>
      </c>
      <c r="M54" s="1236">
        <f>+'F7'!F98</f>
        <v>1.139815536154875</v>
      </c>
      <c r="N54" s="1236">
        <f>+'F7'!G98</f>
        <v>1.3107878665781063</v>
      </c>
      <c r="O54" s="1236">
        <f>+'F7'!H98</f>
        <v>1.507406046564822</v>
      </c>
      <c r="P54" s="1236">
        <f>+'F7'!I98</f>
        <v>1.7335169535495452</v>
      </c>
      <c r="Q54" s="19"/>
      <c r="T54" s="1241">
        <f t="shared" si="23"/>
        <v>9.9043821000000011E-3</v>
      </c>
      <c r="U54" s="1233">
        <f>+F54*Assum!E$145</f>
        <v>1.2058787706805796E-2</v>
      </c>
      <c r="V54" s="1233">
        <f>+G54*Assum!F$145</f>
        <v>7.3899370277913157E-2</v>
      </c>
      <c r="W54" s="1233">
        <f>+H54*Assum!G$145</f>
        <v>0.15842871013103008</v>
      </c>
      <c r="X54" s="1233">
        <f>+I54*Assum!H$145</f>
        <v>0.19293723356671874</v>
      </c>
      <c r="Y54" s="1233">
        <f>+J54*Assum!I$145</f>
        <v>0.33972899861078032</v>
      </c>
      <c r="Z54" s="1233">
        <f>+K54*Assum!J$145</f>
        <v>0.70645351890367747</v>
      </c>
      <c r="AA54" s="1233">
        <f>+L54*Assum!K$145</f>
        <v>0.92248284154881022</v>
      </c>
      <c r="AB54" s="1233">
        <f>+M54*Assum!L$145</f>
        <v>1.0638323614156877</v>
      </c>
      <c r="AC54" s="1233">
        <f>+N54*Assum!M$145</f>
        <v>1.2398864477609406</v>
      </c>
      <c r="AD54" s="1233">
        <f>+O54*Assum!N$145</f>
        <v>1.4177063026637093</v>
      </c>
      <c r="AE54" s="1233">
        <f>+P54*Assum!O$145</f>
        <v>1.6380873097072879</v>
      </c>
      <c r="AH54" s="1236"/>
      <c r="AI54" s="1233">
        <f>+F54*Assum!P$145</f>
        <v>4.3694959493194206E-2</v>
      </c>
      <c r="AJ54" s="1233">
        <f>+G54*Assum!Q$145</f>
        <v>3.2601803022086817E-2</v>
      </c>
      <c r="AK54" s="1233">
        <f>+H54*Assum!R$145</f>
        <v>4.2710759868969966E-2</v>
      </c>
      <c r="AL54" s="1233">
        <f>+I54*Assum!S$145</f>
        <v>3.8600276433281282E-2</v>
      </c>
      <c r="AM54" s="1233">
        <f>+J54*Assum!T$145</f>
        <v>5.6476201389219639E-2</v>
      </c>
      <c r="AN54" s="1233">
        <f>+K54*Assum!U$145</f>
        <v>6.9576071096322523E-2</v>
      </c>
      <c r="AO54" s="1233">
        <f>+L54*Assum!V$145</f>
        <v>6.8661102933689808E-2</v>
      </c>
      <c r="AP54" s="1233">
        <f>+M54*Assum!W$145</f>
        <v>7.5983174739187129E-2</v>
      </c>
      <c r="AQ54" s="1233">
        <f>+N54*Assum!X$145</f>
        <v>7.090141881716569E-2</v>
      </c>
      <c r="AR54" s="1233">
        <f>+O54*Assum!Y$145</f>
        <v>8.9699743901112322E-2</v>
      </c>
      <c r="AS54" s="1233">
        <f>+P54*Assum!Z$145</f>
        <v>9.5429643842257786E-2</v>
      </c>
      <c r="AU54" s="1418">
        <f t="shared" si="24"/>
        <v>8.4597414199298484</v>
      </c>
      <c r="AV54" s="1418">
        <f t="shared" si="25"/>
        <v>7.7754062643933617</v>
      </c>
      <c r="AW54" s="1418">
        <f t="shared" si="26"/>
        <v>0.68433515553648727</v>
      </c>
      <c r="AX54" s="660">
        <f t="shared" si="27"/>
        <v>0</v>
      </c>
    </row>
    <row r="55" spans="2:50" x14ac:dyDescent="0.35">
      <c r="B55" s="58">
        <f t="shared" si="28"/>
        <v>7</v>
      </c>
      <c r="C55" s="61" t="s">
        <v>153</v>
      </c>
      <c r="D55" s="262" t="s">
        <v>61</v>
      </c>
      <c r="E55" s="1236">
        <f>+'F10'!D28</f>
        <v>0</v>
      </c>
      <c r="F55" s="1236">
        <f>+'F10'!E28</f>
        <v>0</v>
      </c>
      <c r="G55" s="1236">
        <f>+'F10'!F28</f>
        <v>0</v>
      </c>
      <c r="H55" s="1236">
        <f>+'F10'!G28</f>
        <v>0</v>
      </c>
      <c r="I55" s="1236">
        <f>+'F10'!H28</f>
        <v>0</v>
      </c>
      <c r="J55" s="1236">
        <f>+'F10'!I28</f>
        <v>0</v>
      </c>
      <c r="K55" s="1236">
        <f>+'F10'!J28</f>
        <v>0</v>
      </c>
      <c r="L55" s="1236">
        <f>+'F10'!K28</f>
        <v>0</v>
      </c>
      <c r="M55" s="1236">
        <f>+'F10'!L28</f>
        <v>0</v>
      </c>
      <c r="N55" s="1236">
        <f>+'F10'!M28</f>
        <v>0</v>
      </c>
      <c r="O55" s="1236">
        <f>+'F10'!N28</f>
        <v>0</v>
      </c>
      <c r="P55" s="1236">
        <f>+'F10'!O28</f>
        <v>0</v>
      </c>
      <c r="Q55" s="19"/>
      <c r="T55" s="1241">
        <f t="shared" si="23"/>
        <v>0</v>
      </c>
      <c r="U55" s="1233">
        <f>+F55*Assum!E$145</f>
        <v>0</v>
      </c>
      <c r="V55" s="1233">
        <f>+G55*Assum!F$145</f>
        <v>0</v>
      </c>
      <c r="W55" s="1233">
        <f>+H55*Assum!G$145</f>
        <v>0</v>
      </c>
      <c r="X55" s="1233">
        <f>+I55*Assum!H$145</f>
        <v>0</v>
      </c>
      <c r="Y55" s="1233">
        <f>+J55*Assum!I$145</f>
        <v>0</v>
      </c>
      <c r="Z55" s="1233">
        <f>+K55*Assum!J$145</f>
        <v>0</v>
      </c>
      <c r="AA55" s="1233">
        <f>+L55*Assum!K$145</f>
        <v>0</v>
      </c>
      <c r="AB55" s="1233">
        <f>+M55*Assum!L$145</f>
        <v>0</v>
      </c>
      <c r="AC55" s="1233">
        <f>+N55*Assum!M$145</f>
        <v>0</v>
      </c>
      <c r="AD55" s="1233">
        <f>+O55*Assum!N$145</f>
        <v>0</v>
      </c>
      <c r="AE55" s="1233">
        <f>+P55*Assum!O$145</f>
        <v>0</v>
      </c>
      <c r="AH55" s="1236"/>
      <c r="AI55" s="1233">
        <f>+F55*Assum!P$145</f>
        <v>0</v>
      </c>
      <c r="AJ55" s="1233">
        <f>+G55*Assum!Q$145</f>
        <v>0</v>
      </c>
      <c r="AK55" s="1233">
        <f>+H55*Assum!R$145</f>
        <v>0</v>
      </c>
      <c r="AL55" s="1233">
        <f>+I55*Assum!S$145</f>
        <v>0</v>
      </c>
      <c r="AM55" s="1233">
        <f>+J55*Assum!T$145</f>
        <v>0</v>
      </c>
      <c r="AN55" s="1233">
        <f>+K55*Assum!U$145</f>
        <v>0</v>
      </c>
      <c r="AO55" s="1233">
        <f>+L55*Assum!V$145</f>
        <v>0</v>
      </c>
      <c r="AP55" s="1233">
        <f>+M55*Assum!W$145</f>
        <v>0</v>
      </c>
      <c r="AQ55" s="1233">
        <f>+N55*Assum!X$145</f>
        <v>0</v>
      </c>
      <c r="AR55" s="1233">
        <f>+O55*Assum!Y$145</f>
        <v>0</v>
      </c>
      <c r="AS55" s="1233">
        <f>+P55*Assum!Z$145</f>
        <v>0</v>
      </c>
      <c r="AU55" s="1418">
        <f t="shared" si="24"/>
        <v>0</v>
      </c>
      <c r="AV55" s="1418">
        <f t="shared" si="25"/>
        <v>0</v>
      </c>
      <c r="AW55" s="1418">
        <f t="shared" si="26"/>
        <v>0</v>
      </c>
      <c r="AX55" s="660">
        <f t="shared" si="27"/>
        <v>0</v>
      </c>
    </row>
    <row r="56" spans="2:50" x14ac:dyDescent="0.35">
      <c r="B56" s="58">
        <f t="shared" si="28"/>
        <v>8</v>
      </c>
      <c r="C56" s="61" t="s">
        <v>141</v>
      </c>
      <c r="D56" s="262" t="s">
        <v>63</v>
      </c>
      <c r="E56" s="1236">
        <f>+'F11'!D30</f>
        <v>0</v>
      </c>
      <c r="F56" s="1236">
        <f>+'F11'!E30</f>
        <v>1.9147838687500003E-3</v>
      </c>
      <c r="G56" s="1236">
        <f>+'F11'!F30</f>
        <v>5.0863571160585817E-3</v>
      </c>
      <c r="H56" s="1236">
        <f>+'F11'!G30</f>
        <v>5.1121593960585824E-3</v>
      </c>
      <c r="I56" s="1236">
        <f>+'F11'!H30</f>
        <v>5.8778204685585823E-3</v>
      </c>
      <c r="J56" s="1236">
        <f>+'F11'!I30</f>
        <v>8.9488814660585812E-3</v>
      </c>
      <c r="K56" s="1236">
        <f>+'F11'!J30</f>
        <v>9.066508534808582E-3</v>
      </c>
      <c r="L56" s="1236">
        <f>+'F11'!K30</f>
        <v>9.1186429973085827E-3</v>
      </c>
      <c r="M56" s="1236">
        <f>+'F11'!L30</f>
        <v>9.3885929973085824E-3</v>
      </c>
      <c r="N56" s="1236">
        <f>+'F11'!M30</f>
        <v>9.9371492473085826E-3</v>
      </c>
      <c r="O56" s="1236">
        <f>+'F11'!N30</f>
        <v>1.0674341497308584E-2</v>
      </c>
      <c r="P56" s="1236">
        <f>+'F11'!O30</f>
        <v>1.1756029247308581E-2</v>
      </c>
      <c r="Q56" s="19"/>
      <c r="T56" s="1241">
        <f t="shared" si="23"/>
        <v>0</v>
      </c>
      <c r="U56" s="1241">
        <f>+F56*Assum!E$141</f>
        <v>3.2439409725477269E-4</v>
      </c>
      <c r="V56" s="1241">
        <f>+G56*Assum!F$141</f>
        <v>8.7832045313643672E-4</v>
      </c>
      <c r="W56" s="1241">
        <f>+H56*Assum!G$141</f>
        <v>7.939684986483375E-4</v>
      </c>
      <c r="X56" s="1241">
        <f>+I56*Assum!H$141</f>
        <v>6.446383338176441E-4</v>
      </c>
      <c r="Y56" s="1241">
        <f>+J56*Assum!I$141</f>
        <v>1.0635171167522135E-3</v>
      </c>
      <c r="Z56" s="1241">
        <f>+K56*Assum!J$141</f>
        <v>1.1002039308413382E-3</v>
      </c>
      <c r="AA56" s="1241">
        <f>+L56*Assum!K$141</f>
        <v>1.1065303508027366E-3</v>
      </c>
      <c r="AB56" s="1241">
        <f>+M56*Assum!L$141</f>
        <v>1.1392882807148258E-3</v>
      </c>
      <c r="AC56" s="1241">
        <f>+N56*Assum!M$141</f>
        <v>1.2058545603604585E-3</v>
      </c>
      <c r="AD56" s="1241">
        <f>+O56*Assum!N$141</f>
        <v>1.29531146740708E-3</v>
      </c>
      <c r="AE56" s="1241">
        <f>+P56*Assum!O$141</f>
        <v>1.426572262003359E-3</v>
      </c>
      <c r="AH56" s="1236"/>
      <c r="AI56" s="1241">
        <f>+F56*Assum!P$141</f>
        <v>1.5903897714952277E-3</v>
      </c>
      <c r="AJ56" s="1241">
        <f>+G56*Assum!Q$141</f>
        <v>4.2080366629221443E-3</v>
      </c>
      <c r="AK56" s="1241">
        <f>+H56*Assum!R$141</f>
        <v>4.3181908974102446E-3</v>
      </c>
      <c r="AL56" s="1241">
        <f>+I56*Assum!S$141</f>
        <v>5.2331821347409366E-3</v>
      </c>
      <c r="AM56" s="1241">
        <f>+J56*Assum!T$141</f>
        <v>7.8853643493063674E-3</v>
      </c>
      <c r="AN56" s="1241">
        <f>+K56*Assum!U$141</f>
        <v>7.9663046039672447E-3</v>
      </c>
      <c r="AO56" s="1241">
        <f>+L56*Assum!V$141</f>
        <v>8.0121126465058472E-3</v>
      </c>
      <c r="AP56" s="1241">
        <f>+M56*Assum!W$141</f>
        <v>8.2493047165937573E-3</v>
      </c>
      <c r="AQ56" s="1241">
        <f>+N56*Assum!X$141</f>
        <v>8.7312946869481257E-3</v>
      </c>
      <c r="AR56" s="1241">
        <f>+O56*Assum!Y$141</f>
        <v>9.3790300299015049E-3</v>
      </c>
      <c r="AS56" s="1241">
        <f>+P56*Assum!Z$141</f>
        <v>1.0329456985305224E-2</v>
      </c>
      <c r="AU56" s="1418">
        <f t="shared" si="24"/>
        <v>8.6881266836835822E-2</v>
      </c>
      <c r="AV56" s="1418">
        <f t="shared" si="25"/>
        <v>1.0978599351739202E-2</v>
      </c>
      <c r="AW56" s="1418">
        <f t="shared" si="26"/>
        <v>7.5902667485096623E-2</v>
      </c>
      <c r="AX56" s="660">
        <f t="shared" si="27"/>
        <v>0</v>
      </c>
    </row>
    <row r="57" spans="2:50" x14ac:dyDescent="0.35">
      <c r="B57" s="58">
        <f t="shared" si="28"/>
        <v>9</v>
      </c>
      <c r="C57" s="61" t="s">
        <v>154</v>
      </c>
      <c r="D57" s="262" t="s">
        <v>21</v>
      </c>
      <c r="E57" s="1236">
        <f>+'F2.2'!D11</f>
        <v>0.91071400000000002</v>
      </c>
      <c r="F57" s="1236">
        <f>+'F2.2'!E11</f>
        <v>2.4552548000000001</v>
      </c>
      <c r="G57" s="1236">
        <f>+'F2.2'!F11</f>
        <v>0.40523419999999999</v>
      </c>
      <c r="H57" s="1236">
        <f>+'F2.2'!G11</f>
        <v>0.67052683400000002</v>
      </c>
      <c r="I57" s="1236">
        <f>+'F2.2'!H11</f>
        <v>1.247478358</v>
      </c>
      <c r="J57" s="1236">
        <f>+'F2.2'!I11</f>
        <v>1.825815781</v>
      </c>
      <c r="K57" s="1236">
        <f>+'F2.2'!J11</f>
        <v>3.7389622</v>
      </c>
      <c r="L57" s="1236">
        <f>+'F2.2'!K11+'F2.2'!K14</f>
        <v>8.0032504865660705</v>
      </c>
      <c r="M57" s="1236">
        <f>+'F2.2'!L11+'F2.2'!L14</f>
        <v>11.310947312321973</v>
      </c>
      <c r="N57" s="1236">
        <f>+'F2.2'!M11+'F2.2'!M14</f>
        <v>13.087837953424653</v>
      </c>
      <c r="O57" s="1236">
        <f>+'F2.2'!N11+'F2.2'!N14</f>
        <v>15.424127077552335</v>
      </c>
      <c r="P57" s="1236">
        <f>+'F2.2'!O11+'F2.2'!O14</f>
        <v>15.535803053879679</v>
      </c>
      <c r="Q57" s="19"/>
      <c r="T57" s="1241">
        <f>+E57</f>
        <v>0.91071400000000002</v>
      </c>
      <c r="U57" s="1233">
        <f>+F57*Assum!E$132</f>
        <v>0.53103868145594213</v>
      </c>
      <c r="V57" s="1233">
        <f>+G57*Assum!F$132</f>
        <v>0.28118518573235207</v>
      </c>
      <c r="W57" s="1233">
        <f>+H57*Assum!G$132</f>
        <v>0.52814448312339346</v>
      </c>
      <c r="X57" s="1233">
        <f>+I57*Assum!H$132</f>
        <v>1.0395076950031672</v>
      </c>
      <c r="Y57" s="1233">
        <f>+J57*Assum!I$132</f>
        <v>1.5655588743582611</v>
      </c>
      <c r="Z57" s="1233">
        <f>+K57*Assum!J$132</f>
        <v>3.4037400600121903</v>
      </c>
      <c r="AA57" s="1233">
        <f>+L57*Assum!K$132</f>
        <v>7.4488284891142964</v>
      </c>
      <c r="AB57" s="1233">
        <f>+M57*Assum!L$132</f>
        <v>10.556929088463402</v>
      </c>
      <c r="AC57" s="1233">
        <f>+N57*Assum!M$132</f>
        <v>12.379907781192117</v>
      </c>
      <c r="AD57" s="1233">
        <f>+O57*Assum!N$132</f>
        <v>14.506298565515008</v>
      </c>
      <c r="AE57" s="1233">
        <f>+P57*Assum!O$132</f>
        <v>14.680561258176745</v>
      </c>
      <c r="AH57" s="1236"/>
      <c r="AI57" s="1233">
        <f>+F57*Assum!P$132</f>
        <v>1.9242161185440583</v>
      </c>
      <c r="AJ57" s="1233">
        <f>+G57*Assum!Q$132</f>
        <v>0.12404901426764783</v>
      </c>
      <c r="AK57" s="1233">
        <f>+H57*Assum!R$132</f>
        <v>0.14238235087660658</v>
      </c>
      <c r="AL57" s="1233">
        <f>+I57*Assum!S$132</f>
        <v>0.20797066299683289</v>
      </c>
      <c r="AM57" s="1233">
        <f>+J57*Assum!T$132</f>
        <v>0.26025690664173851</v>
      </c>
      <c r="AN57" s="1233">
        <f>+K57*Assum!U$132</f>
        <v>0.33522213998780959</v>
      </c>
      <c r="AO57" s="1233">
        <f>+L57*Assum!V$132</f>
        <v>0.55442199745177201</v>
      </c>
      <c r="AP57" s="1233">
        <f>+M57*Assum!W$132</f>
        <v>0.75401822385856732</v>
      </c>
      <c r="AQ57" s="1233">
        <f>+N57*Assum!X$132</f>
        <v>0.70793017223253663</v>
      </c>
      <c r="AR57" s="1233">
        <f>+O57*Assum!Y$132</f>
        <v>0.91782851203732452</v>
      </c>
      <c r="AS57" s="1233">
        <f>+P57*Assum!Z$132</f>
        <v>0.85524179570293746</v>
      </c>
      <c r="AU57" s="1418">
        <f t="shared" si="24"/>
        <v>74.615952056744717</v>
      </c>
      <c r="AV57" s="1418">
        <f t="shared" si="25"/>
        <v>67.832414162146875</v>
      </c>
      <c r="AW57" s="1418">
        <f t="shared" si="26"/>
        <v>6.7835378945978322</v>
      </c>
      <c r="AX57" s="660">
        <f t="shared" si="27"/>
        <v>9.7699626167013776E-15</v>
      </c>
    </row>
    <row r="58" spans="2:50" x14ac:dyDescent="0.35">
      <c r="B58" s="58">
        <f t="shared" si="28"/>
        <v>10</v>
      </c>
      <c r="C58" s="61" t="s">
        <v>155</v>
      </c>
      <c r="D58" s="262" t="s">
        <v>21</v>
      </c>
      <c r="E58" s="1236">
        <f>+'F2.2'!D12</f>
        <v>5.0124999999999996E-2</v>
      </c>
      <c r="F58" s="1236">
        <f>+'F2.2'!E12</f>
        <v>0.13397500000000001</v>
      </c>
      <c r="G58" s="1236">
        <f>+'F2.2'!F12</f>
        <v>9.4439999999999996E-2</v>
      </c>
      <c r="H58" s="1236">
        <f>+'F2.2'!G12</f>
        <v>5.9357601999999995E-2</v>
      </c>
      <c r="I58" s="1236">
        <f>+'F2.2'!H12</f>
        <v>6.4282559000000003E-2</v>
      </c>
      <c r="J58" s="1236">
        <f>+'F2.2'!I12</f>
        <v>3.5238630999999999E-2</v>
      </c>
      <c r="K58" s="1236">
        <f>+'F2.2'!J12</f>
        <v>1.5324399999999998E-2</v>
      </c>
      <c r="L58" s="1236">
        <f>+'F2.2'!K12</f>
        <v>1.24</v>
      </c>
      <c r="M58" s="1236">
        <f>+'F2.2'!L12</f>
        <v>1.42</v>
      </c>
      <c r="N58" s="1236">
        <f>+'F2.2'!M12</f>
        <v>1.82</v>
      </c>
      <c r="O58" s="1236">
        <f>+'F2.2'!N12</f>
        <v>2.25</v>
      </c>
      <c r="P58" s="1236">
        <f>+'F2.2'!O12</f>
        <v>2.73</v>
      </c>
      <c r="Q58" s="19"/>
      <c r="T58" s="1241">
        <f>+E58</f>
        <v>5.0124999999999996E-2</v>
      </c>
      <c r="U58" s="1233">
        <f>+F58*Assum!E$132</f>
        <v>2.8976995523258869E-2</v>
      </c>
      <c r="V58" s="1233">
        <f>+G58*Assum!F$132</f>
        <v>6.5530325279957446E-2</v>
      </c>
      <c r="W58" s="1233">
        <f>+H58*Assum!G$132</f>
        <v>4.6753371286754657E-2</v>
      </c>
      <c r="X58" s="1233">
        <f>+I58*Assum!H$132</f>
        <v>5.3565830867099581E-2</v>
      </c>
      <c r="Y58" s="1233">
        <f>+J58*Assum!I$132</f>
        <v>3.021561761946789E-2</v>
      </c>
      <c r="Z58" s="1233">
        <f>+K58*Assum!J$132</f>
        <v>1.3950468441657635E-2</v>
      </c>
      <c r="AA58" s="1233">
        <f>+L58*Assum!K$132</f>
        <v>1.1540994927005994</v>
      </c>
      <c r="AB58" s="1233">
        <f>+M58*Assum!L$132</f>
        <v>1.3253389739767631</v>
      </c>
      <c r="AC58" s="1233">
        <f>+N58*Assum!M$132</f>
        <v>1.7215549460462203</v>
      </c>
      <c r="AD58" s="1233">
        <f>+O58*Assum!N$132</f>
        <v>2.1161114407511934</v>
      </c>
      <c r="AE58" s="1233">
        <f>+P58*Assum!O$132</f>
        <v>2.5797142314322818</v>
      </c>
      <c r="AH58" s="1236"/>
      <c r="AI58" s="1233">
        <f>+F58*Assum!P$132</f>
        <v>0.10499800447674115</v>
      </c>
      <c r="AJ58" s="1233">
        <f>+G58*Assum!Q$132</f>
        <v>2.8909674720042536E-2</v>
      </c>
      <c r="AK58" s="1233">
        <f>+H58*Assum!R$132</f>
        <v>1.2604230713245346E-2</v>
      </c>
      <c r="AL58" s="1233">
        <f>+I58*Assum!S$132</f>
        <v>1.0716728132900425E-2</v>
      </c>
      <c r="AM58" s="1233">
        <f>+J58*Assum!T$132</f>
        <v>5.023013380532103E-3</v>
      </c>
      <c r="AN58" s="1233">
        <f>+K58*Assum!U$132</f>
        <v>1.3739315583423627E-3</v>
      </c>
      <c r="AO58" s="1233">
        <f>+L58*Assum!V$132</f>
        <v>8.5900507299400242E-2</v>
      </c>
      <c r="AP58" s="1233">
        <f>+M58*Assum!W$132</f>
        <v>9.4661026023236353E-2</v>
      </c>
      <c r="AQ58" s="1233">
        <f>+N58*Assum!X$132</f>
        <v>9.8445053953779768E-2</v>
      </c>
      <c r="AR58" s="1233">
        <f>+O58*Assum!Y$132</f>
        <v>0.13388855924880608</v>
      </c>
      <c r="AS58" s="1233">
        <f>+P58*Assum!Z$132</f>
        <v>0.15028576856771872</v>
      </c>
      <c r="AU58" s="1418">
        <f t="shared" si="24"/>
        <v>9.9127431920000006</v>
      </c>
      <c r="AV58" s="1418">
        <f t="shared" si="25"/>
        <v>9.1859366939252549</v>
      </c>
      <c r="AW58" s="1418">
        <f t="shared" si="26"/>
        <v>0.72680649807474507</v>
      </c>
      <c r="AX58" s="660">
        <f t="shared" si="27"/>
        <v>0</v>
      </c>
    </row>
    <row r="59" spans="2:50" x14ac:dyDescent="0.35">
      <c r="B59" s="58">
        <f t="shared" si="28"/>
        <v>11</v>
      </c>
      <c r="C59" s="61" t="s">
        <v>1239</v>
      </c>
      <c r="D59" s="262" t="s">
        <v>21</v>
      </c>
      <c r="E59" s="1236"/>
      <c r="F59" s="1236"/>
      <c r="G59" s="1236"/>
      <c r="H59" s="1236"/>
      <c r="I59" s="1236"/>
      <c r="J59" s="1236"/>
      <c r="K59" s="1236"/>
      <c r="L59" s="1236">
        <f>+'F2.2'!K13</f>
        <v>0.35</v>
      </c>
      <c r="M59" s="1236">
        <f>+'F2.2'!L13</f>
        <v>0.42</v>
      </c>
      <c r="N59" s="1236">
        <f>+'F2.2'!M13</f>
        <v>0.48</v>
      </c>
      <c r="O59" s="1236">
        <f>+'F2.2'!N13</f>
        <v>0.52</v>
      </c>
      <c r="P59" s="1236">
        <f>+'F2.2'!O13</f>
        <v>0.56000000000000005</v>
      </c>
      <c r="Q59" s="19"/>
      <c r="T59" s="1241">
        <f>+E59</f>
        <v>0</v>
      </c>
      <c r="U59" s="1233">
        <f>+F59*Assum!E$132</f>
        <v>0</v>
      </c>
      <c r="V59" s="1233">
        <f>+G59*Assum!F$132</f>
        <v>0</v>
      </c>
      <c r="W59" s="1233">
        <f>+H59*Assum!G$132</f>
        <v>0</v>
      </c>
      <c r="X59" s="1233">
        <f>+I59*Assum!H$132</f>
        <v>0</v>
      </c>
      <c r="Y59" s="1233">
        <f>+J59*Assum!I$132</f>
        <v>0</v>
      </c>
      <c r="Z59" s="1233">
        <f>+K59*Assum!J$132</f>
        <v>0</v>
      </c>
      <c r="AA59" s="1233">
        <f>+L59*Assum!K$132</f>
        <v>0.32575388906871755</v>
      </c>
      <c r="AB59" s="1233">
        <f>+M59*Assum!L$132</f>
        <v>0.39200166835932432</v>
      </c>
      <c r="AC59" s="1233">
        <f>+N59*Assum!M$132</f>
        <v>0.45403646928691521</v>
      </c>
      <c r="AD59" s="1233">
        <f>+O59*Assum!N$132</f>
        <v>0.48905686630694251</v>
      </c>
      <c r="AE59" s="1233">
        <f>+P59*Assum!O$132</f>
        <v>0.52917215003739126</v>
      </c>
      <c r="AH59" s="1236"/>
      <c r="AI59" s="1233">
        <f>+F59*Assum!P$132</f>
        <v>0</v>
      </c>
      <c r="AJ59" s="1233">
        <f>+G59*Assum!Q$132</f>
        <v>0</v>
      </c>
      <c r="AK59" s="1233">
        <f>+H59*Assum!R$132</f>
        <v>0</v>
      </c>
      <c r="AL59" s="1233">
        <f>+I59*Assum!S$132</f>
        <v>0</v>
      </c>
      <c r="AM59" s="1233">
        <f>+J59*Assum!T$132</f>
        <v>0</v>
      </c>
      <c r="AN59" s="1233">
        <f>+K59*Assum!U$132</f>
        <v>0</v>
      </c>
      <c r="AO59" s="1233">
        <f>+L59*Assum!V$132</f>
        <v>2.4246110931282327E-2</v>
      </c>
      <c r="AP59" s="1233">
        <f>+M59*Assum!W$132</f>
        <v>2.7998331640675538E-2</v>
      </c>
      <c r="AQ59" s="1233">
        <f>+N59*Assum!X$132</f>
        <v>2.5963530713084774E-2</v>
      </c>
      <c r="AR59" s="1233">
        <f>+O59*Assum!Y$132</f>
        <v>3.0943133693057408E-2</v>
      </c>
      <c r="AS59" s="1233">
        <f>+P59*Assum!Z$132</f>
        <v>3.0827849962608973E-2</v>
      </c>
      <c r="AU59" s="1418">
        <f t="shared" si="24"/>
        <v>2.33</v>
      </c>
      <c r="AV59" s="1418">
        <f t="shared" si="25"/>
        <v>2.190021043059291</v>
      </c>
      <c r="AW59" s="1418">
        <f t="shared" si="26"/>
        <v>0.13997895694070903</v>
      </c>
      <c r="AX59" s="660">
        <f t="shared" si="27"/>
        <v>0</v>
      </c>
    </row>
    <row r="60" spans="2:50" x14ac:dyDescent="0.35">
      <c r="B60" s="58">
        <f t="shared" si="28"/>
        <v>12</v>
      </c>
      <c r="C60" s="61" t="s">
        <v>1354</v>
      </c>
      <c r="D60" s="262"/>
      <c r="E60" s="1236"/>
      <c r="F60" s="1236">
        <f>+Recon!H84</f>
        <v>2.2743800000000002E-2</v>
      </c>
      <c r="G60" s="1236">
        <f>+Recon!K84</f>
        <v>2.9569515999999997E-2</v>
      </c>
      <c r="H60" s="1236">
        <f>+Recon!N84</f>
        <v>5.7784603000000004E-2</v>
      </c>
      <c r="I60" s="1236">
        <f>+Recon!Q84</f>
        <v>0.110465919</v>
      </c>
      <c r="J60" s="1236">
        <f>+Recon!T84</f>
        <v>7.2670307000000003E-2</v>
      </c>
      <c r="K60" s="1236">
        <f>+Recon!W84</f>
        <v>0.105229266</v>
      </c>
      <c r="L60" s="1236">
        <f>+Assum!L51*'F13.1'!V100</f>
        <v>0.18489461372551033</v>
      </c>
      <c r="M60" s="1236">
        <f ca="1">+Assum!M51*'F14.2'!$W$154</f>
        <v>0.22160974828004967</v>
      </c>
      <c r="N60" s="1236">
        <f ca="1">+Assum!N51*'F14.3'!$W$154</f>
        <v>0.26219398249031772</v>
      </c>
      <c r="O60" s="1236">
        <f ca="1">+Assum!O51*'F14.4'!$W$154</f>
        <v>0.30724287816667112</v>
      </c>
      <c r="P60" s="1236">
        <f ca="1">+Assum!P51*'F14.5'!$W$154</f>
        <v>0.32501172691592228</v>
      </c>
      <c r="Q60" s="19"/>
      <c r="T60" s="1241">
        <f t="shared" si="23"/>
        <v>0</v>
      </c>
      <c r="U60" s="1236">
        <f>+F60*Assum!E$152</f>
        <v>4.5949762813707442E-3</v>
      </c>
      <c r="V60" s="1236">
        <f>+G60*Assum!F$152</f>
        <v>2.0430644600364759E-2</v>
      </c>
      <c r="W60" s="1236">
        <f>+H60*Assum!G$152</f>
        <v>3.928422462563836E-2</v>
      </c>
      <c r="X60" s="1236">
        <f>+I60*Assum!H$152</f>
        <v>8.2977664335686985E-2</v>
      </c>
      <c r="Y60" s="1236">
        <f>+J60*Assum!I$152</f>
        <v>5.7453958202720062E-2</v>
      </c>
      <c r="Z60" s="1236">
        <f>+K60*Assum!J$152</f>
        <v>9.1394943605587448E-2</v>
      </c>
      <c r="AA60" s="1236">
        <f>+L60*Assum!K$152</f>
        <v>0.16627906380807342</v>
      </c>
      <c r="AB60" s="1236">
        <f ca="1">+M60*Assum!L$152</f>
        <v>0.19846145644059415</v>
      </c>
      <c r="AC60" s="1236">
        <f ca="1">+N60*Assum!M$152</f>
        <v>0.23901487432634061</v>
      </c>
      <c r="AD60" s="1236">
        <f ca="1">+O60*Assum!N$152</f>
        <v>0.27918525324710119</v>
      </c>
      <c r="AE60" s="1236">
        <f ca="1">+P60*Assum!O$152</f>
        <v>0.2969897247633268</v>
      </c>
      <c r="AH60" s="1236"/>
      <c r="AI60" s="1236">
        <f>+F60*Assum!P$152</f>
        <v>1.8148823718629262E-2</v>
      </c>
      <c r="AJ60" s="1236">
        <f>+G60*Assum!Q$152</f>
        <v>9.1388713996352379E-3</v>
      </c>
      <c r="AK60" s="1236">
        <f>+H60*Assum!R$152</f>
        <v>1.8500378374361644E-2</v>
      </c>
      <c r="AL60" s="1236">
        <f>+I60*Assum!S$152</f>
        <v>2.7488254664313004E-2</v>
      </c>
      <c r="AM60" s="1236">
        <f>+J60*Assum!T$152</f>
        <v>1.5216348797279939E-2</v>
      </c>
      <c r="AN60" s="1236">
        <f>+K60*Assum!U$152</f>
        <v>1.3834322394412565E-2</v>
      </c>
      <c r="AO60" s="1236">
        <f>+L60*Assum!V$152</f>
        <v>1.8615549917436892E-2</v>
      </c>
      <c r="AP60" s="1236">
        <f ca="1">+M60*Assum!W$152</f>
        <v>2.3148291839455534E-2</v>
      </c>
      <c r="AQ60" s="1236">
        <f ca="1">+N60*Assum!X$152</f>
        <v>2.3179108163977148E-2</v>
      </c>
      <c r="AR60" s="1236">
        <f ca="1">+O60*Assum!Y$152</f>
        <v>2.8057624919569916E-2</v>
      </c>
      <c r="AS60" s="1236">
        <f ca="1">+P60*Assum!Z$152</f>
        <v>2.8022002152595493E-2</v>
      </c>
      <c r="AU60" s="1418">
        <f t="shared" ca="1" si="24"/>
        <v>1.6994163605784711</v>
      </c>
      <c r="AV60" s="1418">
        <f t="shared" ca="1" si="25"/>
        <v>1.4760667842368047</v>
      </c>
      <c r="AW60" s="1418">
        <f t="shared" ca="1" si="26"/>
        <v>0.22334957634166666</v>
      </c>
      <c r="AX60" s="660">
        <f t="shared" ca="1" si="27"/>
        <v>-2.4980018054066022E-16</v>
      </c>
    </row>
    <row r="61" spans="2:50" x14ac:dyDescent="0.35">
      <c r="B61" s="58">
        <f t="shared" si="28"/>
        <v>13</v>
      </c>
      <c r="C61" s="61" t="s">
        <v>64</v>
      </c>
      <c r="D61" s="262" t="s">
        <v>65</v>
      </c>
      <c r="E61" s="1236"/>
      <c r="F61" s="1236"/>
      <c r="G61" s="1236"/>
      <c r="H61" s="1236"/>
      <c r="I61" s="1236"/>
      <c r="J61" s="1236"/>
      <c r="K61" s="1236"/>
      <c r="L61" s="1236"/>
      <c r="M61" s="1236"/>
      <c r="N61" s="1236"/>
      <c r="O61" s="1236"/>
      <c r="P61" s="1236"/>
      <c r="Q61" s="19"/>
      <c r="T61" s="1241">
        <f t="shared" si="23"/>
        <v>0</v>
      </c>
      <c r="U61" s="1236"/>
      <c r="V61" s="1236"/>
      <c r="W61" s="1236"/>
      <c r="X61" s="1236"/>
      <c r="Y61" s="1236"/>
      <c r="Z61" s="1236"/>
      <c r="AA61" s="1236"/>
      <c r="AB61" s="1236"/>
      <c r="AC61" s="1236"/>
      <c r="AD61" s="1236"/>
      <c r="AE61" s="1236"/>
      <c r="AH61" s="1236"/>
      <c r="AI61" s="1236"/>
      <c r="AJ61" s="1236"/>
      <c r="AK61" s="1236"/>
      <c r="AL61" s="1236"/>
      <c r="AM61" s="1236"/>
      <c r="AN61" s="1236"/>
      <c r="AO61" s="1236"/>
      <c r="AP61" s="1236"/>
      <c r="AQ61" s="1236"/>
      <c r="AR61" s="1236"/>
      <c r="AS61" s="1236"/>
      <c r="AU61" s="1418">
        <f t="shared" si="24"/>
        <v>0</v>
      </c>
      <c r="AV61" s="1418">
        <f t="shared" si="25"/>
        <v>0</v>
      </c>
      <c r="AW61" s="1418">
        <f t="shared" si="26"/>
        <v>0</v>
      </c>
      <c r="AX61" s="660">
        <f t="shared" si="27"/>
        <v>0</v>
      </c>
    </row>
    <row r="62" spans="2:50" x14ac:dyDescent="0.35">
      <c r="B62" s="58">
        <f t="shared" si="28"/>
        <v>14</v>
      </c>
      <c r="C62" s="61" t="s">
        <v>1355</v>
      </c>
      <c r="D62" s="262"/>
      <c r="E62" s="1749">
        <f>-E53*2/3</f>
        <v>0</v>
      </c>
      <c r="F62" s="1749">
        <f t="shared" ref="F62:K62" si="29">-F53*2/3</f>
        <v>0</v>
      </c>
      <c r="G62" s="1749">
        <f t="shared" si="29"/>
        <v>0</v>
      </c>
      <c r="H62" s="1749">
        <f t="shared" si="29"/>
        <v>0</v>
      </c>
      <c r="I62" s="1749">
        <f t="shared" si="29"/>
        <v>0</v>
      </c>
      <c r="J62" s="1749">
        <f t="shared" si="29"/>
        <v>0</v>
      </c>
      <c r="K62" s="1749">
        <f t="shared" si="29"/>
        <v>0</v>
      </c>
      <c r="L62" s="1236"/>
      <c r="M62" s="1236"/>
      <c r="N62" s="1236"/>
      <c r="O62" s="1236"/>
      <c r="P62" s="1236"/>
      <c r="Q62" s="19"/>
      <c r="T62" s="1241">
        <f t="shared" si="23"/>
        <v>0</v>
      </c>
      <c r="U62" s="1236"/>
      <c r="V62" s="1236"/>
      <c r="W62" s="1236"/>
      <c r="X62" s="1236"/>
      <c r="Y62" s="1236"/>
      <c r="Z62" s="1236"/>
      <c r="AA62" s="1236"/>
      <c r="AB62" s="1236"/>
      <c r="AC62" s="1236"/>
      <c r="AD62" s="1236"/>
      <c r="AE62" s="1236"/>
      <c r="AH62" s="1236"/>
      <c r="AI62" s="1236"/>
      <c r="AJ62" s="1236"/>
      <c r="AK62" s="1236"/>
      <c r="AL62" s="1236"/>
      <c r="AM62" s="1236"/>
      <c r="AN62" s="1236"/>
      <c r="AO62" s="1236"/>
      <c r="AP62" s="1236"/>
      <c r="AQ62" s="1236"/>
      <c r="AR62" s="1236"/>
      <c r="AS62" s="1236"/>
      <c r="AU62" s="1418">
        <f t="shared" si="24"/>
        <v>0</v>
      </c>
      <c r="AV62" s="1418">
        <f t="shared" si="25"/>
        <v>0</v>
      </c>
      <c r="AW62" s="1418">
        <f t="shared" si="26"/>
        <v>0</v>
      </c>
      <c r="AX62" s="660">
        <f t="shared" si="27"/>
        <v>0</v>
      </c>
    </row>
    <row r="63" spans="2:50" x14ac:dyDescent="0.35">
      <c r="B63" s="58">
        <f t="shared" si="28"/>
        <v>15</v>
      </c>
      <c r="C63" s="105" t="s">
        <v>142</v>
      </c>
      <c r="D63" s="266"/>
      <c r="E63" s="1237">
        <f>SUM(E49:E62)</f>
        <v>2.6756972993253845</v>
      </c>
      <c r="F63" s="1237">
        <f t="shared" ref="F63:P63" si="30">SUM(F49:F62)</f>
        <v>6.1193318376187289</v>
      </c>
      <c r="G63" s="1237">
        <f t="shared" si="30"/>
        <v>6.6091228430636759</v>
      </c>
      <c r="H63" s="1237">
        <f t="shared" si="30"/>
        <v>11.641409207103901</v>
      </c>
      <c r="I63" s="1237">
        <f t="shared" si="30"/>
        <v>16.095351116765226</v>
      </c>
      <c r="J63" s="1237">
        <f t="shared" si="30"/>
        <v>25.707898781124481</v>
      </c>
      <c r="K63" s="1237">
        <f t="shared" si="30"/>
        <v>55.963973924511784</v>
      </c>
      <c r="L63" s="1237">
        <f t="shared" ca="1" si="30"/>
        <v>98.497769564909632</v>
      </c>
      <c r="M63" s="1237">
        <f t="shared" ca="1" si="30"/>
        <v>124.36681863897959</v>
      </c>
      <c r="N63" s="1237">
        <f t="shared" ca="1" si="30"/>
        <v>155.30316198547476</v>
      </c>
      <c r="O63" s="1237">
        <f t="shared" ca="1" si="30"/>
        <v>188.35668375892635</v>
      </c>
      <c r="P63" s="1237">
        <f t="shared" ca="1" si="30"/>
        <v>205.72551800701589</v>
      </c>
      <c r="Q63" s="19"/>
      <c r="T63" s="1237">
        <f>SUM(T49:T62)</f>
        <v>2.6756972993253845</v>
      </c>
      <c r="U63" s="1237">
        <f t="shared" ref="U63:AE63" si="31">SUM(U49:U62)</f>
        <v>1.1920429197647551</v>
      </c>
      <c r="V63" s="1237">
        <f t="shared" si="31"/>
        <v>3.6450574323362921</v>
      </c>
      <c r="W63" s="1237">
        <f t="shared" si="31"/>
        <v>7.8167040378864892</v>
      </c>
      <c r="X63" s="1237">
        <f t="shared" si="31"/>
        <v>11.744731431643379</v>
      </c>
      <c r="Y63" s="1237">
        <f t="shared" si="31"/>
        <v>20.527775600660583</v>
      </c>
      <c r="Z63" s="1237">
        <f t="shared" si="31"/>
        <v>49.039062958232023</v>
      </c>
      <c r="AA63" s="1237">
        <f t="shared" ca="1" si="31"/>
        <v>90.10417351332427</v>
      </c>
      <c r="AB63" s="1237">
        <f t="shared" ca="1" si="31"/>
        <v>114.54196203465821</v>
      </c>
      <c r="AC63" s="1237">
        <f t="shared" ca="1" si="31"/>
        <v>145.34879453369803</v>
      </c>
      <c r="AD63" s="1237">
        <f t="shared" ca="1" si="31"/>
        <v>175.60168433961903</v>
      </c>
      <c r="AE63" s="1237">
        <f t="shared" ca="1" si="31"/>
        <v>192.708597869313</v>
      </c>
      <c r="AH63" s="1237"/>
      <c r="AI63" s="1237">
        <f t="shared" ref="AI63:AS63" si="32">SUM(AI49:AI62)</f>
        <v>4.9272889178539732</v>
      </c>
      <c r="AJ63" s="1237">
        <f t="shared" si="32"/>
        <v>2.9640654107273829</v>
      </c>
      <c r="AK63" s="1237">
        <f t="shared" si="32"/>
        <v>3.8247051692174141</v>
      </c>
      <c r="AL63" s="1237">
        <f t="shared" si="32"/>
        <v>4.3506196851218446</v>
      </c>
      <c r="AM63" s="1237">
        <f t="shared" si="32"/>
        <v>5.1801231804639007</v>
      </c>
      <c r="AN63" s="1237">
        <f t="shared" si="32"/>
        <v>6.9249109662797474</v>
      </c>
      <c r="AO63" s="1237">
        <f t="shared" ca="1" si="32"/>
        <v>8.3935960515853498</v>
      </c>
      <c r="AP63" s="1237">
        <f t="shared" ca="1" si="32"/>
        <v>9.8248566043213845</v>
      </c>
      <c r="AQ63" s="1237">
        <f t="shared" ca="1" si="32"/>
        <v>9.9543674517767027</v>
      </c>
      <c r="AR63" s="1237">
        <f t="shared" ca="1" si="32"/>
        <v>12.754999419307275</v>
      </c>
      <c r="AS63" s="1237">
        <f t="shared" ca="1" si="32"/>
        <v>13.01692013770298</v>
      </c>
      <c r="AU63" s="1418">
        <f t="shared" ca="1" si="24"/>
        <v>897.06273696481946</v>
      </c>
      <c r="AV63" s="1418">
        <f t="shared" ca="1" si="25"/>
        <v>814.94628397046131</v>
      </c>
      <c r="AW63" s="1418">
        <f t="shared" ca="1" si="26"/>
        <v>82.116452994357957</v>
      </c>
      <c r="AX63" s="660">
        <f t="shared" ca="1" si="27"/>
        <v>1.9895196601282805E-13</v>
      </c>
    </row>
    <row r="64" spans="2:50" x14ac:dyDescent="0.35">
      <c r="B64" s="58">
        <f t="shared" si="28"/>
        <v>16</v>
      </c>
      <c r="C64" s="152" t="s">
        <v>143</v>
      </c>
      <c r="D64" s="262" t="s">
        <v>57</v>
      </c>
      <c r="E64" s="1238">
        <f>+'F8'!D60</f>
        <v>2.0105230621875001E-2</v>
      </c>
      <c r="F64" s="1238">
        <f>+'F8'!E60</f>
        <v>7.3511980340490113E-2</v>
      </c>
      <c r="G64" s="1238">
        <f>+'F8'!F60+'F8'!E80</f>
        <v>0.10708442337723022</v>
      </c>
      <c r="H64" s="1238">
        <f>+'F8'!G60+'F8'!F80</f>
        <v>0.11539478857848021</v>
      </c>
      <c r="I64" s="1238">
        <f>+'F8'!H60+'F8'!G80</f>
        <v>0.15568037031348023</v>
      </c>
      <c r="J64" s="1238">
        <f>+'F8'!I60+'F8'!H80</f>
        <v>0.17835236100858493</v>
      </c>
      <c r="K64" s="1238">
        <f>+'F8'!J60+'F8'!I80</f>
        <v>0.19094409108723021</v>
      </c>
      <c r="L64" s="1240">
        <f>+'F8'!D125</f>
        <v>0.19432597794348019</v>
      </c>
      <c r="M64" s="1240">
        <f>+'F8'!E125</f>
        <v>0.20292029356848018</v>
      </c>
      <c r="N64" s="1240">
        <f>+'F8'!F125</f>
        <v>0.21642065281848019</v>
      </c>
      <c r="O64" s="1240">
        <f>+'F8'!G125</f>
        <v>0.23551889281848018</v>
      </c>
      <c r="P64" s="1240">
        <f>+'F8'!H125</f>
        <v>0.25872928194348022</v>
      </c>
      <c r="Q64" s="19"/>
      <c r="T64" s="1241">
        <f t="shared" si="23"/>
        <v>2.0105230621875001E-2</v>
      </c>
      <c r="U64" s="1241">
        <f>+F64*Assum!E$141</f>
        <v>1.2454070085482532E-2</v>
      </c>
      <c r="V64" s="1241">
        <f>+G64*Assum!F$141</f>
        <v>1.8491513104259904E-2</v>
      </c>
      <c r="W64" s="1241">
        <f>+H64*Assum!G$141</f>
        <v>1.7921942557216842E-2</v>
      </c>
      <c r="X64" s="1241">
        <f>+I64*Assum!H$141</f>
        <v>1.707393668517514E-2</v>
      </c>
      <c r="Y64" s="1241">
        <f>+J64*Assum!I$141</f>
        <v>2.1196033209873611E-2</v>
      </c>
      <c r="Z64" s="1241">
        <f>+K64*Assum!J$141</f>
        <v>2.3170709957262781E-2</v>
      </c>
      <c r="AA64" s="1241">
        <f>+L64*Assum!K$141</f>
        <v>2.3581095630934398E-2</v>
      </c>
      <c r="AB64" s="1241">
        <f>+M64*Assum!L$141</f>
        <v>2.4623999831290478E-2</v>
      </c>
      <c r="AC64" s="1241">
        <f>+N64*Assum!M$141</f>
        <v>2.6262243291559146E-2</v>
      </c>
      <c r="AD64" s="1241">
        <f>+O64*Assum!N$141</f>
        <v>2.8579779158809604E-2</v>
      </c>
      <c r="AE64" s="1241">
        <f>+P64*Assum!O$141</f>
        <v>3.1396316666455731E-2</v>
      </c>
      <c r="AH64" s="1238"/>
      <c r="AI64" s="1241">
        <f>+F64*Assum!P$141</f>
        <v>6.1057910255007584E-2</v>
      </c>
      <c r="AJ64" s="1241">
        <f>+G64*Assum!Q$141</f>
        <v>8.859291027297031E-2</v>
      </c>
      <c r="AK64" s="1241">
        <f>+H64*Assum!R$141</f>
        <v>9.7472846021263354E-2</v>
      </c>
      <c r="AL64" s="1241">
        <f>+I64*Assum!S$141</f>
        <v>0.13860643362830505</v>
      </c>
      <c r="AM64" s="1241">
        <f>+J64*Assum!T$141</f>
        <v>0.1571563277987113</v>
      </c>
      <c r="AN64" s="1241">
        <f>+K64*Assum!U$141</f>
        <v>0.16777338112996745</v>
      </c>
      <c r="AO64" s="1241">
        <f>+L64*Assum!V$141</f>
        <v>0.17074488231254584</v>
      </c>
      <c r="AP64" s="1241">
        <f>+M64*Assum!W$141</f>
        <v>0.17829629373718972</v>
      </c>
      <c r="AQ64" s="1241">
        <f>+N64*Assum!X$141</f>
        <v>0.19015840952692109</v>
      </c>
      <c r="AR64" s="1241">
        <f>+O64*Assum!Y$141</f>
        <v>0.2069391136596706</v>
      </c>
      <c r="AS64" s="1241">
        <f>+P64*Assum!Z$141</f>
        <v>0.22733296527702454</v>
      </c>
      <c r="AU64" s="1418">
        <f t="shared" si="24"/>
        <v>1.9489883444197718</v>
      </c>
      <c r="AV64" s="1418">
        <f t="shared" si="25"/>
        <v>0.26485687080019521</v>
      </c>
      <c r="AW64" s="1418">
        <f t="shared" si="26"/>
        <v>1.6841314736195767</v>
      </c>
      <c r="AX64" s="660">
        <f t="shared" si="27"/>
        <v>0</v>
      </c>
    </row>
    <row r="65" spans="2:50" x14ac:dyDescent="0.35">
      <c r="B65" s="58">
        <f t="shared" si="28"/>
        <v>17</v>
      </c>
      <c r="C65" s="105" t="s">
        <v>144</v>
      </c>
      <c r="D65" s="262"/>
      <c r="E65" s="1237">
        <f>+E63+E64</f>
        <v>2.6958025299472594</v>
      </c>
      <c r="F65" s="1237">
        <f t="shared" ref="F65:P65" si="33">+F63+F64</f>
        <v>6.1928438179592193</v>
      </c>
      <c r="G65" s="1237">
        <f t="shared" si="33"/>
        <v>6.7162072664409065</v>
      </c>
      <c r="H65" s="1237">
        <f t="shared" si="33"/>
        <v>11.756803995682382</v>
      </c>
      <c r="I65" s="1237">
        <f t="shared" si="33"/>
        <v>16.251031487078706</v>
      </c>
      <c r="J65" s="1237">
        <f t="shared" si="33"/>
        <v>25.886251142133066</v>
      </c>
      <c r="K65" s="1237">
        <f t="shared" si="33"/>
        <v>56.154918015599016</v>
      </c>
      <c r="L65" s="1237">
        <f t="shared" ca="1" si="33"/>
        <v>98.69209554285311</v>
      </c>
      <c r="M65" s="1237">
        <f t="shared" ca="1" si="33"/>
        <v>124.56973893254808</v>
      </c>
      <c r="N65" s="1237">
        <f t="shared" ca="1" si="33"/>
        <v>155.51958263829323</v>
      </c>
      <c r="O65" s="1237">
        <f t="shared" ca="1" si="33"/>
        <v>188.59220265174483</v>
      </c>
      <c r="P65" s="1237">
        <f t="shared" ca="1" si="33"/>
        <v>205.98424728895938</v>
      </c>
      <c r="Q65" s="19"/>
      <c r="T65" s="1237">
        <f>+T63+T64</f>
        <v>2.6958025299472594</v>
      </c>
      <c r="U65" s="1237">
        <f t="shared" ref="U65:AE65" si="34">+U63+U64</f>
        <v>1.2044969898502376</v>
      </c>
      <c r="V65" s="1237">
        <f t="shared" si="34"/>
        <v>3.6635489454405521</v>
      </c>
      <c r="W65" s="1237">
        <f t="shared" si="34"/>
        <v>7.8346259804437057</v>
      </c>
      <c r="X65" s="1237">
        <f t="shared" si="34"/>
        <v>11.761805368328554</v>
      </c>
      <c r="Y65" s="1237">
        <f t="shared" si="34"/>
        <v>20.548971633870455</v>
      </c>
      <c r="Z65" s="1237">
        <f t="shared" si="34"/>
        <v>49.062233668189286</v>
      </c>
      <c r="AA65" s="1237">
        <f t="shared" ca="1" si="34"/>
        <v>90.1277546089552</v>
      </c>
      <c r="AB65" s="1237">
        <f t="shared" ca="1" si="34"/>
        <v>114.5665860344895</v>
      </c>
      <c r="AC65" s="1237">
        <f t="shared" ca="1" si="34"/>
        <v>145.3750567769896</v>
      </c>
      <c r="AD65" s="1237">
        <f t="shared" ca="1" si="34"/>
        <v>175.63026411877783</v>
      </c>
      <c r="AE65" s="1237">
        <f t="shared" ca="1" si="34"/>
        <v>192.73999418597944</v>
      </c>
      <c r="AH65" s="1237"/>
      <c r="AI65" s="1237">
        <f t="shared" ref="AI65:AS65" si="35">+AI63+AI64</f>
        <v>4.9883468281089804</v>
      </c>
      <c r="AJ65" s="1237">
        <f t="shared" si="35"/>
        <v>3.0526583210003531</v>
      </c>
      <c r="AK65" s="1237">
        <f t="shared" si="35"/>
        <v>3.9221780152386776</v>
      </c>
      <c r="AL65" s="1237">
        <f t="shared" si="35"/>
        <v>4.4892261187501497</v>
      </c>
      <c r="AM65" s="1237">
        <f t="shared" si="35"/>
        <v>5.3372795082626121</v>
      </c>
      <c r="AN65" s="1237">
        <f t="shared" si="35"/>
        <v>7.0926843474097145</v>
      </c>
      <c r="AO65" s="1237">
        <f t="shared" ca="1" si="35"/>
        <v>8.5643409338978955</v>
      </c>
      <c r="AP65" s="1237">
        <f t="shared" ca="1" si="35"/>
        <v>10.003152898058575</v>
      </c>
      <c r="AQ65" s="1237">
        <f t="shared" ca="1" si="35"/>
        <v>10.144525861303624</v>
      </c>
      <c r="AR65" s="1237">
        <f t="shared" ca="1" si="35"/>
        <v>12.961938532966945</v>
      </c>
      <c r="AS65" s="1237">
        <f t="shared" ca="1" si="35"/>
        <v>13.244253102980005</v>
      </c>
      <c r="AU65" s="1418">
        <f t="shared" ca="1" si="24"/>
        <v>899.01172530923918</v>
      </c>
      <c r="AV65" s="1418">
        <f t="shared" ca="1" si="25"/>
        <v>815.21114084126157</v>
      </c>
      <c r="AW65" s="1418">
        <f t="shared" ca="1" si="26"/>
        <v>83.800584467977529</v>
      </c>
      <c r="AX65" s="660">
        <f t="shared" ca="1" si="27"/>
        <v>0</v>
      </c>
    </row>
    <row r="66" spans="2:50" x14ac:dyDescent="0.35">
      <c r="B66" s="58">
        <f t="shared" si="28"/>
        <v>18</v>
      </c>
      <c r="C66" s="152" t="s">
        <v>145</v>
      </c>
      <c r="D66" s="262" t="s">
        <v>59</v>
      </c>
      <c r="E66" s="1238">
        <f>+'F9'!D49</f>
        <v>0.3596102289</v>
      </c>
      <c r="F66" s="1238">
        <f>+'F9'!E49</f>
        <v>1.1437298600000001</v>
      </c>
      <c r="G66" s="1238">
        <f>+'F9'!F49</f>
        <v>1.389514704</v>
      </c>
      <c r="H66" s="1238">
        <f>+'F9'!G49</f>
        <v>0.17903095920000001</v>
      </c>
      <c r="I66" s="1238">
        <f>+'F9'!H49</f>
        <v>1.5217543900000001</v>
      </c>
      <c r="J66" s="1238">
        <f>+'F9'!I49</f>
        <v>0.85398535330000003</v>
      </c>
      <c r="K66" s="1238">
        <f>+'F9'!J49</f>
        <v>1.3363390979999998</v>
      </c>
      <c r="L66" s="1238">
        <f>+'F9'!K49</f>
        <v>1.0175680979999999</v>
      </c>
      <c r="M66" s="1238">
        <f>+'F9'!L49</f>
        <v>1.0175680979999999</v>
      </c>
      <c r="N66" s="1238">
        <f>+'F9'!M49</f>
        <v>1.0175680979999999</v>
      </c>
      <c r="O66" s="1238">
        <f>+'F9'!N49</f>
        <v>1.0175680979999999</v>
      </c>
      <c r="P66" s="1238">
        <f>+'F9'!O49</f>
        <v>1.0175680979999999</v>
      </c>
      <c r="Q66" s="19"/>
      <c r="T66" s="1241">
        <f t="shared" si="23"/>
        <v>0.3596102289</v>
      </c>
      <c r="U66" s="1241">
        <f>+F66*Assum!E$157</f>
        <v>0.24737342812492996</v>
      </c>
      <c r="V66" s="1241">
        <f>+G66*Assum!F$157</f>
        <v>0.9641608485218528</v>
      </c>
      <c r="W66" s="1241">
        <f>+H66*Assum!G$157</f>
        <v>0.14101480897596613</v>
      </c>
      <c r="X66" s="1241">
        <f>+I66*Assum!H$157</f>
        <v>1.2680583900837907</v>
      </c>
      <c r="Y66" s="1241">
        <f>+J66*Assum!I$157</f>
        <v>0.73225588383212137</v>
      </c>
      <c r="Z66" s="1241">
        <f>+K66*Assum!J$157</f>
        <v>1.2165276561563407</v>
      </c>
      <c r="AA66" s="1241">
        <f>+L66*Assum!K$157</f>
        <v>0.94707647233073688</v>
      </c>
      <c r="AB66" s="1241">
        <f>+M66*Assum!L$157</f>
        <v>0.94973426686958196</v>
      </c>
      <c r="AC66" s="1241">
        <f>+N66*Assum!M$157</f>
        <v>0.96252713848942018</v>
      </c>
      <c r="AD66" s="1241">
        <f>+O66*Assum!N$157</f>
        <v>0.95701666396499174</v>
      </c>
      <c r="AE66" s="1241">
        <f>+P66*Assum!O$157</f>
        <v>0.9615512468359263</v>
      </c>
      <c r="AH66" s="1241"/>
      <c r="AI66" s="1241">
        <f>+F66*Assum!P$157</f>
        <v>0.8963564318750703</v>
      </c>
      <c r="AJ66" s="1241">
        <f>+G66*Assum!Q$157</f>
        <v>0.42535385547814686</v>
      </c>
      <c r="AK66" s="1241">
        <f>+H66*Assum!R$157</f>
        <v>3.8016150224033894E-2</v>
      </c>
      <c r="AL66" s="1241">
        <f>+I66*Assum!S$157</f>
        <v>0.25369599991620939</v>
      </c>
      <c r="AM66" s="1241">
        <f>+J66*Assum!T$157</f>
        <v>0.12172946946787848</v>
      </c>
      <c r="AN66" s="1241">
        <f>+K66*Assum!U$157</f>
        <v>0.11981144184365895</v>
      </c>
      <c r="AO66" s="1241">
        <f>+L66*Assum!V$157</f>
        <v>7.0491625669262759E-2</v>
      </c>
      <c r="AP66" s="1241">
        <f>+M66*Assum!W$157</f>
        <v>6.7833831130417688E-2</v>
      </c>
      <c r="AQ66" s="1241">
        <f>+N66*Assum!X$157</f>
        <v>5.5040959510579697E-2</v>
      </c>
      <c r="AR66" s="1241">
        <f>+O66*Assum!Y$157</f>
        <v>6.0551434035007956E-2</v>
      </c>
      <c r="AS66" s="1241">
        <f>+P66*Assum!Z$157</f>
        <v>5.6016851164073886E-2</v>
      </c>
      <c r="AU66" s="1418">
        <f t="shared" si="24"/>
        <v>11.8718050834</v>
      </c>
      <c r="AV66" s="1418">
        <f t="shared" si="25"/>
        <v>9.7069070330856597</v>
      </c>
      <c r="AW66" s="1418">
        <f t="shared" si="26"/>
        <v>2.1648980503143402</v>
      </c>
      <c r="AX66" s="660">
        <f t="shared" si="27"/>
        <v>0</v>
      </c>
    </row>
    <row r="67" spans="2:50" x14ac:dyDescent="0.35">
      <c r="B67" s="58">
        <f t="shared" si="28"/>
        <v>19</v>
      </c>
      <c r="C67" s="152" t="s">
        <v>146</v>
      </c>
      <c r="D67" s="262"/>
      <c r="E67" s="1238"/>
      <c r="F67" s="1238"/>
      <c r="G67" s="1238"/>
      <c r="H67" s="1238"/>
      <c r="I67" s="1239"/>
      <c r="J67" s="1240"/>
      <c r="K67" s="1240"/>
      <c r="L67" s="1240"/>
      <c r="M67" s="1240"/>
      <c r="N67" s="1240"/>
      <c r="O67" s="1240"/>
      <c r="P67" s="1240"/>
      <c r="Q67" s="19"/>
      <c r="T67" s="1241">
        <f t="shared" si="23"/>
        <v>0</v>
      </c>
      <c r="U67" s="1238"/>
      <c r="V67" s="1238"/>
      <c r="W67" s="1238"/>
      <c r="X67" s="1239"/>
      <c r="Y67" s="1240"/>
      <c r="Z67" s="1240"/>
      <c r="AA67" s="1240"/>
      <c r="AB67" s="1240"/>
      <c r="AC67" s="1240"/>
      <c r="AD67" s="1240"/>
      <c r="AE67" s="1240"/>
      <c r="AH67" s="1238"/>
      <c r="AI67" s="1238"/>
      <c r="AJ67" s="1238"/>
      <c r="AK67" s="1238"/>
      <c r="AL67" s="1239"/>
      <c r="AM67" s="1240"/>
      <c r="AN67" s="1240"/>
      <c r="AO67" s="1240"/>
      <c r="AP67" s="1240"/>
      <c r="AQ67" s="1240"/>
      <c r="AR67" s="1240"/>
      <c r="AS67" s="1240"/>
      <c r="AU67" s="1418">
        <f t="shared" si="24"/>
        <v>0</v>
      </c>
      <c r="AV67" s="1418">
        <f t="shared" si="25"/>
        <v>0</v>
      </c>
      <c r="AW67" s="1418">
        <f t="shared" si="26"/>
        <v>0</v>
      </c>
      <c r="AX67" s="660">
        <f t="shared" si="27"/>
        <v>0</v>
      </c>
    </row>
    <row r="68" spans="2:50" x14ac:dyDescent="0.35">
      <c r="B68" s="58">
        <f t="shared" si="28"/>
        <v>20</v>
      </c>
      <c r="C68" s="152" t="s">
        <v>156</v>
      </c>
      <c r="D68" s="262" t="s">
        <v>67</v>
      </c>
      <c r="E68" s="1238"/>
      <c r="F68" s="1238"/>
      <c r="G68" s="1238"/>
      <c r="H68" s="1238"/>
      <c r="I68" s="1239"/>
      <c r="J68" s="1240"/>
      <c r="K68" s="1240"/>
      <c r="L68" s="1240"/>
      <c r="M68" s="1240"/>
      <c r="N68" s="1240"/>
      <c r="O68" s="1240"/>
      <c r="P68" s="1240"/>
      <c r="Q68" s="19"/>
      <c r="T68" s="1241">
        <f t="shared" si="23"/>
        <v>0</v>
      </c>
      <c r="U68" s="1238"/>
      <c r="V68" s="1238"/>
      <c r="W68" s="1238"/>
      <c r="X68" s="1239"/>
      <c r="Y68" s="1240"/>
      <c r="Z68" s="1240"/>
      <c r="AA68" s="1240"/>
      <c r="AB68" s="1240"/>
      <c r="AC68" s="1240"/>
      <c r="AD68" s="1240"/>
      <c r="AE68" s="1240"/>
      <c r="AH68" s="1238"/>
      <c r="AI68" s="1238"/>
      <c r="AJ68" s="1238"/>
      <c r="AK68" s="1238"/>
      <c r="AL68" s="1239"/>
      <c r="AM68" s="1240"/>
      <c r="AN68" s="1240"/>
      <c r="AO68" s="1240"/>
      <c r="AP68" s="1240"/>
      <c r="AQ68" s="1240"/>
      <c r="AR68" s="1240"/>
      <c r="AS68" s="1240"/>
      <c r="AU68" s="1418">
        <f t="shared" si="24"/>
        <v>0</v>
      </c>
      <c r="AV68" s="1418">
        <f t="shared" si="25"/>
        <v>0</v>
      </c>
      <c r="AW68" s="1418">
        <f t="shared" si="26"/>
        <v>0</v>
      </c>
      <c r="AX68" s="660">
        <f t="shared" si="27"/>
        <v>0</v>
      </c>
    </row>
    <row r="69" spans="2:50" ht="12.75" customHeight="1" x14ac:dyDescent="0.35">
      <c r="B69" s="58">
        <f t="shared" si="28"/>
        <v>21</v>
      </c>
      <c r="C69" s="152" t="s">
        <v>157</v>
      </c>
      <c r="D69" s="262" t="s">
        <v>67</v>
      </c>
      <c r="E69" s="1238"/>
      <c r="F69" s="1238"/>
      <c r="G69" s="1238"/>
      <c r="H69" s="1238"/>
      <c r="I69" s="1239"/>
      <c r="J69" s="1240"/>
      <c r="K69" s="1240"/>
      <c r="L69" s="1240"/>
      <c r="M69" s="1240"/>
      <c r="N69" s="1240"/>
      <c r="O69" s="1240"/>
      <c r="P69" s="1240"/>
      <c r="Q69" s="19"/>
      <c r="T69" s="1241">
        <f t="shared" si="23"/>
        <v>0</v>
      </c>
      <c r="U69" s="1238"/>
      <c r="V69" s="1238"/>
      <c r="W69" s="1238"/>
      <c r="X69" s="1239"/>
      <c r="Y69" s="1240"/>
      <c r="Z69" s="1240"/>
      <c r="AA69" s="1240"/>
      <c r="AB69" s="1240"/>
      <c r="AC69" s="1240"/>
      <c r="AD69" s="1240"/>
      <c r="AE69" s="1240"/>
      <c r="AH69" s="1238"/>
      <c r="AI69" s="1238"/>
      <c r="AJ69" s="1238"/>
      <c r="AK69" s="1238"/>
      <c r="AL69" s="1239"/>
      <c r="AM69" s="1240"/>
      <c r="AN69" s="1240"/>
      <c r="AO69" s="1240"/>
      <c r="AP69" s="1240"/>
      <c r="AQ69" s="1240"/>
      <c r="AR69" s="1240"/>
      <c r="AS69" s="1240"/>
      <c r="AU69" s="1418">
        <f t="shared" si="24"/>
        <v>0</v>
      </c>
      <c r="AV69" s="1418">
        <f t="shared" si="25"/>
        <v>0</v>
      </c>
      <c r="AW69" s="1418">
        <f t="shared" si="26"/>
        <v>0</v>
      </c>
      <c r="AX69" s="660">
        <f t="shared" si="27"/>
        <v>0</v>
      </c>
    </row>
    <row r="70" spans="2:50" x14ac:dyDescent="0.35">
      <c r="B70" s="58">
        <f>B69+1</f>
        <v>22</v>
      </c>
      <c r="C70" s="105" t="s">
        <v>158</v>
      </c>
      <c r="D70" s="268"/>
      <c r="E70" s="1237">
        <f t="shared" ref="E70:P70" si="36">+E65-SUM(E66:E69)</f>
        <v>2.3361923010472596</v>
      </c>
      <c r="F70" s="1237">
        <f t="shared" si="36"/>
        <v>5.0491139579592197</v>
      </c>
      <c r="G70" s="1237">
        <f t="shared" si="36"/>
        <v>5.3266925624409067</v>
      </c>
      <c r="H70" s="1237">
        <f t="shared" si="36"/>
        <v>11.577773036482382</v>
      </c>
      <c r="I70" s="1237">
        <f t="shared" si="36"/>
        <v>14.729277097078706</v>
      </c>
      <c r="J70" s="1237">
        <f t="shared" si="36"/>
        <v>25.032265788833065</v>
      </c>
      <c r="K70" s="1237">
        <f t="shared" si="36"/>
        <v>54.818578917599012</v>
      </c>
      <c r="L70" s="1237">
        <f t="shared" ca="1" si="36"/>
        <v>97.674527444853112</v>
      </c>
      <c r="M70" s="1237">
        <f t="shared" ca="1" si="36"/>
        <v>123.55217083454808</v>
      </c>
      <c r="N70" s="1237">
        <f t="shared" ca="1" si="36"/>
        <v>154.50201454029323</v>
      </c>
      <c r="O70" s="1237">
        <f t="shared" ca="1" si="36"/>
        <v>187.57463455374483</v>
      </c>
      <c r="P70" s="1237">
        <f t="shared" ca="1" si="36"/>
        <v>204.96667919095938</v>
      </c>
      <c r="Q70" s="19"/>
      <c r="T70" s="1237">
        <f t="shared" ref="T70:AE70" si="37">+T65-SUM(T66:T69)</f>
        <v>2.3361923010472596</v>
      </c>
      <c r="U70" s="1237">
        <f t="shared" si="37"/>
        <v>0.95712356172530755</v>
      </c>
      <c r="V70" s="1237">
        <f t="shared" si="37"/>
        <v>2.6993880969186992</v>
      </c>
      <c r="W70" s="1237">
        <f t="shared" si="37"/>
        <v>7.6936111714677393</v>
      </c>
      <c r="X70" s="1237">
        <f t="shared" si="37"/>
        <v>10.493746978244763</v>
      </c>
      <c r="Y70" s="1237">
        <f t="shared" si="37"/>
        <v>19.816715750038334</v>
      </c>
      <c r="Z70" s="1237">
        <f t="shared" si="37"/>
        <v>47.845706012032949</v>
      </c>
      <c r="AA70" s="1237">
        <f t="shared" ca="1" si="37"/>
        <v>89.180678136624465</v>
      </c>
      <c r="AB70" s="1237">
        <f t="shared" ca="1" si="37"/>
        <v>113.61685176761992</v>
      </c>
      <c r="AC70" s="1237">
        <f t="shared" ca="1" si="37"/>
        <v>144.41252963850019</v>
      </c>
      <c r="AD70" s="1237">
        <f t="shared" ca="1" si="37"/>
        <v>174.67324745481284</v>
      </c>
      <c r="AE70" s="1237">
        <f t="shared" ca="1" si="37"/>
        <v>191.7784429391435</v>
      </c>
      <c r="AH70" s="1237"/>
      <c r="AI70" s="1237">
        <f t="shared" ref="AI70:AS70" si="38">+AI65-SUM(AI66:AI69)</f>
        <v>4.0919903962339106</v>
      </c>
      <c r="AJ70" s="1237">
        <f t="shared" si="38"/>
        <v>2.6273044655222062</v>
      </c>
      <c r="AK70" s="1237">
        <f t="shared" si="38"/>
        <v>3.8841618650146437</v>
      </c>
      <c r="AL70" s="1237">
        <f t="shared" si="38"/>
        <v>4.2355301188339407</v>
      </c>
      <c r="AM70" s="1237">
        <f t="shared" si="38"/>
        <v>5.215550038794734</v>
      </c>
      <c r="AN70" s="1237">
        <f t="shared" si="38"/>
        <v>6.9728729055660557</v>
      </c>
      <c r="AO70" s="1237">
        <f t="shared" ca="1" si="38"/>
        <v>8.4938493082286328</v>
      </c>
      <c r="AP70" s="1237">
        <f t="shared" ca="1" si="38"/>
        <v>9.935319066928157</v>
      </c>
      <c r="AQ70" s="1237">
        <f t="shared" ca="1" si="38"/>
        <v>10.089484901793044</v>
      </c>
      <c r="AR70" s="1237">
        <f t="shared" ca="1" si="38"/>
        <v>12.901387098931938</v>
      </c>
      <c r="AS70" s="1237">
        <f t="shared" ca="1" si="38"/>
        <v>13.188236251815932</v>
      </c>
      <c r="AU70" s="1418">
        <f t="shared" ca="1" si="24"/>
        <v>887.13992022583921</v>
      </c>
      <c r="AV70" s="1418">
        <f t="shared" ca="1" si="25"/>
        <v>805.50423380817597</v>
      </c>
      <c r="AW70" s="1418">
        <f t="shared" ca="1" si="26"/>
        <v>81.635686417663194</v>
      </c>
      <c r="AX70" s="660">
        <f t="shared" ca="1" si="27"/>
        <v>0</v>
      </c>
    </row>
    <row r="71" spans="2:50" x14ac:dyDescent="0.35">
      <c r="B71" s="58">
        <f t="shared" ref="B71:B84" si="39">B70+1</f>
        <v>23</v>
      </c>
      <c r="C71" s="152" t="s">
        <v>1612</v>
      </c>
      <c r="D71" s="268"/>
      <c r="E71" s="1402"/>
      <c r="F71" s="1402"/>
      <c r="G71" s="1402"/>
      <c r="H71" s="1402"/>
      <c r="I71" s="1402"/>
      <c r="J71" s="1402"/>
      <c r="K71" s="1402"/>
      <c r="L71" s="19"/>
      <c r="M71" s="1402">
        <f t="array" ref="M71:M77">TRANSPOSE(E84:K84)</f>
        <v>0.91140305104725949</v>
      </c>
      <c r="N71" s="1402"/>
      <c r="O71" s="1402"/>
      <c r="P71" s="1402"/>
      <c r="Q71" s="676"/>
      <c r="T71" s="1241">
        <f t="shared" si="23"/>
        <v>0</v>
      </c>
      <c r="U71" s="1402"/>
      <c r="V71" s="1402"/>
      <c r="W71" s="1402"/>
      <c r="X71" s="1402"/>
      <c r="Y71" s="1402"/>
      <c r="Z71" s="1402"/>
      <c r="AA71" s="19"/>
      <c r="AB71" s="1402">
        <f>+M71-AP71</f>
        <v>0.91140305104725949</v>
      </c>
      <c r="AC71" s="1402"/>
      <c r="AD71" s="1402"/>
      <c r="AE71" s="1402"/>
      <c r="AH71" s="1402"/>
      <c r="AI71" s="1402"/>
      <c r="AJ71" s="1402"/>
      <c r="AK71" s="1402"/>
      <c r="AL71" s="1402"/>
      <c r="AM71" s="1402"/>
      <c r="AN71" s="1402"/>
      <c r="AO71" s="19"/>
      <c r="AP71" s="1402"/>
      <c r="AQ71" s="1402"/>
      <c r="AR71" s="1402"/>
      <c r="AS71" s="1402"/>
      <c r="AU71" s="1418">
        <f t="shared" si="24"/>
        <v>0.91140305104725949</v>
      </c>
      <c r="AV71" s="1418">
        <f t="shared" si="25"/>
        <v>0.91140305104725949</v>
      </c>
      <c r="AW71" s="1418">
        <f t="shared" si="26"/>
        <v>0</v>
      </c>
      <c r="AX71" s="660">
        <f t="shared" si="27"/>
        <v>0</v>
      </c>
    </row>
    <row r="72" spans="2:50" x14ac:dyDescent="0.35">
      <c r="B72" s="58">
        <f t="shared" si="39"/>
        <v>24</v>
      </c>
      <c r="C72" s="152" t="s">
        <v>1613</v>
      </c>
      <c r="D72" s="268"/>
      <c r="E72" s="1402"/>
      <c r="F72" s="1402"/>
      <c r="G72" s="1402"/>
      <c r="H72" s="1402"/>
      <c r="I72" s="1402"/>
      <c r="J72" s="1402"/>
      <c r="K72" s="1402"/>
      <c r="L72" s="19"/>
      <c r="M72" s="1402">
        <v>1.0265193102592187</v>
      </c>
      <c r="N72" s="1402"/>
      <c r="O72" s="1402"/>
      <c r="P72" s="1402"/>
      <c r="Q72" s="676"/>
      <c r="T72" s="1241">
        <f t="shared" si="23"/>
        <v>0</v>
      </c>
      <c r="U72" s="1402"/>
      <c r="V72" s="1402"/>
      <c r="W72" s="1402"/>
      <c r="X72" s="1402"/>
      <c r="Y72" s="1402"/>
      <c r="Z72" s="1402"/>
      <c r="AA72" s="19"/>
      <c r="AB72" s="1402">
        <f t="shared" ref="AB72:AB79" si="40">+M72-AP72</f>
        <v>1.0265193102592187</v>
      </c>
      <c r="AC72" s="1402"/>
      <c r="AD72" s="1402"/>
      <c r="AE72" s="1402"/>
      <c r="AH72" s="1402"/>
      <c r="AI72" s="1402"/>
      <c r="AJ72" s="1402"/>
      <c r="AK72" s="1402"/>
      <c r="AL72" s="1402"/>
      <c r="AM72" s="1402"/>
      <c r="AN72" s="1402"/>
      <c r="AO72" s="19"/>
      <c r="AP72" s="1402"/>
      <c r="AQ72" s="1402"/>
      <c r="AR72" s="1402"/>
      <c r="AS72" s="1402"/>
      <c r="AU72" s="1418">
        <f t="shared" si="24"/>
        <v>1.0265193102592187</v>
      </c>
      <c r="AV72" s="1418">
        <f t="shared" si="25"/>
        <v>1.0265193102592187</v>
      </c>
      <c r="AW72" s="1418">
        <f t="shared" si="26"/>
        <v>0</v>
      </c>
      <c r="AX72" s="660">
        <f t="shared" si="27"/>
        <v>0</v>
      </c>
    </row>
    <row r="73" spans="2:50" x14ac:dyDescent="0.35">
      <c r="B73" s="58">
        <f t="shared" si="39"/>
        <v>25</v>
      </c>
      <c r="C73" s="152" t="s">
        <v>1614</v>
      </c>
      <c r="D73" s="268"/>
      <c r="E73" s="1402"/>
      <c r="F73" s="1402"/>
      <c r="G73" s="1402"/>
      <c r="H73" s="1402"/>
      <c r="I73" s="1402"/>
      <c r="J73" s="1402"/>
      <c r="K73" s="1402"/>
      <c r="L73" s="19"/>
      <c r="M73" s="1402">
        <v>-5.4966296217060924</v>
      </c>
      <c r="N73" s="1402"/>
      <c r="O73" s="1402"/>
      <c r="P73" s="1402"/>
      <c r="Q73" s="676"/>
      <c r="T73" s="1241">
        <f t="shared" si="23"/>
        <v>0</v>
      </c>
      <c r="U73" s="1402"/>
      <c r="V73" s="1402"/>
      <c r="W73" s="1402"/>
      <c r="X73" s="1402"/>
      <c r="Y73" s="1402"/>
      <c r="Z73" s="1402"/>
      <c r="AA73" s="19"/>
      <c r="AB73" s="1402">
        <f t="shared" si="40"/>
        <v>-5.4966296217060924</v>
      </c>
      <c r="AC73" s="1402"/>
      <c r="AD73" s="1402"/>
      <c r="AE73" s="1402"/>
      <c r="AH73" s="1402"/>
      <c r="AI73" s="1402"/>
      <c r="AJ73" s="1402"/>
      <c r="AK73" s="1402"/>
      <c r="AL73" s="1402"/>
      <c r="AM73" s="1402"/>
      <c r="AN73" s="1402"/>
      <c r="AO73" s="19"/>
      <c r="AP73" s="1402"/>
      <c r="AQ73" s="1402"/>
      <c r="AR73" s="1402"/>
      <c r="AS73" s="1402"/>
      <c r="AU73" s="1418">
        <f t="shared" si="24"/>
        <v>-5.4966296217060924</v>
      </c>
      <c r="AV73" s="1418">
        <f t="shared" si="25"/>
        <v>-5.4966296217060924</v>
      </c>
      <c r="AW73" s="1418">
        <f t="shared" si="26"/>
        <v>0</v>
      </c>
      <c r="AX73" s="660">
        <f t="shared" si="27"/>
        <v>0</v>
      </c>
    </row>
    <row r="74" spans="2:50" x14ac:dyDescent="0.35">
      <c r="B74" s="58">
        <f t="shared" si="39"/>
        <v>26</v>
      </c>
      <c r="C74" s="152" t="s">
        <v>1615</v>
      </c>
      <c r="D74" s="268"/>
      <c r="E74" s="1402"/>
      <c r="F74" s="1402"/>
      <c r="G74" s="1402"/>
      <c r="H74" s="1402"/>
      <c r="I74" s="1402"/>
      <c r="J74" s="1402"/>
      <c r="K74" s="1402"/>
      <c r="L74" s="19"/>
      <c r="M74" s="1402">
        <v>-1.8720056041776179</v>
      </c>
      <c r="N74" s="1402"/>
      <c r="O74" s="1402"/>
      <c r="P74" s="1402"/>
      <c r="Q74" s="676"/>
      <c r="T74" s="1241">
        <f t="shared" si="23"/>
        <v>0</v>
      </c>
      <c r="U74" s="1402"/>
      <c r="V74" s="1402"/>
      <c r="W74" s="1402"/>
      <c r="X74" s="1402"/>
      <c r="Y74" s="1402"/>
      <c r="Z74" s="1402"/>
      <c r="AA74" s="19"/>
      <c r="AB74" s="1402">
        <f t="shared" si="40"/>
        <v>-1.8720056041776179</v>
      </c>
      <c r="AC74" s="1402"/>
      <c r="AD74" s="1402"/>
      <c r="AE74" s="1402"/>
      <c r="AH74" s="1402"/>
      <c r="AI74" s="1402"/>
      <c r="AJ74" s="1402"/>
      <c r="AK74" s="1402"/>
      <c r="AL74" s="1402"/>
      <c r="AM74" s="1402"/>
      <c r="AN74" s="1402"/>
      <c r="AO74" s="19"/>
      <c r="AP74" s="1402"/>
      <c r="AQ74" s="1402"/>
      <c r="AR74" s="1402"/>
      <c r="AS74" s="1402"/>
      <c r="AU74" s="1418">
        <f t="shared" si="24"/>
        <v>-1.8720056041776179</v>
      </c>
      <c r="AV74" s="1418">
        <f t="shared" si="25"/>
        <v>-1.8720056041776179</v>
      </c>
      <c r="AW74" s="1418">
        <f t="shared" si="26"/>
        <v>0</v>
      </c>
      <c r="AX74" s="660">
        <f t="shared" si="27"/>
        <v>0</v>
      </c>
    </row>
    <row r="75" spans="2:50" x14ac:dyDescent="0.35">
      <c r="B75" s="58">
        <f t="shared" si="39"/>
        <v>27</v>
      </c>
      <c r="C75" s="152" t="s">
        <v>1616</v>
      </c>
      <c r="D75" s="268"/>
      <c r="E75" s="1402"/>
      <c r="F75" s="1402"/>
      <c r="G75" s="1402"/>
      <c r="H75" s="1402"/>
      <c r="I75" s="1402"/>
      <c r="J75" s="1402"/>
      <c r="K75" s="1402"/>
      <c r="L75" s="19"/>
      <c r="M75" s="1402">
        <v>-5.3173446194459917</v>
      </c>
      <c r="N75" s="1402"/>
      <c r="O75" s="1402"/>
      <c r="P75" s="1402"/>
      <c r="Q75" s="676"/>
      <c r="T75" s="1241">
        <f t="shared" si="23"/>
        <v>0</v>
      </c>
      <c r="U75" s="1402"/>
      <c r="V75" s="1402"/>
      <c r="W75" s="1402"/>
      <c r="X75" s="1402"/>
      <c r="Y75" s="1402"/>
      <c r="Z75" s="1402"/>
      <c r="AA75" s="19"/>
      <c r="AB75" s="1402">
        <f t="shared" si="40"/>
        <v>-5.3173446194459917</v>
      </c>
      <c r="AC75" s="1402"/>
      <c r="AD75" s="1402"/>
      <c r="AE75" s="1402"/>
      <c r="AH75" s="1402"/>
      <c r="AI75" s="1402"/>
      <c r="AJ75" s="1402"/>
      <c r="AK75" s="1402"/>
      <c r="AL75" s="1402"/>
      <c r="AM75" s="1402"/>
      <c r="AN75" s="1402"/>
      <c r="AO75" s="19"/>
      <c r="AP75" s="1402"/>
      <c r="AQ75" s="1402"/>
      <c r="AR75" s="1402"/>
      <c r="AS75" s="1402"/>
      <c r="AU75" s="1418">
        <f t="shared" si="24"/>
        <v>-5.3173446194459917</v>
      </c>
      <c r="AV75" s="1418">
        <f t="shared" si="25"/>
        <v>-5.3173446194459917</v>
      </c>
      <c r="AW75" s="1418">
        <f t="shared" si="26"/>
        <v>0</v>
      </c>
      <c r="AX75" s="660">
        <f t="shared" si="27"/>
        <v>0</v>
      </c>
    </row>
    <row r="76" spans="2:50" x14ac:dyDescent="0.35">
      <c r="B76" s="58">
        <f t="shared" si="39"/>
        <v>28</v>
      </c>
      <c r="C76" s="152" t="s">
        <v>1617</v>
      </c>
      <c r="D76" s="268"/>
      <c r="E76" s="1402"/>
      <c r="F76" s="1402"/>
      <c r="G76" s="1402"/>
      <c r="H76" s="1402"/>
      <c r="I76" s="1402"/>
      <c r="J76" s="1402"/>
      <c r="K76" s="1402"/>
      <c r="L76" s="19"/>
      <c r="M76" s="1402">
        <v>-12.922845771637487</v>
      </c>
      <c r="N76" s="1402"/>
      <c r="O76" s="1402"/>
      <c r="P76" s="1402"/>
      <c r="Q76" s="676"/>
      <c r="T76" s="1241">
        <f t="shared" si="23"/>
        <v>0</v>
      </c>
      <c r="U76" s="1402"/>
      <c r="V76" s="1402"/>
      <c r="W76" s="1402"/>
      <c r="X76" s="1402"/>
      <c r="Y76" s="1402"/>
      <c r="Z76" s="1402"/>
      <c r="AA76" s="19"/>
      <c r="AB76" s="1402">
        <f t="shared" si="40"/>
        <v>-12.922845771637487</v>
      </c>
      <c r="AC76" s="1402"/>
      <c r="AD76" s="1402"/>
      <c r="AE76" s="1402"/>
      <c r="AH76" s="1402"/>
      <c r="AI76" s="1402"/>
      <c r="AJ76" s="1402"/>
      <c r="AK76" s="1402"/>
      <c r="AL76" s="1402"/>
      <c r="AM76" s="1402"/>
      <c r="AN76" s="1402"/>
      <c r="AO76" s="19"/>
      <c r="AP76" s="1402"/>
      <c r="AQ76" s="1402"/>
      <c r="AR76" s="1402"/>
      <c r="AS76" s="1402"/>
      <c r="AU76" s="1418">
        <f t="shared" si="24"/>
        <v>-12.922845771637487</v>
      </c>
      <c r="AV76" s="1418">
        <f t="shared" si="25"/>
        <v>-12.922845771637487</v>
      </c>
      <c r="AW76" s="1418">
        <f t="shared" si="26"/>
        <v>0</v>
      </c>
      <c r="AX76" s="660">
        <f t="shared" si="27"/>
        <v>0</v>
      </c>
    </row>
    <row r="77" spans="2:50" x14ac:dyDescent="0.35">
      <c r="B77" s="58">
        <f t="shared" si="39"/>
        <v>29</v>
      </c>
      <c r="C77" s="152" t="s">
        <v>1618</v>
      </c>
      <c r="D77" s="268"/>
      <c r="E77" s="1402"/>
      <c r="F77" s="1402"/>
      <c r="G77" s="1402"/>
      <c r="H77" s="1402"/>
      <c r="I77" s="1402"/>
      <c r="J77" s="1402"/>
      <c r="K77" s="1402"/>
      <c r="L77" s="19"/>
      <c r="M77" s="1402">
        <v>-13.928865922487972</v>
      </c>
      <c r="N77" s="1402"/>
      <c r="O77" s="1402"/>
      <c r="P77" s="1402"/>
      <c r="Q77" s="676"/>
      <c r="T77" s="1241">
        <f t="shared" si="23"/>
        <v>0</v>
      </c>
      <c r="U77" s="1402"/>
      <c r="V77" s="1402"/>
      <c r="W77" s="1402"/>
      <c r="X77" s="1402"/>
      <c r="Y77" s="1402"/>
      <c r="Z77" s="1402"/>
      <c r="AA77" s="19"/>
      <c r="AB77" s="1402">
        <f t="shared" si="40"/>
        <v>-13.928865922487972</v>
      </c>
      <c r="AC77" s="1402"/>
      <c r="AD77" s="1402"/>
      <c r="AE77" s="1402"/>
      <c r="AH77" s="1402"/>
      <c r="AI77" s="1402"/>
      <c r="AJ77" s="1402"/>
      <c r="AK77" s="1402"/>
      <c r="AL77" s="1402"/>
      <c r="AM77" s="1402"/>
      <c r="AN77" s="1402"/>
      <c r="AO77" s="19"/>
      <c r="AP77" s="1402"/>
      <c r="AQ77" s="1402"/>
      <c r="AR77" s="1402"/>
      <c r="AS77" s="1402"/>
      <c r="AU77" s="1418">
        <f t="shared" si="24"/>
        <v>-13.928865922487972</v>
      </c>
      <c r="AV77" s="1418">
        <f t="shared" si="25"/>
        <v>-13.928865922487972</v>
      </c>
      <c r="AW77" s="1418">
        <f t="shared" si="26"/>
        <v>0</v>
      </c>
      <c r="AX77" s="660">
        <f t="shared" si="27"/>
        <v>0</v>
      </c>
    </row>
    <row r="78" spans="2:50" ht="27.75" x14ac:dyDescent="0.35">
      <c r="B78" s="58">
        <f t="shared" si="39"/>
        <v>30</v>
      </c>
      <c r="C78" s="152" t="s">
        <v>1619</v>
      </c>
      <c r="D78" s="268"/>
      <c r="E78" s="1402"/>
      <c r="F78" s="1402"/>
      <c r="G78" s="1402"/>
      <c r="H78" s="1402"/>
      <c r="I78" s="1402"/>
      <c r="J78" s="1402"/>
      <c r="K78" s="1402"/>
      <c r="L78" s="1402"/>
      <c r="M78" s="1402">
        <f>+N151</f>
        <v>-11.729850815276263</v>
      </c>
      <c r="N78" s="1402"/>
      <c r="O78" s="1402"/>
      <c r="P78" s="1402"/>
      <c r="Q78" s="676"/>
      <c r="T78" s="1241">
        <f t="shared" si="23"/>
        <v>0</v>
      </c>
      <c r="U78" s="1402"/>
      <c r="V78" s="1402"/>
      <c r="W78" s="1402"/>
      <c r="X78" s="1402"/>
      <c r="Y78" s="1402"/>
      <c r="Z78" s="1402"/>
      <c r="AA78" s="1402"/>
      <c r="AB78" s="1402">
        <f t="shared" si="40"/>
        <v>-11.729850815276263</v>
      </c>
      <c r="AC78" s="1402"/>
      <c r="AD78" s="1402"/>
      <c r="AE78" s="1402"/>
      <c r="AH78" s="1402"/>
      <c r="AI78" s="1402"/>
      <c r="AJ78" s="1402"/>
      <c r="AK78" s="1402"/>
      <c r="AL78" s="1402"/>
      <c r="AM78" s="1402"/>
      <c r="AN78" s="1402"/>
      <c r="AO78" s="1402"/>
      <c r="AP78" s="1402"/>
      <c r="AQ78" s="1402"/>
      <c r="AR78" s="1402"/>
      <c r="AS78" s="1402"/>
      <c r="AU78" s="1418">
        <f t="shared" si="24"/>
        <v>-11.729850815276263</v>
      </c>
      <c r="AV78" s="1418">
        <f t="shared" si="25"/>
        <v>-11.729850815276263</v>
      </c>
      <c r="AW78" s="1418">
        <f t="shared" si="26"/>
        <v>0</v>
      </c>
      <c r="AX78" s="660">
        <f t="shared" si="27"/>
        <v>0</v>
      </c>
    </row>
    <row r="79" spans="2:50" x14ac:dyDescent="0.35">
      <c r="B79" s="58">
        <f t="shared" si="39"/>
        <v>31</v>
      </c>
      <c r="C79" s="152" t="s">
        <v>1629</v>
      </c>
      <c r="D79" s="268"/>
      <c r="E79" s="1402"/>
      <c r="F79" s="1402"/>
      <c r="G79" s="1402"/>
      <c r="H79" s="1402"/>
      <c r="I79" s="1402"/>
      <c r="J79" s="1402"/>
      <c r="K79" s="1402"/>
      <c r="L79" s="1402"/>
      <c r="M79" s="1402">
        <f ca="1">+L84</f>
        <v>-21.61076958597603</v>
      </c>
      <c r="N79" s="1402"/>
      <c r="O79" s="1402"/>
      <c r="P79" s="1402"/>
      <c r="Q79" s="676"/>
      <c r="T79" s="1241">
        <f t="shared" si="23"/>
        <v>0</v>
      </c>
      <c r="U79" s="1402"/>
      <c r="V79" s="1402"/>
      <c r="W79" s="1402"/>
      <c r="X79" s="1402"/>
      <c r="Y79" s="1402"/>
      <c r="Z79" s="1402"/>
      <c r="AA79" s="1402"/>
      <c r="AB79" s="1402">
        <f t="shared" ca="1" si="40"/>
        <v>-21.61076958597603</v>
      </c>
      <c r="AC79" s="1402"/>
      <c r="AD79" s="1402"/>
      <c r="AE79" s="1402"/>
      <c r="AH79" s="1402"/>
      <c r="AI79" s="1402"/>
      <c r="AJ79" s="1402"/>
      <c r="AK79" s="1402"/>
      <c r="AL79" s="1402"/>
      <c r="AM79" s="1402"/>
      <c r="AN79" s="1402"/>
      <c r="AO79" s="1402"/>
      <c r="AP79" s="1402"/>
      <c r="AQ79" s="1402"/>
      <c r="AR79" s="1402"/>
      <c r="AS79" s="1402"/>
      <c r="AU79" s="1418">
        <f t="shared" ca="1" si="24"/>
        <v>-21.61076958597603</v>
      </c>
      <c r="AV79" s="1418">
        <f t="shared" ca="1" si="25"/>
        <v>-21.61076958597603</v>
      </c>
      <c r="AW79" s="1418">
        <f t="shared" si="26"/>
        <v>0</v>
      </c>
      <c r="AX79" s="660">
        <f t="shared" ca="1" si="27"/>
        <v>0</v>
      </c>
    </row>
    <row r="80" spans="2:50" x14ac:dyDescent="0.35">
      <c r="B80" s="58">
        <f t="shared" si="39"/>
        <v>32</v>
      </c>
      <c r="C80" s="152" t="s">
        <v>1794</v>
      </c>
      <c r="D80" s="268"/>
      <c r="E80" s="1402"/>
      <c r="F80" s="1402"/>
      <c r="G80" s="1402"/>
      <c r="H80" s="1402"/>
      <c r="I80" s="1402">
        <f>+'F2'!D267</f>
        <v>0</v>
      </c>
      <c r="J80" s="1402">
        <f>+'F2'!E267</f>
        <v>0.21661227011144263</v>
      </c>
      <c r="K80" s="1402"/>
      <c r="L80" s="1402"/>
      <c r="M80" s="1402"/>
      <c r="N80" s="1402"/>
      <c r="O80" s="1402"/>
      <c r="P80" s="1402"/>
      <c r="Q80" s="676"/>
      <c r="T80" s="1241">
        <f t="shared" si="23"/>
        <v>0</v>
      </c>
      <c r="U80" s="1233">
        <f>+F80*Assum!E$132</f>
        <v>0</v>
      </c>
      <c r="V80" s="1233">
        <f>+G80*Assum!F$132</f>
        <v>0</v>
      </c>
      <c r="W80" s="1233">
        <f>+H80*Assum!G$132</f>
        <v>0</v>
      </c>
      <c r="X80" s="1233">
        <f>+I80*Assum!H$132</f>
        <v>0</v>
      </c>
      <c r="Y80" s="1233">
        <f>+J80*Assum!I$132</f>
        <v>0.18573574908095164</v>
      </c>
      <c r="Z80" s="1233">
        <f>+K80*Assum!J$132</f>
        <v>0</v>
      </c>
      <c r="AA80" s="1233">
        <f>+L80*Assum!K$132</f>
        <v>0</v>
      </c>
      <c r="AB80" s="1233">
        <f>+M80*Assum!L$132</f>
        <v>0</v>
      </c>
      <c r="AC80" s="1233">
        <f>+N80*Assum!M$132</f>
        <v>0</v>
      </c>
      <c r="AD80" s="1233">
        <f>+O80*Assum!N$132</f>
        <v>0</v>
      </c>
      <c r="AE80" s="1233">
        <f>+P80*Assum!O$132</f>
        <v>0</v>
      </c>
      <c r="AH80" s="1402"/>
      <c r="AI80" s="1233">
        <f>+F80*Assum!P$132</f>
        <v>0</v>
      </c>
      <c r="AJ80" s="1233">
        <f>+G80*Assum!Q$132</f>
        <v>0</v>
      </c>
      <c r="AK80" s="1233">
        <f>+H80*Assum!R$132</f>
        <v>0</v>
      </c>
      <c r="AL80" s="1233">
        <f>+I80*Assum!S$132</f>
        <v>0</v>
      </c>
      <c r="AM80" s="1233">
        <f>+J80*Assum!T$132</f>
        <v>3.0876521030490958E-2</v>
      </c>
      <c r="AN80" s="1233">
        <f>+K80*Assum!U$132</f>
        <v>0</v>
      </c>
      <c r="AO80" s="1233">
        <f>+L80*Assum!V$132</f>
        <v>0</v>
      </c>
      <c r="AP80" s="1233">
        <f>+M80*Assum!W$132</f>
        <v>0</v>
      </c>
      <c r="AQ80" s="1233">
        <f>+N80*Assum!X$132</f>
        <v>0</v>
      </c>
      <c r="AR80" s="1233">
        <f>+O80*Assum!Y$132</f>
        <v>0</v>
      </c>
      <c r="AS80" s="1233">
        <f>+P80*Assum!Z$132</f>
        <v>0</v>
      </c>
      <c r="AU80" s="1418">
        <f t="shared" si="24"/>
        <v>0.21661227011144263</v>
      </c>
      <c r="AV80" s="1418">
        <f t="shared" si="25"/>
        <v>0.18573574908095164</v>
      </c>
      <c r="AW80" s="1418">
        <f t="shared" si="26"/>
        <v>3.0876521030490958E-2</v>
      </c>
      <c r="AX80" s="660">
        <f t="shared" si="27"/>
        <v>3.1225022567582528E-17</v>
      </c>
    </row>
    <row r="81" spans="2:50" x14ac:dyDescent="0.35">
      <c r="B81" s="58">
        <f t="shared" si="39"/>
        <v>33</v>
      </c>
      <c r="C81" s="152" t="s">
        <v>1620</v>
      </c>
      <c r="D81" s="268"/>
      <c r="E81" s="1402"/>
      <c r="F81" s="1402"/>
      <c r="G81" s="1402"/>
      <c r="H81" s="1402"/>
      <c r="I81" s="1402"/>
      <c r="J81" s="1402"/>
      <c r="K81" s="1402"/>
      <c r="L81" s="1402"/>
      <c r="M81" s="1402"/>
      <c r="N81" s="1402"/>
      <c r="O81" s="1402"/>
      <c r="P81" s="1402"/>
      <c r="Q81" s="676"/>
      <c r="T81" s="1241">
        <f t="shared" si="23"/>
        <v>0</v>
      </c>
      <c r="U81" s="1402"/>
      <c r="V81" s="1402"/>
      <c r="W81" s="1402"/>
      <c r="X81" s="1402"/>
      <c r="Y81" s="1402"/>
      <c r="Z81" s="1402"/>
      <c r="AA81" s="1402"/>
      <c r="AB81" s="1402"/>
      <c r="AC81" s="1402"/>
      <c r="AD81" s="1402"/>
      <c r="AE81" s="1402"/>
      <c r="AH81" s="1402"/>
      <c r="AI81" s="1402"/>
      <c r="AJ81" s="1402"/>
      <c r="AK81" s="1402"/>
      <c r="AL81" s="1402"/>
      <c r="AM81" s="1402"/>
      <c r="AN81" s="1402"/>
      <c r="AO81" s="1402"/>
      <c r="AP81" s="1402"/>
      <c r="AQ81" s="1402"/>
      <c r="AR81" s="1402"/>
      <c r="AS81" s="1402"/>
      <c r="AU81" s="1418">
        <f t="shared" si="24"/>
        <v>0</v>
      </c>
      <c r="AV81" s="1418">
        <f t="shared" si="25"/>
        <v>0</v>
      </c>
      <c r="AW81" s="1418">
        <f t="shared" si="26"/>
        <v>0</v>
      </c>
      <c r="AX81" s="660">
        <f t="shared" si="27"/>
        <v>0</v>
      </c>
    </row>
    <row r="82" spans="2:50" ht="27" x14ac:dyDescent="0.35">
      <c r="B82" s="58">
        <f t="shared" si="39"/>
        <v>34</v>
      </c>
      <c r="C82" s="105" t="s">
        <v>1622</v>
      </c>
      <c r="D82" s="268"/>
      <c r="E82" s="1245">
        <f t="shared" ref="E82:P82" si="41">SUM(E70:E81)</f>
        <v>2.3361923010472596</v>
      </c>
      <c r="F82" s="1245">
        <f t="shared" si="41"/>
        <v>5.0491139579592197</v>
      </c>
      <c r="G82" s="1245">
        <f t="shared" si="41"/>
        <v>5.3266925624409067</v>
      </c>
      <c r="H82" s="1245">
        <f t="shared" si="41"/>
        <v>11.577773036482382</v>
      </c>
      <c r="I82" s="1245">
        <f t="shared" si="41"/>
        <v>14.729277097078706</v>
      </c>
      <c r="J82" s="1245">
        <f t="shared" si="41"/>
        <v>25.248878058944509</v>
      </c>
      <c r="K82" s="1245">
        <f t="shared" si="41"/>
        <v>54.818578917599012</v>
      </c>
      <c r="L82" s="1245">
        <f t="shared" ca="1" si="41"/>
        <v>97.674527444853112</v>
      </c>
      <c r="M82" s="1245">
        <f t="shared" ca="1" si="41"/>
        <v>52.611781255147108</v>
      </c>
      <c r="N82" s="1245">
        <f t="shared" ca="1" si="41"/>
        <v>154.50201454029323</v>
      </c>
      <c r="O82" s="1245">
        <f t="shared" ca="1" si="41"/>
        <v>187.57463455374483</v>
      </c>
      <c r="P82" s="1245">
        <f t="shared" ca="1" si="41"/>
        <v>204.96667919095938</v>
      </c>
      <c r="Q82" s="676"/>
      <c r="T82" s="1245">
        <f>SUM(T70:T81)</f>
        <v>2.3361923010472596</v>
      </c>
      <c r="U82" s="1245">
        <f t="shared" ref="U82:AE82" si="42">SUM(U70:U81)</f>
        <v>0.95712356172530755</v>
      </c>
      <c r="V82" s="1245">
        <f t="shared" si="42"/>
        <v>2.6993880969186992</v>
      </c>
      <c r="W82" s="1245">
        <f t="shared" si="42"/>
        <v>7.6936111714677393</v>
      </c>
      <c r="X82" s="1245">
        <f t="shared" si="42"/>
        <v>10.493746978244763</v>
      </c>
      <c r="Y82" s="1245">
        <f t="shared" si="42"/>
        <v>20.002451499119285</v>
      </c>
      <c r="Z82" s="1245">
        <f t="shared" si="42"/>
        <v>47.845706012032949</v>
      </c>
      <c r="AA82" s="1245">
        <f t="shared" ca="1" si="42"/>
        <v>89.180678136624465</v>
      </c>
      <c r="AB82" s="1245">
        <f t="shared" ca="1" si="42"/>
        <v>42.676462188218949</v>
      </c>
      <c r="AC82" s="1245">
        <f t="shared" ca="1" si="42"/>
        <v>144.41252963850019</v>
      </c>
      <c r="AD82" s="1245">
        <f t="shared" ca="1" si="42"/>
        <v>174.67324745481284</v>
      </c>
      <c r="AE82" s="1245">
        <f t="shared" ca="1" si="42"/>
        <v>191.7784429391435</v>
      </c>
      <c r="AH82" s="1245"/>
      <c r="AI82" s="1245">
        <f t="shared" ref="AI82:AS82" si="43">SUM(AI70:AI81)</f>
        <v>4.0919903962339106</v>
      </c>
      <c r="AJ82" s="1245">
        <f t="shared" si="43"/>
        <v>2.6273044655222062</v>
      </c>
      <c r="AK82" s="1245">
        <f t="shared" si="43"/>
        <v>3.8841618650146437</v>
      </c>
      <c r="AL82" s="1245">
        <f t="shared" si="43"/>
        <v>4.2355301188339407</v>
      </c>
      <c r="AM82" s="1245">
        <f t="shared" si="43"/>
        <v>5.2464265598252249</v>
      </c>
      <c r="AN82" s="1245">
        <f t="shared" si="43"/>
        <v>6.9728729055660557</v>
      </c>
      <c r="AO82" s="1245">
        <f t="shared" ca="1" si="43"/>
        <v>8.4938493082286328</v>
      </c>
      <c r="AP82" s="1245">
        <f t="shared" ca="1" si="43"/>
        <v>9.935319066928157</v>
      </c>
      <c r="AQ82" s="1245">
        <f t="shared" ca="1" si="43"/>
        <v>10.089484901793044</v>
      </c>
      <c r="AR82" s="1245">
        <f t="shared" ca="1" si="43"/>
        <v>12.901387098931938</v>
      </c>
      <c r="AS82" s="1245">
        <f t="shared" ca="1" si="43"/>
        <v>13.188236251815932</v>
      </c>
      <c r="AU82" s="1418">
        <f t="shared" ca="1" si="24"/>
        <v>816.41614291654969</v>
      </c>
      <c r="AV82" s="1418">
        <f t="shared" ca="1" si="25"/>
        <v>734.74957997785589</v>
      </c>
      <c r="AW82" s="1418">
        <f t="shared" ca="1" si="26"/>
        <v>81.666562938693687</v>
      </c>
      <c r="AX82" s="660">
        <f t="shared" ca="1" si="27"/>
        <v>1.1368683772161603E-13</v>
      </c>
    </row>
    <row r="83" spans="2:50" ht="24" customHeight="1" x14ac:dyDescent="0.35">
      <c r="B83" s="58">
        <f t="shared" si="39"/>
        <v>35</v>
      </c>
      <c r="C83" s="105" t="s">
        <v>1458</v>
      </c>
      <c r="D83" s="268" t="s">
        <v>67</v>
      </c>
      <c r="E83" s="1237">
        <f>+'F13'!M33-'F13'!G33</f>
        <v>1.4247892500000001</v>
      </c>
      <c r="F83" s="1237">
        <f>+'F13'!M69-'F13'!G69</f>
        <v>4.022594647700001</v>
      </c>
      <c r="G83" s="1237">
        <f>+'F13'!M105-'F13'!G105</f>
        <v>10.823322184146999</v>
      </c>
      <c r="H83" s="1237">
        <f>+'F13'!M135-'F13'!G135</f>
        <v>13.44977864066</v>
      </c>
      <c r="I83" s="1237">
        <f>+'F13'!M165-'F13'!G165</f>
        <v>20.046621716524697</v>
      </c>
      <c r="J83" s="1237">
        <f>+'F13'!M195-'F13'!G195</f>
        <v>38.171723830581996</v>
      </c>
      <c r="K83" s="1237">
        <f>+'F13'!M226-'F13'!G226</f>
        <v>68.747444840086985</v>
      </c>
      <c r="L83" s="1237">
        <f>+'F13.1'!V100-'F13.1'!Q100</f>
        <v>119.28529703082914</v>
      </c>
      <c r="M83" s="1237">
        <f>+'F13.2'!U154-'F13.2'!R154</f>
        <v>150.12133209277712</v>
      </c>
      <c r="N83" s="1237">
        <f>+'F13.3'!U154-'F13.3'!R154</f>
        <v>182.9716963336127</v>
      </c>
      <c r="O83" s="1237">
        <f>+'F13.4'!U154-'F13.4'!R154</f>
        <v>219.97769745383999</v>
      </c>
      <c r="P83" s="1237">
        <f>+'F13.5'!W154-'F13.5'!R154</f>
        <v>235.59922850893787</v>
      </c>
      <c r="Q83" s="19"/>
      <c r="T83" s="1244">
        <f t="shared" si="23"/>
        <v>1.4247892500000001</v>
      </c>
      <c r="U83" s="1237">
        <f>+'F13 SEZ'!M69-'F13 SEZ'!G69</f>
        <v>0.81102395099999991</v>
      </c>
      <c r="V83" s="1237">
        <f>+'F13 SEZ'!M105-'F13 SEZ'!G105</f>
        <v>7.5234665820000011</v>
      </c>
      <c r="W83" s="1237">
        <f>+'F13 SEZ'!M135-'F13 SEZ'!G135</f>
        <v>9.1468695919999998</v>
      </c>
      <c r="X83" s="1237">
        <f>+'F13 SEZ'!M165-'F13 SEZ'!G165</f>
        <v>15.163057397999996</v>
      </c>
      <c r="Y83" s="1237">
        <f>+'F13 SEZ'!M195-'F13 SEZ'!G195</f>
        <v>30.248895062999996</v>
      </c>
      <c r="Z83" s="1237">
        <f>+'F13 SEZ'!M226-'F13 SEZ'!G226</f>
        <v>59.831810955999991</v>
      </c>
      <c r="AA83" s="1237">
        <f>+'F13.1'!V35-'F13.1'!Q35</f>
        <v>107.49253255770326</v>
      </c>
      <c r="AB83" s="1237">
        <f>+'F13.2'!$U$65-'F13.2'!$R$65</f>
        <v>136.21855859512172</v>
      </c>
      <c r="AC83" s="1237">
        <f>+'F13.3'!$U$65-'F13.3'!$R$65</f>
        <v>168.94817883595732</v>
      </c>
      <c r="AD83" s="1237">
        <f>+'F13.4'!$U$65-'F13.4'!$R$65</f>
        <v>201.79530154655504</v>
      </c>
      <c r="AE83" s="1237">
        <f>+'F13.5'!$U$65-'F13.5'!$R$65</f>
        <v>217.24373260165288</v>
      </c>
      <c r="AH83" s="1237"/>
      <c r="AI83" s="1237">
        <f>+'F13 Non SEZ'!M69-'F13 Non SEZ'!G69</f>
        <v>3.2115706967000004</v>
      </c>
      <c r="AJ83" s="1237">
        <f>+'F13 Non SEZ'!M105-'F13 Non SEZ'!G105</f>
        <v>3.2998556021470002</v>
      </c>
      <c r="AK83" s="1237">
        <f>+'F13 Non SEZ'!M135-'F13 Non SEZ'!G135</f>
        <v>4.3029090486600001</v>
      </c>
      <c r="AL83" s="1237">
        <f>+'F13 Non SEZ'!M165-'F13 Non SEZ'!G165</f>
        <v>4.883564318524698</v>
      </c>
      <c r="AM83" s="1237">
        <f>+'F13 Non SEZ'!M195-'F13 Non SEZ'!G195</f>
        <v>7.9228287675819997</v>
      </c>
      <c r="AN83" s="1237">
        <f>+'F13 Non SEZ'!M226-'F13 Non SEZ'!G226</f>
        <v>8.9156338840869971</v>
      </c>
      <c r="AO83" s="1237">
        <f>+'F13.1'!V70-'F13.1'!Q70</f>
        <v>11.792764473125876</v>
      </c>
      <c r="AP83" s="1237">
        <f>+'F13.2'!$U$124-'F13.2'!$R$124</f>
        <v>13.902773497655375</v>
      </c>
      <c r="AQ83" s="1237">
        <f>+'F13.3'!$U$124-'F13.3'!$R$124</f>
        <v>14.023517497655373</v>
      </c>
      <c r="AR83" s="1237">
        <f>+'F13.4'!$U$124-'F13.4'!$R$124</f>
        <v>18.182395907284928</v>
      </c>
      <c r="AS83" s="1237">
        <f>+'F13.5'!$U$124-'F13.5'!$R$124</f>
        <v>18.355495907284929</v>
      </c>
      <c r="AU83" s="1418">
        <f t="shared" si="24"/>
        <v>1064.6415265296976</v>
      </c>
      <c r="AV83" s="1418">
        <f t="shared" si="25"/>
        <v>955.84821692899027</v>
      </c>
      <c r="AW83" s="1418">
        <f t="shared" si="26"/>
        <v>108.79330960070718</v>
      </c>
      <c r="AX83" s="660">
        <f t="shared" si="27"/>
        <v>1.1368683772161603E-13</v>
      </c>
    </row>
    <row r="84" spans="2:50" ht="24" customHeight="1" x14ac:dyDescent="0.35">
      <c r="B84" s="58">
        <f t="shared" si="39"/>
        <v>36</v>
      </c>
      <c r="C84" s="105" t="s">
        <v>1459</v>
      </c>
      <c r="D84" s="268"/>
      <c r="E84" s="1237">
        <f>+E82-E83</f>
        <v>0.91140305104725949</v>
      </c>
      <c r="F84" s="1237">
        <f t="shared" ref="F84:P84" si="44">+F82-F83</f>
        <v>1.0265193102592187</v>
      </c>
      <c r="G84" s="1237">
        <f t="shared" si="44"/>
        <v>-5.4966296217060924</v>
      </c>
      <c r="H84" s="1237">
        <f t="shared" si="44"/>
        <v>-1.8720056041776179</v>
      </c>
      <c r="I84" s="1237">
        <f t="shared" si="44"/>
        <v>-5.3173446194459917</v>
      </c>
      <c r="J84" s="1237">
        <f t="shared" si="44"/>
        <v>-12.922845771637487</v>
      </c>
      <c r="K84" s="1237">
        <f t="shared" si="44"/>
        <v>-13.928865922487972</v>
      </c>
      <c r="L84" s="1237">
        <f t="shared" ca="1" si="44"/>
        <v>-21.61076958597603</v>
      </c>
      <c r="M84" s="1237">
        <f t="shared" ca="1" si="44"/>
        <v>-97.509550837630016</v>
      </c>
      <c r="N84" s="1237">
        <f t="shared" ca="1" si="44"/>
        <v>-28.469681793319467</v>
      </c>
      <c r="O84" s="1237">
        <f t="shared" ca="1" si="44"/>
        <v>-32.403062900095165</v>
      </c>
      <c r="P84" s="1237">
        <f t="shared" ca="1" si="44"/>
        <v>-30.632549317978487</v>
      </c>
      <c r="Q84" s="19"/>
      <c r="T84" s="1237">
        <f>+T82-T83</f>
        <v>0.91140305104725949</v>
      </c>
      <c r="U84" s="1237">
        <f t="shared" ref="U84:AE84" si="45">+U82-U83</f>
        <v>0.14609961072530764</v>
      </c>
      <c r="V84" s="1237">
        <f t="shared" si="45"/>
        <v>-4.8240784850813014</v>
      </c>
      <c r="W84" s="1237">
        <f t="shared" si="45"/>
        <v>-1.4532584205322605</v>
      </c>
      <c r="X84" s="1237">
        <f t="shared" si="45"/>
        <v>-4.6693104197552326</v>
      </c>
      <c r="Y84" s="1237">
        <f t="shared" si="45"/>
        <v>-10.24644356388071</v>
      </c>
      <c r="Z84" s="1237">
        <f t="shared" si="45"/>
        <v>-11.986104943967042</v>
      </c>
      <c r="AA84" s="1237">
        <f t="shared" ca="1" si="45"/>
        <v>-18.311854421078792</v>
      </c>
      <c r="AB84" s="1237">
        <f t="shared" ca="1" si="45"/>
        <v>-93.542096406902772</v>
      </c>
      <c r="AC84" s="1237">
        <f t="shared" ca="1" si="45"/>
        <v>-24.535649197457133</v>
      </c>
      <c r="AD84" s="1237">
        <f t="shared" ca="1" si="45"/>
        <v>-27.1220540917422</v>
      </c>
      <c r="AE84" s="1237">
        <f t="shared" ca="1" si="45"/>
        <v>-25.465289662509377</v>
      </c>
      <c r="AH84" s="1237"/>
      <c r="AI84" s="1237">
        <f t="shared" ref="AI84:AS84" si="46">+AI82-AI83</f>
        <v>0.88041969953391019</v>
      </c>
      <c r="AJ84" s="1237">
        <f t="shared" si="46"/>
        <v>-0.67255113662479404</v>
      </c>
      <c r="AK84" s="1237">
        <f t="shared" si="46"/>
        <v>-0.41874718364535646</v>
      </c>
      <c r="AL84" s="1237">
        <f t="shared" si="46"/>
        <v>-0.64803419969075726</v>
      </c>
      <c r="AM84" s="1237">
        <f t="shared" si="46"/>
        <v>-2.6764022077567748</v>
      </c>
      <c r="AN84" s="1237">
        <f t="shared" si="46"/>
        <v>-1.9427609785209414</v>
      </c>
      <c r="AO84" s="1237">
        <f t="shared" ca="1" si="46"/>
        <v>-3.2989151648972435</v>
      </c>
      <c r="AP84" s="1237">
        <f t="shared" ca="1" si="46"/>
        <v>-3.9674544307272175</v>
      </c>
      <c r="AQ84" s="1237">
        <f t="shared" ca="1" si="46"/>
        <v>-3.9340325958623286</v>
      </c>
      <c r="AR84" s="1237">
        <f t="shared" ca="1" si="46"/>
        <v>-5.2810088083529898</v>
      </c>
      <c r="AS84" s="1237">
        <f t="shared" ca="1" si="46"/>
        <v>-5.1672596554689978</v>
      </c>
      <c r="AU84" s="1418">
        <f t="shared" ca="1" si="24"/>
        <v>-248.22538361314784</v>
      </c>
      <c r="AV84" s="1418">
        <f t="shared" ca="1" si="25"/>
        <v>-221.09863695113424</v>
      </c>
      <c r="AW84" s="1418">
        <f t="shared" ca="1" si="26"/>
        <v>-27.126746662013488</v>
      </c>
      <c r="AX84" s="660">
        <f t="shared" ca="1" si="27"/>
        <v>-1.1368683772161603E-13</v>
      </c>
    </row>
    <row r="85" spans="2:50" x14ac:dyDescent="0.35">
      <c r="B85" s="57"/>
      <c r="C85" s="34"/>
      <c r="D85" s="260"/>
      <c r="E85" s="260"/>
      <c r="F85" s="260"/>
      <c r="G85" s="260"/>
      <c r="H85" s="260"/>
      <c r="I85" s="173"/>
      <c r="T85" s="1417"/>
      <c r="U85" s="1417"/>
      <c r="V85" s="1417"/>
      <c r="W85" s="1417"/>
      <c r="X85" s="1417"/>
      <c r="Y85" s="1417"/>
      <c r="Z85" s="1417"/>
      <c r="AH85" s="260"/>
      <c r="AI85" s="260"/>
      <c r="AJ85" s="260"/>
      <c r="AK85" s="260"/>
      <c r="AL85" s="173"/>
    </row>
    <row r="86" spans="2:50" x14ac:dyDescent="0.35">
      <c r="B86" s="10" t="s">
        <v>148</v>
      </c>
      <c r="W86" s="1415"/>
      <c r="X86" s="1415"/>
      <c r="Y86" s="1415"/>
      <c r="Z86" s="1415"/>
      <c r="AH86" s="50"/>
      <c r="AI86" s="50"/>
      <c r="AJ86" s="50"/>
      <c r="AK86" s="50"/>
    </row>
    <row r="87" spans="2:50" x14ac:dyDescent="0.35">
      <c r="AH87" s="50"/>
      <c r="AI87" s="50"/>
      <c r="AJ87" s="50"/>
      <c r="AK87" s="50"/>
    </row>
    <row r="88" spans="2:50" x14ac:dyDescent="0.35">
      <c r="C88" s="34" t="s">
        <v>1623</v>
      </c>
      <c r="AH88" s="50"/>
      <c r="AI88" s="50"/>
      <c r="AJ88" s="50"/>
      <c r="AK88" s="50"/>
    </row>
    <row r="89" spans="2:50" x14ac:dyDescent="0.35">
      <c r="AH89" s="50"/>
      <c r="AI89" s="50"/>
      <c r="AJ89" s="50"/>
      <c r="AK89" s="50"/>
    </row>
    <row r="90" spans="2:50" ht="12.75" customHeight="1" x14ac:dyDescent="0.35">
      <c r="B90" s="1938" t="s">
        <v>1</v>
      </c>
      <c r="C90" s="1940" t="s">
        <v>111</v>
      </c>
      <c r="D90" s="1940" t="s">
        <v>3</v>
      </c>
      <c r="E90" s="98" t="s">
        <v>196</v>
      </c>
      <c r="F90" s="98" t="s">
        <v>197</v>
      </c>
      <c r="G90" s="98" t="s">
        <v>198</v>
      </c>
      <c r="H90" s="98" t="s">
        <v>199</v>
      </c>
      <c r="I90" s="362" t="s">
        <v>112</v>
      </c>
      <c r="J90" s="362" t="s">
        <v>113</v>
      </c>
      <c r="K90" s="362" t="s">
        <v>114</v>
      </c>
      <c r="L90" s="1934" t="s">
        <v>1019</v>
      </c>
      <c r="M90" s="1935"/>
      <c r="N90" s="1935"/>
      <c r="O90" s="1935"/>
      <c r="P90" s="1936"/>
      <c r="Q90" s="1941" t="s">
        <v>116</v>
      </c>
      <c r="T90" s="98" t="s">
        <v>196</v>
      </c>
      <c r="U90" s="98" t="s">
        <v>197</v>
      </c>
      <c r="V90" s="98" t="s">
        <v>198</v>
      </c>
      <c r="W90" s="98" t="s">
        <v>199</v>
      </c>
      <c r="X90" s="362" t="s">
        <v>112</v>
      </c>
      <c r="Y90" s="362" t="s">
        <v>113</v>
      </c>
      <c r="Z90" s="362" t="s">
        <v>114</v>
      </c>
      <c r="AA90" s="1934" t="s">
        <v>1019</v>
      </c>
      <c r="AB90" s="1935"/>
      <c r="AC90" s="1935"/>
      <c r="AD90" s="1935"/>
      <c r="AE90" s="1936"/>
      <c r="AH90" s="98" t="s">
        <v>196</v>
      </c>
      <c r="AI90" s="98" t="s">
        <v>197</v>
      </c>
      <c r="AJ90" s="98" t="s">
        <v>198</v>
      </c>
      <c r="AK90" s="98" t="s">
        <v>199</v>
      </c>
      <c r="AL90" s="362" t="s">
        <v>112</v>
      </c>
      <c r="AM90" s="362" t="s">
        <v>113</v>
      </c>
      <c r="AN90" s="362" t="s">
        <v>114</v>
      </c>
      <c r="AO90" s="1934" t="s">
        <v>1019</v>
      </c>
      <c r="AP90" s="1935"/>
      <c r="AQ90" s="1935"/>
      <c r="AR90" s="1935"/>
      <c r="AS90" s="1936"/>
    </row>
    <row r="91" spans="2:50" ht="41.45" customHeight="1" x14ac:dyDescent="0.35">
      <c r="B91" s="1939"/>
      <c r="C91" s="1940"/>
      <c r="D91" s="1940"/>
      <c r="E91" s="1934" t="s">
        <v>117</v>
      </c>
      <c r="F91" s="1935"/>
      <c r="G91" s="1935"/>
      <c r="H91" s="1935"/>
      <c r="I91" s="1935"/>
      <c r="J91" s="1935"/>
      <c r="K91" s="1936"/>
      <c r="L91" s="217" t="s">
        <v>123</v>
      </c>
      <c r="M91" s="217" t="s">
        <v>124</v>
      </c>
      <c r="N91" s="217" t="s">
        <v>125</v>
      </c>
      <c r="O91" s="217" t="s">
        <v>126</v>
      </c>
      <c r="P91" s="217" t="s">
        <v>127</v>
      </c>
      <c r="Q91" s="1941"/>
      <c r="T91" s="1934" t="s">
        <v>117</v>
      </c>
      <c r="U91" s="1935"/>
      <c r="V91" s="1935"/>
      <c r="W91" s="1935"/>
      <c r="X91" s="1935"/>
      <c r="Y91" s="1935"/>
      <c r="Z91" s="1936"/>
      <c r="AA91" s="217" t="s">
        <v>123</v>
      </c>
      <c r="AB91" s="217" t="s">
        <v>124</v>
      </c>
      <c r="AC91" s="217" t="s">
        <v>125</v>
      </c>
      <c r="AD91" s="217" t="s">
        <v>126</v>
      </c>
      <c r="AE91" s="217" t="s">
        <v>127</v>
      </c>
      <c r="AH91" s="1934" t="s">
        <v>117</v>
      </c>
      <c r="AI91" s="1935"/>
      <c r="AJ91" s="1935"/>
      <c r="AK91" s="1935"/>
      <c r="AL91" s="1935"/>
      <c r="AM91" s="1935"/>
      <c r="AN91" s="1936"/>
      <c r="AO91" s="217" t="s">
        <v>123</v>
      </c>
      <c r="AP91" s="217" t="s">
        <v>124</v>
      </c>
      <c r="AQ91" s="217" t="s">
        <v>125</v>
      </c>
      <c r="AR91" s="217" t="s">
        <v>126</v>
      </c>
      <c r="AS91" s="217" t="s">
        <v>127</v>
      </c>
    </row>
    <row r="92" spans="2:50" ht="27.75" x14ac:dyDescent="0.35">
      <c r="B92" s="58">
        <v>1</v>
      </c>
      <c r="C92" s="152" t="s">
        <v>150</v>
      </c>
      <c r="D92" s="268" t="s">
        <v>17</v>
      </c>
      <c r="E92" s="1233">
        <f>+E49</f>
        <v>0.75848660000000001</v>
      </c>
      <c r="F92" s="1233">
        <f t="shared" ref="F92:P92" si="47">+F49</f>
        <v>1.7147583</v>
      </c>
      <c r="G92" s="1233">
        <f t="shared" si="47"/>
        <v>4.0937451949999994</v>
      </c>
      <c r="H92" s="1233">
        <f t="shared" si="47"/>
        <v>8.4885383060000024</v>
      </c>
      <c r="I92" s="1233">
        <f t="shared" si="47"/>
        <v>11.923470432999999</v>
      </c>
      <c r="J92" s="1233">
        <f t="shared" si="47"/>
        <v>21.223852761</v>
      </c>
      <c r="K92" s="1233">
        <f t="shared" si="47"/>
        <v>48.259510922520001</v>
      </c>
      <c r="L92" s="1233">
        <f t="shared" ca="1" si="47"/>
        <v>84.561639287896213</v>
      </c>
      <c r="M92" s="1233">
        <f t="shared" ca="1" si="47"/>
        <v>106.46528929518276</v>
      </c>
      <c r="N92" s="1233">
        <f t="shared" ca="1" si="47"/>
        <v>134.7013459150767</v>
      </c>
      <c r="O92" s="1233">
        <f t="shared" ca="1" si="47"/>
        <v>164.42305909274285</v>
      </c>
      <c r="P92" s="1233">
        <f t="shared" ca="1" si="47"/>
        <v>180.59522872888641</v>
      </c>
      <c r="Q92" s="19"/>
      <c r="T92" s="1233">
        <f>+T49</f>
        <v>0.75848660000000001</v>
      </c>
      <c r="U92" s="1233">
        <f t="shared" ref="U92:AE92" si="48">+U49</f>
        <v>0.37087922062004841</v>
      </c>
      <c r="V92" s="1233">
        <f t="shared" si="48"/>
        <v>2.8405808369505801</v>
      </c>
      <c r="W92" s="1233">
        <f t="shared" si="48"/>
        <v>6.6860481173457371</v>
      </c>
      <c r="X92" s="1233">
        <f t="shared" si="48"/>
        <v>9.9356747848656823</v>
      </c>
      <c r="Y92" s="1233">
        <f t="shared" si="48"/>
        <v>18.198545211312659</v>
      </c>
      <c r="Z92" s="1233">
        <f t="shared" si="48"/>
        <v>43.932733688395452</v>
      </c>
      <c r="AA92" s="1233">
        <f t="shared" ca="1" si="48"/>
        <v>78.703665325880721</v>
      </c>
      <c r="AB92" s="1233">
        <f t="shared" ca="1" si="48"/>
        <v>99.36802625254704</v>
      </c>
      <c r="AC92" s="1233">
        <f t="shared" ca="1" si="48"/>
        <v>127.41525730724346</v>
      </c>
      <c r="AD92" s="1233">
        <f t="shared" ca="1" si="48"/>
        <v>154.6388962086501</v>
      </c>
      <c r="AE92" s="1233">
        <f t="shared" ca="1" si="48"/>
        <v>170.65350977314154</v>
      </c>
      <c r="AH92" s="1233"/>
      <c r="AI92" s="1233">
        <f t="shared" ref="AI92:AS92" si="49">+AI49</f>
        <v>1.3438790793799518</v>
      </c>
      <c r="AJ92" s="1233">
        <f t="shared" si="49"/>
        <v>1.2531643580494185</v>
      </c>
      <c r="AK92" s="1233">
        <f t="shared" si="49"/>
        <v>1.8024901886542664</v>
      </c>
      <c r="AL92" s="1233">
        <f t="shared" si="49"/>
        <v>1.9877956481343173</v>
      </c>
      <c r="AM92" s="1233">
        <f t="shared" si="49"/>
        <v>3.0253075496873367</v>
      </c>
      <c r="AN92" s="1233">
        <f t="shared" si="49"/>
        <v>4.3267772341245454</v>
      </c>
      <c r="AO92" s="1233">
        <f t="shared" ca="1" si="49"/>
        <v>5.8579739620154676</v>
      </c>
      <c r="AP92" s="1233">
        <f t="shared" ca="1" si="49"/>
        <v>7.0972630426356913</v>
      </c>
      <c r="AQ92" s="1233">
        <f t="shared" ca="1" si="49"/>
        <v>7.2860886078332294</v>
      </c>
      <c r="AR92" s="1233">
        <f t="shared" ca="1" si="49"/>
        <v>9.7841628840927317</v>
      </c>
      <c r="AS92" s="1233">
        <f t="shared" ca="1" si="49"/>
        <v>9.9417189557449266</v>
      </c>
      <c r="AU92" s="1418">
        <f t="shared" ref="AU92:AU127" ca="1" si="50">+SUM(E92:P92)</f>
        <v>767.20892483730495</v>
      </c>
      <c r="AV92" s="1418">
        <f t="shared" ref="AV92:AV127" ca="1" si="51">SUM(T92:AE92)</f>
        <v>713.50230332695298</v>
      </c>
      <c r="AW92" s="1418">
        <f t="shared" ref="AW92:AW127" ca="1" si="52">SUM(AH92:AS92)</f>
        <v>53.70662151035188</v>
      </c>
      <c r="AX92" s="660">
        <f t="shared" ref="AX92:AX127" ca="1" si="53">+AU92-AV92-AW92</f>
        <v>8.5265128291212022E-14</v>
      </c>
    </row>
    <row r="93" spans="2:50" x14ac:dyDescent="0.35">
      <c r="B93" s="58">
        <f>B92+1</f>
        <v>2</v>
      </c>
      <c r="C93" s="152" t="s">
        <v>136</v>
      </c>
      <c r="D93" s="262" t="s">
        <v>25</v>
      </c>
      <c r="E93" s="1236">
        <f t="shared" ref="E93:E99" si="54">+E12+E50</f>
        <v>2.5177392119999999</v>
      </c>
      <c r="F93" s="1236">
        <f t="shared" ref="F93:P93" si="55">+F12+F50</f>
        <v>4.4041566673509394</v>
      </c>
      <c r="G93" s="1236">
        <f t="shared" si="55"/>
        <v>4.4151265849999994</v>
      </c>
      <c r="H93" s="1236">
        <f t="shared" si="55"/>
        <v>5.2365555740000014</v>
      </c>
      <c r="I93" s="1236">
        <f t="shared" si="55"/>
        <v>6.1253732177789733</v>
      </c>
      <c r="J93" s="1236">
        <f t="shared" si="55"/>
        <v>4.8688178979999996</v>
      </c>
      <c r="K93" s="1236">
        <f t="shared" si="55"/>
        <v>7.5471703629999993</v>
      </c>
      <c r="L93" s="1236">
        <f t="shared" si="55"/>
        <v>8.145024702386543</v>
      </c>
      <c r="M93" s="1236">
        <f t="shared" si="55"/>
        <v>8.7947891864723324</v>
      </c>
      <c r="N93" s="1236">
        <f t="shared" si="55"/>
        <v>9.5012594509544872</v>
      </c>
      <c r="O93" s="1236">
        <f t="shared" si="55"/>
        <v>10.269690845114749</v>
      </c>
      <c r="P93" s="1236">
        <f t="shared" si="55"/>
        <v>11.105843406609752</v>
      </c>
      <c r="Q93" s="19"/>
      <c r="T93" s="1236">
        <f t="shared" ref="T93:AE99" si="56">+T12+T50</f>
        <v>2.5177392119999999</v>
      </c>
      <c r="U93" s="1236">
        <f t="shared" si="56"/>
        <v>0.61181331053137733</v>
      </c>
      <c r="V93" s="1236">
        <f t="shared" si="56"/>
        <v>0.875380493555177</v>
      </c>
      <c r="W93" s="1236">
        <f t="shared" si="56"/>
        <v>0.89514319452137003</v>
      </c>
      <c r="X93" s="1236">
        <f t="shared" si="56"/>
        <v>1.175324017428389</v>
      </c>
      <c r="Y93" s="1236">
        <f t="shared" si="56"/>
        <v>0.83958890625214222</v>
      </c>
      <c r="Z93" s="1236">
        <f t="shared" si="56"/>
        <v>2.4223386313325896</v>
      </c>
      <c r="AA93" s="1236">
        <f t="shared" si="56"/>
        <v>3.8687093371681516</v>
      </c>
      <c r="AB93" s="1236">
        <f t="shared" si="56"/>
        <v>4.5984117832344964</v>
      </c>
      <c r="AC93" s="1236">
        <f t="shared" si="56"/>
        <v>5.3461311145687604</v>
      </c>
      <c r="AD93" s="1236">
        <f t="shared" si="56"/>
        <v>6.0718508591613825</v>
      </c>
      <c r="AE93" s="1236">
        <f t="shared" si="56"/>
        <v>6.5667761118617189</v>
      </c>
      <c r="AH93" s="1236"/>
      <c r="AI93" s="1236">
        <f t="shared" ref="AI93:AS93" si="57">+AI12+AI50</f>
        <v>3.7923433568195621</v>
      </c>
      <c r="AJ93" s="1236">
        <f t="shared" si="57"/>
        <v>3.5397460914448224</v>
      </c>
      <c r="AK93" s="1236">
        <f t="shared" si="57"/>
        <v>4.3414123794786317</v>
      </c>
      <c r="AL93" s="1236">
        <f t="shared" si="57"/>
        <v>4.950049200350584</v>
      </c>
      <c r="AM93" s="1236">
        <f t="shared" si="57"/>
        <v>4.0292289917478579</v>
      </c>
      <c r="AN93" s="1236">
        <f t="shared" si="57"/>
        <v>5.1248317316674097</v>
      </c>
      <c r="AO93" s="1236">
        <f t="shared" si="57"/>
        <v>4.2763153652183927</v>
      </c>
      <c r="AP93" s="1236">
        <f t="shared" si="57"/>
        <v>4.1963774032378343</v>
      </c>
      <c r="AQ93" s="1236">
        <f t="shared" si="57"/>
        <v>4.1551283363857259</v>
      </c>
      <c r="AR93" s="1236">
        <f t="shared" si="57"/>
        <v>4.1978399859533644</v>
      </c>
      <c r="AS93" s="1236">
        <f t="shared" si="57"/>
        <v>4.5390672947480333</v>
      </c>
      <c r="AU93" s="1418">
        <f t="shared" si="50"/>
        <v>82.931547108667772</v>
      </c>
      <c r="AV93" s="1418">
        <f t="shared" si="51"/>
        <v>35.789206971615556</v>
      </c>
      <c r="AW93" s="1418">
        <f t="shared" si="52"/>
        <v>47.142340137052216</v>
      </c>
      <c r="AX93" s="660">
        <f t="shared" si="53"/>
        <v>0</v>
      </c>
    </row>
    <row r="94" spans="2:50" ht="27.75" x14ac:dyDescent="0.35">
      <c r="B94" s="58">
        <f t="shared" ref="B94:B112" si="58">B93+1</f>
        <v>3</v>
      </c>
      <c r="C94" s="61" t="s">
        <v>137</v>
      </c>
      <c r="D94" s="262" t="s">
        <v>151</v>
      </c>
      <c r="E94" s="1236">
        <f t="shared" si="54"/>
        <v>1.2631278500000001</v>
      </c>
      <c r="F94" s="1236">
        <f t="shared" ref="F94:P94" si="59">+F13+F51</f>
        <v>2.8634172192698126</v>
      </c>
      <c r="G94" s="1236">
        <f t="shared" si="59"/>
        <v>2.9695010244610849</v>
      </c>
      <c r="H94" s="1236">
        <f t="shared" si="59"/>
        <v>3.338140011488159</v>
      </c>
      <c r="I94" s="1236">
        <f t="shared" si="59"/>
        <v>3.3770995902082115</v>
      </c>
      <c r="J94" s="1236">
        <f t="shared" si="59"/>
        <v>3.4386201524334843</v>
      </c>
      <c r="K94" s="1236">
        <f t="shared" si="59"/>
        <v>3.4448724761868239</v>
      </c>
      <c r="L94" s="1236">
        <f t="shared" si="59"/>
        <v>3.6397683620186925</v>
      </c>
      <c r="M94" s="1236">
        <f t="shared" si="59"/>
        <v>3.6536387408819802</v>
      </c>
      <c r="N94" s="1236">
        <f t="shared" si="59"/>
        <v>3.6565964987011932</v>
      </c>
      <c r="O94" s="1236">
        <f t="shared" si="59"/>
        <v>3.6598978247886471</v>
      </c>
      <c r="P94" s="1236">
        <f t="shared" si="59"/>
        <v>3.678209040818647</v>
      </c>
      <c r="Q94" s="19"/>
      <c r="T94" s="1236">
        <f t="shared" si="56"/>
        <v>1.2631278500000001</v>
      </c>
      <c r="U94" s="1236">
        <f t="shared" si="56"/>
        <v>1.7374128234815791</v>
      </c>
      <c r="V94" s="1236">
        <f t="shared" si="56"/>
        <v>1.6410495815730348</v>
      </c>
      <c r="W94" s="1236">
        <f t="shared" si="56"/>
        <v>1.84497531827804</v>
      </c>
      <c r="X94" s="1236">
        <f t="shared" si="56"/>
        <v>1.8524610367363519</v>
      </c>
      <c r="Y94" s="1236">
        <f t="shared" si="56"/>
        <v>1.8667251241387286</v>
      </c>
      <c r="Z94" s="1236">
        <f t="shared" si="56"/>
        <v>1.8697864440155838</v>
      </c>
      <c r="AA94" s="1236">
        <f t="shared" si="56"/>
        <v>2.0253233853037118</v>
      </c>
      <c r="AB94" s="1236">
        <f t="shared" si="56"/>
        <v>2.0321842944777684</v>
      </c>
      <c r="AC94" s="1236">
        <f t="shared" si="56"/>
        <v>2.0311699711435014</v>
      </c>
      <c r="AD94" s="1236">
        <f t="shared" si="56"/>
        <v>2.0287434774486943</v>
      </c>
      <c r="AE94" s="1236">
        <f t="shared" si="56"/>
        <v>2.0308226920011521</v>
      </c>
      <c r="AH94" s="1236"/>
      <c r="AI94" s="1236">
        <f t="shared" ref="AI94:AS94" si="60">+AI13+AI51</f>
        <v>1.1260043957882333</v>
      </c>
      <c r="AJ94" s="1236">
        <f t="shared" si="60"/>
        <v>1.3284514428880505</v>
      </c>
      <c r="AK94" s="1236">
        <f t="shared" si="60"/>
        <v>1.4931646932101188</v>
      </c>
      <c r="AL94" s="1236">
        <f t="shared" si="60"/>
        <v>1.5246385534718592</v>
      </c>
      <c r="AM94" s="1236">
        <f t="shared" si="60"/>
        <v>1.571895028294755</v>
      </c>
      <c r="AN94" s="1236">
        <f t="shared" si="60"/>
        <v>1.5750860321712397</v>
      </c>
      <c r="AO94" s="1236">
        <f t="shared" si="60"/>
        <v>1.6144449767149807</v>
      </c>
      <c r="AP94" s="1236">
        <f t="shared" si="60"/>
        <v>1.6214544464042115</v>
      </c>
      <c r="AQ94" s="1236">
        <f t="shared" si="60"/>
        <v>1.6254265275576918</v>
      </c>
      <c r="AR94" s="1236">
        <f t="shared" si="60"/>
        <v>1.631154347339953</v>
      </c>
      <c r="AS94" s="1236">
        <f t="shared" si="60"/>
        <v>1.6473863488174949</v>
      </c>
      <c r="AU94" s="1418">
        <f t="shared" si="50"/>
        <v>38.982888791256741</v>
      </c>
      <c r="AV94" s="1418">
        <f t="shared" si="51"/>
        <v>22.223781998598149</v>
      </c>
      <c r="AW94" s="1418">
        <f t="shared" si="52"/>
        <v>16.759106792658592</v>
      </c>
      <c r="AX94" s="660">
        <f t="shared" si="53"/>
        <v>0</v>
      </c>
    </row>
    <row r="95" spans="2:50" x14ac:dyDescent="0.35">
      <c r="B95" s="58">
        <f t="shared" si="58"/>
        <v>4</v>
      </c>
      <c r="C95" s="152" t="s">
        <v>52</v>
      </c>
      <c r="D95" s="262" t="s">
        <v>53</v>
      </c>
      <c r="E95" s="1236">
        <f t="shared" si="54"/>
        <v>2.130017687079341</v>
      </c>
      <c r="F95" s="1236">
        <f t="shared" ref="F95:P95" si="61">+F14+F52</f>
        <v>4.56323030663106</v>
      </c>
      <c r="G95" s="1236">
        <f t="shared" si="61"/>
        <v>4.5353057371554168</v>
      </c>
      <c r="H95" s="1236">
        <f t="shared" si="61"/>
        <v>4.0800611491502119</v>
      </c>
      <c r="I95" s="1236">
        <f t="shared" si="61"/>
        <v>3.8235527313010089</v>
      </c>
      <c r="J95" s="1236">
        <f t="shared" si="61"/>
        <v>3.5348262603731166</v>
      </c>
      <c r="K95" s="1236">
        <f t="shared" si="61"/>
        <v>3.2011575737994624</v>
      </c>
      <c r="L95" s="1236">
        <f t="shared" si="61"/>
        <v>2.8654499169218801</v>
      </c>
      <c r="M95" s="1236">
        <f t="shared" si="61"/>
        <v>2.5279139698343593</v>
      </c>
      <c r="N95" s="1236">
        <f t="shared" si="61"/>
        <v>2.1857628015671544</v>
      </c>
      <c r="O95" s="1236">
        <f t="shared" si="61"/>
        <v>1.8486148480360076</v>
      </c>
      <c r="P95" s="1236">
        <f t="shared" si="61"/>
        <v>1.5158275830051045</v>
      </c>
      <c r="Q95" s="19"/>
      <c r="T95" s="1236">
        <f t="shared" si="56"/>
        <v>2.130017687079341</v>
      </c>
      <c r="U95" s="1236">
        <f t="shared" si="56"/>
        <v>2.7919279929631649</v>
      </c>
      <c r="V95" s="1236">
        <f t="shared" si="56"/>
        <v>2.5829026041779768</v>
      </c>
      <c r="W95" s="1236">
        <f t="shared" si="56"/>
        <v>2.3221799809125767</v>
      </c>
      <c r="X95" s="1236">
        <f t="shared" si="56"/>
        <v>2.1537787269471464</v>
      </c>
      <c r="Y95" s="1236">
        <f t="shared" si="56"/>
        <v>1.9801567188111082</v>
      </c>
      <c r="Z95" s="1236">
        <f t="shared" si="56"/>
        <v>1.7987258748266084</v>
      </c>
      <c r="AA95" s="1236">
        <f t="shared" si="56"/>
        <v>1.6125747055965101</v>
      </c>
      <c r="AB95" s="1236">
        <f t="shared" si="56"/>
        <v>1.4201609386062235</v>
      </c>
      <c r="AC95" s="1236">
        <f t="shared" si="56"/>
        <v>1.2222829067239676</v>
      </c>
      <c r="AD95" s="1236">
        <f t="shared" si="56"/>
        <v>1.0242640626016588</v>
      </c>
      <c r="AE95" s="1236">
        <f t="shared" si="56"/>
        <v>0.82692147439617236</v>
      </c>
      <c r="AH95" s="1236"/>
      <c r="AI95" s="1236">
        <f t="shared" ref="AI95:AS95" si="62">+AI14+AI52</f>
        <v>1.7713023136678945</v>
      </c>
      <c r="AJ95" s="1236">
        <f t="shared" si="62"/>
        <v>1.9524031329774405</v>
      </c>
      <c r="AK95" s="1236">
        <f t="shared" si="62"/>
        <v>1.7578811682376352</v>
      </c>
      <c r="AL95" s="1236">
        <f t="shared" si="62"/>
        <v>1.6697740043538625</v>
      </c>
      <c r="AM95" s="1236">
        <f t="shared" si="62"/>
        <v>1.554669541562008</v>
      </c>
      <c r="AN95" s="1236">
        <f t="shared" si="62"/>
        <v>1.4024316989728536</v>
      </c>
      <c r="AO95" s="1236">
        <f t="shared" si="62"/>
        <v>1.2528752113253698</v>
      </c>
      <c r="AP95" s="1236">
        <f t="shared" si="62"/>
        <v>1.1077530312281356</v>
      </c>
      <c r="AQ95" s="1236">
        <f t="shared" si="62"/>
        <v>0.96347989484318697</v>
      </c>
      <c r="AR95" s="1236">
        <f t="shared" si="62"/>
        <v>0.8243507854343487</v>
      </c>
      <c r="AS95" s="1236">
        <f t="shared" si="62"/>
        <v>0.68890610860893209</v>
      </c>
      <c r="AU95" s="1418">
        <f t="shared" si="50"/>
        <v>36.811720564854127</v>
      </c>
      <c r="AV95" s="1418">
        <f t="shared" si="51"/>
        <v>21.865893673642457</v>
      </c>
      <c r="AW95" s="1418">
        <f t="shared" si="52"/>
        <v>14.945826891211667</v>
      </c>
      <c r="AX95" s="660">
        <f t="shared" si="53"/>
        <v>0</v>
      </c>
    </row>
    <row r="96" spans="2:50" x14ac:dyDescent="0.35">
      <c r="B96" s="58">
        <f t="shared" si="58"/>
        <v>5</v>
      </c>
      <c r="C96" s="61" t="s">
        <v>139</v>
      </c>
      <c r="D96" s="262" t="s">
        <v>55</v>
      </c>
      <c r="E96" s="1236">
        <f t="shared" si="54"/>
        <v>1.1963686382215582E-2</v>
      </c>
      <c r="F96" s="1236">
        <f t="shared" ref="F96:P96" si="63">+F15+F53</f>
        <v>4.3107786676804462E-2</v>
      </c>
      <c r="G96" s="1236">
        <f t="shared" si="63"/>
        <v>5.4931949405263206E-2</v>
      </c>
      <c r="H96" s="1236">
        <f t="shared" si="63"/>
        <v>4.397256275708581E-2</v>
      </c>
      <c r="I96" s="1236">
        <f t="shared" si="63"/>
        <v>5.6110103453735946E-2</v>
      </c>
      <c r="J96" s="1236">
        <f t="shared" si="63"/>
        <v>6.18699101915638E-2</v>
      </c>
      <c r="K96" s="1236">
        <f t="shared" si="63"/>
        <v>9.0647674474657915E-3</v>
      </c>
      <c r="L96" s="1236">
        <f t="shared" ca="1" si="63"/>
        <v>5.704476789000805E-2</v>
      </c>
      <c r="M96" s="1236">
        <f t="shared" ca="1" si="63"/>
        <v>0.34388081531911863</v>
      </c>
      <c r="N96" s="1236">
        <f t="shared" ca="1" si="63"/>
        <v>0.40783262857822172</v>
      </c>
      <c r="O96" s="1236">
        <f t="shared" ca="1" si="63"/>
        <v>0.48847244213112534</v>
      </c>
      <c r="P96" s="1236">
        <f t="shared" ca="1" si="63"/>
        <v>0.51082920470552995</v>
      </c>
      <c r="Q96" s="19"/>
      <c r="T96" s="1236">
        <f t="shared" si="56"/>
        <v>1.1963686382215582E-2</v>
      </c>
      <c r="U96" s="1236">
        <f t="shared" si="56"/>
        <v>9.3236360630816282E-3</v>
      </c>
      <c r="V96" s="1236">
        <f t="shared" si="56"/>
        <v>3.8116354434445811E-2</v>
      </c>
      <c r="W96" s="1236">
        <f t="shared" si="56"/>
        <v>3.4635252836058859E-2</v>
      </c>
      <c r="X96" s="1236">
        <f t="shared" si="56"/>
        <v>4.6755828615010174E-2</v>
      </c>
      <c r="Y96" s="1236">
        <f t="shared" si="56"/>
        <v>5.3050799518832362E-2</v>
      </c>
      <c r="Z96" s="1236">
        <f t="shared" si="56"/>
        <v>8.2520524266422798E-3</v>
      </c>
      <c r="AA96" s="1236">
        <f t="shared" ca="1" si="56"/>
        <v>5.3093014260549791E-2</v>
      </c>
      <c r="AB96" s="1236">
        <f t="shared" ca="1" si="56"/>
        <v>0.32095679362347435</v>
      </c>
      <c r="AC96" s="1236">
        <f t="shared" ca="1" si="56"/>
        <v>0.38577268070762011</v>
      </c>
      <c r="AD96" s="1236">
        <f t="shared" ca="1" si="56"/>
        <v>0.45940538812682208</v>
      </c>
      <c r="AE96" s="1236">
        <f t="shared" ca="1" si="56"/>
        <v>0.48270819384984981</v>
      </c>
      <c r="AH96" s="1236"/>
      <c r="AI96" s="1236">
        <f t="shared" ref="AI96:AS96" si="64">+AI15+AI53</f>
        <v>3.3784150613722835E-2</v>
      </c>
      <c r="AJ96" s="1236">
        <f t="shared" si="64"/>
        <v>1.6815594970817381E-2</v>
      </c>
      <c r="AK96" s="1236">
        <f t="shared" si="64"/>
        <v>9.3373099210269563E-3</v>
      </c>
      <c r="AL96" s="1236">
        <f t="shared" si="64"/>
        <v>9.3542748387257773E-3</v>
      </c>
      <c r="AM96" s="1236">
        <f t="shared" si="64"/>
        <v>8.8191106727314277E-3</v>
      </c>
      <c r="AN96" s="1236">
        <f t="shared" si="64"/>
        <v>8.1271502082351E-4</v>
      </c>
      <c r="AO96" s="1236">
        <f t="shared" ca="1" si="64"/>
        <v>3.9517536294582491E-3</v>
      </c>
      <c r="AP96" s="1236">
        <f t="shared" ca="1" si="64"/>
        <v>2.2924021695644239E-2</v>
      </c>
      <c r="AQ96" s="1236">
        <f t="shared" ca="1" si="64"/>
        <v>2.2059947870601573E-2</v>
      </c>
      <c r="AR96" s="1236">
        <f t="shared" ca="1" si="64"/>
        <v>2.9067054004303192E-2</v>
      </c>
      <c r="AS96" s="1236">
        <f t="shared" ca="1" si="64"/>
        <v>2.8121010855680251E-2</v>
      </c>
      <c r="AU96" s="1418">
        <f t="shared" ca="1" si="50"/>
        <v>2.0890806249381382</v>
      </c>
      <c r="AV96" s="1418">
        <f t="shared" ca="1" si="51"/>
        <v>1.9040336808446028</v>
      </c>
      <c r="AW96" s="1418">
        <f t="shared" ca="1" si="52"/>
        <v>0.18504694409353539</v>
      </c>
      <c r="AX96" s="660">
        <f t="shared" ca="1" si="53"/>
        <v>0</v>
      </c>
    </row>
    <row r="97" spans="2:50" x14ac:dyDescent="0.35">
      <c r="B97" s="58">
        <f t="shared" si="58"/>
        <v>6</v>
      </c>
      <c r="C97" s="61" t="s">
        <v>152</v>
      </c>
      <c r="D97" s="262" t="s">
        <v>55</v>
      </c>
      <c r="E97" s="1236">
        <f t="shared" si="54"/>
        <v>1.1004869E-2</v>
      </c>
      <c r="F97" s="1236">
        <f t="shared" ref="F97:P97" si="65">+F16+F54</f>
        <v>6.1948607999999995E-2</v>
      </c>
      <c r="G97" s="1236">
        <f t="shared" si="65"/>
        <v>0.11833463700000001</v>
      </c>
      <c r="H97" s="1236">
        <f t="shared" si="65"/>
        <v>0.22348830000000003</v>
      </c>
      <c r="I97" s="1236">
        <f t="shared" si="65"/>
        <v>0.25726389999999999</v>
      </c>
      <c r="J97" s="1236">
        <f t="shared" si="65"/>
        <v>0.44022800000000006</v>
      </c>
      <c r="K97" s="1236">
        <f t="shared" si="65"/>
        <v>0.86225510000000005</v>
      </c>
      <c r="L97" s="1236">
        <f t="shared" si="65"/>
        <v>1.1012710494250002</v>
      </c>
      <c r="M97" s="1236">
        <f t="shared" si="65"/>
        <v>1.26646170683875</v>
      </c>
      <c r="N97" s="1236">
        <f t="shared" si="65"/>
        <v>1.4564309628645626</v>
      </c>
      <c r="O97" s="1236">
        <f t="shared" si="65"/>
        <v>1.6748956072942467</v>
      </c>
      <c r="P97" s="1236">
        <f t="shared" si="65"/>
        <v>1.9261299483883836</v>
      </c>
      <c r="Q97" s="19"/>
      <c r="T97" s="1236">
        <f t="shared" si="56"/>
        <v>1.1004869E-2</v>
      </c>
      <c r="U97" s="1236">
        <f t="shared" si="56"/>
        <v>1.3398653007561996E-2</v>
      </c>
      <c r="V97" s="1236">
        <f t="shared" si="56"/>
        <v>8.2110411419903509E-2</v>
      </c>
      <c r="W97" s="1236">
        <f t="shared" si="56"/>
        <v>0.17603190014558898</v>
      </c>
      <c r="X97" s="1236">
        <f t="shared" si="56"/>
        <v>0.21437470396302083</v>
      </c>
      <c r="Y97" s="1236">
        <f t="shared" si="56"/>
        <v>0.37747666512308925</v>
      </c>
      <c r="Z97" s="1236">
        <f t="shared" si="56"/>
        <v>0.78494835433741939</v>
      </c>
      <c r="AA97" s="1236">
        <f t="shared" si="56"/>
        <v>1.0249809350542336</v>
      </c>
      <c r="AB97" s="1236">
        <f t="shared" si="56"/>
        <v>1.1820359571285419</v>
      </c>
      <c r="AC97" s="1236">
        <f t="shared" si="56"/>
        <v>1.3776516086232673</v>
      </c>
      <c r="AD97" s="1236">
        <f t="shared" si="56"/>
        <v>1.5752292251818993</v>
      </c>
      <c r="AE97" s="1236">
        <f t="shared" si="56"/>
        <v>1.8200970107858754</v>
      </c>
      <c r="AH97" s="1236"/>
      <c r="AI97" s="1236">
        <f t="shared" ref="AI97:AS97" si="66">+AI16+AI54</f>
        <v>4.8549954992438006E-2</v>
      </c>
      <c r="AJ97" s="1236">
        <f t="shared" si="66"/>
        <v>3.6224225580096463E-2</v>
      </c>
      <c r="AK97" s="1236">
        <f t="shared" si="66"/>
        <v>4.7456399854411073E-2</v>
      </c>
      <c r="AL97" s="1236">
        <f t="shared" si="66"/>
        <v>4.2889196036979202E-2</v>
      </c>
      <c r="AM97" s="1236">
        <f t="shared" si="66"/>
        <v>6.2751334876910717E-2</v>
      </c>
      <c r="AN97" s="1236">
        <f t="shared" si="66"/>
        <v>7.7306745662580584E-2</v>
      </c>
      <c r="AO97" s="1236">
        <f t="shared" si="66"/>
        <v>7.6290114370766451E-2</v>
      </c>
      <c r="AP97" s="1236">
        <f t="shared" si="66"/>
        <v>8.4425749710207915E-2</v>
      </c>
      <c r="AQ97" s="1236">
        <f t="shared" si="66"/>
        <v>7.8779354241295216E-2</v>
      </c>
      <c r="AR97" s="1236">
        <f t="shared" si="66"/>
        <v>9.9666382112347018E-2</v>
      </c>
      <c r="AS97" s="1236">
        <f t="shared" si="66"/>
        <v>0.10603293760250865</v>
      </c>
      <c r="AU97" s="1418">
        <f t="shared" si="50"/>
        <v>9.3997126888109435</v>
      </c>
      <c r="AV97" s="1418">
        <f t="shared" si="51"/>
        <v>8.6393402937704007</v>
      </c>
      <c r="AW97" s="1418">
        <f t="shared" si="52"/>
        <v>0.76037239504054133</v>
      </c>
      <c r="AX97" s="660">
        <f t="shared" si="53"/>
        <v>1.4432899320127035E-15</v>
      </c>
    </row>
    <row r="98" spans="2:50" x14ac:dyDescent="0.35">
      <c r="B98" s="58">
        <f t="shared" si="58"/>
        <v>7</v>
      </c>
      <c r="C98" s="61" t="s">
        <v>153</v>
      </c>
      <c r="D98" s="262" t="s">
        <v>61</v>
      </c>
      <c r="E98" s="1236">
        <f t="shared" si="54"/>
        <v>0</v>
      </c>
      <c r="F98" s="1236">
        <f t="shared" ref="F98:P98" si="67">+F17+F55</f>
        <v>0</v>
      </c>
      <c r="G98" s="1236">
        <f t="shared" si="67"/>
        <v>0</v>
      </c>
      <c r="H98" s="1236">
        <f t="shared" si="67"/>
        <v>0</v>
      </c>
      <c r="I98" s="1236">
        <f t="shared" si="67"/>
        <v>0</v>
      </c>
      <c r="J98" s="1236">
        <f t="shared" si="67"/>
        <v>0</v>
      </c>
      <c r="K98" s="1236">
        <f t="shared" si="67"/>
        <v>0</v>
      </c>
      <c r="L98" s="1236">
        <f t="shared" si="67"/>
        <v>0</v>
      </c>
      <c r="M98" s="1236">
        <f t="shared" si="67"/>
        <v>0</v>
      </c>
      <c r="N98" s="1236">
        <f t="shared" si="67"/>
        <v>0</v>
      </c>
      <c r="O98" s="1236">
        <f t="shared" si="67"/>
        <v>0</v>
      </c>
      <c r="P98" s="1236">
        <f t="shared" si="67"/>
        <v>0</v>
      </c>
      <c r="Q98" s="19"/>
      <c r="T98" s="1236">
        <f t="shared" si="56"/>
        <v>0</v>
      </c>
      <c r="U98" s="1236">
        <f t="shared" si="56"/>
        <v>0</v>
      </c>
      <c r="V98" s="1236">
        <f t="shared" si="56"/>
        <v>0</v>
      </c>
      <c r="W98" s="1236">
        <f t="shared" si="56"/>
        <v>0</v>
      </c>
      <c r="X98" s="1236">
        <f t="shared" si="56"/>
        <v>0</v>
      </c>
      <c r="Y98" s="1236">
        <f t="shared" si="56"/>
        <v>0</v>
      </c>
      <c r="Z98" s="1236">
        <f t="shared" si="56"/>
        <v>0</v>
      </c>
      <c r="AA98" s="1236">
        <f t="shared" si="56"/>
        <v>0</v>
      </c>
      <c r="AB98" s="1236">
        <f t="shared" si="56"/>
        <v>0</v>
      </c>
      <c r="AC98" s="1236">
        <f t="shared" si="56"/>
        <v>0</v>
      </c>
      <c r="AD98" s="1236">
        <f t="shared" si="56"/>
        <v>0</v>
      </c>
      <c r="AE98" s="1236">
        <f t="shared" si="56"/>
        <v>0</v>
      </c>
      <c r="AH98" s="1236"/>
      <c r="AI98" s="1236">
        <f t="shared" ref="AI98:AS98" si="68">+AI17+AI55</f>
        <v>0</v>
      </c>
      <c r="AJ98" s="1236">
        <f t="shared" si="68"/>
        <v>0</v>
      </c>
      <c r="AK98" s="1236">
        <f t="shared" si="68"/>
        <v>0</v>
      </c>
      <c r="AL98" s="1236">
        <f t="shared" si="68"/>
        <v>0</v>
      </c>
      <c r="AM98" s="1236">
        <f t="shared" si="68"/>
        <v>0</v>
      </c>
      <c r="AN98" s="1236">
        <f t="shared" si="68"/>
        <v>0</v>
      </c>
      <c r="AO98" s="1236">
        <f t="shared" si="68"/>
        <v>0</v>
      </c>
      <c r="AP98" s="1236">
        <f t="shared" si="68"/>
        <v>0</v>
      </c>
      <c r="AQ98" s="1236">
        <f t="shared" si="68"/>
        <v>0</v>
      </c>
      <c r="AR98" s="1236">
        <f t="shared" si="68"/>
        <v>0</v>
      </c>
      <c r="AS98" s="1236">
        <f t="shared" si="68"/>
        <v>0</v>
      </c>
      <c r="AU98" s="1418">
        <f t="shared" si="50"/>
        <v>0</v>
      </c>
      <c r="AV98" s="1418">
        <f t="shared" si="51"/>
        <v>0</v>
      </c>
      <c r="AW98" s="1418">
        <f t="shared" si="52"/>
        <v>0</v>
      </c>
      <c r="AX98" s="660">
        <f t="shared" si="53"/>
        <v>0</v>
      </c>
    </row>
    <row r="99" spans="2:50" x14ac:dyDescent="0.35">
      <c r="B99" s="58">
        <f t="shared" si="58"/>
        <v>8</v>
      </c>
      <c r="C99" s="61" t="s">
        <v>141</v>
      </c>
      <c r="D99" s="262" t="s">
        <v>63</v>
      </c>
      <c r="E99" s="1236">
        <f t="shared" si="54"/>
        <v>0</v>
      </c>
      <c r="F99" s="1236">
        <f t="shared" ref="F99:P99" si="69">+F18+F56</f>
        <v>0.14078198748750001</v>
      </c>
      <c r="G99" s="1236">
        <f t="shared" si="69"/>
        <v>0.17285738311345558</v>
      </c>
      <c r="H99" s="1236">
        <f t="shared" si="69"/>
        <v>0.17606978990595554</v>
      </c>
      <c r="I99" s="1236">
        <f t="shared" si="69"/>
        <v>0.17847268259345553</v>
      </c>
      <c r="J99" s="1236">
        <f t="shared" si="69"/>
        <v>0.1815561810684555</v>
      </c>
      <c r="K99" s="1236">
        <f t="shared" si="69"/>
        <v>0.18199471454845559</v>
      </c>
      <c r="L99" s="1236">
        <f t="shared" si="69"/>
        <v>0.18207951347345552</v>
      </c>
      <c r="M99" s="1236">
        <f t="shared" si="69"/>
        <v>0.18308940497345552</v>
      </c>
      <c r="N99" s="1236">
        <f t="shared" si="69"/>
        <v>0.18378796122345553</v>
      </c>
      <c r="O99" s="1236">
        <f t="shared" si="69"/>
        <v>0.18452515347345555</v>
      </c>
      <c r="P99" s="1236">
        <f t="shared" si="69"/>
        <v>0.18560684122345555</v>
      </c>
      <c r="Q99" s="19"/>
      <c r="T99" s="1236">
        <f t="shared" si="56"/>
        <v>0</v>
      </c>
      <c r="U99" s="1236">
        <f t="shared" si="56"/>
        <v>8.6652384617682252E-2</v>
      </c>
      <c r="V99" s="1236">
        <f t="shared" si="56"/>
        <v>9.8308842614628938E-2</v>
      </c>
      <c r="W99" s="1236">
        <f t="shared" si="56"/>
        <v>0.10002445374024681</v>
      </c>
      <c r="X99" s="1236">
        <f t="shared" si="56"/>
        <v>0.10082822381270849</v>
      </c>
      <c r="Y99" s="1236">
        <f t="shared" si="56"/>
        <v>0.10132610630297578</v>
      </c>
      <c r="Z99" s="1236">
        <f t="shared" si="56"/>
        <v>0.10155650454050159</v>
      </c>
      <c r="AA99" s="1236">
        <f t="shared" si="56"/>
        <v>0.10158180618226047</v>
      </c>
      <c r="AB99" s="1236">
        <f t="shared" si="56"/>
        <v>0.1020444059955244</v>
      </c>
      <c r="AC99" s="1236">
        <f t="shared" si="56"/>
        <v>0.10219810927519339</v>
      </c>
      <c r="AD99" s="1236">
        <f t="shared" si="56"/>
        <v>0.10228756618224001</v>
      </c>
      <c r="AE99" s="1236">
        <f t="shared" si="56"/>
        <v>0.1024188269768363</v>
      </c>
      <c r="AH99" s="1236"/>
      <c r="AI99" s="1236">
        <f t="shared" ref="AI99:AS99" si="70">+AI18+AI56</f>
        <v>5.4129602869817758E-2</v>
      </c>
      <c r="AJ99" s="1236">
        <f t="shared" si="70"/>
        <v>7.4548540498826657E-2</v>
      </c>
      <c r="AK99" s="1236">
        <f t="shared" si="70"/>
        <v>7.604533616570873E-2</v>
      </c>
      <c r="AL99" s="1236">
        <f t="shared" si="70"/>
        <v>7.7644458780747022E-2</v>
      </c>
      <c r="AM99" s="1236">
        <f t="shared" si="70"/>
        <v>8.0230074765479692E-2</v>
      </c>
      <c r="AN99" s="1236">
        <f t="shared" si="70"/>
        <v>8.0438210007953981E-2</v>
      </c>
      <c r="AO99" s="1236">
        <f t="shared" si="70"/>
        <v>8.049770729119507E-2</v>
      </c>
      <c r="AP99" s="1236">
        <f t="shared" si="70"/>
        <v>8.1044998977931118E-2</v>
      </c>
      <c r="AQ99" s="1236">
        <f t="shared" si="70"/>
        <v>8.158985194826214E-2</v>
      </c>
      <c r="AR99" s="1236">
        <f t="shared" si="70"/>
        <v>8.2237587291215525E-2</v>
      </c>
      <c r="AS99" s="1236">
        <f t="shared" si="70"/>
        <v>8.3188014246619243E-2</v>
      </c>
      <c r="AU99" s="1418">
        <f t="shared" si="50"/>
        <v>1.9508216130845553</v>
      </c>
      <c r="AV99" s="1418">
        <f t="shared" si="51"/>
        <v>1.0992272302407984</v>
      </c>
      <c r="AW99" s="1418">
        <f t="shared" si="52"/>
        <v>0.8515943828437571</v>
      </c>
      <c r="AX99" s="660">
        <f t="shared" si="53"/>
        <v>0</v>
      </c>
    </row>
    <row r="100" spans="2:50" x14ac:dyDescent="0.35">
      <c r="B100" s="58">
        <f t="shared" si="58"/>
        <v>9</v>
      </c>
      <c r="C100" s="61" t="s">
        <v>154</v>
      </c>
      <c r="D100" s="262" t="s">
        <v>21</v>
      </c>
      <c r="E100" s="1236">
        <f>+E57</f>
        <v>0.91071400000000002</v>
      </c>
      <c r="F100" s="1236">
        <f t="shared" ref="F100:P100" si="71">+F57</f>
        <v>2.4552548000000001</v>
      </c>
      <c r="G100" s="1236">
        <f t="shared" si="71"/>
        <v>0.40523419999999999</v>
      </c>
      <c r="H100" s="1236">
        <f t="shared" si="71"/>
        <v>0.67052683400000002</v>
      </c>
      <c r="I100" s="1236">
        <f t="shared" si="71"/>
        <v>1.247478358</v>
      </c>
      <c r="J100" s="1236">
        <f t="shared" si="71"/>
        <v>1.825815781</v>
      </c>
      <c r="K100" s="1236">
        <f t="shared" si="71"/>
        <v>3.7389622</v>
      </c>
      <c r="L100" s="1236">
        <f t="shared" si="71"/>
        <v>8.0032504865660705</v>
      </c>
      <c r="M100" s="1236">
        <f t="shared" si="71"/>
        <v>11.310947312321973</v>
      </c>
      <c r="N100" s="1236">
        <f t="shared" si="71"/>
        <v>13.087837953424653</v>
      </c>
      <c r="O100" s="1236">
        <f t="shared" si="71"/>
        <v>15.424127077552335</v>
      </c>
      <c r="P100" s="1236">
        <f t="shared" si="71"/>
        <v>15.535803053879679</v>
      </c>
      <c r="Q100" s="19"/>
      <c r="T100" s="1236">
        <f>+T57</f>
        <v>0.91071400000000002</v>
      </c>
      <c r="U100" s="1236">
        <f t="shared" ref="U100:AE100" si="72">+U57</f>
        <v>0.53103868145594213</v>
      </c>
      <c r="V100" s="1236">
        <f t="shared" si="72"/>
        <v>0.28118518573235207</v>
      </c>
      <c r="W100" s="1236">
        <f t="shared" si="72"/>
        <v>0.52814448312339346</v>
      </c>
      <c r="X100" s="1236">
        <f t="shared" si="72"/>
        <v>1.0395076950031672</v>
      </c>
      <c r="Y100" s="1236">
        <f t="shared" si="72"/>
        <v>1.5655588743582611</v>
      </c>
      <c r="Z100" s="1236">
        <f t="shared" si="72"/>
        <v>3.4037400600121903</v>
      </c>
      <c r="AA100" s="1236">
        <f t="shared" si="72"/>
        <v>7.4488284891142964</v>
      </c>
      <c r="AB100" s="1236">
        <f t="shared" si="72"/>
        <v>10.556929088463402</v>
      </c>
      <c r="AC100" s="1236">
        <f t="shared" si="72"/>
        <v>12.379907781192117</v>
      </c>
      <c r="AD100" s="1236">
        <f t="shared" si="72"/>
        <v>14.506298565515008</v>
      </c>
      <c r="AE100" s="1236">
        <f t="shared" si="72"/>
        <v>14.680561258176745</v>
      </c>
      <c r="AH100" s="1236"/>
      <c r="AI100" s="1236">
        <f t="shared" ref="AI100:AS100" si="73">+AI57</f>
        <v>1.9242161185440583</v>
      </c>
      <c r="AJ100" s="1236">
        <f t="shared" si="73"/>
        <v>0.12404901426764783</v>
      </c>
      <c r="AK100" s="1236">
        <f t="shared" si="73"/>
        <v>0.14238235087660658</v>
      </c>
      <c r="AL100" s="1236">
        <f t="shared" si="73"/>
        <v>0.20797066299683289</v>
      </c>
      <c r="AM100" s="1236">
        <f t="shared" si="73"/>
        <v>0.26025690664173851</v>
      </c>
      <c r="AN100" s="1236">
        <f t="shared" si="73"/>
        <v>0.33522213998780959</v>
      </c>
      <c r="AO100" s="1236">
        <f t="shared" si="73"/>
        <v>0.55442199745177201</v>
      </c>
      <c r="AP100" s="1236">
        <f t="shared" si="73"/>
        <v>0.75401822385856732</v>
      </c>
      <c r="AQ100" s="1236">
        <f t="shared" si="73"/>
        <v>0.70793017223253663</v>
      </c>
      <c r="AR100" s="1236">
        <f t="shared" si="73"/>
        <v>0.91782851203732452</v>
      </c>
      <c r="AS100" s="1236">
        <f t="shared" si="73"/>
        <v>0.85524179570293746</v>
      </c>
      <c r="AU100" s="1418">
        <f t="shared" si="50"/>
        <v>74.615952056744717</v>
      </c>
      <c r="AV100" s="1418">
        <f t="shared" si="51"/>
        <v>67.832414162146875</v>
      </c>
      <c r="AW100" s="1418">
        <f t="shared" si="52"/>
        <v>6.7835378945978322</v>
      </c>
      <c r="AX100" s="660">
        <f t="shared" si="53"/>
        <v>9.7699626167013776E-15</v>
      </c>
    </row>
    <row r="101" spans="2:50" x14ac:dyDescent="0.35">
      <c r="B101" s="58">
        <f t="shared" si="58"/>
        <v>10</v>
      </c>
      <c r="C101" s="61" t="s">
        <v>155</v>
      </c>
      <c r="D101" s="262" t="s">
        <v>21</v>
      </c>
      <c r="E101" s="1236">
        <f t="shared" ref="E101:P101" si="74">+E58</f>
        <v>5.0124999999999996E-2</v>
      </c>
      <c r="F101" s="1236">
        <f t="shared" si="74"/>
        <v>0.13397500000000001</v>
      </c>
      <c r="G101" s="1236">
        <f t="shared" si="74"/>
        <v>9.4439999999999996E-2</v>
      </c>
      <c r="H101" s="1236">
        <f t="shared" si="74"/>
        <v>5.9357601999999995E-2</v>
      </c>
      <c r="I101" s="1236">
        <f t="shared" si="74"/>
        <v>6.4282559000000003E-2</v>
      </c>
      <c r="J101" s="1236">
        <f t="shared" si="74"/>
        <v>3.5238630999999999E-2</v>
      </c>
      <c r="K101" s="1236">
        <f t="shared" si="74"/>
        <v>1.5324399999999998E-2</v>
      </c>
      <c r="L101" s="1236">
        <f t="shared" si="74"/>
        <v>1.24</v>
      </c>
      <c r="M101" s="1236">
        <f t="shared" si="74"/>
        <v>1.42</v>
      </c>
      <c r="N101" s="1236">
        <f t="shared" si="74"/>
        <v>1.82</v>
      </c>
      <c r="O101" s="1236">
        <f t="shared" si="74"/>
        <v>2.25</v>
      </c>
      <c r="P101" s="1236">
        <f t="shared" si="74"/>
        <v>2.73</v>
      </c>
      <c r="Q101" s="19"/>
      <c r="T101" s="1236">
        <f t="shared" ref="T101:AE101" si="75">+T58</f>
        <v>5.0124999999999996E-2</v>
      </c>
      <c r="U101" s="1236">
        <f t="shared" si="75"/>
        <v>2.8976995523258869E-2</v>
      </c>
      <c r="V101" s="1236">
        <f t="shared" si="75"/>
        <v>6.5530325279957446E-2</v>
      </c>
      <c r="W101" s="1236">
        <f t="shared" si="75"/>
        <v>4.6753371286754657E-2</v>
      </c>
      <c r="X101" s="1236">
        <f t="shared" si="75"/>
        <v>5.3565830867099581E-2</v>
      </c>
      <c r="Y101" s="1236">
        <f t="shared" si="75"/>
        <v>3.021561761946789E-2</v>
      </c>
      <c r="Z101" s="1236">
        <f t="shared" si="75"/>
        <v>1.3950468441657635E-2</v>
      </c>
      <c r="AA101" s="1236">
        <f t="shared" si="75"/>
        <v>1.1540994927005994</v>
      </c>
      <c r="AB101" s="1236">
        <f t="shared" si="75"/>
        <v>1.3253389739767631</v>
      </c>
      <c r="AC101" s="1236">
        <f t="shared" si="75"/>
        <v>1.7215549460462203</v>
      </c>
      <c r="AD101" s="1236">
        <f t="shared" si="75"/>
        <v>2.1161114407511934</v>
      </c>
      <c r="AE101" s="1236">
        <f t="shared" si="75"/>
        <v>2.5797142314322818</v>
      </c>
      <c r="AH101" s="1236"/>
      <c r="AI101" s="1236">
        <f t="shared" ref="AI101:AS101" si="76">+AI58</f>
        <v>0.10499800447674115</v>
      </c>
      <c r="AJ101" s="1236">
        <f t="shared" si="76"/>
        <v>2.8909674720042536E-2</v>
      </c>
      <c r="AK101" s="1236">
        <f t="shared" si="76"/>
        <v>1.2604230713245346E-2</v>
      </c>
      <c r="AL101" s="1236">
        <f t="shared" si="76"/>
        <v>1.0716728132900425E-2</v>
      </c>
      <c r="AM101" s="1236">
        <f t="shared" si="76"/>
        <v>5.023013380532103E-3</v>
      </c>
      <c r="AN101" s="1236">
        <f t="shared" si="76"/>
        <v>1.3739315583423627E-3</v>
      </c>
      <c r="AO101" s="1236">
        <f t="shared" si="76"/>
        <v>8.5900507299400242E-2</v>
      </c>
      <c r="AP101" s="1236">
        <f t="shared" si="76"/>
        <v>9.4661026023236353E-2</v>
      </c>
      <c r="AQ101" s="1236">
        <f t="shared" si="76"/>
        <v>9.8445053953779768E-2</v>
      </c>
      <c r="AR101" s="1236">
        <f t="shared" si="76"/>
        <v>0.13388855924880608</v>
      </c>
      <c r="AS101" s="1236">
        <f t="shared" si="76"/>
        <v>0.15028576856771872</v>
      </c>
      <c r="AU101" s="1418">
        <f t="shared" si="50"/>
        <v>9.9127431920000006</v>
      </c>
      <c r="AV101" s="1418">
        <f t="shared" si="51"/>
        <v>9.1859366939252549</v>
      </c>
      <c r="AW101" s="1418">
        <f t="shared" si="52"/>
        <v>0.72680649807474507</v>
      </c>
      <c r="AX101" s="660">
        <f t="shared" si="53"/>
        <v>0</v>
      </c>
    </row>
    <row r="102" spans="2:50" x14ac:dyDescent="0.35">
      <c r="B102" s="58">
        <f t="shared" si="58"/>
        <v>11</v>
      </c>
      <c r="C102" s="61" t="s">
        <v>1239</v>
      </c>
      <c r="D102" s="262" t="s">
        <v>21</v>
      </c>
      <c r="E102" s="1236">
        <f t="shared" ref="E102:P102" si="77">+E59</f>
        <v>0</v>
      </c>
      <c r="F102" s="1236">
        <f t="shared" si="77"/>
        <v>0</v>
      </c>
      <c r="G102" s="1236">
        <f t="shared" si="77"/>
        <v>0</v>
      </c>
      <c r="H102" s="1236">
        <f t="shared" si="77"/>
        <v>0</v>
      </c>
      <c r="I102" s="1236">
        <f t="shared" si="77"/>
        <v>0</v>
      </c>
      <c r="J102" s="1236">
        <f t="shared" si="77"/>
        <v>0</v>
      </c>
      <c r="K102" s="1236">
        <f t="shared" si="77"/>
        <v>0</v>
      </c>
      <c r="L102" s="1236">
        <f t="shared" si="77"/>
        <v>0.35</v>
      </c>
      <c r="M102" s="1236">
        <f t="shared" si="77"/>
        <v>0.42</v>
      </c>
      <c r="N102" s="1236">
        <f t="shared" si="77"/>
        <v>0.48</v>
      </c>
      <c r="O102" s="1236">
        <f t="shared" si="77"/>
        <v>0.52</v>
      </c>
      <c r="P102" s="1236">
        <f t="shared" si="77"/>
        <v>0.56000000000000005</v>
      </c>
      <c r="Q102" s="19"/>
      <c r="T102" s="1236">
        <f t="shared" ref="T102:AE102" si="78">+T59</f>
        <v>0</v>
      </c>
      <c r="U102" s="1236">
        <f t="shared" si="78"/>
        <v>0</v>
      </c>
      <c r="V102" s="1236">
        <f t="shared" si="78"/>
        <v>0</v>
      </c>
      <c r="W102" s="1236">
        <f t="shared" si="78"/>
        <v>0</v>
      </c>
      <c r="X102" s="1236">
        <f t="shared" si="78"/>
        <v>0</v>
      </c>
      <c r="Y102" s="1236">
        <f t="shared" si="78"/>
        <v>0</v>
      </c>
      <c r="Z102" s="1236">
        <f t="shared" si="78"/>
        <v>0</v>
      </c>
      <c r="AA102" s="1236">
        <f t="shared" si="78"/>
        <v>0.32575388906871755</v>
      </c>
      <c r="AB102" s="1236">
        <f t="shared" si="78"/>
        <v>0.39200166835932432</v>
      </c>
      <c r="AC102" s="1236">
        <f t="shared" si="78"/>
        <v>0.45403646928691521</v>
      </c>
      <c r="AD102" s="1236">
        <f t="shared" si="78"/>
        <v>0.48905686630694251</v>
      </c>
      <c r="AE102" s="1236">
        <f t="shared" si="78"/>
        <v>0.52917215003739126</v>
      </c>
      <c r="AH102" s="1236"/>
      <c r="AI102" s="1236">
        <f t="shared" ref="AI102:AS102" si="79">+AI59</f>
        <v>0</v>
      </c>
      <c r="AJ102" s="1236">
        <f t="shared" si="79"/>
        <v>0</v>
      </c>
      <c r="AK102" s="1236">
        <f t="shared" si="79"/>
        <v>0</v>
      </c>
      <c r="AL102" s="1236">
        <f t="shared" si="79"/>
        <v>0</v>
      </c>
      <c r="AM102" s="1236">
        <f t="shared" si="79"/>
        <v>0</v>
      </c>
      <c r="AN102" s="1236">
        <f t="shared" si="79"/>
        <v>0</v>
      </c>
      <c r="AO102" s="1236">
        <f t="shared" si="79"/>
        <v>2.4246110931282327E-2</v>
      </c>
      <c r="AP102" s="1236">
        <f t="shared" si="79"/>
        <v>2.7998331640675538E-2</v>
      </c>
      <c r="AQ102" s="1236">
        <f t="shared" si="79"/>
        <v>2.5963530713084774E-2</v>
      </c>
      <c r="AR102" s="1236">
        <f t="shared" si="79"/>
        <v>3.0943133693057408E-2</v>
      </c>
      <c r="AS102" s="1236">
        <f t="shared" si="79"/>
        <v>3.0827849962608973E-2</v>
      </c>
      <c r="AU102" s="1418">
        <f t="shared" si="50"/>
        <v>2.33</v>
      </c>
      <c r="AV102" s="1418">
        <f t="shared" si="51"/>
        <v>2.190021043059291</v>
      </c>
      <c r="AW102" s="1418">
        <f t="shared" si="52"/>
        <v>0.13997895694070903</v>
      </c>
      <c r="AX102" s="660">
        <f t="shared" si="53"/>
        <v>0</v>
      </c>
    </row>
    <row r="103" spans="2:50" x14ac:dyDescent="0.35">
      <c r="B103" s="58">
        <f t="shared" si="58"/>
        <v>12</v>
      </c>
      <c r="C103" s="61" t="s">
        <v>1354</v>
      </c>
      <c r="D103" s="262"/>
      <c r="E103" s="1236">
        <f t="shared" ref="E103:P103" si="80">+E60</f>
        <v>0</v>
      </c>
      <c r="F103" s="1236">
        <f t="shared" si="80"/>
        <v>2.2743800000000002E-2</v>
      </c>
      <c r="G103" s="1236">
        <f t="shared" si="80"/>
        <v>2.9569515999999997E-2</v>
      </c>
      <c r="H103" s="1236">
        <f t="shared" si="80"/>
        <v>5.7784603000000004E-2</v>
      </c>
      <c r="I103" s="1236">
        <f t="shared" si="80"/>
        <v>0.110465919</v>
      </c>
      <c r="J103" s="1236">
        <f t="shared" si="80"/>
        <v>7.2670307000000003E-2</v>
      </c>
      <c r="K103" s="1236">
        <f t="shared" si="80"/>
        <v>0.105229266</v>
      </c>
      <c r="L103" s="1236">
        <f t="shared" si="80"/>
        <v>0.18489461372551033</v>
      </c>
      <c r="M103" s="1236">
        <f t="shared" ca="1" si="80"/>
        <v>0.22160974828004967</v>
      </c>
      <c r="N103" s="1236">
        <f t="shared" ca="1" si="80"/>
        <v>0.26219398249031772</v>
      </c>
      <c r="O103" s="1236">
        <f t="shared" ca="1" si="80"/>
        <v>0.30724287816667112</v>
      </c>
      <c r="P103" s="1236">
        <f t="shared" ca="1" si="80"/>
        <v>0.32501172691592228</v>
      </c>
      <c r="Q103" s="19"/>
      <c r="T103" s="1236">
        <f t="shared" ref="T103:AE103" si="81">+T60</f>
        <v>0</v>
      </c>
      <c r="U103" s="1236">
        <f t="shared" si="81"/>
        <v>4.5949762813707442E-3</v>
      </c>
      <c r="V103" s="1236">
        <f t="shared" si="81"/>
        <v>2.0430644600364759E-2</v>
      </c>
      <c r="W103" s="1236">
        <f t="shared" si="81"/>
        <v>3.928422462563836E-2</v>
      </c>
      <c r="X103" s="1236">
        <f t="shared" si="81"/>
        <v>8.2977664335686985E-2</v>
      </c>
      <c r="Y103" s="1236">
        <f t="shared" si="81"/>
        <v>5.7453958202720062E-2</v>
      </c>
      <c r="Z103" s="1236">
        <f t="shared" si="81"/>
        <v>9.1394943605587448E-2</v>
      </c>
      <c r="AA103" s="1236">
        <f t="shared" si="81"/>
        <v>0.16627906380807342</v>
      </c>
      <c r="AB103" s="1236">
        <f t="shared" ca="1" si="81"/>
        <v>0.19846145644059415</v>
      </c>
      <c r="AC103" s="1236">
        <f t="shared" ca="1" si="81"/>
        <v>0.23901487432634061</v>
      </c>
      <c r="AD103" s="1236">
        <f t="shared" ca="1" si="81"/>
        <v>0.27918525324710119</v>
      </c>
      <c r="AE103" s="1236">
        <f t="shared" ca="1" si="81"/>
        <v>0.2969897247633268</v>
      </c>
      <c r="AH103" s="1236"/>
      <c r="AI103" s="1236">
        <f t="shared" ref="AI103:AS103" si="82">+AI60</f>
        <v>1.8148823718629262E-2</v>
      </c>
      <c r="AJ103" s="1236">
        <f t="shared" si="82"/>
        <v>9.1388713996352379E-3</v>
      </c>
      <c r="AK103" s="1236">
        <f t="shared" si="82"/>
        <v>1.8500378374361644E-2</v>
      </c>
      <c r="AL103" s="1236">
        <f t="shared" si="82"/>
        <v>2.7488254664313004E-2</v>
      </c>
      <c r="AM103" s="1236">
        <f t="shared" si="82"/>
        <v>1.5216348797279939E-2</v>
      </c>
      <c r="AN103" s="1236">
        <f t="shared" si="82"/>
        <v>1.3834322394412565E-2</v>
      </c>
      <c r="AO103" s="1236">
        <f t="shared" si="82"/>
        <v>1.8615549917436892E-2</v>
      </c>
      <c r="AP103" s="1236">
        <f t="shared" ca="1" si="82"/>
        <v>2.3148291839455534E-2</v>
      </c>
      <c r="AQ103" s="1236">
        <f t="shared" ca="1" si="82"/>
        <v>2.3179108163977148E-2</v>
      </c>
      <c r="AR103" s="1236">
        <f t="shared" ca="1" si="82"/>
        <v>2.8057624919569916E-2</v>
      </c>
      <c r="AS103" s="1236">
        <f t="shared" ca="1" si="82"/>
        <v>2.8022002152595493E-2</v>
      </c>
      <c r="AU103" s="1418">
        <f t="shared" ca="1" si="50"/>
        <v>1.6994163605784711</v>
      </c>
      <c r="AV103" s="1418">
        <f t="shared" ca="1" si="51"/>
        <v>1.4760667842368047</v>
      </c>
      <c r="AW103" s="1418">
        <f t="shared" ca="1" si="52"/>
        <v>0.22334957634166666</v>
      </c>
      <c r="AX103" s="660">
        <f t="shared" ca="1" si="53"/>
        <v>-2.4980018054066022E-16</v>
      </c>
    </row>
    <row r="104" spans="2:50" x14ac:dyDescent="0.35">
      <c r="B104" s="58">
        <f t="shared" si="58"/>
        <v>13</v>
      </c>
      <c r="C104" s="61" t="s">
        <v>64</v>
      </c>
      <c r="D104" s="262" t="s">
        <v>65</v>
      </c>
      <c r="E104" s="1236">
        <f t="shared" ref="E104:P104" si="83">+E19+E61</f>
        <v>0</v>
      </c>
      <c r="F104" s="1236">
        <f t="shared" si="83"/>
        <v>0</v>
      </c>
      <c r="G104" s="1236">
        <f t="shared" si="83"/>
        <v>0</v>
      </c>
      <c r="H104" s="1236">
        <f t="shared" si="83"/>
        <v>0</v>
      </c>
      <c r="I104" s="1236">
        <f t="shared" si="83"/>
        <v>0</v>
      </c>
      <c r="J104" s="1236">
        <f t="shared" si="83"/>
        <v>0</v>
      </c>
      <c r="K104" s="1236">
        <f t="shared" si="83"/>
        <v>0</v>
      </c>
      <c r="L104" s="1236">
        <f t="shared" si="83"/>
        <v>0</v>
      </c>
      <c r="M104" s="1236">
        <f t="shared" si="83"/>
        <v>0</v>
      </c>
      <c r="N104" s="1236">
        <f t="shared" si="83"/>
        <v>0</v>
      </c>
      <c r="O104" s="1236">
        <f t="shared" si="83"/>
        <v>0</v>
      </c>
      <c r="P104" s="1236">
        <f t="shared" si="83"/>
        <v>0</v>
      </c>
      <c r="Q104" s="19"/>
      <c r="T104" s="1236">
        <f t="shared" ref="T104:AE104" si="84">+T19+T61</f>
        <v>0</v>
      </c>
      <c r="U104" s="1236">
        <f t="shared" si="84"/>
        <v>0</v>
      </c>
      <c r="V104" s="1236">
        <f t="shared" si="84"/>
        <v>0</v>
      </c>
      <c r="W104" s="1236">
        <f t="shared" si="84"/>
        <v>0</v>
      </c>
      <c r="X104" s="1236">
        <f t="shared" si="84"/>
        <v>0</v>
      </c>
      <c r="Y104" s="1236">
        <f t="shared" si="84"/>
        <v>0</v>
      </c>
      <c r="Z104" s="1236">
        <f t="shared" si="84"/>
        <v>0</v>
      </c>
      <c r="AA104" s="1236">
        <f t="shared" si="84"/>
        <v>0</v>
      </c>
      <c r="AB104" s="1236">
        <f t="shared" si="84"/>
        <v>0</v>
      </c>
      <c r="AC104" s="1236">
        <f t="shared" si="84"/>
        <v>0</v>
      </c>
      <c r="AD104" s="1236">
        <f t="shared" si="84"/>
        <v>0</v>
      </c>
      <c r="AE104" s="1236">
        <f t="shared" si="84"/>
        <v>0</v>
      </c>
      <c r="AH104" s="1236"/>
      <c r="AI104" s="1236">
        <f t="shared" ref="AI104:AS104" si="85">+AI19+AI61</f>
        <v>0</v>
      </c>
      <c r="AJ104" s="1236">
        <f t="shared" si="85"/>
        <v>0</v>
      </c>
      <c r="AK104" s="1236">
        <f t="shared" si="85"/>
        <v>0</v>
      </c>
      <c r="AL104" s="1236">
        <f t="shared" si="85"/>
        <v>0</v>
      </c>
      <c r="AM104" s="1236">
        <f t="shared" si="85"/>
        <v>0</v>
      </c>
      <c r="AN104" s="1236">
        <f t="shared" si="85"/>
        <v>0</v>
      </c>
      <c r="AO104" s="1236">
        <f t="shared" si="85"/>
        <v>0</v>
      </c>
      <c r="AP104" s="1236">
        <f t="shared" si="85"/>
        <v>0</v>
      </c>
      <c r="AQ104" s="1236">
        <f t="shared" si="85"/>
        <v>0</v>
      </c>
      <c r="AR104" s="1236">
        <f t="shared" si="85"/>
        <v>0</v>
      </c>
      <c r="AS104" s="1236">
        <f t="shared" si="85"/>
        <v>0</v>
      </c>
      <c r="AU104" s="1418">
        <f t="shared" si="50"/>
        <v>0</v>
      </c>
      <c r="AV104" s="1418">
        <f t="shared" si="51"/>
        <v>0</v>
      </c>
      <c r="AW104" s="1418">
        <f t="shared" si="52"/>
        <v>0</v>
      </c>
      <c r="AX104" s="660">
        <f t="shared" si="53"/>
        <v>0</v>
      </c>
    </row>
    <row r="105" spans="2:50" x14ac:dyDescent="0.35">
      <c r="B105" s="58">
        <f t="shared" si="58"/>
        <v>14</v>
      </c>
      <c r="C105" s="61" t="s">
        <v>1355</v>
      </c>
      <c r="D105" s="262"/>
      <c r="E105" s="1236">
        <f t="shared" ref="E105:P105" si="86">+E20+E62</f>
        <v>-7.9757909214770543E-3</v>
      </c>
      <c r="F105" s="1236">
        <f t="shared" si="86"/>
        <v>-2.8738524451202976E-2</v>
      </c>
      <c r="G105" s="1236">
        <f t="shared" si="86"/>
        <v>-3.6621299603508801E-2</v>
      </c>
      <c r="H105" s="1236">
        <f t="shared" si="86"/>
        <v>-2.9315041838057207E-2</v>
      </c>
      <c r="I105" s="1236">
        <f t="shared" si="86"/>
        <v>-3.7406735635823966E-2</v>
      </c>
      <c r="J105" s="1236">
        <f t="shared" si="86"/>
        <v>-4.1246606794375869E-2</v>
      </c>
      <c r="K105" s="1236">
        <f t="shared" si="86"/>
        <v>-6.0431782983105279E-3</v>
      </c>
      <c r="L105" s="1236">
        <f t="shared" si="86"/>
        <v>0</v>
      </c>
      <c r="M105" s="1236">
        <f t="shared" si="86"/>
        <v>0</v>
      </c>
      <c r="N105" s="1236">
        <f t="shared" si="86"/>
        <v>0</v>
      </c>
      <c r="O105" s="1236">
        <f t="shared" si="86"/>
        <v>0</v>
      </c>
      <c r="P105" s="1236">
        <f t="shared" si="86"/>
        <v>0</v>
      </c>
      <c r="Q105" s="19"/>
      <c r="T105" s="1236">
        <f t="shared" ref="T105:AE105" si="87">+T20+T62</f>
        <v>-7.9757909214770543E-3</v>
      </c>
      <c r="U105" s="1236">
        <f t="shared" si="87"/>
        <v>-6.2157573753877518E-3</v>
      </c>
      <c r="V105" s="1236">
        <f t="shared" si="87"/>
        <v>-2.5410902956297207E-2</v>
      </c>
      <c r="W105" s="1236">
        <f t="shared" si="87"/>
        <v>-2.3090168557372573E-2</v>
      </c>
      <c r="X105" s="1236">
        <f t="shared" si="87"/>
        <v>-3.1170552410006783E-2</v>
      </c>
      <c r="Y105" s="1236">
        <f t="shared" si="87"/>
        <v>-3.5367199679221577E-2</v>
      </c>
      <c r="Z105" s="1236">
        <f t="shared" si="87"/>
        <v>-5.5013682844281871E-3</v>
      </c>
      <c r="AA105" s="1236">
        <f t="shared" si="87"/>
        <v>0</v>
      </c>
      <c r="AB105" s="1236">
        <f t="shared" si="87"/>
        <v>0</v>
      </c>
      <c r="AC105" s="1236">
        <f t="shared" si="87"/>
        <v>0</v>
      </c>
      <c r="AD105" s="1236">
        <f t="shared" si="87"/>
        <v>0</v>
      </c>
      <c r="AE105" s="1236">
        <f t="shared" si="87"/>
        <v>0</v>
      </c>
      <c r="AH105" s="1236"/>
      <c r="AI105" s="1236">
        <f t="shared" ref="AI105:AS105" si="88">+AI20+AI62</f>
        <v>-2.2522767075815228E-2</v>
      </c>
      <c r="AJ105" s="1236">
        <f t="shared" si="88"/>
        <v>-1.1210396647211586E-2</v>
      </c>
      <c r="AK105" s="1236">
        <f t="shared" si="88"/>
        <v>-6.2248732806846367E-3</v>
      </c>
      <c r="AL105" s="1236">
        <f t="shared" si="88"/>
        <v>-6.2361832258171854E-3</v>
      </c>
      <c r="AM105" s="1236">
        <f t="shared" si="88"/>
        <v>-5.8794071151542851E-3</v>
      </c>
      <c r="AN105" s="1236">
        <f t="shared" si="88"/>
        <v>-5.4181001388234004E-4</v>
      </c>
      <c r="AO105" s="1236">
        <f t="shared" si="88"/>
        <v>0</v>
      </c>
      <c r="AP105" s="1236">
        <f t="shared" si="88"/>
        <v>0</v>
      </c>
      <c r="AQ105" s="1236">
        <f t="shared" si="88"/>
        <v>0</v>
      </c>
      <c r="AR105" s="1236">
        <f t="shared" si="88"/>
        <v>0</v>
      </c>
      <c r="AS105" s="1236">
        <f t="shared" si="88"/>
        <v>0</v>
      </c>
      <c r="AU105" s="1418">
        <f t="shared" si="50"/>
        <v>-0.1873471775427564</v>
      </c>
      <c r="AV105" s="1418">
        <f t="shared" si="51"/>
        <v>-0.13473174018419112</v>
      </c>
      <c r="AW105" s="1418">
        <f t="shared" si="52"/>
        <v>-5.2615437358565262E-2</v>
      </c>
      <c r="AX105" s="660">
        <f t="shared" si="53"/>
        <v>0</v>
      </c>
    </row>
    <row r="106" spans="2:50" x14ac:dyDescent="0.35">
      <c r="B106" s="58">
        <f t="shared" si="58"/>
        <v>15</v>
      </c>
      <c r="C106" s="105" t="s">
        <v>142</v>
      </c>
      <c r="D106" s="266"/>
      <c r="E106" s="1237">
        <f>SUM(E92:E105)</f>
        <v>7.6452031135400809</v>
      </c>
      <c r="F106" s="1237">
        <f t="shared" ref="F106:P106" si="89">SUM(F92:F105)</f>
        <v>16.374635950964912</v>
      </c>
      <c r="G106" s="1237">
        <f t="shared" si="89"/>
        <v>16.852424927531704</v>
      </c>
      <c r="H106" s="1237">
        <f t="shared" si="89"/>
        <v>22.345179690463358</v>
      </c>
      <c r="I106" s="1237">
        <f t="shared" si="89"/>
        <v>27.126162758699557</v>
      </c>
      <c r="J106" s="1237">
        <f t="shared" si="89"/>
        <v>35.642249275272249</v>
      </c>
      <c r="K106" s="1237">
        <f t="shared" si="89"/>
        <v>67.359498605203882</v>
      </c>
      <c r="L106" s="1237">
        <f t="shared" ca="1" si="89"/>
        <v>110.33042270030333</v>
      </c>
      <c r="M106" s="1237">
        <f t="shared" ca="1" si="89"/>
        <v>136.60762018010476</v>
      </c>
      <c r="N106" s="1237">
        <f t="shared" ca="1" si="89"/>
        <v>167.74304815488077</v>
      </c>
      <c r="O106" s="1237">
        <f t="shared" ca="1" si="89"/>
        <v>201.05052576930012</v>
      </c>
      <c r="P106" s="1237">
        <f t="shared" ca="1" si="89"/>
        <v>218.66848953443287</v>
      </c>
      <c r="Q106" s="19"/>
      <c r="T106" s="1237">
        <f>SUM(T92:T105)</f>
        <v>7.6452031135400809</v>
      </c>
      <c r="U106" s="1237">
        <f t="shared" ref="U106:AE106" si="90">SUM(U92:U105)</f>
        <v>6.1798029171696793</v>
      </c>
      <c r="V106" s="1237">
        <f t="shared" si="90"/>
        <v>8.5001843773821228</v>
      </c>
      <c r="W106" s="1237">
        <f t="shared" si="90"/>
        <v>12.650130128258031</v>
      </c>
      <c r="X106" s="1237">
        <f t="shared" si="90"/>
        <v>16.624077960164257</v>
      </c>
      <c r="Y106" s="1237">
        <f t="shared" si="90"/>
        <v>25.034730781960768</v>
      </c>
      <c r="Z106" s="1237">
        <f t="shared" si="90"/>
        <v>54.421925653649794</v>
      </c>
      <c r="AA106" s="1237">
        <f t="shared" ca="1" si="90"/>
        <v>96.484889444137835</v>
      </c>
      <c r="AB106" s="1237">
        <f t="shared" ca="1" si="90"/>
        <v>121.4965516128532</v>
      </c>
      <c r="AC106" s="1237">
        <f t="shared" ca="1" si="90"/>
        <v>152.67497776913734</v>
      </c>
      <c r="AD106" s="1237">
        <f t="shared" ca="1" si="90"/>
        <v>183.291328913173</v>
      </c>
      <c r="AE106" s="1237">
        <f t="shared" ca="1" si="90"/>
        <v>200.56969144742288</v>
      </c>
      <c r="AH106" s="1237"/>
      <c r="AI106" s="1237">
        <f t="shared" ref="AI106:AS106" si="91">SUM(AI92:AI105)</f>
        <v>10.194833033795234</v>
      </c>
      <c r="AJ106" s="1237">
        <f t="shared" si="91"/>
        <v>8.3522405501495847</v>
      </c>
      <c r="AK106" s="1237">
        <f t="shared" si="91"/>
        <v>9.6950495622053285</v>
      </c>
      <c r="AL106" s="1237">
        <f t="shared" si="91"/>
        <v>10.502084798535302</v>
      </c>
      <c r="AM106" s="1237">
        <f t="shared" si="91"/>
        <v>10.607518493311474</v>
      </c>
      <c r="AN106" s="1237">
        <f t="shared" si="91"/>
        <v>12.937572951554086</v>
      </c>
      <c r="AO106" s="1237">
        <f t="shared" ca="1" si="91"/>
        <v>13.84553325616552</v>
      </c>
      <c r="AP106" s="1237">
        <f t="shared" ca="1" si="91"/>
        <v>15.111068567251591</v>
      </c>
      <c r="AQ106" s="1237">
        <f t="shared" ca="1" si="91"/>
        <v>15.068070385743372</v>
      </c>
      <c r="AR106" s="1237">
        <f t="shared" ca="1" si="91"/>
        <v>17.759196856127019</v>
      </c>
      <c r="AS106" s="1237">
        <f t="shared" ca="1" si="91"/>
        <v>18.09879808701006</v>
      </c>
      <c r="AU106" s="1418">
        <f t="shared" ca="1" si="50"/>
        <v>1027.7454606606975</v>
      </c>
      <c r="AV106" s="1418">
        <f t="shared" ca="1" si="51"/>
        <v>885.573494118849</v>
      </c>
      <c r="AW106" s="1418">
        <f t="shared" ca="1" si="52"/>
        <v>142.17196654184858</v>
      </c>
      <c r="AX106" s="660">
        <f t="shared" ca="1" si="53"/>
        <v>0</v>
      </c>
    </row>
    <row r="107" spans="2:50" x14ac:dyDescent="0.35">
      <c r="B107" s="58">
        <f t="shared" si="58"/>
        <v>16</v>
      </c>
      <c r="C107" s="152" t="s">
        <v>143</v>
      </c>
      <c r="D107" s="262" t="s">
        <v>57</v>
      </c>
      <c r="E107" s="1236">
        <f t="shared" ref="E107:P107" si="92">+E22+E64</f>
        <v>1.3115702242762501</v>
      </c>
      <c r="F107" s="1236">
        <f t="shared" si="92"/>
        <v>2.925247515770657</v>
      </c>
      <c r="G107" s="1236">
        <f t="shared" si="92"/>
        <v>3.1556423319428757</v>
      </c>
      <c r="H107" s="1236">
        <f t="shared" si="92"/>
        <v>3.3104329700820636</v>
      </c>
      <c r="I107" s="1236">
        <f t="shared" si="92"/>
        <v>3.3660604743773144</v>
      </c>
      <c r="J107" s="1236">
        <f t="shared" si="92"/>
        <v>3.1845112598681675</v>
      </c>
      <c r="K107" s="1236">
        <f t="shared" si="92"/>
        <v>3.3039457794953759</v>
      </c>
      <c r="L107" s="1236">
        <f t="shared" si="92"/>
        <v>3.4182796247498133</v>
      </c>
      <c r="M107" s="1236">
        <f t="shared" si="92"/>
        <v>3.4351503963248131</v>
      </c>
      <c r="N107" s="1236">
        <f t="shared" si="92"/>
        <v>3.4500457555748132</v>
      </c>
      <c r="O107" s="1236">
        <f t="shared" si="92"/>
        <v>3.4691439955748136</v>
      </c>
      <c r="P107" s="1236">
        <f t="shared" si="92"/>
        <v>3.4923543846998135</v>
      </c>
      <c r="Q107" s="19"/>
      <c r="T107" s="1236">
        <f t="shared" ref="T107:AE107" si="93">+T22+T64</f>
        <v>1.3115702242762501</v>
      </c>
      <c r="U107" s="1236">
        <f t="shared" si="93"/>
        <v>1.7852599728043406</v>
      </c>
      <c r="V107" s="1236">
        <f t="shared" si="93"/>
        <v>1.7888960695841538</v>
      </c>
      <c r="W107" s="1236">
        <f t="shared" si="93"/>
        <v>1.8724468805223624</v>
      </c>
      <c r="X107" s="1236">
        <f t="shared" si="93"/>
        <v>1.8805557669986781</v>
      </c>
      <c r="Y107" s="1236">
        <f t="shared" si="93"/>
        <v>1.7673868107677133</v>
      </c>
      <c r="Z107" s="1236">
        <f t="shared" si="93"/>
        <v>1.8315548979273246</v>
      </c>
      <c r="AA107" s="1236">
        <f t="shared" si="93"/>
        <v>1.8964187556112202</v>
      </c>
      <c r="AB107" s="1236">
        <f t="shared" si="93"/>
        <v>1.9022695634269657</v>
      </c>
      <c r="AC107" s="1236">
        <f t="shared" si="93"/>
        <v>1.9047181809874514</v>
      </c>
      <c r="AD107" s="1236">
        <f t="shared" si="93"/>
        <v>1.9070357168547019</v>
      </c>
      <c r="AE107" s="1236">
        <f t="shared" si="93"/>
        <v>1.909852254362348</v>
      </c>
      <c r="AH107" s="1236"/>
      <c r="AI107" s="1236">
        <f t="shared" ref="AI107:AS107" si="94">+AI22+AI64</f>
        <v>1.139987542966316</v>
      </c>
      <c r="AJ107" s="1236">
        <f t="shared" si="94"/>
        <v>1.3667462623587225</v>
      </c>
      <c r="AK107" s="1236">
        <f t="shared" si="94"/>
        <v>1.4379860895597012</v>
      </c>
      <c r="AL107" s="1236">
        <f t="shared" si="94"/>
        <v>1.485504707378636</v>
      </c>
      <c r="AM107" s="1236">
        <f t="shared" si="94"/>
        <v>1.4171244491004533</v>
      </c>
      <c r="AN107" s="1236">
        <f t="shared" si="94"/>
        <v>1.4723908815680513</v>
      </c>
      <c r="AO107" s="1236">
        <f t="shared" si="94"/>
        <v>1.5218608691385931</v>
      </c>
      <c r="AP107" s="1236">
        <f t="shared" si="94"/>
        <v>1.5328808328978476</v>
      </c>
      <c r="AQ107" s="1236">
        <f t="shared" si="94"/>
        <v>1.5453275745873618</v>
      </c>
      <c r="AR107" s="1236">
        <f t="shared" si="94"/>
        <v>1.5621082787201113</v>
      </c>
      <c r="AS107" s="1236">
        <f t="shared" si="94"/>
        <v>1.5825021303374653</v>
      </c>
      <c r="AU107" s="1418">
        <f t="shared" si="50"/>
        <v>37.82238471273677</v>
      </c>
      <c r="AV107" s="1418">
        <f t="shared" si="51"/>
        <v>21.757965094123509</v>
      </c>
      <c r="AW107" s="1418">
        <f t="shared" si="52"/>
        <v>16.064419618613261</v>
      </c>
      <c r="AX107" s="660">
        <f t="shared" si="53"/>
        <v>0</v>
      </c>
    </row>
    <row r="108" spans="2:50" x14ac:dyDescent="0.35">
      <c r="B108" s="58">
        <f t="shared" si="58"/>
        <v>17</v>
      </c>
      <c r="C108" s="105" t="s">
        <v>144</v>
      </c>
      <c r="D108" s="262"/>
      <c r="E108" s="1237">
        <f>+E106+E107</f>
        <v>8.9567733378163314</v>
      </c>
      <c r="F108" s="1237">
        <f t="shared" ref="F108:P108" si="95">+F106+F107</f>
        <v>19.299883466735569</v>
      </c>
      <c r="G108" s="1237">
        <f t="shared" si="95"/>
        <v>20.008067259474579</v>
      </c>
      <c r="H108" s="1237">
        <f t="shared" si="95"/>
        <v>25.655612660545422</v>
      </c>
      <c r="I108" s="1237">
        <f t="shared" si="95"/>
        <v>30.492223233076871</v>
      </c>
      <c r="J108" s="1237">
        <f t="shared" si="95"/>
        <v>38.826760535140416</v>
      </c>
      <c r="K108" s="1237">
        <f t="shared" si="95"/>
        <v>70.663444384699261</v>
      </c>
      <c r="L108" s="1237">
        <f t="shared" ca="1" si="95"/>
        <v>113.74870232505315</v>
      </c>
      <c r="M108" s="1237">
        <f t="shared" ca="1" si="95"/>
        <v>140.04277057642958</v>
      </c>
      <c r="N108" s="1237">
        <f t="shared" ca="1" si="95"/>
        <v>171.19309391045559</v>
      </c>
      <c r="O108" s="1237">
        <f t="shared" ca="1" si="95"/>
        <v>204.51966976487495</v>
      </c>
      <c r="P108" s="1237">
        <f t="shared" ca="1" si="95"/>
        <v>222.16084391913267</v>
      </c>
      <c r="Q108" s="19"/>
      <c r="T108" s="1237">
        <f>+T106+T107</f>
        <v>8.9567733378163314</v>
      </c>
      <c r="U108" s="1237">
        <f t="shared" ref="U108:AE108" si="96">+U106+U107</f>
        <v>7.9650628899740195</v>
      </c>
      <c r="V108" s="1237">
        <f t="shared" si="96"/>
        <v>10.289080446966278</v>
      </c>
      <c r="W108" s="1237">
        <f t="shared" si="96"/>
        <v>14.522577008780393</v>
      </c>
      <c r="X108" s="1237">
        <f t="shared" si="96"/>
        <v>18.504633727162936</v>
      </c>
      <c r="Y108" s="1237">
        <f t="shared" si="96"/>
        <v>26.802117592728482</v>
      </c>
      <c r="Z108" s="1237">
        <f t="shared" si="96"/>
        <v>56.25348055157712</v>
      </c>
      <c r="AA108" s="1237">
        <f t="shared" ca="1" si="96"/>
        <v>98.381308199749057</v>
      </c>
      <c r="AB108" s="1237">
        <f t="shared" ca="1" si="96"/>
        <v>123.39882117628017</v>
      </c>
      <c r="AC108" s="1237">
        <f t="shared" ca="1" si="96"/>
        <v>154.5796959501248</v>
      </c>
      <c r="AD108" s="1237">
        <f t="shared" ca="1" si="96"/>
        <v>185.1983646300277</v>
      </c>
      <c r="AE108" s="1237">
        <f t="shared" ca="1" si="96"/>
        <v>202.47954370178522</v>
      </c>
      <c r="AH108" s="1237"/>
      <c r="AI108" s="1237">
        <f t="shared" ref="AI108:AS108" si="97">+AI106+AI107</f>
        <v>11.334820576761551</v>
      </c>
      <c r="AJ108" s="1237">
        <f t="shared" si="97"/>
        <v>9.718986812508307</v>
      </c>
      <c r="AK108" s="1237">
        <f t="shared" si="97"/>
        <v>11.133035651765029</v>
      </c>
      <c r="AL108" s="1237">
        <f t="shared" si="97"/>
        <v>11.987589505913938</v>
      </c>
      <c r="AM108" s="1237">
        <f t="shared" si="97"/>
        <v>12.024642942411928</v>
      </c>
      <c r="AN108" s="1237">
        <f t="shared" si="97"/>
        <v>14.409963833122138</v>
      </c>
      <c r="AO108" s="1237">
        <f t="shared" ca="1" si="97"/>
        <v>15.367394125304113</v>
      </c>
      <c r="AP108" s="1237">
        <f t="shared" ca="1" si="97"/>
        <v>16.643949400149438</v>
      </c>
      <c r="AQ108" s="1237">
        <f t="shared" ca="1" si="97"/>
        <v>16.613397960330733</v>
      </c>
      <c r="AR108" s="1237">
        <f t="shared" ca="1" si="97"/>
        <v>19.32130513484713</v>
      </c>
      <c r="AS108" s="1237">
        <f t="shared" ca="1" si="97"/>
        <v>19.681300217347527</v>
      </c>
      <c r="AU108" s="1418">
        <f t="shared" ca="1" si="50"/>
        <v>1065.5678453734345</v>
      </c>
      <c r="AV108" s="1418">
        <f t="shared" ca="1" si="51"/>
        <v>907.33145921297262</v>
      </c>
      <c r="AW108" s="1418">
        <f t="shared" ca="1" si="52"/>
        <v>158.23638616046185</v>
      </c>
      <c r="AX108" s="660">
        <f t="shared" ca="1" si="53"/>
        <v>0</v>
      </c>
    </row>
    <row r="109" spans="2:50" x14ac:dyDescent="0.35">
      <c r="B109" s="58">
        <f t="shared" si="58"/>
        <v>18</v>
      </c>
      <c r="C109" s="152" t="s">
        <v>145</v>
      </c>
      <c r="D109" s="262" t="s">
        <v>59</v>
      </c>
      <c r="E109" s="1236">
        <f t="shared" ref="E109:P109" si="98">+E24+E66</f>
        <v>0.39873736900000001</v>
      </c>
      <c r="F109" s="1236">
        <f t="shared" si="98"/>
        <v>1.2689190000000001</v>
      </c>
      <c r="G109" s="1236">
        <f t="shared" si="98"/>
        <v>1.9803628120000001</v>
      </c>
      <c r="H109" s="1236">
        <f t="shared" si="98"/>
        <v>0.188507588</v>
      </c>
      <c r="I109" s="1236">
        <f t="shared" si="98"/>
        <v>1.6581245700000002</v>
      </c>
      <c r="J109" s="1236">
        <f t="shared" si="98"/>
        <v>0.90209493699999999</v>
      </c>
      <c r="K109" s="1236">
        <f t="shared" si="98"/>
        <v>1.4494022199999999</v>
      </c>
      <c r="L109" s="1236">
        <f t="shared" si="98"/>
        <v>1.1306312199999999</v>
      </c>
      <c r="M109" s="1236">
        <f t="shared" si="98"/>
        <v>1.1306312199999999</v>
      </c>
      <c r="N109" s="1236">
        <f t="shared" si="98"/>
        <v>1.1306312199999999</v>
      </c>
      <c r="O109" s="1236">
        <f t="shared" si="98"/>
        <v>1.1306312199999999</v>
      </c>
      <c r="P109" s="1236">
        <f t="shared" si="98"/>
        <v>1.1306312199999999</v>
      </c>
      <c r="Q109" s="19"/>
      <c r="T109" s="1236">
        <f t="shared" ref="T109:AE109" si="99">+T24+T66</f>
        <v>0.39873736900000001</v>
      </c>
      <c r="U109" s="1236">
        <f t="shared" si="99"/>
        <v>0.27445015997296601</v>
      </c>
      <c r="V109" s="1236">
        <f t="shared" si="99"/>
        <v>1.3741403985884286</v>
      </c>
      <c r="W109" s="1236">
        <f t="shared" si="99"/>
        <v>0.14847913249821948</v>
      </c>
      <c r="X109" s="1236">
        <f t="shared" si="99"/>
        <v>1.3816939097462224</v>
      </c>
      <c r="Y109" s="1236">
        <f t="shared" si="99"/>
        <v>0.77350779242388779</v>
      </c>
      <c r="Z109" s="1236">
        <f t="shared" si="99"/>
        <v>1.3194539381234185</v>
      </c>
      <c r="AA109" s="1236">
        <f t="shared" si="99"/>
        <v>1.0523071914785966</v>
      </c>
      <c r="AB109" s="1236">
        <f t="shared" si="99"/>
        <v>1.0552602965217577</v>
      </c>
      <c r="AC109" s="1236">
        <f t="shared" si="99"/>
        <v>1.0694745983215779</v>
      </c>
      <c r="AD109" s="1236">
        <f t="shared" si="99"/>
        <v>1.0633518488499909</v>
      </c>
      <c r="AE109" s="1236">
        <f t="shared" si="99"/>
        <v>1.0683902742621403</v>
      </c>
      <c r="AH109" s="1236"/>
      <c r="AI109" s="1236">
        <f t="shared" ref="AI109:AS109" si="100">+AI24+AI66</f>
        <v>0.99446884002703428</v>
      </c>
      <c r="AJ109" s="1236">
        <f t="shared" si="100"/>
        <v>0.60622241341157079</v>
      </c>
      <c r="AK109" s="1236">
        <f t="shared" si="100"/>
        <v>4.0028455501780552E-2</v>
      </c>
      <c r="AL109" s="1236">
        <f t="shared" si="100"/>
        <v>0.27643066025377772</v>
      </c>
      <c r="AM109" s="1236">
        <f t="shared" si="100"/>
        <v>0.12858714457611209</v>
      </c>
      <c r="AN109" s="1236">
        <f t="shared" si="100"/>
        <v>0.12994828187658114</v>
      </c>
      <c r="AO109" s="1236">
        <f t="shared" si="100"/>
        <v>7.8324028521403063E-2</v>
      </c>
      <c r="AP109" s="1236">
        <f t="shared" si="100"/>
        <v>7.5370923478241869E-2</v>
      </c>
      <c r="AQ109" s="1236">
        <f t="shared" si="100"/>
        <v>6.1156621678421882E-2</v>
      </c>
      <c r="AR109" s="1236">
        <f t="shared" si="100"/>
        <v>6.7279371150008843E-2</v>
      </c>
      <c r="AS109" s="1236">
        <f t="shared" si="100"/>
        <v>6.2240945737859876E-2</v>
      </c>
      <c r="AU109" s="1418">
        <f t="shared" si="50"/>
        <v>13.499304596</v>
      </c>
      <c r="AV109" s="1418">
        <f t="shared" si="51"/>
        <v>10.979246909787207</v>
      </c>
      <c r="AW109" s="1418">
        <f t="shared" si="52"/>
        <v>2.5200576862127919</v>
      </c>
      <c r="AX109" s="660">
        <f t="shared" si="53"/>
        <v>0</v>
      </c>
    </row>
    <row r="110" spans="2:50" x14ac:dyDescent="0.35">
      <c r="B110" s="58">
        <f t="shared" si="58"/>
        <v>19</v>
      </c>
      <c r="C110" s="152" t="s">
        <v>146</v>
      </c>
      <c r="D110" s="262"/>
      <c r="E110" s="1236">
        <f t="shared" ref="E110:P110" si="101">+E25+E67</f>
        <v>0</v>
      </c>
      <c r="F110" s="1236">
        <f t="shared" si="101"/>
        <v>0</v>
      </c>
      <c r="G110" s="1236">
        <f t="shared" si="101"/>
        <v>0</v>
      </c>
      <c r="H110" s="1236">
        <f t="shared" si="101"/>
        <v>0</v>
      </c>
      <c r="I110" s="1236">
        <f t="shared" si="101"/>
        <v>0</v>
      </c>
      <c r="J110" s="1236">
        <f t="shared" si="101"/>
        <v>0</v>
      </c>
      <c r="K110" s="1236">
        <f t="shared" si="101"/>
        <v>0</v>
      </c>
      <c r="L110" s="1236">
        <f t="shared" si="101"/>
        <v>0</v>
      </c>
      <c r="M110" s="1236">
        <f t="shared" si="101"/>
        <v>0</v>
      </c>
      <c r="N110" s="1236">
        <f t="shared" si="101"/>
        <v>0</v>
      </c>
      <c r="O110" s="1236">
        <f t="shared" si="101"/>
        <v>0</v>
      </c>
      <c r="P110" s="1236">
        <f t="shared" si="101"/>
        <v>0</v>
      </c>
      <c r="Q110" s="19"/>
      <c r="T110" s="1236">
        <f t="shared" ref="T110:AE110" si="102">+T25+T67</f>
        <v>0</v>
      </c>
      <c r="U110" s="1236">
        <f t="shared" si="102"/>
        <v>0</v>
      </c>
      <c r="V110" s="1236">
        <f t="shared" si="102"/>
        <v>0</v>
      </c>
      <c r="W110" s="1236">
        <f t="shared" si="102"/>
        <v>0</v>
      </c>
      <c r="X110" s="1236">
        <f t="shared" si="102"/>
        <v>0</v>
      </c>
      <c r="Y110" s="1236">
        <f t="shared" si="102"/>
        <v>0</v>
      </c>
      <c r="Z110" s="1236">
        <f t="shared" si="102"/>
        <v>0</v>
      </c>
      <c r="AA110" s="1236">
        <f t="shared" si="102"/>
        <v>0</v>
      </c>
      <c r="AB110" s="1236">
        <f t="shared" si="102"/>
        <v>0</v>
      </c>
      <c r="AC110" s="1236">
        <f t="shared" si="102"/>
        <v>0</v>
      </c>
      <c r="AD110" s="1236">
        <f t="shared" si="102"/>
        <v>0</v>
      </c>
      <c r="AE110" s="1236">
        <f t="shared" si="102"/>
        <v>0</v>
      </c>
      <c r="AH110" s="1236"/>
      <c r="AI110" s="1236">
        <f t="shared" ref="AI110:AS110" si="103">+AI25+AI67</f>
        <v>0</v>
      </c>
      <c r="AJ110" s="1236">
        <f t="shared" si="103"/>
        <v>0</v>
      </c>
      <c r="AK110" s="1236">
        <f t="shared" si="103"/>
        <v>0</v>
      </c>
      <c r="AL110" s="1236">
        <f t="shared" si="103"/>
        <v>0</v>
      </c>
      <c r="AM110" s="1236">
        <f t="shared" si="103"/>
        <v>0</v>
      </c>
      <c r="AN110" s="1236">
        <f t="shared" si="103"/>
        <v>0</v>
      </c>
      <c r="AO110" s="1236">
        <f t="shared" si="103"/>
        <v>0</v>
      </c>
      <c r="AP110" s="1236">
        <f t="shared" si="103"/>
        <v>0</v>
      </c>
      <c r="AQ110" s="1236">
        <f t="shared" si="103"/>
        <v>0</v>
      </c>
      <c r="AR110" s="1236">
        <f t="shared" si="103"/>
        <v>0</v>
      </c>
      <c r="AS110" s="1236">
        <f t="shared" si="103"/>
        <v>0</v>
      </c>
      <c r="AU110" s="1418">
        <f t="shared" si="50"/>
        <v>0</v>
      </c>
      <c r="AV110" s="1418">
        <f t="shared" si="51"/>
        <v>0</v>
      </c>
      <c r="AW110" s="1418">
        <f t="shared" si="52"/>
        <v>0</v>
      </c>
      <c r="AX110" s="660">
        <f t="shared" si="53"/>
        <v>0</v>
      </c>
    </row>
    <row r="111" spans="2:50" x14ac:dyDescent="0.35">
      <c r="B111" s="58">
        <f t="shared" si="58"/>
        <v>20</v>
      </c>
      <c r="C111" s="152" t="s">
        <v>156</v>
      </c>
      <c r="D111" s="262" t="s">
        <v>67</v>
      </c>
      <c r="E111" s="1238">
        <f>+E68</f>
        <v>0</v>
      </c>
      <c r="F111" s="1238">
        <f t="shared" ref="F111:P111" si="104">+F68</f>
        <v>0</v>
      </c>
      <c r="G111" s="1238">
        <f t="shared" si="104"/>
        <v>0</v>
      </c>
      <c r="H111" s="1238">
        <f t="shared" si="104"/>
        <v>0</v>
      </c>
      <c r="I111" s="1238">
        <f t="shared" si="104"/>
        <v>0</v>
      </c>
      <c r="J111" s="1238">
        <f t="shared" si="104"/>
        <v>0</v>
      </c>
      <c r="K111" s="1238">
        <f t="shared" si="104"/>
        <v>0</v>
      </c>
      <c r="L111" s="1238">
        <f t="shared" si="104"/>
        <v>0</v>
      </c>
      <c r="M111" s="1238">
        <f t="shared" si="104"/>
        <v>0</v>
      </c>
      <c r="N111" s="1238">
        <f t="shared" si="104"/>
        <v>0</v>
      </c>
      <c r="O111" s="1238">
        <f t="shared" si="104"/>
        <v>0</v>
      </c>
      <c r="P111" s="1238">
        <f t="shared" si="104"/>
        <v>0</v>
      </c>
      <c r="Q111" s="19"/>
      <c r="T111" s="1238">
        <f>+T68</f>
        <v>0</v>
      </c>
      <c r="U111" s="1238">
        <f t="shared" ref="U111:AE111" si="105">+U68</f>
        <v>0</v>
      </c>
      <c r="V111" s="1238">
        <f t="shared" si="105"/>
        <v>0</v>
      </c>
      <c r="W111" s="1238">
        <f t="shared" si="105"/>
        <v>0</v>
      </c>
      <c r="X111" s="1238">
        <f t="shared" si="105"/>
        <v>0</v>
      </c>
      <c r="Y111" s="1238">
        <f t="shared" si="105"/>
        <v>0</v>
      </c>
      <c r="Z111" s="1238">
        <f t="shared" si="105"/>
        <v>0</v>
      </c>
      <c r="AA111" s="1238">
        <f t="shared" si="105"/>
        <v>0</v>
      </c>
      <c r="AB111" s="1238">
        <f t="shared" si="105"/>
        <v>0</v>
      </c>
      <c r="AC111" s="1238">
        <f t="shared" si="105"/>
        <v>0</v>
      </c>
      <c r="AD111" s="1238">
        <f t="shared" si="105"/>
        <v>0</v>
      </c>
      <c r="AE111" s="1238">
        <f t="shared" si="105"/>
        <v>0</v>
      </c>
      <c r="AH111" s="1238"/>
      <c r="AI111" s="1238">
        <f t="shared" ref="AI111:AS111" si="106">+AI68</f>
        <v>0</v>
      </c>
      <c r="AJ111" s="1238">
        <f t="shared" si="106"/>
        <v>0</v>
      </c>
      <c r="AK111" s="1238">
        <f t="shared" si="106"/>
        <v>0</v>
      </c>
      <c r="AL111" s="1238">
        <f t="shared" si="106"/>
        <v>0</v>
      </c>
      <c r="AM111" s="1238">
        <f t="shared" si="106"/>
        <v>0</v>
      </c>
      <c r="AN111" s="1238">
        <f t="shared" si="106"/>
        <v>0</v>
      </c>
      <c r="AO111" s="1238">
        <f t="shared" si="106"/>
        <v>0</v>
      </c>
      <c r="AP111" s="1238">
        <f t="shared" si="106"/>
        <v>0</v>
      </c>
      <c r="AQ111" s="1238">
        <f t="shared" si="106"/>
        <v>0</v>
      </c>
      <c r="AR111" s="1238">
        <f t="shared" si="106"/>
        <v>0</v>
      </c>
      <c r="AS111" s="1238">
        <f t="shared" si="106"/>
        <v>0</v>
      </c>
      <c r="AU111" s="1418">
        <f t="shared" si="50"/>
        <v>0</v>
      </c>
      <c r="AV111" s="1418">
        <f t="shared" si="51"/>
        <v>0</v>
      </c>
      <c r="AW111" s="1418">
        <f t="shared" si="52"/>
        <v>0</v>
      </c>
      <c r="AX111" s="660">
        <f t="shared" si="53"/>
        <v>0</v>
      </c>
    </row>
    <row r="112" spans="2:50" ht="12.75" customHeight="1" x14ac:dyDescent="0.35">
      <c r="B112" s="58">
        <f t="shared" si="58"/>
        <v>21</v>
      </c>
      <c r="C112" s="152" t="s">
        <v>157</v>
      </c>
      <c r="D112" s="262" t="s">
        <v>67</v>
      </c>
      <c r="E112" s="1238">
        <f>+E69</f>
        <v>0</v>
      </c>
      <c r="F112" s="1238">
        <f t="shared" ref="F112:P112" si="107">+F69</f>
        <v>0</v>
      </c>
      <c r="G112" s="1238">
        <f t="shared" si="107"/>
        <v>0</v>
      </c>
      <c r="H112" s="1238">
        <f t="shared" si="107"/>
        <v>0</v>
      </c>
      <c r="I112" s="1238">
        <f t="shared" si="107"/>
        <v>0</v>
      </c>
      <c r="J112" s="1238">
        <f t="shared" si="107"/>
        <v>0</v>
      </c>
      <c r="K112" s="1238">
        <f t="shared" si="107"/>
        <v>0</v>
      </c>
      <c r="L112" s="1238">
        <f t="shared" si="107"/>
        <v>0</v>
      </c>
      <c r="M112" s="1238">
        <f t="shared" si="107"/>
        <v>0</v>
      </c>
      <c r="N112" s="1238">
        <f t="shared" si="107"/>
        <v>0</v>
      </c>
      <c r="O112" s="1238">
        <f t="shared" si="107"/>
        <v>0</v>
      </c>
      <c r="P112" s="1238">
        <f t="shared" si="107"/>
        <v>0</v>
      </c>
      <c r="Q112" s="19"/>
      <c r="T112" s="1238">
        <f>+T69</f>
        <v>0</v>
      </c>
      <c r="U112" s="1238">
        <f t="shared" ref="U112:AE112" si="108">+U69</f>
        <v>0</v>
      </c>
      <c r="V112" s="1238">
        <f t="shared" si="108"/>
        <v>0</v>
      </c>
      <c r="W112" s="1238">
        <f t="shared" si="108"/>
        <v>0</v>
      </c>
      <c r="X112" s="1238">
        <f t="shared" si="108"/>
        <v>0</v>
      </c>
      <c r="Y112" s="1238">
        <f t="shared" si="108"/>
        <v>0</v>
      </c>
      <c r="Z112" s="1238">
        <f t="shared" si="108"/>
        <v>0</v>
      </c>
      <c r="AA112" s="1238">
        <f t="shared" si="108"/>
        <v>0</v>
      </c>
      <c r="AB112" s="1238">
        <f t="shared" si="108"/>
        <v>0</v>
      </c>
      <c r="AC112" s="1238">
        <f t="shared" si="108"/>
        <v>0</v>
      </c>
      <c r="AD112" s="1238">
        <f t="shared" si="108"/>
        <v>0</v>
      </c>
      <c r="AE112" s="1238">
        <f t="shared" si="108"/>
        <v>0</v>
      </c>
      <c r="AH112" s="1238"/>
      <c r="AI112" s="1238">
        <f t="shared" ref="AI112:AS112" si="109">+AI69</f>
        <v>0</v>
      </c>
      <c r="AJ112" s="1238">
        <f t="shared" si="109"/>
        <v>0</v>
      </c>
      <c r="AK112" s="1238">
        <f t="shared" si="109"/>
        <v>0</v>
      </c>
      <c r="AL112" s="1238">
        <f t="shared" si="109"/>
        <v>0</v>
      </c>
      <c r="AM112" s="1238">
        <f t="shared" si="109"/>
        <v>0</v>
      </c>
      <c r="AN112" s="1238">
        <f t="shared" si="109"/>
        <v>0</v>
      </c>
      <c r="AO112" s="1238">
        <f t="shared" si="109"/>
        <v>0</v>
      </c>
      <c r="AP112" s="1238">
        <f t="shared" si="109"/>
        <v>0</v>
      </c>
      <c r="AQ112" s="1238">
        <f t="shared" si="109"/>
        <v>0</v>
      </c>
      <c r="AR112" s="1238">
        <f t="shared" si="109"/>
        <v>0</v>
      </c>
      <c r="AS112" s="1238">
        <f t="shared" si="109"/>
        <v>0</v>
      </c>
      <c r="AU112" s="1418">
        <f t="shared" si="50"/>
        <v>0</v>
      </c>
      <c r="AV112" s="1418">
        <f t="shared" si="51"/>
        <v>0</v>
      </c>
      <c r="AW112" s="1418">
        <f t="shared" si="52"/>
        <v>0</v>
      </c>
      <c r="AX112" s="660">
        <f t="shared" si="53"/>
        <v>0</v>
      </c>
    </row>
    <row r="113" spans="2:50" x14ac:dyDescent="0.35">
      <c r="B113" s="58">
        <f>B112+1</f>
        <v>22</v>
      </c>
      <c r="C113" s="105" t="s">
        <v>158</v>
      </c>
      <c r="D113" s="268"/>
      <c r="E113" s="1237">
        <f t="shared" ref="E113:P113" si="110">+E108-SUM(E109:E112)</f>
        <v>8.5580359688163306</v>
      </c>
      <c r="F113" s="1237">
        <f t="shared" si="110"/>
        <v>18.030964466735568</v>
      </c>
      <c r="G113" s="1237">
        <f t="shared" si="110"/>
        <v>18.02770444747458</v>
      </c>
      <c r="H113" s="1237">
        <f t="shared" si="110"/>
        <v>25.467105072545422</v>
      </c>
      <c r="I113" s="1237">
        <f t="shared" si="110"/>
        <v>28.834098663076869</v>
      </c>
      <c r="J113" s="1237">
        <f t="shared" si="110"/>
        <v>37.924665598140415</v>
      </c>
      <c r="K113" s="1237">
        <f t="shared" si="110"/>
        <v>69.214042164699265</v>
      </c>
      <c r="L113" s="1237">
        <f t="shared" ca="1" si="110"/>
        <v>112.61807110505315</v>
      </c>
      <c r="M113" s="1237">
        <f t="shared" ca="1" si="110"/>
        <v>138.91213935642958</v>
      </c>
      <c r="N113" s="1237">
        <f t="shared" ca="1" si="110"/>
        <v>170.06246269045559</v>
      </c>
      <c r="O113" s="1237">
        <f t="shared" ca="1" si="110"/>
        <v>203.38903854487495</v>
      </c>
      <c r="P113" s="1237">
        <f t="shared" ca="1" si="110"/>
        <v>221.03021269913268</v>
      </c>
      <c r="Q113" s="19"/>
      <c r="T113" s="1237">
        <f t="shared" ref="T113:AE113" si="111">+T108-SUM(T109:T112)</f>
        <v>8.5580359688163306</v>
      </c>
      <c r="U113" s="1237">
        <f t="shared" si="111"/>
        <v>7.6906127300010532</v>
      </c>
      <c r="V113" s="1237">
        <f t="shared" si="111"/>
        <v>8.9149400483778489</v>
      </c>
      <c r="W113" s="1237">
        <f t="shared" si="111"/>
        <v>14.374097876282175</v>
      </c>
      <c r="X113" s="1237">
        <f t="shared" si="111"/>
        <v>17.122939817416714</v>
      </c>
      <c r="Y113" s="1237">
        <f t="shared" si="111"/>
        <v>26.028609800304594</v>
      </c>
      <c r="Z113" s="1237">
        <f t="shared" si="111"/>
        <v>54.934026613453703</v>
      </c>
      <c r="AA113" s="1237">
        <f t="shared" ca="1" si="111"/>
        <v>97.329001008270467</v>
      </c>
      <c r="AB113" s="1237">
        <f t="shared" ca="1" si="111"/>
        <v>122.34356087975841</v>
      </c>
      <c r="AC113" s="1237">
        <f t="shared" ca="1" si="111"/>
        <v>153.51022135180321</v>
      </c>
      <c r="AD113" s="1237">
        <f t="shared" ca="1" si="111"/>
        <v>184.13501278117769</v>
      </c>
      <c r="AE113" s="1237">
        <f t="shared" ca="1" si="111"/>
        <v>201.41115342752309</v>
      </c>
      <c r="AH113" s="1237"/>
      <c r="AI113" s="1237">
        <f t="shared" ref="AI113:AS113" si="112">+AI108-SUM(AI109:AI112)</f>
        <v>10.340351736734517</v>
      </c>
      <c r="AJ113" s="1237">
        <f t="shared" si="112"/>
        <v>9.1127643990967364</v>
      </c>
      <c r="AK113" s="1237">
        <f t="shared" si="112"/>
        <v>11.093007196263249</v>
      </c>
      <c r="AL113" s="1237">
        <f t="shared" si="112"/>
        <v>11.71115884566016</v>
      </c>
      <c r="AM113" s="1237">
        <f t="shared" si="112"/>
        <v>11.896055797835816</v>
      </c>
      <c r="AN113" s="1237">
        <f t="shared" si="112"/>
        <v>14.280015551245556</v>
      </c>
      <c r="AO113" s="1237">
        <f t="shared" ca="1" si="112"/>
        <v>15.28907009678271</v>
      </c>
      <c r="AP113" s="1237">
        <f t="shared" ca="1" si="112"/>
        <v>16.568578476671195</v>
      </c>
      <c r="AQ113" s="1237">
        <f t="shared" ca="1" si="112"/>
        <v>16.552241338652312</v>
      </c>
      <c r="AR113" s="1237">
        <f t="shared" ca="1" si="112"/>
        <v>19.254025763697122</v>
      </c>
      <c r="AS113" s="1237">
        <f t="shared" ca="1" si="112"/>
        <v>19.619059271609668</v>
      </c>
      <c r="AU113" s="1418">
        <f t="shared" ca="1" si="50"/>
        <v>1052.0685407774345</v>
      </c>
      <c r="AV113" s="1418">
        <f t="shared" ca="1" si="51"/>
        <v>896.3522123031853</v>
      </c>
      <c r="AW113" s="1418">
        <f t="shared" ca="1" si="52"/>
        <v>155.71632847424902</v>
      </c>
      <c r="AX113" s="660">
        <f t="shared" ca="1" si="53"/>
        <v>0</v>
      </c>
    </row>
    <row r="114" spans="2:50" x14ac:dyDescent="0.35">
      <c r="B114" s="58">
        <f t="shared" ref="B114:B127" si="113">B113+1</f>
        <v>23</v>
      </c>
      <c r="C114" s="152" t="s">
        <v>1612</v>
      </c>
      <c r="D114" s="268"/>
      <c r="E114" s="1402"/>
      <c r="F114" s="1402"/>
      <c r="G114" s="1402"/>
      <c r="H114" s="1402"/>
      <c r="I114" s="1402"/>
      <c r="J114" s="1402"/>
      <c r="K114" s="1402"/>
      <c r="L114" s="1402"/>
      <c r="M114" s="1402">
        <f t="array" ref="M114:M120">TRANSPOSE(E127:K127)</f>
        <v>7.0319721838163307</v>
      </c>
      <c r="N114" s="1402"/>
      <c r="O114" s="1402"/>
      <c r="P114" s="1402"/>
      <c r="Q114" s="676"/>
      <c r="T114" s="1402"/>
      <c r="U114" s="1402"/>
      <c r="V114" s="1402"/>
      <c r="W114" s="1402"/>
      <c r="X114" s="1402"/>
      <c r="Y114" s="1402"/>
      <c r="Z114" s="1402"/>
      <c r="AA114" s="1402"/>
      <c r="AB114" s="1402">
        <f>+AB27+AB71</f>
        <v>7.0319721838163307</v>
      </c>
      <c r="AC114" s="1402"/>
      <c r="AD114" s="1402"/>
      <c r="AE114" s="1402"/>
      <c r="AH114" s="1402"/>
      <c r="AI114" s="1402"/>
      <c r="AJ114" s="1402"/>
      <c r="AK114" s="1402"/>
      <c r="AL114" s="1402"/>
      <c r="AM114" s="1402"/>
      <c r="AN114" s="1402"/>
      <c r="AO114" s="1402"/>
      <c r="AP114" s="1402">
        <f>+AP27+AP71</f>
        <v>0</v>
      </c>
      <c r="AQ114" s="1402"/>
      <c r="AR114" s="1402"/>
      <c r="AS114" s="1402"/>
      <c r="AU114" s="1418">
        <f t="shared" si="50"/>
        <v>7.0319721838163307</v>
      </c>
      <c r="AV114" s="1418">
        <f t="shared" si="51"/>
        <v>7.0319721838163307</v>
      </c>
      <c r="AW114" s="1418">
        <f t="shared" si="52"/>
        <v>0</v>
      </c>
      <c r="AX114" s="660">
        <f t="shared" si="53"/>
        <v>0</v>
      </c>
    </row>
    <row r="115" spans="2:50" x14ac:dyDescent="0.35">
      <c r="B115" s="58">
        <f t="shared" si="113"/>
        <v>24</v>
      </c>
      <c r="C115" s="152" t="s">
        <v>1613</v>
      </c>
      <c r="D115" s="268"/>
      <c r="E115" s="1402"/>
      <c r="F115" s="1402"/>
      <c r="G115" s="1402"/>
      <c r="H115" s="1402"/>
      <c r="I115" s="1402"/>
      <c r="J115" s="1402"/>
      <c r="K115" s="1402"/>
      <c r="L115" s="1402"/>
      <c r="M115" s="1402">
        <v>13.740419455875568</v>
      </c>
      <c r="N115" s="1402"/>
      <c r="O115" s="1402"/>
      <c r="P115" s="1402"/>
      <c r="Q115" s="676"/>
      <c r="T115" s="1402"/>
      <c r="U115" s="1402"/>
      <c r="V115" s="1402"/>
      <c r="W115" s="1402"/>
      <c r="X115" s="1402"/>
      <c r="Y115" s="1402"/>
      <c r="Z115" s="1402"/>
      <c r="AA115" s="1402"/>
      <c r="AB115" s="1402">
        <f t="shared" ref="AB115:AB122" si="114">+AB28+AB72</f>
        <v>13.740419455875571</v>
      </c>
      <c r="AC115" s="1402"/>
      <c r="AD115" s="1402"/>
      <c r="AE115" s="1402"/>
      <c r="AH115" s="1402"/>
      <c r="AI115" s="1402"/>
      <c r="AJ115" s="1402"/>
      <c r="AK115" s="1402"/>
      <c r="AL115" s="1402"/>
      <c r="AM115" s="1402"/>
      <c r="AN115" s="1402"/>
      <c r="AO115" s="1402"/>
      <c r="AP115" s="1402">
        <f t="shared" ref="AP115:AP122" si="115">+AP28+AP72</f>
        <v>0</v>
      </c>
      <c r="AQ115" s="1402"/>
      <c r="AR115" s="1402"/>
      <c r="AS115" s="1402"/>
      <c r="AU115" s="1418">
        <f t="shared" si="50"/>
        <v>13.740419455875568</v>
      </c>
      <c r="AV115" s="1418">
        <f t="shared" si="51"/>
        <v>13.740419455875571</v>
      </c>
      <c r="AW115" s="1418">
        <f t="shared" si="52"/>
        <v>0</v>
      </c>
      <c r="AX115" s="660">
        <f t="shared" si="53"/>
        <v>-3.5527136788005009E-15</v>
      </c>
    </row>
    <row r="116" spans="2:50" x14ac:dyDescent="0.35">
      <c r="B116" s="58">
        <f t="shared" si="113"/>
        <v>25</v>
      </c>
      <c r="C116" s="152" t="s">
        <v>1614</v>
      </c>
      <c r="D116" s="268"/>
      <c r="E116" s="1402"/>
      <c r="F116" s="1402"/>
      <c r="G116" s="1402"/>
      <c r="H116" s="1402"/>
      <c r="I116" s="1402"/>
      <c r="J116" s="1402"/>
      <c r="K116" s="1402"/>
      <c r="L116" s="1402"/>
      <c r="M116" s="1402">
        <v>6.6286913010175805</v>
      </c>
      <c r="N116" s="1402"/>
      <c r="O116" s="1402"/>
      <c r="P116" s="1402"/>
      <c r="Q116" s="676"/>
      <c r="T116" s="1402"/>
      <c r="U116" s="1402"/>
      <c r="V116" s="1402"/>
      <c r="W116" s="1402"/>
      <c r="X116" s="1402"/>
      <c r="Y116" s="1402"/>
      <c r="Z116" s="1402"/>
      <c r="AA116" s="1402"/>
      <c r="AB116" s="1402">
        <f t="shared" si="114"/>
        <v>6.6286913010175867</v>
      </c>
      <c r="AC116" s="1402"/>
      <c r="AD116" s="1402"/>
      <c r="AE116" s="1402"/>
      <c r="AH116" s="1402"/>
      <c r="AI116" s="1402"/>
      <c r="AJ116" s="1402"/>
      <c r="AK116" s="1402"/>
      <c r="AL116" s="1402"/>
      <c r="AM116" s="1402"/>
      <c r="AN116" s="1402"/>
      <c r="AO116" s="1402"/>
      <c r="AP116" s="1402">
        <f t="shared" si="115"/>
        <v>0</v>
      </c>
      <c r="AQ116" s="1402"/>
      <c r="AR116" s="1402"/>
      <c r="AS116" s="1402"/>
      <c r="AU116" s="1418">
        <f t="shared" si="50"/>
        <v>6.6286913010175805</v>
      </c>
      <c r="AV116" s="1418">
        <f t="shared" si="51"/>
        <v>6.6286913010175867</v>
      </c>
      <c r="AW116" s="1418">
        <f t="shared" si="52"/>
        <v>0</v>
      </c>
      <c r="AX116" s="660">
        <f t="shared" si="53"/>
        <v>-6.2172489379008766E-15</v>
      </c>
    </row>
    <row r="117" spans="2:50" x14ac:dyDescent="0.35">
      <c r="B117" s="58">
        <f t="shared" si="113"/>
        <v>26</v>
      </c>
      <c r="C117" s="152" t="s">
        <v>1615</v>
      </c>
      <c r="D117" s="268"/>
      <c r="E117" s="1402"/>
      <c r="F117" s="1402"/>
      <c r="G117" s="1402"/>
      <c r="H117" s="1402"/>
      <c r="I117" s="1402"/>
      <c r="J117" s="1402"/>
      <c r="K117" s="1402"/>
      <c r="L117" s="1402"/>
      <c r="M117" s="1402">
        <v>10.874550548425422</v>
      </c>
      <c r="N117" s="1402"/>
      <c r="O117" s="1402"/>
      <c r="P117" s="1402"/>
      <c r="Q117" s="676"/>
      <c r="T117" s="1402"/>
      <c r="U117" s="1402"/>
      <c r="V117" s="1402"/>
      <c r="W117" s="1402"/>
      <c r="X117" s="1402"/>
      <c r="Y117" s="1402"/>
      <c r="Z117" s="1402"/>
      <c r="AA117" s="1402"/>
      <c r="AB117" s="1402">
        <f t="shared" si="114"/>
        <v>10.874550548425422</v>
      </c>
      <c r="AC117" s="1402"/>
      <c r="AD117" s="1402"/>
      <c r="AE117" s="1402"/>
      <c r="AH117" s="1402"/>
      <c r="AI117" s="1402"/>
      <c r="AJ117" s="1402"/>
      <c r="AK117" s="1402"/>
      <c r="AL117" s="1402"/>
      <c r="AM117" s="1402"/>
      <c r="AN117" s="1402"/>
      <c r="AO117" s="1402"/>
      <c r="AP117" s="1402">
        <f t="shared" si="115"/>
        <v>0</v>
      </c>
      <c r="AQ117" s="1402"/>
      <c r="AR117" s="1402"/>
      <c r="AS117" s="1402"/>
      <c r="AU117" s="1418">
        <f t="shared" si="50"/>
        <v>10.874550548425422</v>
      </c>
      <c r="AV117" s="1418">
        <f t="shared" si="51"/>
        <v>10.874550548425422</v>
      </c>
      <c r="AW117" s="1418">
        <f t="shared" si="52"/>
        <v>0</v>
      </c>
      <c r="AX117" s="660">
        <f t="shared" si="53"/>
        <v>0</v>
      </c>
    </row>
    <row r="118" spans="2:50" x14ac:dyDescent="0.35">
      <c r="B118" s="58">
        <f t="shared" si="113"/>
        <v>27</v>
      </c>
      <c r="C118" s="152" t="s">
        <v>1616</v>
      </c>
      <c r="D118" s="268"/>
      <c r="E118" s="1402"/>
      <c r="F118" s="1402"/>
      <c r="G118" s="1402"/>
      <c r="H118" s="1402"/>
      <c r="I118" s="1402"/>
      <c r="J118" s="1402"/>
      <c r="K118" s="1402"/>
      <c r="L118" s="1402"/>
      <c r="M118" s="1402">
        <v>7.0495254183966729</v>
      </c>
      <c r="N118" s="1402"/>
      <c r="O118" s="1402"/>
      <c r="P118" s="1402"/>
      <c r="Q118" s="676"/>
      <c r="T118" s="1402"/>
      <c r="U118" s="1402"/>
      <c r="V118" s="1402"/>
      <c r="W118" s="1402"/>
      <c r="X118" s="1402"/>
      <c r="Y118" s="1402"/>
      <c r="Z118" s="1402"/>
      <c r="AA118" s="1402"/>
      <c r="AB118" s="1402">
        <f t="shared" si="114"/>
        <v>7.04952541839668</v>
      </c>
      <c r="AC118" s="1402"/>
      <c r="AD118" s="1402"/>
      <c r="AE118" s="1402"/>
      <c r="AH118" s="1402"/>
      <c r="AI118" s="1402"/>
      <c r="AJ118" s="1402"/>
      <c r="AK118" s="1402"/>
      <c r="AL118" s="1402"/>
      <c r="AM118" s="1402"/>
      <c r="AN118" s="1402"/>
      <c r="AO118" s="1402"/>
      <c r="AP118" s="1402">
        <f t="shared" si="115"/>
        <v>0</v>
      </c>
      <c r="AQ118" s="1402"/>
      <c r="AR118" s="1402"/>
      <c r="AS118" s="1402"/>
      <c r="AU118" s="1418">
        <f t="shared" si="50"/>
        <v>7.0495254183966729</v>
      </c>
      <c r="AV118" s="1418">
        <f t="shared" si="51"/>
        <v>7.04952541839668</v>
      </c>
      <c r="AW118" s="1418">
        <f t="shared" si="52"/>
        <v>0</v>
      </c>
      <c r="AX118" s="660">
        <f t="shared" si="53"/>
        <v>-7.1054273576010019E-15</v>
      </c>
    </row>
    <row r="119" spans="2:50" x14ac:dyDescent="0.35">
      <c r="B119" s="58">
        <f t="shared" si="113"/>
        <v>28</v>
      </c>
      <c r="C119" s="152" t="s">
        <v>1617</v>
      </c>
      <c r="D119" s="268"/>
      <c r="E119" s="1402"/>
      <c r="F119" s="1402"/>
      <c r="G119" s="1402"/>
      <c r="H119" s="1402"/>
      <c r="I119" s="1402"/>
      <c r="J119" s="1402"/>
      <c r="K119" s="1402"/>
      <c r="L119" s="1402"/>
      <c r="M119" s="1402">
        <v>-2.7291986650981386</v>
      </c>
      <c r="N119" s="1402"/>
      <c r="O119" s="1402"/>
      <c r="P119" s="1402"/>
      <c r="Q119" s="676"/>
      <c r="T119" s="1402"/>
      <c r="U119" s="1402"/>
      <c r="V119" s="1402"/>
      <c r="W119" s="1402"/>
      <c r="X119" s="1402"/>
      <c r="Y119" s="1402"/>
      <c r="Z119" s="1402"/>
      <c r="AA119" s="1402"/>
      <c r="AB119" s="1402">
        <f t="shared" si="114"/>
        <v>-2.7291986650981439</v>
      </c>
      <c r="AC119" s="1402"/>
      <c r="AD119" s="1402"/>
      <c r="AE119" s="1402"/>
      <c r="AH119" s="1402"/>
      <c r="AI119" s="1402"/>
      <c r="AJ119" s="1402"/>
      <c r="AK119" s="1402"/>
      <c r="AL119" s="1402"/>
      <c r="AM119" s="1402"/>
      <c r="AN119" s="1402"/>
      <c r="AO119" s="1402"/>
      <c r="AP119" s="1402">
        <f t="shared" si="115"/>
        <v>0</v>
      </c>
      <c r="AQ119" s="1402"/>
      <c r="AR119" s="1402"/>
      <c r="AS119" s="1402"/>
      <c r="AU119" s="1418">
        <f t="shared" si="50"/>
        <v>-2.7291986650981386</v>
      </c>
      <c r="AV119" s="1418">
        <f t="shared" si="51"/>
        <v>-2.7291986650981439</v>
      </c>
      <c r="AW119" s="1418">
        <f t="shared" si="52"/>
        <v>0</v>
      </c>
      <c r="AX119" s="660">
        <f t="shared" si="53"/>
        <v>5.3290705182007514E-15</v>
      </c>
    </row>
    <row r="120" spans="2:50" x14ac:dyDescent="0.35">
      <c r="B120" s="58">
        <f t="shared" si="113"/>
        <v>29</v>
      </c>
      <c r="C120" s="152" t="s">
        <v>1618</v>
      </c>
      <c r="D120" s="268"/>
      <c r="E120" s="1402"/>
      <c r="F120" s="1402"/>
      <c r="G120" s="1402"/>
      <c r="H120" s="1402"/>
      <c r="I120" s="1402"/>
      <c r="J120" s="1402"/>
      <c r="K120" s="1402"/>
      <c r="L120" s="1402"/>
      <c r="M120" s="1402">
        <v>-4.7580446743587146</v>
      </c>
      <c r="N120" s="1402"/>
      <c r="O120" s="1402"/>
      <c r="P120" s="1402"/>
      <c r="Q120" s="676"/>
      <c r="T120" s="1402"/>
      <c r="U120" s="1402"/>
      <c r="V120" s="1402"/>
      <c r="W120" s="1402"/>
      <c r="X120" s="1402"/>
      <c r="Y120" s="1402"/>
      <c r="Z120" s="1402"/>
      <c r="AA120" s="1402"/>
      <c r="AB120" s="1402">
        <f t="shared" si="114"/>
        <v>-4.7580446743587093</v>
      </c>
      <c r="AC120" s="1402"/>
      <c r="AD120" s="1402"/>
      <c r="AE120" s="1402"/>
      <c r="AH120" s="1402"/>
      <c r="AI120" s="1402"/>
      <c r="AJ120" s="1402"/>
      <c r="AK120" s="1402"/>
      <c r="AL120" s="1402"/>
      <c r="AM120" s="1402"/>
      <c r="AN120" s="1402"/>
      <c r="AO120" s="1402"/>
      <c r="AP120" s="1402">
        <f t="shared" si="115"/>
        <v>0</v>
      </c>
      <c r="AQ120" s="1402"/>
      <c r="AR120" s="1402"/>
      <c r="AS120" s="1402"/>
      <c r="AU120" s="1418">
        <f t="shared" si="50"/>
        <v>-4.7580446743587146</v>
      </c>
      <c r="AV120" s="1418">
        <f t="shared" si="51"/>
        <v>-4.7580446743587093</v>
      </c>
      <c r="AW120" s="1418">
        <f t="shared" si="52"/>
        <v>0</v>
      </c>
      <c r="AX120" s="660">
        <f t="shared" si="53"/>
        <v>-5.3290705182007514E-15</v>
      </c>
    </row>
    <row r="121" spans="2:50" ht="27.75" x14ac:dyDescent="0.35">
      <c r="B121" s="58">
        <f t="shared" si="113"/>
        <v>30</v>
      </c>
      <c r="C121" s="152" t="s">
        <v>1619</v>
      </c>
      <c r="D121" s="268"/>
      <c r="E121" s="1402"/>
      <c r="F121" s="1402"/>
      <c r="G121" s="1402"/>
      <c r="H121" s="1402"/>
      <c r="I121" s="1402"/>
      <c r="J121" s="1402"/>
      <c r="K121" s="1402"/>
      <c r="L121" s="1402"/>
      <c r="M121" s="1402">
        <f>+N161</f>
        <v>24.652341135641901</v>
      </c>
      <c r="N121" s="1402"/>
      <c r="O121" s="1402"/>
      <c r="P121" s="1402"/>
      <c r="Q121" s="676"/>
      <c r="T121" s="1402"/>
      <c r="U121" s="1402"/>
      <c r="V121" s="1402"/>
      <c r="W121" s="1402"/>
      <c r="X121" s="1402"/>
      <c r="Y121" s="1402"/>
      <c r="Z121" s="1402"/>
      <c r="AA121" s="1402"/>
      <c r="AB121" s="1402">
        <f t="shared" si="114"/>
        <v>24.652341135641905</v>
      </c>
      <c r="AC121" s="1402"/>
      <c r="AD121" s="1402"/>
      <c r="AE121" s="1402"/>
      <c r="AH121" s="1402"/>
      <c r="AI121" s="1402"/>
      <c r="AJ121" s="1402"/>
      <c r="AK121" s="1402"/>
      <c r="AL121" s="1402"/>
      <c r="AM121" s="1402"/>
      <c r="AN121" s="1402"/>
      <c r="AO121" s="1402"/>
      <c r="AP121" s="1402">
        <f t="shared" si="115"/>
        <v>0</v>
      </c>
      <c r="AQ121" s="1402"/>
      <c r="AR121" s="1402"/>
      <c r="AS121" s="1402"/>
      <c r="AU121" s="1418">
        <f t="shared" si="50"/>
        <v>24.652341135641901</v>
      </c>
      <c r="AV121" s="1418">
        <f t="shared" si="51"/>
        <v>24.652341135641905</v>
      </c>
      <c r="AW121" s="1418">
        <f t="shared" si="52"/>
        <v>0</v>
      </c>
      <c r="AX121" s="660">
        <f t="shared" si="53"/>
        <v>-3.5527136788005009E-15</v>
      </c>
    </row>
    <row r="122" spans="2:50" x14ac:dyDescent="0.35">
      <c r="B122" s="58">
        <f t="shared" si="113"/>
        <v>31</v>
      </c>
      <c r="C122" s="152" t="s">
        <v>1629</v>
      </c>
      <c r="D122" s="268"/>
      <c r="E122" s="1402"/>
      <c r="F122" s="1402"/>
      <c r="G122" s="1402"/>
      <c r="H122" s="1402"/>
      <c r="I122" s="1402"/>
      <c r="J122" s="1402"/>
      <c r="K122" s="1402"/>
      <c r="L122" s="1402"/>
      <c r="M122" s="1402">
        <f ca="1">+L127</f>
        <v>-17.355660941861728</v>
      </c>
      <c r="N122" s="1402"/>
      <c r="O122" s="1402"/>
      <c r="P122" s="1402"/>
      <c r="Q122" s="676"/>
      <c r="T122" s="1402"/>
      <c r="U122" s="1402"/>
      <c r="V122" s="1402"/>
      <c r="W122" s="1402"/>
      <c r="X122" s="1402"/>
      <c r="Y122" s="1402"/>
      <c r="Z122" s="1402"/>
      <c r="AA122" s="1402"/>
      <c r="AB122" s="1402">
        <f t="shared" ca="1" si="114"/>
        <v>-17.355660941861714</v>
      </c>
      <c r="AC122" s="1402"/>
      <c r="AD122" s="1402"/>
      <c r="AE122" s="1402"/>
      <c r="AH122" s="1402"/>
      <c r="AI122" s="1402"/>
      <c r="AJ122" s="1402"/>
      <c r="AK122" s="1402"/>
      <c r="AL122" s="1402"/>
      <c r="AM122" s="1402"/>
      <c r="AN122" s="1402"/>
      <c r="AO122" s="1402"/>
      <c r="AP122" s="1402">
        <f t="shared" si="115"/>
        <v>0</v>
      </c>
      <c r="AQ122" s="1402"/>
      <c r="AR122" s="1402"/>
      <c r="AS122" s="1402"/>
      <c r="AU122" s="1418">
        <f t="shared" ca="1" si="50"/>
        <v>-17.355660941861728</v>
      </c>
      <c r="AV122" s="1418">
        <f t="shared" ca="1" si="51"/>
        <v>-17.355660941861714</v>
      </c>
      <c r="AW122" s="1418">
        <f t="shared" si="52"/>
        <v>0</v>
      </c>
      <c r="AX122" s="660">
        <f t="shared" ca="1" si="53"/>
        <v>-1.4210854715202004E-14</v>
      </c>
    </row>
    <row r="123" spans="2:50" x14ac:dyDescent="0.35">
      <c r="B123" s="58">
        <f t="shared" si="113"/>
        <v>32</v>
      </c>
      <c r="C123" s="152" t="s">
        <v>1794</v>
      </c>
      <c r="D123" s="268"/>
      <c r="E123" s="1238">
        <f>+E80</f>
        <v>0</v>
      </c>
      <c r="F123" s="1238">
        <f t="shared" ref="F123:L123" si="116">+F80</f>
        <v>0</v>
      </c>
      <c r="G123" s="1238">
        <f t="shared" si="116"/>
        <v>0</v>
      </c>
      <c r="H123" s="1238">
        <f t="shared" si="116"/>
        <v>0</v>
      </c>
      <c r="I123" s="1238">
        <f t="shared" si="116"/>
        <v>0</v>
      </c>
      <c r="J123" s="1238">
        <f t="shared" si="116"/>
        <v>0.21661227011144263</v>
      </c>
      <c r="K123" s="1238">
        <f t="shared" si="116"/>
        <v>0</v>
      </c>
      <c r="L123" s="1238">
        <f t="shared" si="116"/>
        <v>0</v>
      </c>
      <c r="M123" s="1402"/>
      <c r="N123" s="1402"/>
      <c r="O123" s="1402"/>
      <c r="P123" s="1402"/>
      <c r="Q123" s="676"/>
      <c r="T123" s="1238">
        <f t="shared" ref="T123:AA123" si="117">+T80</f>
        <v>0</v>
      </c>
      <c r="U123" s="1238">
        <f t="shared" si="117"/>
        <v>0</v>
      </c>
      <c r="V123" s="1238">
        <f t="shared" si="117"/>
        <v>0</v>
      </c>
      <c r="W123" s="1238">
        <f t="shared" si="117"/>
        <v>0</v>
      </c>
      <c r="X123" s="1238">
        <f t="shared" si="117"/>
        <v>0</v>
      </c>
      <c r="Y123" s="1238">
        <f t="shared" si="117"/>
        <v>0.18573574908095164</v>
      </c>
      <c r="Z123" s="1238">
        <f t="shared" si="117"/>
        <v>0</v>
      </c>
      <c r="AA123" s="1238">
        <f t="shared" si="117"/>
        <v>0</v>
      </c>
      <c r="AB123" s="1402"/>
      <c r="AC123" s="1402"/>
      <c r="AD123" s="1402"/>
      <c r="AE123" s="1402"/>
      <c r="AH123" s="1238">
        <f t="shared" ref="AH123:AO123" si="118">+AH80</f>
        <v>0</v>
      </c>
      <c r="AI123" s="1238">
        <f t="shared" si="118"/>
        <v>0</v>
      </c>
      <c r="AJ123" s="1238">
        <f t="shared" si="118"/>
        <v>0</v>
      </c>
      <c r="AK123" s="1238">
        <f t="shared" si="118"/>
        <v>0</v>
      </c>
      <c r="AL123" s="1238">
        <f t="shared" si="118"/>
        <v>0</v>
      </c>
      <c r="AM123" s="1238">
        <f t="shared" si="118"/>
        <v>3.0876521030490958E-2</v>
      </c>
      <c r="AN123" s="1238">
        <f t="shared" si="118"/>
        <v>0</v>
      </c>
      <c r="AO123" s="1238">
        <f t="shared" si="118"/>
        <v>0</v>
      </c>
      <c r="AP123" s="1402"/>
      <c r="AQ123" s="1402"/>
      <c r="AR123" s="1402"/>
      <c r="AS123" s="1402"/>
      <c r="AU123" s="1418">
        <f t="shared" si="50"/>
        <v>0.21661227011144263</v>
      </c>
      <c r="AV123" s="1418">
        <f t="shared" si="51"/>
        <v>0.18573574908095164</v>
      </c>
      <c r="AW123" s="1418">
        <f t="shared" si="52"/>
        <v>3.0876521030490958E-2</v>
      </c>
      <c r="AX123" s="660">
        <f t="shared" si="53"/>
        <v>3.1225022567582528E-17</v>
      </c>
    </row>
    <row r="124" spans="2:50" x14ac:dyDescent="0.35">
      <c r="B124" s="58">
        <f t="shared" si="113"/>
        <v>33</v>
      </c>
      <c r="C124" s="152"/>
      <c r="D124" s="268"/>
      <c r="E124" s="1402"/>
      <c r="F124" s="1402"/>
      <c r="G124" s="1402"/>
      <c r="H124" s="1402"/>
      <c r="I124" s="1402"/>
      <c r="J124" s="1402"/>
      <c r="K124" s="1402"/>
      <c r="L124" s="1402"/>
      <c r="M124" s="1402"/>
      <c r="N124" s="1402"/>
      <c r="O124" s="1402"/>
      <c r="P124" s="1402"/>
      <c r="Q124" s="676"/>
      <c r="T124" s="1402"/>
      <c r="U124" s="1402"/>
      <c r="V124" s="1402"/>
      <c r="W124" s="1402"/>
      <c r="X124" s="1402"/>
      <c r="Y124" s="1402"/>
      <c r="Z124" s="1402"/>
      <c r="AA124" s="1402"/>
      <c r="AB124" s="1402"/>
      <c r="AC124" s="1402"/>
      <c r="AD124" s="1402"/>
      <c r="AE124" s="1402"/>
      <c r="AH124" s="1402"/>
      <c r="AI124" s="1402"/>
      <c r="AJ124" s="1402"/>
      <c r="AK124" s="1402"/>
      <c r="AL124" s="1402"/>
      <c r="AM124" s="1402"/>
      <c r="AN124" s="1402"/>
      <c r="AO124" s="1402"/>
      <c r="AP124" s="1402"/>
      <c r="AQ124" s="1402"/>
      <c r="AR124" s="1402"/>
      <c r="AS124" s="1402"/>
      <c r="AU124" s="1418">
        <f t="shared" si="50"/>
        <v>0</v>
      </c>
      <c r="AV124" s="1418">
        <f t="shared" si="51"/>
        <v>0</v>
      </c>
      <c r="AW124" s="1418">
        <f t="shared" si="52"/>
        <v>0</v>
      </c>
      <c r="AX124" s="660">
        <f t="shared" si="53"/>
        <v>0</v>
      </c>
    </row>
    <row r="125" spans="2:50" ht="27" x14ac:dyDescent="0.35">
      <c r="B125" s="58">
        <f t="shared" si="113"/>
        <v>34</v>
      </c>
      <c r="C125" s="105" t="s">
        <v>1622</v>
      </c>
      <c r="D125" s="268"/>
      <c r="E125" s="1245">
        <f t="shared" ref="E125:P125" si="119">SUM(E113:E124)</f>
        <v>8.5580359688163306</v>
      </c>
      <c r="F125" s="1245">
        <f t="shared" si="119"/>
        <v>18.030964466735568</v>
      </c>
      <c r="G125" s="1245">
        <f t="shared" si="119"/>
        <v>18.02770444747458</v>
      </c>
      <c r="H125" s="1245">
        <f t="shared" si="119"/>
        <v>25.467105072545422</v>
      </c>
      <c r="I125" s="1245">
        <f t="shared" si="119"/>
        <v>28.834098663076869</v>
      </c>
      <c r="J125" s="1245">
        <f t="shared" si="119"/>
        <v>38.141277868251855</v>
      </c>
      <c r="K125" s="1245">
        <f t="shared" si="119"/>
        <v>69.214042164699265</v>
      </c>
      <c r="L125" s="1245">
        <f t="shared" ca="1" si="119"/>
        <v>112.61807110505315</v>
      </c>
      <c r="M125" s="1245">
        <f t="shared" ca="1" si="119"/>
        <v>184.04673511828446</v>
      </c>
      <c r="N125" s="1245">
        <f t="shared" ca="1" si="119"/>
        <v>170.06246269045559</v>
      </c>
      <c r="O125" s="1245">
        <f t="shared" ca="1" si="119"/>
        <v>203.38903854487495</v>
      </c>
      <c r="P125" s="1245">
        <f t="shared" ca="1" si="119"/>
        <v>221.03021269913268</v>
      </c>
      <c r="Q125" s="676"/>
      <c r="T125" s="1245">
        <f>SUM(T113:T124)</f>
        <v>8.5580359688163306</v>
      </c>
      <c r="U125" s="1245">
        <f t="shared" ref="U125:AE125" si="120">SUM(U113:U124)</f>
        <v>7.6906127300010532</v>
      </c>
      <c r="V125" s="1245">
        <f t="shared" si="120"/>
        <v>8.9149400483778489</v>
      </c>
      <c r="W125" s="1245">
        <f t="shared" si="120"/>
        <v>14.374097876282175</v>
      </c>
      <c r="X125" s="1245">
        <f t="shared" si="120"/>
        <v>17.122939817416714</v>
      </c>
      <c r="Y125" s="1245">
        <f t="shared" si="120"/>
        <v>26.214345549385545</v>
      </c>
      <c r="Z125" s="1245">
        <f t="shared" si="120"/>
        <v>54.934026613453703</v>
      </c>
      <c r="AA125" s="1245">
        <f t="shared" ca="1" si="120"/>
        <v>97.329001008270467</v>
      </c>
      <c r="AB125" s="1245">
        <f t="shared" ca="1" si="120"/>
        <v>167.47815664161337</v>
      </c>
      <c r="AC125" s="1245">
        <f t="shared" ca="1" si="120"/>
        <v>153.51022135180321</v>
      </c>
      <c r="AD125" s="1245">
        <f t="shared" ca="1" si="120"/>
        <v>184.13501278117769</v>
      </c>
      <c r="AE125" s="1245">
        <f t="shared" ca="1" si="120"/>
        <v>201.41115342752309</v>
      </c>
      <c r="AH125" s="1245"/>
      <c r="AI125" s="1245">
        <f t="shared" ref="AI125:AS125" si="121">SUM(AI113:AI124)</f>
        <v>10.340351736734517</v>
      </c>
      <c r="AJ125" s="1245">
        <f t="shared" si="121"/>
        <v>9.1127643990967364</v>
      </c>
      <c r="AK125" s="1245">
        <f t="shared" si="121"/>
        <v>11.093007196263249</v>
      </c>
      <c r="AL125" s="1245">
        <f t="shared" si="121"/>
        <v>11.71115884566016</v>
      </c>
      <c r="AM125" s="1245">
        <f t="shared" si="121"/>
        <v>11.926932318866307</v>
      </c>
      <c r="AN125" s="1245">
        <f t="shared" si="121"/>
        <v>14.280015551245556</v>
      </c>
      <c r="AO125" s="1245">
        <f t="shared" ca="1" si="121"/>
        <v>15.28907009678271</v>
      </c>
      <c r="AP125" s="1245">
        <f t="shared" ca="1" si="121"/>
        <v>16.568578476671195</v>
      </c>
      <c r="AQ125" s="1245">
        <f t="shared" ca="1" si="121"/>
        <v>16.552241338652312</v>
      </c>
      <c r="AR125" s="1245">
        <f t="shared" ca="1" si="121"/>
        <v>19.254025763697122</v>
      </c>
      <c r="AS125" s="1245">
        <f t="shared" ca="1" si="121"/>
        <v>19.619059271609668</v>
      </c>
      <c r="AU125" s="1418">
        <f t="shared" ca="1" si="50"/>
        <v>1097.4197488094005</v>
      </c>
      <c r="AV125" s="1418">
        <f t="shared" ca="1" si="51"/>
        <v>941.67254381412124</v>
      </c>
      <c r="AW125" s="1418">
        <f t="shared" ca="1" si="52"/>
        <v>155.74720499527953</v>
      </c>
      <c r="AX125" s="660">
        <f t="shared" ca="1" si="53"/>
        <v>-2.5579538487363607E-13</v>
      </c>
    </row>
    <row r="126" spans="2:50" ht="24" customHeight="1" x14ac:dyDescent="0.35">
      <c r="B126" s="58">
        <f t="shared" si="113"/>
        <v>35</v>
      </c>
      <c r="C126" s="105" t="s">
        <v>1458</v>
      </c>
      <c r="D126" s="268" t="s">
        <v>67</v>
      </c>
      <c r="E126" s="1237">
        <f>+E39+E83</f>
        <v>1.5260637850000001</v>
      </c>
      <c r="F126" s="1237">
        <f t="shared" ref="F126:P126" si="122">+F39+F83</f>
        <v>4.2905450108600007</v>
      </c>
      <c r="G126" s="1237">
        <f t="shared" si="122"/>
        <v>11.399013146456999</v>
      </c>
      <c r="H126" s="1237">
        <f t="shared" si="122"/>
        <v>14.592554524120001</v>
      </c>
      <c r="I126" s="1237">
        <f t="shared" si="122"/>
        <v>21.784573244680196</v>
      </c>
      <c r="J126" s="1237">
        <f t="shared" si="122"/>
        <v>40.870476533349994</v>
      </c>
      <c r="K126" s="1237">
        <f t="shared" si="122"/>
        <v>73.97208683905798</v>
      </c>
      <c r="L126" s="1237">
        <f t="shared" si="122"/>
        <v>129.97373204691488</v>
      </c>
      <c r="M126" s="1237">
        <f t="shared" si="122"/>
        <v>163.95058679467684</v>
      </c>
      <c r="N126" s="1237">
        <f t="shared" si="122"/>
        <v>199.8337401264215</v>
      </c>
      <c r="O126" s="1237">
        <f t="shared" si="122"/>
        <v>240.43174617219788</v>
      </c>
      <c r="P126" s="1237">
        <f t="shared" si="122"/>
        <v>257.62476813638665</v>
      </c>
      <c r="Q126" s="19"/>
      <c r="T126" s="1237">
        <f>+T39+T83</f>
        <v>1.5260637850000001</v>
      </c>
      <c r="U126" s="1237">
        <f t="shared" ref="U126:AE126" si="123">+U39+U83</f>
        <v>0.86682755559999991</v>
      </c>
      <c r="V126" s="1237">
        <f t="shared" si="123"/>
        <v>7.875989123060001</v>
      </c>
      <c r="W126" s="1237">
        <f t="shared" si="123"/>
        <v>9.9205871464999991</v>
      </c>
      <c r="X126" s="1237">
        <f t="shared" si="123"/>
        <v>16.363716725999996</v>
      </c>
      <c r="Y126" s="1237">
        <f t="shared" si="123"/>
        <v>32.312656260999994</v>
      </c>
      <c r="Z126" s="1237">
        <f t="shared" si="123"/>
        <v>64.247095527999988</v>
      </c>
      <c r="AA126" s="1237">
        <f t="shared" si="123"/>
        <v>116.88772349251271</v>
      </c>
      <c r="AB126" s="1237">
        <f t="shared" si="123"/>
        <v>148.41149866675522</v>
      </c>
      <c r="AC126" s="1237">
        <f t="shared" si="123"/>
        <v>184.17390799849991</v>
      </c>
      <c r="AD126" s="1237">
        <f t="shared" si="123"/>
        <v>220.07220184408661</v>
      </c>
      <c r="AE126" s="1237">
        <f t="shared" si="123"/>
        <v>237.09212380827535</v>
      </c>
      <c r="AH126" s="1237"/>
      <c r="AI126" s="1237">
        <f t="shared" ref="AI126:AS126" si="124">+AI39+AI83</f>
        <v>3.4237174552600003</v>
      </c>
      <c r="AJ126" s="1237">
        <f t="shared" si="124"/>
        <v>3.5230240233970003</v>
      </c>
      <c r="AK126" s="1237">
        <f t="shared" si="124"/>
        <v>4.6719673776199997</v>
      </c>
      <c r="AL126" s="1237">
        <f t="shared" si="124"/>
        <v>5.420856518680198</v>
      </c>
      <c r="AM126" s="1237">
        <f t="shared" si="124"/>
        <v>8.5578202723499999</v>
      </c>
      <c r="AN126" s="1237">
        <f t="shared" si="124"/>
        <v>9.7249913110579964</v>
      </c>
      <c r="AO126" s="1237">
        <f t="shared" si="124"/>
        <v>13.086008554402159</v>
      </c>
      <c r="AP126" s="1237">
        <f t="shared" si="124"/>
        <v>15.539088127921584</v>
      </c>
      <c r="AQ126" s="1237">
        <f t="shared" si="124"/>
        <v>15.659832127921582</v>
      </c>
      <c r="AR126" s="1237">
        <f t="shared" si="124"/>
        <v>20.359544328111255</v>
      </c>
      <c r="AS126" s="1237">
        <f t="shared" si="124"/>
        <v>20.532644328111257</v>
      </c>
      <c r="AU126" s="1418">
        <f t="shared" si="50"/>
        <v>1160.2498863601229</v>
      </c>
      <c r="AV126" s="1418">
        <f t="shared" si="51"/>
        <v>1039.7503919352898</v>
      </c>
      <c r="AW126" s="1418">
        <f t="shared" si="52"/>
        <v>120.49949442483305</v>
      </c>
      <c r="AX126" s="660">
        <f t="shared" si="53"/>
        <v>0</v>
      </c>
    </row>
    <row r="127" spans="2:50" ht="24" customHeight="1" x14ac:dyDescent="0.35">
      <c r="B127" s="58">
        <f t="shared" si="113"/>
        <v>36</v>
      </c>
      <c r="C127" s="105" t="s">
        <v>1459</v>
      </c>
      <c r="D127" s="268"/>
      <c r="E127" s="1237">
        <f t="shared" ref="E127:P127" si="125">+E125-E126</f>
        <v>7.0319721838163307</v>
      </c>
      <c r="F127" s="1237">
        <f t="shared" si="125"/>
        <v>13.740419455875568</v>
      </c>
      <c r="G127" s="1237">
        <f t="shared" si="125"/>
        <v>6.6286913010175805</v>
      </c>
      <c r="H127" s="1237">
        <f t="shared" si="125"/>
        <v>10.874550548425422</v>
      </c>
      <c r="I127" s="1237">
        <f t="shared" si="125"/>
        <v>7.0495254183966729</v>
      </c>
      <c r="J127" s="1237">
        <f t="shared" si="125"/>
        <v>-2.7291986650981386</v>
      </c>
      <c r="K127" s="1237">
        <f t="shared" si="125"/>
        <v>-4.7580446743587146</v>
      </c>
      <c r="L127" s="1237">
        <f t="shared" ca="1" si="125"/>
        <v>-17.355660941861728</v>
      </c>
      <c r="M127" s="1237">
        <f t="shared" ca="1" si="125"/>
        <v>20.096148323607622</v>
      </c>
      <c r="N127" s="1237">
        <f t="shared" ca="1" si="125"/>
        <v>-29.771277435965914</v>
      </c>
      <c r="O127" s="1237">
        <f t="shared" ca="1" si="125"/>
        <v>-37.042707627322926</v>
      </c>
      <c r="P127" s="1237">
        <f t="shared" ca="1" si="125"/>
        <v>-36.594555437253973</v>
      </c>
      <c r="Q127" s="19"/>
      <c r="T127" s="1237">
        <f>+T125-T126</f>
        <v>7.0319721838163307</v>
      </c>
      <c r="U127" s="1237">
        <f t="shared" ref="U127:AE127" si="126">+U125-U126</f>
        <v>6.8237851744010536</v>
      </c>
      <c r="V127" s="1237">
        <f t="shared" si="126"/>
        <v>1.0389509253178479</v>
      </c>
      <c r="W127" s="1237">
        <f t="shared" si="126"/>
        <v>4.4535107297821757</v>
      </c>
      <c r="X127" s="1237">
        <f t="shared" si="126"/>
        <v>0.75922309141671818</v>
      </c>
      <c r="Y127" s="1237">
        <f t="shared" si="126"/>
        <v>-6.0983107116144488</v>
      </c>
      <c r="Z127" s="1237">
        <f t="shared" si="126"/>
        <v>-9.3130689145462853</v>
      </c>
      <c r="AA127" s="1237">
        <f t="shared" ca="1" si="126"/>
        <v>-19.558722484242239</v>
      </c>
      <c r="AB127" s="1237">
        <f t="shared" ca="1" si="126"/>
        <v>19.066657974858146</v>
      </c>
      <c r="AC127" s="1237">
        <f t="shared" ca="1" si="126"/>
        <v>-30.663686646696704</v>
      </c>
      <c r="AD127" s="1237">
        <f t="shared" ca="1" si="126"/>
        <v>-35.937189062908914</v>
      </c>
      <c r="AE127" s="1237">
        <f t="shared" ca="1" si="126"/>
        <v>-35.680970380752257</v>
      </c>
      <c r="AH127" s="1237"/>
      <c r="AI127" s="1237">
        <f t="shared" ref="AI127:AS127" si="127">+AI125-AI126</f>
        <v>6.9166342814745168</v>
      </c>
      <c r="AJ127" s="1237">
        <f t="shared" si="127"/>
        <v>5.5897403756997361</v>
      </c>
      <c r="AK127" s="1237">
        <f t="shared" si="127"/>
        <v>6.4210398186432496</v>
      </c>
      <c r="AL127" s="1237">
        <f t="shared" si="127"/>
        <v>6.2903023269799618</v>
      </c>
      <c r="AM127" s="1237">
        <f t="shared" si="127"/>
        <v>3.3691120465163067</v>
      </c>
      <c r="AN127" s="1237">
        <f t="shared" si="127"/>
        <v>4.55502424018756</v>
      </c>
      <c r="AO127" s="1237">
        <f t="shared" ca="1" si="127"/>
        <v>2.2030615423805511</v>
      </c>
      <c r="AP127" s="1237">
        <f t="shared" ca="1" si="127"/>
        <v>1.0294903487496114</v>
      </c>
      <c r="AQ127" s="1237">
        <f t="shared" ca="1" si="127"/>
        <v>0.89240921073072954</v>
      </c>
      <c r="AR127" s="1237">
        <f t="shared" ca="1" si="127"/>
        <v>-1.1055185644141332</v>
      </c>
      <c r="AS127" s="1237">
        <f t="shared" ca="1" si="127"/>
        <v>-0.91358505650158861</v>
      </c>
      <c r="AU127" s="1418">
        <f t="shared" ca="1" si="50"/>
        <v>-62.830137550722199</v>
      </c>
      <c r="AV127" s="1418">
        <f t="shared" ca="1" si="51"/>
        <v>-98.077848121168572</v>
      </c>
      <c r="AW127" s="1418">
        <f t="shared" ca="1" si="52"/>
        <v>35.247710570446493</v>
      </c>
      <c r="AX127" s="660">
        <f t="shared" ca="1" si="53"/>
        <v>-1.2079226507921703E-13</v>
      </c>
    </row>
    <row r="128" spans="2:50" x14ac:dyDescent="0.35">
      <c r="B128" s="57"/>
      <c r="C128" s="1403" t="s">
        <v>1625</v>
      </c>
      <c r="D128" s="1404" t="s">
        <v>1626</v>
      </c>
      <c r="E128" s="1405">
        <f>+E125/'F1'!C34*10</f>
        <v>72.412274470442668</v>
      </c>
      <c r="F128" s="1405">
        <f>+F125/'F1'!D34*10</f>
        <v>58.66139770848293</v>
      </c>
      <c r="G128" s="1405">
        <f>+G125/'F1'!E34*10</f>
        <v>22.793958467653312</v>
      </c>
      <c r="H128" s="1405">
        <f>+H125/'F1'!F34*10</f>
        <v>15.076349716053997</v>
      </c>
      <c r="I128" s="1405">
        <f>+I125/'F1'!G34*10</f>
        <v>11.246098047575707</v>
      </c>
      <c r="J128" s="1405">
        <f>+J125/'F1'!H34*10</f>
        <v>9.6906953842313968</v>
      </c>
      <c r="K128" s="1405">
        <f>+K125/'F1'!I34*10</f>
        <v>8.6127968276583466</v>
      </c>
      <c r="L128" s="1405">
        <f ca="1">+L125/'F1'!J34*10</f>
        <v>8.0193603795477699</v>
      </c>
      <c r="M128" s="1405">
        <f ca="1">+M125/'F1'!K34*10</f>
        <v>10.543006615923293</v>
      </c>
      <c r="N128" s="1405">
        <f ca="1">+N125/'F1'!L34*10</f>
        <v>7.904683314365526</v>
      </c>
      <c r="O128" s="1405">
        <f ca="1">+O125/'F1'!M34*10</f>
        <v>7.8312456328249098</v>
      </c>
      <c r="P128" s="1405">
        <f ca="1">+P125/'F1'!N34*10</f>
        <v>7.8731622948608795</v>
      </c>
      <c r="Q128" s="1406">
        <v>0</v>
      </c>
      <c r="T128" s="1405">
        <f>+T125/'F1'!C34*10</f>
        <v>72.412274470442668</v>
      </c>
      <c r="U128" s="1405">
        <f>+U125/'F1 SEZ'!D34*10</f>
        <v>115.68173766301123</v>
      </c>
      <c r="V128" s="1405">
        <f>+V125/'F1 SEZ'!E34*10</f>
        <v>16.244689129892315</v>
      </c>
      <c r="W128" s="1405">
        <f>+W125/'F1 SEZ'!F34*10</f>
        <v>10.803404460627215</v>
      </c>
      <c r="X128" s="1405">
        <f>+X125/'F1 SEZ'!G34*10</f>
        <v>8.0145497111228945</v>
      </c>
      <c r="Y128" s="1405">
        <f>+Y125/'F1 SEZ'!H34*10</f>
        <v>7.7675896591924811</v>
      </c>
      <c r="Z128" s="1405">
        <f>+Z125/'F1 SEZ'!I34*10</f>
        <v>7.5090692828241679</v>
      </c>
      <c r="AA128" s="1405">
        <f ca="1">+AA125/'F1 SEZ'!J34*10</f>
        <v>7.446502622065907</v>
      </c>
      <c r="AB128" s="1405">
        <f ca="1">+AB125/'F1 SEZ'!K34*10</f>
        <v>10.279119346512726</v>
      </c>
      <c r="AC128" s="1405">
        <f ca="1">+AC125/'F1 SEZ'!L34*10</f>
        <v>7.5433421890156529</v>
      </c>
      <c r="AD128" s="1405">
        <f ca="1">+AD125/'F1 SEZ'!M34*10</f>
        <v>7.5384778310012237</v>
      </c>
      <c r="AE128" s="1405">
        <f ca="1">+AE125/'F1 SEZ'!N34*10</f>
        <v>7.5922784281164581</v>
      </c>
      <c r="AH128" s="1405"/>
      <c r="AI128" s="1405">
        <f>+AI125/'F1 Non-SEZ'!D34*10</f>
        <v>42.925116396935977</v>
      </c>
      <c r="AJ128" s="1405">
        <f>+AJ125/'F1 Non-SEZ'!E34*10</f>
        <v>37.639360714673117</v>
      </c>
      <c r="AK128" s="1405">
        <f>+AK125/'F1 Non-SEZ'!F34*10</f>
        <v>30.926154480815157</v>
      </c>
      <c r="AL128" s="1405">
        <f>+AL125/'F1 Non-SEZ'!G34*10</f>
        <v>27.39846932009765</v>
      </c>
      <c r="AM128" s="1405">
        <f>+AM125/'F1 Non-SEZ'!H34*10</f>
        <v>21.259015599104064</v>
      </c>
      <c r="AN128" s="1405">
        <f>+AN125/'F1 Non-SEZ'!I34*10</f>
        <v>19.819698793702752</v>
      </c>
      <c r="AO128" s="1405">
        <f ca="1">+AO125/'F1 Non-SEZ'!J34*10</f>
        <v>15.715878922739673</v>
      </c>
      <c r="AP128" s="1405">
        <f ca="1">+AP125/'F1 Non-SEZ'!K34*10</f>
        <v>14.237664254646667</v>
      </c>
      <c r="AQ128" s="1405">
        <f ca="1">+AQ125/'F1 Non-SEZ'!L34*10</f>
        <v>14.223625471155243</v>
      </c>
      <c r="AR128" s="1405">
        <f ca="1">+AR125/'F1 Non-SEZ'!M34*10</f>
        <v>12.458446779798159</v>
      </c>
      <c r="AS128" s="1405">
        <f ca="1">+AS125/'F1 Non-SEZ'!N34*10</f>
        <v>12.694644164541774</v>
      </c>
    </row>
    <row r="129" spans="3:51" x14ac:dyDescent="0.35">
      <c r="C129" s="1403" t="s">
        <v>1627</v>
      </c>
      <c r="D129" s="1404"/>
      <c r="E129" s="1405"/>
      <c r="F129" s="1405"/>
      <c r="G129" s="1405"/>
      <c r="H129" s="1405"/>
      <c r="I129" s="1405"/>
      <c r="J129" s="1405"/>
      <c r="K129" s="1405"/>
      <c r="L129" s="1405"/>
      <c r="M129" s="1408">
        <f ca="1">+M128/L128-1</f>
        <v>0.31469420464152242</v>
      </c>
      <c r="N129" s="1408">
        <f ca="1">+N128/M128-1</f>
        <v>-0.25024391975369342</v>
      </c>
      <c r="O129" s="1408">
        <f ca="1">+O128/N128-1</f>
        <v>-9.2904014772046128E-3</v>
      </c>
      <c r="P129" s="1408">
        <f ca="1">+P128/O128-1</f>
        <v>5.3524897572201358E-3</v>
      </c>
      <c r="Q129" s="1407"/>
      <c r="T129" s="1405"/>
      <c r="U129" s="1405"/>
      <c r="V129" s="1405"/>
      <c r="W129" s="1405"/>
      <c r="X129" s="1405"/>
      <c r="Y129" s="1405"/>
      <c r="Z129" s="1405"/>
      <c r="AA129" s="1405"/>
      <c r="AB129" s="1408">
        <f ca="1">+AB128/AA128-1</f>
        <v>0.38039558544611873</v>
      </c>
      <c r="AC129" s="1408">
        <f ca="1">+AC128/AB128-1</f>
        <v>-0.26614898273607523</v>
      </c>
      <c r="AD129" s="1408">
        <f ca="1">+AD128/AC128-1</f>
        <v>-6.4485448128182021E-4</v>
      </c>
      <c r="AE129" s="1408">
        <f ca="1">+AE128/AD128-1</f>
        <v>7.1367984785979388E-3</v>
      </c>
      <c r="AH129" s="1405"/>
      <c r="AI129" s="1405"/>
      <c r="AJ129" s="1405"/>
      <c r="AK129" s="1405"/>
      <c r="AL129" s="1405"/>
      <c r="AM129" s="1405"/>
      <c r="AN129" s="1405"/>
      <c r="AO129" s="1405"/>
      <c r="AP129" s="1408">
        <f ca="1">+AP128/AO128-1</f>
        <v>-9.4058669919767746E-2</v>
      </c>
      <c r="AQ129" s="1408">
        <f ca="1">+AQ128/AP128-1</f>
        <v>-9.8603136303354599E-4</v>
      </c>
      <c r="AR129" s="1408">
        <f ca="1">+AR128/AQ128-1</f>
        <v>-0.12410188210711626</v>
      </c>
      <c r="AS129" s="1408">
        <f ca="1">+AS128/AR128-1</f>
        <v>1.8958814763861076E-2</v>
      </c>
    </row>
    <row r="130" spans="3:51" x14ac:dyDescent="0.35">
      <c r="C130" s="1403" t="s">
        <v>1628</v>
      </c>
      <c r="D130" s="1404" t="s">
        <v>1626</v>
      </c>
      <c r="E130" s="1405">
        <f>+E38/'F1'!C34*10</f>
        <v>52.645005585901274</v>
      </c>
      <c r="F130" s="1405">
        <f>+F38/'F1'!D34*10</f>
        <v>42.234762155530639</v>
      </c>
      <c r="G130" s="1405">
        <f>+G38/'F1'!E34*10</f>
        <v>16.058968475333778</v>
      </c>
      <c r="H130" s="1405">
        <f>+H38/'F1'!F34*10</f>
        <v>8.2223883123575323</v>
      </c>
      <c r="I130" s="1405">
        <f>+I38/'F1'!G34*10</f>
        <v>5.5012715371574963</v>
      </c>
      <c r="J130" s="1405">
        <f>+J38/'F1'!H34*10</f>
        <v>3.2756196516350924</v>
      </c>
      <c r="K130" s="1405">
        <f>+K38/'F1'!I34*10</f>
        <v>1.7913301450053547</v>
      </c>
      <c r="L130" s="1405">
        <f>+L38/'F1'!J34*10</f>
        <v>1.0641068594298939</v>
      </c>
      <c r="M130" s="1405">
        <f ca="1">+M38/'F1'!K34*10</f>
        <v>7.5291723444702594</v>
      </c>
      <c r="N130" s="1405">
        <f ca="1">+N38/'F1'!L34*10</f>
        <v>0.72326610417562298</v>
      </c>
      <c r="O130" s="1405">
        <f ca="1">+O38/'F1'!M34*10</f>
        <v>0.60891424177680686</v>
      </c>
      <c r="P130" s="1405">
        <f ca="1">+P38/'F1'!N34*10</f>
        <v>0.57218786877311223</v>
      </c>
      <c r="Q130" s="1406"/>
      <c r="T130" s="1405">
        <f>+T38/'F1'!C34*10</f>
        <v>52.645005585901274</v>
      </c>
      <c r="U130" s="1405">
        <f>+U38/'F1 SEZ'!D34*10</f>
        <v>101.28474217438537</v>
      </c>
      <c r="V130" s="1405">
        <f>+V38/'F1 SEZ'!E34*10</f>
        <v>11.325898847802318</v>
      </c>
      <c r="W130" s="1405">
        <f>+W38/'F1 SEZ'!F34*10</f>
        <v>5.0209759587792782</v>
      </c>
      <c r="X130" s="1405">
        <f>+X38/'F1 SEZ'!G34*10</f>
        <v>3.1028547738117931</v>
      </c>
      <c r="Y130" s="1405">
        <f>+Y38/'F1 SEZ'!H34*10</f>
        <v>1.8406503377300019</v>
      </c>
      <c r="Z130" s="1405">
        <f>+Z38/'F1 SEZ'!I34*10</f>
        <v>0.96892024445014535</v>
      </c>
      <c r="AA130" s="1405">
        <f>+AA38/'F1 SEZ'!J34*10</f>
        <v>0.62341652539920178</v>
      </c>
      <c r="AB130" s="1405">
        <f ca="1">+AB38/'F1 SEZ'!K34*10</f>
        <v>7.6598138984693449</v>
      </c>
      <c r="AC130" s="1405">
        <f ca="1">+AC38/'F1 SEZ'!L34*10</f>
        <v>0.44705167590334488</v>
      </c>
      <c r="AD130" s="1405">
        <f ca="1">+AD38/'F1 SEZ'!M34*10</f>
        <v>0.38736417956372976</v>
      </c>
      <c r="AE130" s="1405">
        <f ca="1">+AE38/'F1 SEZ'!N34*10</f>
        <v>0.36310908706221412</v>
      </c>
      <c r="AH130" s="1405"/>
      <c r="AI130" s="1405">
        <f>+AI38/'F1 Non-SEZ'!D34*10</f>
        <v>25.938347617158001</v>
      </c>
      <c r="AJ130" s="1405">
        <f>+AJ38/'F1 Non-SEZ'!E34*10</f>
        <v>26.787542742196649</v>
      </c>
      <c r="AK130" s="1405">
        <f>+AK38/'F1 Non-SEZ'!F34*10</f>
        <v>20.097513721761299</v>
      </c>
      <c r="AL130" s="1405">
        <f>+AL38/'F1 Non-SEZ'!G34*10</f>
        <v>17.489369499611044</v>
      </c>
      <c r="AM130" s="1405">
        <f>+AM38/'F1 Non-SEZ'!H34*10</f>
        <v>11.907586321816106</v>
      </c>
      <c r="AN130" s="1405">
        <f>+AN38/'F1 Non-SEZ'!I34*10</f>
        <v>10.141821327873537</v>
      </c>
      <c r="AO130" s="1405">
        <f>+AO38/'F1 Non-SEZ'!J34*10</f>
        <v>6.9849157921430418</v>
      </c>
      <c r="AP130" s="1405">
        <f ca="1">+AP38/'F1 Non-SEZ'!K34*10</f>
        <v>5.7000738188175308</v>
      </c>
      <c r="AQ130" s="1405">
        <f ca="1">+AQ38/'F1 Non-SEZ'!L34*10</f>
        <v>5.5535576837274681</v>
      </c>
      <c r="AR130" s="1405">
        <f ca="1">+AR38/'F1 Non-SEZ'!M34*10</f>
        <v>4.1105175451405458</v>
      </c>
      <c r="AS130" s="1405">
        <f ca="1">+AS38/'F1 Non-SEZ'!N34*10</f>
        <v>4.1611072575513655</v>
      </c>
    </row>
    <row r="131" spans="3:51" x14ac:dyDescent="0.35">
      <c r="C131" s="1411"/>
      <c r="D131" s="1412"/>
      <c r="E131" s="1413">
        <f>+E38+E82-E125</f>
        <v>0</v>
      </c>
      <c r="F131" s="1413">
        <f t="shared" ref="F131:P131" si="128">+F38+F82-F125</f>
        <v>0</v>
      </c>
      <c r="G131" s="1413">
        <f t="shared" si="128"/>
        <v>0</v>
      </c>
      <c r="H131" s="1413">
        <f t="shared" si="128"/>
        <v>0</v>
      </c>
      <c r="I131" s="1413">
        <f t="shared" si="128"/>
        <v>0</v>
      </c>
      <c r="J131" s="1413">
        <f t="shared" si="128"/>
        <v>0</v>
      </c>
      <c r="K131" s="1413">
        <f t="shared" si="128"/>
        <v>0</v>
      </c>
      <c r="L131" s="1413">
        <f t="shared" ca="1" si="128"/>
        <v>0</v>
      </c>
      <c r="M131" s="1413">
        <f t="shared" ca="1" si="128"/>
        <v>0</v>
      </c>
      <c r="N131" s="1413">
        <f t="shared" ca="1" si="128"/>
        <v>0</v>
      </c>
      <c r="O131" s="1413">
        <f t="shared" ca="1" si="128"/>
        <v>0</v>
      </c>
      <c r="P131" s="1413">
        <f t="shared" ca="1" si="128"/>
        <v>0</v>
      </c>
      <c r="Q131" s="1414"/>
      <c r="T131" s="1413">
        <f>+T38+T82-T125</f>
        <v>0</v>
      </c>
      <c r="U131" s="1413">
        <f t="shared" ref="U131:AE131" si="129">+U38+U82-U125</f>
        <v>0</v>
      </c>
      <c r="V131" s="1413">
        <f t="shared" si="129"/>
        <v>0</v>
      </c>
      <c r="W131" s="1413">
        <f t="shared" si="129"/>
        <v>0</v>
      </c>
      <c r="X131" s="1413">
        <f t="shared" si="129"/>
        <v>0</v>
      </c>
      <c r="Y131" s="1413">
        <f t="shared" si="129"/>
        <v>0</v>
      </c>
      <c r="Z131" s="1413">
        <f t="shared" si="129"/>
        <v>0</v>
      </c>
      <c r="AA131" s="1413">
        <f t="shared" ca="1" si="129"/>
        <v>0</v>
      </c>
      <c r="AB131" s="1413">
        <f t="shared" ca="1" si="129"/>
        <v>0</v>
      </c>
      <c r="AC131" s="1413">
        <f t="shared" ca="1" si="129"/>
        <v>0</v>
      </c>
      <c r="AD131" s="1413">
        <f t="shared" ca="1" si="129"/>
        <v>0</v>
      </c>
      <c r="AE131" s="1413">
        <f t="shared" ca="1" si="129"/>
        <v>0</v>
      </c>
      <c r="AH131" s="1413"/>
      <c r="AI131" s="1413">
        <f t="shared" ref="AI131:AS131" si="130">+AI38+AI82-AI125</f>
        <v>0</v>
      </c>
      <c r="AJ131" s="1413">
        <f t="shared" si="130"/>
        <v>0</v>
      </c>
      <c r="AK131" s="1413">
        <f t="shared" si="130"/>
        <v>0</v>
      </c>
      <c r="AL131" s="1413">
        <f t="shared" si="130"/>
        <v>0</v>
      </c>
      <c r="AM131" s="1413">
        <f t="shared" si="130"/>
        <v>0</v>
      </c>
      <c r="AN131" s="1413">
        <f t="shared" si="130"/>
        <v>0</v>
      </c>
      <c r="AO131" s="1413">
        <f t="shared" ca="1" si="130"/>
        <v>0</v>
      </c>
      <c r="AP131" s="1413">
        <f t="shared" ca="1" si="130"/>
        <v>0</v>
      </c>
      <c r="AQ131" s="1413">
        <f t="shared" ca="1" si="130"/>
        <v>0</v>
      </c>
      <c r="AR131" s="1413">
        <f t="shared" ca="1" si="130"/>
        <v>0</v>
      </c>
      <c r="AS131" s="1413">
        <f t="shared" ca="1" si="130"/>
        <v>0</v>
      </c>
    </row>
    <row r="132" spans="3:51" x14ac:dyDescent="0.35">
      <c r="E132" s="1415">
        <f>+E40+E84-E127</f>
        <v>0</v>
      </c>
      <c r="F132" s="1415">
        <f t="shared" ref="F132:P132" si="131">+F40+F84-F127</f>
        <v>0</v>
      </c>
      <c r="G132" s="1415">
        <f t="shared" si="131"/>
        <v>0</v>
      </c>
      <c r="H132" s="1415">
        <f t="shared" si="131"/>
        <v>0</v>
      </c>
      <c r="I132" s="1415">
        <f t="shared" si="131"/>
        <v>7.1054273576010019E-15</v>
      </c>
      <c r="J132" s="1415">
        <f t="shared" si="131"/>
        <v>-5.3290705182007514E-15</v>
      </c>
      <c r="K132" s="1415">
        <f t="shared" si="131"/>
        <v>0</v>
      </c>
      <c r="L132" s="1415">
        <f t="shared" ca="1" si="131"/>
        <v>0</v>
      </c>
      <c r="M132" s="1415">
        <f t="shared" ca="1" si="131"/>
        <v>5.6843418860808015E-14</v>
      </c>
      <c r="N132" s="1415">
        <f t="shared" ca="1" si="131"/>
        <v>-3.907985046680551E-14</v>
      </c>
      <c r="O132" s="1415">
        <f t="shared" ca="1" si="131"/>
        <v>0</v>
      </c>
      <c r="P132" s="1415">
        <f t="shared" ca="1" si="131"/>
        <v>0</v>
      </c>
      <c r="T132" s="1415">
        <f>+T40+T84-T127</f>
        <v>0</v>
      </c>
      <c r="U132" s="1415">
        <f t="shared" ref="U132:AE132" si="132">+U40+U84-U127</f>
        <v>0</v>
      </c>
      <c r="V132" s="1415">
        <f t="shared" si="132"/>
        <v>0</v>
      </c>
      <c r="W132" s="1415">
        <f t="shared" si="132"/>
        <v>0</v>
      </c>
      <c r="X132" s="1415">
        <f t="shared" si="132"/>
        <v>-3.5527136788005009E-15</v>
      </c>
      <c r="Y132" s="1415">
        <f t="shared" si="132"/>
        <v>0</v>
      </c>
      <c r="Z132" s="1415">
        <f t="shared" si="132"/>
        <v>0</v>
      </c>
      <c r="AA132" s="1415">
        <f t="shared" ca="1" si="132"/>
        <v>-2.8421709430404007E-14</v>
      </c>
      <c r="AB132" s="1415">
        <f t="shared" ca="1" si="132"/>
        <v>-5.6843418860808015E-14</v>
      </c>
      <c r="AC132" s="1415">
        <f t="shared" ca="1" si="132"/>
        <v>2.8421709430404007E-14</v>
      </c>
      <c r="AD132" s="1415">
        <f t="shared" ca="1" si="132"/>
        <v>0</v>
      </c>
      <c r="AE132" s="1415">
        <f t="shared" ca="1" si="132"/>
        <v>0</v>
      </c>
      <c r="AH132" s="1415"/>
      <c r="AI132" s="1415">
        <f t="shared" ref="AI132:AS132" si="133">+AI40+AI84-AI127</f>
        <v>0</v>
      </c>
      <c r="AJ132" s="1415">
        <f t="shared" si="133"/>
        <v>0</v>
      </c>
      <c r="AK132" s="1415">
        <f t="shared" si="133"/>
        <v>0</v>
      </c>
      <c r="AL132" s="1415">
        <f t="shared" si="133"/>
        <v>0</v>
      </c>
      <c r="AM132" s="1415">
        <f t="shared" si="133"/>
        <v>0</v>
      </c>
      <c r="AN132" s="1415">
        <f t="shared" si="133"/>
        <v>0</v>
      </c>
      <c r="AO132" s="1415">
        <f t="shared" ca="1" si="133"/>
        <v>0</v>
      </c>
      <c r="AP132" s="1415">
        <f t="shared" ca="1" si="133"/>
        <v>0</v>
      </c>
      <c r="AQ132" s="1415">
        <f t="shared" ca="1" si="133"/>
        <v>-8.8817841970012523E-16</v>
      </c>
      <c r="AR132" s="1415">
        <f t="shared" ca="1" si="133"/>
        <v>3.5527136788005009E-15</v>
      </c>
      <c r="AS132" s="1415">
        <f t="shared" ca="1" si="133"/>
        <v>-5.3290705182007514E-15</v>
      </c>
    </row>
    <row r="133" spans="3:51" x14ac:dyDescent="0.35">
      <c r="C133" s="1942" t="s">
        <v>1510</v>
      </c>
      <c r="D133" s="1943"/>
      <c r="E133" s="1943"/>
      <c r="F133" s="1943"/>
      <c r="G133" s="1943"/>
      <c r="H133" s="1943"/>
      <c r="I133" s="1943"/>
      <c r="J133" s="1943"/>
      <c r="K133" s="1943"/>
      <c r="L133" s="1943"/>
      <c r="M133" s="1944"/>
      <c r="T133" s="10"/>
      <c r="U133" s="10"/>
      <c r="V133" s="10"/>
      <c r="W133" s="10"/>
    </row>
    <row r="134" spans="3:51" s="57" customFormat="1" x14ac:dyDescent="0.35">
      <c r="C134" s="122" t="s">
        <v>111</v>
      </c>
      <c r="D134" s="278" t="s">
        <v>1563</v>
      </c>
      <c r="E134" s="217" t="s">
        <v>196</v>
      </c>
      <c r="F134" s="217" t="s">
        <v>197</v>
      </c>
      <c r="G134" s="217" t="s">
        <v>198</v>
      </c>
      <c r="H134" s="217" t="s">
        <v>199</v>
      </c>
      <c r="I134" s="217" t="s">
        <v>112</v>
      </c>
      <c r="J134" s="217" t="s">
        <v>113</v>
      </c>
      <c r="K134" s="217" t="s">
        <v>114</v>
      </c>
      <c r="L134" s="217" t="s">
        <v>123</v>
      </c>
      <c r="M134" s="217" t="s">
        <v>124</v>
      </c>
      <c r="N134" s="745"/>
      <c r="O134" s="1418"/>
      <c r="P134" s="661"/>
      <c r="T134" s="217" t="s">
        <v>196</v>
      </c>
      <c r="U134" s="217" t="s">
        <v>197</v>
      </c>
      <c r="V134" s="217" t="s">
        <v>198</v>
      </c>
      <c r="W134" s="217" t="s">
        <v>199</v>
      </c>
      <c r="X134" s="217" t="s">
        <v>112</v>
      </c>
      <c r="Y134" s="217" t="s">
        <v>113</v>
      </c>
      <c r="Z134" s="217" t="s">
        <v>114</v>
      </c>
      <c r="AA134" s="217" t="s">
        <v>123</v>
      </c>
      <c r="AB134" s="217" t="s">
        <v>124</v>
      </c>
      <c r="AC134" s="745"/>
      <c r="AD134" s="10"/>
      <c r="AE134" s="10"/>
      <c r="AH134" s="217"/>
      <c r="AI134" s="217" t="s">
        <v>197</v>
      </c>
      <c r="AJ134" s="217" t="s">
        <v>198</v>
      </c>
      <c r="AK134" s="217" t="s">
        <v>199</v>
      </c>
      <c r="AL134" s="217" t="s">
        <v>112</v>
      </c>
      <c r="AM134" s="217" t="s">
        <v>113</v>
      </c>
      <c r="AN134" s="217" t="s">
        <v>114</v>
      </c>
      <c r="AO134" s="217" t="s">
        <v>123</v>
      </c>
      <c r="AP134" s="217" t="s">
        <v>124</v>
      </c>
      <c r="AQ134" s="745"/>
      <c r="AR134" s="10"/>
      <c r="AS134" s="10"/>
      <c r="AY134" s="681"/>
    </row>
    <row r="135" spans="3:51" x14ac:dyDescent="0.35">
      <c r="C135" s="152" t="s">
        <v>1630</v>
      </c>
      <c r="D135" s="19" t="s">
        <v>1238</v>
      </c>
      <c r="E135" s="1409">
        <v>0</v>
      </c>
      <c r="F135" s="1409">
        <f t="shared" ref="F135:M135" si="134">+E138</f>
        <v>6.120569132769071</v>
      </c>
      <c r="G135" s="1409">
        <f t="shared" si="134"/>
        <v>18.834469278385424</v>
      </c>
      <c r="H135" s="1409">
        <f t="shared" si="134"/>
        <v>30.959790201109101</v>
      </c>
      <c r="I135" s="1409">
        <f t="shared" si="134"/>
        <v>43.706346353712142</v>
      </c>
      <c r="J135" s="1409">
        <f t="shared" si="134"/>
        <v>56.073216391554816</v>
      </c>
      <c r="K135" s="1409">
        <f t="shared" si="134"/>
        <v>66.266863498094153</v>
      </c>
      <c r="L135" s="1409">
        <f t="shared" si="134"/>
        <v>75.437684746223411</v>
      </c>
      <c r="M135" s="1409">
        <f t="shared" si="134"/>
        <v>75.437684746223411</v>
      </c>
      <c r="P135" s="661"/>
      <c r="T135" s="1409">
        <v>0</v>
      </c>
      <c r="U135" s="1409">
        <f t="shared" ref="U135:AB135" si="135">+T138</f>
        <v>6.120569132769071</v>
      </c>
      <c r="V135" s="1409">
        <f t="shared" si="135"/>
        <v>12.798254696444818</v>
      </c>
      <c r="W135" s="1409">
        <f t="shared" si="135"/>
        <v>18.661284106843969</v>
      </c>
      <c r="X135" s="1409">
        <f t="shared" si="135"/>
        <v>24.568053257158404</v>
      </c>
      <c r="Y135" s="1409">
        <f t="shared" si="135"/>
        <v>29.996586768330353</v>
      </c>
      <c r="Z135" s="1409">
        <f t="shared" si="135"/>
        <v>34.144719620596611</v>
      </c>
      <c r="AA135" s="1409">
        <f t="shared" si="135"/>
        <v>36.817755650017368</v>
      </c>
      <c r="AB135" s="1409">
        <f t="shared" si="135"/>
        <v>36.817755650017368</v>
      </c>
      <c r="AH135" s="1409"/>
      <c r="AI135" s="1409">
        <f t="shared" ref="AI135:AP135" si="136">+AH138</f>
        <v>0</v>
      </c>
      <c r="AJ135" s="1409">
        <f t="shared" si="136"/>
        <v>6.0362145819406043</v>
      </c>
      <c r="AK135" s="1409">
        <f t="shared" si="136"/>
        <v>12.298506094265136</v>
      </c>
      <c r="AL135" s="1409">
        <f t="shared" si="136"/>
        <v>19.138293096553742</v>
      </c>
      <c r="AM135" s="1409">
        <f t="shared" si="136"/>
        <v>26.076629623224463</v>
      </c>
      <c r="AN135" s="1409">
        <f t="shared" si="136"/>
        <v>32.122143877497543</v>
      </c>
      <c r="AO135" s="1409">
        <f t="shared" si="136"/>
        <v>38.619929096206043</v>
      </c>
      <c r="AP135" s="1409">
        <f t="shared" si="136"/>
        <v>38.619929096206043</v>
      </c>
    </row>
    <row r="136" spans="3:51" x14ac:dyDescent="0.35">
      <c r="C136" s="152" t="s">
        <v>1631</v>
      </c>
      <c r="D136" s="19" t="s">
        <v>1238</v>
      </c>
      <c r="E136" s="1409">
        <f>+E40</f>
        <v>6.120569132769071</v>
      </c>
      <c r="F136" s="1409">
        <f t="shared" ref="F136:K136" si="137">+F40</f>
        <v>12.713900145616353</v>
      </c>
      <c r="G136" s="1409">
        <f t="shared" si="137"/>
        <v>12.125320922723679</v>
      </c>
      <c r="H136" s="1409">
        <f t="shared" si="137"/>
        <v>12.74655615260304</v>
      </c>
      <c r="I136" s="1409">
        <f t="shared" si="137"/>
        <v>12.366870037842672</v>
      </c>
      <c r="J136" s="1409">
        <f t="shared" si="137"/>
        <v>10.193647106539343</v>
      </c>
      <c r="K136" s="1409">
        <f t="shared" si="137"/>
        <v>9.170821248129263</v>
      </c>
      <c r="L136" s="19"/>
      <c r="M136" s="19"/>
      <c r="T136" s="1409">
        <f>+T40</f>
        <v>6.120569132769071</v>
      </c>
      <c r="U136" s="1409">
        <f t="shared" ref="U136:Z136" si="138">+U40</f>
        <v>6.6776855636757464</v>
      </c>
      <c r="V136" s="1409">
        <f t="shared" si="138"/>
        <v>5.8630294103991503</v>
      </c>
      <c r="W136" s="1409">
        <f t="shared" si="138"/>
        <v>5.9067691503144362</v>
      </c>
      <c r="X136" s="1409">
        <f t="shared" si="138"/>
        <v>5.4285335111719473</v>
      </c>
      <c r="Y136" s="1409">
        <f t="shared" si="138"/>
        <v>4.1481328522662562</v>
      </c>
      <c r="Z136" s="1409">
        <f t="shared" si="138"/>
        <v>2.6730360294207589</v>
      </c>
      <c r="AA136" s="19"/>
      <c r="AB136" s="19"/>
      <c r="AH136" s="1409"/>
      <c r="AI136" s="1409">
        <f t="shared" ref="AI136:AN136" si="139">+AI40</f>
        <v>6.0362145819406043</v>
      </c>
      <c r="AJ136" s="1409">
        <f t="shared" si="139"/>
        <v>6.2622915123245324</v>
      </c>
      <c r="AK136" s="1409">
        <f t="shared" si="139"/>
        <v>6.839787002288606</v>
      </c>
      <c r="AL136" s="1409">
        <f t="shared" si="139"/>
        <v>6.9383365266707226</v>
      </c>
      <c r="AM136" s="1409">
        <f t="shared" si="139"/>
        <v>6.0455142542730815</v>
      </c>
      <c r="AN136" s="1409">
        <f t="shared" si="139"/>
        <v>6.4977852187085015</v>
      </c>
      <c r="AO136" s="19"/>
      <c r="AP136" s="19"/>
    </row>
    <row r="137" spans="3:51" x14ac:dyDescent="0.35">
      <c r="C137" s="152" t="s">
        <v>1632</v>
      </c>
      <c r="D137" s="19" t="s">
        <v>1238</v>
      </c>
      <c r="E137" s="1409"/>
      <c r="F137" s="1409"/>
      <c r="G137" s="1409"/>
      <c r="H137" s="1409"/>
      <c r="I137" s="1409"/>
      <c r="J137" s="1409"/>
      <c r="K137" s="19"/>
      <c r="L137" s="19"/>
      <c r="M137" s="1410">
        <f>+M135</f>
        <v>75.437684746223411</v>
      </c>
      <c r="T137" s="1409"/>
      <c r="U137" s="1409"/>
      <c r="V137" s="1409"/>
      <c r="W137" s="1409"/>
      <c r="X137" s="1409"/>
      <c r="Y137" s="1409"/>
      <c r="Z137" s="19"/>
      <c r="AA137" s="19"/>
      <c r="AB137" s="1410">
        <f>+AB135</f>
        <v>36.817755650017368</v>
      </c>
      <c r="AH137" s="1409"/>
      <c r="AI137" s="1409"/>
      <c r="AJ137" s="1409"/>
      <c r="AK137" s="1409"/>
      <c r="AL137" s="1409"/>
      <c r="AM137" s="1409"/>
      <c r="AN137" s="19"/>
      <c r="AO137" s="19"/>
      <c r="AP137" s="1410">
        <f>+AP135</f>
        <v>38.619929096206043</v>
      </c>
    </row>
    <row r="138" spans="3:51" x14ac:dyDescent="0.35">
      <c r="C138" s="152" t="s">
        <v>1633</v>
      </c>
      <c r="D138" s="19" t="s">
        <v>1238</v>
      </c>
      <c r="E138" s="1409">
        <f t="shared" ref="E138:J138" si="140">+E135+E136-E137</f>
        <v>6.120569132769071</v>
      </c>
      <c r="F138" s="1409">
        <f t="shared" si="140"/>
        <v>18.834469278385424</v>
      </c>
      <c r="G138" s="1409">
        <f t="shared" si="140"/>
        <v>30.959790201109101</v>
      </c>
      <c r="H138" s="1409">
        <f t="shared" si="140"/>
        <v>43.706346353712142</v>
      </c>
      <c r="I138" s="1409">
        <f t="shared" si="140"/>
        <v>56.073216391554816</v>
      </c>
      <c r="J138" s="1409">
        <f t="shared" si="140"/>
        <v>66.266863498094153</v>
      </c>
      <c r="K138" s="1409">
        <f>+K135+K136-K137</f>
        <v>75.437684746223411</v>
      </c>
      <c r="L138" s="1409">
        <f>+L135+L136-L137</f>
        <v>75.437684746223411</v>
      </c>
      <c r="M138" s="1409">
        <f>+M135+M136-M137</f>
        <v>0</v>
      </c>
      <c r="T138" s="1409">
        <f t="shared" ref="T138:AB138" si="141">+T135+T136-T137</f>
        <v>6.120569132769071</v>
      </c>
      <c r="U138" s="1409">
        <f t="shared" si="141"/>
        <v>12.798254696444818</v>
      </c>
      <c r="V138" s="1409">
        <f t="shared" si="141"/>
        <v>18.661284106843969</v>
      </c>
      <c r="W138" s="1409">
        <f t="shared" si="141"/>
        <v>24.568053257158404</v>
      </c>
      <c r="X138" s="1409">
        <f t="shared" si="141"/>
        <v>29.996586768330353</v>
      </c>
      <c r="Y138" s="1409">
        <f t="shared" si="141"/>
        <v>34.144719620596611</v>
      </c>
      <c r="Z138" s="1409">
        <f t="shared" si="141"/>
        <v>36.817755650017368</v>
      </c>
      <c r="AA138" s="1409">
        <f t="shared" si="141"/>
        <v>36.817755650017368</v>
      </c>
      <c r="AB138" s="1409">
        <f t="shared" si="141"/>
        <v>0</v>
      </c>
      <c r="AH138" s="1409"/>
      <c r="AI138" s="1409">
        <f t="shared" ref="AI138:AP138" si="142">+AI135+AI136-AI137</f>
        <v>6.0362145819406043</v>
      </c>
      <c r="AJ138" s="1409">
        <f t="shared" si="142"/>
        <v>12.298506094265136</v>
      </c>
      <c r="AK138" s="1409">
        <f t="shared" si="142"/>
        <v>19.138293096553742</v>
      </c>
      <c r="AL138" s="1409">
        <f t="shared" si="142"/>
        <v>26.076629623224463</v>
      </c>
      <c r="AM138" s="1409">
        <f t="shared" si="142"/>
        <v>32.122143877497543</v>
      </c>
      <c r="AN138" s="1409">
        <f t="shared" si="142"/>
        <v>38.619929096206043</v>
      </c>
      <c r="AO138" s="1409">
        <f t="shared" si="142"/>
        <v>38.619929096206043</v>
      </c>
      <c r="AP138" s="1409">
        <f t="shared" si="142"/>
        <v>0</v>
      </c>
    </row>
    <row r="139" spans="3:51" x14ac:dyDescent="0.35">
      <c r="C139" s="152" t="s">
        <v>1634</v>
      </c>
      <c r="D139" s="19" t="s">
        <v>1238</v>
      </c>
      <c r="E139" s="1409">
        <f t="shared" ref="E139:J139" si="143">+AVERAGE(E135,E138)</f>
        <v>3.0602845663845355</v>
      </c>
      <c r="F139" s="1409">
        <f t="shared" si="143"/>
        <v>12.477519205577247</v>
      </c>
      <c r="G139" s="1409">
        <f t="shared" si="143"/>
        <v>24.897129739747264</v>
      </c>
      <c r="H139" s="1409">
        <f t="shared" si="143"/>
        <v>37.333068277410618</v>
      </c>
      <c r="I139" s="1409">
        <f t="shared" si="143"/>
        <v>49.889781372633479</v>
      </c>
      <c r="J139" s="1409">
        <f t="shared" si="143"/>
        <v>61.170039944824481</v>
      </c>
      <c r="K139" s="1409">
        <f>+AVERAGE(K135,K138)</f>
        <v>70.852274122158775</v>
      </c>
      <c r="L139" s="1409">
        <f>+AVERAGE(L135,L138)</f>
        <v>75.437684746223411</v>
      </c>
      <c r="M139" s="1409">
        <f>+AVERAGE(M135,M138)</f>
        <v>37.718842373111706</v>
      </c>
      <c r="T139" s="1409">
        <f t="shared" ref="T139:AB139" si="144">+AVERAGE(T135,T138)</f>
        <v>3.0602845663845355</v>
      </c>
      <c r="U139" s="1409">
        <f t="shared" si="144"/>
        <v>9.4594119146069442</v>
      </c>
      <c r="V139" s="1409">
        <f t="shared" si="144"/>
        <v>15.729769401644393</v>
      </c>
      <c r="W139" s="1409">
        <f t="shared" si="144"/>
        <v>21.614668682001188</v>
      </c>
      <c r="X139" s="1409">
        <f t="shared" si="144"/>
        <v>27.282320012744378</v>
      </c>
      <c r="Y139" s="1409">
        <f t="shared" si="144"/>
        <v>32.070653194463482</v>
      </c>
      <c r="Z139" s="1409">
        <f t="shared" si="144"/>
        <v>35.481237635306989</v>
      </c>
      <c r="AA139" s="1409">
        <f t="shared" si="144"/>
        <v>36.817755650017368</v>
      </c>
      <c r="AB139" s="1409">
        <f t="shared" si="144"/>
        <v>18.408877825008684</v>
      </c>
      <c r="AH139" s="1409"/>
      <c r="AI139" s="1409">
        <f t="shared" ref="AI139:AP139" si="145">+AVERAGE(AI135,AI138)</f>
        <v>3.0181072909703022</v>
      </c>
      <c r="AJ139" s="1409">
        <f t="shared" si="145"/>
        <v>9.1673603381028705</v>
      </c>
      <c r="AK139" s="1409">
        <f t="shared" si="145"/>
        <v>15.718399595409439</v>
      </c>
      <c r="AL139" s="1409">
        <f t="shared" si="145"/>
        <v>22.607461359889101</v>
      </c>
      <c r="AM139" s="1409">
        <f t="shared" si="145"/>
        <v>29.099386750361003</v>
      </c>
      <c r="AN139" s="1409">
        <f t="shared" si="145"/>
        <v>35.371036486851793</v>
      </c>
      <c r="AO139" s="1409">
        <f t="shared" si="145"/>
        <v>38.619929096206043</v>
      </c>
      <c r="AP139" s="1409">
        <f t="shared" si="145"/>
        <v>19.309964548103022</v>
      </c>
    </row>
    <row r="140" spans="3:51" x14ac:dyDescent="0.35">
      <c r="C140" s="152" t="s">
        <v>1635</v>
      </c>
      <c r="D140" s="19" t="s">
        <v>243</v>
      </c>
      <c r="E140" s="1250">
        <f>+Assum!E55</f>
        <v>9.8897260273972623E-2</v>
      </c>
      <c r="F140" s="1250">
        <f>+Assum!F55</f>
        <v>9.657240437158468E-2</v>
      </c>
      <c r="G140" s="1250">
        <f>+Assum!G55</f>
        <v>8.5726027397260277E-2</v>
      </c>
      <c r="H140" s="1250">
        <f>+Assum!H55</f>
        <v>8.5000000000000006E-2</v>
      </c>
      <c r="I140" s="1250">
        <f>+Assum!I55</f>
        <v>9.2987671232876712E-2</v>
      </c>
      <c r="J140" s="1250">
        <f>+Assum!J55</f>
        <v>0.10035655737704921</v>
      </c>
      <c r="K140" s="1250">
        <f>+Assum!K55</f>
        <v>0.1028219178082192</v>
      </c>
      <c r="L140" s="1250">
        <f>+Assum!L55</f>
        <v>0.10300000000000001</v>
      </c>
      <c r="M140" s="1250">
        <f>+Assum!M55</f>
        <v>0.10300000000000001</v>
      </c>
      <c r="T140" s="1250">
        <f>+E140</f>
        <v>9.8897260273972623E-2</v>
      </c>
      <c r="U140" s="1250">
        <f t="shared" ref="U140:AB140" si="146">+F140</f>
        <v>9.657240437158468E-2</v>
      </c>
      <c r="V140" s="1250">
        <f t="shared" si="146"/>
        <v>8.5726027397260277E-2</v>
      </c>
      <c r="W140" s="1250">
        <f t="shared" si="146"/>
        <v>8.5000000000000006E-2</v>
      </c>
      <c r="X140" s="1250">
        <f t="shared" si="146"/>
        <v>9.2987671232876712E-2</v>
      </c>
      <c r="Y140" s="1250">
        <f t="shared" si="146"/>
        <v>0.10035655737704921</v>
      </c>
      <c r="Z140" s="1250">
        <f t="shared" si="146"/>
        <v>0.1028219178082192</v>
      </c>
      <c r="AA140" s="1250">
        <f t="shared" si="146"/>
        <v>0.10300000000000001</v>
      </c>
      <c r="AB140" s="1250">
        <f t="shared" si="146"/>
        <v>0.10300000000000001</v>
      </c>
      <c r="AH140" s="1250"/>
      <c r="AI140" s="1250">
        <f t="shared" ref="AI140:AP140" si="147">+U140</f>
        <v>9.657240437158468E-2</v>
      </c>
      <c r="AJ140" s="1250">
        <f t="shared" si="147"/>
        <v>8.5726027397260277E-2</v>
      </c>
      <c r="AK140" s="1250">
        <f t="shared" si="147"/>
        <v>8.5000000000000006E-2</v>
      </c>
      <c r="AL140" s="1250">
        <f t="shared" si="147"/>
        <v>9.2987671232876712E-2</v>
      </c>
      <c r="AM140" s="1250">
        <f t="shared" si="147"/>
        <v>0.10035655737704921</v>
      </c>
      <c r="AN140" s="1250">
        <f t="shared" si="147"/>
        <v>0.1028219178082192</v>
      </c>
      <c r="AO140" s="1250">
        <f t="shared" si="147"/>
        <v>0.10300000000000001</v>
      </c>
      <c r="AP140" s="1250">
        <f t="shared" si="147"/>
        <v>0.10300000000000001</v>
      </c>
    </row>
    <row r="141" spans="3:51" x14ac:dyDescent="0.35">
      <c r="C141" s="105" t="s">
        <v>1636</v>
      </c>
      <c r="D141" s="22" t="s">
        <v>1238</v>
      </c>
      <c r="E141" s="1735">
        <f>+E140*E139*6/12</f>
        <v>0.15132687963707642</v>
      </c>
      <c r="F141" s="1735">
        <f t="shared" ref="F141:M141" si="148">+F140*F139</f>
        <v>1.2049840302752199</v>
      </c>
      <c r="G141" s="1735">
        <f t="shared" si="148"/>
        <v>2.1343320261827174</v>
      </c>
      <c r="H141" s="1735">
        <f t="shared" si="148"/>
        <v>3.1733108035799029</v>
      </c>
      <c r="I141" s="1735">
        <f t="shared" si="148"/>
        <v>4.6391345881585382</v>
      </c>
      <c r="J141" s="1735">
        <f t="shared" si="148"/>
        <v>6.1388146234791705</v>
      </c>
      <c r="K141" s="1735">
        <f t="shared" si="148"/>
        <v>7.2851667063140253</v>
      </c>
      <c r="L141" s="1735">
        <f t="shared" si="148"/>
        <v>7.7700815288610121</v>
      </c>
      <c r="M141" s="1735">
        <f t="shared" si="148"/>
        <v>3.8850407644305061</v>
      </c>
      <c r="N141" s="1750">
        <f>SUM(E141:M141)</f>
        <v>36.38219195091817</v>
      </c>
      <c r="T141" s="1735">
        <f>+T140*T139*6/12</f>
        <v>0.15132687963707642</v>
      </c>
      <c r="U141" s="1735">
        <f t="shared" ref="U141:AB141" si="149">+U140*U139</f>
        <v>0.91351815253480784</v>
      </c>
      <c r="V141" s="1735">
        <f t="shared" si="149"/>
        <v>1.3484506426779537</v>
      </c>
      <c r="W141" s="1735">
        <f t="shared" si="149"/>
        <v>1.837246837970101</v>
      </c>
      <c r="X141" s="1735">
        <f t="shared" si="149"/>
        <v>2.5369194038152072</v>
      </c>
      <c r="Y141" s="1735">
        <f t="shared" si="149"/>
        <v>3.2185003474296208</v>
      </c>
      <c r="Z141" s="1735">
        <f t="shared" si="149"/>
        <v>3.6482488998714291</v>
      </c>
      <c r="AA141" s="1735">
        <f t="shared" si="149"/>
        <v>3.7922288319517894</v>
      </c>
      <c r="AB141" s="1735">
        <f t="shared" si="149"/>
        <v>1.8961144159758947</v>
      </c>
      <c r="AC141" s="1750">
        <f>SUM(T141:AB141)</f>
        <v>19.34255441186388</v>
      </c>
      <c r="AH141" s="1735"/>
      <c r="AI141" s="1735">
        <f t="shared" ref="AI141:AP141" si="150">+AI140*AI139</f>
        <v>0.29146587774041199</v>
      </c>
      <c r="AJ141" s="1735">
        <f t="shared" si="150"/>
        <v>0.78588138350476389</v>
      </c>
      <c r="AK141" s="1735">
        <f t="shared" si="150"/>
        <v>1.3360639656098023</v>
      </c>
      <c r="AL141" s="1735">
        <f t="shared" si="150"/>
        <v>2.1022151843433314</v>
      </c>
      <c r="AM141" s="1735">
        <f t="shared" si="150"/>
        <v>2.9203142760495497</v>
      </c>
      <c r="AN141" s="1735">
        <f t="shared" si="150"/>
        <v>3.6369178064425975</v>
      </c>
      <c r="AO141" s="1735">
        <f t="shared" si="150"/>
        <v>3.9778526969092227</v>
      </c>
      <c r="AP141" s="1735">
        <f t="shared" si="150"/>
        <v>1.9889263484546114</v>
      </c>
      <c r="AQ141" s="1750">
        <f>SUM(AH141:AP141)</f>
        <v>17.03963753905429</v>
      </c>
      <c r="AY141" s="1751"/>
    </row>
    <row r="142" spans="3:51" x14ac:dyDescent="0.35">
      <c r="AH142" s="50"/>
      <c r="AI142" s="50"/>
      <c r="AJ142" s="50"/>
      <c r="AK142" s="50"/>
    </row>
    <row r="143" spans="3:51" x14ac:dyDescent="0.35">
      <c r="C143" s="1942" t="s">
        <v>278</v>
      </c>
      <c r="D143" s="1943"/>
      <c r="E143" s="1943"/>
      <c r="F143" s="1943"/>
      <c r="G143" s="1943"/>
      <c r="H143" s="1943"/>
      <c r="I143" s="1943"/>
      <c r="J143" s="1943"/>
      <c r="K143" s="1943"/>
      <c r="L143" s="1943"/>
      <c r="M143" s="1944"/>
      <c r="T143" s="10"/>
      <c r="U143" s="10"/>
      <c r="V143" s="10"/>
      <c r="W143" s="10"/>
    </row>
    <row r="144" spans="3:51" x14ac:dyDescent="0.35">
      <c r="C144" s="122" t="s">
        <v>111</v>
      </c>
      <c r="D144" s="278" t="s">
        <v>1563</v>
      </c>
      <c r="E144" s="217" t="s">
        <v>196</v>
      </c>
      <c r="F144" s="217" t="s">
        <v>197</v>
      </c>
      <c r="G144" s="217" t="s">
        <v>198</v>
      </c>
      <c r="H144" s="217" t="s">
        <v>199</v>
      </c>
      <c r="I144" s="217" t="s">
        <v>112</v>
      </c>
      <c r="J144" s="217" t="s">
        <v>113</v>
      </c>
      <c r="K144" s="217" t="s">
        <v>114</v>
      </c>
      <c r="L144" s="217" t="s">
        <v>123</v>
      </c>
      <c r="M144" s="217" t="s">
        <v>124</v>
      </c>
      <c r="T144" s="217" t="s">
        <v>196</v>
      </c>
      <c r="U144" s="217" t="s">
        <v>197</v>
      </c>
      <c r="V144" s="217" t="s">
        <v>198</v>
      </c>
      <c r="W144" s="217" t="s">
        <v>199</v>
      </c>
      <c r="X144" s="217" t="s">
        <v>112</v>
      </c>
      <c r="Y144" s="217" t="s">
        <v>113</v>
      </c>
      <c r="Z144" s="217" t="s">
        <v>114</v>
      </c>
      <c r="AA144" s="217" t="s">
        <v>123</v>
      </c>
      <c r="AB144" s="217" t="s">
        <v>124</v>
      </c>
      <c r="AH144" s="217"/>
      <c r="AI144" s="217" t="s">
        <v>197</v>
      </c>
      <c r="AJ144" s="217" t="s">
        <v>198</v>
      </c>
      <c r="AK144" s="217" t="s">
        <v>199</v>
      </c>
      <c r="AL144" s="217" t="s">
        <v>112</v>
      </c>
      <c r="AM144" s="217" t="s">
        <v>113</v>
      </c>
      <c r="AN144" s="217" t="s">
        <v>114</v>
      </c>
      <c r="AO144" s="217" t="s">
        <v>123</v>
      </c>
      <c r="AP144" s="217" t="s">
        <v>124</v>
      </c>
    </row>
    <row r="145" spans="3:51" x14ac:dyDescent="0.35">
      <c r="C145" s="152" t="s">
        <v>1630</v>
      </c>
      <c r="D145" s="19" t="s">
        <v>1238</v>
      </c>
      <c r="E145" s="1618">
        <v>0</v>
      </c>
      <c r="F145" s="1618">
        <f t="shared" ref="F145:M145" si="151">+E148</f>
        <v>0.91140305104725949</v>
      </c>
      <c r="G145" s="1618">
        <f t="shared" si="151"/>
        <v>1.9379223613064782</v>
      </c>
      <c r="H145" s="1618">
        <f t="shared" si="151"/>
        <v>-3.5587072603996139</v>
      </c>
      <c r="I145" s="1618">
        <f t="shared" si="151"/>
        <v>-5.4307128645772318</v>
      </c>
      <c r="J145" s="1618">
        <f t="shared" si="151"/>
        <v>-10.748057484023224</v>
      </c>
      <c r="K145" s="1618">
        <f t="shared" si="151"/>
        <v>-23.670903255660711</v>
      </c>
      <c r="L145" s="1618">
        <f t="shared" si="151"/>
        <v>-37.599769178148684</v>
      </c>
      <c r="M145" s="1618">
        <f t="shared" si="151"/>
        <v>-37.599769178148684</v>
      </c>
      <c r="T145" s="1409">
        <v>0</v>
      </c>
      <c r="U145" s="1409">
        <f t="shared" ref="U145:AB145" si="152">+T148</f>
        <v>0.91140305104725949</v>
      </c>
      <c r="V145" s="1409">
        <f t="shared" si="152"/>
        <v>1.0575026617725671</v>
      </c>
      <c r="W145" s="1409">
        <f t="shared" si="152"/>
        <v>-3.7665758233087345</v>
      </c>
      <c r="X145" s="1409">
        <f t="shared" si="152"/>
        <v>-5.219834243840995</v>
      </c>
      <c r="Y145" s="1409">
        <f t="shared" si="152"/>
        <v>-9.8891446635962268</v>
      </c>
      <c r="Z145" s="1409">
        <f t="shared" si="152"/>
        <v>-20.135588227476937</v>
      </c>
      <c r="AA145" s="1409">
        <f t="shared" si="152"/>
        <v>-32.12169317144398</v>
      </c>
      <c r="AB145" s="1409">
        <f t="shared" si="152"/>
        <v>-32.12169317144398</v>
      </c>
      <c r="AH145" s="1409"/>
      <c r="AI145" s="1409">
        <f t="shared" ref="AI145:AP145" si="153">+AH148</f>
        <v>0</v>
      </c>
      <c r="AJ145" s="1409">
        <f t="shared" si="153"/>
        <v>0.88041969953391019</v>
      </c>
      <c r="AK145" s="1409">
        <f t="shared" si="153"/>
        <v>0.20786856290911615</v>
      </c>
      <c r="AL145" s="1409">
        <f t="shared" si="153"/>
        <v>-0.21087862073624031</v>
      </c>
      <c r="AM145" s="1409">
        <f t="shared" si="153"/>
        <v>-0.85891282042699757</v>
      </c>
      <c r="AN145" s="1409">
        <f t="shared" si="153"/>
        <v>-3.5353150281837724</v>
      </c>
      <c r="AO145" s="1409">
        <f t="shared" si="153"/>
        <v>-5.4780760067047138</v>
      </c>
      <c r="AP145" s="1409">
        <f t="shared" si="153"/>
        <v>-5.4780760067047138</v>
      </c>
    </row>
    <row r="146" spans="3:51" x14ac:dyDescent="0.35">
      <c r="C146" s="152" t="s">
        <v>1631</v>
      </c>
      <c r="D146" s="19" t="s">
        <v>1238</v>
      </c>
      <c r="E146" s="1618">
        <f>+E84</f>
        <v>0.91140305104725949</v>
      </c>
      <c r="F146" s="1618">
        <f t="shared" ref="F146:K146" si="154">+F84</f>
        <v>1.0265193102592187</v>
      </c>
      <c r="G146" s="1618">
        <f t="shared" si="154"/>
        <v>-5.4966296217060924</v>
      </c>
      <c r="H146" s="1618">
        <f t="shared" si="154"/>
        <v>-1.8720056041776179</v>
      </c>
      <c r="I146" s="1618">
        <f t="shared" si="154"/>
        <v>-5.3173446194459917</v>
      </c>
      <c r="J146" s="1618">
        <f t="shared" si="154"/>
        <v>-12.922845771637487</v>
      </c>
      <c r="K146" s="1618">
        <f t="shared" si="154"/>
        <v>-13.928865922487972</v>
      </c>
      <c r="L146" s="1619"/>
      <c r="M146" s="1619"/>
      <c r="T146" s="1409">
        <f>+T84</f>
        <v>0.91140305104725949</v>
      </c>
      <c r="U146" s="1409">
        <f t="shared" ref="U146:Z146" si="155">+U84</f>
        <v>0.14609961072530764</v>
      </c>
      <c r="V146" s="1409">
        <f t="shared" si="155"/>
        <v>-4.8240784850813014</v>
      </c>
      <c r="W146" s="1409">
        <f t="shared" si="155"/>
        <v>-1.4532584205322605</v>
      </c>
      <c r="X146" s="1409">
        <f t="shared" si="155"/>
        <v>-4.6693104197552326</v>
      </c>
      <c r="Y146" s="1409">
        <f t="shared" si="155"/>
        <v>-10.24644356388071</v>
      </c>
      <c r="Z146" s="1409">
        <f t="shared" si="155"/>
        <v>-11.986104943967042</v>
      </c>
      <c r="AA146" s="19"/>
      <c r="AB146" s="19"/>
      <c r="AH146" s="1409"/>
      <c r="AI146" s="1409">
        <f t="shared" ref="AI146:AN146" si="156">+AI84</f>
        <v>0.88041969953391019</v>
      </c>
      <c r="AJ146" s="1409">
        <f t="shared" si="156"/>
        <v>-0.67255113662479404</v>
      </c>
      <c r="AK146" s="1409">
        <f t="shared" si="156"/>
        <v>-0.41874718364535646</v>
      </c>
      <c r="AL146" s="1409">
        <f t="shared" si="156"/>
        <v>-0.64803419969075726</v>
      </c>
      <c r="AM146" s="1409">
        <f t="shared" si="156"/>
        <v>-2.6764022077567748</v>
      </c>
      <c r="AN146" s="1409">
        <f t="shared" si="156"/>
        <v>-1.9427609785209414</v>
      </c>
      <c r="AO146" s="19"/>
      <c r="AP146" s="19"/>
    </row>
    <row r="147" spans="3:51" x14ac:dyDescent="0.35">
      <c r="C147" s="152" t="s">
        <v>1632</v>
      </c>
      <c r="D147" s="19" t="s">
        <v>1238</v>
      </c>
      <c r="E147" s="1618"/>
      <c r="F147" s="1618"/>
      <c r="G147" s="1618"/>
      <c r="H147" s="1618"/>
      <c r="I147" s="1618"/>
      <c r="J147" s="1618"/>
      <c r="K147" s="1619"/>
      <c r="L147" s="1619"/>
      <c r="M147" s="1619">
        <f>+M145</f>
        <v>-37.599769178148684</v>
      </c>
      <c r="T147" s="1409"/>
      <c r="U147" s="1409"/>
      <c r="V147" s="1409"/>
      <c r="W147" s="1409"/>
      <c r="X147" s="1409"/>
      <c r="Y147" s="1409"/>
      <c r="Z147" s="19"/>
      <c r="AA147" s="19"/>
      <c r="AB147" s="1410">
        <f>+AB145</f>
        <v>-32.12169317144398</v>
      </c>
      <c r="AH147" s="1409"/>
      <c r="AI147" s="1409"/>
      <c r="AJ147" s="1409"/>
      <c r="AK147" s="1409"/>
      <c r="AL147" s="1409"/>
      <c r="AM147" s="1409"/>
      <c r="AN147" s="19"/>
      <c r="AO147" s="19"/>
      <c r="AP147" s="1410">
        <f>+AP145</f>
        <v>-5.4780760067047138</v>
      </c>
    </row>
    <row r="148" spans="3:51" x14ac:dyDescent="0.35">
      <c r="C148" s="152" t="s">
        <v>1633</v>
      </c>
      <c r="D148" s="19" t="s">
        <v>1238</v>
      </c>
      <c r="E148" s="1618">
        <f t="shared" ref="E148:M148" si="157">+E145+E146-E147</f>
        <v>0.91140305104725949</v>
      </c>
      <c r="F148" s="1618">
        <f t="shared" si="157"/>
        <v>1.9379223613064782</v>
      </c>
      <c r="G148" s="1618">
        <f t="shared" si="157"/>
        <v>-3.5587072603996139</v>
      </c>
      <c r="H148" s="1618">
        <f t="shared" si="157"/>
        <v>-5.4307128645772318</v>
      </c>
      <c r="I148" s="1618">
        <f t="shared" si="157"/>
        <v>-10.748057484023224</v>
      </c>
      <c r="J148" s="1618">
        <f t="shared" si="157"/>
        <v>-23.670903255660711</v>
      </c>
      <c r="K148" s="1618">
        <f t="shared" si="157"/>
        <v>-37.599769178148684</v>
      </c>
      <c r="L148" s="1618">
        <f t="shared" si="157"/>
        <v>-37.599769178148684</v>
      </c>
      <c r="M148" s="1618">
        <f t="shared" si="157"/>
        <v>0</v>
      </c>
      <c r="T148" s="1409">
        <f t="shared" ref="T148:AB148" si="158">+T145+T146-T147</f>
        <v>0.91140305104725949</v>
      </c>
      <c r="U148" s="1409">
        <f t="shared" si="158"/>
        <v>1.0575026617725671</v>
      </c>
      <c r="V148" s="1409">
        <f t="shared" si="158"/>
        <v>-3.7665758233087345</v>
      </c>
      <c r="W148" s="1409">
        <f t="shared" si="158"/>
        <v>-5.219834243840995</v>
      </c>
      <c r="X148" s="1409">
        <f t="shared" si="158"/>
        <v>-9.8891446635962268</v>
      </c>
      <c r="Y148" s="1409">
        <f t="shared" si="158"/>
        <v>-20.135588227476937</v>
      </c>
      <c r="Z148" s="1409">
        <f t="shared" si="158"/>
        <v>-32.12169317144398</v>
      </c>
      <c r="AA148" s="1409">
        <f t="shared" si="158"/>
        <v>-32.12169317144398</v>
      </c>
      <c r="AB148" s="1409">
        <f t="shared" si="158"/>
        <v>0</v>
      </c>
      <c r="AH148" s="1409"/>
      <c r="AI148" s="1409">
        <f t="shared" ref="AI148:AP148" si="159">+AI145+AI146-AI147</f>
        <v>0.88041969953391019</v>
      </c>
      <c r="AJ148" s="1409">
        <f t="shared" si="159"/>
        <v>0.20786856290911615</v>
      </c>
      <c r="AK148" s="1409">
        <f t="shared" si="159"/>
        <v>-0.21087862073624031</v>
      </c>
      <c r="AL148" s="1409">
        <f t="shared" si="159"/>
        <v>-0.85891282042699757</v>
      </c>
      <c r="AM148" s="1409">
        <f t="shared" si="159"/>
        <v>-3.5353150281837724</v>
      </c>
      <c r="AN148" s="1409">
        <f t="shared" si="159"/>
        <v>-5.4780760067047138</v>
      </c>
      <c r="AO148" s="1409">
        <f t="shared" si="159"/>
        <v>-5.4780760067047138</v>
      </c>
      <c r="AP148" s="1409">
        <f t="shared" si="159"/>
        <v>0</v>
      </c>
    </row>
    <row r="149" spans="3:51" x14ac:dyDescent="0.35">
      <c r="C149" s="152" t="s">
        <v>1634</v>
      </c>
      <c r="D149" s="19" t="s">
        <v>1238</v>
      </c>
      <c r="E149" s="1618">
        <f t="shared" ref="E149:M149" si="160">+AVERAGE(E145,E148)</f>
        <v>0.45570152552362975</v>
      </c>
      <c r="F149" s="1618">
        <f t="shared" si="160"/>
        <v>1.4246627061768689</v>
      </c>
      <c r="G149" s="1618">
        <f t="shared" si="160"/>
        <v>-0.81039244954656786</v>
      </c>
      <c r="H149" s="1618">
        <f t="shared" si="160"/>
        <v>-4.4947100624884229</v>
      </c>
      <c r="I149" s="1618">
        <f t="shared" si="160"/>
        <v>-8.0893851743002276</v>
      </c>
      <c r="J149" s="1618">
        <f t="shared" si="160"/>
        <v>-17.20948036984197</v>
      </c>
      <c r="K149" s="1618">
        <f t="shared" si="160"/>
        <v>-30.635336216904697</v>
      </c>
      <c r="L149" s="1618">
        <f t="shared" si="160"/>
        <v>-37.599769178148684</v>
      </c>
      <c r="M149" s="1618">
        <f t="shared" si="160"/>
        <v>-18.799884589074342</v>
      </c>
      <c r="T149" s="1409">
        <f t="shared" ref="T149:AB149" si="161">+AVERAGE(T145,T148)</f>
        <v>0.45570152552362975</v>
      </c>
      <c r="U149" s="1409">
        <f t="shared" si="161"/>
        <v>0.98445285640991331</v>
      </c>
      <c r="V149" s="1409">
        <f t="shared" si="161"/>
        <v>-1.3545365807680838</v>
      </c>
      <c r="W149" s="1409">
        <f t="shared" si="161"/>
        <v>-4.4932050335748652</v>
      </c>
      <c r="X149" s="1409">
        <f t="shared" si="161"/>
        <v>-7.5544894537186114</v>
      </c>
      <c r="Y149" s="1409">
        <f t="shared" si="161"/>
        <v>-15.012366445536582</v>
      </c>
      <c r="Z149" s="1409">
        <f t="shared" si="161"/>
        <v>-26.128640699460458</v>
      </c>
      <c r="AA149" s="1409">
        <f t="shared" si="161"/>
        <v>-32.12169317144398</v>
      </c>
      <c r="AB149" s="1409">
        <f t="shared" si="161"/>
        <v>-16.06084658572199</v>
      </c>
      <c r="AH149" s="1409"/>
      <c r="AI149" s="1409">
        <f t="shared" ref="AI149:AP149" si="162">+AVERAGE(AI145,AI148)</f>
        <v>0.4402098497669551</v>
      </c>
      <c r="AJ149" s="1409">
        <f t="shared" si="162"/>
        <v>0.54414413122151317</v>
      </c>
      <c r="AK149" s="1409">
        <f t="shared" si="162"/>
        <v>-1.5050289135620787E-3</v>
      </c>
      <c r="AL149" s="1409">
        <f t="shared" si="162"/>
        <v>-0.53489572058161894</v>
      </c>
      <c r="AM149" s="1409">
        <f t="shared" si="162"/>
        <v>-2.197113924305385</v>
      </c>
      <c r="AN149" s="1409">
        <f t="shared" si="162"/>
        <v>-4.5066955174442427</v>
      </c>
      <c r="AO149" s="1409">
        <f t="shared" si="162"/>
        <v>-5.4780760067047138</v>
      </c>
      <c r="AP149" s="1409">
        <f t="shared" si="162"/>
        <v>-2.7390380033523569</v>
      </c>
    </row>
    <row r="150" spans="3:51" x14ac:dyDescent="0.35">
      <c r="C150" s="152" t="s">
        <v>1635</v>
      </c>
      <c r="D150" s="19" t="s">
        <v>243</v>
      </c>
      <c r="E150" s="1250">
        <f>+E140</f>
        <v>9.8897260273972623E-2</v>
      </c>
      <c r="F150" s="1250">
        <f t="shared" ref="F150:M150" si="163">+F140</f>
        <v>9.657240437158468E-2</v>
      </c>
      <c r="G150" s="1250">
        <f t="shared" si="163"/>
        <v>8.5726027397260277E-2</v>
      </c>
      <c r="H150" s="1250">
        <f t="shared" si="163"/>
        <v>8.5000000000000006E-2</v>
      </c>
      <c r="I150" s="1250">
        <f t="shared" si="163"/>
        <v>9.2987671232876712E-2</v>
      </c>
      <c r="J150" s="1250">
        <f t="shared" si="163"/>
        <v>0.10035655737704921</v>
      </c>
      <c r="K150" s="1250">
        <f t="shared" si="163"/>
        <v>0.1028219178082192</v>
      </c>
      <c r="L150" s="1250">
        <f t="shared" si="163"/>
        <v>0.10300000000000001</v>
      </c>
      <c r="M150" s="1250">
        <f t="shared" si="163"/>
        <v>0.10300000000000001</v>
      </c>
      <c r="T150" s="1250">
        <f>+T140</f>
        <v>9.8897260273972623E-2</v>
      </c>
      <c r="U150" s="1250">
        <f t="shared" ref="U150:AB150" si="164">+U140</f>
        <v>9.657240437158468E-2</v>
      </c>
      <c r="V150" s="1250">
        <f t="shared" si="164"/>
        <v>8.5726027397260277E-2</v>
      </c>
      <c r="W150" s="1250">
        <f t="shared" si="164"/>
        <v>8.5000000000000006E-2</v>
      </c>
      <c r="X150" s="1250">
        <f t="shared" si="164"/>
        <v>9.2987671232876712E-2</v>
      </c>
      <c r="Y150" s="1250">
        <f t="shared" si="164"/>
        <v>0.10035655737704921</v>
      </c>
      <c r="Z150" s="1250">
        <f t="shared" si="164"/>
        <v>0.1028219178082192</v>
      </c>
      <c r="AA150" s="1250">
        <f t="shared" si="164"/>
        <v>0.10300000000000001</v>
      </c>
      <c r="AB150" s="1250">
        <f t="shared" si="164"/>
        <v>0.10300000000000001</v>
      </c>
      <c r="AH150" s="1250"/>
      <c r="AI150" s="1250">
        <f t="shared" ref="AI150:AP150" si="165">+AI140</f>
        <v>9.657240437158468E-2</v>
      </c>
      <c r="AJ150" s="1250">
        <f t="shared" si="165"/>
        <v>8.5726027397260277E-2</v>
      </c>
      <c r="AK150" s="1250">
        <f t="shared" si="165"/>
        <v>8.5000000000000006E-2</v>
      </c>
      <c r="AL150" s="1250">
        <f t="shared" si="165"/>
        <v>9.2987671232876712E-2</v>
      </c>
      <c r="AM150" s="1250">
        <f t="shared" si="165"/>
        <v>0.10035655737704921</v>
      </c>
      <c r="AN150" s="1250">
        <f t="shared" si="165"/>
        <v>0.1028219178082192</v>
      </c>
      <c r="AO150" s="1250">
        <f t="shared" si="165"/>
        <v>0.10300000000000001</v>
      </c>
      <c r="AP150" s="1250">
        <f t="shared" si="165"/>
        <v>0.10300000000000001</v>
      </c>
    </row>
    <row r="151" spans="3:51" x14ac:dyDescent="0.35">
      <c r="C151" s="105" t="s">
        <v>1636</v>
      </c>
      <c r="D151" s="22" t="s">
        <v>1238</v>
      </c>
      <c r="E151" s="1735">
        <f>+E150*E149*6/12</f>
        <v>2.2533816188478394E-2</v>
      </c>
      <c r="F151" s="1752">
        <f t="shared" ref="F151:M151" si="166">+F150*F149</f>
        <v>0.1375831029540287</v>
      </c>
      <c r="G151" s="1752">
        <f t="shared" si="166"/>
        <v>-6.9471725332361942E-2</v>
      </c>
      <c r="H151" s="1752">
        <f t="shared" si="166"/>
        <v>-0.38205035531151599</v>
      </c>
      <c r="I151" s="1752">
        <f t="shared" si="166"/>
        <v>-0.75221308906393669</v>
      </c>
      <c r="J151" s="1752">
        <f t="shared" si="166"/>
        <v>-1.7270842041652477</v>
      </c>
      <c r="K151" s="1752">
        <f t="shared" si="166"/>
        <v>-3.1499840225217355</v>
      </c>
      <c r="L151" s="1752">
        <f t="shared" si="166"/>
        <v>-3.8727762253493148</v>
      </c>
      <c r="M151" s="1752">
        <f t="shared" si="166"/>
        <v>-1.9363881126746574</v>
      </c>
      <c r="N151" s="1750">
        <f>SUM(E151:M151)</f>
        <v>-11.729850815276263</v>
      </c>
      <c r="T151" s="1735">
        <f>+T150*T149*6/12</f>
        <v>2.2533816188478394E-2</v>
      </c>
      <c r="U151" s="1735">
        <f t="shared" ref="U151:AB151" si="167">+U150*U149</f>
        <v>9.5070979333979733E-2</v>
      </c>
      <c r="V151" s="1735">
        <f t="shared" si="167"/>
        <v>-0.11611904003351602</v>
      </c>
      <c r="W151" s="1735">
        <f t="shared" si="167"/>
        <v>-0.38192242785386354</v>
      </c>
      <c r="X151" s="1735">
        <f t="shared" si="167"/>
        <v>-0.70247438165462062</v>
      </c>
      <c r="Y151" s="1735">
        <f t="shared" si="167"/>
        <v>-1.5065894145567802</v>
      </c>
      <c r="Z151" s="1735">
        <f t="shared" si="167"/>
        <v>-2.6865969464404142</v>
      </c>
      <c r="AA151" s="1735">
        <f t="shared" si="167"/>
        <v>-3.3085343966587302</v>
      </c>
      <c r="AB151" s="1735">
        <f t="shared" si="167"/>
        <v>-1.6542671983293651</v>
      </c>
      <c r="AC151" s="1750">
        <f>SUM(T151:AB151)</f>
        <v>-10.238899010004831</v>
      </c>
      <c r="AH151" s="1735"/>
      <c r="AI151" s="1735">
        <f t="shared" ref="AI151:AP151" si="168">+AI150*AI149</f>
        <v>4.2512123620048928E-2</v>
      </c>
      <c r="AJ151" s="1735">
        <f t="shared" si="168"/>
        <v>4.6647314701153832E-2</v>
      </c>
      <c r="AK151" s="1735">
        <f t="shared" si="168"/>
        <v>-1.2792745765277669E-4</v>
      </c>
      <c r="AL151" s="1735">
        <f t="shared" si="168"/>
        <v>-4.9738707409316268E-2</v>
      </c>
      <c r="AM151" s="1735">
        <f t="shared" si="168"/>
        <v>-0.22049478960846713</v>
      </c>
      <c r="AN151" s="1735">
        <f t="shared" si="168"/>
        <v>-0.46338707608132179</v>
      </c>
      <c r="AO151" s="1735">
        <f t="shared" si="168"/>
        <v>-0.56424182869058559</v>
      </c>
      <c r="AP151" s="1735">
        <f t="shared" si="168"/>
        <v>-0.28212091434529279</v>
      </c>
      <c r="AQ151" s="1750">
        <f>SUM(AH151:AP151)</f>
        <v>-1.4909518052714335</v>
      </c>
      <c r="AY151" s="1751"/>
    </row>
    <row r="152" spans="3:51" x14ac:dyDescent="0.35">
      <c r="AH152" s="50"/>
      <c r="AI152" s="50"/>
      <c r="AJ152" s="50"/>
      <c r="AK152" s="50"/>
    </row>
    <row r="153" spans="3:51" x14ac:dyDescent="0.35">
      <c r="C153" s="1942" t="s">
        <v>1637</v>
      </c>
      <c r="D153" s="1943"/>
      <c r="E153" s="1943"/>
      <c r="F153" s="1943"/>
      <c r="G153" s="1943"/>
      <c r="H153" s="1943"/>
      <c r="I153" s="1943"/>
      <c r="J153" s="1943"/>
      <c r="K153" s="1943"/>
      <c r="L153" s="1943"/>
      <c r="M153" s="1944"/>
      <c r="T153" s="10"/>
      <c r="U153" s="10"/>
      <c r="V153" s="10"/>
      <c r="W153" s="10"/>
    </row>
    <row r="154" spans="3:51" x14ac:dyDescent="0.35">
      <c r="C154" s="122" t="s">
        <v>111</v>
      </c>
      <c r="D154" s="278" t="s">
        <v>1563</v>
      </c>
      <c r="E154" s="217" t="s">
        <v>196</v>
      </c>
      <c r="F154" s="217" t="s">
        <v>197</v>
      </c>
      <c r="G154" s="217" t="s">
        <v>198</v>
      </c>
      <c r="H154" s="217" t="s">
        <v>199</v>
      </c>
      <c r="I154" s="217" t="s">
        <v>112</v>
      </c>
      <c r="J154" s="217" t="s">
        <v>113</v>
      </c>
      <c r="K154" s="217" t="s">
        <v>114</v>
      </c>
      <c r="L154" s="217" t="s">
        <v>123</v>
      </c>
      <c r="M154" s="217" t="s">
        <v>124</v>
      </c>
      <c r="T154" s="217" t="s">
        <v>196</v>
      </c>
      <c r="U154" s="217" t="s">
        <v>197</v>
      </c>
      <c r="V154" s="217" t="s">
        <v>198</v>
      </c>
      <c r="W154" s="217" t="s">
        <v>199</v>
      </c>
      <c r="X154" s="217" t="s">
        <v>112</v>
      </c>
      <c r="Y154" s="217" t="s">
        <v>113</v>
      </c>
      <c r="Z154" s="217" t="s">
        <v>114</v>
      </c>
      <c r="AA154" s="217" t="s">
        <v>123</v>
      </c>
      <c r="AB154" s="217" t="s">
        <v>124</v>
      </c>
      <c r="AH154" s="217"/>
      <c r="AI154" s="217" t="s">
        <v>197</v>
      </c>
      <c r="AJ154" s="217" t="s">
        <v>198</v>
      </c>
      <c r="AK154" s="217" t="s">
        <v>199</v>
      </c>
      <c r="AL154" s="217" t="s">
        <v>112</v>
      </c>
      <c r="AM154" s="217" t="s">
        <v>113</v>
      </c>
      <c r="AN154" s="217" t="s">
        <v>114</v>
      </c>
      <c r="AO154" s="217" t="s">
        <v>123</v>
      </c>
      <c r="AP154" s="217" t="s">
        <v>124</v>
      </c>
    </row>
    <row r="155" spans="3:51" x14ac:dyDescent="0.35">
      <c r="C155" s="152" t="s">
        <v>1630</v>
      </c>
      <c r="D155" s="19" t="s">
        <v>1238</v>
      </c>
      <c r="E155" s="1618">
        <v>0</v>
      </c>
      <c r="F155" s="1618">
        <f t="shared" ref="F155:M155" si="169">+E158</f>
        <v>7.0319721838163307</v>
      </c>
      <c r="G155" s="1618">
        <f t="shared" si="169"/>
        <v>20.772391639691897</v>
      </c>
      <c r="H155" s="1618">
        <f t="shared" si="169"/>
        <v>27.401082940709479</v>
      </c>
      <c r="I155" s="1618">
        <f t="shared" si="169"/>
        <v>38.275633489134904</v>
      </c>
      <c r="J155" s="1618">
        <f t="shared" si="169"/>
        <v>45.325158907531574</v>
      </c>
      <c r="K155" s="1618">
        <f t="shared" si="169"/>
        <v>42.595960242433435</v>
      </c>
      <c r="L155" s="1618">
        <f t="shared" si="169"/>
        <v>37.83791556807472</v>
      </c>
      <c r="M155" s="1618">
        <f t="shared" si="169"/>
        <v>37.83791556807472</v>
      </c>
      <c r="T155" s="1409">
        <v>0</v>
      </c>
      <c r="U155" s="1409">
        <f t="shared" ref="U155:AB155" si="170">+T158</f>
        <v>7.0319721838163307</v>
      </c>
      <c r="V155" s="1409">
        <f t="shared" si="170"/>
        <v>13.855757358217385</v>
      </c>
      <c r="W155" s="1409">
        <f t="shared" si="170"/>
        <v>14.894708283535234</v>
      </c>
      <c r="X155" s="1409">
        <f t="shared" si="170"/>
        <v>19.348219013317411</v>
      </c>
      <c r="Y155" s="1409">
        <f t="shared" si="170"/>
        <v>20.10744210473413</v>
      </c>
      <c r="Z155" s="1409">
        <f t="shared" si="170"/>
        <v>14.009131393119681</v>
      </c>
      <c r="AA155" s="1409">
        <f t="shared" si="170"/>
        <v>4.6960624785733955</v>
      </c>
      <c r="AB155" s="1409">
        <f t="shared" si="170"/>
        <v>4.6960624785733955</v>
      </c>
      <c r="AH155" s="1409"/>
      <c r="AI155" s="1409">
        <f t="shared" ref="AI155:AP155" si="171">+AH158</f>
        <v>0</v>
      </c>
      <c r="AJ155" s="1409">
        <f t="shared" si="171"/>
        <v>6.9166342814745168</v>
      </c>
      <c r="AK155" s="1409">
        <f t="shared" si="171"/>
        <v>12.506374657174252</v>
      </c>
      <c r="AL155" s="1409">
        <f t="shared" si="171"/>
        <v>18.9274144758175</v>
      </c>
      <c r="AM155" s="1409">
        <f t="shared" si="171"/>
        <v>25.217716802797462</v>
      </c>
      <c r="AN155" s="1409">
        <f t="shared" si="171"/>
        <v>28.586828849313768</v>
      </c>
      <c r="AO155" s="1409">
        <f t="shared" si="171"/>
        <v>33.141853089501325</v>
      </c>
      <c r="AP155" s="1409">
        <f t="shared" si="171"/>
        <v>33.141853089501325</v>
      </c>
    </row>
    <row r="156" spans="3:51" x14ac:dyDescent="0.35">
      <c r="C156" s="152" t="s">
        <v>1631</v>
      </c>
      <c r="D156" s="19" t="s">
        <v>1238</v>
      </c>
      <c r="E156" s="1618">
        <f>+E127</f>
        <v>7.0319721838163307</v>
      </c>
      <c r="F156" s="1618">
        <f t="shared" ref="F156:K156" si="172">+F127</f>
        <v>13.740419455875568</v>
      </c>
      <c r="G156" s="1618">
        <f t="shared" si="172"/>
        <v>6.6286913010175805</v>
      </c>
      <c r="H156" s="1618">
        <f t="shared" si="172"/>
        <v>10.874550548425422</v>
      </c>
      <c r="I156" s="1618">
        <f t="shared" si="172"/>
        <v>7.0495254183966729</v>
      </c>
      <c r="J156" s="1618">
        <f t="shared" si="172"/>
        <v>-2.7291986650981386</v>
      </c>
      <c r="K156" s="1618">
        <f t="shared" si="172"/>
        <v>-4.7580446743587146</v>
      </c>
      <c r="L156" s="1619"/>
      <c r="M156" s="1619"/>
      <c r="T156" s="1409">
        <f>+T127</f>
        <v>7.0319721838163307</v>
      </c>
      <c r="U156" s="1409">
        <f t="shared" ref="U156:Z156" si="173">+U127</f>
        <v>6.8237851744010536</v>
      </c>
      <c r="V156" s="1409">
        <f t="shared" si="173"/>
        <v>1.0389509253178479</v>
      </c>
      <c r="W156" s="1409">
        <f t="shared" si="173"/>
        <v>4.4535107297821757</v>
      </c>
      <c r="X156" s="1409">
        <f t="shared" si="173"/>
        <v>0.75922309141671818</v>
      </c>
      <c r="Y156" s="1409">
        <f t="shared" si="173"/>
        <v>-6.0983107116144488</v>
      </c>
      <c r="Z156" s="1409">
        <f t="shared" si="173"/>
        <v>-9.3130689145462853</v>
      </c>
      <c r="AA156" s="19"/>
      <c r="AB156" s="19"/>
      <c r="AH156" s="1409"/>
      <c r="AI156" s="1409">
        <f t="shared" ref="AI156:AN156" si="174">+AI127</f>
        <v>6.9166342814745168</v>
      </c>
      <c r="AJ156" s="1409">
        <f t="shared" si="174"/>
        <v>5.5897403756997361</v>
      </c>
      <c r="AK156" s="1409">
        <f t="shared" si="174"/>
        <v>6.4210398186432496</v>
      </c>
      <c r="AL156" s="1409">
        <f t="shared" si="174"/>
        <v>6.2903023269799618</v>
      </c>
      <c r="AM156" s="1409">
        <f t="shared" si="174"/>
        <v>3.3691120465163067</v>
      </c>
      <c r="AN156" s="1409">
        <f t="shared" si="174"/>
        <v>4.55502424018756</v>
      </c>
      <c r="AO156" s="19"/>
      <c r="AP156" s="19"/>
    </row>
    <row r="157" spans="3:51" x14ac:dyDescent="0.35">
      <c r="C157" s="152" t="s">
        <v>1632</v>
      </c>
      <c r="D157" s="19" t="s">
        <v>1238</v>
      </c>
      <c r="E157" s="1618"/>
      <c r="F157" s="1618"/>
      <c r="G157" s="1618"/>
      <c r="H157" s="1618"/>
      <c r="I157" s="1618"/>
      <c r="J157" s="1618"/>
      <c r="K157" s="1619"/>
      <c r="L157" s="1619"/>
      <c r="M157" s="1619">
        <f>+M155</f>
        <v>37.83791556807472</v>
      </c>
      <c r="T157" s="1409"/>
      <c r="U157" s="1409"/>
      <c r="V157" s="1409"/>
      <c r="W157" s="1409"/>
      <c r="X157" s="1409"/>
      <c r="Y157" s="1409"/>
      <c r="Z157" s="19"/>
      <c r="AA157" s="19"/>
      <c r="AB157" s="1410">
        <f>+AB155</f>
        <v>4.6960624785733955</v>
      </c>
      <c r="AH157" s="1409"/>
      <c r="AI157" s="1409"/>
      <c r="AJ157" s="1409"/>
      <c r="AK157" s="1409"/>
      <c r="AL157" s="1409"/>
      <c r="AM157" s="1409"/>
      <c r="AN157" s="19"/>
      <c r="AO157" s="19"/>
      <c r="AP157" s="1410">
        <f>+AP155</f>
        <v>33.141853089501325</v>
      </c>
    </row>
    <row r="158" spans="3:51" x14ac:dyDescent="0.35">
      <c r="C158" s="152" t="s">
        <v>1633</v>
      </c>
      <c r="D158" s="19" t="s">
        <v>1238</v>
      </c>
      <c r="E158" s="1618">
        <f t="shared" ref="E158:M158" si="175">+E155+E156-E157</f>
        <v>7.0319721838163307</v>
      </c>
      <c r="F158" s="1618">
        <f t="shared" si="175"/>
        <v>20.772391639691897</v>
      </c>
      <c r="G158" s="1618">
        <f t="shared" si="175"/>
        <v>27.401082940709479</v>
      </c>
      <c r="H158" s="1618">
        <f t="shared" si="175"/>
        <v>38.275633489134904</v>
      </c>
      <c r="I158" s="1618">
        <f t="shared" si="175"/>
        <v>45.325158907531574</v>
      </c>
      <c r="J158" s="1618">
        <f t="shared" si="175"/>
        <v>42.595960242433435</v>
      </c>
      <c r="K158" s="1618">
        <f t="shared" si="175"/>
        <v>37.83791556807472</v>
      </c>
      <c r="L158" s="1618">
        <f t="shared" si="175"/>
        <v>37.83791556807472</v>
      </c>
      <c r="M158" s="1618">
        <f t="shared" si="175"/>
        <v>0</v>
      </c>
      <c r="T158" s="1409">
        <f t="shared" ref="T158:AB158" si="176">+T155+T156-T157</f>
        <v>7.0319721838163307</v>
      </c>
      <c r="U158" s="1409">
        <f t="shared" si="176"/>
        <v>13.855757358217385</v>
      </c>
      <c r="V158" s="1409">
        <f t="shared" si="176"/>
        <v>14.894708283535234</v>
      </c>
      <c r="W158" s="1409">
        <f t="shared" si="176"/>
        <v>19.348219013317411</v>
      </c>
      <c r="X158" s="1409">
        <f t="shared" si="176"/>
        <v>20.10744210473413</v>
      </c>
      <c r="Y158" s="1409">
        <f t="shared" si="176"/>
        <v>14.009131393119681</v>
      </c>
      <c r="Z158" s="1409">
        <f t="shared" si="176"/>
        <v>4.6960624785733955</v>
      </c>
      <c r="AA158" s="1409">
        <f t="shared" si="176"/>
        <v>4.6960624785733955</v>
      </c>
      <c r="AB158" s="1409">
        <f t="shared" si="176"/>
        <v>0</v>
      </c>
      <c r="AH158" s="1409"/>
      <c r="AI158" s="1409">
        <f t="shared" ref="AI158:AP158" si="177">+AI155+AI156-AI157</f>
        <v>6.9166342814745168</v>
      </c>
      <c r="AJ158" s="1409">
        <f t="shared" si="177"/>
        <v>12.506374657174252</v>
      </c>
      <c r="AK158" s="1409">
        <f t="shared" si="177"/>
        <v>18.9274144758175</v>
      </c>
      <c r="AL158" s="1409">
        <f t="shared" si="177"/>
        <v>25.217716802797462</v>
      </c>
      <c r="AM158" s="1409">
        <f t="shared" si="177"/>
        <v>28.586828849313768</v>
      </c>
      <c r="AN158" s="1409">
        <f t="shared" si="177"/>
        <v>33.141853089501325</v>
      </c>
      <c r="AO158" s="1409">
        <f t="shared" si="177"/>
        <v>33.141853089501325</v>
      </c>
      <c r="AP158" s="1409">
        <f t="shared" si="177"/>
        <v>0</v>
      </c>
    </row>
    <row r="159" spans="3:51" x14ac:dyDescent="0.35">
      <c r="C159" s="152" t="s">
        <v>1634</v>
      </c>
      <c r="D159" s="19" t="s">
        <v>1238</v>
      </c>
      <c r="E159" s="1618">
        <f t="shared" ref="E159:M159" si="178">+AVERAGE(E155,E158)</f>
        <v>3.5159860919081654</v>
      </c>
      <c r="F159" s="1618">
        <f t="shared" si="178"/>
        <v>13.902181911754113</v>
      </c>
      <c r="G159" s="1618">
        <f t="shared" si="178"/>
        <v>24.086737290200688</v>
      </c>
      <c r="H159" s="1618">
        <f t="shared" si="178"/>
        <v>32.838358214922195</v>
      </c>
      <c r="I159" s="1618">
        <f t="shared" si="178"/>
        <v>41.800396198333239</v>
      </c>
      <c r="J159" s="1618">
        <f t="shared" si="178"/>
        <v>43.960559574982504</v>
      </c>
      <c r="K159" s="1618">
        <f t="shared" si="178"/>
        <v>40.216937905254078</v>
      </c>
      <c r="L159" s="1618">
        <f t="shared" si="178"/>
        <v>37.83791556807472</v>
      </c>
      <c r="M159" s="1618">
        <f t="shared" si="178"/>
        <v>18.91895778403736</v>
      </c>
      <c r="T159" s="1409">
        <f t="shared" ref="T159:AB159" si="179">+AVERAGE(T155,T158)</f>
        <v>3.5159860919081654</v>
      </c>
      <c r="U159" s="1409">
        <f t="shared" si="179"/>
        <v>10.443864771016859</v>
      </c>
      <c r="V159" s="1409">
        <f t="shared" si="179"/>
        <v>14.37523282087631</v>
      </c>
      <c r="W159" s="1409">
        <f t="shared" si="179"/>
        <v>17.121463648426321</v>
      </c>
      <c r="X159" s="1409">
        <f t="shared" si="179"/>
        <v>19.727830559025769</v>
      </c>
      <c r="Y159" s="1409">
        <f t="shared" si="179"/>
        <v>17.058286748926903</v>
      </c>
      <c r="Z159" s="1409">
        <f t="shared" si="179"/>
        <v>9.3525969358465382</v>
      </c>
      <c r="AA159" s="1409">
        <f t="shared" si="179"/>
        <v>4.6960624785733955</v>
      </c>
      <c r="AB159" s="1409">
        <f t="shared" si="179"/>
        <v>2.3480312392866978</v>
      </c>
      <c r="AH159" s="1409"/>
      <c r="AI159" s="1409">
        <f t="shared" ref="AI159:AP159" si="180">+AVERAGE(AI155,AI158)</f>
        <v>3.4583171407372584</v>
      </c>
      <c r="AJ159" s="1409">
        <f t="shared" si="180"/>
        <v>9.7115044693243853</v>
      </c>
      <c r="AK159" s="1409">
        <f t="shared" si="180"/>
        <v>15.716894566495876</v>
      </c>
      <c r="AL159" s="1409">
        <f t="shared" si="180"/>
        <v>22.072565639307481</v>
      </c>
      <c r="AM159" s="1409">
        <f t="shared" si="180"/>
        <v>26.902272826055615</v>
      </c>
      <c r="AN159" s="1409">
        <f t="shared" si="180"/>
        <v>30.864340969407547</v>
      </c>
      <c r="AO159" s="1409">
        <f t="shared" si="180"/>
        <v>33.141853089501325</v>
      </c>
      <c r="AP159" s="1409">
        <f t="shared" si="180"/>
        <v>16.570926544750662</v>
      </c>
    </row>
    <row r="160" spans="3:51" x14ac:dyDescent="0.35">
      <c r="C160" s="152" t="s">
        <v>1635</v>
      </c>
      <c r="D160" s="19" t="s">
        <v>243</v>
      </c>
      <c r="E160" s="1250">
        <f>+E140</f>
        <v>9.8897260273972623E-2</v>
      </c>
      <c r="F160" s="1250">
        <f t="shared" ref="F160:M160" si="181">+F140</f>
        <v>9.657240437158468E-2</v>
      </c>
      <c r="G160" s="1250">
        <f t="shared" si="181"/>
        <v>8.5726027397260277E-2</v>
      </c>
      <c r="H160" s="1250">
        <f t="shared" si="181"/>
        <v>8.5000000000000006E-2</v>
      </c>
      <c r="I160" s="1250">
        <f t="shared" si="181"/>
        <v>9.2987671232876712E-2</v>
      </c>
      <c r="J160" s="1250">
        <f t="shared" si="181"/>
        <v>0.10035655737704921</v>
      </c>
      <c r="K160" s="1250">
        <f t="shared" si="181"/>
        <v>0.1028219178082192</v>
      </c>
      <c r="L160" s="1250">
        <f t="shared" si="181"/>
        <v>0.10300000000000001</v>
      </c>
      <c r="M160" s="1250">
        <f t="shared" si="181"/>
        <v>0.10300000000000001</v>
      </c>
      <c r="T160" s="1250">
        <f>+T140</f>
        <v>9.8897260273972623E-2</v>
      </c>
      <c r="U160" s="1250">
        <f t="shared" ref="U160:AB160" si="182">+U140</f>
        <v>9.657240437158468E-2</v>
      </c>
      <c r="V160" s="1250">
        <f t="shared" si="182"/>
        <v>8.5726027397260277E-2</v>
      </c>
      <c r="W160" s="1250">
        <f t="shared" si="182"/>
        <v>8.5000000000000006E-2</v>
      </c>
      <c r="X160" s="1250">
        <f t="shared" si="182"/>
        <v>9.2987671232876712E-2</v>
      </c>
      <c r="Y160" s="1250">
        <f t="shared" si="182"/>
        <v>0.10035655737704921</v>
      </c>
      <c r="Z160" s="1250">
        <f t="shared" si="182"/>
        <v>0.1028219178082192</v>
      </c>
      <c r="AA160" s="1250">
        <f t="shared" si="182"/>
        <v>0.10300000000000001</v>
      </c>
      <c r="AB160" s="1250">
        <f t="shared" si="182"/>
        <v>0.10300000000000001</v>
      </c>
      <c r="AH160" s="1250"/>
      <c r="AI160" s="1250">
        <f t="shared" ref="AI160:AP160" si="183">+AI140</f>
        <v>9.657240437158468E-2</v>
      </c>
      <c r="AJ160" s="1250">
        <f t="shared" si="183"/>
        <v>8.5726027397260277E-2</v>
      </c>
      <c r="AK160" s="1250">
        <f t="shared" si="183"/>
        <v>8.5000000000000006E-2</v>
      </c>
      <c r="AL160" s="1250">
        <f t="shared" si="183"/>
        <v>9.2987671232876712E-2</v>
      </c>
      <c r="AM160" s="1250">
        <f t="shared" si="183"/>
        <v>0.10035655737704921</v>
      </c>
      <c r="AN160" s="1250">
        <f t="shared" si="183"/>
        <v>0.1028219178082192</v>
      </c>
      <c r="AO160" s="1250">
        <f t="shared" si="183"/>
        <v>0.10300000000000001</v>
      </c>
      <c r="AP160" s="1250">
        <f t="shared" si="183"/>
        <v>0.10300000000000001</v>
      </c>
    </row>
    <row r="161" spans="3:51" x14ac:dyDescent="0.35">
      <c r="C161" s="105" t="s">
        <v>1636</v>
      </c>
      <c r="D161" s="22" t="s">
        <v>1238</v>
      </c>
      <c r="E161" s="1735">
        <f>+E160*E159*6/12</f>
        <v>0.17386069582555483</v>
      </c>
      <c r="F161" s="1752">
        <f t="shared" ref="F161:M161" si="184">+F160*F159</f>
        <v>1.3425671332292484</v>
      </c>
      <c r="G161" s="1752">
        <f t="shared" si="184"/>
        <v>2.0648603008503548</v>
      </c>
      <c r="H161" s="1752">
        <f t="shared" si="184"/>
        <v>2.7912604482683867</v>
      </c>
      <c r="I161" s="1752">
        <f t="shared" si="184"/>
        <v>3.8869214990946008</v>
      </c>
      <c r="J161" s="1752">
        <f t="shared" si="184"/>
        <v>4.4117304193139217</v>
      </c>
      <c r="K161" s="1752">
        <f t="shared" si="184"/>
        <v>4.1351826837922898</v>
      </c>
      <c r="L161" s="1752">
        <f t="shared" si="184"/>
        <v>3.8973053035116965</v>
      </c>
      <c r="M161" s="1752">
        <f t="shared" si="184"/>
        <v>1.9486526517558482</v>
      </c>
      <c r="N161" s="1750">
        <f>SUM(E161:M161)</f>
        <v>24.652341135641901</v>
      </c>
      <c r="T161" s="1735">
        <f>+T160*T159*6/12</f>
        <v>0.17386069582555483</v>
      </c>
      <c r="U161" s="1735">
        <f t="shared" ref="U161:AB161" si="185">+U160*U159</f>
        <v>1.0085891318687876</v>
      </c>
      <c r="V161" s="1735">
        <f t="shared" si="185"/>
        <v>1.2323316026444378</v>
      </c>
      <c r="W161" s="1735">
        <f t="shared" si="185"/>
        <v>1.4553244101162375</v>
      </c>
      <c r="X161" s="1735">
        <f t="shared" si="185"/>
        <v>1.8344450221605866</v>
      </c>
      <c r="Y161" s="1735">
        <f t="shared" si="185"/>
        <v>1.711910932872841</v>
      </c>
      <c r="Z161" s="1735">
        <f t="shared" si="185"/>
        <v>0.9616519534310155</v>
      </c>
      <c r="AA161" s="1735">
        <f t="shared" si="185"/>
        <v>0.48369443529305978</v>
      </c>
      <c r="AB161" s="1735">
        <f t="shared" si="185"/>
        <v>0.24184721764652989</v>
      </c>
      <c r="AC161" s="1750">
        <f>SUM(T161:AB161)</f>
        <v>9.1036554018590508</v>
      </c>
      <c r="AH161" s="1735"/>
      <c r="AI161" s="1735">
        <f t="shared" ref="AI161:AP161" si="186">+AI160*AI159</f>
        <v>0.33397800136046102</v>
      </c>
      <c r="AJ161" s="1735">
        <f t="shared" si="186"/>
        <v>0.83252869820591791</v>
      </c>
      <c r="AK161" s="1735">
        <f t="shared" si="186"/>
        <v>1.3359360381521495</v>
      </c>
      <c r="AL161" s="1735">
        <f t="shared" si="186"/>
        <v>2.0524764769340154</v>
      </c>
      <c r="AM161" s="1735">
        <f t="shared" si="186"/>
        <v>2.6998194864410823</v>
      </c>
      <c r="AN161" s="1735">
        <f t="shared" si="186"/>
        <v>3.1735307303612754</v>
      </c>
      <c r="AO161" s="1735">
        <f t="shared" si="186"/>
        <v>3.4136108682186368</v>
      </c>
      <c r="AP161" s="1735">
        <f t="shared" si="186"/>
        <v>1.7068054341093184</v>
      </c>
      <c r="AQ161" s="1750">
        <f>SUM(AH161:AP161)</f>
        <v>15.548685733782856</v>
      </c>
      <c r="AY161" s="1751"/>
    </row>
    <row r="162" spans="3:51" x14ac:dyDescent="0.35">
      <c r="AH162" s="50"/>
      <c r="AI162" s="50"/>
      <c r="AJ162" s="50"/>
      <c r="AK162" s="50"/>
    </row>
    <row r="163" spans="3:51" x14ac:dyDescent="0.35">
      <c r="AH163" s="50"/>
      <c r="AI163" s="50"/>
      <c r="AJ163" s="50"/>
      <c r="AK163" s="50"/>
    </row>
    <row r="164" spans="3:51" x14ac:dyDescent="0.35">
      <c r="AH164" s="50"/>
      <c r="AI164" s="50"/>
      <c r="AJ164" s="50"/>
      <c r="AK164" s="50"/>
    </row>
    <row r="165" spans="3:51" x14ac:dyDescent="0.35">
      <c r="AH165" s="50"/>
      <c r="AI165" s="50"/>
      <c r="AJ165" s="50"/>
      <c r="AK165" s="50"/>
    </row>
    <row r="166" spans="3:51" x14ac:dyDescent="0.35">
      <c r="AH166" s="50"/>
      <c r="AI166" s="50"/>
      <c r="AJ166" s="50"/>
      <c r="AK166" s="50"/>
    </row>
    <row r="167" spans="3:51" x14ac:dyDescent="0.35">
      <c r="AH167" s="50"/>
      <c r="AI167" s="50"/>
      <c r="AJ167" s="50"/>
      <c r="AK167" s="50"/>
    </row>
    <row r="168" spans="3:51" x14ac:dyDescent="0.35">
      <c r="AH168" s="50"/>
      <c r="AI168" s="50"/>
      <c r="AJ168" s="50"/>
      <c r="AK168" s="50"/>
    </row>
    <row r="169" spans="3:51" x14ac:dyDescent="0.35">
      <c r="AH169" s="50"/>
      <c r="AI169" s="50"/>
      <c r="AJ169" s="50"/>
      <c r="AK169" s="50"/>
    </row>
    <row r="170" spans="3:51" x14ac:dyDescent="0.35">
      <c r="AH170" s="50"/>
      <c r="AI170" s="50"/>
      <c r="AJ170" s="50"/>
      <c r="AK170" s="50"/>
    </row>
    <row r="171" spans="3:51" x14ac:dyDescent="0.35">
      <c r="AH171" s="50"/>
      <c r="AI171" s="50"/>
      <c r="AJ171" s="50"/>
      <c r="AK171" s="50"/>
    </row>
    <row r="172" spans="3:51" x14ac:dyDescent="0.35">
      <c r="AH172" s="50"/>
      <c r="AI172" s="50"/>
      <c r="AJ172" s="50"/>
      <c r="AK172" s="50"/>
    </row>
  </sheetData>
  <mergeCells count="34">
    <mergeCell ref="AH91:AN91"/>
    <mergeCell ref="C133:M133"/>
    <mergeCell ref="Q90:Q91"/>
    <mergeCell ref="T91:Z91"/>
    <mergeCell ref="C143:M143"/>
    <mergeCell ref="C153:M153"/>
    <mergeCell ref="B90:B91"/>
    <mergeCell ref="C90:C91"/>
    <mergeCell ref="D90:D91"/>
    <mergeCell ref="L90:P90"/>
    <mergeCell ref="E91:K91"/>
    <mergeCell ref="B47:B48"/>
    <mergeCell ref="C47:C48"/>
    <mergeCell ref="D47:D48"/>
    <mergeCell ref="L47:P47"/>
    <mergeCell ref="Q47:Q48"/>
    <mergeCell ref="E48:K48"/>
    <mergeCell ref="B2:Q2"/>
    <mergeCell ref="B3:Q3"/>
    <mergeCell ref="B4:Q4"/>
    <mergeCell ref="L10:P10"/>
    <mergeCell ref="E11:K11"/>
    <mergeCell ref="T9:AE9"/>
    <mergeCell ref="AH9:AS9"/>
    <mergeCell ref="AO10:AS10"/>
    <mergeCell ref="AO47:AS47"/>
    <mergeCell ref="AO90:AS90"/>
    <mergeCell ref="AA10:AE10"/>
    <mergeCell ref="AA47:AE47"/>
    <mergeCell ref="AA90:AE90"/>
    <mergeCell ref="T48:Z48"/>
    <mergeCell ref="T11:Z11"/>
    <mergeCell ref="AH11:AN11"/>
    <mergeCell ref="AH48:AN48"/>
  </mergeCells>
  <pageMargins left="0.44" right="0.43" top="0.92" bottom="1" header="0.5" footer="0.5"/>
  <pageSetup paperSize="9" scale="34" orientation="landscape" r:id="rId1"/>
  <headerFooter alignWithMargins="0"/>
  <rowBreaks count="1" manualBreakCount="1">
    <brk id="86" min="1" max="1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3F9D7-5A96-4530-B7DB-A9994B02FB70}">
  <sheetPr>
    <tabColor rgb="FFFFC000"/>
  </sheetPr>
  <dimension ref="A1:L48"/>
  <sheetViews>
    <sheetView showGridLines="0" zoomScale="70" zoomScaleNormal="70" workbookViewId="0">
      <pane xSplit="2" ySplit="4" topLeftCell="C5" activePane="bottomRight" state="frozen"/>
      <selection activeCell="C90" sqref="B90:P113"/>
      <selection pane="topRight" activeCell="C90" sqref="B90:P113"/>
      <selection pane="bottomLeft" activeCell="C90" sqref="B90:P113"/>
      <selection pane="bottomRight" activeCell="D43" sqref="D43:G48"/>
    </sheetView>
  </sheetViews>
  <sheetFormatPr defaultColWidth="9.1328125" defaultRowHeight="14.25" x14ac:dyDescent="0.35"/>
  <cols>
    <col min="1" max="1" width="9.1328125" style="294"/>
    <col min="2" max="2" width="61.6640625" style="294" bestFit="1" customWidth="1"/>
    <col min="3" max="12" width="13.796875" style="294" customWidth="1"/>
    <col min="13" max="16384" width="9.1328125" style="294"/>
  </cols>
  <sheetData>
    <row r="1" spans="2:12" x14ac:dyDescent="0.35">
      <c r="C1" s="2184" t="s">
        <v>114</v>
      </c>
      <c r="D1" s="2184"/>
      <c r="E1" s="2184"/>
      <c r="F1" s="2184"/>
      <c r="G1" s="2184"/>
      <c r="H1" s="2184"/>
      <c r="I1" s="2184"/>
      <c r="J1" s="2184"/>
      <c r="K1" s="2184"/>
      <c r="L1" s="2184"/>
    </row>
    <row r="2" spans="2:12" ht="15" customHeight="1" x14ac:dyDescent="0.35">
      <c r="B2" s="2189" t="s">
        <v>903</v>
      </c>
      <c r="C2" s="2180" t="s">
        <v>904</v>
      </c>
      <c r="D2" s="2181"/>
      <c r="E2" s="2181"/>
      <c r="F2" s="2181"/>
      <c r="G2" s="2181"/>
      <c r="H2" s="2182"/>
      <c r="I2" s="2183" t="s">
        <v>905</v>
      </c>
      <c r="J2" s="2183" t="s">
        <v>906</v>
      </c>
      <c r="K2" s="2183" t="s">
        <v>827</v>
      </c>
      <c r="L2" s="2175" t="s">
        <v>907</v>
      </c>
    </row>
    <row r="3" spans="2:12" s="1813" customFormat="1" x14ac:dyDescent="0.35">
      <c r="B3" s="2190"/>
      <c r="C3" s="1812" t="s">
        <v>908</v>
      </c>
      <c r="D3" s="1812" t="s">
        <v>909</v>
      </c>
      <c r="E3" s="1812" t="s">
        <v>910</v>
      </c>
      <c r="F3" s="1812" t="s">
        <v>911</v>
      </c>
      <c r="G3" s="1812" t="s">
        <v>912</v>
      </c>
      <c r="H3" s="1812" t="s">
        <v>913</v>
      </c>
      <c r="I3" s="2183"/>
      <c r="J3" s="2183"/>
      <c r="K3" s="2183"/>
      <c r="L3" s="2176"/>
    </row>
    <row r="4" spans="2:12" x14ac:dyDescent="0.35">
      <c r="B4" s="295"/>
      <c r="C4" s="2177" t="s">
        <v>914</v>
      </c>
      <c r="D4" s="2178"/>
      <c r="E4" s="2178"/>
      <c r="F4" s="2178"/>
      <c r="G4" s="2178"/>
      <c r="H4" s="2178"/>
      <c r="I4" s="2178"/>
      <c r="J4" s="2178"/>
      <c r="K4" s="2178"/>
      <c r="L4" s="2179"/>
    </row>
    <row r="5" spans="2:12" x14ac:dyDescent="0.35">
      <c r="B5" s="295" t="s">
        <v>1411</v>
      </c>
      <c r="C5" s="296"/>
      <c r="D5" s="296">
        <f>+'Voltage identifiable'!G5</f>
        <v>0</v>
      </c>
      <c r="E5" s="296">
        <f>+'Voltage identifiable'!H5</f>
        <v>0</v>
      </c>
      <c r="F5" s="296">
        <f>+'Voltage identifiable'!I5</f>
        <v>0</v>
      </c>
      <c r="G5" s="296">
        <f>+'Voltage identifiable'!J5</f>
        <v>0.90575524044225009</v>
      </c>
      <c r="H5" s="296">
        <f>SUM(D5:G5)</f>
        <v>0.90575524044225009</v>
      </c>
      <c r="I5" s="296">
        <f>+'Voltage identifiable'!K5</f>
        <v>0</v>
      </c>
      <c r="J5" s="296"/>
      <c r="K5" s="297">
        <f>+H5+I5+J5</f>
        <v>0.90575524044225009</v>
      </c>
      <c r="L5" s="296"/>
    </row>
    <row r="6" spans="2:12" x14ac:dyDescent="0.35">
      <c r="B6" s="295" t="s">
        <v>925</v>
      </c>
      <c r="C6" s="296"/>
      <c r="D6" s="296">
        <f>+'Voltage identifiable'!G6</f>
        <v>0</v>
      </c>
      <c r="E6" s="296">
        <f>+'Voltage identifiable'!H6</f>
        <v>0</v>
      </c>
      <c r="F6" s="296">
        <f>+'Voltage identifiable'!I6</f>
        <v>0</v>
      </c>
      <c r="G6" s="296">
        <f>+'Voltage identifiable'!J6</f>
        <v>1.0976515613679019E-3</v>
      </c>
      <c r="H6" s="296">
        <f t="shared" ref="H6:H19" si="0">SUM(D6:G6)</f>
        <v>1.0976515613679019E-3</v>
      </c>
      <c r="I6" s="296">
        <f>+'Voltage identifiable'!K6</f>
        <v>0</v>
      </c>
      <c r="J6" s="296"/>
      <c r="K6" s="297">
        <f t="shared" ref="K6:K19" si="1">+H6+I6+J6</f>
        <v>1.0976515613679019E-3</v>
      </c>
      <c r="L6" s="296"/>
    </row>
    <row r="7" spans="2:12" x14ac:dyDescent="0.35">
      <c r="B7" s="295" t="s">
        <v>1408</v>
      </c>
      <c r="C7" s="296"/>
      <c r="D7" s="296">
        <f>+'Voltage identifiable'!G7</f>
        <v>11.129264355740368</v>
      </c>
      <c r="E7" s="296">
        <f>+'Voltage identifiable'!H7</f>
        <v>0</v>
      </c>
      <c r="F7" s="296">
        <f>+'Voltage identifiable'!I7</f>
        <v>0</v>
      </c>
      <c r="G7" s="296">
        <f>+'Voltage identifiable'!J7</f>
        <v>0.43315213575525208</v>
      </c>
      <c r="H7" s="296">
        <f t="shared" si="0"/>
        <v>11.56241649149562</v>
      </c>
      <c r="I7" s="296">
        <f>+'Voltage identifiable'!K7</f>
        <v>0</v>
      </c>
      <c r="J7" s="296"/>
      <c r="K7" s="297">
        <f t="shared" si="1"/>
        <v>11.56241649149562</v>
      </c>
      <c r="L7" s="296"/>
    </row>
    <row r="8" spans="2:12" x14ac:dyDescent="0.35">
      <c r="B8" s="295" t="s">
        <v>1838</v>
      </c>
      <c r="C8" s="296"/>
      <c r="D8" s="296">
        <f>+'Voltage identifiable'!G8+'Common to business'!G5</f>
        <v>3.1150865588059329</v>
      </c>
      <c r="E8" s="296">
        <f>+'Voltage identifiable'!H8+'Common to business'!H5</f>
        <v>0</v>
      </c>
      <c r="F8" s="296">
        <f>+'Voltage identifiable'!I8+'Common to business'!I5</f>
        <v>0</v>
      </c>
      <c r="G8" s="296">
        <f>+'Voltage identifiable'!J8+'Common to business'!J5</f>
        <v>3.3773933321940652</v>
      </c>
      <c r="H8" s="296">
        <f t="shared" si="0"/>
        <v>6.4924798909999986</v>
      </c>
      <c r="I8" s="296">
        <f>+'Voltage identifiable'!K8+'Common to business'!K5</f>
        <v>0</v>
      </c>
      <c r="J8" s="296"/>
      <c r="K8" s="297">
        <f t="shared" si="1"/>
        <v>6.4924798909999986</v>
      </c>
      <c r="L8" s="296"/>
    </row>
    <row r="9" spans="2:12" x14ac:dyDescent="0.35">
      <c r="B9" s="295" t="s">
        <v>1839</v>
      </c>
      <c r="C9" s="296"/>
      <c r="D9" s="296">
        <f>+'Voltage identifiable'!G9</f>
        <v>1.0010988777290587E-3</v>
      </c>
      <c r="E9" s="296">
        <f>+'Voltage identifiable'!H9</f>
        <v>0</v>
      </c>
      <c r="F9" s="296">
        <f>+'Voltage identifiable'!I9</f>
        <v>0</v>
      </c>
      <c r="G9" s="296">
        <f>+'Voltage identifiable'!J9</f>
        <v>0.39326994816607486</v>
      </c>
      <c r="H9" s="296">
        <f t="shared" si="0"/>
        <v>0.39427104704380389</v>
      </c>
      <c r="I9" s="296">
        <f>+'Voltage identifiable'!K9</f>
        <v>0</v>
      </c>
      <c r="J9" s="296"/>
      <c r="K9" s="297">
        <f t="shared" si="1"/>
        <v>0.39427104704380389</v>
      </c>
      <c r="L9" s="296"/>
    </row>
    <row r="10" spans="2:12" x14ac:dyDescent="0.35">
      <c r="B10" s="295" t="s">
        <v>1414</v>
      </c>
      <c r="C10" s="296"/>
      <c r="D10" s="296">
        <f>+'Voltage identifiable'!G10</f>
        <v>2.0723763113029821E-2</v>
      </c>
      <c r="E10" s="296">
        <f>+'Voltage identifiable'!H10</f>
        <v>0</v>
      </c>
      <c r="F10" s="296">
        <f>+'Voltage identifiable'!I10</f>
        <v>1.8328942762564683E-3</v>
      </c>
      <c r="G10" s="296">
        <f>+'Voltage identifiable'!J10</f>
        <v>1.1245846783829476E-3</v>
      </c>
      <c r="H10" s="296">
        <f t="shared" si="0"/>
        <v>2.3681242067669236E-2</v>
      </c>
      <c r="I10" s="296">
        <f>+'Voltage identifiable'!K10</f>
        <v>0</v>
      </c>
      <c r="J10" s="296"/>
      <c r="K10" s="297">
        <f t="shared" si="1"/>
        <v>2.3681242067669236E-2</v>
      </c>
      <c r="L10" s="296"/>
    </row>
    <row r="11" spans="2:12" x14ac:dyDescent="0.35">
      <c r="B11" s="295" t="s">
        <v>915</v>
      </c>
      <c r="C11" s="296"/>
      <c r="D11" s="296">
        <f>+'Voltage identifiable'!G11+SUM('Common to business'!G6:G23)</f>
        <v>0.17413667265364025</v>
      </c>
      <c r="E11" s="296">
        <f>+'Voltage identifiable'!H11+SUM('Common to business'!H6:H23)</f>
        <v>0</v>
      </c>
      <c r="F11" s="296">
        <f>+'Voltage identifiable'!I11+SUM('Common to business'!I6:I23)</f>
        <v>0</v>
      </c>
      <c r="G11" s="296">
        <f>+'Voltage identifiable'!J11+SUM('Common to business'!J6:J23)</f>
        <v>0.21295018573354793</v>
      </c>
      <c r="H11" s="296">
        <f t="shared" si="0"/>
        <v>0.38708685838718815</v>
      </c>
      <c r="I11" s="296">
        <f>+'Voltage identifiable'!K11+SUM('Common to business'!K6:K23)</f>
        <v>2.8763398222224974</v>
      </c>
      <c r="J11" s="296"/>
      <c r="K11" s="297">
        <f t="shared" si="1"/>
        <v>3.2634266806096854</v>
      </c>
      <c r="L11" s="296"/>
    </row>
    <row r="12" spans="2:12" x14ac:dyDescent="0.35">
      <c r="B12" s="295" t="s">
        <v>1415</v>
      </c>
      <c r="C12" s="296"/>
      <c r="D12" s="296">
        <f>+'Voltage identifiable'!G12</f>
        <v>5.4265136281003672</v>
      </c>
      <c r="E12" s="296">
        <f>+'Voltage identifiable'!H12</f>
        <v>0</v>
      </c>
      <c r="F12" s="296">
        <f>+'Voltage identifiable'!I12</f>
        <v>9.0303397396406773</v>
      </c>
      <c r="G12" s="296">
        <f>+'Voltage identifiable'!J12</f>
        <v>22.489049769832096</v>
      </c>
      <c r="H12" s="296">
        <f t="shared" si="0"/>
        <v>36.94590313757314</v>
      </c>
      <c r="I12" s="296">
        <f>+'Voltage identifiable'!K12</f>
        <v>0</v>
      </c>
      <c r="J12" s="296"/>
      <c r="K12" s="297">
        <f t="shared" si="1"/>
        <v>36.94590313757314</v>
      </c>
      <c r="L12" s="296"/>
    </row>
    <row r="13" spans="2:12" x14ac:dyDescent="0.35">
      <c r="B13" s="295" t="s">
        <v>1840</v>
      </c>
      <c r="C13" s="296"/>
      <c r="D13" s="296">
        <f>+'Voltage identifiable'!G13+'Common to Voltage'!G27</f>
        <v>5.0550002196482282</v>
      </c>
      <c r="E13" s="296">
        <f>+'Voltage identifiable'!H13+'Common to Voltage'!H27</f>
        <v>0</v>
      </c>
      <c r="F13" s="296">
        <f>+'Voltage identifiable'!I13+'Common to Voltage'!I27</f>
        <v>0</v>
      </c>
      <c r="G13" s="296">
        <f>+'Voltage identifiable'!J13+'Common to Voltage'!J27</f>
        <v>2.5020070996431665</v>
      </c>
      <c r="H13" s="296">
        <f t="shared" si="0"/>
        <v>7.5570073192913947</v>
      </c>
      <c r="I13" s="296">
        <f>+'Voltage identifiable'!K13+'Common to Voltage'!K27</f>
        <v>0</v>
      </c>
      <c r="J13" s="296"/>
      <c r="K13" s="297">
        <f t="shared" si="1"/>
        <v>7.5570073192913947</v>
      </c>
      <c r="L13" s="296"/>
    </row>
    <row r="14" spans="2:12" x14ac:dyDescent="0.35">
      <c r="B14" s="295" t="s">
        <v>1416</v>
      </c>
      <c r="C14" s="296"/>
      <c r="D14" s="296">
        <f>+'Voltage identifiable'!G14</f>
        <v>1.4378626089201791</v>
      </c>
      <c r="E14" s="296">
        <f>+'Voltage identifiable'!H14</f>
        <v>0</v>
      </c>
      <c r="F14" s="296">
        <f>+'Voltage identifiable'!I14</f>
        <v>1.5976467917366932</v>
      </c>
      <c r="G14" s="296">
        <f>+'Voltage identifiable'!J14</f>
        <v>2.1186401862582045</v>
      </c>
      <c r="H14" s="296">
        <f t="shared" si="0"/>
        <v>5.1541495869150769</v>
      </c>
      <c r="I14" s="296">
        <f>+'Voltage identifiable'!K14</f>
        <v>0</v>
      </c>
      <c r="J14" s="296"/>
      <c r="K14" s="297">
        <f t="shared" si="1"/>
        <v>5.1541495869150769</v>
      </c>
      <c r="L14" s="296"/>
    </row>
    <row r="15" spans="2:12" x14ac:dyDescent="0.35">
      <c r="B15" s="309" t="s">
        <v>1417</v>
      </c>
      <c r="C15" s="296"/>
      <c r="D15" s="296">
        <f>+'Common to business'!G24</f>
        <v>8.4694799524602765E-2</v>
      </c>
      <c r="E15" s="296">
        <f>+'Common to business'!H24</f>
        <v>0</v>
      </c>
      <c r="F15" s="296">
        <f>+'Common to business'!I24</f>
        <v>0</v>
      </c>
      <c r="G15" s="296">
        <f>+'Common to business'!J24</f>
        <v>7.4640789923790654E-2</v>
      </c>
      <c r="H15" s="296">
        <f t="shared" si="0"/>
        <v>0.15933558944839343</v>
      </c>
      <c r="I15" s="296">
        <f>+'Common to business'!K24</f>
        <v>6.6064295516066202E-3</v>
      </c>
      <c r="J15" s="296"/>
      <c r="K15" s="297">
        <f t="shared" si="1"/>
        <v>0.16594201900000005</v>
      </c>
      <c r="L15" s="296"/>
    </row>
    <row r="16" spans="2:12" x14ac:dyDescent="0.35">
      <c r="B16" s="309" t="s">
        <v>1418</v>
      </c>
      <c r="C16" s="296"/>
      <c r="D16" s="296">
        <f>+'Common to business'!G25</f>
        <v>3.2645022906181598E-2</v>
      </c>
      <c r="E16" s="296">
        <f>+'Common to business'!H25</f>
        <v>0</v>
      </c>
      <c r="F16" s="296">
        <f>+'Common to business'!I25</f>
        <v>0</v>
      </c>
      <c r="G16" s="296">
        <f>+'Common to business'!J25</f>
        <v>2.8769774655288228E-2</v>
      </c>
      <c r="H16" s="296">
        <f t="shared" si="0"/>
        <v>6.1414797561469822E-2</v>
      </c>
      <c r="I16" s="296">
        <f>+'Common to business'!K25</f>
        <v>2.5464024385301789E-3</v>
      </c>
      <c r="J16" s="296"/>
      <c r="K16" s="297">
        <f t="shared" si="1"/>
        <v>6.3961199999999996E-2</v>
      </c>
      <c r="L16" s="296"/>
    </row>
    <row r="17" spans="1:12" x14ac:dyDescent="0.35">
      <c r="B17" s="309" t="s">
        <v>1419</v>
      </c>
      <c r="C17" s="296"/>
      <c r="D17" s="296">
        <f>+'Common to business'!G26</f>
        <v>4.1097633568625544E-2</v>
      </c>
      <c r="E17" s="296">
        <f>+'Common to business'!H26</f>
        <v>0</v>
      </c>
      <c r="F17" s="296">
        <f>+'Common to business'!I26</f>
        <v>0</v>
      </c>
      <c r="G17" s="296">
        <f>+'Common to business'!J26</f>
        <v>3.621898688914918E-2</v>
      </c>
      <c r="H17" s="296">
        <f t="shared" si="0"/>
        <v>7.7316620457774723E-2</v>
      </c>
      <c r="I17" s="296">
        <f>+'Common to business'!K26</f>
        <v>3.2057295422252955E-3</v>
      </c>
      <c r="J17" s="296"/>
      <c r="K17" s="297">
        <f t="shared" si="1"/>
        <v>8.052235000000002E-2</v>
      </c>
      <c r="L17" s="296"/>
    </row>
    <row r="18" spans="1:12" x14ac:dyDescent="0.35">
      <c r="B18" s="309" t="s">
        <v>1420</v>
      </c>
      <c r="C18" s="296"/>
      <c r="D18" s="296">
        <f>+'Common to business'!G27</f>
        <v>0.12674146418688295</v>
      </c>
      <c r="E18" s="296">
        <f>+'Common to business'!H27</f>
        <v>0</v>
      </c>
      <c r="F18" s="296">
        <f>+'Common to business'!I27</f>
        <v>0</v>
      </c>
      <c r="G18" s="296">
        <f>+'Common to business'!J27</f>
        <v>0.11169614965861904</v>
      </c>
      <c r="H18" s="296">
        <f t="shared" si="0"/>
        <v>0.23843761384550199</v>
      </c>
      <c r="I18" s="296">
        <f>+'Common to business'!K27</f>
        <v>9.886186154498048E-3</v>
      </c>
      <c r="J18" s="296"/>
      <c r="K18" s="297">
        <f t="shared" si="1"/>
        <v>0.24832380000000004</v>
      </c>
      <c r="L18" s="296"/>
    </row>
    <row r="19" spans="1:12" x14ac:dyDescent="0.35">
      <c r="B19" s="309" t="s">
        <v>935</v>
      </c>
      <c r="C19" s="296"/>
      <c r="D19" s="296">
        <f>+'Common to business'!G28</f>
        <v>1.7863576695189519E-6</v>
      </c>
      <c r="E19" s="296">
        <f>+'Common to business'!H28</f>
        <v>0</v>
      </c>
      <c r="F19" s="296">
        <f>+'Common to business'!I28</f>
        <v>0</v>
      </c>
      <c r="G19" s="296">
        <f>+'Common to business'!J28</f>
        <v>1.5743014717283103E-6</v>
      </c>
      <c r="H19" s="296">
        <f t="shared" si="0"/>
        <v>3.3606591412472622E-6</v>
      </c>
      <c r="I19" s="296">
        <f>+'Common to business'!K28</f>
        <v>1.39340858752738E-7</v>
      </c>
      <c r="J19" s="296"/>
      <c r="K19" s="297">
        <f t="shared" si="1"/>
        <v>3.5000000000000004E-6</v>
      </c>
      <c r="L19" s="296"/>
    </row>
    <row r="20" spans="1:12" x14ac:dyDescent="0.35">
      <c r="B20" s="295" t="s">
        <v>1882</v>
      </c>
      <c r="C20" s="296"/>
      <c r="D20" s="296"/>
      <c r="E20" s="296"/>
      <c r="F20" s="296"/>
      <c r="G20" s="296"/>
      <c r="H20" s="296"/>
      <c r="I20" s="296"/>
      <c r="J20" s="296"/>
      <c r="K20" s="297"/>
      <c r="L20" s="296"/>
    </row>
    <row r="21" spans="1:12" x14ac:dyDescent="0.35">
      <c r="B21" s="295"/>
      <c r="C21" s="295"/>
      <c r="D21" s="295"/>
      <c r="E21" s="295"/>
      <c r="F21" s="295"/>
      <c r="G21" s="295"/>
      <c r="H21" s="295"/>
      <c r="I21" s="295"/>
      <c r="J21" s="295"/>
      <c r="K21" s="295"/>
      <c r="L21" s="295"/>
    </row>
    <row r="22" spans="1:12" x14ac:dyDescent="0.35">
      <c r="B22" s="298" t="s">
        <v>827</v>
      </c>
      <c r="C22" s="299">
        <f>SUM(C5:C20)</f>
        <v>0</v>
      </c>
      <c r="D22" s="299">
        <f>SUM(D5:D20)</f>
        <v>26.644769612403433</v>
      </c>
      <c r="E22" s="299">
        <f t="shared" ref="E22:K22" si="2">SUM(E5:E20)</f>
        <v>0</v>
      </c>
      <c r="F22" s="299">
        <f t="shared" si="2"/>
        <v>10.629819425653627</v>
      </c>
      <c r="G22" s="299">
        <f t="shared" si="2"/>
        <v>32.685767409692723</v>
      </c>
      <c r="H22" s="299">
        <f t="shared" si="2"/>
        <v>69.960356447749803</v>
      </c>
      <c r="I22" s="299">
        <f t="shared" si="2"/>
        <v>2.8985847092502164</v>
      </c>
      <c r="J22" s="299">
        <f t="shared" si="2"/>
        <v>0</v>
      </c>
      <c r="K22" s="299">
        <f t="shared" si="2"/>
        <v>72.858941157000004</v>
      </c>
      <c r="L22" s="299">
        <f>SUM(L5:L20)</f>
        <v>0</v>
      </c>
    </row>
    <row r="26" spans="1:12" ht="28.5" x14ac:dyDescent="0.35">
      <c r="A26" s="1814" t="s">
        <v>1857</v>
      </c>
      <c r="B26" s="1815" t="s">
        <v>111</v>
      </c>
      <c r="C26" s="1815" t="s">
        <v>1563</v>
      </c>
      <c r="D26" s="1816" t="s">
        <v>677</v>
      </c>
      <c r="E26" s="1816" t="s">
        <v>1657</v>
      </c>
      <c r="F26" s="1815" t="s">
        <v>905</v>
      </c>
      <c r="G26" s="1815" t="s">
        <v>1858</v>
      </c>
      <c r="H26" s="1815" t="s">
        <v>1859</v>
      </c>
      <c r="I26" s="1815" t="s">
        <v>164</v>
      </c>
      <c r="J26" s="1841"/>
      <c r="K26" s="300"/>
    </row>
    <row r="27" spans="1:12" x14ac:dyDescent="0.45">
      <c r="A27" s="1817">
        <v>1</v>
      </c>
      <c r="B27" s="1818" t="s">
        <v>1407</v>
      </c>
      <c r="C27" s="1818" t="s">
        <v>1218</v>
      </c>
      <c r="D27" s="1819" t="s">
        <v>1860</v>
      </c>
      <c r="E27" s="1842">
        <f>+'Voltage identifiable'!M17-'Voltage identifiable'!K17+'Common to Voltage'!J27</f>
        <v>63.271353959401573</v>
      </c>
      <c r="F27" s="1843">
        <f>+'Voltage identifiable'!K17</f>
        <v>2.8763398222224974</v>
      </c>
      <c r="G27" s="1843">
        <f>SUM('Common to business'!M5:M23)</f>
        <v>6.1524945063759366</v>
      </c>
      <c r="H27" s="1843">
        <f>SUM('Common to business'!M24:M28)</f>
        <v>0.5587528690000001</v>
      </c>
      <c r="I27" s="1839">
        <f>SUM(E27:H27)</f>
        <v>72.858941157000004</v>
      </c>
      <c r="J27" s="1840"/>
      <c r="K27" s="300"/>
    </row>
    <row r="28" spans="1:12" x14ac:dyDescent="0.35">
      <c r="A28" s="1817">
        <v>2</v>
      </c>
      <c r="B28" s="1818" t="s">
        <v>1643</v>
      </c>
      <c r="C28" s="1818" t="s">
        <v>243</v>
      </c>
      <c r="D28" s="1819" t="s">
        <v>1860</v>
      </c>
      <c r="E28" s="1823">
        <f>E27/$I$27</f>
        <v>0.8684089139184904</v>
      </c>
      <c r="F28" s="1823">
        <f>F27/$I$27</f>
        <v>3.9478199607985244E-2</v>
      </c>
      <c r="G28" s="1823">
        <f>G27/$I$27</f>
        <v>8.4443918737691248E-2</v>
      </c>
      <c r="H28" s="1823">
        <f>H27/$I$27</f>
        <v>7.6689677358331649E-3</v>
      </c>
      <c r="I28" s="1823">
        <f>I27/$I$27</f>
        <v>1</v>
      </c>
      <c r="J28" s="1822"/>
    </row>
    <row r="29" spans="1:12" x14ac:dyDescent="0.35">
      <c r="A29" s="1824"/>
      <c r="B29" s="1825"/>
      <c r="C29" s="1818"/>
      <c r="D29" s="1826"/>
      <c r="E29" s="1827"/>
      <c r="F29" s="1827"/>
      <c r="G29" s="1827"/>
      <c r="H29" s="1828"/>
      <c r="I29" s="1822"/>
      <c r="J29" s="1822"/>
    </row>
    <row r="30" spans="1:12" x14ac:dyDescent="0.35">
      <c r="A30" s="1824"/>
      <c r="B30" s="1829" t="s">
        <v>111</v>
      </c>
      <c r="C30" s="1830" t="s">
        <v>1563</v>
      </c>
      <c r="D30" s="1816" t="s">
        <v>677</v>
      </c>
      <c r="E30" s="1830" t="s">
        <v>908</v>
      </c>
      <c r="F30" s="1830" t="s">
        <v>1861</v>
      </c>
      <c r="G30" s="1830" t="s">
        <v>912</v>
      </c>
      <c r="H30" s="1830" t="s">
        <v>963</v>
      </c>
      <c r="I30" s="1830" t="s">
        <v>923</v>
      </c>
      <c r="J30" s="1830" t="s">
        <v>827</v>
      </c>
    </row>
    <row r="31" spans="1:12" x14ac:dyDescent="0.35">
      <c r="A31" s="1817">
        <v>3</v>
      </c>
      <c r="B31" s="1818" t="s">
        <v>1862</v>
      </c>
      <c r="C31" s="1818" t="s">
        <v>1218</v>
      </c>
      <c r="D31" s="1819" t="s">
        <v>1860</v>
      </c>
      <c r="E31" s="1844">
        <v>0</v>
      </c>
      <c r="F31" s="1844">
        <f>+'Voltage identifiable'!G17+'Voltage identifiable'!H17+'Voltage identifiable'!I17</f>
        <v>33.711325416448048</v>
      </c>
      <c r="G31" s="1844">
        <f>+'Voltage identifiable'!J17</f>
        <v>27.058021443310363</v>
      </c>
      <c r="H31" s="1844">
        <f>SUM(E31:G31)</f>
        <v>60.769346859758414</v>
      </c>
      <c r="I31" s="1844"/>
      <c r="J31" s="1844">
        <f>H31+I31</f>
        <v>60.769346859758414</v>
      </c>
    </row>
    <row r="32" spans="1:12" x14ac:dyDescent="0.35">
      <c r="A32" s="1817">
        <v>4</v>
      </c>
      <c r="B32" s="1818" t="s">
        <v>1863</v>
      </c>
      <c r="C32" s="1818" t="s">
        <v>1218</v>
      </c>
      <c r="D32" s="1819" t="s">
        <v>1860</v>
      </c>
      <c r="E32" s="1844"/>
      <c r="F32" s="1844"/>
      <c r="G32" s="1844">
        <f>+'Common to Voltage'!J27</f>
        <v>2.5020070996431665</v>
      </c>
      <c r="H32" s="1844">
        <f>SUM(E32:G32)</f>
        <v>2.5020070996431665</v>
      </c>
      <c r="I32" s="1844"/>
      <c r="J32" s="1844">
        <f>H32+I32</f>
        <v>2.5020070996431665</v>
      </c>
    </row>
    <row r="33" spans="1:10" x14ac:dyDescent="0.35">
      <c r="A33" s="1817">
        <v>5</v>
      </c>
      <c r="B33" s="1818" t="s">
        <v>986</v>
      </c>
      <c r="C33" s="1818" t="s">
        <v>1218</v>
      </c>
      <c r="D33" s="1819" t="s">
        <v>1860</v>
      </c>
      <c r="E33" s="1844"/>
      <c r="F33" s="1844"/>
      <c r="G33" s="1844"/>
      <c r="H33" s="1844">
        <f>SUM(E33:G33)</f>
        <v>0</v>
      </c>
      <c r="I33" s="1844">
        <f>+'Voltage identifiable'!K17</f>
        <v>2.8763398222224974</v>
      </c>
      <c r="J33" s="1844">
        <f>H33+I33</f>
        <v>2.8763398222224974</v>
      </c>
    </row>
    <row r="34" spans="1:10" ht="14.45" customHeight="1" x14ac:dyDescent="0.35">
      <c r="A34" s="1817">
        <v>6</v>
      </c>
      <c r="B34" s="2185" t="s">
        <v>1864</v>
      </c>
      <c r="C34" s="1831" t="s">
        <v>1218</v>
      </c>
      <c r="D34" s="1819" t="s">
        <v>1865</v>
      </c>
      <c r="E34" s="1845">
        <f t="shared" ref="E34:J34" si="3">SUM(E31:E33)</f>
        <v>0</v>
      </c>
      <c r="F34" s="1845">
        <f t="shared" si="3"/>
        <v>33.711325416448048</v>
      </c>
      <c r="G34" s="1845">
        <f t="shared" si="3"/>
        <v>29.560028542953528</v>
      </c>
      <c r="H34" s="1845">
        <f t="shared" si="3"/>
        <v>63.27135395940158</v>
      </c>
      <c r="I34" s="1845">
        <f t="shared" si="3"/>
        <v>2.8763398222224974</v>
      </c>
      <c r="J34" s="1845">
        <f t="shared" si="3"/>
        <v>66.147693781624071</v>
      </c>
    </row>
    <row r="35" spans="1:10" ht="25.5" x14ac:dyDescent="0.35">
      <c r="A35" s="1817">
        <v>7</v>
      </c>
      <c r="B35" s="2185"/>
      <c r="C35" s="1833" t="s">
        <v>243</v>
      </c>
      <c r="D35" s="1819" t="s">
        <v>1866</v>
      </c>
      <c r="E35" s="1834">
        <f>+E34/$H$34</f>
        <v>0</v>
      </c>
      <c r="F35" s="1834">
        <f>+F34/$H$34</f>
        <v>0.5328055005441974</v>
      </c>
      <c r="G35" s="1834">
        <f>+G34/$H$34</f>
        <v>0.46719449945580249</v>
      </c>
      <c r="H35" s="1834">
        <f>+H34/$H$34</f>
        <v>1</v>
      </c>
      <c r="I35" s="1834"/>
      <c r="J35" s="1834"/>
    </row>
    <row r="36" spans="1:10" x14ac:dyDescent="0.35">
      <c r="A36" s="1817">
        <v>8</v>
      </c>
      <c r="B36" s="1835" t="s">
        <v>1867</v>
      </c>
      <c r="C36" s="1818" t="s">
        <v>1218</v>
      </c>
      <c r="D36" s="1819" t="s">
        <v>1868</v>
      </c>
      <c r="E36" s="1844">
        <f>+$H$36*E35</f>
        <v>0</v>
      </c>
      <c r="F36" s="1844">
        <f>+$H$36*F35</f>
        <v>3.2780829150650557</v>
      </c>
      <c r="G36" s="1844">
        <f>+$H$36*G35</f>
        <v>2.8744115913108805</v>
      </c>
      <c r="H36" s="1844">
        <f>G27</f>
        <v>6.1524945063759366</v>
      </c>
      <c r="I36" s="1818"/>
      <c r="J36" s="1844">
        <f>H36+I36</f>
        <v>6.1524945063759366</v>
      </c>
    </row>
    <row r="37" spans="1:10" ht="25.5" x14ac:dyDescent="0.35">
      <c r="A37" s="1817">
        <v>9</v>
      </c>
      <c r="B37" s="1818" t="s">
        <v>1869</v>
      </c>
      <c r="C37" s="1818" t="s">
        <v>1218</v>
      </c>
      <c r="D37" s="1819" t="s">
        <v>1870</v>
      </c>
      <c r="E37" s="1836">
        <f>$H$37*E40</f>
        <v>0</v>
      </c>
      <c r="F37" s="1836">
        <f>$H$37*F40</f>
        <v>0.19691404815460123</v>
      </c>
      <c r="G37" s="1836">
        <f>$H$37*G40</f>
        <v>0.33754223488744306</v>
      </c>
      <c r="H37" s="1836">
        <f>H27-I37</f>
        <v>0.53445628304204429</v>
      </c>
      <c r="I37" s="1837">
        <f>H27*F27/(E27+F27)</f>
        <v>2.4296585957955849E-2</v>
      </c>
      <c r="J37" s="1836">
        <f>SUM(H37:I37)</f>
        <v>0.5587528690000001</v>
      </c>
    </row>
    <row r="38" spans="1:10" x14ac:dyDescent="0.35">
      <c r="A38" s="1817">
        <v>10</v>
      </c>
      <c r="B38" s="1818" t="s">
        <v>1871</v>
      </c>
      <c r="C38" s="1818" t="s">
        <v>1218</v>
      </c>
      <c r="D38" s="1819" t="s">
        <v>1872</v>
      </c>
      <c r="E38" s="1846">
        <f t="shared" ref="E38:J38" si="4">E34+E36+E37</f>
        <v>0</v>
      </c>
      <c r="F38" s="1846">
        <f t="shared" si="4"/>
        <v>37.186322379667708</v>
      </c>
      <c r="G38" s="1846">
        <f t="shared" si="4"/>
        <v>32.77198236915185</v>
      </c>
      <c r="H38" s="1846">
        <f t="shared" si="4"/>
        <v>69.958304748819558</v>
      </c>
      <c r="I38" s="1846">
        <f t="shared" si="4"/>
        <v>2.9006364081804534</v>
      </c>
      <c r="J38" s="1846">
        <f t="shared" si="4"/>
        <v>72.858941157000004</v>
      </c>
    </row>
    <row r="39" spans="1:10" ht="25.5" x14ac:dyDescent="0.35">
      <c r="A39" s="1817">
        <v>11</v>
      </c>
      <c r="B39" s="1831" t="s">
        <v>1873</v>
      </c>
      <c r="C39" s="1831" t="s">
        <v>243</v>
      </c>
      <c r="D39" s="1819" t="s">
        <v>1874</v>
      </c>
      <c r="E39" s="1834">
        <f t="shared" ref="E39:J39" si="5">E38/$J$38</f>
        <v>0</v>
      </c>
      <c r="F39" s="1834">
        <f t="shared" si="5"/>
        <v>0.51038790557684344</v>
      </c>
      <c r="G39" s="1834">
        <f t="shared" si="5"/>
        <v>0.44980042049380298</v>
      </c>
      <c r="H39" s="1834">
        <f t="shared" si="5"/>
        <v>0.96018832607064641</v>
      </c>
      <c r="I39" s="1834">
        <f t="shared" si="5"/>
        <v>3.9811673929353718E-2</v>
      </c>
      <c r="J39" s="1834">
        <f t="shared" si="5"/>
        <v>1</v>
      </c>
    </row>
    <row r="40" spans="1:10" ht="25.8" customHeight="1" x14ac:dyDescent="0.35">
      <c r="A40" s="1817">
        <v>12</v>
      </c>
      <c r="B40" s="1835" t="s">
        <v>1875</v>
      </c>
      <c r="C40" s="1818" t="s">
        <v>243</v>
      </c>
      <c r="D40" s="1819" t="s">
        <v>1876</v>
      </c>
      <c r="E40" s="1838">
        <f>+D48</f>
        <v>0</v>
      </c>
      <c r="F40" s="1838">
        <f>+E48</f>
        <v>0.36843808259451316</v>
      </c>
      <c r="G40" s="1838">
        <f>+F48</f>
        <v>0.63156191740548684</v>
      </c>
      <c r="H40" s="1818"/>
      <c r="I40" s="1838"/>
      <c r="J40" s="1818"/>
    </row>
    <row r="43" spans="1:10" x14ac:dyDescent="0.45">
      <c r="B43" s="1847" t="s">
        <v>1877</v>
      </c>
      <c r="C43" s="1847" t="s">
        <v>677</v>
      </c>
      <c r="D43" s="1832" t="s">
        <v>908</v>
      </c>
      <c r="E43" s="1832" t="s">
        <v>1861</v>
      </c>
      <c r="F43" s="1832" t="s">
        <v>912</v>
      </c>
      <c r="G43" s="1832" t="s">
        <v>827</v>
      </c>
    </row>
    <row r="44" spans="1:10" x14ac:dyDescent="0.45">
      <c r="B44" s="2186" t="s">
        <v>1878</v>
      </c>
      <c r="C44" s="1821" t="s">
        <v>226</v>
      </c>
      <c r="D44" s="1817">
        <v>0</v>
      </c>
      <c r="E44" s="1817">
        <f>+'F13'!C208</f>
        <v>7</v>
      </c>
      <c r="F44" s="1817">
        <f>+'F13'!C224</f>
        <v>2338</v>
      </c>
      <c r="G44" s="1848">
        <f>SUM(D44:F44)</f>
        <v>2345</v>
      </c>
    </row>
    <row r="45" spans="1:10" x14ac:dyDescent="0.35">
      <c r="B45" s="2186"/>
      <c r="C45" s="1820" t="s">
        <v>228</v>
      </c>
      <c r="D45" s="1849">
        <f>D44/$G$44</f>
        <v>0</v>
      </c>
      <c r="E45" s="1849">
        <f>E44/$G$44</f>
        <v>2.9850746268656717E-3</v>
      </c>
      <c r="F45" s="1849">
        <f>F44/$G$44</f>
        <v>0.9970149253731343</v>
      </c>
      <c r="G45" s="1849">
        <f>G44/$G$44</f>
        <v>1</v>
      </c>
    </row>
    <row r="46" spans="1:10" x14ac:dyDescent="0.35">
      <c r="B46" s="2187" t="s">
        <v>1881</v>
      </c>
      <c r="C46" s="1820" t="s">
        <v>274</v>
      </c>
      <c r="D46" s="1817"/>
      <c r="E46" s="1817">
        <v>50</v>
      </c>
      <c r="F46" s="1817">
        <f>7*2.5+0.315*2</f>
        <v>18.13</v>
      </c>
      <c r="G46" s="1848">
        <f>SUM(D46:F46)</f>
        <v>68.13</v>
      </c>
    </row>
    <row r="47" spans="1:10" x14ac:dyDescent="0.35">
      <c r="B47" s="2188"/>
      <c r="C47" s="1820" t="s">
        <v>1879</v>
      </c>
      <c r="D47" s="1849">
        <f>D46/$G$46</f>
        <v>0</v>
      </c>
      <c r="E47" s="1849">
        <f>E46/$G$46</f>
        <v>0.73389109056216062</v>
      </c>
      <c r="F47" s="1849">
        <f>F46/$G$46</f>
        <v>0.26610890943783944</v>
      </c>
      <c r="G47" s="1849">
        <f>G46/$G$46</f>
        <v>1</v>
      </c>
    </row>
    <row r="48" spans="1:10" x14ac:dyDescent="0.35">
      <c r="B48" s="1848" t="s">
        <v>1384</v>
      </c>
      <c r="C48" s="1820" t="s">
        <v>1880</v>
      </c>
      <c r="D48" s="1849">
        <f>D45*50%+D47*50%</f>
        <v>0</v>
      </c>
      <c r="E48" s="1849">
        <f>E45*50%+E47*50%</f>
        <v>0.36843808259451316</v>
      </c>
      <c r="F48" s="1849">
        <f>F45*50%+F47*50%</f>
        <v>0.63156191740548684</v>
      </c>
      <c r="G48" s="1849">
        <f>SUM(D48:F48)</f>
        <v>1</v>
      </c>
    </row>
  </sheetData>
  <mergeCells count="11">
    <mergeCell ref="B34:B35"/>
    <mergeCell ref="B44:B45"/>
    <mergeCell ref="B46:B47"/>
    <mergeCell ref="J2:J3"/>
    <mergeCell ref="K2:K3"/>
    <mergeCell ref="B2:B3"/>
    <mergeCell ref="L2:L3"/>
    <mergeCell ref="C4:L4"/>
    <mergeCell ref="C2:H2"/>
    <mergeCell ref="I2:I3"/>
    <mergeCell ref="C1:L1"/>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7AF2E-448B-4878-9DA2-EDDB7B16C7BB}">
  <dimension ref="C3:C16"/>
  <sheetViews>
    <sheetView showGridLines="0" workbookViewId="0">
      <selection activeCell="C16" sqref="C16"/>
    </sheetView>
  </sheetViews>
  <sheetFormatPr defaultColWidth="8.86328125" defaultRowHeight="14.25" x14ac:dyDescent="0.45"/>
  <cols>
    <col min="1" max="2" width="8.86328125" style="302"/>
    <col min="3" max="3" width="60.1328125" style="302" bestFit="1" customWidth="1"/>
    <col min="4" max="16384" width="8.86328125" style="302"/>
  </cols>
  <sheetData>
    <row r="3" spans="3:3" x14ac:dyDescent="0.45">
      <c r="C3" s="301" t="s">
        <v>903</v>
      </c>
    </row>
    <row r="4" spans="3:3" x14ac:dyDescent="0.45">
      <c r="C4" s="1780" t="s">
        <v>1411</v>
      </c>
    </row>
    <row r="5" spans="3:3" x14ac:dyDescent="0.45">
      <c r="C5" s="1780" t="s">
        <v>925</v>
      </c>
    </row>
    <row r="6" spans="3:3" x14ac:dyDescent="0.45">
      <c r="C6" s="1780" t="s">
        <v>1408</v>
      </c>
    </row>
    <row r="7" spans="3:3" x14ac:dyDescent="0.45">
      <c r="C7" s="1780" t="s">
        <v>1838</v>
      </c>
    </row>
    <row r="8" spans="3:3" x14ac:dyDescent="0.45">
      <c r="C8" s="1780" t="s">
        <v>1839</v>
      </c>
    </row>
    <row r="9" spans="3:3" x14ac:dyDescent="0.45">
      <c r="C9" s="1780" t="s">
        <v>1414</v>
      </c>
    </row>
    <row r="10" spans="3:3" x14ac:dyDescent="0.45">
      <c r="C10" s="1780" t="s">
        <v>915</v>
      </c>
    </row>
    <row r="11" spans="3:3" x14ac:dyDescent="0.45">
      <c r="C11" s="1780" t="s">
        <v>1415</v>
      </c>
    </row>
    <row r="12" spans="3:3" x14ac:dyDescent="0.45">
      <c r="C12" s="1780" t="s">
        <v>1840</v>
      </c>
    </row>
    <row r="13" spans="3:3" x14ac:dyDescent="0.45">
      <c r="C13" s="1780" t="s">
        <v>1416</v>
      </c>
    </row>
    <row r="14" spans="3:3" x14ac:dyDescent="0.45">
      <c r="C14" s="303"/>
    </row>
    <row r="15" spans="3:3" x14ac:dyDescent="0.45">
      <c r="C15" s="304"/>
    </row>
    <row r="16" spans="3:3" x14ac:dyDescent="0.45">
      <c r="C16" s="305"/>
    </row>
  </sheetData>
  <dataValidations count="1">
    <dataValidation type="list" allowBlank="1" showInputMessage="1" showErrorMessage="1" sqref="C4:C13" xr:uid="{486F6CE9-C740-4342-95B7-A7E34745627F}">
      <formula1>$C$4:$C$29</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E227C-6584-45D5-B7DE-62EA254C17DD}">
  <sheetPr>
    <tabColor rgb="FF00B0F0"/>
  </sheetPr>
  <dimension ref="B1:R17"/>
  <sheetViews>
    <sheetView showGridLines="0" zoomScale="70" zoomScaleNormal="70" workbookViewId="0">
      <pane xSplit="5" ySplit="4" topLeftCell="F5" activePane="bottomRight" state="frozen"/>
      <selection activeCell="C90" sqref="B90:P113"/>
      <selection pane="topRight" activeCell="C90" sqref="B90:P113"/>
      <selection pane="bottomLeft" activeCell="C90" sqref="B90:P113"/>
      <selection pane="bottomRight" activeCell="Q17" sqref="Q17"/>
    </sheetView>
  </sheetViews>
  <sheetFormatPr defaultColWidth="9.1328125" defaultRowHeight="13.5" x14ac:dyDescent="0.35"/>
  <cols>
    <col min="1" max="1" width="3.33203125" style="285" customWidth="1"/>
    <col min="2" max="2" width="51" style="285" hidden="1" customWidth="1"/>
    <col min="3" max="3" width="60.1328125" style="292" bestFit="1" customWidth="1"/>
    <col min="4" max="4" width="16.33203125" style="292" customWidth="1"/>
    <col min="5" max="5" width="1.53125" style="292" customWidth="1"/>
    <col min="6" max="6" width="12" style="285" hidden="1" customWidth="1"/>
    <col min="7" max="11" width="13.796875" style="285" customWidth="1"/>
    <col min="12" max="12" width="2.33203125" style="285" customWidth="1"/>
    <col min="13" max="13" width="13.796875" style="285" customWidth="1"/>
    <col min="14" max="14" width="9.1328125" style="285"/>
    <col min="15" max="15" width="10" style="285" bestFit="1" customWidth="1"/>
    <col min="16" max="16" width="9.1328125" style="1783"/>
    <col min="17" max="17" width="9.1328125" style="285"/>
    <col min="18" max="18" width="16.33203125" style="285" bestFit="1" customWidth="1"/>
    <col min="19" max="16384" width="9.1328125" style="285"/>
  </cols>
  <sheetData>
    <row r="1" spans="2:18" x14ac:dyDescent="0.35">
      <c r="C1" s="285" t="s">
        <v>918</v>
      </c>
    </row>
    <row r="2" spans="2:18" x14ac:dyDescent="0.35">
      <c r="F2" s="2192" t="s">
        <v>114</v>
      </c>
      <c r="G2" s="2192"/>
      <c r="H2" s="2192"/>
      <c r="I2" s="2192"/>
      <c r="J2" s="2192"/>
      <c r="K2" s="2192"/>
      <c r="L2" s="2192"/>
      <c r="M2" s="2192"/>
    </row>
    <row r="3" spans="2:18" ht="15" customHeight="1" x14ac:dyDescent="0.35">
      <c r="B3" s="2193" t="s">
        <v>919</v>
      </c>
      <c r="C3" s="2193" t="s">
        <v>920</v>
      </c>
      <c r="D3" s="2194" t="s">
        <v>921</v>
      </c>
      <c r="E3" s="306"/>
      <c r="F3" s="2191" t="s">
        <v>922</v>
      </c>
      <c r="G3" s="2191"/>
      <c r="H3" s="2191"/>
      <c r="I3" s="2191"/>
      <c r="J3" s="2191"/>
      <c r="K3" s="2191"/>
      <c r="L3" s="2191"/>
      <c r="M3" s="2191"/>
    </row>
    <row r="4" spans="2:18" ht="31.25" customHeight="1" x14ac:dyDescent="0.35">
      <c r="B4" s="2193"/>
      <c r="C4" s="2193"/>
      <c r="D4" s="2195"/>
      <c r="E4" s="307"/>
      <c r="F4" s="287" t="s">
        <v>908</v>
      </c>
      <c r="G4" s="287" t="s">
        <v>909</v>
      </c>
      <c r="H4" s="287" t="s">
        <v>910</v>
      </c>
      <c r="I4" s="287" t="s">
        <v>911</v>
      </c>
      <c r="J4" s="287" t="s">
        <v>912</v>
      </c>
      <c r="K4" s="287" t="s">
        <v>923</v>
      </c>
      <c r="L4" s="308"/>
      <c r="M4" s="287" t="s">
        <v>164</v>
      </c>
    </row>
    <row r="5" spans="2:18" x14ac:dyDescent="0.35">
      <c r="B5" s="309"/>
      <c r="C5" s="1780" t="s">
        <v>1411</v>
      </c>
      <c r="D5" s="309" t="s">
        <v>963</v>
      </c>
      <c r="E5" s="310"/>
      <c r="F5" s="311"/>
      <c r="G5" s="1781">
        <f t="shared" ref="G5:I6" si="0">0/(10^7)</f>
        <v>0</v>
      </c>
      <c r="H5" s="1781">
        <f t="shared" si="0"/>
        <v>0</v>
      </c>
      <c r="I5" s="1781">
        <f t="shared" si="0"/>
        <v>0</v>
      </c>
      <c r="J5" s="1781">
        <f>9057552.4044225/(10^7)</f>
        <v>0.90575524044225009</v>
      </c>
      <c r="K5" s="1781">
        <f t="shared" ref="K5:K10" si="1">0/(10^7)</f>
        <v>0</v>
      </c>
      <c r="L5" s="312"/>
      <c r="M5" s="311">
        <f>SUM(F5:K5)</f>
        <v>0.90575524044225009</v>
      </c>
      <c r="O5" s="325">
        <f>+M5+N5</f>
        <v>0.90575524044225009</v>
      </c>
      <c r="P5" s="1783">
        <v>0.90575524100000004</v>
      </c>
      <c r="Q5" s="1783">
        <f>+O5-P5</f>
        <v>-5.5774995733059995E-10</v>
      </c>
      <c r="R5" s="1783"/>
    </row>
    <row r="6" spans="2:18" x14ac:dyDescent="0.35">
      <c r="B6" s="309"/>
      <c r="C6" s="1780" t="s">
        <v>925</v>
      </c>
      <c r="D6" s="309" t="s">
        <v>963</v>
      </c>
      <c r="E6" s="310"/>
      <c r="F6" s="311"/>
      <c r="G6" s="1781">
        <f t="shared" si="0"/>
        <v>0</v>
      </c>
      <c r="H6" s="1781">
        <f t="shared" si="0"/>
        <v>0</v>
      </c>
      <c r="I6" s="1781">
        <f t="shared" si="0"/>
        <v>0</v>
      </c>
      <c r="J6" s="1781">
        <f>10976.515613679/(10^7)</f>
        <v>1.0976515613679019E-3</v>
      </c>
      <c r="K6" s="1781">
        <f t="shared" si="1"/>
        <v>0</v>
      </c>
      <c r="L6" s="312"/>
      <c r="M6" s="311">
        <f t="shared" ref="M6:M14" si="2">SUM(F6:K6)</f>
        <v>1.0976515613679019E-3</v>
      </c>
      <c r="O6" s="325">
        <f t="shared" ref="O6:O14" si="3">+M6+N6</f>
        <v>1.0976515613679019E-3</v>
      </c>
      <c r="P6" s="1783">
        <v>1.097652E-3</v>
      </c>
      <c r="Q6" s="1783">
        <f t="shared" ref="Q6:Q14" si="4">+O6-P6</f>
        <v>-4.3863209809105741E-10</v>
      </c>
      <c r="R6" s="1783"/>
    </row>
    <row r="7" spans="2:18" x14ac:dyDescent="0.35">
      <c r="B7" s="309"/>
      <c r="C7" s="1780" t="s">
        <v>1408</v>
      </c>
      <c r="D7" s="309" t="s">
        <v>963</v>
      </c>
      <c r="E7" s="310"/>
      <c r="F7" s="311"/>
      <c r="G7" s="1781">
        <f>111292643.557404/(10^7)</f>
        <v>11.129264355740368</v>
      </c>
      <c r="H7" s="1781">
        <f t="shared" ref="H7:I9" si="5">0/(10^7)</f>
        <v>0</v>
      </c>
      <c r="I7" s="1781">
        <f t="shared" si="5"/>
        <v>0</v>
      </c>
      <c r="J7" s="1781">
        <f>4331521.35755252/(10^7)</f>
        <v>0.43315213575525208</v>
      </c>
      <c r="K7" s="1781">
        <f t="shared" si="1"/>
        <v>0</v>
      </c>
      <c r="L7" s="312"/>
      <c r="M7" s="311">
        <f t="shared" si="2"/>
        <v>11.56241649149562</v>
      </c>
      <c r="O7" s="325">
        <f t="shared" si="3"/>
        <v>11.56241649149562</v>
      </c>
      <c r="P7" s="1783">
        <v>11.562416491</v>
      </c>
      <c r="Q7" s="1783">
        <f t="shared" si="4"/>
        <v>4.9561954540422448E-10</v>
      </c>
      <c r="R7" s="1783"/>
    </row>
    <row r="8" spans="2:18" x14ac:dyDescent="0.35">
      <c r="B8" s="309"/>
      <c r="C8" s="1780" t="s">
        <v>1838</v>
      </c>
      <c r="D8" s="309" t="s">
        <v>963</v>
      </c>
      <c r="E8" s="310"/>
      <c r="F8" s="311"/>
      <c r="G8" s="1781">
        <f>111403.16394519/(10^7)</f>
        <v>1.1140316394518951E-2</v>
      </c>
      <c r="H8" s="1781">
        <f t="shared" si="5"/>
        <v>0</v>
      </c>
      <c r="I8" s="1781">
        <f t="shared" si="5"/>
        <v>0</v>
      </c>
      <c r="J8" s="1781">
        <f>6556747.88410325/(10^7)</f>
        <v>0.65567478841032545</v>
      </c>
      <c r="K8" s="1781">
        <f t="shared" si="1"/>
        <v>0</v>
      </c>
      <c r="L8" s="312"/>
      <c r="M8" s="311">
        <f t="shared" si="2"/>
        <v>0.66681510480484441</v>
      </c>
      <c r="N8" s="325">
        <f>+'Common to business'!M5</f>
        <v>5.8256647861951549</v>
      </c>
      <c r="O8" s="325">
        <f t="shared" si="3"/>
        <v>6.4924798909999994</v>
      </c>
      <c r="P8" s="1783">
        <v>6.4924798909999994</v>
      </c>
      <c r="Q8" s="1783">
        <f t="shared" si="4"/>
        <v>0</v>
      </c>
      <c r="R8" s="1783"/>
    </row>
    <row r="9" spans="2:18" x14ac:dyDescent="0.35">
      <c r="B9" s="309"/>
      <c r="C9" s="1780" t="s">
        <v>1839</v>
      </c>
      <c r="D9" s="309" t="s">
        <v>963</v>
      </c>
      <c r="E9" s="310"/>
      <c r="F9" s="311"/>
      <c r="G9" s="1781">
        <f>10010.9887772906/(10^7)</f>
        <v>1.0010988777290587E-3</v>
      </c>
      <c r="H9" s="1781">
        <f t="shared" si="5"/>
        <v>0</v>
      </c>
      <c r="I9" s="1781">
        <f t="shared" si="5"/>
        <v>0</v>
      </c>
      <c r="J9" s="1781">
        <f>3932699.48166075/(10^7)</f>
        <v>0.39326994816607486</v>
      </c>
      <c r="K9" s="1781">
        <f t="shared" si="1"/>
        <v>0</v>
      </c>
      <c r="L9" s="312"/>
      <c r="M9" s="311">
        <f t="shared" si="2"/>
        <v>0.39427104704380389</v>
      </c>
      <c r="O9" s="325">
        <f t="shared" si="3"/>
        <v>0.39427104704380389</v>
      </c>
      <c r="P9" s="1783">
        <v>0.39427104699999999</v>
      </c>
      <c r="Q9" s="1783">
        <f t="shared" si="4"/>
        <v>4.3803904947736783E-11</v>
      </c>
      <c r="R9" s="1783"/>
    </row>
    <row r="10" spans="2:18" x14ac:dyDescent="0.35">
      <c r="B10" s="309"/>
      <c r="C10" s="1780" t="s">
        <v>1414</v>
      </c>
      <c r="D10" s="309" t="s">
        <v>963</v>
      </c>
      <c r="E10" s="310"/>
      <c r="F10" s="311"/>
      <c r="G10" s="1781">
        <f>207237.631130298/(10^7)</f>
        <v>2.0723763113029821E-2</v>
      </c>
      <c r="H10" s="1781">
        <f>0/(10^7)</f>
        <v>0</v>
      </c>
      <c r="I10" s="1781">
        <f>18328.9427625647/(10^7)</f>
        <v>1.8328942762564683E-3</v>
      </c>
      <c r="J10" s="1781">
        <f>11245.8467838295/(10^7)</f>
        <v>1.1245846783829476E-3</v>
      </c>
      <c r="K10" s="1781">
        <f t="shared" si="1"/>
        <v>0</v>
      </c>
      <c r="L10" s="312"/>
      <c r="M10" s="311">
        <f t="shared" si="2"/>
        <v>2.3681242067669236E-2</v>
      </c>
      <c r="O10" s="325">
        <f t="shared" si="3"/>
        <v>2.3681242067669236E-2</v>
      </c>
      <c r="P10" s="1783">
        <v>2.3681242999999998E-2</v>
      </c>
      <c r="Q10" s="1783">
        <f t="shared" si="4"/>
        <v>-9.3233076120524672E-10</v>
      </c>
      <c r="R10" s="1783"/>
    </row>
    <row r="11" spans="2:18" x14ac:dyDescent="0.35">
      <c r="B11" s="309"/>
      <c r="C11" s="1780" t="s">
        <v>915</v>
      </c>
      <c r="D11" s="309" t="s">
        <v>963</v>
      </c>
      <c r="E11" s="310"/>
      <c r="F11" s="311"/>
      <c r="G11" s="1781">
        <f>0/(10^7)</f>
        <v>0</v>
      </c>
      <c r="H11" s="1781">
        <f>0/(10^7)</f>
        <v>0</v>
      </c>
      <c r="I11" s="1781">
        <f>0/(10^7)</f>
        <v>0</v>
      </c>
      <c r="J11" s="1781">
        <f>602571.382064086/(10^7)</f>
        <v>6.0257138206408579E-2</v>
      </c>
      <c r="K11" s="1781">
        <v>2.8763398222224974</v>
      </c>
      <c r="L11" s="312"/>
      <c r="M11" s="311">
        <f t="shared" si="2"/>
        <v>2.9365969604289059</v>
      </c>
      <c r="N11" s="325">
        <f>SUM('Common to business'!M6:M23)</f>
        <v>0.32682972018077971</v>
      </c>
      <c r="O11" s="325">
        <f t="shared" si="3"/>
        <v>3.2634266806096859</v>
      </c>
      <c r="P11" s="1783">
        <v>3.2568286980000001</v>
      </c>
      <c r="Q11" s="1783">
        <f t="shared" si="4"/>
        <v>6.5979826096858041E-3</v>
      </c>
      <c r="R11" s="1783"/>
    </row>
    <row r="12" spans="2:18" x14ac:dyDescent="0.35">
      <c r="B12" s="309"/>
      <c r="C12" s="1780" t="s">
        <v>1415</v>
      </c>
      <c r="D12" s="309" t="s">
        <v>963</v>
      </c>
      <c r="E12" s="310"/>
      <c r="F12" s="311"/>
      <c r="G12" s="1781">
        <f>54265136.2810037/(10^7)</f>
        <v>5.4265136281003672</v>
      </c>
      <c r="H12" s="1781">
        <f>0/(10^7)</f>
        <v>0</v>
      </c>
      <c r="I12" s="1781">
        <f>90303397.3964068/(10^7)</f>
        <v>9.0303397396406773</v>
      </c>
      <c r="J12" s="1781">
        <f>224890497.698321/(10^7)</f>
        <v>22.489049769832096</v>
      </c>
      <c r="K12" s="1781">
        <f>0/(10^7)</f>
        <v>0</v>
      </c>
      <c r="L12" s="312"/>
      <c r="M12" s="311">
        <f t="shared" si="2"/>
        <v>36.94590313757314</v>
      </c>
      <c r="O12" s="325">
        <f t="shared" si="3"/>
        <v>36.94590313757314</v>
      </c>
      <c r="P12" s="1783">
        <v>36.945903116999993</v>
      </c>
      <c r="Q12" s="1783">
        <f t="shared" si="4"/>
        <v>2.057314674175359E-8</v>
      </c>
      <c r="R12" s="1783"/>
    </row>
    <row r="13" spans="2:18" x14ac:dyDescent="0.35">
      <c r="B13" s="309"/>
      <c r="C13" s="1780" t="s">
        <v>1840</v>
      </c>
      <c r="D13" s="309" t="s">
        <v>963</v>
      </c>
      <c r="E13" s="310"/>
      <c r="F13" s="311"/>
      <c r="G13" s="1781">
        <f>50550002.1964823/(10^7)</f>
        <v>5.0550002196482282</v>
      </c>
      <c r="H13" s="1781">
        <f>0/(10^7)</f>
        <v>0</v>
      </c>
      <c r="I13" s="1781">
        <f>0/(10^7)</f>
        <v>0</v>
      </c>
      <c r="J13" s="1781">
        <f>0/(10^7)</f>
        <v>0</v>
      </c>
      <c r="K13" s="1781">
        <f>0/(10^7)</f>
        <v>0</v>
      </c>
      <c r="L13" s="312"/>
      <c r="M13" s="311">
        <f t="shared" si="2"/>
        <v>5.0550002196482282</v>
      </c>
      <c r="N13" s="325">
        <f>+'Common to Voltage'!J27</f>
        <v>2.5020070996431665</v>
      </c>
      <c r="O13" s="325">
        <f t="shared" si="3"/>
        <v>7.5570073192913947</v>
      </c>
      <c r="P13" s="1783">
        <v>7.5570073199999985</v>
      </c>
      <c r="Q13" s="1783">
        <f t="shared" si="4"/>
        <v>-7.0860384226989481E-10</v>
      </c>
      <c r="R13" s="1783"/>
    </row>
    <row r="14" spans="2:18" x14ac:dyDescent="0.35">
      <c r="B14" s="309"/>
      <c r="C14" s="1780" t="s">
        <v>1416</v>
      </c>
      <c r="D14" s="309" t="s">
        <v>963</v>
      </c>
      <c r="E14" s="310"/>
      <c r="F14" s="311"/>
      <c r="G14" s="1781">
        <f>14378626.0892018/(10^7)</f>
        <v>1.4378626089201791</v>
      </c>
      <c r="H14" s="1781">
        <f>0/(10^7)</f>
        <v>0</v>
      </c>
      <c r="I14" s="1781">
        <f>15976467.9173669/(10^7)</f>
        <v>1.5976467917366932</v>
      </c>
      <c r="J14" s="1781">
        <v>2.1186401862582045</v>
      </c>
      <c r="K14" s="1781">
        <f>0/(10^7)</f>
        <v>0</v>
      </c>
      <c r="L14" s="312"/>
      <c r="M14" s="311">
        <f t="shared" si="2"/>
        <v>5.1541495869150769</v>
      </c>
      <c r="O14" s="325">
        <f t="shared" si="3"/>
        <v>5.1541495869150769</v>
      </c>
      <c r="P14" s="1783">
        <v>5.1541495880000001</v>
      </c>
      <c r="Q14" s="1783">
        <f t="shared" si="4"/>
        <v>-1.0849232623399985E-9</v>
      </c>
      <c r="R14" s="1783"/>
    </row>
    <row r="15" spans="2:18" x14ac:dyDescent="0.35">
      <c r="B15" s="309"/>
      <c r="D15" s="309"/>
      <c r="E15" s="310"/>
      <c r="F15" s="311"/>
      <c r="G15" s="311"/>
      <c r="H15" s="311"/>
      <c r="I15" s="311"/>
      <c r="J15" s="311"/>
      <c r="K15" s="311"/>
      <c r="L15" s="312"/>
      <c r="M15" s="311"/>
    </row>
    <row r="16" spans="2:18" x14ac:dyDescent="0.35">
      <c r="E16" s="313"/>
      <c r="F16" s="311"/>
      <c r="G16" s="311"/>
      <c r="H16" s="311"/>
      <c r="I16" s="311"/>
      <c r="J16" s="311"/>
      <c r="K16" s="311"/>
      <c r="L16" s="312"/>
      <c r="M16" s="311"/>
    </row>
    <row r="17" spans="2:17" x14ac:dyDescent="0.35">
      <c r="B17" s="314" t="s">
        <v>164</v>
      </c>
      <c r="C17" s="315"/>
      <c r="D17" s="315"/>
      <c r="E17" s="316"/>
      <c r="F17" s="317">
        <f t="shared" ref="F17:K17" si="6">SUM(F5:F15)</f>
        <v>0</v>
      </c>
      <c r="G17" s="317">
        <f t="shared" si="6"/>
        <v>23.081505990794419</v>
      </c>
      <c r="H17" s="317">
        <f t="shared" si="6"/>
        <v>0</v>
      </c>
      <c r="I17" s="317">
        <f t="shared" si="6"/>
        <v>10.629819425653627</v>
      </c>
      <c r="J17" s="317">
        <f t="shared" si="6"/>
        <v>27.058021443310363</v>
      </c>
      <c r="K17" s="317">
        <f t="shared" si="6"/>
        <v>2.8763398222224974</v>
      </c>
      <c r="L17" s="318"/>
      <c r="M17" s="317">
        <f>SUM(M5:M15)</f>
        <v>63.645686681980905</v>
      </c>
      <c r="N17" s="317">
        <f>SUM(N5:N15)</f>
        <v>8.6545016060191013</v>
      </c>
      <c r="O17" s="317">
        <f>SUM(O5:O15)</f>
        <v>72.300188288000015</v>
      </c>
      <c r="P17" s="317">
        <f>SUM(P5:P15)</f>
        <v>72.29359028799999</v>
      </c>
      <c r="Q17" s="1783">
        <f>+O17-P17</f>
        <v>6.5980000000251948E-3</v>
      </c>
    </row>
  </sheetData>
  <mergeCells count="5">
    <mergeCell ref="F3:M3"/>
    <mergeCell ref="F2:M2"/>
    <mergeCell ref="B3:B4"/>
    <mergeCell ref="C3:C4"/>
    <mergeCell ref="D3:D4"/>
  </mergeCells>
  <dataValidations disablePrompts="1" count="1">
    <dataValidation type="list" allowBlank="1" showInputMessage="1" showErrorMessage="1" sqref="D5:E15" xr:uid="{9B5D360C-74D7-4A25-8F31-E840BB10EF08}">
      <formula1>"Wire, Retail"</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A4B9725-F9EA-4DE0-B303-4E0BFCD3CE8D}">
          <x14:formula1>
            <xm:f>'Block of Assets'!$C$4:$C$29</xm:f>
          </x14:formula1>
          <xm:sqref>C5:C14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5D893-517A-4ACC-96C2-9846A86D2C10}">
  <sheetPr>
    <tabColor theme="4" tint="-0.249977111117893"/>
  </sheetPr>
  <dimension ref="A1:BC30"/>
  <sheetViews>
    <sheetView showGridLines="0" zoomScale="70" zoomScaleNormal="70" workbookViewId="0">
      <pane xSplit="4" ySplit="4" topLeftCell="E19" activePane="bottomRight" state="frozen"/>
      <selection activeCell="C90" sqref="B90:P113"/>
      <selection pane="topRight" activeCell="C90" sqref="B90:P113"/>
      <selection pane="bottomLeft" activeCell="C90" sqref="B90:P113"/>
      <selection pane="bottomRight" activeCell="K27" sqref="F27:K27"/>
    </sheetView>
  </sheetViews>
  <sheetFormatPr defaultColWidth="9.1328125" defaultRowHeight="15.4" x14ac:dyDescent="0.35"/>
  <cols>
    <col min="1" max="1" width="18.6640625" style="1794" customWidth="1"/>
    <col min="2" max="2" width="48.46484375" style="1794" customWidth="1"/>
    <col min="3" max="4" width="18.6640625" style="1794" customWidth="1"/>
    <col min="5" max="5" width="21.33203125" style="1794" customWidth="1"/>
    <col min="6" max="11" width="13.6640625" style="1794" customWidth="1"/>
    <col min="12" max="12" width="1.86328125" style="1794" customWidth="1"/>
    <col min="13" max="13" width="12" style="1794" customWidth="1"/>
    <col min="14" max="14" width="38.86328125" style="1794" customWidth="1"/>
    <col min="15" max="16" width="9.1328125" style="1794"/>
    <col min="17" max="17" width="11" style="1794" hidden="1" customWidth="1"/>
    <col min="18" max="19" width="18.33203125" style="1794" hidden="1" customWidth="1"/>
    <col min="20" max="21" width="15.33203125" style="1794" hidden="1" customWidth="1"/>
    <col min="22" max="22" width="12.53125" style="1794" hidden="1" customWidth="1"/>
    <col min="23" max="23" width="2.1328125" style="1794" hidden="1" customWidth="1"/>
    <col min="24" max="24" width="18.33203125" style="1794" hidden="1" customWidth="1"/>
    <col min="25" max="25" width="11.6640625" style="1794" hidden="1" customWidth="1"/>
    <col min="26" max="26" width="12.53125" style="1794" hidden="1" customWidth="1"/>
    <col min="27" max="27" width="11.53125" style="1794" hidden="1" customWidth="1"/>
    <col min="28" max="28" width="12.6640625" style="1794" hidden="1" customWidth="1"/>
    <col min="29" max="29" width="13.86328125" style="1794" hidden="1" customWidth="1"/>
    <col min="30" max="30" width="11" style="1794" hidden="1" customWidth="1"/>
    <col min="31" max="31" width="1.33203125" style="1794" hidden="1" customWidth="1"/>
    <col min="32" max="32" width="13.86328125" style="1794" hidden="1" customWidth="1"/>
    <col min="33" max="34" width="12" style="1794" hidden="1" customWidth="1"/>
    <col min="35" max="35" width="11.46484375" style="1794" hidden="1" customWidth="1"/>
    <col min="36" max="37" width="12.1328125" style="1794" hidden="1" customWidth="1"/>
    <col min="38" max="38" width="12.6640625" style="1794" hidden="1" customWidth="1"/>
    <col min="39" max="39" width="1.86328125" style="1794" hidden="1" customWidth="1"/>
    <col min="40" max="40" width="13.53125" style="1794" hidden="1" customWidth="1"/>
    <col min="41" max="41" width="38.86328125" style="1794" hidden="1" customWidth="1"/>
    <col min="42" max="54" width="0" style="1794" hidden="1" customWidth="1"/>
    <col min="55" max="55" width="12.1328125" style="1794" hidden="1" customWidth="1"/>
    <col min="56" max="16384" width="9.1328125" style="1794"/>
  </cols>
  <sheetData>
    <row r="1" spans="1:54" x14ac:dyDescent="0.35">
      <c r="A1" s="1794" t="s">
        <v>918</v>
      </c>
      <c r="S1" s="1795"/>
    </row>
    <row r="2" spans="1:54" x14ac:dyDescent="0.35">
      <c r="F2" s="2196" t="s">
        <v>114</v>
      </c>
      <c r="G2" s="2197"/>
      <c r="H2" s="2197"/>
      <c r="I2" s="2197"/>
      <c r="J2" s="2197"/>
      <c r="K2" s="2197"/>
      <c r="L2" s="2197"/>
      <c r="M2" s="2198"/>
      <c r="Q2" s="2196" t="s">
        <v>196</v>
      </c>
      <c r="R2" s="2197"/>
      <c r="S2" s="2197"/>
      <c r="T2" s="2197"/>
      <c r="U2" s="2197"/>
      <c r="V2" s="2197"/>
      <c r="W2" s="2197"/>
      <c r="X2" s="2198"/>
      <c r="Y2" s="2196" t="s">
        <v>197</v>
      </c>
      <c r="Z2" s="2197"/>
      <c r="AA2" s="2197"/>
      <c r="AB2" s="2197"/>
      <c r="AC2" s="2197"/>
      <c r="AD2" s="2197"/>
      <c r="AE2" s="2197"/>
      <c r="AF2" s="2198"/>
      <c r="AG2" s="2196" t="s">
        <v>198</v>
      </c>
      <c r="AH2" s="2197"/>
      <c r="AI2" s="2197"/>
      <c r="AJ2" s="2197"/>
      <c r="AK2" s="2197"/>
      <c r="AL2" s="2197"/>
      <c r="AM2" s="2197"/>
      <c r="AN2" s="2198"/>
      <c r="AU2" s="2196" t="s">
        <v>927</v>
      </c>
      <c r="AV2" s="2197"/>
      <c r="AW2" s="2197"/>
      <c r="AX2" s="2197"/>
      <c r="AY2" s="2197"/>
      <c r="AZ2" s="2197"/>
      <c r="BA2" s="2197"/>
      <c r="BB2" s="2198"/>
    </row>
    <row r="3" spans="1:54" x14ac:dyDescent="0.35">
      <c r="A3" s="2199" t="s">
        <v>928</v>
      </c>
      <c r="B3" s="2199" t="s">
        <v>919</v>
      </c>
      <c r="C3" s="2201" t="s">
        <v>903</v>
      </c>
      <c r="D3" s="2203" t="s">
        <v>921</v>
      </c>
      <c r="E3" s="2203" t="s">
        <v>929</v>
      </c>
      <c r="F3" s="2205" t="s">
        <v>922</v>
      </c>
      <c r="G3" s="2206"/>
      <c r="H3" s="2206"/>
      <c r="I3" s="2206"/>
      <c r="J3" s="2206"/>
      <c r="K3" s="2206"/>
      <c r="L3" s="2206"/>
      <c r="M3" s="2207"/>
      <c r="N3" s="2203" t="s">
        <v>931</v>
      </c>
      <c r="Q3" s="2205" t="s">
        <v>930</v>
      </c>
      <c r="R3" s="2206"/>
      <c r="S3" s="2206"/>
      <c r="T3" s="2206"/>
      <c r="U3" s="2206"/>
      <c r="V3" s="2206"/>
      <c r="W3" s="2206"/>
      <c r="X3" s="2207"/>
      <c r="Y3" s="2205" t="s">
        <v>922</v>
      </c>
      <c r="Z3" s="2206"/>
      <c r="AA3" s="2206"/>
      <c r="AB3" s="2206"/>
      <c r="AC3" s="2206"/>
      <c r="AD3" s="2206"/>
      <c r="AE3" s="2206"/>
      <c r="AF3" s="2207"/>
      <c r="AG3" s="2205" t="s">
        <v>922</v>
      </c>
      <c r="AH3" s="2206"/>
      <c r="AI3" s="2206"/>
      <c r="AJ3" s="2206"/>
      <c r="AK3" s="2206"/>
      <c r="AL3" s="2206"/>
      <c r="AM3" s="2206"/>
      <c r="AN3" s="2207"/>
      <c r="AO3" s="2203" t="s">
        <v>931</v>
      </c>
      <c r="AU3" s="2205" t="s">
        <v>922</v>
      </c>
      <c r="AV3" s="2206"/>
      <c r="AW3" s="2206"/>
      <c r="AX3" s="2206"/>
      <c r="AY3" s="2206"/>
      <c r="AZ3" s="2206"/>
      <c r="BA3" s="2206"/>
      <c r="BB3" s="2207"/>
    </row>
    <row r="4" spans="1:54" ht="30" x14ac:dyDescent="0.35">
      <c r="A4" s="2200"/>
      <c r="B4" s="2200"/>
      <c r="C4" s="2202"/>
      <c r="D4" s="2204"/>
      <c r="E4" s="2204"/>
      <c r="F4" s="1784" t="s">
        <v>908</v>
      </c>
      <c r="G4" s="1784" t="s">
        <v>909</v>
      </c>
      <c r="H4" s="1784" t="s">
        <v>910</v>
      </c>
      <c r="I4" s="1784" t="s">
        <v>911</v>
      </c>
      <c r="J4" s="1784" t="s">
        <v>912</v>
      </c>
      <c r="K4" s="1784" t="s">
        <v>923</v>
      </c>
      <c r="L4" s="1785"/>
      <c r="M4" s="1784" t="s">
        <v>164</v>
      </c>
      <c r="N4" s="2204"/>
      <c r="Q4" s="1784" t="s">
        <v>908</v>
      </c>
      <c r="R4" s="1784" t="s">
        <v>909</v>
      </c>
      <c r="S4" s="1784" t="s">
        <v>910</v>
      </c>
      <c r="T4" s="1784" t="s">
        <v>911</v>
      </c>
      <c r="U4" s="1784" t="s">
        <v>912</v>
      </c>
      <c r="V4" s="1784" t="s">
        <v>923</v>
      </c>
      <c r="W4" s="1785"/>
      <c r="X4" s="1784" t="s">
        <v>164</v>
      </c>
      <c r="Y4" s="1784" t="s">
        <v>908</v>
      </c>
      <c r="Z4" s="1784" t="s">
        <v>909</v>
      </c>
      <c r="AA4" s="1784" t="s">
        <v>910</v>
      </c>
      <c r="AB4" s="1784" t="s">
        <v>911</v>
      </c>
      <c r="AC4" s="1784" t="s">
        <v>912</v>
      </c>
      <c r="AD4" s="1784" t="s">
        <v>923</v>
      </c>
      <c r="AE4" s="1785"/>
      <c r="AF4" s="1784" t="s">
        <v>164</v>
      </c>
      <c r="AG4" s="1784" t="s">
        <v>908</v>
      </c>
      <c r="AH4" s="1784" t="s">
        <v>909</v>
      </c>
      <c r="AI4" s="1784" t="s">
        <v>910</v>
      </c>
      <c r="AJ4" s="1784" t="s">
        <v>911</v>
      </c>
      <c r="AK4" s="1784" t="s">
        <v>912</v>
      </c>
      <c r="AL4" s="1784" t="s">
        <v>923</v>
      </c>
      <c r="AM4" s="1785"/>
      <c r="AN4" s="1784" t="s">
        <v>164</v>
      </c>
      <c r="AO4" s="2204"/>
      <c r="AU4" s="1784" t="s">
        <v>908</v>
      </c>
      <c r="AV4" s="1784" t="s">
        <v>909</v>
      </c>
      <c r="AW4" s="1784" t="s">
        <v>910</v>
      </c>
      <c r="AX4" s="1784" t="s">
        <v>911</v>
      </c>
      <c r="AY4" s="1784" t="s">
        <v>912</v>
      </c>
      <c r="AZ4" s="1784" t="s">
        <v>923</v>
      </c>
      <c r="BA4" s="1785"/>
      <c r="BB4" s="1784" t="s">
        <v>164</v>
      </c>
    </row>
    <row r="5" spans="1:54" ht="46.15" x14ac:dyDescent="0.35">
      <c r="A5" s="2208" t="s">
        <v>1841</v>
      </c>
      <c r="B5" s="1787" t="s">
        <v>1842</v>
      </c>
      <c r="C5" s="1788" t="s">
        <v>1840</v>
      </c>
      <c r="D5" s="1789" t="s">
        <v>963</v>
      </c>
      <c r="E5" s="1789" t="s">
        <v>1844</v>
      </c>
      <c r="F5" s="1789"/>
      <c r="G5" s="1789"/>
      <c r="H5" s="1789"/>
      <c r="I5" s="1789"/>
      <c r="J5" s="1790">
        <f>1493150.07265749/(10^7)</f>
        <v>0.14931500726574901</v>
      </c>
      <c r="K5" s="1789"/>
      <c r="L5" s="1796"/>
      <c r="M5" s="1797"/>
      <c r="N5" s="1789"/>
      <c r="Q5" s="1789"/>
      <c r="R5" s="1789"/>
      <c r="S5" s="1789"/>
      <c r="T5" s="1797">
        <f>12827367.7007408/10^7</f>
        <v>1.2827367700740799</v>
      </c>
      <c r="U5" s="1789"/>
      <c r="V5" s="1789"/>
      <c r="W5" s="1796"/>
      <c r="X5" s="1797">
        <f>SUM(Q5:V5)</f>
        <v>1.2827367700740799</v>
      </c>
      <c r="Y5" s="1789"/>
      <c r="Z5" s="1789"/>
      <c r="AA5" s="1789"/>
      <c r="AB5" s="1798">
        <f>15729079.6014413/10^7</f>
        <v>1.57290796014413</v>
      </c>
      <c r="AC5" s="1789"/>
      <c r="AD5" s="1789"/>
      <c r="AE5" s="1796"/>
      <c r="AF5" s="1797">
        <f>SUM(Y5:AD5)</f>
        <v>1.57290796014413</v>
      </c>
      <c r="AG5" s="1789"/>
      <c r="AH5" s="1789"/>
      <c r="AI5" s="1789"/>
      <c r="AJ5" s="1789">
        <f>4615966.83834585/10^7</f>
        <v>0.46159668383458496</v>
      </c>
      <c r="AK5" s="1789"/>
      <c r="AL5" s="1789"/>
      <c r="AM5" s="1796"/>
      <c r="AN5" s="1797">
        <f>SUM(AG5:AL5)</f>
        <v>0.46159668383458496</v>
      </c>
      <c r="AO5" s="1789"/>
      <c r="AU5" s="1789"/>
      <c r="AV5" s="1789"/>
      <c r="AW5" s="1789"/>
      <c r="AX5" s="1799">
        <f>8169350.49871385/10^7</f>
        <v>0.81693504987138499</v>
      </c>
      <c r="AY5" s="1789"/>
      <c r="AZ5" s="1789"/>
      <c r="BA5" s="1796"/>
      <c r="BB5" s="1797">
        <f>SUM(AU5:AZ5)</f>
        <v>0.81693504987138499</v>
      </c>
    </row>
    <row r="6" spans="1:54" ht="46.15" x14ac:dyDescent="0.35">
      <c r="A6" s="2209"/>
      <c r="B6" s="1791" t="s">
        <v>1843</v>
      </c>
      <c r="C6" s="1792" t="s">
        <v>1840</v>
      </c>
      <c r="D6" s="1786" t="s">
        <v>963</v>
      </c>
      <c r="E6" s="1786" t="s">
        <v>1844</v>
      </c>
      <c r="F6" s="1800"/>
      <c r="G6" s="1800"/>
      <c r="H6" s="1800"/>
      <c r="I6" s="1800"/>
      <c r="J6" s="1790">
        <f>937004.834860172/(10^7)</f>
        <v>9.3700483486017186E-2</v>
      </c>
      <c r="K6" s="1800"/>
      <c r="L6" s="1801"/>
      <c r="M6" s="1797"/>
      <c r="N6" s="1789"/>
      <c r="Q6" s="1797"/>
      <c r="R6" s="1797"/>
      <c r="S6" s="1797"/>
      <c r="T6" s="1797"/>
      <c r="U6" s="1797"/>
      <c r="V6" s="1797"/>
      <c r="W6" s="1801"/>
      <c r="X6" s="1797">
        <f>SUM(Q6:V6)</f>
        <v>0</v>
      </c>
      <c r="Y6" s="1797"/>
      <c r="Z6" s="1797"/>
      <c r="AA6" s="1797"/>
      <c r="AB6" s="1797"/>
      <c r="AC6" s="1797"/>
      <c r="AD6" s="1797"/>
      <c r="AE6" s="1801"/>
      <c r="AF6" s="1797">
        <f>SUM(Y6:AD6)</f>
        <v>0</v>
      </c>
      <c r="AG6" s="1797"/>
      <c r="AH6" s="1797"/>
      <c r="AI6" s="1797"/>
      <c r="AJ6" s="1797"/>
      <c r="AK6" s="1797"/>
      <c r="AL6" s="1797"/>
      <c r="AM6" s="1801"/>
      <c r="AN6" s="1797">
        <f>SUM(AG6:AL6)</f>
        <v>0</v>
      </c>
      <c r="AO6" s="1789"/>
      <c r="AU6" s="1797"/>
      <c r="AV6" s="1797"/>
      <c r="AW6" s="1797"/>
      <c r="AX6" s="1797"/>
      <c r="AY6" s="1797"/>
      <c r="AZ6" s="1797"/>
      <c r="BA6" s="1801"/>
      <c r="BB6" s="1797">
        <f>SUM(AU6:AZ6)</f>
        <v>0</v>
      </c>
    </row>
    <row r="7" spans="1:54" ht="107.65" x14ac:dyDescent="0.35">
      <c r="A7" s="2210" t="s">
        <v>1845</v>
      </c>
      <c r="B7" s="1802" t="s">
        <v>1846</v>
      </c>
      <c r="C7" s="1788" t="s">
        <v>1840</v>
      </c>
      <c r="D7" s="1793" t="s">
        <v>963</v>
      </c>
      <c r="E7" s="1793" t="s">
        <v>1844</v>
      </c>
      <c r="F7" s="1789"/>
      <c r="G7" s="1789"/>
      <c r="H7" s="1789"/>
      <c r="I7" s="1789"/>
      <c r="J7" s="1790">
        <f>3656813.15504541/(10^7)</f>
        <v>0.36568131550454069</v>
      </c>
      <c r="K7" s="1789"/>
      <c r="L7" s="1801"/>
      <c r="M7" s="1797"/>
      <c r="N7" s="1789"/>
      <c r="Q7" s="1797"/>
      <c r="R7" s="1797"/>
      <c r="S7" s="1797"/>
      <c r="T7" s="1797"/>
      <c r="U7" s="1797"/>
      <c r="V7" s="1797"/>
      <c r="W7" s="1801"/>
      <c r="X7" s="1797"/>
      <c r="Y7" s="1797"/>
      <c r="Z7" s="1797"/>
      <c r="AA7" s="1797"/>
      <c r="AB7" s="1797"/>
      <c r="AC7" s="1797"/>
      <c r="AD7" s="1797"/>
      <c r="AE7" s="1801"/>
      <c r="AF7" s="1797"/>
      <c r="AG7" s="1797"/>
      <c r="AH7" s="1797"/>
      <c r="AI7" s="1797"/>
      <c r="AJ7" s="1797"/>
      <c r="AK7" s="1797"/>
      <c r="AL7" s="1797"/>
      <c r="AM7" s="1801"/>
      <c r="AN7" s="1797"/>
      <c r="AO7" s="1789"/>
      <c r="AU7" s="1797"/>
      <c r="AV7" s="1797"/>
      <c r="AW7" s="1797"/>
      <c r="AX7" s="1797"/>
      <c r="AY7" s="1797"/>
      <c r="AZ7" s="1797"/>
      <c r="BA7" s="1801"/>
      <c r="BB7" s="1797"/>
    </row>
    <row r="8" spans="1:54" ht="92.25" x14ac:dyDescent="0.35">
      <c r="A8" s="2210"/>
      <c r="B8" s="1803" t="s">
        <v>1847</v>
      </c>
      <c r="C8" s="1788" t="s">
        <v>1840</v>
      </c>
      <c r="D8" s="1793" t="s">
        <v>963</v>
      </c>
      <c r="E8" s="1793" t="s">
        <v>1844</v>
      </c>
      <c r="F8" s="1789"/>
      <c r="G8" s="1789"/>
      <c r="H8" s="1789"/>
      <c r="I8" s="1789"/>
      <c r="J8" s="1790">
        <f>31420.8098409528/(10^7)</f>
        <v>3.142080984095276E-3</v>
      </c>
      <c r="K8" s="1789"/>
      <c r="L8" s="1801"/>
      <c r="M8" s="1797"/>
      <c r="N8" s="1789"/>
      <c r="Q8" s="1797"/>
      <c r="R8" s="1797"/>
      <c r="S8" s="1797"/>
      <c r="U8" s="1797"/>
      <c r="V8" s="1797"/>
      <c r="W8" s="1801"/>
      <c r="X8" s="1797"/>
      <c r="Y8" s="1797"/>
      <c r="Z8" s="1797"/>
      <c r="AA8" s="1797"/>
      <c r="AB8" s="1797"/>
      <c r="AC8" s="1797"/>
      <c r="AD8" s="1797"/>
      <c r="AE8" s="1801"/>
      <c r="AF8" s="1797"/>
      <c r="AG8" s="1797"/>
      <c r="AH8" s="1797"/>
      <c r="AI8" s="1797"/>
      <c r="AJ8" s="1797"/>
      <c r="AK8" s="1797"/>
      <c r="AL8" s="1797"/>
      <c r="AM8" s="1801"/>
      <c r="AN8" s="1797"/>
      <c r="AO8" s="1789"/>
      <c r="AU8" s="1797"/>
      <c r="AV8" s="1797"/>
      <c r="AW8" s="1797"/>
      <c r="AX8" s="1797"/>
      <c r="AY8" s="1797"/>
      <c r="AZ8" s="1797"/>
      <c r="BA8" s="1801"/>
      <c r="BB8" s="1797"/>
    </row>
    <row r="9" spans="1:54" ht="61.5" x14ac:dyDescent="0.35">
      <c r="A9" s="2210"/>
      <c r="B9" s="1802" t="s">
        <v>1848</v>
      </c>
      <c r="C9" s="1788" t="s">
        <v>1840</v>
      </c>
      <c r="D9" s="1793" t="s">
        <v>963</v>
      </c>
      <c r="E9" s="1793" t="s">
        <v>1844</v>
      </c>
      <c r="F9" s="1789"/>
      <c r="G9" s="1789"/>
      <c r="H9" s="1789"/>
      <c r="I9" s="1789"/>
      <c r="J9" s="1790">
        <f>371813.409762785/(10^7)</f>
        <v>3.7181340976278551E-2</v>
      </c>
      <c r="K9" s="1789"/>
      <c r="L9" s="1801"/>
      <c r="M9" s="1797"/>
      <c r="N9" s="1789"/>
      <c r="Q9" s="1797"/>
      <c r="R9" s="1797"/>
      <c r="S9" s="1797"/>
      <c r="T9" s="1797"/>
      <c r="U9" s="1797"/>
      <c r="V9" s="1797"/>
      <c r="W9" s="1801"/>
      <c r="X9" s="1797"/>
      <c r="Y9" s="1797"/>
      <c r="Z9" s="1797"/>
      <c r="AA9" s="1797"/>
      <c r="AB9" s="1797"/>
      <c r="AC9" s="1797"/>
      <c r="AD9" s="1797"/>
      <c r="AE9" s="1801"/>
      <c r="AF9" s="1797"/>
      <c r="AG9" s="1797"/>
      <c r="AH9" s="1797"/>
      <c r="AI9" s="1797"/>
      <c r="AJ9" s="1797"/>
      <c r="AK9" s="1797"/>
      <c r="AL9" s="1797"/>
      <c r="AM9" s="1801"/>
      <c r="AN9" s="1797"/>
      <c r="AO9" s="1789"/>
      <c r="AU9" s="1797"/>
      <c r="AV9" s="1797"/>
      <c r="AW9" s="1797"/>
      <c r="AX9" s="1797"/>
      <c r="AY9" s="1797"/>
      <c r="AZ9" s="1797"/>
      <c r="BA9" s="1801"/>
      <c r="BB9" s="1797"/>
    </row>
    <row r="10" spans="1:54" ht="46.15" x14ac:dyDescent="0.35">
      <c r="A10" s="2210"/>
      <c r="B10" s="1803" t="s">
        <v>1849</v>
      </c>
      <c r="C10" s="1788" t="s">
        <v>1840</v>
      </c>
      <c r="D10" s="1793" t="s">
        <v>963</v>
      </c>
      <c r="E10" s="1793" t="s">
        <v>1844</v>
      </c>
      <c r="F10" s="1789"/>
      <c r="G10" s="1789"/>
      <c r="H10" s="1789"/>
      <c r="I10" s="1789"/>
      <c r="J10" s="1790">
        <f>755792.182461671/(10^7)</f>
        <v>7.5579218246167063E-2</v>
      </c>
      <c r="K10" s="1789"/>
      <c r="L10" s="1801"/>
      <c r="M10" s="1797"/>
      <c r="N10" s="1789"/>
      <c r="Q10" s="1797"/>
      <c r="R10" s="1797"/>
      <c r="S10" s="1797"/>
      <c r="T10" s="1797"/>
      <c r="U10" s="1797"/>
      <c r="V10" s="1797"/>
      <c r="W10" s="1801"/>
      <c r="X10" s="1797"/>
      <c r="Y10" s="1797"/>
      <c r="Z10" s="1797"/>
      <c r="AA10" s="1797"/>
      <c r="AB10" s="1797"/>
      <c r="AC10" s="1797"/>
      <c r="AD10" s="1797"/>
      <c r="AE10" s="1801"/>
      <c r="AF10" s="1797"/>
      <c r="AG10" s="1797"/>
      <c r="AH10" s="1797"/>
      <c r="AI10" s="1797"/>
      <c r="AJ10" s="1797"/>
      <c r="AK10" s="1797"/>
      <c r="AL10" s="1797"/>
      <c r="AM10" s="1801"/>
      <c r="AN10" s="1797"/>
      <c r="AO10" s="1789"/>
      <c r="AU10" s="1797"/>
      <c r="AV10" s="1797"/>
      <c r="AW10" s="1797"/>
      <c r="AX10" s="1797"/>
      <c r="AY10" s="1797"/>
      <c r="AZ10" s="1797"/>
      <c r="BA10" s="1801"/>
      <c r="BB10" s="1797"/>
    </row>
    <row r="11" spans="1:54" ht="46.15" x14ac:dyDescent="0.35">
      <c r="A11" s="2210"/>
      <c r="B11" s="1802" t="s">
        <v>1849</v>
      </c>
      <c r="C11" s="1788" t="s">
        <v>1840</v>
      </c>
      <c r="D11" s="1793" t="s">
        <v>963</v>
      </c>
      <c r="E11" s="1793" t="s">
        <v>1844</v>
      </c>
      <c r="F11" s="1789"/>
      <c r="G11" s="1789"/>
      <c r="H11" s="1789"/>
      <c r="I11" s="1789"/>
      <c r="J11" s="1790">
        <f>377896.091230835/(10^7)</f>
        <v>3.7789609123083531E-2</v>
      </c>
      <c r="K11" s="1789"/>
      <c r="L11" s="1801"/>
      <c r="M11" s="1797"/>
      <c r="N11" s="1789"/>
      <c r="Q11" s="1797"/>
      <c r="R11" s="1797"/>
      <c r="S11" s="1797"/>
      <c r="T11" s="1797"/>
      <c r="U11" s="1797"/>
      <c r="V11" s="1797"/>
      <c r="W11" s="1801"/>
      <c r="X11" s="1797"/>
      <c r="Y11" s="1797"/>
      <c r="Z11" s="1797"/>
      <c r="AA11" s="1797"/>
      <c r="AB11" s="1797"/>
      <c r="AC11" s="1797"/>
      <c r="AD11" s="1797"/>
      <c r="AE11" s="1801"/>
      <c r="AF11" s="1797"/>
      <c r="AG11" s="1797"/>
      <c r="AH11" s="1797"/>
      <c r="AI11" s="1797"/>
      <c r="AJ11" s="1797"/>
      <c r="AK11" s="1797"/>
      <c r="AL11" s="1797"/>
      <c r="AM11" s="1801"/>
      <c r="AN11" s="1797"/>
      <c r="AO11" s="1789"/>
      <c r="AU11" s="1797"/>
      <c r="AV11" s="1797"/>
      <c r="AW11" s="1797"/>
      <c r="AX11" s="1797"/>
      <c r="AY11" s="1797"/>
      <c r="AZ11" s="1797"/>
      <c r="BA11" s="1801"/>
      <c r="BB11" s="1797"/>
    </row>
    <row r="12" spans="1:54" ht="46.15" x14ac:dyDescent="0.35">
      <c r="A12" s="2210"/>
      <c r="B12" s="1803" t="s">
        <v>1849</v>
      </c>
      <c r="C12" s="1788" t="s">
        <v>1840</v>
      </c>
      <c r="D12" s="1793" t="s">
        <v>963</v>
      </c>
      <c r="E12" s="1793" t="s">
        <v>1844</v>
      </c>
      <c r="F12" s="1789"/>
      <c r="G12" s="1789"/>
      <c r="H12" s="1789"/>
      <c r="I12" s="1789"/>
      <c r="J12" s="1790">
        <f>377896.091230835/(10^7)</f>
        <v>3.7789609123083531E-2</v>
      </c>
      <c r="K12" s="1789"/>
      <c r="L12" s="1801"/>
      <c r="M12" s="1797"/>
      <c r="N12" s="1789"/>
      <c r="Q12" s="1797"/>
      <c r="R12" s="1797"/>
      <c r="S12" s="1797"/>
      <c r="T12" s="1797"/>
      <c r="U12" s="1797"/>
      <c r="V12" s="1797"/>
      <c r="W12" s="1801"/>
      <c r="X12" s="1797"/>
      <c r="Y12" s="1797"/>
      <c r="Z12" s="1797"/>
      <c r="AA12" s="1797"/>
      <c r="AB12" s="1797"/>
      <c r="AC12" s="1797"/>
      <c r="AD12" s="1797"/>
      <c r="AE12" s="1801"/>
      <c r="AF12" s="1797"/>
      <c r="AG12" s="1797"/>
      <c r="AH12" s="1797"/>
      <c r="AI12" s="1797"/>
      <c r="AJ12" s="1797"/>
      <c r="AK12" s="1797"/>
      <c r="AL12" s="1797"/>
      <c r="AM12" s="1801"/>
      <c r="AN12" s="1797"/>
      <c r="AO12" s="1789"/>
      <c r="AU12" s="1797"/>
      <c r="AV12" s="1797"/>
      <c r="AW12" s="1797"/>
      <c r="AX12" s="1797"/>
      <c r="AY12" s="1797"/>
      <c r="AZ12" s="1797"/>
      <c r="BA12" s="1801"/>
      <c r="BB12" s="1797"/>
    </row>
    <row r="13" spans="1:54" ht="46.15" x14ac:dyDescent="0.35">
      <c r="A13" s="2210"/>
      <c r="B13" s="1802" t="s">
        <v>1849</v>
      </c>
      <c r="C13" s="1788" t="s">
        <v>1840</v>
      </c>
      <c r="D13" s="1793" t="s">
        <v>963</v>
      </c>
      <c r="E13" s="1793" t="s">
        <v>1844</v>
      </c>
      <c r="F13" s="1789"/>
      <c r="G13" s="1789"/>
      <c r="H13" s="1789"/>
      <c r="I13" s="1789"/>
      <c r="J13" s="1790">
        <f>566844.136846253/(10^7)</f>
        <v>5.6684413684625304E-2</v>
      </c>
      <c r="K13" s="1789"/>
      <c r="L13" s="1801"/>
      <c r="M13" s="1797"/>
      <c r="N13" s="1789"/>
      <c r="Q13" s="1797"/>
      <c r="R13" s="1797"/>
      <c r="S13" s="1797"/>
      <c r="T13" s="1797"/>
      <c r="U13" s="1797"/>
      <c r="V13" s="1797"/>
      <c r="W13" s="1801"/>
      <c r="X13" s="1797"/>
      <c r="Y13" s="1797"/>
      <c r="Z13" s="1797"/>
      <c r="AA13" s="1797"/>
      <c r="AB13" s="1797"/>
      <c r="AC13" s="1797"/>
      <c r="AD13" s="1797"/>
      <c r="AE13" s="1801"/>
      <c r="AF13" s="1797"/>
      <c r="AG13" s="1797"/>
      <c r="AH13" s="1797"/>
      <c r="AI13" s="1797"/>
      <c r="AJ13" s="1797"/>
      <c r="AK13" s="1797"/>
      <c r="AL13" s="1797"/>
      <c r="AM13" s="1801"/>
      <c r="AN13" s="1797"/>
      <c r="AO13" s="1789"/>
      <c r="AU13" s="1797"/>
      <c r="AV13" s="1797"/>
      <c r="AW13" s="1797"/>
      <c r="AX13" s="1797"/>
      <c r="AY13" s="1797"/>
      <c r="AZ13" s="1797"/>
      <c r="BA13" s="1801"/>
      <c r="BB13" s="1797"/>
    </row>
    <row r="14" spans="1:54" ht="46.15" x14ac:dyDescent="0.35">
      <c r="A14" s="2210"/>
      <c r="B14" s="1803" t="s">
        <v>1849</v>
      </c>
      <c r="C14" s="1788" t="s">
        <v>1840</v>
      </c>
      <c r="D14" s="1793" t="s">
        <v>963</v>
      </c>
      <c r="E14" s="1793" t="s">
        <v>1844</v>
      </c>
      <c r="F14" s="1789"/>
      <c r="G14" s="1789"/>
      <c r="H14" s="1789"/>
      <c r="I14" s="1789"/>
      <c r="J14" s="1790">
        <f>566844.136846253/(10^7)</f>
        <v>5.6684413684625304E-2</v>
      </c>
      <c r="K14" s="1789"/>
      <c r="L14" s="1801"/>
      <c r="M14" s="1797"/>
      <c r="N14" s="1789"/>
      <c r="Q14" s="1797"/>
      <c r="R14" s="1797"/>
      <c r="S14" s="1797"/>
      <c r="T14" s="1797"/>
      <c r="U14" s="1797"/>
      <c r="V14" s="1797"/>
      <c r="W14" s="1801"/>
      <c r="X14" s="1797"/>
      <c r="Y14" s="1797"/>
      <c r="Z14" s="1797"/>
      <c r="AA14" s="1797"/>
      <c r="AB14" s="1797"/>
      <c r="AC14" s="1797"/>
      <c r="AD14" s="1797"/>
      <c r="AE14" s="1801"/>
      <c r="AF14" s="1797"/>
      <c r="AG14" s="1797"/>
      <c r="AH14" s="1797"/>
      <c r="AI14" s="1797"/>
      <c r="AJ14" s="1797"/>
      <c r="AK14" s="1797"/>
      <c r="AL14" s="1797"/>
      <c r="AM14" s="1801"/>
      <c r="AN14" s="1797"/>
      <c r="AO14" s="1789"/>
      <c r="AU14" s="1797"/>
      <c r="AV14" s="1797"/>
      <c r="AW14" s="1797"/>
      <c r="AX14" s="1797"/>
      <c r="AY14" s="1797"/>
      <c r="AZ14" s="1797"/>
      <c r="BA14" s="1801"/>
      <c r="BB14" s="1797"/>
    </row>
    <row r="15" spans="1:54" ht="46.15" x14ac:dyDescent="0.35">
      <c r="A15" s="2210"/>
      <c r="B15" s="1802" t="s">
        <v>1849</v>
      </c>
      <c r="C15" s="1788" t="s">
        <v>1840</v>
      </c>
      <c r="D15" s="1793" t="s">
        <v>963</v>
      </c>
      <c r="E15" s="1793" t="s">
        <v>1844</v>
      </c>
      <c r="F15" s="1789"/>
      <c r="G15" s="1789"/>
      <c r="H15" s="1789"/>
      <c r="I15" s="1789"/>
      <c r="J15" s="1790">
        <f>1133688.27369251/(10^7)</f>
        <v>0.11336882736925061</v>
      </c>
      <c r="K15" s="1789"/>
      <c r="L15" s="1801"/>
      <c r="M15" s="1797"/>
      <c r="N15" s="1789"/>
      <c r="Q15" s="1797"/>
      <c r="R15" s="1797"/>
      <c r="S15" s="1797"/>
      <c r="T15" s="1797"/>
      <c r="U15" s="1797"/>
      <c r="V15" s="1797"/>
      <c r="W15" s="1801"/>
      <c r="X15" s="1797">
        <f t="shared" ref="X15:X25" si="0">SUM(Q15:V15)</f>
        <v>0</v>
      </c>
      <c r="Y15" s="1797"/>
      <c r="Z15" s="1797"/>
      <c r="AA15" s="1797"/>
      <c r="AB15" s="1797"/>
      <c r="AC15" s="1797"/>
      <c r="AD15" s="1797"/>
      <c r="AE15" s="1801"/>
      <c r="AF15" s="1797">
        <f t="shared" ref="AF15:AF25" si="1">SUM(Y15:AD15)</f>
        <v>0</v>
      </c>
      <c r="AG15" s="1797"/>
      <c r="AH15" s="1797"/>
      <c r="AI15" s="1797"/>
      <c r="AJ15" s="1797"/>
      <c r="AK15" s="1797"/>
      <c r="AL15" s="1797"/>
      <c r="AM15" s="1801"/>
      <c r="AN15" s="1797">
        <f t="shared" ref="AN15:AN25" si="2">SUM(AG15:AL15)</f>
        <v>0</v>
      </c>
      <c r="AO15" s="1789"/>
      <c r="AU15" s="1797"/>
      <c r="AV15" s="1797"/>
      <c r="AW15" s="1797"/>
      <c r="AX15" s="1797"/>
      <c r="AY15" s="1797"/>
      <c r="AZ15" s="1797"/>
      <c r="BA15" s="1801"/>
      <c r="BB15" s="1797">
        <f t="shared" ref="BB15:BB25" si="3">SUM(AU15:AZ15)</f>
        <v>0</v>
      </c>
    </row>
    <row r="16" spans="1:54" ht="46.15" x14ac:dyDescent="0.35">
      <c r="A16" s="2210"/>
      <c r="B16" s="1803" t="s">
        <v>1850</v>
      </c>
      <c r="C16" s="1788" t="s">
        <v>1840</v>
      </c>
      <c r="D16" s="1793" t="s">
        <v>963</v>
      </c>
      <c r="E16" s="1793" t="s">
        <v>1844</v>
      </c>
      <c r="F16" s="1789"/>
      <c r="G16" s="1789"/>
      <c r="H16" s="1789"/>
      <c r="I16" s="1789"/>
      <c r="J16" s="1790">
        <f>2923226.00981095/(10^7)</f>
        <v>0.2923226009810953</v>
      </c>
      <c r="K16" s="1789"/>
      <c r="L16" s="1801"/>
      <c r="M16" s="1797"/>
      <c r="N16" s="1789"/>
      <c r="Q16" s="1797"/>
      <c r="R16" s="1797"/>
      <c r="S16" s="1797"/>
      <c r="T16" s="1797"/>
      <c r="U16" s="1797"/>
      <c r="V16" s="1797"/>
      <c r="W16" s="1801"/>
      <c r="X16" s="1797">
        <f t="shared" si="0"/>
        <v>0</v>
      </c>
      <c r="Y16" s="1797"/>
      <c r="Z16" s="1797"/>
      <c r="AA16" s="1797"/>
      <c r="AB16" s="1797"/>
      <c r="AC16" s="1797"/>
      <c r="AD16" s="1797"/>
      <c r="AE16" s="1801"/>
      <c r="AF16" s="1797">
        <f t="shared" si="1"/>
        <v>0</v>
      </c>
      <c r="AG16" s="1797"/>
      <c r="AH16" s="1797"/>
      <c r="AI16" s="1797"/>
      <c r="AJ16" s="1797"/>
      <c r="AK16" s="1797"/>
      <c r="AL16" s="1797"/>
      <c r="AM16" s="1801"/>
      <c r="AN16" s="1797">
        <f t="shared" si="2"/>
        <v>0</v>
      </c>
      <c r="AO16" s="1789"/>
      <c r="AU16" s="1797"/>
      <c r="AV16" s="1797"/>
      <c r="AW16" s="1797"/>
      <c r="AX16" s="1797"/>
      <c r="AY16" s="1797"/>
      <c r="AZ16" s="1797"/>
      <c r="BA16" s="1801"/>
      <c r="BB16" s="1797">
        <f t="shared" si="3"/>
        <v>0</v>
      </c>
    </row>
    <row r="17" spans="1:54" ht="46.15" x14ac:dyDescent="0.35">
      <c r="A17" s="2210"/>
      <c r="B17" s="1802" t="s">
        <v>1850</v>
      </c>
      <c r="C17" s="1788" t="s">
        <v>1840</v>
      </c>
      <c r="D17" s="1793" t="s">
        <v>963</v>
      </c>
      <c r="E17" s="1793" t="s">
        <v>1844</v>
      </c>
      <c r="F17" s="1789"/>
      <c r="G17" s="1798"/>
      <c r="H17" s="1789"/>
      <c r="I17" s="1789"/>
      <c r="J17" s="1790">
        <f>2923226.00981095/(10^7)</f>
        <v>0.2923226009810953</v>
      </c>
      <c r="K17" s="1789"/>
      <c r="L17" s="1801"/>
      <c r="M17" s="1797"/>
      <c r="N17" s="1789"/>
      <c r="Q17" s="1797"/>
      <c r="R17" s="1797">
        <f>50550002.1964823/10^7</f>
        <v>5.05500021964823</v>
      </c>
      <c r="S17" s="1797"/>
      <c r="U17" s="1797"/>
      <c r="V17" s="1797"/>
      <c r="W17" s="1801"/>
      <c r="X17" s="1804">
        <f t="shared" si="0"/>
        <v>5.05500021964823</v>
      </c>
      <c r="Y17" s="1797"/>
      <c r="Z17" s="1797"/>
      <c r="AA17" s="1797"/>
      <c r="AB17" s="1797"/>
      <c r="AC17" s="1797"/>
      <c r="AD17" s="1797"/>
      <c r="AE17" s="1801"/>
      <c r="AF17" s="1797">
        <f t="shared" si="1"/>
        <v>0</v>
      </c>
      <c r="AG17" s="1797"/>
      <c r="AH17" s="1797"/>
      <c r="AI17" s="1797"/>
      <c r="AJ17" s="1797"/>
      <c r="AK17" s="1797"/>
      <c r="AL17" s="1797"/>
      <c r="AM17" s="1801"/>
      <c r="AN17" s="1797">
        <f t="shared" si="2"/>
        <v>0</v>
      </c>
      <c r="AO17" s="1789"/>
      <c r="AU17" s="1797"/>
      <c r="AV17" s="1797"/>
      <c r="AW17" s="1797"/>
      <c r="AX17" s="1797"/>
      <c r="AY17" s="1797"/>
      <c r="AZ17" s="1797"/>
      <c r="BA17" s="1801"/>
      <c r="BB17" s="1797">
        <f t="shared" si="3"/>
        <v>0</v>
      </c>
    </row>
    <row r="18" spans="1:54" ht="46.15" x14ac:dyDescent="0.35">
      <c r="A18" s="1787"/>
      <c r="B18" s="1803" t="s">
        <v>1851</v>
      </c>
      <c r="C18" s="1788" t="s">
        <v>1840</v>
      </c>
      <c r="D18" s="1793" t="s">
        <v>963</v>
      </c>
      <c r="E18" s="1793" t="s">
        <v>1844</v>
      </c>
      <c r="F18" s="1789"/>
      <c r="G18" s="1789"/>
      <c r="H18" s="1789"/>
      <c r="I18" s="1789"/>
      <c r="J18" s="1790">
        <f>5846452.01962191/(10^7)</f>
        <v>0.58464520196219061</v>
      </c>
      <c r="K18" s="1789"/>
      <c r="L18" s="1801"/>
      <c r="M18" s="1797"/>
      <c r="N18" s="1789"/>
      <c r="Q18" s="1797"/>
      <c r="R18" s="1797"/>
      <c r="S18" s="1797"/>
      <c r="T18" s="1797"/>
      <c r="U18" s="1797"/>
      <c r="V18" s="1797"/>
      <c r="W18" s="1801"/>
      <c r="X18" s="1804">
        <f t="shared" si="0"/>
        <v>0</v>
      </c>
      <c r="Y18" s="1797"/>
      <c r="Z18" s="1797"/>
      <c r="AA18" s="1797"/>
      <c r="AB18" s="1797"/>
      <c r="AC18" s="1797"/>
      <c r="AD18" s="1797"/>
      <c r="AE18" s="1801"/>
      <c r="AF18" s="1797">
        <f t="shared" si="1"/>
        <v>0</v>
      </c>
      <c r="AG18" s="1797"/>
      <c r="AH18" s="1797"/>
      <c r="AI18" s="1797"/>
      <c r="AJ18" s="1797"/>
      <c r="AK18" s="1797"/>
      <c r="AL18" s="1797"/>
      <c r="AM18" s="1801"/>
      <c r="AN18" s="1797">
        <f t="shared" si="2"/>
        <v>0</v>
      </c>
      <c r="AO18" s="1789"/>
      <c r="AU18" s="1797"/>
      <c r="AV18" s="1797"/>
      <c r="AW18" s="1797"/>
      <c r="AX18" s="1797"/>
      <c r="AY18" s="1797"/>
      <c r="AZ18" s="1797"/>
      <c r="BA18" s="1801"/>
      <c r="BB18" s="1797">
        <f t="shared" si="3"/>
        <v>0</v>
      </c>
    </row>
    <row r="19" spans="1:54" ht="61.5" x14ac:dyDescent="0.35">
      <c r="A19" s="1793" t="s">
        <v>1852</v>
      </c>
      <c r="B19" s="1802" t="s">
        <v>1848</v>
      </c>
      <c r="C19" s="1788" t="s">
        <v>1840</v>
      </c>
      <c r="D19" s="1793" t="s">
        <v>963</v>
      </c>
      <c r="E19" s="1793" t="s">
        <v>1844</v>
      </c>
      <c r="F19" s="1789"/>
      <c r="G19" s="1789"/>
      <c r="H19" s="1789"/>
      <c r="I19" s="1789"/>
      <c r="J19" s="1790">
        <f>3058003.76271269/(10^7)</f>
        <v>0.30580037627126877</v>
      </c>
      <c r="K19" s="1789"/>
      <c r="L19" s="1801"/>
      <c r="M19" s="1797"/>
      <c r="N19" s="1789"/>
      <c r="Q19" s="1797"/>
      <c r="R19" s="1797"/>
      <c r="S19" s="1797"/>
      <c r="T19" s="1797"/>
      <c r="U19" s="1797"/>
      <c r="V19" s="1797"/>
      <c r="W19" s="1801"/>
      <c r="X19" s="1797">
        <f t="shared" si="0"/>
        <v>0</v>
      </c>
      <c r="Y19" s="1797"/>
      <c r="Z19" s="1797"/>
      <c r="AA19" s="1797"/>
      <c r="AB19" s="1797"/>
      <c r="AC19" s="1797"/>
      <c r="AD19" s="1797"/>
      <c r="AE19" s="1801"/>
      <c r="AF19" s="1797">
        <f t="shared" si="1"/>
        <v>0</v>
      </c>
      <c r="AG19" s="1797"/>
      <c r="AH19" s="1797"/>
      <c r="AI19" s="1797"/>
      <c r="AJ19" s="1797"/>
      <c r="AK19" s="1797"/>
      <c r="AL19" s="1797"/>
      <c r="AM19" s="1801"/>
      <c r="AN19" s="1797">
        <f t="shared" si="2"/>
        <v>0</v>
      </c>
      <c r="AO19" s="1789"/>
      <c r="AU19" s="1797"/>
      <c r="AV19" s="1797"/>
      <c r="AW19" s="1797"/>
      <c r="AX19" s="1797"/>
      <c r="AY19" s="1797"/>
      <c r="AZ19" s="1797"/>
      <c r="BA19" s="1801"/>
      <c r="BB19" s="1797">
        <f t="shared" si="3"/>
        <v>0</v>
      </c>
    </row>
    <row r="20" spans="1:54" x14ac:dyDescent="0.35">
      <c r="A20" s="1789"/>
      <c r="B20" s="1789"/>
      <c r="C20" s="1793"/>
      <c r="D20" s="1793"/>
      <c r="E20" s="1789"/>
      <c r="F20" s="1789"/>
      <c r="G20" s="1789"/>
      <c r="H20" s="1789"/>
      <c r="I20" s="1789"/>
      <c r="J20" s="1789"/>
      <c r="K20" s="1789"/>
      <c r="L20" s="1801"/>
      <c r="M20" s="1797"/>
      <c r="N20" s="1789"/>
      <c r="Q20" s="1797"/>
      <c r="R20" s="1797"/>
      <c r="S20" s="1797"/>
      <c r="T20" s="1797"/>
      <c r="U20" s="1797"/>
      <c r="V20" s="1797"/>
      <c r="W20" s="1801"/>
      <c r="X20" s="1797">
        <f t="shared" si="0"/>
        <v>0</v>
      </c>
      <c r="Y20" s="1797"/>
      <c r="Z20" s="1797"/>
      <c r="AA20" s="1797"/>
      <c r="AB20" s="1797"/>
      <c r="AC20" s="1797"/>
      <c r="AD20" s="1797"/>
      <c r="AE20" s="1801"/>
      <c r="AF20" s="1797">
        <f t="shared" si="1"/>
        <v>0</v>
      </c>
      <c r="AG20" s="1797"/>
      <c r="AH20" s="1797"/>
      <c r="AI20" s="1797"/>
      <c r="AJ20" s="1797"/>
      <c r="AK20" s="1797"/>
      <c r="AL20" s="1797"/>
      <c r="AM20" s="1801"/>
      <c r="AN20" s="1797">
        <f t="shared" si="2"/>
        <v>0</v>
      </c>
      <c r="AO20" s="1789"/>
      <c r="AU20" s="1797"/>
      <c r="AV20" s="1797"/>
      <c r="AW20" s="1797"/>
      <c r="AX20" s="1797"/>
      <c r="AY20" s="1797"/>
      <c r="AZ20" s="1797"/>
      <c r="BA20" s="1801"/>
      <c r="BB20" s="1797">
        <f t="shared" si="3"/>
        <v>0</v>
      </c>
    </row>
    <row r="21" spans="1:54" x14ac:dyDescent="0.35">
      <c r="A21" s="1789"/>
      <c r="B21" s="1789"/>
      <c r="C21" s="1793"/>
      <c r="D21" s="1793"/>
      <c r="E21" s="1789"/>
      <c r="F21" s="1789"/>
      <c r="G21" s="1789"/>
      <c r="H21" s="1789"/>
      <c r="I21" s="1789"/>
      <c r="J21" s="1789"/>
      <c r="K21" s="1789"/>
      <c r="L21" s="1801"/>
      <c r="M21" s="1797"/>
      <c r="N21" s="1789"/>
      <c r="Q21" s="1797"/>
      <c r="R21" s="1797"/>
      <c r="S21" s="1797"/>
      <c r="T21" s="1797"/>
      <c r="U21" s="1797"/>
      <c r="V21" s="1797"/>
      <c r="W21" s="1801"/>
      <c r="X21" s="1797">
        <f t="shared" si="0"/>
        <v>0</v>
      </c>
      <c r="Y21" s="1797"/>
      <c r="Z21" s="1797"/>
      <c r="AA21" s="1797"/>
      <c r="AB21" s="1797"/>
      <c r="AC21" s="1797"/>
      <c r="AD21" s="1797"/>
      <c r="AE21" s="1801"/>
      <c r="AF21" s="1797">
        <f t="shared" si="1"/>
        <v>0</v>
      </c>
      <c r="AG21" s="1797"/>
      <c r="AH21" s="1797"/>
      <c r="AI21" s="1797"/>
      <c r="AJ21" s="1797"/>
      <c r="AK21" s="1797"/>
      <c r="AL21" s="1797"/>
      <c r="AM21" s="1801"/>
      <c r="AN21" s="1797">
        <f t="shared" si="2"/>
        <v>0</v>
      </c>
      <c r="AO21" s="1789"/>
      <c r="AU21" s="1797"/>
      <c r="AV21" s="1797"/>
      <c r="AW21" s="1797"/>
      <c r="AX21" s="1797"/>
      <c r="AY21" s="1797"/>
      <c r="AZ21" s="1797"/>
      <c r="BA21" s="1801"/>
      <c r="BB21" s="1797">
        <f t="shared" si="3"/>
        <v>0</v>
      </c>
    </row>
    <row r="22" spans="1:54" x14ac:dyDescent="0.35">
      <c r="A22" s="1789"/>
      <c r="B22" s="1789"/>
      <c r="C22" s="1793"/>
      <c r="D22" s="1793"/>
      <c r="E22" s="1789"/>
      <c r="F22" s="1789"/>
      <c r="G22" s="1789"/>
      <c r="H22" s="1789"/>
      <c r="I22" s="1789"/>
      <c r="J22" s="1789"/>
      <c r="K22" s="1789"/>
      <c r="L22" s="1801"/>
      <c r="M22" s="1797"/>
      <c r="N22" s="1789"/>
      <c r="Q22" s="1797"/>
      <c r="R22" s="1797"/>
      <c r="S22" s="1797"/>
      <c r="T22" s="1797"/>
      <c r="U22" s="1797"/>
      <c r="V22" s="1797"/>
      <c r="W22" s="1801"/>
      <c r="X22" s="1797">
        <f t="shared" si="0"/>
        <v>0</v>
      </c>
      <c r="Y22" s="1797"/>
      <c r="Z22" s="1797"/>
      <c r="AA22" s="1797"/>
      <c r="AB22" s="1797"/>
      <c r="AC22" s="1797"/>
      <c r="AD22" s="1797"/>
      <c r="AE22" s="1801"/>
      <c r="AF22" s="1797">
        <f t="shared" si="1"/>
        <v>0</v>
      </c>
      <c r="AG22" s="1797"/>
      <c r="AH22" s="1797"/>
      <c r="AI22" s="1797"/>
      <c r="AJ22" s="1797"/>
      <c r="AK22" s="1797"/>
      <c r="AL22" s="1797"/>
      <c r="AM22" s="1801"/>
      <c r="AN22" s="1797">
        <f t="shared" si="2"/>
        <v>0</v>
      </c>
      <c r="AO22" s="1789"/>
      <c r="AU22" s="1797"/>
      <c r="AV22" s="1797"/>
      <c r="AW22" s="1797"/>
      <c r="AX22" s="1797"/>
      <c r="AY22" s="1797"/>
      <c r="AZ22" s="1797"/>
      <c r="BA22" s="1801"/>
      <c r="BB22" s="1797">
        <f t="shared" si="3"/>
        <v>0</v>
      </c>
    </row>
    <row r="23" spans="1:54" x14ac:dyDescent="0.35">
      <c r="A23" s="1789"/>
      <c r="B23" s="1789"/>
      <c r="C23" s="1793"/>
      <c r="D23" s="1793"/>
      <c r="E23" s="1789"/>
      <c r="F23" s="1789"/>
      <c r="G23" s="1789"/>
      <c r="H23" s="1789"/>
      <c r="I23" s="1789"/>
      <c r="J23" s="1789"/>
      <c r="K23" s="1789"/>
      <c r="L23" s="1801"/>
      <c r="M23" s="1797"/>
      <c r="N23" s="1789"/>
      <c r="Q23" s="1797"/>
      <c r="R23" s="1797"/>
      <c r="S23" s="1797"/>
      <c r="T23" s="1797"/>
      <c r="U23" s="1797"/>
      <c r="V23" s="1797"/>
      <c r="W23" s="1801"/>
      <c r="X23" s="1797">
        <f t="shared" si="0"/>
        <v>0</v>
      </c>
      <c r="Y23" s="1797"/>
      <c r="Z23" s="1797"/>
      <c r="AA23" s="1797"/>
      <c r="AB23" s="1797"/>
      <c r="AC23" s="1797"/>
      <c r="AD23" s="1797"/>
      <c r="AE23" s="1801"/>
      <c r="AF23" s="1797">
        <f t="shared" si="1"/>
        <v>0</v>
      </c>
      <c r="AG23" s="1797"/>
      <c r="AH23" s="1797"/>
      <c r="AI23" s="1797"/>
      <c r="AJ23" s="1797"/>
      <c r="AK23" s="1797"/>
      <c r="AL23" s="1797"/>
      <c r="AM23" s="1801"/>
      <c r="AN23" s="1797">
        <f t="shared" si="2"/>
        <v>0</v>
      </c>
      <c r="AO23" s="1789"/>
      <c r="AU23" s="1797"/>
      <c r="AV23" s="1797"/>
      <c r="AW23" s="1797"/>
      <c r="AX23" s="1797"/>
      <c r="AY23" s="1797"/>
      <c r="AZ23" s="1797"/>
      <c r="BA23" s="1801"/>
      <c r="BB23" s="1797">
        <f t="shared" si="3"/>
        <v>0</v>
      </c>
    </row>
    <row r="24" spans="1:54" x14ac:dyDescent="0.35">
      <c r="A24" s="1789"/>
      <c r="B24" s="1789"/>
      <c r="C24" s="1793"/>
      <c r="D24" s="1793"/>
      <c r="E24" s="1789"/>
      <c r="F24" s="1789"/>
      <c r="G24" s="1789"/>
      <c r="H24" s="1789"/>
      <c r="I24" s="1789"/>
      <c r="J24" s="1789"/>
      <c r="K24" s="1789"/>
      <c r="L24" s="1801"/>
      <c r="M24" s="1797"/>
      <c r="N24" s="1789"/>
      <c r="Q24" s="1797"/>
      <c r="R24" s="1797"/>
      <c r="S24" s="1797"/>
      <c r="T24" s="1797"/>
      <c r="U24" s="1797"/>
      <c r="V24" s="1797"/>
      <c r="W24" s="1801"/>
      <c r="X24" s="1797">
        <f t="shared" si="0"/>
        <v>0</v>
      </c>
      <c r="Y24" s="1797"/>
      <c r="Z24" s="1797"/>
      <c r="AA24" s="1797"/>
      <c r="AB24" s="1797"/>
      <c r="AC24" s="1797"/>
      <c r="AD24" s="1797"/>
      <c r="AE24" s="1801"/>
      <c r="AF24" s="1797">
        <f t="shared" si="1"/>
        <v>0</v>
      </c>
      <c r="AG24" s="1797"/>
      <c r="AH24" s="1797"/>
      <c r="AI24" s="1797"/>
      <c r="AJ24" s="1797"/>
      <c r="AK24" s="1797"/>
      <c r="AL24" s="1797"/>
      <c r="AM24" s="1801"/>
      <c r="AN24" s="1797">
        <f t="shared" si="2"/>
        <v>0</v>
      </c>
      <c r="AO24" s="1789"/>
      <c r="AU24" s="1797"/>
      <c r="AV24" s="1797"/>
      <c r="AW24" s="1797"/>
      <c r="AX24" s="1797"/>
      <c r="AY24" s="1797"/>
      <c r="AZ24" s="1797"/>
      <c r="BA24" s="1801"/>
      <c r="BB24" s="1797">
        <f t="shared" si="3"/>
        <v>0</v>
      </c>
    </row>
    <row r="25" spans="1:54" x14ac:dyDescent="0.35">
      <c r="A25" s="1789"/>
      <c r="B25" s="1789"/>
      <c r="C25" s="1793"/>
      <c r="D25" s="1793"/>
      <c r="E25" s="1789"/>
      <c r="F25" s="1789"/>
      <c r="G25" s="1789"/>
      <c r="H25" s="1789"/>
      <c r="I25" s="1789"/>
      <c r="J25" s="1789"/>
      <c r="K25" s="1789"/>
      <c r="L25" s="1801"/>
      <c r="M25" s="1797"/>
      <c r="N25" s="1789"/>
      <c r="Q25" s="1797"/>
      <c r="R25" s="1797"/>
      <c r="S25" s="1797"/>
      <c r="T25" s="1797"/>
      <c r="U25" s="1797"/>
      <c r="V25" s="1797"/>
      <c r="W25" s="1801"/>
      <c r="X25" s="1797">
        <f t="shared" si="0"/>
        <v>0</v>
      </c>
      <c r="Y25" s="1797"/>
      <c r="Z25" s="1797"/>
      <c r="AA25" s="1797"/>
      <c r="AB25" s="1797"/>
      <c r="AC25" s="1797"/>
      <c r="AD25" s="1797"/>
      <c r="AE25" s="1801"/>
      <c r="AF25" s="1797">
        <f t="shared" si="1"/>
        <v>0</v>
      </c>
      <c r="AG25" s="1797"/>
      <c r="AH25" s="1797"/>
      <c r="AI25" s="1797"/>
      <c r="AJ25" s="1797"/>
      <c r="AK25" s="1797"/>
      <c r="AL25" s="1797"/>
      <c r="AM25" s="1801"/>
      <c r="AN25" s="1797">
        <f t="shared" si="2"/>
        <v>0</v>
      </c>
      <c r="AO25" s="1789"/>
      <c r="AU25" s="1797"/>
      <c r="AV25" s="1797"/>
      <c r="AW25" s="1797"/>
      <c r="AX25" s="1797"/>
      <c r="AY25" s="1797"/>
      <c r="AZ25" s="1797"/>
      <c r="BA25" s="1801"/>
      <c r="BB25" s="1797">
        <f t="shared" si="3"/>
        <v>0</v>
      </c>
    </row>
    <row r="26" spans="1:54" x14ac:dyDescent="0.35">
      <c r="A26" s="1789"/>
      <c r="B26" s="1789"/>
      <c r="C26" s="1789"/>
      <c r="D26" s="1789"/>
      <c r="E26" s="1789"/>
      <c r="F26" s="1789"/>
      <c r="G26" s="1789"/>
      <c r="H26" s="1789"/>
      <c r="I26" s="1789"/>
      <c r="J26" s="1789"/>
      <c r="K26" s="1789"/>
      <c r="L26" s="1801"/>
      <c r="M26" s="1797"/>
      <c r="N26" s="1789"/>
      <c r="Q26" s="1797"/>
      <c r="R26" s="1797"/>
      <c r="S26" s="1797"/>
      <c r="T26" s="1797"/>
      <c r="U26" s="1797"/>
      <c r="V26" s="1797"/>
      <c r="W26" s="1801"/>
      <c r="X26" s="1797"/>
      <c r="Y26" s="1797"/>
      <c r="Z26" s="1797"/>
      <c r="AA26" s="1797"/>
      <c r="AB26" s="1797"/>
      <c r="AC26" s="1797"/>
      <c r="AD26" s="1797"/>
      <c r="AE26" s="1801"/>
      <c r="AF26" s="1797"/>
      <c r="AG26" s="1797"/>
      <c r="AH26" s="1797"/>
      <c r="AI26" s="1797"/>
      <c r="AJ26" s="1797"/>
      <c r="AK26" s="1797"/>
      <c r="AL26" s="1797"/>
      <c r="AM26" s="1801"/>
      <c r="AN26" s="1797"/>
      <c r="AO26" s="1789"/>
      <c r="AU26" s="1797"/>
      <c r="AV26" s="1797"/>
      <c r="AW26" s="1797"/>
      <c r="AX26" s="1797"/>
      <c r="AY26" s="1797"/>
      <c r="AZ26" s="1797"/>
      <c r="BA26" s="1801"/>
      <c r="BB26" s="1797"/>
    </row>
    <row r="27" spans="1:54" x14ac:dyDescent="0.35">
      <c r="A27" s="1805" t="s">
        <v>164</v>
      </c>
      <c r="B27" s="1805"/>
      <c r="C27" s="1805"/>
      <c r="D27" s="1805"/>
      <c r="E27" s="1805"/>
      <c r="F27" s="1806">
        <f t="shared" ref="F27:K27" si="4">SUM(F5:F26)</f>
        <v>0</v>
      </c>
      <c r="G27" s="1806">
        <f t="shared" si="4"/>
        <v>0</v>
      </c>
      <c r="H27" s="1806">
        <f t="shared" si="4"/>
        <v>0</v>
      </c>
      <c r="I27" s="1806">
        <f t="shared" si="4"/>
        <v>0</v>
      </c>
      <c r="J27" s="1806">
        <f t="shared" si="4"/>
        <v>2.5020070996431665</v>
      </c>
      <c r="K27" s="1806">
        <f t="shared" si="4"/>
        <v>0</v>
      </c>
      <c r="L27" s="1806"/>
      <c r="M27" s="1806"/>
      <c r="N27" s="1789"/>
      <c r="Q27" s="1806">
        <f t="shared" ref="Q27:AN27" si="5">SUM(Q5:Q25)</f>
        <v>0</v>
      </c>
      <c r="R27" s="1806">
        <f t="shared" si="5"/>
        <v>5.05500021964823</v>
      </c>
      <c r="S27" s="1806">
        <f t="shared" si="5"/>
        <v>0</v>
      </c>
      <c r="T27" s="1806">
        <f t="shared" si="5"/>
        <v>1.2827367700740799</v>
      </c>
      <c r="U27" s="1806">
        <f t="shared" si="5"/>
        <v>0</v>
      </c>
      <c r="V27" s="1806">
        <f t="shared" si="5"/>
        <v>0</v>
      </c>
      <c r="W27" s="1806">
        <f t="shared" si="5"/>
        <v>0</v>
      </c>
      <c r="X27" s="1806">
        <f t="shared" si="5"/>
        <v>6.3377369897223099</v>
      </c>
      <c r="Y27" s="1806">
        <f t="shared" si="5"/>
        <v>0</v>
      </c>
      <c r="Z27" s="1806">
        <f t="shared" si="5"/>
        <v>0</v>
      </c>
      <c r="AA27" s="1806">
        <f t="shared" si="5"/>
        <v>0</v>
      </c>
      <c r="AB27" s="1806">
        <f t="shared" si="5"/>
        <v>1.57290796014413</v>
      </c>
      <c r="AC27" s="1806">
        <f t="shared" si="5"/>
        <v>0</v>
      </c>
      <c r="AD27" s="1806">
        <f t="shared" si="5"/>
        <v>0</v>
      </c>
      <c r="AE27" s="1806">
        <f t="shared" si="5"/>
        <v>0</v>
      </c>
      <c r="AF27" s="1806">
        <f t="shared" si="5"/>
        <v>1.57290796014413</v>
      </c>
      <c r="AG27" s="1806">
        <f t="shared" si="5"/>
        <v>0</v>
      </c>
      <c r="AH27" s="1806">
        <f t="shared" si="5"/>
        <v>0</v>
      </c>
      <c r="AI27" s="1806">
        <f t="shared" si="5"/>
        <v>0</v>
      </c>
      <c r="AJ27" s="1806">
        <f t="shared" si="5"/>
        <v>0.46159668383458496</v>
      </c>
      <c r="AK27" s="1806">
        <f t="shared" si="5"/>
        <v>0</v>
      </c>
      <c r="AL27" s="1806">
        <f t="shared" si="5"/>
        <v>0</v>
      </c>
      <c r="AM27" s="1806">
        <f t="shared" si="5"/>
        <v>0</v>
      </c>
      <c r="AN27" s="1806">
        <f t="shared" si="5"/>
        <v>0.46159668383458496</v>
      </c>
      <c r="AO27" s="1789"/>
      <c r="AU27" s="1806">
        <f t="shared" ref="AU27:BA27" si="6">SUM(AU5:AU25)</f>
        <v>0</v>
      </c>
      <c r="AV27" s="1806">
        <f t="shared" si="6"/>
        <v>0</v>
      </c>
      <c r="AW27" s="1806">
        <f t="shared" si="6"/>
        <v>0</v>
      </c>
      <c r="AX27" s="1806">
        <f t="shared" si="6"/>
        <v>0.81693504987138499</v>
      </c>
      <c r="AY27" s="1806">
        <f t="shared" si="6"/>
        <v>0</v>
      </c>
      <c r="AZ27" s="1806">
        <f t="shared" si="6"/>
        <v>0</v>
      </c>
      <c r="BA27" s="1806">
        <f t="shared" si="6"/>
        <v>0</v>
      </c>
      <c r="BB27" s="1806">
        <f>SUM(BB5:BB25)</f>
        <v>0.81693504987138499</v>
      </c>
    </row>
    <row r="28" spans="1:54" x14ac:dyDescent="0.35">
      <c r="A28" s="1807" t="s">
        <v>933</v>
      </c>
    </row>
    <row r="29" spans="1:54" x14ac:dyDescent="0.35">
      <c r="X29" s="1808" t="e">
        <f>X27+AF27+AN27-BB27-#REF!</f>
        <v>#REF!</v>
      </c>
    </row>
    <row r="30" spans="1:54" x14ac:dyDescent="0.35">
      <c r="J30" s="1794">
        <f>10^7</f>
        <v>10000000</v>
      </c>
    </row>
  </sheetData>
  <mergeCells count="19">
    <mergeCell ref="Y3:AF3"/>
    <mergeCell ref="A5:A6"/>
    <mergeCell ref="A7:A17"/>
    <mergeCell ref="Y2:AF2"/>
    <mergeCell ref="AG2:AN2"/>
    <mergeCell ref="AU2:BB2"/>
    <mergeCell ref="A3:A4"/>
    <mergeCell ref="B3:B4"/>
    <mergeCell ref="C3:C4"/>
    <mergeCell ref="D3:D4"/>
    <mergeCell ref="E3:E4"/>
    <mergeCell ref="F2:M2"/>
    <mergeCell ref="Q2:X2"/>
    <mergeCell ref="AG3:AN3"/>
    <mergeCell ref="AO3:AO4"/>
    <mergeCell ref="AU3:BB3"/>
    <mergeCell ref="F3:M3"/>
    <mergeCell ref="N3:N4"/>
    <mergeCell ref="Q3:X3"/>
  </mergeCells>
  <dataValidations count="1">
    <dataValidation type="list" allowBlank="1" showInputMessage="1" showErrorMessage="1" sqref="D5:D19" xr:uid="{E402B709-F180-4510-97C3-4D3E83BDC913}">
      <formula1>"Wire, Retail"</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CDD09E2-489C-46F7-A03C-8D3A8028F826}">
          <x14:formula1>
            <xm:f>'Block of Assets'!$C$4:$C$29</xm:f>
          </x14:formula1>
          <xm:sqref>C20:D25 C5:C19</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16798-2954-4C88-A951-C97A021687F2}">
  <sheetPr>
    <tabColor theme="5" tint="-0.249977111117893"/>
  </sheetPr>
  <dimension ref="B1:N30"/>
  <sheetViews>
    <sheetView showGridLines="0" topLeftCell="B1" zoomScale="85" zoomScaleNormal="85" workbookViewId="0">
      <pane xSplit="3" ySplit="4" topLeftCell="E21" activePane="bottomRight" state="frozen"/>
      <selection activeCell="C90" sqref="B90:P113"/>
      <selection pane="topRight" activeCell="C90" sqref="B90:P113"/>
      <selection pane="bottomLeft" activeCell="C90" sqref="B90:P113"/>
      <selection pane="bottomRight" activeCell="G5" sqref="G5:K28"/>
    </sheetView>
  </sheetViews>
  <sheetFormatPr defaultColWidth="9.1328125" defaultRowHeight="13.5" x14ac:dyDescent="0.35"/>
  <cols>
    <col min="1" max="1" width="5.53125" style="285" customWidth="1"/>
    <col min="2" max="2" width="26" style="285" bestFit="1" customWidth="1"/>
    <col min="3" max="3" width="26.33203125" style="285" customWidth="1"/>
    <col min="4" max="4" width="23.86328125" style="1809" bestFit="1" customWidth="1"/>
    <col min="5" max="5" width="19.46484375" style="285" bestFit="1" customWidth="1"/>
    <col min="6" max="7" width="12" style="285" customWidth="1"/>
    <col min="8" max="8" width="11.46484375" style="285" customWidth="1"/>
    <col min="9" max="10" width="12.1328125" style="285" customWidth="1"/>
    <col min="11" max="11" width="12.6640625" style="285" customWidth="1"/>
    <col min="12" max="12" width="3" style="285" hidden="1" customWidth="1"/>
    <col min="13" max="13" width="15.6640625" style="285" bestFit="1" customWidth="1"/>
    <col min="14" max="14" width="42.1328125" style="285" customWidth="1"/>
    <col min="15" max="15" width="10.53125" style="285" bestFit="1" customWidth="1"/>
    <col min="16" max="16384" width="9.1328125" style="285"/>
  </cols>
  <sheetData>
    <row r="1" spans="2:14" x14ac:dyDescent="0.35">
      <c r="B1" s="285" t="s">
        <v>918</v>
      </c>
    </row>
    <row r="2" spans="2:14" x14ac:dyDescent="0.35">
      <c r="F2" s="2214" t="s">
        <v>114</v>
      </c>
      <c r="G2" s="2215"/>
      <c r="H2" s="2215"/>
      <c r="I2" s="2215"/>
      <c r="J2" s="2215"/>
      <c r="K2" s="2215"/>
      <c r="L2" s="2215"/>
      <c r="M2" s="2216"/>
    </row>
    <row r="3" spans="2:14" s="1811" customFormat="1" ht="42.6" customHeight="1" x14ac:dyDescent="0.35">
      <c r="B3" s="287" t="s">
        <v>919</v>
      </c>
      <c r="C3" s="287" t="s">
        <v>903</v>
      </c>
      <c r="D3" s="2194" t="s">
        <v>921</v>
      </c>
      <c r="E3" s="2194" t="s">
        <v>929</v>
      </c>
      <c r="F3" s="2211" t="s">
        <v>922</v>
      </c>
      <c r="G3" s="2212"/>
      <c r="H3" s="2212"/>
      <c r="I3" s="2212"/>
      <c r="J3" s="2212"/>
      <c r="K3" s="2212"/>
      <c r="L3" s="2212"/>
      <c r="M3" s="2213"/>
      <c r="N3" s="2194" t="s">
        <v>934</v>
      </c>
    </row>
    <row r="4" spans="2:14" x14ac:dyDescent="0.35">
      <c r="B4" s="287"/>
      <c r="C4" s="287"/>
      <c r="D4" s="2195"/>
      <c r="E4" s="2195"/>
      <c r="F4" s="287" t="s">
        <v>908</v>
      </c>
      <c r="G4" s="287" t="s">
        <v>909</v>
      </c>
      <c r="H4" s="287" t="s">
        <v>910</v>
      </c>
      <c r="I4" s="287" t="s">
        <v>911</v>
      </c>
      <c r="J4" s="287" t="s">
        <v>912</v>
      </c>
      <c r="K4" s="287" t="s">
        <v>923</v>
      </c>
      <c r="L4" s="308"/>
      <c r="M4" s="287" t="s">
        <v>164</v>
      </c>
      <c r="N4" s="2195"/>
    </row>
    <row r="5" spans="2:14" x14ac:dyDescent="0.35">
      <c r="B5" s="309" t="s">
        <v>916</v>
      </c>
      <c r="C5" s="288" t="s">
        <v>1838</v>
      </c>
      <c r="D5" s="1782" t="s">
        <v>963</v>
      </c>
      <c r="E5" s="309"/>
      <c r="F5" s="309"/>
      <c r="G5" s="1850">
        <f>+$M5*Summary!$F$35</f>
        <v>3.1039462424114141</v>
      </c>
      <c r="H5" s="309"/>
      <c r="I5" s="309"/>
      <c r="J5" s="1850">
        <f>+$M5*Summary!$G$35</f>
        <v>2.7217185437837399</v>
      </c>
      <c r="K5" s="309"/>
      <c r="L5" s="310"/>
      <c r="M5" s="311">
        <v>5.8256647861951549</v>
      </c>
      <c r="N5" s="309"/>
    </row>
    <row r="6" spans="2:14" x14ac:dyDescent="0.35">
      <c r="B6" s="309" t="s">
        <v>1853</v>
      </c>
      <c r="C6" s="288" t="s">
        <v>915</v>
      </c>
      <c r="D6" s="1782" t="s">
        <v>963</v>
      </c>
      <c r="E6" s="309"/>
      <c r="F6" s="311"/>
      <c r="G6" s="1850">
        <f>+$M6*Summary!$F$35</f>
        <v>1.7564559358427462E-2</v>
      </c>
      <c r="H6" s="309"/>
      <c r="I6" s="309"/>
      <c r="J6" s="1850">
        <f>+$M6*Summary!$G$35</f>
        <v>1.5401615616281608E-2</v>
      </c>
      <c r="K6" s="311"/>
      <c r="L6" s="312"/>
      <c r="M6" s="1781">
        <f>329661.749747091/(10^7)</f>
        <v>3.2966174974709071E-2</v>
      </c>
      <c r="N6" s="309"/>
    </row>
    <row r="7" spans="2:14" x14ac:dyDescent="0.35">
      <c r="B7" s="309" t="s">
        <v>1853</v>
      </c>
      <c r="C7" s="288" t="s">
        <v>915</v>
      </c>
      <c r="D7" s="1782" t="s">
        <v>963</v>
      </c>
      <c r="E7" s="309"/>
      <c r="F7" s="311"/>
      <c r="G7" s="1850">
        <f>+$M7*Summary!$F$35</f>
        <v>3.4998039915672623E-2</v>
      </c>
      <c r="H7" s="309"/>
      <c r="I7" s="309"/>
      <c r="J7" s="1850">
        <f>+$M7*Summary!$G$35</f>
        <v>3.0688293802590957E-2</v>
      </c>
      <c r="K7" s="311"/>
      <c r="L7" s="312"/>
      <c r="M7" s="1781">
        <f>656863.337182636/(10^7)</f>
        <v>6.5686333718263587E-2</v>
      </c>
      <c r="N7" s="309"/>
    </row>
    <row r="8" spans="2:14" x14ac:dyDescent="0.35">
      <c r="B8" s="309" t="s">
        <v>1841</v>
      </c>
      <c r="C8" s="288" t="s">
        <v>915</v>
      </c>
      <c r="D8" s="1782" t="s">
        <v>963</v>
      </c>
      <c r="E8" s="309"/>
      <c r="F8" s="311"/>
      <c r="G8" s="1850">
        <f>+$M8*Summary!$F$35</f>
        <v>9.8217334874566211E-3</v>
      </c>
      <c r="H8" s="309"/>
      <c r="I8" s="309"/>
      <c r="J8" s="1850">
        <f>+$M8*Summary!$G$35</f>
        <v>8.6122606763140014E-3</v>
      </c>
      <c r="K8" s="311"/>
      <c r="L8" s="312"/>
      <c r="M8" s="1781">
        <f>184339.941637706/(10^7)</f>
        <v>1.8433994163770624E-2</v>
      </c>
      <c r="N8" s="309"/>
    </row>
    <row r="9" spans="2:14" x14ac:dyDescent="0.35">
      <c r="B9" s="309" t="s">
        <v>1854</v>
      </c>
      <c r="C9" s="288" t="s">
        <v>915</v>
      </c>
      <c r="D9" s="1782" t="s">
        <v>963</v>
      </c>
      <c r="E9" s="309"/>
      <c r="F9" s="311"/>
      <c r="G9" s="1850">
        <f>+$M9*Summary!$F$35</f>
        <v>4.8934850711869144E-3</v>
      </c>
      <c r="H9" s="309"/>
      <c r="I9" s="309"/>
      <c r="J9" s="1850">
        <f>+$M9*Summary!$G$35</f>
        <v>4.2908890882179737E-3</v>
      </c>
      <c r="K9" s="311"/>
      <c r="L9" s="312"/>
      <c r="M9" s="1781">
        <f>91843.7415940489/(10^7)</f>
        <v>9.184374159404889E-3</v>
      </c>
      <c r="N9" s="309"/>
    </row>
    <row r="10" spans="2:14" x14ac:dyDescent="0.35">
      <c r="B10" s="309" t="s">
        <v>1855</v>
      </c>
      <c r="C10" s="288" t="s">
        <v>915</v>
      </c>
      <c r="D10" s="1782" t="s">
        <v>963</v>
      </c>
      <c r="E10" s="309"/>
      <c r="F10" s="311"/>
      <c r="G10" s="1850">
        <f>+$M10*Summary!$F$35</f>
        <v>2.7186028173260628E-4</v>
      </c>
      <c r="H10" s="309"/>
      <c r="I10" s="309"/>
      <c r="J10" s="1850">
        <f>+$M10*Summary!$G$35</f>
        <v>2.3838272712322072E-4</v>
      </c>
      <c r="K10" s="311"/>
      <c r="L10" s="312"/>
      <c r="M10" s="1781">
        <f>5102.43008855827/(10^7)</f>
        <v>5.1024300885582706E-4</v>
      </c>
      <c r="N10" s="309"/>
    </row>
    <row r="11" spans="2:14" x14ac:dyDescent="0.35">
      <c r="B11" s="309" t="s">
        <v>1855</v>
      </c>
      <c r="C11" s="288" t="s">
        <v>915</v>
      </c>
      <c r="D11" s="1782" t="s">
        <v>963</v>
      </c>
      <c r="E11" s="309"/>
      <c r="F11" s="311"/>
      <c r="G11" s="1850">
        <f>+$M11*Summary!$F$35</f>
        <v>1.0874411269304251E-3</v>
      </c>
      <c r="H11" s="309"/>
      <c r="I11" s="309"/>
      <c r="J11" s="1850">
        <f>+$M11*Summary!$G$35</f>
        <v>9.5353090849288288E-4</v>
      </c>
      <c r="K11" s="311"/>
      <c r="L11" s="312"/>
      <c r="M11" s="1781">
        <f>20409.7203542331/(10^7)</f>
        <v>2.0409720354233082E-3</v>
      </c>
      <c r="N11" s="326"/>
    </row>
    <row r="12" spans="2:14" x14ac:dyDescent="0.35">
      <c r="B12" s="309" t="s">
        <v>1855</v>
      </c>
      <c r="C12" s="288" t="s">
        <v>915</v>
      </c>
      <c r="D12" s="1782" t="s">
        <v>963</v>
      </c>
      <c r="E12" s="309"/>
      <c r="F12" s="311"/>
      <c r="G12" s="1850">
        <f>+$M12*Summary!$F$35</f>
        <v>9.0252282342244568E-4</v>
      </c>
      <c r="H12" s="309"/>
      <c r="I12" s="309"/>
      <c r="J12" s="1850">
        <f>+$M12*Summary!$G$35</f>
        <v>7.9138390708357567E-4</v>
      </c>
      <c r="K12" s="311"/>
      <c r="L12" s="312"/>
      <c r="M12" s="1781">
        <f>16939.0673050602/(10^7)</f>
        <v>1.6939067305060216E-3</v>
      </c>
      <c r="N12" s="326"/>
    </row>
    <row r="13" spans="2:14" x14ac:dyDescent="0.35">
      <c r="B13" s="309" t="s">
        <v>1855</v>
      </c>
      <c r="C13" s="288" t="s">
        <v>915</v>
      </c>
      <c r="D13" s="1782" t="s">
        <v>963</v>
      </c>
      <c r="E13" s="309"/>
      <c r="F13" s="311"/>
      <c r="G13" s="1850">
        <f>+$M13*Summary!$F$35</f>
        <v>3.1588298819785598E-4</v>
      </c>
      <c r="H13" s="309"/>
      <c r="I13" s="309"/>
      <c r="J13" s="1850">
        <f>+$M13*Summary!$G$35</f>
        <v>2.7698436747925149E-4</v>
      </c>
      <c r="K13" s="311"/>
      <c r="L13" s="312"/>
      <c r="M13" s="1781">
        <f>5928.67355677107/(10^7)</f>
        <v>5.9286735567710752E-4</v>
      </c>
      <c r="N13" s="309"/>
    </row>
    <row r="14" spans="2:14" x14ac:dyDescent="0.35">
      <c r="B14" s="309" t="s">
        <v>1855</v>
      </c>
      <c r="C14" s="288" t="s">
        <v>915</v>
      </c>
      <c r="D14" s="1782" t="s">
        <v>963</v>
      </c>
      <c r="E14" s="309"/>
      <c r="F14" s="311"/>
      <c r="G14" s="1850">
        <f>+$M14*Summary!$F$35</f>
        <v>5.8663983522458966E-3</v>
      </c>
      <c r="H14" s="309"/>
      <c r="I14" s="309"/>
      <c r="J14" s="1850">
        <f>+$M14*Summary!$G$35</f>
        <v>5.1439953960432418E-3</v>
      </c>
      <c r="K14" s="311"/>
      <c r="L14" s="312"/>
      <c r="M14" s="1781">
        <f>110103.937482891/(10^7)</f>
        <v>1.1010393748289139E-2</v>
      </c>
      <c r="N14" s="326"/>
    </row>
    <row r="15" spans="2:14" x14ac:dyDescent="0.35">
      <c r="B15" s="309" t="s">
        <v>1855</v>
      </c>
      <c r="C15" s="288" t="s">
        <v>915</v>
      </c>
      <c r="D15" s="1782" t="s">
        <v>963</v>
      </c>
      <c r="E15" s="309"/>
      <c r="F15" s="311"/>
      <c r="G15" s="1850">
        <f>+$M15*Summary!$F$35</f>
        <v>4.5126141171122284E-4</v>
      </c>
      <c r="H15" s="309"/>
      <c r="I15" s="309"/>
      <c r="J15" s="1850">
        <f>+$M15*Summary!$G$35</f>
        <v>3.9569195354178784E-4</v>
      </c>
      <c r="K15" s="311"/>
      <c r="L15" s="312"/>
      <c r="M15" s="1781">
        <f>8469.53365253011/(10^7)</f>
        <v>8.4695336525301079E-4</v>
      </c>
      <c r="N15" s="326"/>
    </row>
    <row r="16" spans="2:14" x14ac:dyDescent="0.35">
      <c r="B16" s="309" t="s">
        <v>1855</v>
      </c>
      <c r="C16" s="288" t="s">
        <v>915</v>
      </c>
      <c r="D16" s="1782" t="s">
        <v>963</v>
      </c>
      <c r="E16" s="309"/>
      <c r="F16" s="311"/>
      <c r="G16" s="1850">
        <f>+$M16*Summary!$F$35</f>
        <v>2.6173161879250926E-2</v>
      </c>
      <c r="H16" s="309"/>
      <c r="I16" s="309"/>
      <c r="J16" s="1850">
        <f>+$M16*Summary!$G$35</f>
        <v>2.2950133305423694E-2</v>
      </c>
      <c r="K16" s="311"/>
      <c r="L16" s="312"/>
      <c r="M16" s="1781">
        <f>491232.951846746/(10^7)</f>
        <v>4.9123295184674627E-2</v>
      </c>
      <c r="N16" s="309"/>
    </row>
    <row r="17" spans="2:14" x14ac:dyDescent="0.35">
      <c r="B17" s="309" t="s">
        <v>1855</v>
      </c>
      <c r="C17" s="288" t="s">
        <v>915</v>
      </c>
      <c r="D17" s="1782" t="s">
        <v>963</v>
      </c>
      <c r="E17" s="309"/>
      <c r="F17" s="311"/>
      <c r="G17" s="1850">
        <f>+$M17*Summary!$F$35</f>
        <v>1.8050456468448914E-3</v>
      </c>
      <c r="H17" s="309"/>
      <c r="I17" s="309"/>
      <c r="J17" s="1850">
        <f>+$M17*Summary!$G$35</f>
        <v>1.5827678141671513E-3</v>
      </c>
      <c r="K17" s="311"/>
      <c r="L17" s="312"/>
      <c r="M17" s="1781">
        <f>33878.1346101204/(10^7)</f>
        <v>3.3878134610120431E-3</v>
      </c>
      <c r="N17" s="309"/>
    </row>
    <row r="18" spans="2:14" x14ac:dyDescent="0.35">
      <c r="B18" s="309" t="s">
        <v>1854</v>
      </c>
      <c r="C18" s="288" t="s">
        <v>915</v>
      </c>
      <c r="D18" s="1782" t="s">
        <v>963</v>
      </c>
      <c r="E18" s="309"/>
      <c r="F18" s="311"/>
      <c r="G18" s="1850">
        <f>+$M18*Summary!$F$35</f>
        <v>2.1857566651301546E-2</v>
      </c>
      <c r="H18" s="309"/>
      <c r="I18" s="309"/>
      <c r="J18" s="1850">
        <f>+$M18*Summary!$G$35</f>
        <v>1.9165971260706946E-2</v>
      </c>
      <c r="K18" s="311"/>
      <c r="L18" s="312"/>
      <c r="M18" s="1781">
        <f>410235.379120085/(10^7)</f>
        <v>4.1023537912008495E-2</v>
      </c>
      <c r="N18" s="309"/>
    </row>
    <row r="19" spans="2:14" x14ac:dyDescent="0.35">
      <c r="B19" s="309" t="s">
        <v>1854</v>
      </c>
      <c r="C19" s="288" t="s">
        <v>915</v>
      </c>
      <c r="D19" s="1782" t="s">
        <v>963</v>
      </c>
      <c r="E19" s="309"/>
      <c r="F19" s="311"/>
      <c r="G19" s="1850">
        <f>+$M19*Summary!$F$35</f>
        <v>4.7067458560501686E-2</v>
      </c>
      <c r="H19" s="309"/>
      <c r="I19" s="309"/>
      <c r="J19" s="1850">
        <f>+$M19*Summary!$G$35</f>
        <v>4.1271454067892496E-2</v>
      </c>
      <c r="K19" s="311"/>
      <c r="L19" s="312"/>
      <c r="M19" s="1781">
        <f>817409.300187035/(10^7)+65979.8260969069/10^7</f>
        <v>8.8338912628394189E-2</v>
      </c>
      <c r="N19" s="309"/>
    </row>
    <row r="20" spans="2:14" x14ac:dyDescent="0.35">
      <c r="B20" s="309" t="s">
        <v>1854</v>
      </c>
      <c r="C20" s="288" t="s">
        <v>915</v>
      </c>
      <c r="D20" s="1782" t="s">
        <v>963</v>
      </c>
      <c r="E20" s="309"/>
      <c r="F20" s="311"/>
      <c r="G20" s="1850">
        <f>+$M20*Summary!$F$35</f>
        <v>1.6311616903956377E-4</v>
      </c>
      <c r="H20" s="309"/>
      <c r="I20" s="309"/>
      <c r="J20" s="1850">
        <f>+$M20*Summary!$G$35</f>
        <v>1.4302963627393244E-4</v>
      </c>
      <c r="K20" s="311"/>
      <c r="L20" s="312"/>
      <c r="M20" s="1781">
        <f>3061.45805313496/(10^7)</f>
        <v>3.0614580531349624E-4</v>
      </c>
      <c r="N20" s="309"/>
    </row>
    <row r="21" spans="2:14" x14ac:dyDescent="0.35">
      <c r="B21" s="309" t="s">
        <v>1856</v>
      </c>
      <c r="C21" s="288" t="s">
        <v>915</v>
      </c>
      <c r="D21" s="1782" t="s">
        <v>963</v>
      </c>
      <c r="E21" s="309"/>
      <c r="F21" s="311"/>
      <c r="G21" s="1850">
        <f>+$M21*Summary!$F$35</f>
        <v>1.6311616903956377E-4</v>
      </c>
      <c r="H21" s="309"/>
      <c r="I21" s="309"/>
      <c r="J21" s="1850">
        <f>+$M21*Summary!$G$35</f>
        <v>1.4302963627393244E-4</v>
      </c>
      <c r="K21" s="311"/>
      <c r="L21" s="312"/>
      <c r="M21" s="1781">
        <f>3061.45805313496/(10^7)</f>
        <v>3.0614580531349624E-4</v>
      </c>
      <c r="N21" s="326"/>
    </row>
    <row r="22" spans="2:14" x14ac:dyDescent="0.35">
      <c r="B22" s="309" t="s">
        <v>1855</v>
      </c>
      <c r="C22" s="288" t="s">
        <v>915</v>
      </c>
      <c r="D22" s="1782" t="s">
        <v>963</v>
      </c>
      <c r="E22" s="309"/>
      <c r="F22" s="311"/>
      <c r="G22" s="1850">
        <f>+$M22*Summary!$F$35</f>
        <v>1.6311616903956377E-4</v>
      </c>
      <c r="H22" s="309"/>
      <c r="I22" s="309"/>
      <c r="J22" s="1850">
        <f>+$M22*Summary!$G$35</f>
        <v>1.4302963627393244E-4</v>
      </c>
      <c r="K22" s="311"/>
      <c r="L22" s="312"/>
      <c r="M22" s="1781">
        <f>3061.45805313496/(10^7)</f>
        <v>3.0614580531349624E-4</v>
      </c>
      <c r="N22" s="309"/>
    </row>
    <row r="23" spans="2:14" x14ac:dyDescent="0.35">
      <c r="B23" s="309" t="s">
        <v>1854</v>
      </c>
      <c r="C23" s="288" t="s">
        <v>915</v>
      </c>
      <c r="D23" s="1782" t="s">
        <v>963</v>
      </c>
      <c r="E23" s="309"/>
      <c r="F23" s="311"/>
      <c r="G23" s="1850">
        <f>+$M23*Summary!$F$35</f>
        <v>5.7090659163847328E-4</v>
      </c>
      <c r="H23" s="309"/>
      <c r="I23" s="309"/>
      <c r="J23" s="1850">
        <f>+$M23*Summary!$G$35</f>
        <v>5.0060372695876366E-4</v>
      </c>
      <c r="K23" s="311"/>
      <c r="L23" s="312"/>
      <c r="M23" s="1781">
        <f>10715.1031859724/(10^7)</f>
        <v>1.071510318597237E-3</v>
      </c>
      <c r="N23" s="309"/>
    </row>
    <row r="24" spans="2:14" x14ac:dyDescent="0.35">
      <c r="B24" s="309" t="s">
        <v>1417</v>
      </c>
      <c r="C24" s="309" t="s">
        <v>1417</v>
      </c>
      <c r="D24" s="1782" t="s">
        <v>1651</v>
      </c>
      <c r="E24" s="309"/>
      <c r="F24" s="311"/>
      <c r="G24" s="311">
        <f>+M24*Summary!F$39</f>
        <v>8.4694799524602765E-2</v>
      </c>
      <c r="H24" s="311"/>
      <c r="I24" s="311"/>
      <c r="J24" s="311">
        <f>+M24*Summary!G$39</f>
        <v>7.4640789923790654E-2</v>
      </c>
      <c r="K24" s="311">
        <f>+M24*Summary!I$39</f>
        <v>6.6064295516066202E-3</v>
      </c>
      <c r="L24" s="312"/>
      <c r="M24" s="1781">
        <f>1659420.19/(10^7)</f>
        <v>0.16594201900000002</v>
      </c>
      <c r="N24" s="309"/>
    </row>
    <row r="25" spans="2:14" x14ac:dyDescent="0.35">
      <c r="B25" s="309" t="s">
        <v>1418</v>
      </c>
      <c r="C25" s="309" t="s">
        <v>1418</v>
      </c>
      <c r="D25" s="1782" t="s">
        <v>1651</v>
      </c>
      <c r="E25" s="309"/>
      <c r="F25" s="311"/>
      <c r="G25" s="311">
        <f>+M25*Summary!F$39</f>
        <v>3.2645022906181598E-2</v>
      </c>
      <c r="H25" s="311"/>
      <c r="I25" s="311"/>
      <c r="J25" s="311">
        <f>+M25*Summary!G$39</f>
        <v>2.8769774655288228E-2</v>
      </c>
      <c r="K25" s="311">
        <f>+M25*Summary!I$39</f>
        <v>2.5464024385301789E-3</v>
      </c>
      <c r="L25" s="312"/>
      <c r="M25" s="1781">
        <f>639612/(10^7)</f>
        <v>6.3961199999999996E-2</v>
      </c>
      <c r="N25" s="309"/>
    </row>
    <row r="26" spans="2:14" x14ac:dyDescent="0.35">
      <c r="B26" s="309" t="s">
        <v>1419</v>
      </c>
      <c r="C26" s="309" t="s">
        <v>1419</v>
      </c>
      <c r="D26" s="1782" t="s">
        <v>1651</v>
      </c>
      <c r="E26" s="309"/>
      <c r="F26" s="311"/>
      <c r="G26" s="311">
        <f>+M26*Summary!F$39</f>
        <v>4.1097633568625544E-2</v>
      </c>
      <c r="H26" s="311"/>
      <c r="I26" s="311"/>
      <c r="J26" s="311">
        <f>+M26*Summary!G$39</f>
        <v>3.621898688914918E-2</v>
      </c>
      <c r="K26" s="311">
        <f>+M26*Summary!I$39</f>
        <v>3.2057295422252955E-3</v>
      </c>
      <c r="L26" s="312"/>
      <c r="M26" s="1781">
        <f>805223.5/(10^7)</f>
        <v>8.0522350000000006E-2</v>
      </c>
      <c r="N26" s="309"/>
    </row>
    <row r="27" spans="2:14" x14ac:dyDescent="0.35">
      <c r="B27" s="309" t="s">
        <v>1420</v>
      </c>
      <c r="C27" s="309" t="s">
        <v>1420</v>
      </c>
      <c r="D27" s="1782" t="s">
        <v>1651</v>
      </c>
      <c r="E27" s="309"/>
      <c r="F27" s="311"/>
      <c r="G27" s="311">
        <f>+M27*Summary!F$39</f>
        <v>0.12674146418688295</v>
      </c>
      <c r="H27" s="311"/>
      <c r="I27" s="311"/>
      <c r="J27" s="311">
        <f>+M27*Summary!G$39</f>
        <v>0.11169614965861904</v>
      </c>
      <c r="K27" s="311">
        <f>+M27*Summary!I$39</f>
        <v>9.886186154498048E-3</v>
      </c>
      <c r="L27" s="312"/>
      <c r="M27" s="1781">
        <f>2483238/(10^7)</f>
        <v>0.24832380000000001</v>
      </c>
      <c r="N27" s="309"/>
    </row>
    <row r="28" spans="2:14" x14ac:dyDescent="0.35">
      <c r="B28" s="309" t="s">
        <v>935</v>
      </c>
      <c r="C28" s="309" t="s">
        <v>935</v>
      </c>
      <c r="D28" s="1782" t="s">
        <v>1651</v>
      </c>
      <c r="E28" s="309"/>
      <c r="F28" s="311"/>
      <c r="G28" s="311">
        <f>+M28*Summary!F$39</f>
        <v>1.7863576695189519E-6</v>
      </c>
      <c r="H28" s="311"/>
      <c r="I28" s="311"/>
      <c r="J28" s="311">
        <f>+M28*Summary!G$39</f>
        <v>1.5743014717283103E-6</v>
      </c>
      <c r="K28" s="311">
        <f>+M28*Summary!I$39</f>
        <v>1.39340858752738E-7</v>
      </c>
      <c r="L28" s="312"/>
      <c r="M28" s="1781">
        <f>35/(10^7)</f>
        <v>3.4999999999999999E-6</v>
      </c>
      <c r="N28" s="309"/>
    </row>
    <row r="29" spans="2:14" x14ac:dyDescent="0.35">
      <c r="B29" s="327"/>
      <c r="C29" s="288"/>
      <c r="D29" s="1782"/>
      <c r="E29" s="309"/>
      <c r="F29" s="311"/>
      <c r="G29" s="311"/>
      <c r="H29" s="311"/>
      <c r="I29" s="311"/>
      <c r="J29" s="311"/>
      <c r="K29" s="311"/>
      <c r="L29" s="312"/>
      <c r="M29" s="311"/>
      <c r="N29" s="309"/>
    </row>
    <row r="30" spans="2:14" x14ac:dyDescent="0.35">
      <c r="B30" s="314" t="s">
        <v>164</v>
      </c>
      <c r="C30" s="314"/>
      <c r="D30" s="1810"/>
      <c r="E30" s="317"/>
      <c r="F30" s="317">
        <f t="shared" ref="F30:K30" si="0">SUM(F6:F29)</f>
        <v>0</v>
      </c>
      <c r="G30" s="317">
        <f t="shared" si="0"/>
        <v>0.45931737919760257</v>
      </c>
      <c r="H30" s="317">
        <f t="shared" si="0"/>
        <v>0</v>
      </c>
      <c r="I30" s="317">
        <f t="shared" si="0"/>
        <v>0</v>
      </c>
      <c r="J30" s="317">
        <f t="shared" si="0"/>
        <v>0.4040203229554582</v>
      </c>
      <c r="K30" s="317">
        <f t="shared" si="0"/>
        <v>2.2244887027718895E-2</v>
      </c>
      <c r="L30" s="318"/>
      <c r="M30" s="317">
        <f>SUM(M5:M29)</f>
        <v>6.7112473753759359</v>
      </c>
      <c r="N30" s="309"/>
    </row>
  </sheetData>
  <mergeCells count="5">
    <mergeCell ref="F3:M3"/>
    <mergeCell ref="N3:N4"/>
    <mergeCell ref="F2:M2"/>
    <mergeCell ref="D3:D4"/>
    <mergeCell ref="E3:E4"/>
  </mergeCells>
  <dataValidations count="1">
    <dataValidation type="list" allowBlank="1" showInputMessage="1" showErrorMessage="1" sqref="D29" xr:uid="{A9F6C64D-D6C8-425B-91AD-669A62BC093C}">
      <formula1>"Wire, Retail"</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4C377B5-F5C9-4372-A148-16AE445212F4}">
          <x14:formula1>
            <xm:f>'Block of Assets'!$C$4:$C$29</xm:f>
          </x14:formula1>
          <xm:sqref>C5:C23 C29</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5936-C848-401D-98F7-7C3D23EAEBEC}">
  <dimension ref="B1:AY44"/>
  <sheetViews>
    <sheetView showGridLines="0" workbookViewId="0">
      <pane xSplit="2" ySplit="4" topLeftCell="AR5" activePane="bottomRight" state="frozen"/>
      <selection activeCell="C90" sqref="B90:P113"/>
      <selection pane="topRight" activeCell="C90" sqref="B90:P113"/>
      <selection pane="bottomLeft" activeCell="C90" sqref="B90:P113"/>
      <selection pane="bottomRight" activeCell="C90" sqref="B90:P113"/>
    </sheetView>
  </sheetViews>
  <sheetFormatPr defaultColWidth="9.1328125" defaultRowHeight="13.5" x14ac:dyDescent="0.35"/>
  <cols>
    <col min="1" max="1" width="5.53125" style="285" customWidth="1"/>
    <col min="2" max="2" width="54.1328125" style="285" bestFit="1" customWidth="1"/>
    <col min="3" max="3" width="16.33203125" style="285" bestFit="1" customWidth="1"/>
    <col min="4" max="4" width="23.86328125" style="285" customWidth="1"/>
    <col min="5" max="5" width="20.1328125" style="285" customWidth="1"/>
    <col min="6" max="20" width="13.86328125" style="285" customWidth="1"/>
    <col min="21" max="21" width="12.53125" style="285" bestFit="1" customWidth="1"/>
    <col min="22" max="48" width="12.86328125" style="285" customWidth="1"/>
    <col min="49" max="50" width="12.53125" style="285" bestFit="1" customWidth="1"/>
    <col min="51" max="51" width="40" style="285" bestFit="1" customWidth="1"/>
    <col min="52" max="16384" width="9.1328125" style="285"/>
  </cols>
  <sheetData>
    <row r="1" spans="2:51" x14ac:dyDescent="0.35">
      <c r="B1" s="285" t="s">
        <v>918</v>
      </c>
    </row>
    <row r="2" spans="2:51" x14ac:dyDescent="0.35">
      <c r="F2" s="2217" t="s">
        <v>197</v>
      </c>
      <c r="G2" s="2218"/>
      <c r="H2" s="2218"/>
      <c r="I2" s="2218"/>
      <c r="J2" s="2218"/>
      <c r="K2" s="2218"/>
      <c r="L2" s="2218"/>
      <c r="M2" s="2218"/>
      <c r="N2" s="2217" t="s">
        <v>198</v>
      </c>
      <c r="O2" s="2218"/>
      <c r="P2" s="2218"/>
      <c r="Q2" s="2218"/>
      <c r="R2" s="2218"/>
      <c r="S2" s="2218"/>
      <c r="T2" s="2218"/>
      <c r="U2" s="2218"/>
      <c r="V2" s="2218" t="s">
        <v>199</v>
      </c>
      <c r="W2" s="2218"/>
      <c r="X2" s="2218"/>
      <c r="Y2" s="2218"/>
      <c r="Z2" s="2218"/>
      <c r="AA2" s="2218"/>
      <c r="AB2" s="2218"/>
      <c r="AC2" s="2218"/>
      <c r="AD2" s="2218" t="s">
        <v>112</v>
      </c>
      <c r="AE2" s="2218"/>
      <c r="AF2" s="2218"/>
      <c r="AG2" s="2218"/>
      <c r="AH2" s="2218"/>
      <c r="AI2" s="2218"/>
      <c r="AJ2" s="2218"/>
      <c r="AK2" s="2218"/>
      <c r="AL2" s="2218" t="s">
        <v>113</v>
      </c>
      <c r="AM2" s="2218"/>
      <c r="AN2" s="2218"/>
      <c r="AO2" s="2218"/>
      <c r="AP2" s="2218"/>
      <c r="AQ2" s="2218"/>
      <c r="AR2" s="2218"/>
      <c r="AS2" s="2218"/>
      <c r="AT2" s="2214"/>
      <c r="AU2" s="2215"/>
      <c r="AV2" s="2215"/>
      <c r="AW2" s="2215"/>
      <c r="AX2" s="2216"/>
    </row>
    <row r="3" spans="2:51" x14ac:dyDescent="0.35">
      <c r="B3" s="2222" t="s">
        <v>919</v>
      </c>
      <c r="C3" s="2222" t="s">
        <v>903</v>
      </c>
      <c r="D3" s="2222" t="s">
        <v>921</v>
      </c>
      <c r="E3" s="2224" t="s">
        <v>929</v>
      </c>
      <c r="F3" s="2219" t="s">
        <v>930</v>
      </c>
      <c r="G3" s="2220"/>
      <c r="H3" s="2220"/>
      <c r="I3" s="2220"/>
      <c r="J3" s="2220"/>
      <c r="K3" s="2220"/>
      <c r="L3" s="2220"/>
      <c r="M3" s="2221"/>
      <c r="N3" s="2219" t="s">
        <v>936</v>
      </c>
      <c r="O3" s="2220"/>
      <c r="P3" s="2220"/>
      <c r="Q3" s="2220"/>
      <c r="R3" s="2220"/>
      <c r="S3" s="2220"/>
      <c r="T3" s="2220"/>
      <c r="U3" s="2221"/>
      <c r="V3" s="2219" t="s">
        <v>936</v>
      </c>
      <c r="W3" s="2220"/>
      <c r="X3" s="2220"/>
      <c r="Y3" s="2220"/>
      <c r="Z3" s="2220"/>
      <c r="AA3" s="2220"/>
      <c r="AB3" s="2220"/>
      <c r="AC3" s="2221"/>
      <c r="AD3" s="2219" t="s">
        <v>936</v>
      </c>
      <c r="AE3" s="2220"/>
      <c r="AF3" s="2220"/>
      <c r="AG3" s="2220"/>
      <c r="AH3" s="2220"/>
      <c r="AI3" s="2220"/>
      <c r="AJ3" s="2220"/>
      <c r="AK3" s="2221"/>
      <c r="AL3" s="320"/>
      <c r="AM3" s="320"/>
      <c r="AN3" s="320"/>
      <c r="AO3" s="320"/>
      <c r="AP3" s="320"/>
      <c r="AQ3" s="320"/>
      <c r="AR3" s="320"/>
      <c r="AS3" s="319"/>
      <c r="AT3" s="2191" t="s">
        <v>937</v>
      </c>
      <c r="AU3" s="2191"/>
      <c r="AV3" s="2191"/>
      <c r="AW3" s="2191"/>
      <c r="AX3" s="2191"/>
      <c r="AY3" s="2222" t="s">
        <v>938</v>
      </c>
    </row>
    <row r="4" spans="2:51" x14ac:dyDescent="0.35">
      <c r="B4" s="2223"/>
      <c r="C4" s="2223"/>
      <c r="D4" s="2223"/>
      <c r="E4" s="2225"/>
      <c r="F4" s="287" t="s">
        <v>908</v>
      </c>
      <c r="G4" s="287" t="s">
        <v>909</v>
      </c>
      <c r="H4" s="287" t="s">
        <v>910</v>
      </c>
      <c r="I4" s="287" t="s">
        <v>911</v>
      </c>
      <c r="J4" s="287" t="s">
        <v>912</v>
      </c>
      <c r="K4" s="287" t="s">
        <v>923</v>
      </c>
      <c r="L4" s="287" t="s">
        <v>939</v>
      </c>
      <c r="M4" s="287" t="s">
        <v>164</v>
      </c>
      <c r="N4" s="287" t="s">
        <v>908</v>
      </c>
      <c r="O4" s="287" t="s">
        <v>909</v>
      </c>
      <c r="P4" s="287" t="s">
        <v>910</v>
      </c>
      <c r="Q4" s="287" t="s">
        <v>911</v>
      </c>
      <c r="R4" s="287" t="s">
        <v>912</v>
      </c>
      <c r="S4" s="287" t="s">
        <v>923</v>
      </c>
      <c r="T4" s="287" t="s">
        <v>939</v>
      </c>
      <c r="U4" s="287" t="s">
        <v>164</v>
      </c>
      <c r="V4" s="287" t="s">
        <v>908</v>
      </c>
      <c r="W4" s="287" t="s">
        <v>909</v>
      </c>
      <c r="X4" s="287" t="s">
        <v>910</v>
      </c>
      <c r="Y4" s="287" t="s">
        <v>911</v>
      </c>
      <c r="Z4" s="287" t="s">
        <v>912</v>
      </c>
      <c r="AA4" s="287" t="s">
        <v>923</v>
      </c>
      <c r="AB4" s="287" t="s">
        <v>939</v>
      </c>
      <c r="AC4" s="287" t="s">
        <v>164</v>
      </c>
      <c r="AD4" s="287" t="s">
        <v>908</v>
      </c>
      <c r="AE4" s="287" t="s">
        <v>909</v>
      </c>
      <c r="AF4" s="287" t="s">
        <v>910</v>
      </c>
      <c r="AG4" s="287" t="s">
        <v>911</v>
      </c>
      <c r="AH4" s="287" t="s">
        <v>912</v>
      </c>
      <c r="AI4" s="287" t="s">
        <v>923</v>
      </c>
      <c r="AJ4" s="287" t="s">
        <v>939</v>
      </c>
      <c r="AK4" s="287" t="s">
        <v>164</v>
      </c>
      <c r="AL4" s="287" t="s">
        <v>908</v>
      </c>
      <c r="AM4" s="287" t="s">
        <v>909</v>
      </c>
      <c r="AN4" s="287" t="s">
        <v>910</v>
      </c>
      <c r="AO4" s="287" t="s">
        <v>911</v>
      </c>
      <c r="AP4" s="287" t="s">
        <v>912</v>
      </c>
      <c r="AQ4" s="287" t="s">
        <v>923</v>
      </c>
      <c r="AR4" s="287" t="s">
        <v>939</v>
      </c>
      <c r="AS4" s="328" t="s">
        <v>164</v>
      </c>
      <c r="AT4" s="286" t="s">
        <v>197</v>
      </c>
      <c r="AU4" s="286" t="s">
        <v>198</v>
      </c>
      <c r="AV4" s="286" t="s">
        <v>199</v>
      </c>
      <c r="AW4" s="286" t="s">
        <v>112</v>
      </c>
      <c r="AX4" s="286" t="s">
        <v>113</v>
      </c>
      <c r="AY4" s="2223"/>
    </row>
    <row r="5" spans="2:51" x14ac:dyDescent="0.35">
      <c r="B5" s="309"/>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29"/>
      <c r="AT5" s="309"/>
      <c r="AU5" s="309"/>
      <c r="AV5" s="309"/>
      <c r="AW5" s="309"/>
      <c r="AX5" s="309"/>
      <c r="AY5" s="330"/>
    </row>
    <row r="6" spans="2:51" x14ac:dyDescent="0.35">
      <c r="B6" s="309"/>
      <c r="C6" s="288"/>
      <c r="D6" s="309"/>
      <c r="E6" s="309"/>
      <c r="F6" s="311"/>
      <c r="G6" s="311"/>
      <c r="H6" s="311"/>
      <c r="I6" s="311"/>
      <c r="J6" s="311"/>
      <c r="K6" s="311"/>
      <c r="L6" s="311"/>
      <c r="M6" s="311">
        <f t="shared" ref="M6:M42" si="0">SUM(F6:L6)</f>
        <v>0</v>
      </c>
      <c r="N6" s="311"/>
      <c r="O6" s="311"/>
      <c r="P6" s="311"/>
      <c r="Q6" s="311"/>
      <c r="R6" s="311"/>
      <c r="S6" s="311"/>
      <c r="T6" s="311"/>
      <c r="U6" s="311">
        <f t="shared" ref="U6:U42" si="1">SUM(N6:T6)</f>
        <v>0</v>
      </c>
      <c r="V6" s="311"/>
      <c r="W6" s="311"/>
      <c r="X6" s="311"/>
      <c r="Y6" s="311"/>
      <c r="Z6" s="311"/>
      <c r="AA6" s="311"/>
      <c r="AB6" s="311"/>
      <c r="AC6" s="311">
        <f t="shared" ref="AC6:AC42" si="2">SUM(V6:AB6)</f>
        <v>0</v>
      </c>
      <c r="AD6" s="311"/>
      <c r="AE6" s="311"/>
      <c r="AF6" s="311"/>
      <c r="AG6" s="311"/>
      <c r="AH6" s="311"/>
      <c r="AI6" s="311"/>
      <c r="AJ6" s="311"/>
      <c r="AK6" s="311">
        <f t="shared" ref="AK6:AK42" si="3">SUM(AD6:AJ6)</f>
        <v>0</v>
      </c>
      <c r="AL6" s="311"/>
      <c r="AM6" s="311"/>
      <c r="AN6" s="311"/>
      <c r="AO6" s="311"/>
      <c r="AP6" s="311"/>
      <c r="AQ6" s="311"/>
      <c r="AR6" s="311"/>
      <c r="AS6" s="331">
        <f t="shared" ref="AS6:AS42" si="4">SUM(AL6:AR6)</f>
        <v>0</v>
      </c>
      <c r="AT6" s="311"/>
      <c r="AU6" s="311"/>
      <c r="AV6" s="311"/>
      <c r="AW6" s="311"/>
      <c r="AX6" s="311"/>
      <c r="AY6" s="330"/>
    </row>
    <row r="7" spans="2:51" x14ac:dyDescent="0.35">
      <c r="B7" s="309"/>
      <c r="C7" s="288"/>
      <c r="D7" s="309"/>
      <c r="E7" s="309"/>
      <c r="F7" s="311"/>
      <c r="G7" s="311"/>
      <c r="H7" s="311"/>
      <c r="I7" s="311"/>
      <c r="J7" s="311"/>
      <c r="K7" s="311"/>
      <c r="L7" s="311"/>
      <c r="M7" s="311">
        <f t="shared" si="0"/>
        <v>0</v>
      </c>
      <c r="N7" s="311"/>
      <c r="O7" s="311"/>
      <c r="P7" s="311"/>
      <c r="Q7" s="311"/>
      <c r="R7" s="311"/>
      <c r="S7" s="311"/>
      <c r="T7" s="311"/>
      <c r="U7" s="311">
        <f t="shared" si="1"/>
        <v>0</v>
      </c>
      <c r="V7" s="311"/>
      <c r="W7" s="311"/>
      <c r="X7" s="311"/>
      <c r="Y7" s="311"/>
      <c r="Z7" s="311"/>
      <c r="AA7" s="311"/>
      <c r="AB7" s="311"/>
      <c r="AC7" s="311">
        <f t="shared" si="2"/>
        <v>0</v>
      </c>
      <c r="AD7" s="311"/>
      <c r="AE7" s="311"/>
      <c r="AF7" s="311"/>
      <c r="AG7" s="311"/>
      <c r="AH7" s="311"/>
      <c r="AI7" s="311"/>
      <c r="AJ7" s="311"/>
      <c r="AK7" s="311">
        <f t="shared" si="3"/>
        <v>0</v>
      </c>
      <c r="AL7" s="311"/>
      <c r="AM7" s="311"/>
      <c r="AN7" s="311"/>
      <c r="AO7" s="311"/>
      <c r="AP7" s="311"/>
      <c r="AQ7" s="311"/>
      <c r="AR7" s="311"/>
      <c r="AS7" s="331">
        <f t="shared" si="4"/>
        <v>0</v>
      </c>
      <c r="AT7" s="311"/>
      <c r="AU7" s="311"/>
      <c r="AV7" s="311"/>
      <c r="AW7" s="311"/>
      <c r="AX7" s="311"/>
      <c r="AY7" s="330"/>
    </row>
    <row r="8" spans="2:51" x14ac:dyDescent="0.35">
      <c r="B8" s="309"/>
      <c r="C8" s="288"/>
      <c r="D8" s="309"/>
      <c r="E8" s="309"/>
      <c r="F8" s="311"/>
      <c r="G8" s="311"/>
      <c r="H8" s="311"/>
      <c r="I8" s="311"/>
      <c r="J8" s="311"/>
      <c r="K8" s="311"/>
      <c r="L8" s="311"/>
      <c r="M8" s="311">
        <f t="shared" si="0"/>
        <v>0</v>
      </c>
      <c r="N8" s="311"/>
      <c r="O8" s="311"/>
      <c r="P8" s="311"/>
      <c r="Q8" s="311"/>
      <c r="R8" s="311"/>
      <c r="S8" s="311"/>
      <c r="T8" s="311"/>
      <c r="U8" s="311">
        <f t="shared" si="1"/>
        <v>0</v>
      </c>
      <c r="V8" s="311"/>
      <c r="W8" s="311"/>
      <c r="X8" s="311"/>
      <c r="Y8" s="311"/>
      <c r="Z8" s="311"/>
      <c r="AA8" s="311"/>
      <c r="AB8" s="311"/>
      <c r="AC8" s="311">
        <f t="shared" si="2"/>
        <v>0</v>
      </c>
      <c r="AD8" s="311"/>
      <c r="AE8" s="311"/>
      <c r="AF8" s="311"/>
      <c r="AG8" s="311"/>
      <c r="AH8" s="311"/>
      <c r="AI8" s="311"/>
      <c r="AJ8" s="311"/>
      <c r="AK8" s="311">
        <f t="shared" si="3"/>
        <v>0</v>
      </c>
      <c r="AL8" s="311"/>
      <c r="AM8" s="311"/>
      <c r="AN8" s="311"/>
      <c r="AO8" s="311"/>
      <c r="AP8" s="311"/>
      <c r="AQ8" s="311"/>
      <c r="AR8" s="311"/>
      <c r="AS8" s="331">
        <f t="shared" si="4"/>
        <v>0</v>
      </c>
      <c r="AT8" s="311"/>
      <c r="AU8" s="311"/>
      <c r="AV8" s="311"/>
      <c r="AW8" s="311"/>
      <c r="AX8" s="311"/>
      <c r="AY8" s="330"/>
    </row>
    <row r="9" spans="2:51" x14ac:dyDescent="0.35">
      <c r="B9" s="309"/>
      <c r="C9" s="288"/>
      <c r="D9" s="309"/>
      <c r="E9" s="309"/>
      <c r="F9" s="311"/>
      <c r="G9" s="311"/>
      <c r="H9" s="311"/>
      <c r="I9" s="311"/>
      <c r="J9" s="311"/>
      <c r="K9" s="311"/>
      <c r="L9" s="311"/>
      <c r="M9" s="311">
        <f t="shared" si="0"/>
        <v>0</v>
      </c>
      <c r="N9" s="311"/>
      <c r="O9" s="311"/>
      <c r="P9" s="311"/>
      <c r="Q9" s="311"/>
      <c r="R9" s="311"/>
      <c r="S9" s="311"/>
      <c r="T9" s="311"/>
      <c r="U9" s="311">
        <f t="shared" si="1"/>
        <v>0</v>
      </c>
      <c r="V9" s="311"/>
      <c r="W9" s="311"/>
      <c r="X9" s="311"/>
      <c r="Y9" s="311"/>
      <c r="Z9" s="311"/>
      <c r="AA9" s="311"/>
      <c r="AB9" s="311"/>
      <c r="AC9" s="311">
        <f t="shared" si="2"/>
        <v>0</v>
      </c>
      <c r="AD9" s="311"/>
      <c r="AE9" s="311"/>
      <c r="AF9" s="311"/>
      <c r="AG9" s="311"/>
      <c r="AH9" s="311"/>
      <c r="AI9" s="311"/>
      <c r="AJ9" s="311"/>
      <c r="AK9" s="311">
        <f t="shared" si="3"/>
        <v>0</v>
      </c>
      <c r="AL9" s="311"/>
      <c r="AM9" s="311"/>
      <c r="AN9" s="311"/>
      <c r="AO9" s="311"/>
      <c r="AP9" s="311"/>
      <c r="AQ9" s="311"/>
      <c r="AR9" s="311"/>
      <c r="AS9" s="331">
        <f t="shared" si="4"/>
        <v>0</v>
      </c>
      <c r="AT9" s="311"/>
      <c r="AU9" s="311"/>
      <c r="AV9" s="311"/>
      <c r="AW9" s="311"/>
      <c r="AX9" s="311"/>
      <c r="AY9" s="330"/>
    </row>
    <row r="10" spans="2:51" x14ac:dyDescent="0.35">
      <c r="B10" s="309"/>
      <c r="C10" s="288"/>
      <c r="D10" s="309"/>
      <c r="E10" s="309"/>
      <c r="F10" s="311"/>
      <c r="G10" s="311"/>
      <c r="H10" s="311"/>
      <c r="I10" s="311"/>
      <c r="J10" s="311"/>
      <c r="K10" s="311"/>
      <c r="L10" s="311"/>
      <c r="M10" s="311">
        <f t="shared" si="0"/>
        <v>0</v>
      </c>
      <c r="N10" s="311"/>
      <c r="O10" s="311"/>
      <c r="P10" s="311"/>
      <c r="Q10" s="311"/>
      <c r="R10" s="311"/>
      <c r="S10" s="311"/>
      <c r="T10" s="311"/>
      <c r="U10" s="311">
        <f t="shared" si="1"/>
        <v>0</v>
      </c>
      <c r="V10" s="311"/>
      <c r="W10" s="311"/>
      <c r="X10" s="311"/>
      <c r="Y10" s="311"/>
      <c r="Z10" s="311"/>
      <c r="AA10" s="311"/>
      <c r="AB10" s="311"/>
      <c r="AC10" s="311">
        <f t="shared" si="2"/>
        <v>0</v>
      </c>
      <c r="AD10" s="311"/>
      <c r="AE10" s="311"/>
      <c r="AF10" s="311"/>
      <c r="AG10" s="311"/>
      <c r="AH10" s="311"/>
      <c r="AI10" s="311"/>
      <c r="AJ10" s="311"/>
      <c r="AK10" s="311">
        <f t="shared" si="3"/>
        <v>0</v>
      </c>
      <c r="AL10" s="311"/>
      <c r="AM10" s="311"/>
      <c r="AN10" s="311"/>
      <c r="AO10" s="311"/>
      <c r="AP10" s="311"/>
      <c r="AQ10" s="311"/>
      <c r="AR10" s="311"/>
      <c r="AS10" s="331">
        <f t="shared" si="4"/>
        <v>0</v>
      </c>
      <c r="AT10" s="311"/>
      <c r="AU10" s="311"/>
      <c r="AV10" s="311"/>
      <c r="AW10" s="311"/>
      <c r="AX10" s="311"/>
      <c r="AY10" s="330"/>
    </row>
    <row r="11" spans="2:51" x14ac:dyDescent="0.35">
      <c r="B11" s="309"/>
      <c r="C11" s="288"/>
      <c r="D11" s="309"/>
      <c r="E11" s="309"/>
      <c r="F11" s="311"/>
      <c r="G11" s="311"/>
      <c r="H11" s="311"/>
      <c r="I11" s="311"/>
      <c r="J11" s="311"/>
      <c r="K11" s="311"/>
      <c r="L11" s="311"/>
      <c r="M11" s="311">
        <f t="shared" si="0"/>
        <v>0</v>
      </c>
      <c r="N11" s="311"/>
      <c r="O11" s="311"/>
      <c r="P11" s="311"/>
      <c r="Q11" s="311"/>
      <c r="R11" s="311"/>
      <c r="S11" s="311"/>
      <c r="T11" s="311"/>
      <c r="U11" s="311">
        <f t="shared" si="1"/>
        <v>0</v>
      </c>
      <c r="V11" s="311"/>
      <c r="W11" s="311"/>
      <c r="X11" s="311"/>
      <c r="Y11" s="311"/>
      <c r="Z11" s="311"/>
      <c r="AA11" s="311"/>
      <c r="AB11" s="311"/>
      <c r="AC11" s="311">
        <f t="shared" si="2"/>
        <v>0</v>
      </c>
      <c r="AD11" s="311"/>
      <c r="AE11" s="311"/>
      <c r="AF11" s="311"/>
      <c r="AG11" s="311"/>
      <c r="AH11" s="311"/>
      <c r="AI11" s="311"/>
      <c r="AJ11" s="311"/>
      <c r="AK11" s="311">
        <f t="shared" si="3"/>
        <v>0</v>
      </c>
      <c r="AL11" s="311"/>
      <c r="AM11" s="311"/>
      <c r="AN11" s="311"/>
      <c r="AO11" s="311"/>
      <c r="AP11" s="311"/>
      <c r="AQ11" s="311"/>
      <c r="AR11" s="311"/>
      <c r="AS11" s="331">
        <f t="shared" si="4"/>
        <v>0</v>
      </c>
      <c r="AT11" s="311"/>
      <c r="AU11" s="311"/>
      <c r="AV11" s="311"/>
      <c r="AW11" s="311"/>
      <c r="AX11" s="311"/>
      <c r="AY11" s="330"/>
    </row>
    <row r="12" spans="2:51" x14ac:dyDescent="0.35">
      <c r="B12" s="309"/>
      <c r="C12" s="288"/>
      <c r="D12" s="309"/>
      <c r="E12" s="309"/>
      <c r="F12" s="311"/>
      <c r="G12" s="311"/>
      <c r="H12" s="311"/>
      <c r="I12" s="311"/>
      <c r="J12" s="311"/>
      <c r="K12" s="311"/>
      <c r="L12" s="311"/>
      <c r="M12" s="311">
        <f t="shared" si="0"/>
        <v>0</v>
      </c>
      <c r="N12" s="311"/>
      <c r="O12" s="311"/>
      <c r="P12" s="311"/>
      <c r="Q12" s="311"/>
      <c r="R12" s="311"/>
      <c r="S12" s="311"/>
      <c r="T12" s="311"/>
      <c r="U12" s="311">
        <f t="shared" si="1"/>
        <v>0</v>
      </c>
      <c r="V12" s="311"/>
      <c r="W12" s="311"/>
      <c r="X12" s="311"/>
      <c r="Y12" s="311"/>
      <c r="Z12" s="311"/>
      <c r="AA12" s="311"/>
      <c r="AB12" s="311"/>
      <c r="AC12" s="311">
        <f t="shared" si="2"/>
        <v>0</v>
      </c>
      <c r="AD12" s="311"/>
      <c r="AE12" s="311"/>
      <c r="AF12" s="311"/>
      <c r="AG12" s="311"/>
      <c r="AH12" s="311"/>
      <c r="AI12" s="311"/>
      <c r="AJ12" s="311"/>
      <c r="AK12" s="311">
        <f t="shared" si="3"/>
        <v>0</v>
      </c>
      <c r="AL12" s="311"/>
      <c r="AM12" s="311"/>
      <c r="AN12" s="311"/>
      <c r="AO12" s="311"/>
      <c r="AP12" s="311"/>
      <c r="AQ12" s="311"/>
      <c r="AR12" s="311"/>
      <c r="AS12" s="331">
        <f t="shared" si="4"/>
        <v>0</v>
      </c>
      <c r="AT12" s="311"/>
      <c r="AU12" s="311"/>
      <c r="AV12" s="311"/>
      <c r="AW12" s="311"/>
      <c r="AX12" s="311"/>
      <c r="AY12" s="330"/>
    </row>
    <row r="13" spans="2:51" x14ac:dyDescent="0.35">
      <c r="B13" s="309"/>
      <c r="C13" s="288"/>
      <c r="D13" s="309"/>
      <c r="E13" s="309"/>
      <c r="F13" s="311"/>
      <c r="G13" s="311"/>
      <c r="H13" s="311"/>
      <c r="I13" s="311"/>
      <c r="J13" s="311"/>
      <c r="K13" s="311"/>
      <c r="L13" s="311"/>
      <c r="M13" s="311">
        <f t="shared" si="0"/>
        <v>0</v>
      </c>
      <c r="N13" s="311"/>
      <c r="O13" s="311"/>
      <c r="P13" s="311"/>
      <c r="Q13" s="311"/>
      <c r="R13" s="311"/>
      <c r="S13" s="311"/>
      <c r="T13" s="311"/>
      <c r="U13" s="311">
        <f t="shared" si="1"/>
        <v>0</v>
      </c>
      <c r="V13" s="311"/>
      <c r="W13" s="311"/>
      <c r="X13" s="311"/>
      <c r="Y13" s="311"/>
      <c r="Z13" s="311"/>
      <c r="AA13" s="311"/>
      <c r="AB13" s="311"/>
      <c r="AC13" s="311">
        <f t="shared" si="2"/>
        <v>0</v>
      </c>
      <c r="AD13" s="311"/>
      <c r="AE13" s="311"/>
      <c r="AF13" s="311"/>
      <c r="AG13" s="311"/>
      <c r="AH13" s="311"/>
      <c r="AI13" s="311"/>
      <c r="AJ13" s="311"/>
      <c r="AK13" s="311">
        <f t="shared" si="3"/>
        <v>0</v>
      </c>
      <c r="AL13" s="311"/>
      <c r="AM13" s="311"/>
      <c r="AN13" s="311"/>
      <c r="AO13" s="311"/>
      <c r="AP13" s="311"/>
      <c r="AQ13" s="311"/>
      <c r="AR13" s="311"/>
      <c r="AS13" s="331">
        <f t="shared" si="4"/>
        <v>0</v>
      </c>
      <c r="AT13" s="311"/>
      <c r="AU13" s="311"/>
      <c r="AV13" s="311"/>
      <c r="AW13" s="311"/>
      <c r="AX13" s="311"/>
      <c r="AY13" s="330"/>
    </row>
    <row r="14" spans="2:51" x14ac:dyDescent="0.35">
      <c r="B14" s="309"/>
      <c r="C14" s="288"/>
      <c r="D14" s="309"/>
      <c r="E14" s="309"/>
      <c r="F14" s="311"/>
      <c r="G14" s="311"/>
      <c r="H14" s="311"/>
      <c r="I14" s="311"/>
      <c r="J14" s="311"/>
      <c r="K14" s="311"/>
      <c r="L14" s="311"/>
      <c r="M14" s="311">
        <f t="shared" si="0"/>
        <v>0</v>
      </c>
      <c r="N14" s="311"/>
      <c r="O14" s="311"/>
      <c r="P14" s="311"/>
      <c r="Q14" s="311"/>
      <c r="R14" s="311"/>
      <c r="S14" s="311"/>
      <c r="T14" s="311"/>
      <c r="U14" s="311">
        <f t="shared" si="1"/>
        <v>0</v>
      </c>
      <c r="V14" s="311"/>
      <c r="W14" s="311"/>
      <c r="X14" s="311"/>
      <c r="Y14" s="311"/>
      <c r="Z14" s="311"/>
      <c r="AA14" s="311"/>
      <c r="AB14" s="311"/>
      <c r="AC14" s="311">
        <f t="shared" si="2"/>
        <v>0</v>
      </c>
      <c r="AD14" s="311"/>
      <c r="AE14" s="311"/>
      <c r="AF14" s="311"/>
      <c r="AG14" s="311"/>
      <c r="AH14" s="311"/>
      <c r="AI14" s="311"/>
      <c r="AJ14" s="311"/>
      <c r="AK14" s="311">
        <f t="shared" si="3"/>
        <v>0</v>
      </c>
      <c r="AL14" s="311"/>
      <c r="AM14" s="311"/>
      <c r="AN14" s="311"/>
      <c r="AO14" s="311"/>
      <c r="AP14" s="311"/>
      <c r="AQ14" s="311"/>
      <c r="AR14" s="311"/>
      <c r="AS14" s="331">
        <f t="shared" si="4"/>
        <v>0</v>
      </c>
      <c r="AT14" s="311"/>
      <c r="AU14" s="311"/>
      <c r="AV14" s="311"/>
      <c r="AW14" s="311"/>
      <c r="AX14" s="311"/>
      <c r="AY14" s="330"/>
    </row>
    <row r="15" spans="2:51" x14ac:dyDescent="0.35">
      <c r="B15" s="309"/>
      <c r="C15" s="288"/>
      <c r="D15" s="309"/>
      <c r="E15" s="309"/>
      <c r="F15" s="311"/>
      <c r="G15" s="311"/>
      <c r="H15" s="311"/>
      <c r="I15" s="311"/>
      <c r="J15" s="311"/>
      <c r="K15" s="311"/>
      <c r="L15" s="311"/>
      <c r="M15" s="311">
        <f t="shared" si="0"/>
        <v>0</v>
      </c>
      <c r="N15" s="311"/>
      <c r="O15" s="311"/>
      <c r="P15" s="311"/>
      <c r="Q15" s="311"/>
      <c r="R15" s="311"/>
      <c r="S15" s="311"/>
      <c r="T15" s="311"/>
      <c r="U15" s="311">
        <f t="shared" si="1"/>
        <v>0</v>
      </c>
      <c r="V15" s="311"/>
      <c r="W15" s="311"/>
      <c r="X15" s="311"/>
      <c r="Y15" s="311"/>
      <c r="Z15" s="311"/>
      <c r="AA15" s="311"/>
      <c r="AB15" s="311"/>
      <c r="AC15" s="311">
        <f t="shared" si="2"/>
        <v>0</v>
      </c>
      <c r="AD15" s="311"/>
      <c r="AE15" s="311"/>
      <c r="AF15" s="311"/>
      <c r="AG15" s="311"/>
      <c r="AH15" s="311"/>
      <c r="AI15" s="311"/>
      <c r="AJ15" s="311"/>
      <c r="AK15" s="311">
        <f t="shared" si="3"/>
        <v>0</v>
      </c>
      <c r="AL15" s="311"/>
      <c r="AM15" s="311"/>
      <c r="AN15" s="311"/>
      <c r="AO15" s="311"/>
      <c r="AP15" s="311"/>
      <c r="AQ15" s="311"/>
      <c r="AR15" s="311"/>
      <c r="AS15" s="331">
        <f t="shared" si="4"/>
        <v>0</v>
      </c>
      <c r="AT15" s="311"/>
      <c r="AU15" s="311"/>
      <c r="AV15" s="311"/>
      <c r="AW15" s="311"/>
      <c r="AX15" s="311"/>
      <c r="AY15" s="330"/>
    </row>
    <row r="16" spans="2:51" x14ac:dyDescent="0.35">
      <c r="B16" s="309"/>
      <c r="C16" s="288"/>
      <c r="D16" s="309"/>
      <c r="E16" s="309"/>
      <c r="F16" s="311"/>
      <c r="G16" s="311"/>
      <c r="H16" s="311"/>
      <c r="I16" s="311"/>
      <c r="J16" s="311"/>
      <c r="K16" s="311"/>
      <c r="L16" s="311"/>
      <c r="M16" s="311">
        <f t="shared" si="0"/>
        <v>0</v>
      </c>
      <c r="N16" s="311"/>
      <c r="O16" s="311"/>
      <c r="P16" s="311"/>
      <c r="Q16" s="311"/>
      <c r="R16" s="311"/>
      <c r="S16" s="311"/>
      <c r="T16" s="311"/>
      <c r="U16" s="311">
        <f t="shared" si="1"/>
        <v>0</v>
      </c>
      <c r="V16" s="311"/>
      <c r="W16" s="311"/>
      <c r="X16" s="311"/>
      <c r="Y16" s="311"/>
      <c r="Z16" s="311"/>
      <c r="AA16" s="311"/>
      <c r="AB16" s="311"/>
      <c r="AC16" s="311">
        <f t="shared" si="2"/>
        <v>0</v>
      </c>
      <c r="AD16" s="311"/>
      <c r="AE16" s="311"/>
      <c r="AF16" s="311"/>
      <c r="AG16" s="311"/>
      <c r="AH16" s="311"/>
      <c r="AI16" s="311"/>
      <c r="AJ16" s="311"/>
      <c r="AK16" s="311">
        <f t="shared" si="3"/>
        <v>0</v>
      </c>
      <c r="AL16" s="311"/>
      <c r="AM16" s="311"/>
      <c r="AN16" s="311"/>
      <c r="AO16" s="311"/>
      <c r="AP16" s="311"/>
      <c r="AQ16" s="311"/>
      <c r="AR16" s="311"/>
      <c r="AS16" s="331">
        <f t="shared" si="4"/>
        <v>0</v>
      </c>
      <c r="AT16" s="311"/>
      <c r="AU16" s="311"/>
      <c r="AV16" s="311"/>
      <c r="AW16" s="311"/>
      <c r="AX16" s="311"/>
      <c r="AY16" s="330"/>
    </row>
    <row r="17" spans="2:51" x14ac:dyDescent="0.35">
      <c r="B17" s="309"/>
      <c r="C17" s="288"/>
      <c r="D17" s="309"/>
      <c r="E17" s="309"/>
      <c r="F17" s="311"/>
      <c r="G17" s="311"/>
      <c r="H17" s="311"/>
      <c r="I17" s="311"/>
      <c r="J17" s="311"/>
      <c r="K17" s="311"/>
      <c r="L17" s="311"/>
      <c r="M17" s="311">
        <f t="shared" si="0"/>
        <v>0</v>
      </c>
      <c r="N17" s="311"/>
      <c r="O17" s="311"/>
      <c r="P17" s="311"/>
      <c r="Q17" s="311"/>
      <c r="R17" s="311"/>
      <c r="S17" s="311"/>
      <c r="T17" s="311"/>
      <c r="U17" s="311">
        <f t="shared" si="1"/>
        <v>0</v>
      </c>
      <c r="V17" s="311"/>
      <c r="W17" s="311"/>
      <c r="X17" s="311"/>
      <c r="Y17" s="311"/>
      <c r="Z17" s="311"/>
      <c r="AA17" s="311"/>
      <c r="AB17" s="311"/>
      <c r="AC17" s="311">
        <f t="shared" si="2"/>
        <v>0</v>
      </c>
      <c r="AD17" s="311"/>
      <c r="AE17" s="311"/>
      <c r="AF17" s="311"/>
      <c r="AG17" s="311"/>
      <c r="AH17" s="311"/>
      <c r="AI17" s="311"/>
      <c r="AJ17" s="311"/>
      <c r="AK17" s="311">
        <f t="shared" si="3"/>
        <v>0</v>
      </c>
      <c r="AL17" s="311"/>
      <c r="AM17" s="311"/>
      <c r="AN17" s="311"/>
      <c r="AO17" s="311"/>
      <c r="AP17" s="311"/>
      <c r="AQ17" s="311"/>
      <c r="AR17" s="311"/>
      <c r="AS17" s="331">
        <f t="shared" si="4"/>
        <v>0</v>
      </c>
      <c r="AT17" s="311"/>
      <c r="AU17" s="311"/>
      <c r="AV17" s="311"/>
      <c r="AW17" s="311"/>
      <c r="AX17" s="311"/>
      <c r="AY17" s="330"/>
    </row>
    <row r="18" spans="2:51" x14ac:dyDescent="0.35">
      <c r="B18" s="309"/>
      <c r="C18" s="288"/>
      <c r="D18" s="309"/>
      <c r="E18" s="309"/>
      <c r="F18" s="311"/>
      <c r="G18" s="311"/>
      <c r="H18" s="311"/>
      <c r="I18" s="311"/>
      <c r="J18" s="311"/>
      <c r="K18" s="311"/>
      <c r="L18" s="311"/>
      <c r="M18" s="311">
        <f t="shared" si="0"/>
        <v>0</v>
      </c>
      <c r="N18" s="311"/>
      <c r="O18" s="311"/>
      <c r="P18" s="311"/>
      <c r="Q18" s="311"/>
      <c r="R18" s="311"/>
      <c r="S18" s="311"/>
      <c r="T18" s="311"/>
      <c r="U18" s="311">
        <f t="shared" si="1"/>
        <v>0</v>
      </c>
      <c r="V18" s="311"/>
      <c r="W18" s="311"/>
      <c r="X18" s="311"/>
      <c r="Y18" s="311"/>
      <c r="Z18" s="311"/>
      <c r="AA18" s="311"/>
      <c r="AB18" s="311"/>
      <c r="AC18" s="311">
        <f t="shared" si="2"/>
        <v>0</v>
      </c>
      <c r="AD18" s="311"/>
      <c r="AE18" s="311"/>
      <c r="AF18" s="311"/>
      <c r="AG18" s="311"/>
      <c r="AH18" s="311"/>
      <c r="AI18" s="311"/>
      <c r="AJ18" s="311"/>
      <c r="AK18" s="311">
        <f t="shared" si="3"/>
        <v>0</v>
      </c>
      <c r="AL18" s="311"/>
      <c r="AM18" s="311"/>
      <c r="AN18" s="311"/>
      <c r="AO18" s="311"/>
      <c r="AP18" s="311"/>
      <c r="AQ18" s="311"/>
      <c r="AR18" s="311"/>
      <c r="AS18" s="331">
        <f t="shared" si="4"/>
        <v>0</v>
      </c>
      <c r="AT18" s="311"/>
      <c r="AU18" s="311"/>
      <c r="AV18" s="311"/>
      <c r="AW18" s="311"/>
      <c r="AX18" s="311"/>
      <c r="AY18" s="330"/>
    </row>
    <row r="19" spans="2:51" x14ac:dyDescent="0.35">
      <c r="B19" s="309"/>
      <c r="C19" s="288"/>
      <c r="D19" s="309"/>
      <c r="E19" s="309"/>
      <c r="F19" s="311"/>
      <c r="G19" s="311"/>
      <c r="H19" s="311"/>
      <c r="I19" s="311"/>
      <c r="J19" s="311"/>
      <c r="K19" s="311"/>
      <c r="L19" s="311"/>
      <c r="M19" s="311">
        <f t="shared" si="0"/>
        <v>0</v>
      </c>
      <c r="N19" s="311"/>
      <c r="O19" s="311"/>
      <c r="P19" s="311"/>
      <c r="Q19" s="311"/>
      <c r="R19" s="311"/>
      <c r="S19" s="311"/>
      <c r="T19" s="311"/>
      <c r="U19" s="311">
        <f t="shared" si="1"/>
        <v>0</v>
      </c>
      <c r="V19" s="311"/>
      <c r="W19" s="311"/>
      <c r="X19" s="311"/>
      <c r="Y19" s="311"/>
      <c r="Z19" s="311"/>
      <c r="AA19" s="311"/>
      <c r="AB19" s="311"/>
      <c r="AC19" s="311">
        <f t="shared" si="2"/>
        <v>0</v>
      </c>
      <c r="AD19" s="311"/>
      <c r="AE19" s="311"/>
      <c r="AF19" s="311"/>
      <c r="AG19" s="311"/>
      <c r="AH19" s="311"/>
      <c r="AI19" s="311"/>
      <c r="AJ19" s="311"/>
      <c r="AK19" s="311">
        <f t="shared" si="3"/>
        <v>0</v>
      </c>
      <c r="AL19" s="311"/>
      <c r="AM19" s="311"/>
      <c r="AN19" s="311"/>
      <c r="AO19" s="311"/>
      <c r="AP19" s="311"/>
      <c r="AQ19" s="311"/>
      <c r="AR19" s="311"/>
      <c r="AS19" s="331">
        <f t="shared" si="4"/>
        <v>0</v>
      </c>
      <c r="AT19" s="311"/>
      <c r="AU19" s="311"/>
      <c r="AV19" s="311"/>
      <c r="AW19" s="311"/>
      <c r="AX19" s="311"/>
      <c r="AY19" s="330"/>
    </row>
    <row r="20" spans="2:51" x14ac:dyDescent="0.35">
      <c r="B20" s="309"/>
      <c r="C20" s="288"/>
      <c r="D20" s="309"/>
      <c r="E20" s="309"/>
      <c r="F20" s="311"/>
      <c r="G20" s="311"/>
      <c r="H20" s="311"/>
      <c r="I20" s="311"/>
      <c r="J20" s="311"/>
      <c r="K20" s="311"/>
      <c r="L20" s="311"/>
      <c r="M20" s="311">
        <f t="shared" si="0"/>
        <v>0</v>
      </c>
      <c r="N20" s="311"/>
      <c r="O20" s="311"/>
      <c r="P20" s="311"/>
      <c r="Q20" s="311"/>
      <c r="R20" s="311"/>
      <c r="S20" s="311"/>
      <c r="T20" s="311"/>
      <c r="U20" s="311">
        <f t="shared" si="1"/>
        <v>0</v>
      </c>
      <c r="V20" s="311"/>
      <c r="W20" s="311"/>
      <c r="X20" s="311"/>
      <c r="Y20" s="311"/>
      <c r="Z20" s="311"/>
      <c r="AA20" s="311"/>
      <c r="AB20" s="311"/>
      <c r="AC20" s="311">
        <f t="shared" si="2"/>
        <v>0</v>
      </c>
      <c r="AD20" s="311"/>
      <c r="AE20" s="311"/>
      <c r="AF20" s="311"/>
      <c r="AG20" s="311"/>
      <c r="AH20" s="311"/>
      <c r="AI20" s="311"/>
      <c r="AJ20" s="311"/>
      <c r="AK20" s="311">
        <f t="shared" si="3"/>
        <v>0</v>
      </c>
      <c r="AL20" s="311"/>
      <c r="AM20" s="311"/>
      <c r="AN20" s="311"/>
      <c r="AO20" s="311"/>
      <c r="AP20" s="311"/>
      <c r="AQ20" s="311"/>
      <c r="AR20" s="311"/>
      <c r="AS20" s="331">
        <f t="shared" si="4"/>
        <v>0</v>
      </c>
      <c r="AT20" s="311"/>
      <c r="AU20" s="311"/>
      <c r="AV20" s="311"/>
      <c r="AW20" s="311"/>
      <c r="AX20" s="311"/>
      <c r="AY20" s="330"/>
    </row>
    <row r="21" spans="2:51" x14ac:dyDescent="0.35">
      <c r="B21" s="309"/>
      <c r="C21" s="288"/>
      <c r="D21" s="309"/>
      <c r="E21" s="309"/>
      <c r="F21" s="311"/>
      <c r="G21" s="311"/>
      <c r="H21" s="311"/>
      <c r="I21" s="311"/>
      <c r="J21" s="311"/>
      <c r="K21" s="311"/>
      <c r="L21" s="311"/>
      <c r="M21" s="311">
        <f t="shared" si="0"/>
        <v>0</v>
      </c>
      <c r="N21" s="311"/>
      <c r="O21" s="311"/>
      <c r="P21" s="311"/>
      <c r="Q21" s="311"/>
      <c r="R21" s="311"/>
      <c r="S21" s="311"/>
      <c r="T21" s="311"/>
      <c r="U21" s="311">
        <f t="shared" si="1"/>
        <v>0</v>
      </c>
      <c r="V21" s="311"/>
      <c r="W21" s="311"/>
      <c r="X21" s="311"/>
      <c r="Y21" s="311"/>
      <c r="Z21" s="311"/>
      <c r="AA21" s="311"/>
      <c r="AB21" s="311"/>
      <c r="AC21" s="311">
        <f t="shared" si="2"/>
        <v>0</v>
      </c>
      <c r="AD21" s="311"/>
      <c r="AE21" s="311"/>
      <c r="AF21" s="311"/>
      <c r="AG21" s="311"/>
      <c r="AH21" s="311"/>
      <c r="AI21" s="311"/>
      <c r="AJ21" s="311"/>
      <c r="AK21" s="311">
        <f t="shared" si="3"/>
        <v>0</v>
      </c>
      <c r="AL21" s="311"/>
      <c r="AM21" s="311"/>
      <c r="AN21" s="311"/>
      <c r="AO21" s="311"/>
      <c r="AP21" s="311"/>
      <c r="AQ21" s="311"/>
      <c r="AR21" s="311"/>
      <c r="AS21" s="331">
        <f t="shared" si="4"/>
        <v>0</v>
      </c>
      <c r="AT21" s="311"/>
      <c r="AU21" s="311"/>
      <c r="AV21" s="311"/>
      <c r="AW21" s="311"/>
      <c r="AX21" s="311"/>
      <c r="AY21" s="330"/>
    </row>
    <row r="22" spans="2:51" x14ac:dyDescent="0.35">
      <c r="B22" s="309"/>
      <c r="C22" s="288"/>
      <c r="D22" s="309"/>
      <c r="E22" s="309"/>
      <c r="F22" s="311"/>
      <c r="G22" s="311"/>
      <c r="H22" s="311"/>
      <c r="I22" s="311"/>
      <c r="J22" s="311"/>
      <c r="K22" s="311"/>
      <c r="L22" s="311"/>
      <c r="M22" s="311">
        <f t="shared" si="0"/>
        <v>0</v>
      </c>
      <c r="N22" s="311"/>
      <c r="O22" s="311"/>
      <c r="P22" s="311"/>
      <c r="Q22" s="311"/>
      <c r="R22" s="311"/>
      <c r="S22" s="311"/>
      <c r="T22" s="311"/>
      <c r="U22" s="311">
        <f t="shared" si="1"/>
        <v>0</v>
      </c>
      <c r="V22" s="311"/>
      <c r="W22" s="311"/>
      <c r="X22" s="311"/>
      <c r="Y22" s="311"/>
      <c r="Z22" s="311"/>
      <c r="AA22" s="311"/>
      <c r="AB22" s="311"/>
      <c r="AC22" s="311">
        <f t="shared" si="2"/>
        <v>0</v>
      </c>
      <c r="AD22" s="311"/>
      <c r="AE22" s="311"/>
      <c r="AF22" s="311"/>
      <c r="AG22" s="311"/>
      <c r="AH22" s="311"/>
      <c r="AI22" s="311"/>
      <c r="AJ22" s="311"/>
      <c r="AK22" s="311">
        <f t="shared" si="3"/>
        <v>0</v>
      </c>
      <c r="AL22" s="311"/>
      <c r="AM22" s="311"/>
      <c r="AN22" s="311"/>
      <c r="AO22" s="311"/>
      <c r="AP22" s="311"/>
      <c r="AQ22" s="311"/>
      <c r="AR22" s="311"/>
      <c r="AS22" s="331">
        <f t="shared" si="4"/>
        <v>0</v>
      </c>
      <c r="AT22" s="311"/>
      <c r="AU22" s="311"/>
      <c r="AV22" s="311"/>
      <c r="AW22" s="311"/>
      <c r="AX22" s="311"/>
      <c r="AY22" s="330"/>
    </row>
    <row r="23" spans="2:51" x14ac:dyDescent="0.35">
      <c r="B23" s="309"/>
      <c r="C23" s="288"/>
      <c r="D23" s="309"/>
      <c r="E23" s="309"/>
      <c r="F23" s="311"/>
      <c r="G23" s="311"/>
      <c r="H23" s="311"/>
      <c r="I23" s="311"/>
      <c r="J23" s="311"/>
      <c r="K23" s="311"/>
      <c r="L23" s="311"/>
      <c r="M23" s="311">
        <f t="shared" si="0"/>
        <v>0</v>
      </c>
      <c r="N23" s="311"/>
      <c r="O23" s="311"/>
      <c r="P23" s="311"/>
      <c r="Q23" s="311"/>
      <c r="R23" s="311"/>
      <c r="S23" s="311"/>
      <c r="T23" s="311"/>
      <c r="U23" s="311">
        <f t="shared" si="1"/>
        <v>0</v>
      </c>
      <c r="V23" s="311"/>
      <c r="W23" s="311"/>
      <c r="X23" s="311"/>
      <c r="Y23" s="311"/>
      <c r="Z23" s="311"/>
      <c r="AA23" s="311"/>
      <c r="AB23" s="311"/>
      <c r="AC23" s="311">
        <f t="shared" si="2"/>
        <v>0</v>
      </c>
      <c r="AD23" s="311"/>
      <c r="AE23" s="311"/>
      <c r="AF23" s="311"/>
      <c r="AG23" s="311"/>
      <c r="AH23" s="311"/>
      <c r="AI23" s="311"/>
      <c r="AJ23" s="311"/>
      <c r="AK23" s="311">
        <f t="shared" si="3"/>
        <v>0</v>
      </c>
      <c r="AL23" s="311"/>
      <c r="AM23" s="311"/>
      <c r="AN23" s="311"/>
      <c r="AO23" s="311"/>
      <c r="AP23" s="311"/>
      <c r="AQ23" s="311"/>
      <c r="AR23" s="311"/>
      <c r="AS23" s="331">
        <f t="shared" si="4"/>
        <v>0</v>
      </c>
      <c r="AT23" s="311"/>
      <c r="AU23" s="311"/>
      <c r="AV23" s="311"/>
      <c r="AW23" s="311"/>
      <c r="AX23" s="311"/>
      <c r="AY23" s="330"/>
    </row>
    <row r="24" spans="2:51" x14ac:dyDescent="0.35">
      <c r="B24" s="327"/>
      <c r="C24" s="288"/>
      <c r="D24" s="309"/>
      <c r="E24" s="309"/>
      <c r="F24" s="311"/>
      <c r="G24" s="311"/>
      <c r="H24" s="311"/>
      <c r="I24" s="311"/>
      <c r="J24" s="311"/>
      <c r="K24" s="311"/>
      <c r="L24" s="311"/>
      <c r="M24" s="311">
        <f t="shared" si="0"/>
        <v>0</v>
      </c>
      <c r="N24" s="311"/>
      <c r="O24" s="311"/>
      <c r="P24" s="311"/>
      <c r="Q24" s="311"/>
      <c r="R24" s="311"/>
      <c r="S24" s="311"/>
      <c r="T24" s="311"/>
      <c r="U24" s="311">
        <f t="shared" si="1"/>
        <v>0</v>
      </c>
      <c r="V24" s="311"/>
      <c r="W24" s="311"/>
      <c r="X24" s="311"/>
      <c r="Y24" s="311"/>
      <c r="Z24" s="311"/>
      <c r="AA24" s="311"/>
      <c r="AB24" s="311"/>
      <c r="AC24" s="311">
        <f t="shared" si="2"/>
        <v>0</v>
      </c>
      <c r="AD24" s="311"/>
      <c r="AE24" s="311"/>
      <c r="AF24" s="311"/>
      <c r="AG24" s="311"/>
      <c r="AH24" s="311"/>
      <c r="AI24" s="311"/>
      <c r="AJ24" s="311"/>
      <c r="AK24" s="311">
        <f t="shared" si="3"/>
        <v>0</v>
      </c>
      <c r="AL24" s="311"/>
      <c r="AM24" s="311"/>
      <c r="AN24" s="311"/>
      <c r="AO24" s="311"/>
      <c r="AP24" s="311"/>
      <c r="AQ24" s="311"/>
      <c r="AR24" s="311"/>
      <c r="AS24" s="331">
        <f t="shared" si="4"/>
        <v>0</v>
      </c>
      <c r="AT24" s="311"/>
      <c r="AU24" s="311"/>
      <c r="AV24" s="311"/>
      <c r="AW24" s="311"/>
      <c r="AX24" s="311"/>
      <c r="AY24" s="330"/>
    </row>
    <row r="25" spans="2:51" x14ac:dyDescent="0.35">
      <c r="B25" s="309"/>
      <c r="C25" s="288"/>
      <c r="D25" s="309"/>
      <c r="E25" s="309"/>
      <c r="F25" s="311"/>
      <c r="G25" s="311"/>
      <c r="H25" s="311"/>
      <c r="I25" s="311"/>
      <c r="J25" s="311"/>
      <c r="K25" s="311"/>
      <c r="L25" s="311"/>
      <c r="M25" s="311">
        <f t="shared" si="0"/>
        <v>0</v>
      </c>
      <c r="N25" s="311"/>
      <c r="O25" s="311"/>
      <c r="P25" s="311"/>
      <c r="Q25" s="311"/>
      <c r="R25" s="311"/>
      <c r="S25" s="311"/>
      <c r="T25" s="311"/>
      <c r="U25" s="311">
        <f t="shared" si="1"/>
        <v>0</v>
      </c>
      <c r="V25" s="311"/>
      <c r="W25" s="311"/>
      <c r="X25" s="311"/>
      <c r="Y25" s="311"/>
      <c r="Z25" s="311"/>
      <c r="AA25" s="311"/>
      <c r="AB25" s="311"/>
      <c r="AC25" s="311">
        <f t="shared" si="2"/>
        <v>0</v>
      </c>
      <c r="AD25" s="311"/>
      <c r="AE25" s="311"/>
      <c r="AF25" s="311"/>
      <c r="AG25" s="311"/>
      <c r="AH25" s="311"/>
      <c r="AI25" s="311"/>
      <c r="AJ25" s="311"/>
      <c r="AK25" s="311">
        <f t="shared" si="3"/>
        <v>0</v>
      </c>
      <c r="AL25" s="311"/>
      <c r="AM25" s="311"/>
      <c r="AN25" s="311"/>
      <c r="AO25" s="311"/>
      <c r="AP25" s="311"/>
      <c r="AQ25" s="311"/>
      <c r="AR25" s="311"/>
      <c r="AS25" s="331">
        <f t="shared" si="4"/>
        <v>0</v>
      </c>
      <c r="AT25" s="311"/>
      <c r="AU25" s="311"/>
      <c r="AV25" s="311"/>
      <c r="AW25" s="311"/>
      <c r="AX25" s="311"/>
      <c r="AY25" s="330"/>
    </row>
    <row r="26" spans="2:51" x14ac:dyDescent="0.35">
      <c r="B26" s="309"/>
      <c r="C26" s="288"/>
      <c r="D26" s="309"/>
      <c r="E26" s="309"/>
      <c r="F26" s="311"/>
      <c r="G26" s="311"/>
      <c r="H26" s="311"/>
      <c r="I26" s="311"/>
      <c r="J26" s="311"/>
      <c r="K26" s="311"/>
      <c r="L26" s="311"/>
      <c r="M26" s="311">
        <f t="shared" si="0"/>
        <v>0</v>
      </c>
      <c r="N26" s="311"/>
      <c r="O26" s="311"/>
      <c r="P26" s="311"/>
      <c r="Q26" s="311"/>
      <c r="R26" s="311"/>
      <c r="S26" s="311"/>
      <c r="T26" s="311"/>
      <c r="U26" s="311">
        <f t="shared" si="1"/>
        <v>0</v>
      </c>
      <c r="V26" s="311"/>
      <c r="W26" s="311"/>
      <c r="X26" s="311"/>
      <c r="Y26" s="311"/>
      <c r="Z26" s="311"/>
      <c r="AA26" s="311"/>
      <c r="AB26" s="311"/>
      <c r="AC26" s="311">
        <f t="shared" si="2"/>
        <v>0</v>
      </c>
      <c r="AD26" s="311"/>
      <c r="AE26" s="311"/>
      <c r="AF26" s="311"/>
      <c r="AG26" s="311"/>
      <c r="AH26" s="311"/>
      <c r="AI26" s="311"/>
      <c r="AJ26" s="311"/>
      <c r="AK26" s="311">
        <f t="shared" si="3"/>
        <v>0</v>
      </c>
      <c r="AL26" s="311"/>
      <c r="AM26" s="311"/>
      <c r="AN26" s="311"/>
      <c r="AO26" s="311"/>
      <c r="AP26" s="311"/>
      <c r="AQ26" s="311"/>
      <c r="AR26" s="311"/>
      <c r="AS26" s="331">
        <f t="shared" si="4"/>
        <v>0</v>
      </c>
      <c r="AT26" s="311"/>
      <c r="AU26" s="311"/>
      <c r="AV26" s="311"/>
      <c r="AW26" s="311"/>
      <c r="AX26" s="311"/>
      <c r="AY26" s="330"/>
    </row>
    <row r="27" spans="2:51" x14ac:dyDescent="0.35">
      <c r="B27" s="309"/>
      <c r="C27" s="288"/>
      <c r="D27" s="309"/>
      <c r="E27" s="309"/>
      <c r="F27" s="311"/>
      <c r="G27" s="311"/>
      <c r="H27" s="311"/>
      <c r="I27" s="311"/>
      <c r="J27" s="311"/>
      <c r="K27" s="311"/>
      <c r="L27" s="311"/>
      <c r="M27" s="311">
        <f t="shared" si="0"/>
        <v>0</v>
      </c>
      <c r="N27" s="311"/>
      <c r="O27" s="311"/>
      <c r="P27" s="311"/>
      <c r="Q27" s="311"/>
      <c r="R27" s="311"/>
      <c r="S27" s="311"/>
      <c r="T27" s="311"/>
      <c r="U27" s="311">
        <f t="shared" si="1"/>
        <v>0</v>
      </c>
      <c r="V27" s="311"/>
      <c r="W27" s="311"/>
      <c r="X27" s="311"/>
      <c r="Y27" s="311"/>
      <c r="Z27" s="311"/>
      <c r="AA27" s="311"/>
      <c r="AB27" s="311"/>
      <c r="AC27" s="311">
        <f t="shared" si="2"/>
        <v>0</v>
      </c>
      <c r="AD27" s="311"/>
      <c r="AE27" s="311"/>
      <c r="AF27" s="311"/>
      <c r="AG27" s="311"/>
      <c r="AH27" s="311"/>
      <c r="AI27" s="311"/>
      <c r="AJ27" s="311"/>
      <c r="AK27" s="311">
        <f t="shared" si="3"/>
        <v>0</v>
      </c>
      <c r="AL27" s="311"/>
      <c r="AM27" s="311"/>
      <c r="AN27" s="311"/>
      <c r="AO27" s="311"/>
      <c r="AP27" s="311"/>
      <c r="AQ27" s="311"/>
      <c r="AR27" s="311"/>
      <c r="AS27" s="331">
        <f t="shared" si="4"/>
        <v>0</v>
      </c>
      <c r="AT27" s="311"/>
      <c r="AU27" s="311"/>
      <c r="AV27" s="311"/>
      <c r="AW27" s="311"/>
      <c r="AX27" s="311"/>
      <c r="AY27" s="330"/>
    </row>
    <row r="28" spans="2:51" x14ac:dyDescent="0.35">
      <c r="B28" s="309"/>
      <c r="C28" s="288"/>
      <c r="D28" s="309"/>
      <c r="E28" s="309"/>
      <c r="F28" s="311"/>
      <c r="G28" s="311"/>
      <c r="H28" s="311"/>
      <c r="I28" s="311"/>
      <c r="J28" s="311"/>
      <c r="K28" s="311"/>
      <c r="L28" s="311"/>
      <c r="M28" s="311">
        <f t="shared" si="0"/>
        <v>0</v>
      </c>
      <c r="N28" s="311"/>
      <c r="O28" s="311"/>
      <c r="P28" s="311"/>
      <c r="Q28" s="311"/>
      <c r="R28" s="311"/>
      <c r="S28" s="311"/>
      <c r="T28" s="311"/>
      <c r="U28" s="311">
        <f t="shared" si="1"/>
        <v>0</v>
      </c>
      <c r="V28" s="311"/>
      <c r="W28" s="311"/>
      <c r="X28" s="311"/>
      <c r="Y28" s="311"/>
      <c r="Z28" s="311"/>
      <c r="AA28" s="311"/>
      <c r="AB28" s="311"/>
      <c r="AC28" s="311">
        <f t="shared" si="2"/>
        <v>0</v>
      </c>
      <c r="AD28" s="311"/>
      <c r="AE28" s="311"/>
      <c r="AF28" s="311"/>
      <c r="AG28" s="311"/>
      <c r="AH28" s="311"/>
      <c r="AI28" s="311"/>
      <c r="AJ28" s="311"/>
      <c r="AK28" s="311">
        <f t="shared" si="3"/>
        <v>0</v>
      </c>
      <c r="AL28" s="311"/>
      <c r="AM28" s="311"/>
      <c r="AN28" s="311"/>
      <c r="AO28" s="311"/>
      <c r="AP28" s="311"/>
      <c r="AQ28" s="311"/>
      <c r="AR28" s="311"/>
      <c r="AS28" s="331">
        <f t="shared" si="4"/>
        <v>0</v>
      </c>
      <c r="AT28" s="311"/>
      <c r="AU28" s="311"/>
      <c r="AV28" s="311"/>
      <c r="AW28" s="311"/>
      <c r="AX28" s="311"/>
      <c r="AY28" s="330"/>
    </row>
    <row r="29" spans="2:51" x14ac:dyDescent="0.35">
      <c r="B29" s="309"/>
      <c r="C29" s="288"/>
      <c r="D29" s="309"/>
      <c r="E29" s="309"/>
      <c r="F29" s="311"/>
      <c r="G29" s="311"/>
      <c r="H29" s="311"/>
      <c r="I29" s="311"/>
      <c r="J29" s="311"/>
      <c r="K29" s="311"/>
      <c r="L29" s="311"/>
      <c r="M29" s="311">
        <f t="shared" si="0"/>
        <v>0</v>
      </c>
      <c r="N29" s="311"/>
      <c r="O29" s="311"/>
      <c r="P29" s="311"/>
      <c r="Q29" s="311"/>
      <c r="R29" s="311"/>
      <c r="S29" s="311"/>
      <c r="T29" s="311"/>
      <c r="U29" s="311">
        <f t="shared" si="1"/>
        <v>0</v>
      </c>
      <c r="V29" s="311"/>
      <c r="W29" s="311"/>
      <c r="X29" s="311"/>
      <c r="Y29" s="311"/>
      <c r="Z29" s="311"/>
      <c r="AA29" s="311"/>
      <c r="AB29" s="311"/>
      <c r="AC29" s="311">
        <f t="shared" si="2"/>
        <v>0</v>
      </c>
      <c r="AD29" s="311"/>
      <c r="AE29" s="311"/>
      <c r="AF29" s="311"/>
      <c r="AG29" s="311"/>
      <c r="AH29" s="311"/>
      <c r="AI29" s="311"/>
      <c r="AJ29" s="311"/>
      <c r="AK29" s="311">
        <f t="shared" si="3"/>
        <v>0</v>
      </c>
      <c r="AL29" s="311"/>
      <c r="AM29" s="311"/>
      <c r="AN29" s="311"/>
      <c r="AO29" s="311"/>
      <c r="AP29" s="311"/>
      <c r="AQ29" s="311"/>
      <c r="AR29" s="311"/>
      <c r="AS29" s="331">
        <f t="shared" si="4"/>
        <v>0</v>
      </c>
      <c r="AT29" s="311"/>
      <c r="AU29" s="311"/>
      <c r="AV29" s="311"/>
      <c r="AW29" s="311"/>
      <c r="AX29" s="311"/>
      <c r="AY29" s="330"/>
    </row>
    <row r="30" spans="2:51" x14ac:dyDescent="0.35">
      <c r="B30" s="309"/>
      <c r="C30" s="288"/>
      <c r="D30" s="309"/>
      <c r="E30" s="309"/>
      <c r="F30" s="311"/>
      <c r="G30" s="311"/>
      <c r="H30" s="311"/>
      <c r="I30" s="311"/>
      <c r="J30" s="311"/>
      <c r="K30" s="311"/>
      <c r="L30" s="311"/>
      <c r="M30" s="311">
        <f t="shared" si="0"/>
        <v>0</v>
      </c>
      <c r="N30" s="311"/>
      <c r="O30" s="311"/>
      <c r="P30" s="311"/>
      <c r="Q30" s="311"/>
      <c r="R30" s="311"/>
      <c r="S30" s="311"/>
      <c r="T30" s="311"/>
      <c r="U30" s="311">
        <f t="shared" si="1"/>
        <v>0</v>
      </c>
      <c r="V30" s="311"/>
      <c r="W30" s="311"/>
      <c r="X30" s="311"/>
      <c r="Y30" s="311"/>
      <c r="Z30" s="311"/>
      <c r="AA30" s="311"/>
      <c r="AB30" s="311"/>
      <c r="AC30" s="311">
        <f t="shared" si="2"/>
        <v>0</v>
      </c>
      <c r="AD30" s="311"/>
      <c r="AE30" s="311"/>
      <c r="AF30" s="311"/>
      <c r="AG30" s="311"/>
      <c r="AH30" s="311"/>
      <c r="AI30" s="311"/>
      <c r="AJ30" s="311"/>
      <c r="AK30" s="311">
        <f t="shared" si="3"/>
        <v>0</v>
      </c>
      <c r="AL30" s="311"/>
      <c r="AM30" s="311"/>
      <c r="AN30" s="311"/>
      <c r="AO30" s="311"/>
      <c r="AP30" s="311"/>
      <c r="AQ30" s="311"/>
      <c r="AR30" s="311"/>
      <c r="AS30" s="331">
        <f t="shared" si="4"/>
        <v>0</v>
      </c>
      <c r="AT30" s="311"/>
      <c r="AU30" s="311"/>
      <c r="AV30" s="311"/>
      <c r="AW30" s="311"/>
      <c r="AX30" s="311"/>
      <c r="AY30" s="330"/>
    </row>
    <row r="31" spans="2:51" x14ac:dyDescent="0.35">
      <c r="B31" s="309"/>
      <c r="C31" s="288"/>
      <c r="D31" s="309"/>
      <c r="E31" s="309"/>
      <c r="F31" s="311"/>
      <c r="G31" s="311"/>
      <c r="H31" s="311"/>
      <c r="I31" s="311"/>
      <c r="J31" s="311"/>
      <c r="K31" s="311"/>
      <c r="L31" s="311"/>
      <c r="M31" s="311">
        <f t="shared" si="0"/>
        <v>0</v>
      </c>
      <c r="N31" s="311"/>
      <c r="O31" s="311"/>
      <c r="P31" s="311"/>
      <c r="Q31" s="311"/>
      <c r="R31" s="311"/>
      <c r="S31" s="311"/>
      <c r="T31" s="311"/>
      <c r="U31" s="311">
        <f t="shared" si="1"/>
        <v>0</v>
      </c>
      <c r="V31" s="311"/>
      <c r="W31" s="311"/>
      <c r="X31" s="311"/>
      <c r="Y31" s="311"/>
      <c r="Z31" s="311"/>
      <c r="AA31" s="311"/>
      <c r="AB31" s="311"/>
      <c r="AC31" s="311">
        <f t="shared" si="2"/>
        <v>0</v>
      </c>
      <c r="AD31" s="311"/>
      <c r="AE31" s="311"/>
      <c r="AF31" s="311"/>
      <c r="AG31" s="311"/>
      <c r="AH31" s="311"/>
      <c r="AI31" s="311"/>
      <c r="AJ31" s="311"/>
      <c r="AK31" s="311">
        <f t="shared" si="3"/>
        <v>0</v>
      </c>
      <c r="AL31" s="311"/>
      <c r="AM31" s="311"/>
      <c r="AN31" s="311"/>
      <c r="AO31" s="311"/>
      <c r="AP31" s="311"/>
      <c r="AQ31" s="311"/>
      <c r="AR31" s="311"/>
      <c r="AS31" s="331">
        <f t="shared" si="4"/>
        <v>0</v>
      </c>
      <c r="AT31" s="311"/>
      <c r="AU31" s="311"/>
      <c r="AV31" s="311"/>
      <c r="AW31" s="311"/>
      <c r="AX31" s="311"/>
      <c r="AY31" s="330"/>
    </row>
    <row r="32" spans="2:51" x14ac:dyDescent="0.35">
      <c r="B32" s="309"/>
      <c r="C32" s="288"/>
      <c r="D32" s="309"/>
      <c r="E32" s="309"/>
      <c r="F32" s="311"/>
      <c r="G32" s="311"/>
      <c r="H32" s="311"/>
      <c r="I32" s="311"/>
      <c r="J32" s="311"/>
      <c r="K32" s="311"/>
      <c r="L32" s="311"/>
      <c r="M32" s="311">
        <f t="shared" si="0"/>
        <v>0</v>
      </c>
      <c r="N32" s="311"/>
      <c r="O32" s="311"/>
      <c r="P32" s="311"/>
      <c r="Q32" s="311"/>
      <c r="R32" s="311"/>
      <c r="S32" s="311"/>
      <c r="T32" s="311"/>
      <c r="U32" s="311">
        <f t="shared" si="1"/>
        <v>0</v>
      </c>
      <c r="V32" s="311"/>
      <c r="W32" s="311"/>
      <c r="X32" s="311"/>
      <c r="Y32" s="311"/>
      <c r="Z32" s="311"/>
      <c r="AA32" s="311"/>
      <c r="AB32" s="311"/>
      <c r="AC32" s="311">
        <f t="shared" si="2"/>
        <v>0</v>
      </c>
      <c r="AD32" s="311"/>
      <c r="AE32" s="311"/>
      <c r="AF32" s="311"/>
      <c r="AG32" s="311"/>
      <c r="AH32" s="311"/>
      <c r="AI32" s="311"/>
      <c r="AJ32" s="311"/>
      <c r="AK32" s="311">
        <f t="shared" si="3"/>
        <v>0</v>
      </c>
      <c r="AL32" s="311"/>
      <c r="AM32" s="311"/>
      <c r="AN32" s="311"/>
      <c r="AO32" s="311"/>
      <c r="AP32" s="311"/>
      <c r="AQ32" s="311"/>
      <c r="AR32" s="311"/>
      <c r="AS32" s="331">
        <f t="shared" si="4"/>
        <v>0</v>
      </c>
      <c r="AT32" s="311"/>
      <c r="AU32" s="311"/>
      <c r="AV32" s="311"/>
      <c r="AW32" s="311"/>
      <c r="AX32" s="311"/>
      <c r="AY32" s="330"/>
    </row>
    <row r="33" spans="2:51" x14ac:dyDescent="0.35">
      <c r="B33" s="309"/>
      <c r="C33" s="288"/>
      <c r="D33" s="309"/>
      <c r="E33" s="309"/>
      <c r="F33" s="311"/>
      <c r="G33" s="311"/>
      <c r="H33" s="311"/>
      <c r="I33" s="311"/>
      <c r="J33" s="311"/>
      <c r="K33" s="311"/>
      <c r="L33" s="311"/>
      <c r="M33" s="311">
        <f t="shared" si="0"/>
        <v>0</v>
      </c>
      <c r="N33" s="311"/>
      <c r="O33" s="311"/>
      <c r="P33" s="311"/>
      <c r="Q33" s="311"/>
      <c r="R33" s="311"/>
      <c r="S33" s="311"/>
      <c r="T33" s="311"/>
      <c r="U33" s="311">
        <f t="shared" si="1"/>
        <v>0</v>
      </c>
      <c r="V33" s="311"/>
      <c r="W33" s="311"/>
      <c r="X33" s="311"/>
      <c r="Y33" s="311"/>
      <c r="Z33" s="311"/>
      <c r="AA33" s="311"/>
      <c r="AB33" s="311"/>
      <c r="AC33" s="311">
        <f t="shared" si="2"/>
        <v>0</v>
      </c>
      <c r="AD33" s="311"/>
      <c r="AE33" s="311"/>
      <c r="AF33" s="311"/>
      <c r="AG33" s="311"/>
      <c r="AH33" s="311"/>
      <c r="AI33" s="311"/>
      <c r="AJ33" s="311"/>
      <c r="AK33" s="311">
        <f t="shared" si="3"/>
        <v>0</v>
      </c>
      <c r="AL33" s="311"/>
      <c r="AM33" s="311"/>
      <c r="AN33" s="311"/>
      <c r="AO33" s="311"/>
      <c r="AP33" s="311"/>
      <c r="AQ33" s="311"/>
      <c r="AR33" s="311"/>
      <c r="AS33" s="331">
        <f t="shared" si="4"/>
        <v>0</v>
      </c>
      <c r="AT33" s="311"/>
      <c r="AU33" s="311"/>
      <c r="AV33" s="311"/>
      <c r="AW33" s="311"/>
      <c r="AX33" s="311"/>
      <c r="AY33" s="330"/>
    </row>
    <row r="34" spans="2:51" x14ac:dyDescent="0.35">
      <c r="B34" s="309"/>
      <c r="C34" s="288"/>
      <c r="D34" s="309"/>
      <c r="E34" s="309"/>
      <c r="F34" s="311"/>
      <c r="G34" s="311"/>
      <c r="H34" s="311"/>
      <c r="I34" s="311"/>
      <c r="J34" s="311"/>
      <c r="K34" s="311"/>
      <c r="L34" s="311"/>
      <c r="M34" s="311">
        <f t="shared" si="0"/>
        <v>0</v>
      </c>
      <c r="N34" s="311"/>
      <c r="O34" s="311"/>
      <c r="P34" s="311"/>
      <c r="Q34" s="311"/>
      <c r="R34" s="311"/>
      <c r="S34" s="311"/>
      <c r="T34" s="311"/>
      <c r="U34" s="311">
        <f t="shared" si="1"/>
        <v>0</v>
      </c>
      <c r="V34" s="311"/>
      <c r="W34" s="311"/>
      <c r="X34" s="311"/>
      <c r="Y34" s="311"/>
      <c r="Z34" s="311"/>
      <c r="AA34" s="311"/>
      <c r="AB34" s="311"/>
      <c r="AC34" s="311">
        <f t="shared" si="2"/>
        <v>0</v>
      </c>
      <c r="AD34" s="311"/>
      <c r="AE34" s="311"/>
      <c r="AF34" s="311"/>
      <c r="AG34" s="311"/>
      <c r="AH34" s="311"/>
      <c r="AI34" s="311"/>
      <c r="AJ34" s="311"/>
      <c r="AK34" s="311">
        <f t="shared" si="3"/>
        <v>0</v>
      </c>
      <c r="AL34" s="311"/>
      <c r="AM34" s="311"/>
      <c r="AN34" s="311"/>
      <c r="AO34" s="311"/>
      <c r="AP34" s="311"/>
      <c r="AQ34" s="311"/>
      <c r="AR34" s="311"/>
      <c r="AS34" s="331">
        <f t="shared" si="4"/>
        <v>0</v>
      </c>
      <c r="AT34" s="311"/>
      <c r="AU34" s="311"/>
      <c r="AV34" s="311"/>
      <c r="AW34" s="311"/>
      <c r="AX34" s="311"/>
      <c r="AY34" s="330"/>
    </row>
    <row r="35" spans="2:51" x14ac:dyDescent="0.35">
      <c r="B35" s="309"/>
      <c r="C35" s="288"/>
      <c r="D35" s="309"/>
      <c r="E35" s="309"/>
      <c r="F35" s="311"/>
      <c r="G35" s="311"/>
      <c r="H35" s="311"/>
      <c r="I35" s="311"/>
      <c r="J35" s="311"/>
      <c r="K35" s="311"/>
      <c r="L35" s="311"/>
      <c r="M35" s="311">
        <f t="shared" si="0"/>
        <v>0</v>
      </c>
      <c r="N35" s="311"/>
      <c r="O35" s="311"/>
      <c r="P35" s="311"/>
      <c r="Q35" s="311"/>
      <c r="R35" s="311"/>
      <c r="S35" s="311"/>
      <c r="T35" s="311"/>
      <c r="U35" s="311">
        <f t="shared" si="1"/>
        <v>0</v>
      </c>
      <c r="V35" s="311"/>
      <c r="W35" s="311"/>
      <c r="X35" s="311"/>
      <c r="Y35" s="311"/>
      <c r="Z35" s="311"/>
      <c r="AA35" s="311"/>
      <c r="AB35" s="311"/>
      <c r="AC35" s="311">
        <f t="shared" si="2"/>
        <v>0</v>
      </c>
      <c r="AD35" s="311"/>
      <c r="AE35" s="311"/>
      <c r="AF35" s="311"/>
      <c r="AG35" s="311"/>
      <c r="AH35" s="311"/>
      <c r="AI35" s="311"/>
      <c r="AJ35" s="311"/>
      <c r="AK35" s="311">
        <f t="shared" si="3"/>
        <v>0</v>
      </c>
      <c r="AL35" s="311"/>
      <c r="AM35" s="311"/>
      <c r="AN35" s="311"/>
      <c r="AO35" s="311"/>
      <c r="AP35" s="311"/>
      <c r="AQ35" s="311"/>
      <c r="AR35" s="311"/>
      <c r="AS35" s="331">
        <f t="shared" si="4"/>
        <v>0</v>
      </c>
      <c r="AT35" s="311"/>
      <c r="AU35" s="311"/>
      <c r="AV35" s="311"/>
      <c r="AW35" s="311"/>
      <c r="AX35" s="311"/>
      <c r="AY35" s="330"/>
    </row>
    <row r="36" spans="2:51" x14ac:dyDescent="0.35">
      <c r="B36" s="309"/>
      <c r="C36" s="288"/>
      <c r="D36" s="309"/>
      <c r="E36" s="309"/>
      <c r="F36" s="311"/>
      <c r="G36" s="311"/>
      <c r="H36" s="311"/>
      <c r="I36" s="311"/>
      <c r="J36" s="311"/>
      <c r="K36" s="311"/>
      <c r="L36" s="311"/>
      <c r="M36" s="311">
        <f t="shared" si="0"/>
        <v>0</v>
      </c>
      <c r="N36" s="311"/>
      <c r="O36" s="311"/>
      <c r="P36" s="311"/>
      <c r="Q36" s="311"/>
      <c r="R36" s="311"/>
      <c r="S36" s="311"/>
      <c r="T36" s="311"/>
      <c r="U36" s="311">
        <f t="shared" si="1"/>
        <v>0</v>
      </c>
      <c r="V36" s="311"/>
      <c r="W36" s="311"/>
      <c r="X36" s="311"/>
      <c r="Y36" s="311"/>
      <c r="Z36" s="311"/>
      <c r="AA36" s="311"/>
      <c r="AB36" s="311"/>
      <c r="AC36" s="311">
        <f t="shared" si="2"/>
        <v>0</v>
      </c>
      <c r="AD36" s="311"/>
      <c r="AE36" s="311"/>
      <c r="AF36" s="311"/>
      <c r="AG36" s="311"/>
      <c r="AH36" s="311"/>
      <c r="AI36" s="311"/>
      <c r="AJ36" s="311"/>
      <c r="AK36" s="311">
        <f t="shared" si="3"/>
        <v>0</v>
      </c>
      <c r="AL36" s="311"/>
      <c r="AM36" s="311"/>
      <c r="AN36" s="311"/>
      <c r="AO36" s="311"/>
      <c r="AP36" s="311"/>
      <c r="AQ36" s="311"/>
      <c r="AR36" s="311"/>
      <c r="AS36" s="331">
        <f t="shared" si="4"/>
        <v>0</v>
      </c>
      <c r="AT36" s="311"/>
      <c r="AU36" s="311"/>
      <c r="AV36" s="311"/>
      <c r="AW36" s="311"/>
      <c r="AX36" s="311"/>
      <c r="AY36" s="330"/>
    </row>
    <row r="37" spans="2:51" x14ac:dyDescent="0.35">
      <c r="B37" s="309"/>
      <c r="C37" s="288"/>
      <c r="D37" s="309"/>
      <c r="E37" s="309"/>
      <c r="F37" s="311"/>
      <c r="G37" s="311"/>
      <c r="H37" s="311"/>
      <c r="I37" s="311"/>
      <c r="J37" s="311"/>
      <c r="K37" s="311"/>
      <c r="L37" s="311"/>
      <c r="M37" s="311">
        <f t="shared" si="0"/>
        <v>0</v>
      </c>
      <c r="N37" s="311"/>
      <c r="O37" s="311"/>
      <c r="P37" s="311"/>
      <c r="Q37" s="311"/>
      <c r="R37" s="311"/>
      <c r="S37" s="311"/>
      <c r="T37" s="311"/>
      <c r="U37" s="311">
        <f t="shared" si="1"/>
        <v>0</v>
      </c>
      <c r="V37" s="311"/>
      <c r="W37" s="311"/>
      <c r="X37" s="311"/>
      <c r="Y37" s="311"/>
      <c r="Z37" s="311"/>
      <c r="AA37" s="311"/>
      <c r="AB37" s="311"/>
      <c r="AC37" s="311">
        <f t="shared" si="2"/>
        <v>0</v>
      </c>
      <c r="AD37" s="311"/>
      <c r="AE37" s="311"/>
      <c r="AF37" s="311"/>
      <c r="AG37" s="311"/>
      <c r="AH37" s="311"/>
      <c r="AI37" s="311"/>
      <c r="AJ37" s="311"/>
      <c r="AK37" s="311">
        <f t="shared" si="3"/>
        <v>0</v>
      </c>
      <c r="AL37" s="311"/>
      <c r="AM37" s="311"/>
      <c r="AN37" s="311"/>
      <c r="AO37" s="311"/>
      <c r="AP37" s="311"/>
      <c r="AQ37" s="311"/>
      <c r="AR37" s="311"/>
      <c r="AS37" s="331">
        <f t="shared" si="4"/>
        <v>0</v>
      </c>
      <c r="AT37" s="311"/>
      <c r="AU37" s="311"/>
      <c r="AV37" s="311"/>
      <c r="AW37" s="311"/>
      <c r="AX37" s="311"/>
      <c r="AY37" s="330"/>
    </row>
    <row r="38" spans="2:51" x14ac:dyDescent="0.35">
      <c r="B38" s="309"/>
      <c r="C38" s="288"/>
      <c r="D38" s="309"/>
      <c r="E38" s="309"/>
      <c r="F38" s="311"/>
      <c r="G38" s="311"/>
      <c r="H38" s="311"/>
      <c r="I38" s="311"/>
      <c r="J38" s="311"/>
      <c r="K38" s="311"/>
      <c r="L38" s="311"/>
      <c r="M38" s="311">
        <f t="shared" si="0"/>
        <v>0</v>
      </c>
      <c r="N38" s="311"/>
      <c r="O38" s="311"/>
      <c r="P38" s="311"/>
      <c r="Q38" s="311"/>
      <c r="R38" s="311"/>
      <c r="S38" s="311"/>
      <c r="T38" s="311"/>
      <c r="U38" s="311">
        <f t="shared" si="1"/>
        <v>0</v>
      </c>
      <c r="V38" s="311"/>
      <c r="W38" s="311"/>
      <c r="X38" s="311"/>
      <c r="Y38" s="311"/>
      <c r="Z38" s="311"/>
      <c r="AA38" s="311"/>
      <c r="AB38" s="311"/>
      <c r="AC38" s="311">
        <f t="shared" si="2"/>
        <v>0</v>
      </c>
      <c r="AD38" s="311"/>
      <c r="AE38" s="311"/>
      <c r="AF38" s="311"/>
      <c r="AG38" s="311"/>
      <c r="AH38" s="311"/>
      <c r="AI38" s="311"/>
      <c r="AJ38" s="311"/>
      <c r="AK38" s="311">
        <f t="shared" si="3"/>
        <v>0</v>
      </c>
      <c r="AL38" s="311"/>
      <c r="AM38" s="311"/>
      <c r="AN38" s="311"/>
      <c r="AO38" s="311"/>
      <c r="AP38" s="311"/>
      <c r="AQ38" s="311"/>
      <c r="AR38" s="311"/>
      <c r="AS38" s="331">
        <f t="shared" si="4"/>
        <v>0</v>
      </c>
      <c r="AT38" s="311"/>
      <c r="AU38" s="311"/>
      <c r="AV38" s="311"/>
      <c r="AW38" s="311"/>
      <c r="AX38" s="311"/>
      <c r="AY38" s="330"/>
    </row>
    <row r="39" spans="2:51" x14ac:dyDescent="0.35">
      <c r="B39" s="309"/>
      <c r="C39" s="288"/>
      <c r="D39" s="309"/>
      <c r="E39" s="309"/>
      <c r="F39" s="311"/>
      <c r="G39" s="311"/>
      <c r="H39" s="311"/>
      <c r="I39" s="311"/>
      <c r="J39" s="311"/>
      <c r="K39" s="311"/>
      <c r="L39" s="311"/>
      <c r="M39" s="311">
        <f t="shared" si="0"/>
        <v>0</v>
      </c>
      <c r="N39" s="311"/>
      <c r="O39" s="311"/>
      <c r="P39" s="311"/>
      <c r="Q39" s="311"/>
      <c r="R39" s="311"/>
      <c r="S39" s="311"/>
      <c r="T39" s="311"/>
      <c r="U39" s="311">
        <f t="shared" si="1"/>
        <v>0</v>
      </c>
      <c r="V39" s="311"/>
      <c r="W39" s="311"/>
      <c r="X39" s="311"/>
      <c r="Y39" s="311"/>
      <c r="Z39" s="311"/>
      <c r="AA39" s="311"/>
      <c r="AB39" s="311"/>
      <c r="AC39" s="311">
        <f t="shared" si="2"/>
        <v>0</v>
      </c>
      <c r="AD39" s="311"/>
      <c r="AE39" s="311"/>
      <c r="AF39" s="311"/>
      <c r="AG39" s="311"/>
      <c r="AH39" s="311"/>
      <c r="AI39" s="311"/>
      <c r="AJ39" s="311"/>
      <c r="AK39" s="311">
        <f t="shared" si="3"/>
        <v>0</v>
      </c>
      <c r="AL39" s="311"/>
      <c r="AM39" s="311"/>
      <c r="AN39" s="311"/>
      <c r="AO39" s="311"/>
      <c r="AP39" s="311"/>
      <c r="AQ39" s="311"/>
      <c r="AR39" s="311"/>
      <c r="AS39" s="331">
        <f t="shared" si="4"/>
        <v>0</v>
      </c>
      <c r="AT39" s="311"/>
      <c r="AU39" s="311"/>
      <c r="AV39" s="311"/>
      <c r="AW39" s="311"/>
      <c r="AX39" s="311"/>
      <c r="AY39" s="330"/>
    </row>
    <row r="40" spans="2:51" x14ac:dyDescent="0.35">
      <c r="B40" s="309"/>
      <c r="C40" s="288"/>
      <c r="D40" s="309"/>
      <c r="E40" s="309"/>
      <c r="F40" s="311"/>
      <c r="G40" s="311"/>
      <c r="H40" s="311"/>
      <c r="I40" s="311"/>
      <c r="J40" s="311"/>
      <c r="K40" s="311"/>
      <c r="L40" s="311"/>
      <c r="M40" s="311">
        <f t="shared" si="0"/>
        <v>0</v>
      </c>
      <c r="N40" s="311"/>
      <c r="O40" s="311"/>
      <c r="P40" s="311"/>
      <c r="Q40" s="311"/>
      <c r="R40" s="311"/>
      <c r="S40" s="311"/>
      <c r="T40" s="311"/>
      <c r="U40" s="311">
        <f t="shared" si="1"/>
        <v>0</v>
      </c>
      <c r="V40" s="311"/>
      <c r="W40" s="311"/>
      <c r="X40" s="311"/>
      <c r="Y40" s="311"/>
      <c r="Z40" s="311"/>
      <c r="AA40" s="311"/>
      <c r="AB40" s="311"/>
      <c r="AC40" s="311">
        <f t="shared" si="2"/>
        <v>0</v>
      </c>
      <c r="AD40" s="311"/>
      <c r="AE40" s="311"/>
      <c r="AF40" s="311"/>
      <c r="AG40" s="311"/>
      <c r="AH40" s="311"/>
      <c r="AI40" s="311"/>
      <c r="AJ40" s="311"/>
      <c r="AK40" s="311">
        <f t="shared" si="3"/>
        <v>0</v>
      </c>
      <c r="AL40" s="311"/>
      <c r="AM40" s="311"/>
      <c r="AN40" s="311"/>
      <c r="AO40" s="311"/>
      <c r="AP40" s="311"/>
      <c r="AQ40" s="311"/>
      <c r="AR40" s="311"/>
      <c r="AS40" s="331">
        <f t="shared" si="4"/>
        <v>0</v>
      </c>
      <c r="AT40" s="311"/>
      <c r="AU40" s="311"/>
      <c r="AV40" s="311"/>
      <c r="AW40" s="311"/>
      <c r="AX40" s="311"/>
      <c r="AY40" s="330"/>
    </row>
    <row r="41" spans="2:51" x14ac:dyDescent="0.35">
      <c r="B41" s="309"/>
      <c r="C41" s="288"/>
      <c r="D41" s="309"/>
      <c r="E41" s="309"/>
      <c r="F41" s="311"/>
      <c r="G41" s="311"/>
      <c r="H41" s="311"/>
      <c r="I41" s="311"/>
      <c r="J41" s="311"/>
      <c r="K41" s="311"/>
      <c r="L41" s="311"/>
      <c r="M41" s="311">
        <f t="shared" si="0"/>
        <v>0</v>
      </c>
      <c r="N41" s="311"/>
      <c r="O41" s="311"/>
      <c r="P41" s="311"/>
      <c r="Q41" s="311"/>
      <c r="R41" s="311"/>
      <c r="S41" s="311"/>
      <c r="T41" s="311"/>
      <c r="U41" s="311">
        <f t="shared" si="1"/>
        <v>0</v>
      </c>
      <c r="V41" s="311"/>
      <c r="W41" s="311"/>
      <c r="X41" s="311"/>
      <c r="Y41" s="311"/>
      <c r="Z41" s="311"/>
      <c r="AA41" s="311"/>
      <c r="AB41" s="311"/>
      <c r="AC41" s="311">
        <f t="shared" si="2"/>
        <v>0</v>
      </c>
      <c r="AD41" s="311"/>
      <c r="AE41" s="311"/>
      <c r="AF41" s="311"/>
      <c r="AG41" s="311"/>
      <c r="AH41" s="311"/>
      <c r="AI41" s="311"/>
      <c r="AJ41" s="311"/>
      <c r="AK41" s="311">
        <f t="shared" si="3"/>
        <v>0</v>
      </c>
      <c r="AL41" s="311"/>
      <c r="AM41" s="311"/>
      <c r="AN41" s="311"/>
      <c r="AO41" s="311"/>
      <c r="AP41" s="311"/>
      <c r="AQ41" s="311"/>
      <c r="AR41" s="311"/>
      <c r="AS41" s="331">
        <f t="shared" si="4"/>
        <v>0</v>
      </c>
      <c r="AT41" s="311"/>
      <c r="AU41" s="311"/>
      <c r="AV41" s="311"/>
      <c r="AW41" s="311"/>
      <c r="AX41" s="311"/>
      <c r="AY41" s="330"/>
    </row>
    <row r="42" spans="2:51" x14ac:dyDescent="0.35">
      <c r="B42" s="309"/>
      <c r="C42" s="288"/>
      <c r="D42" s="309"/>
      <c r="E42" s="309"/>
      <c r="F42" s="311"/>
      <c r="G42" s="311"/>
      <c r="H42" s="311"/>
      <c r="I42" s="311"/>
      <c r="J42" s="311"/>
      <c r="K42" s="311"/>
      <c r="L42" s="311"/>
      <c r="M42" s="311">
        <f t="shared" si="0"/>
        <v>0</v>
      </c>
      <c r="N42" s="311"/>
      <c r="O42" s="311"/>
      <c r="P42" s="311"/>
      <c r="Q42" s="311"/>
      <c r="R42" s="311"/>
      <c r="S42" s="311"/>
      <c r="T42" s="311"/>
      <c r="U42" s="311">
        <f t="shared" si="1"/>
        <v>0</v>
      </c>
      <c r="V42" s="311"/>
      <c r="W42" s="311"/>
      <c r="X42" s="311"/>
      <c r="Y42" s="311"/>
      <c r="Z42" s="311"/>
      <c r="AA42" s="311"/>
      <c r="AB42" s="311"/>
      <c r="AC42" s="311">
        <f t="shared" si="2"/>
        <v>0</v>
      </c>
      <c r="AD42" s="311"/>
      <c r="AE42" s="311"/>
      <c r="AF42" s="311"/>
      <c r="AG42" s="311"/>
      <c r="AH42" s="311"/>
      <c r="AI42" s="311"/>
      <c r="AJ42" s="311"/>
      <c r="AK42" s="311">
        <f t="shared" si="3"/>
        <v>0</v>
      </c>
      <c r="AL42" s="311"/>
      <c r="AM42" s="311"/>
      <c r="AN42" s="311"/>
      <c r="AO42" s="311"/>
      <c r="AP42" s="311"/>
      <c r="AQ42" s="311"/>
      <c r="AR42" s="311"/>
      <c r="AS42" s="331">
        <f t="shared" si="4"/>
        <v>0</v>
      </c>
      <c r="AT42" s="311"/>
      <c r="AU42" s="311"/>
      <c r="AV42" s="311"/>
      <c r="AW42" s="311"/>
      <c r="AX42" s="311"/>
      <c r="AY42" s="330"/>
    </row>
    <row r="43" spans="2:51" x14ac:dyDescent="0.35">
      <c r="B43" s="309"/>
      <c r="C43" s="309"/>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31"/>
      <c r="AT43" s="311"/>
      <c r="AU43" s="311"/>
      <c r="AV43" s="311"/>
      <c r="AW43" s="311"/>
      <c r="AX43" s="311"/>
      <c r="AY43" s="330"/>
    </row>
    <row r="44" spans="2:51" x14ac:dyDescent="0.35">
      <c r="B44" s="314" t="s">
        <v>827</v>
      </c>
      <c r="C44" s="314"/>
      <c r="D44" s="317"/>
      <c r="E44" s="317"/>
      <c r="F44" s="317"/>
      <c r="G44" s="317"/>
      <c r="H44" s="317"/>
      <c r="I44" s="317"/>
      <c r="J44" s="317"/>
      <c r="K44" s="317"/>
      <c r="L44" s="317"/>
      <c r="M44" s="317">
        <f>SUM(M5:M42)</f>
        <v>0</v>
      </c>
      <c r="N44" s="317"/>
      <c r="O44" s="317"/>
      <c r="P44" s="317"/>
      <c r="Q44" s="317"/>
      <c r="R44" s="317"/>
      <c r="S44" s="317"/>
      <c r="T44" s="317"/>
      <c r="U44" s="317">
        <f>SUM(U5:U42)</f>
        <v>0</v>
      </c>
      <c r="V44" s="317"/>
      <c r="W44" s="317"/>
      <c r="X44" s="317"/>
      <c r="Y44" s="317"/>
      <c r="Z44" s="317"/>
      <c r="AA44" s="317"/>
      <c r="AB44" s="317"/>
      <c r="AC44" s="317">
        <f>SUM(AC5:AC42)</f>
        <v>0</v>
      </c>
      <c r="AD44" s="317"/>
      <c r="AE44" s="317"/>
      <c r="AF44" s="317"/>
      <c r="AG44" s="317"/>
      <c r="AH44" s="317"/>
      <c r="AI44" s="317"/>
      <c r="AJ44" s="317"/>
      <c r="AK44" s="317">
        <f>SUM(AK5:AK42)</f>
        <v>0</v>
      </c>
      <c r="AL44" s="317"/>
      <c r="AM44" s="317"/>
      <c r="AN44" s="317"/>
      <c r="AO44" s="317"/>
      <c r="AP44" s="317"/>
      <c r="AQ44" s="317"/>
      <c r="AR44" s="317"/>
      <c r="AS44" s="332">
        <f>SUM(AS5:AS42)</f>
        <v>0</v>
      </c>
      <c r="AT44" s="317"/>
      <c r="AU44" s="317"/>
      <c r="AV44" s="317"/>
      <c r="AW44" s="317">
        <f>SUM(AW5:AW42)</f>
        <v>0</v>
      </c>
      <c r="AX44" s="317">
        <f>SUM(AX5:AX42)</f>
        <v>0</v>
      </c>
      <c r="AY44" s="333"/>
    </row>
  </sheetData>
  <mergeCells count="16">
    <mergeCell ref="V3:AC3"/>
    <mergeCell ref="AD3:AK3"/>
    <mergeCell ref="AT3:AX3"/>
    <mergeCell ref="AY3:AY4"/>
    <mergeCell ref="B3:B4"/>
    <mergeCell ref="C3:C4"/>
    <mergeCell ref="D3:D4"/>
    <mergeCell ref="E3:E4"/>
    <mergeCell ref="F3:M3"/>
    <mergeCell ref="N3:U3"/>
    <mergeCell ref="AT2:AX2"/>
    <mergeCell ref="F2:M2"/>
    <mergeCell ref="N2:U2"/>
    <mergeCell ref="V2:AC2"/>
    <mergeCell ref="AD2:AK2"/>
    <mergeCell ref="AL2:AS2"/>
  </mergeCells>
  <dataValidations count="1">
    <dataValidation type="list" allowBlank="1" showInputMessage="1" showErrorMessage="1" sqref="D6:D42" xr:uid="{49334551-A303-4CF8-8217-8DAA7CFBB2E5}">
      <formula1>"Wire, Retail"</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AAA6E2F-6904-4B08-BED6-FA5E10D96D97}">
          <x14:formula1>
            <xm:f>'Block of Assets'!$C$4:$C$29</xm:f>
          </x14:formula1>
          <xm:sqref>C6:D42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39A55-E98E-4C70-AF60-E46AD122D78E}">
  <dimension ref="B1:AR34"/>
  <sheetViews>
    <sheetView showGridLines="0" topLeftCell="Z1" zoomScale="80" zoomScaleNormal="80" workbookViewId="0">
      <selection activeCell="C90" sqref="B90:P113"/>
    </sheetView>
  </sheetViews>
  <sheetFormatPr defaultColWidth="9.1328125" defaultRowHeight="13.5" x14ac:dyDescent="0.35"/>
  <cols>
    <col min="1" max="1" width="4.46484375" style="285" customWidth="1"/>
    <col min="2" max="2" width="48.1328125" style="285" customWidth="1"/>
    <col min="3" max="3" width="16.86328125" style="285" customWidth="1"/>
    <col min="4" max="4" width="20.1328125" style="285" customWidth="1"/>
    <col min="5" max="19" width="13.86328125" style="285" customWidth="1"/>
    <col min="20" max="20" width="12.53125" style="285" bestFit="1" customWidth="1"/>
    <col min="21" max="44" width="12.86328125" style="285" customWidth="1"/>
    <col min="45" max="16384" width="9.1328125" style="285"/>
  </cols>
  <sheetData>
    <row r="1" spans="2:44" x14ac:dyDescent="0.35">
      <c r="B1" s="285" t="s">
        <v>918</v>
      </c>
      <c r="E1" s="2217" t="s">
        <v>197</v>
      </c>
      <c r="F1" s="2218"/>
      <c r="G1" s="2218"/>
      <c r="H1" s="2218"/>
      <c r="I1" s="2218"/>
      <c r="J1" s="2218"/>
      <c r="K1" s="2218"/>
      <c r="L1" s="2218"/>
      <c r="M1" s="2217" t="s">
        <v>198</v>
      </c>
      <c r="N1" s="2218"/>
      <c r="O1" s="2218"/>
      <c r="P1" s="2218"/>
      <c r="Q1" s="2218"/>
      <c r="R1" s="2218"/>
      <c r="S1" s="2218"/>
      <c r="T1" s="2218"/>
      <c r="U1" s="2218" t="s">
        <v>199</v>
      </c>
      <c r="V1" s="2218"/>
      <c r="W1" s="2218"/>
      <c r="X1" s="2218"/>
      <c r="Y1" s="2218"/>
      <c r="Z1" s="2218"/>
      <c r="AA1" s="2218"/>
      <c r="AB1" s="2218"/>
      <c r="AC1" s="2218" t="s">
        <v>112</v>
      </c>
      <c r="AD1" s="2218"/>
      <c r="AE1" s="2218"/>
      <c r="AF1" s="2218"/>
      <c r="AG1" s="2218"/>
      <c r="AH1" s="2218"/>
      <c r="AI1" s="2218"/>
      <c r="AJ1" s="2218"/>
      <c r="AK1" s="2218" t="s">
        <v>113</v>
      </c>
      <c r="AL1" s="2218"/>
      <c r="AM1" s="2218"/>
      <c r="AN1" s="2218"/>
      <c r="AO1" s="2218"/>
      <c r="AP1" s="2218"/>
      <c r="AQ1" s="2218"/>
      <c r="AR1" s="2218"/>
    </row>
    <row r="2" spans="2:44" x14ac:dyDescent="0.35">
      <c r="C2" s="2193" t="s">
        <v>940</v>
      </c>
      <c r="D2" s="2193" t="s">
        <v>929</v>
      </c>
      <c r="E2" s="2219" t="s">
        <v>922</v>
      </c>
      <c r="F2" s="2220"/>
      <c r="G2" s="2220"/>
      <c r="H2" s="2220"/>
      <c r="I2" s="2220"/>
      <c r="J2" s="2220"/>
      <c r="K2" s="2220"/>
      <c r="L2" s="2221"/>
      <c r="M2" s="2219" t="s">
        <v>922</v>
      </c>
      <c r="N2" s="2220"/>
      <c r="O2" s="2220"/>
      <c r="P2" s="2220"/>
      <c r="Q2" s="2220"/>
      <c r="R2" s="2220"/>
      <c r="S2" s="2220"/>
      <c r="T2" s="2221"/>
      <c r="U2" s="2219" t="s">
        <v>930</v>
      </c>
      <c r="V2" s="2220"/>
      <c r="W2" s="2220"/>
      <c r="X2" s="2220"/>
      <c r="Y2" s="2220"/>
      <c r="Z2" s="2220"/>
      <c r="AA2" s="2220"/>
      <c r="AB2" s="2221"/>
      <c r="AC2" s="2219" t="s">
        <v>930</v>
      </c>
      <c r="AD2" s="2220"/>
      <c r="AE2" s="2220"/>
      <c r="AF2" s="2220"/>
      <c r="AG2" s="2220"/>
      <c r="AH2" s="2220"/>
      <c r="AI2" s="2220"/>
      <c r="AJ2" s="2221"/>
      <c r="AK2" s="2219" t="s">
        <v>930</v>
      </c>
      <c r="AL2" s="2220"/>
      <c r="AM2" s="2220"/>
      <c r="AN2" s="2220"/>
      <c r="AO2" s="2220"/>
      <c r="AP2" s="2220"/>
      <c r="AQ2" s="2220"/>
      <c r="AR2" s="2221"/>
    </row>
    <row r="3" spans="2:44" x14ac:dyDescent="0.35">
      <c r="B3" s="328" t="s">
        <v>941</v>
      </c>
      <c r="C3" s="2193"/>
      <c r="D3" s="2193"/>
      <c r="E3" s="287" t="s">
        <v>908</v>
      </c>
      <c r="F3" s="287" t="s">
        <v>909</v>
      </c>
      <c r="G3" s="287" t="s">
        <v>910</v>
      </c>
      <c r="H3" s="287" t="s">
        <v>911</v>
      </c>
      <c r="I3" s="287" t="s">
        <v>912</v>
      </c>
      <c r="J3" s="287" t="s">
        <v>923</v>
      </c>
      <c r="K3" s="287" t="s">
        <v>939</v>
      </c>
      <c r="L3" s="287" t="s">
        <v>164</v>
      </c>
      <c r="M3" s="287" t="s">
        <v>908</v>
      </c>
      <c r="N3" s="287" t="s">
        <v>909</v>
      </c>
      <c r="O3" s="287" t="s">
        <v>910</v>
      </c>
      <c r="P3" s="287" t="s">
        <v>911</v>
      </c>
      <c r="Q3" s="287" t="s">
        <v>912</v>
      </c>
      <c r="R3" s="287" t="s">
        <v>923</v>
      </c>
      <c r="S3" s="287" t="s">
        <v>939</v>
      </c>
      <c r="T3" s="287" t="s">
        <v>164</v>
      </c>
      <c r="U3" s="287" t="s">
        <v>908</v>
      </c>
      <c r="V3" s="287" t="s">
        <v>909</v>
      </c>
      <c r="W3" s="287" t="s">
        <v>910</v>
      </c>
      <c r="X3" s="287" t="s">
        <v>911</v>
      </c>
      <c r="Y3" s="287" t="s">
        <v>912</v>
      </c>
      <c r="Z3" s="287" t="s">
        <v>923</v>
      </c>
      <c r="AA3" s="287" t="s">
        <v>939</v>
      </c>
      <c r="AB3" s="287" t="s">
        <v>164</v>
      </c>
      <c r="AC3" s="287" t="s">
        <v>908</v>
      </c>
      <c r="AD3" s="287" t="s">
        <v>909</v>
      </c>
      <c r="AE3" s="287" t="s">
        <v>910</v>
      </c>
      <c r="AF3" s="287" t="s">
        <v>911</v>
      </c>
      <c r="AG3" s="287" t="s">
        <v>912</v>
      </c>
      <c r="AH3" s="287" t="s">
        <v>923</v>
      </c>
      <c r="AI3" s="287" t="s">
        <v>939</v>
      </c>
      <c r="AJ3" s="287" t="s">
        <v>164</v>
      </c>
      <c r="AK3" s="287" t="s">
        <v>908</v>
      </c>
      <c r="AL3" s="287" t="s">
        <v>909</v>
      </c>
      <c r="AM3" s="287" t="s">
        <v>910</v>
      </c>
      <c r="AN3" s="287" t="s">
        <v>911</v>
      </c>
      <c r="AO3" s="287" t="s">
        <v>912</v>
      </c>
      <c r="AP3" s="287" t="s">
        <v>923</v>
      </c>
      <c r="AQ3" s="287" t="s">
        <v>939</v>
      </c>
      <c r="AR3" s="287" t="s">
        <v>164</v>
      </c>
    </row>
    <row r="4" spans="2:44" x14ac:dyDescent="0.35">
      <c r="B4" s="334" t="s">
        <v>942</v>
      </c>
      <c r="C4" s="321"/>
      <c r="D4" s="322"/>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row>
    <row r="5" spans="2:44" x14ac:dyDescent="0.35">
      <c r="B5" s="309" t="s">
        <v>943</v>
      </c>
      <c r="C5" s="335"/>
      <c r="D5" s="310"/>
      <c r="E5" s="335"/>
      <c r="F5" s="335"/>
      <c r="G5" s="335"/>
      <c r="H5" s="335"/>
      <c r="I5" s="335"/>
      <c r="J5" s="335"/>
      <c r="K5" s="335"/>
      <c r="L5" s="311">
        <f>SUM(E5:K5)</f>
        <v>0</v>
      </c>
      <c r="M5" s="335"/>
      <c r="N5" s="335"/>
      <c r="O5" s="335"/>
      <c r="P5" s="335"/>
      <c r="Q5" s="335"/>
      <c r="R5" s="335"/>
      <c r="S5" s="335"/>
      <c r="T5" s="311">
        <f>SUM(M5:S5)</f>
        <v>0</v>
      </c>
      <c r="U5" s="335"/>
      <c r="V5" s="335"/>
      <c r="W5" s="335"/>
      <c r="X5" s="335"/>
      <c r="Y5" s="335"/>
      <c r="Z5" s="335"/>
      <c r="AA5" s="335"/>
      <c r="AB5" s="311">
        <f>SUM(U5:AA5)</f>
        <v>0</v>
      </c>
      <c r="AC5" s="335"/>
      <c r="AD5" s="335"/>
      <c r="AE5" s="335"/>
      <c r="AF5" s="335"/>
      <c r="AG5" s="335"/>
      <c r="AH5" s="335"/>
      <c r="AI5" s="335"/>
      <c r="AJ5" s="311">
        <f>SUM(AC5:AI5)</f>
        <v>0</v>
      </c>
      <c r="AK5" s="335"/>
      <c r="AL5" s="335"/>
      <c r="AM5" s="335"/>
      <c r="AN5" s="335"/>
      <c r="AO5" s="335"/>
      <c r="AP5" s="335"/>
      <c r="AQ5" s="335"/>
      <c r="AR5" s="311">
        <f>SUM(AK5:AQ5)</f>
        <v>0</v>
      </c>
    </row>
    <row r="6" spans="2:44" x14ac:dyDescent="0.35">
      <c r="B6" s="336" t="s">
        <v>28</v>
      </c>
      <c r="C6" s="337" t="s">
        <v>944</v>
      </c>
      <c r="D6" s="310"/>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row>
    <row r="7" spans="2:44" x14ac:dyDescent="0.35">
      <c r="B7" s="336" t="s">
        <v>945</v>
      </c>
      <c r="C7" s="337" t="s">
        <v>944</v>
      </c>
      <c r="D7" s="310"/>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row>
    <row r="8" spans="2:44" x14ac:dyDescent="0.35">
      <c r="B8" s="336" t="s">
        <v>349</v>
      </c>
      <c r="C8" s="337" t="s">
        <v>944</v>
      </c>
      <c r="D8" s="310"/>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row>
    <row r="9" spans="2:44" x14ac:dyDescent="0.35">
      <c r="B9" s="309"/>
      <c r="C9" s="309"/>
      <c r="D9" s="309"/>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row>
    <row r="10" spans="2:44" x14ac:dyDescent="0.35">
      <c r="B10" s="338" t="s">
        <v>946</v>
      </c>
      <c r="C10" s="338"/>
      <c r="D10" s="338"/>
      <c r="E10" s="339">
        <f>SUM(E5:E8)</f>
        <v>0</v>
      </c>
      <c r="F10" s="339">
        <f t="shared" ref="F10:AR10" si="0">SUM(F5:F8)</f>
        <v>0</v>
      </c>
      <c r="G10" s="339">
        <f t="shared" si="0"/>
        <v>0</v>
      </c>
      <c r="H10" s="339">
        <f t="shared" si="0"/>
        <v>0</v>
      </c>
      <c r="I10" s="339">
        <f t="shared" si="0"/>
        <v>0</v>
      </c>
      <c r="J10" s="339">
        <f t="shared" si="0"/>
        <v>0</v>
      </c>
      <c r="K10" s="339">
        <f t="shared" si="0"/>
        <v>0</v>
      </c>
      <c r="L10" s="339">
        <f t="shared" si="0"/>
        <v>0</v>
      </c>
      <c r="M10" s="339">
        <f t="shared" si="0"/>
        <v>0</v>
      </c>
      <c r="N10" s="339">
        <f t="shared" si="0"/>
        <v>0</v>
      </c>
      <c r="O10" s="339">
        <f t="shared" si="0"/>
        <v>0</v>
      </c>
      <c r="P10" s="339">
        <f t="shared" si="0"/>
        <v>0</v>
      </c>
      <c r="Q10" s="339">
        <f t="shared" si="0"/>
        <v>0</v>
      </c>
      <c r="R10" s="339">
        <f t="shared" si="0"/>
        <v>0</v>
      </c>
      <c r="S10" s="339">
        <f t="shared" si="0"/>
        <v>0</v>
      </c>
      <c r="T10" s="339">
        <f t="shared" si="0"/>
        <v>0</v>
      </c>
      <c r="U10" s="339">
        <f t="shared" si="0"/>
        <v>0</v>
      </c>
      <c r="V10" s="339">
        <f t="shared" si="0"/>
        <v>0</v>
      </c>
      <c r="W10" s="339">
        <f t="shared" si="0"/>
        <v>0</v>
      </c>
      <c r="X10" s="339">
        <f t="shared" si="0"/>
        <v>0</v>
      </c>
      <c r="Y10" s="339">
        <f t="shared" si="0"/>
        <v>0</v>
      </c>
      <c r="Z10" s="339">
        <f t="shared" si="0"/>
        <v>0</v>
      </c>
      <c r="AA10" s="339">
        <f t="shared" si="0"/>
        <v>0</v>
      </c>
      <c r="AB10" s="339">
        <f t="shared" si="0"/>
        <v>0</v>
      </c>
      <c r="AC10" s="339">
        <f t="shared" si="0"/>
        <v>0</v>
      </c>
      <c r="AD10" s="339">
        <f t="shared" si="0"/>
        <v>0</v>
      </c>
      <c r="AE10" s="339">
        <f t="shared" si="0"/>
        <v>0</v>
      </c>
      <c r="AF10" s="339">
        <f t="shared" si="0"/>
        <v>0</v>
      </c>
      <c r="AG10" s="339">
        <f t="shared" si="0"/>
        <v>0</v>
      </c>
      <c r="AH10" s="339">
        <f t="shared" si="0"/>
        <v>0</v>
      </c>
      <c r="AI10" s="339">
        <f t="shared" si="0"/>
        <v>0</v>
      </c>
      <c r="AJ10" s="339">
        <f t="shared" si="0"/>
        <v>0</v>
      </c>
      <c r="AK10" s="339">
        <f t="shared" si="0"/>
        <v>0</v>
      </c>
      <c r="AL10" s="339">
        <f t="shared" si="0"/>
        <v>0</v>
      </c>
      <c r="AM10" s="339">
        <f t="shared" si="0"/>
        <v>0</v>
      </c>
      <c r="AN10" s="339">
        <f t="shared" si="0"/>
        <v>0</v>
      </c>
      <c r="AO10" s="339">
        <f t="shared" si="0"/>
        <v>0</v>
      </c>
      <c r="AP10" s="339">
        <f t="shared" si="0"/>
        <v>0</v>
      </c>
      <c r="AQ10" s="339">
        <f t="shared" si="0"/>
        <v>0</v>
      </c>
      <c r="AR10" s="339">
        <f t="shared" si="0"/>
        <v>0</v>
      </c>
    </row>
    <row r="11" spans="2:44" x14ac:dyDescent="0.35">
      <c r="C11" s="309"/>
      <c r="D11" s="309"/>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row>
    <row r="12" spans="2:44" x14ac:dyDescent="0.35">
      <c r="B12" s="334" t="s">
        <v>947</v>
      </c>
      <c r="C12" s="321"/>
      <c r="D12" s="322"/>
      <c r="E12" s="287"/>
      <c r="F12" s="287"/>
      <c r="G12" s="287"/>
      <c r="H12" s="287"/>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row>
    <row r="13" spans="2:44" x14ac:dyDescent="0.35">
      <c r="B13" s="309" t="s">
        <v>943</v>
      </c>
      <c r="C13" s="335"/>
      <c r="D13" s="310"/>
      <c r="E13" s="335"/>
      <c r="F13" s="335"/>
      <c r="G13" s="335"/>
      <c r="H13" s="335"/>
      <c r="I13" s="335"/>
      <c r="J13" s="335"/>
      <c r="K13" s="335"/>
      <c r="L13" s="311">
        <f>SUM(E13:K13)</f>
        <v>0</v>
      </c>
      <c r="M13" s="335"/>
      <c r="N13" s="335"/>
      <c r="O13" s="335"/>
      <c r="P13" s="335"/>
      <c r="Q13" s="335"/>
      <c r="R13" s="335"/>
      <c r="S13" s="335"/>
      <c r="T13" s="311">
        <f>SUM(M13:S13)</f>
        <v>0</v>
      </c>
      <c r="U13" s="335"/>
      <c r="V13" s="335"/>
      <c r="W13" s="335"/>
      <c r="X13" s="335"/>
      <c r="Y13" s="335"/>
      <c r="Z13" s="335"/>
      <c r="AA13" s="335"/>
      <c r="AB13" s="311"/>
      <c r="AC13" s="335"/>
      <c r="AD13" s="335"/>
      <c r="AE13" s="335"/>
      <c r="AF13" s="335"/>
      <c r="AG13" s="335"/>
      <c r="AH13" s="335"/>
      <c r="AI13" s="335"/>
      <c r="AJ13" s="311"/>
      <c r="AK13" s="335"/>
      <c r="AL13" s="335"/>
      <c r="AM13" s="335"/>
      <c r="AN13" s="335"/>
      <c r="AO13" s="335"/>
      <c r="AP13" s="335"/>
      <c r="AQ13" s="335"/>
      <c r="AR13" s="311"/>
    </row>
    <row r="14" spans="2:44" x14ac:dyDescent="0.35">
      <c r="B14" s="336" t="s">
        <v>28</v>
      </c>
      <c r="C14" s="337" t="s">
        <v>948</v>
      </c>
      <c r="D14" s="310"/>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row>
    <row r="15" spans="2:44" x14ac:dyDescent="0.35">
      <c r="B15" s="336" t="s">
        <v>945</v>
      </c>
      <c r="C15" s="337" t="s">
        <v>948</v>
      </c>
      <c r="D15" s="310"/>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row>
    <row r="16" spans="2:44" x14ac:dyDescent="0.35">
      <c r="B16" s="336" t="s">
        <v>349</v>
      </c>
      <c r="C16" s="337" t="s">
        <v>948</v>
      </c>
      <c r="D16" s="310"/>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row>
    <row r="17" spans="2:44" x14ac:dyDescent="0.35">
      <c r="B17" s="309"/>
      <c r="C17" s="309"/>
      <c r="D17" s="309"/>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f>SUM(U17:AA17)</f>
        <v>0</v>
      </c>
      <c r="AC17" s="311"/>
      <c r="AD17" s="311"/>
      <c r="AE17" s="311"/>
      <c r="AF17" s="311"/>
      <c r="AG17" s="311"/>
      <c r="AH17" s="311"/>
      <c r="AI17" s="311"/>
      <c r="AJ17" s="311">
        <f>SUM(AC17:AI17)</f>
        <v>0</v>
      </c>
      <c r="AK17" s="311"/>
      <c r="AL17" s="311"/>
      <c r="AM17" s="311"/>
      <c r="AN17" s="311"/>
      <c r="AO17" s="311"/>
      <c r="AP17" s="311"/>
      <c r="AQ17" s="311"/>
      <c r="AR17" s="311">
        <f>SUM(AK17:AQ17)</f>
        <v>0</v>
      </c>
    </row>
    <row r="18" spans="2:44" x14ac:dyDescent="0.35">
      <c r="B18" s="338" t="s">
        <v>949</v>
      </c>
      <c r="C18" s="338"/>
      <c r="D18" s="338"/>
      <c r="E18" s="339">
        <f>SUM(E13:E16)</f>
        <v>0</v>
      </c>
      <c r="F18" s="339">
        <f t="shared" ref="F18:AR18" si="1">SUM(F13:F16)</f>
        <v>0</v>
      </c>
      <c r="G18" s="339">
        <f t="shared" si="1"/>
        <v>0</v>
      </c>
      <c r="H18" s="339">
        <f t="shared" si="1"/>
        <v>0</v>
      </c>
      <c r="I18" s="339">
        <f t="shared" si="1"/>
        <v>0</v>
      </c>
      <c r="J18" s="339">
        <f t="shared" si="1"/>
        <v>0</v>
      </c>
      <c r="K18" s="339">
        <f t="shared" si="1"/>
        <v>0</v>
      </c>
      <c r="L18" s="339">
        <f t="shared" si="1"/>
        <v>0</v>
      </c>
      <c r="M18" s="339">
        <f t="shared" si="1"/>
        <v>0</v>
      </c>
      <c r="N18" s="339">
        <f t="shared" si="1"/>
        <v>0</v>
      </c>
      <c r="O18" s="339">
        <f t="shared" si="1"/>
        <v>0</v>
      </c>
      <c r="P18" s="339">
        <f t="shared" si="1"/>
        <v>0</v>
      </c>
      <c r="Q18" s="339">
        <f t="shared" si="1"/>
        <v>0</v>
      </c>
      <c r="R18" s="339">
        <f t="shared" si="1"/>
        <v>0</v>
      </c>
      <c r="S18" s="339">
        <f t="shared" si="1"/>
        <v>0</v>
      </c>
      <c r="T18" s="339">
        <f t="shared" si="1"/>
        <v>0</v>
      </c>
      <c r="U18" s="339">
        <f t="shared" si="1"/>
        <v>0</v>
      </c>
      <c r="V18" s="339">
        <f t="shared" si="1"/>
        <v>0</v>
      </c>
      <c r="W18" s="339">
        <f t="shared" si="1"/>
        <v>0</v>
      </c>
      <c r="X18" s="339">
        <f t="shared" si="1"/>
        <v>0</v>
      </c>
      <c r="Y18" s="339">
        <f t="shared" si="1"/>
        <v>0</v>
      </c>
      <c r="Z18" s="339">
        <f t="shared" si="1"/>
        <v>0</v>
      </c>
      <c r="AA18" s="339">
        <f t="shared" si="1"/>
        <v>0</v>
      </c>
      <c r="AB18" s="339">
        <f t="shared" si="1"/>
        <v>0</v>
      </c>
      <c r="AC18" s="339">
        <f t="shared" si="1"/>
        <v>0</v>
      </c>
      <c r="AD18" s="339">
        <f t="shared" si="1"/>
        <v>0</v>
      </c>
      <c r="AE18" s="339">
        <f t="shared" si="1"/>
        <v>0</v>
      </c>
      <c r="AF18" s="339">
        <f t="shared" si="1"/>
        <v>0</v>
      </c>
      <c r="AG18" s="339">
        <f t="shared" si="1"/>
        <v>0</v>
      </c>
      <c r="AH18" s="339">
        <f t="shared" si="1"/>
        <v>0</v>
      </c>
      <c r="AI18" s="339">
        <f t="shared" si="1"/>
        <v>0</v>
      </c>
      <c r="AJ18" s="339">
        <f t="shared" si="1"/>
        <v>0</v>
      </c>
      <c r="AK18" s="339">
        <f t="shared" si="1"/>
        <v>0</v>
      </c>
      <c r="AL18" s="339">
        <f t="shared" si="1"/>
        <v>0</v>
      </c>
      <c r="AM18" s="339">
        <f t="shared" si="1"/>
        <v>0</v>
      </c>
      <c r="AN18" s="339">
        <f t="shared" si="1"/>
        <v>0</v>
      </c>
      <c r="AO18" s="339">
        <f t="shared" si="1"/>
        <v>0</v>
      </c>
      <c r="AP18" s="339">
        <f t="shared" si="1"/>
        <v>0</v>
      </c>
      <c r="AQ18" s="339">
        <f t="shared" si="1"/>
        <v>0</v>
      </c>
      <c r="AR18" s="339">
        <f t="shared" si="1"/>
        <v>0</v>
      </c>
    </row>
    <row r="20" spans="2:44" x14ac:dyDescent="0.35">
      <c r="B20" s="334" t="s">
        <v>950</v>
      </c>
      <c r="C20" s="321"/>
      <c r="D20" s="322"/>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row>
    <row r="21" spans="2:44" x14ac:dyDescent="0.35">
      <c r="B21" s="309" t="s">
        <v>943</v>
      </c>
      <c r="C21" s="335"/>
      <c r="D21" s="310"/>
      <c r="E21" s="335"/>
      <c r="F21" s="335"/>
      <c r="G21" s="335"/>
      <c r="H21" s="335"/>
      <c r="I21" s="335"/>
      <c r="J21" s="335"/>
      <c r="K21" s="335"/>
      <c r="L21" s="311">
        <f>SUM(E21:K21)</f>
        <v>0</v>
      </c>
      <c r="M21" s="335"/>
      <c r="N21" s="335"/>
      <c r="O21" s="335"/>
      <c r="P21" s="335"/>
      <c r="Q21" s="335"/>
      <c r="R21" s="335"/>
      <c r="S21" s="335"/>
      <c r="T21" s="311">
        <f>SUM(M21:S21)</f>
        <v>0</v>
      </c>
      <c r="U21" s="335"/>
      <c r="V21" s="335"/>
      <c r="W21" s="335"/>
      <c r="X21" s="335"/>
      <c r="Y21" s="335"/>
      <c r="Z21" s="335"/>
      <c r="AA21" s="335"/>
      <c r="AB21" s="311">
        <f>SUM(U21:AA21)</f>
        <v>0</v>
      </c>
      <c r="AC21" s="335"/>
      <c r="AD21" s="335"/>
      <c r="AE21" s="335"/>
      <c r="AF21" s="335"/>
      <c r="AG21" s="335"/>
      <c r="AH21" s="335"/>
      <c r="AI21" s="335"/>
      <c r="AJ21" s="311">
        <f>SUM(AC21:AI21)</f>
        <v>0</v>
      </c>
      <c r="AK21" s="335"/>
      <c r="AL21" s="335"/>
      <c r="AM21" s="335"/>
      <c r="AN21" s="335"/>
      <c r="AO21" s="335"/>
      <c r="AP21" s="335"/>
      <c r="AQ21" s="335"/>
      <c r="AR21" s="311">
        <f>SUM(AK21:AQ21)</f>
        <v>0</v>
      </c>
    </row>
    <row r="22" spans="2:44" x14ac:dyDescent="0.35">
      <c r="B22" s="336" t="s">
        <v>28</v>
      </c>
      <c r="C22" s="337" t="s">
        <v>951</v>
      </c>
      <c r="D22" s="310"/>
      <c r="E22" s="311">
        <f>SUMIF('Employee Cost'!$C$5:$C$40,'O&amp;M'!$C22,'Employee Cost'!E$5:E$40)</f>
        <v>0</v>
      </c>
      <c r="F22" s="311">
        <f>SUMIF('Employee Cost'!$C$5:$C$40,'O&amp;M'!$C22,'Employee Cost'!F$5:F$40)</f>
        <v>0</v>
      </c>
      <c r="G22" s="311">
        <f>SUMIF('Employee Cost'!$C$5:$C$40,'O&amp;M'!$C22,'Employee Cost'!G$5:G$40)</f>
        <v>0</v>
      </c>
      <c r="H22" s="311">
        <f>SUMIF('Employee Cost'!$C$5:$C$40,'O&amp;M'!$C22,'Employee Cost'!H$5:H$40)</f>
        <v>0</v>
      </c>
      <c r="I22" s="311">
        <f>SUMIF('Employee Cost'!$C$5:$C$40,'O&amp;M'!$C22,'Employee Cost'!I$5:I$40)</f>
        <v>0</v>
      </c>
      <c r="J22" s="311">
        <f>SUMIF('Employee Cost'!$C$5:$C$40,'O&amp;M'!$C22,'Employee Cost'!J$5:J$40)</f>
        <v>0</v>
      </c>
      <c r="K22" s="311">
        <f>SUMIF('Employee Cost'!$C$5:$C$40,'O&amp;M'!$C22,'Employee Cost'!K$5:K$40)</f>
        <v>0</v>
      </c>
      <c r="L22" s="311">
        <f>SUM(E22:K22)</f>
        <v>0</v>
      </c>
      <c r="M22" s="311">
        <f>SUMIF('Employee Cost'!$C$5:$C$40,'O&amp;M'!$C22,'Employee Cost'!M$5:M$40)</f>
        <v>0</v>
      </c>
      <c r="N22" s="311">
        <f>SUMIF('Employee Cost'!$C$5:$C$40,'O&amp;M'!$C22,'Employee Cost'!N$5:N$40)</f>
        <v>0</v>
      </c>
      <c r="O22" s="311">
        <f>SUMIF('Employee Cost'!$C$5:$C$40,'O&amp;M'!$C22,'Employee Cost'!O$5:O$40)</f>
        <v>0</v>
      </c>
      <c r="P22" s="311">
        <f>SUMIF('Employee Cost'!$C$5:$C$40,'O&amp;M'!$C22,'Employee Cost'!P$5:P$40)</f>
        <v>0</v>
      </c>
      <c r="Q22" s="311">
        <f>SUMIF('Employee Cost'!$C$5:$C$40,'O&amp;M'!$C22,'Employee Cost'!Q$5:Q$40)</f>
        <v>0</v>
      </c>
      <c r="R22" s="311">
        <f>SUMIF('Employee Cost'!$C$5:$C$40,'O&amp;M'!$C22,'Employee Cost'!R$5:R$40)</f>
        <v>0</v>
      </c>
      <c r="S22" s="311">
        <f>SUMIF('Employee Cost'!$C$5:$C$40,'O&amp;M'!$C22,'Employee Cost'!S$5:S$40)</f>
        <v>0</v>
      </c>
      <c r="T22" s="311">
        <f>SUM(M22:S22)</f>
        <v>0</v>
      </c>
      <c r="U22" s="311">
        <f>SUMIF('Employee Cost'!$C$5:$C$40,'O&amp;M'!$C22,'Employee Cost'!U$5:U$40)</f>
        <v>0</v>
      </c>
      <c r="V22" s="311">
        <f>SUMIF('Employee Cost'!$C$5:$C$40,'O&amp;M'!$C22,'Employee Cost'!V$5:V$40)</f>
        <v>0</v>
      </c>
      <c r="W22" s="311">
        <f>SUMIF('Employee Cost'!$C$5:$C$40,'O&amp;M'!$C22,'Employee Cost'!W$5:W$40)</f>
        <v>0</v>
      </c>
      <c r="X22" s="311">
        <f>SUMIF('Employee Cost'!$C$5:$C$40,'O&amp;M'!$C22,'Employee Cost'!X$5:X$40)</f>
        <v>0</v>
      </c>
      <c r="Y22" s="311">
        <f>SUMIF('Employee Cost'!$C$5:$C$40,'O&amp;M'!$C22,'Employee Cost'!Y$5:Y$40)</f>
        <v>0</v>
      </c>
      <c r="Z22" s="311">
        <f>SUMIF('Employee Cost'!$C$5:$C$40,'O&amp;M'!$C22,'Employee Cost'!Z$5:Z$40)</f>
        <v>0</v>
      </c>
      <c r="AA22" s="311">
        <f>SUMIF('Employee Cost'!$C$5:$C$40,'O&amp;M'!$C22,'Employee Cost'!AA$5:AA$40)</f>
        <v>0</v>
      </c>
      <c r="AB22" s="311">
        <f>SUM(U22:AA22)</f>
        <v>0</v>
      </c>
      <c r="AC22" s="311">
        <f>SUMIF('Employee Cost'!$C$5:$C$40,'O&amp;M'!$C22,'Employee Cost'!AC$5:AC$40)</f>
        <v>0</v>
      </c>
      <c r="AD22" s="311">
        <f>SUMIF('Employee Cost'!$C$5:$C$40,'O&amp;M'!$C22,'Employee Cost'!AD$5:AD$40)</f>
        <v>0</v>
      </c>
      <c r="AE22" s="311">
        <f>SUMIF('Employee Cost'!$C$5:$C$40,'O&amp;M'!$C22,'Employee Cost'!AE$5:AE$40)</f>
        <v>0</v>
      </c>
      <c r="AF22" s="311">
        <f>SUMIF('Employee Cost'!$C$5:$C$40,'O&amp;M'!$C22,'Employee Cost'!AF$5:AF$40)</f>
        <v>0</v>
      </c>
      <c r="AG22" s="311">
        <f>SUMIF('Employee Cost'!$C$5:$C$40,'O&amp;M'!$C22,'Employee Cost'!AG$5:AG$40)</f>
        <v>0</v>
      </c>
      <c r="AH22" s="311">
        <f>SUMIF('Employee Cost'!$C$5:$C$40,'O&amp;M'!$C22,'Employee Cost'!AH$5:AH$40)</f>
        <v>0</v>
      </c>
      <c r="AI22" s="311">
        <f>SUMIF('Employee Cost'!$C$5:$C$40,'O&amp;M'!$C22,'Employee Cost'!AI$5:AI$40)</f>
        <v>0</v>
      </c>
      <c r="AJ22" s="311">
        <f>SUM(AC22:AI22)</f>
        <v>0</v>
      </c>
      <c r="AK22" s="311">
        <f>SUMIF('Employee Cost'!$C$5:$C$40,'O&amp;M'!$C22,'Employee Cost'!AK$5:AK$40)</f>
        <v>0</v>
      </c>
      <c r="AL22" s="311">
        <f>SUMIF('Employee Cost'!$C$5:$C$40,'O&amp;M'!$C22,'Employee Cost'!AL$5:AL$40)</f>
        <v>0</v>
      </c>
      <c r="AM22" s="311">
        <f>SUMIF('Employee Cost'!$C$5:$C$40,'O&amp;M'!$C22,'Employee Cost'!AM$5:AM$40)</f>
        <v>0</v>
      </c>
      <c r="AN22" s="311">
        <f>SUMIF('Employee Cost'!$C$5:$C$40,'O&amp;M'!$C22,'Employee Cost'!AN$5:AN$40)</f>
        <v>0</v>
      </c>
      <c r="AO22" s="311">
        <f>SUMIF('Employee Cost'!$C$5:$C$40,'O&amp;M'!$C22,'Employee Cost'!AO$5:AO$40)</f>
        <v>0</v>
      </c>
      <c r="AP22" s="311">
        <f>SUMIF('Employee Cost'!$C$5:$C$40,'O&amp;M'!$C22,'Employee Cost'!AP$5:AP$40)</f>
        <v>0</v>
      </c>
      <c r="AQ22" s="311">
        <f>SUMIF('Employee Cost'!$C$5:$C$40,'O&amp;M'!$C22,'Employee Cost'!AQ$5:AQ$40)</f>
        <v>0</v>
      </c>
      <c r="AR22" s="311">
        <f>SUM(AK22:AQ22)</f>
        <v>0</v>
      </c>
    </row>
    <row r="23" spans="2:44" x14ac:dyDescent="0.35">
      <c r="B23" s="336" t="s">
        <v>945</v>
      </c>
      <c r="C23" s="337" t="s">
        <v>951</v>
      </c>
      <c r="D23" s="310"/>
      <c r="E23" s="311">
        <f>SUMIF('R&amp;M Cost'!$C$5:$C$40,'O&amp;M'!$C23,'R&amp;M Cost'!E$5:E$40)</f>
        <v>0</v>
      </c>
      <c r="F23" s="311">
        <f>SUMIF('R&amp;M Cost'!$C$5:$C$40,'O&amp;M'!$C23,'R&amp;M Cost'!F$5:F$40)</f>
        <v>0</v>
      </c>
      <c r="G23" s="311">
        <f>SUMIF('R&amp;M Cost'!$C$5:$C$40,'O&amp;M'!$C23,'R&amp;M Cost'!G$5:G$40)</f>
        <v>0</v>
      </c>
      <c r="H23" s="311">
        <f>SUMIF('R&amp;M Cost'!$C$5:$C$40,'O&amp;M'!$C23,'R&amp;M Cost'!H$5:H$40)</f>
        <v>0</v>
      </c>
      <c r="I23" s="311">
        <f>SUMIF('R&amp;M Cost'!$C$5:$C$40,'O&amp;M'!$C23,'R&amp;M Cost'!I$5:I$40)</f>
        <v>0</v>
      </c>
      <c r="J23" s="311">
        <f>SUMIF('R&amp;M Cost'!$C$5:$C$40,'O&amp;M'!$C23,'R&amp;M Cost'!J$5:J$40)</f>
        <v>0</v>
      </c>
      <c r="K23" s="311">
        <f>SUMIF('R&amp;M Cost'!$C$5:$C$40,'O&amp;M'!$C23,'R&amp;M Cost'!K$5:K$40)</f>
        <v>0</v>
      </c>
      <c r="L23" s="311">
        <f>SUM(E23:K23)</f>
        <v>0</v>
      </c>
      <c r="M23" s="311">
        <f>SUMIF('R&amp;M Cost'!$C$5:$C$40,'O&amp;M'!$C23,'R&amp;M Cost'!M$5:M$40)</f>
        <v>0</v>
      </c>
      <c r="N23" s="311">
        <f>SUMIF('R&amp;M Cost'!$C$5:$C$40,'O&amp;M'!$C23,'R&amp;M Cost'!N$5:N$40)</f>
        <v>0</v>
      </c>
      <c r="O23" s="311">
        <f>SUMIF('R&amp;M Cost'!$C$5:$C$40,'O&amp;M'!$C23,'R&amp;M Cost'!O$5:O$40)</f>
        <v>0</v>
      </c>
      <c r="P23" s="311">
        <f>SUMIF('R&amp;M Cost'!$C$5:$C$40,'O&amp;M'!$C23,'R&amp;M Cost'!P$5:P$40)</f>
        <v>0</v>
      </c>
      <c r="Q23" s="311">
        <f>SUMIF('R&amp;M Cost'!$C$5:$C$40,'O&amp;M'!$C23,'R&amp;M Cost'!Q$5:Q$40)</f>
        <v>0</v>
      </c>
      <c r="R23" s="311">
        <f>SUMIF('R&amp;M Cost'!$C$5:$C$40,'O&amp;M'!$C23,'R&amp;M Cost'!R$5:R$40)</f>
        <v>0</v>
      </c>
      <c r="S23" s="311">
        <f>SUMIF('R&amp;M Cost'!$C$5:$C$40,'O&amp;M'!$C23,'R&amp;M Cost'!S$5:S$40)</f>
        <v>0</v>
      </c>
      <c r="T23" s="311">
        <f>SUM(M23:S23)</f>
        <v>0</v>
      </c>
      <c r="U23" s="311">
        <f>SUMIF('R&amp;M Cost'!$C$5:$C$40,'O&amp;M'!$C23,'R&amp;M Cost'!U$5:U$40)</f>
        <v>0</v>
      </c>
      <c r="V23" s="311">
        <f>SUMIF('R&amp;M Cost'!$C$5:$C$40,'O&amp;M'!$C23,'R&amp;M Cost'!V$5:V$40)</f>
        <v>0</v>
      </c>
      <c r="W23" s="311">
        <f>SUMIF('R&amp;M Cost'!$C$5:$C$40,'O&amp;M'!$C23,'R&amp;M Cost'!W$5:W$40)</f>
        <v>0</v>
      </c>
      <c r="X23" s="311">
        <f>SUMIF('R&amp;M Cost'!$C$5:$C$40,'O&amp;M'!$C23,'R&amp;M Cost'!X$5:X$40)</f>
        <v>0</v>
      </c>
      <c r="Y23" s="311">
        <f>SUMIF('R&amp;M Cost'!$C$5:$C$40,'O&amp;M'!$C23,'R&amp;M Cost'!Y$5:Y$40)</f>
        <v>0</v>
      </c>
      <c r="Z23" s="311">
        <f>SUMIF('R&amp;M Cost'!$C$5:$C$40,'O&amp;M'!$C23,'R&amp;M Cost'!Z$5:Z$40)</f>
        <v>0</v>
      </c>
      <c r="AA23" s="311">
        <f>SUMIF('R&amp;M Cost'!$C$5:$C$40,'O&amp;M'!$C23,'R&amp;M Cost'!AA$5:AA$40)</f>
        <v>0</v>
      </c>
      <c r="AB23" s="311">
        <f>SUM(U23:AA23)</f>
        <v>0</v>
      </c>
      <c r="AC23" s="311">
        <f>SUMIF('R&amp;M Cost'!$C$5:$C$40,'O&amp;M'!$C23,'R&amp;M Cost'!AC$5:AC$40)</f>
        <v>0</v>
      </c>
      <c r="AD23" s="311">
        <f>SUMIF('R&amp;M Cost'!$C$5:$C$40,'O&amp;M'!$C23,'R&amp;M Cost'!AD$5:AD$40)</f>
        <v>0</v>
      </c>
      <c r="AE23" s="311">
        <f>SUMIF('R&amp;M Cost'!$C$5:$C$40,'O&amp;M'!$C23,'R&amp;M Cost'!AE$5:AE$40)</f>
        <v>0</v>
      </c>
      <c r="AF23" s="311">
        <f>SUMIF('R&amp;M Cost'!$C$5:$C$40,'O&amp;M'!$C23,'R&amp;M Cost'!AF$5:AF$40)</f>
        <v>0</v>
      </c>
      <c r="AG23" s="311">
        <f>SUMIF('R&amp;M Cost'!$C$5:$C$40,'O&amp;M'!$C23,'R&amp;M Cost'!AG$5:AG$40)</f>
        <v>0</v>
      </c>
      <c r="AH23" s="311">
        <f>SUMIF('R&amp;M Cost'!$C$5:$C$40,'O&amp;M'!$C23,'R&amp;M Cost'!AH$5:AH$40)</f>
        <v>0</v>
      </c>
      <c r="AI23" s="311">
        <f>SUMIF('R&amp;M Cost'!$C$5:$C$40,'O&amp;M'!$C23,'R&amp;M Cost'!AI$5:AI$40)</f>
        <v>0</v>
      </c>
      <c r="AJ23" s="311">
        <f>SUM(AC23:AI23)</f>
        <v>0</v>
      </c>
      <c r="AK23" s="311">
        <f>SUMIF('R&amp;M Cost'!$C$5:$C$40,'O&amp;M'!$C23,'R&amp;M Cost'!AK$5:AK$40)</f>
        <v>0</v>
      </c>
      <c r="AL23" s="311">
        <f>SUMIF('R&amp;M Cost'!$C$5:$C$40,'O&amp;M'!$C23,'R&amp;M Cost'!AL$5:AL$40)</f>
        <v>0</v>
      </c>
      <c r="AM23" s="311">
        <f>SUMIF('R&amp;M Cost'!$C$5:$C$40,'O&amp;M'!$C23,'R&amp;M Cost'!AM$5:AM$40)</f>
        <v>0</v>
      </c>
      <c r="AN23" s="311">
        <f>SUMIF('R&amp;M Cost'!$C$5:$C$40,'O&amp;M'!$C23,'R&amp;M Cost'!AN$5:AN$40)</f>
        <v>0</v>
      </c>
      <c r="AO23" s="311">
        <f>SUMIF('R&amp;M Cost'!$C$5:$C$40,'O&amp;M'!$C23,'R&amp;M Cost'!AO$5:AO$40)</f>
        <v>0</v>
      </c>
      <c r="AP23" s="311">
        <f>SUMIF('R&amp;M Cost'!$C$5:$C$40,'O&amp;M'!$C23,'R&amp;M Cost'!AP$5:AP$40)</f>
        <v>0</v>
      </c>
      <c r="AQ23" s="311">
        <f>SUMIF('R&amp;M Cost'!$C$5:$C$40,'O&amp;M'!$C23,'R&amp;M Cost'!AQ$5:AQ$40)</f>
        <v>0</v>
      </c>
      <c r="AR23" s="311">
        <f>SUM(AK23:AQ23)</f>
        <v>0</v>
      </c>
    </row>
    <row r="24" spans="2:44" x14ac:dyDescent="0.35">
      <c r="B24" s="336" t="s">
        <v>349</v>
      </c>
      <c r="C24" s="337" t="s">
        <v>951</v>
      </c>
      <c r="D24" s="310"/>
      <c r="E24" s="311">
        <f>SUMIF('A&amp;G Cost'!$C$5:$C$40,'O&amp;M'!$C24,'A&amp;G Cost'!E$5:E$40)</f>
        <v>0</v>
      </c>
      <c r="F24" s="311">
        <f>SUMIF('A&amp;G Cost'!$C$5:$C$40,'O&amp;M'!$C24,'A&amp;G Cost'!F$5:F$40)</f>
        <v>0</v>
      </c>
      <c r="G24" s="311">
        <f>SUMIF('A&amp;G Cost'!$C$5:$C$40,'O&amp;M'!$C24,'A&amp;G Cost'!G$5:G$40)</f>
        <v>0</v>
      </c>
      <c r="H24" s="311">
        <f>SUMIF('A&amp;G Cost'!$C$5:$C$40,'O&amp;M'!$C24,'A&amp;G Cost'!H$5:H$40)</f>
        <v>0</v>
      </c>
      <c r="I24" s="311">
        <f>SUMIF('A&amp;G Cost'!$C$5:$C$40,'O&amp;M'!$C24,'A&amp;G Cost'!I$5:I$40)</f>
        <v>0</v>
      </c>
      <c r="J24" s="311">
        <f>SUMIF('A&amp;G Cost'!$C$5:$C$40,'O&amp;M'!$C24,'A&amp;G Cost'!J$5:J$40)</f>
        <v>0</v>
      </c>
      <c r="K24" s="311">
        <f>SUMIF('A&amp;G Cost'!$C$5:$C$40,'O&amp;M'!$C24,'A&amp;G Cost'!K$5:K$40)</f>
        <v>0</v>
      </c>
      <c r="L24" s="311">
        <f>SUM(E24:K24)</f>
        <v>0</v>
      </c>
      <c r="M24" s="311">
        <f>SUMIF('A&amp;G Cost'!$C$5:$C$40,'O&amp;M'!$C24,'A&amp;G Cost'!M$5:M$40)</f>
        <v>0</v>
      </c>
      <c r="N24" s="311">
        <f>SUMIF('A&amp;G Cost'!$C$5:$C$40,'O&amp;M'!$C24,'A&amp;G Cost'!N$5:N$40)</f>
        <v>0</v>
      </c>
      <c r="O24" s="311">
        <f>SUMIF('A&amp;G Cost'!$C$5:$C$40,'O&amp;M'!$C24,'A&amp;G Cost'!O$5:O$40)</f>
        <v>0</v>
      </c>
      <c r="P24" s="311">
        <f>SUMIF('A&amp;G Cost'!$C$5:$C$40,'O&amp;M'!$C24,'A&amp;G Cost'!P$5:P$40)</f>
        <v>0</v>
      </c>
      <c r="Q24" s="311">
        <f>SUMIF('A&amp;G Cost'!$C$5:$C$40,'O&amp;M'!$C24,'A&amp;G Cost'!Q$5:Q$40)</f>
        <v>0</v>
      </c>
      <c r="R24" s="311">
        <f>SUMIF('A&amp;G Cost'!$C$5:$C$40,'O&amp;M'!$C24,'A&amp;G Cost'!R$5:R$40)</f>
        <v>0</v>
      </c>
      <c r="S24" s="311">
        <f>SUMIF('A&amp;G Cost'!$C$5:$C$40,'O&amp;M'!$C24,'A&amp;G Cost'!S$5:S$40)</f>
        <v>0</v>
      </c>
      <c r="T24" s="311">
        <f>SUM(M24:S24)</f>
        <v>0</v>
      </c>
      <c r="U24" s="311">
        <f>SUMIF('A&amp;G Cost'!$C$5:$C$40,'O&amp;M'!$C24,'A&amp;G Cost'!U$5:U$40)</f>
        <v>0</v>
      </c>
      <c r="V24" s="311">
        <f>SUMIF('A&amp;G Cost'!$C$5:$C$40,'O&amp;M'!$C24,'A&amp;G Cost'!V$5:V$40)</f>
        <v>0</v>
      </c>
      <c r="W24" s="311">
        <f>SUMIF('A&amp;G Cost'!$C$5:$C$40,'O&amp;M'!$C24,'A&amp;G Cost'!W$5:W$40)</f>
        <v>0</v>
      </c>
      <c r="X24" s="311">
        <f>SUMIF('A&amp;G Cost'!$C$5:$C$40,'O&amp;M'!$C24,'A&amp;G Cost'!X$5:X$40)</f>
        <v>0</v>
      </c>
      <c r="Y24" s="311">
        <f>SUMIF('A&amp;G Cost'!$C$5:$C$40,'O&amp;M'!$C24,'A&amp;G Cost'!Y$5:Y$40)</f>
        <v>0</v>
      </c>
      <c r="Z24" s="311">
        <f>SUMIF('A&amp;G Cost'!$C$5:$C$40,'O&amp;M'!$C24,'A&amp;G Cost'!Z$5:Z$40)</f>
        <v>0</v>
      </c>
      <c r="AA24" s="311">
        <f>SUMIF('A&amp;G Cost'!$C$5:$C$40,'O&amp;M'!$C24,'A&amp;G Cost'!AA$5:AA$40)</f>
        <v>0</v>
      </c>
      <c r="AB24" s="311">
        <f>SUM(U24:AA24)</f>
        <v>0</v>
      </c>
      <c r="AC24" s="311">
        <f>SUMIF('A&amp;G Cost'!$C$5:$C$40,'O&amp;M'!$C24,'A&amp;G Cost'!AC$5:AC$40)</f>
        <v>0</v>
      </c>
      <c r="AD24" s="311">
        <f>SUMIF('A&amp;G Cost'!$C$5:$C$40,'O&amp;M'!$C24,'A&amp;G Cost'!AD$5:AD$40)</f>
        <v>0</v>
      </c>
      <c r="AE24" s="311">
        <f>SUMIF('A&amp;G Cost'!$C$5:$C$40,'O&amp;M'!$C24,'A&amp;G Cost'!AE$5:AE$40)</f>
        <v>0</v>
      </c>
      <c r="AF24" s="311">
        <f>SUMIF('A&amp;G Cost'!$C$5:$C$40,'O&amp;M'!$C24,'A&amp;G Cost'!AF$5:AF$40)</f>
        <v>0</v>
      </c>
      <c r="AG24" s="311">
        <f>SUMIF('A&amp;G Cost'!$C$5:$C$40,'O&amp;M'!$C24,'A&amp;G Cost'!AG$5:AG$40)</f>
        <v>0</v>
      </c>
      <c r="AH24" s="311">
        <f>SUMIF('A&amp;G Cost'!$C$5:$C$40,'O&amp;M'!$C24,'A&amp;G Cost'!AH$5:AH$40)</f>
        <v>0</v>
      </c>
      <c r="AI24" s="311">
        <f>SUMIF('A&amp;G Cost'!$C$5:$C$40,'O&amp;M'!$C24,'A&amp;G Cost'!AI$5:AI$40)</f>
        <v>0</v>
      </c>
      <c r="AJ24" s="311">
        <f>SUM(AC24:AI24)</f>
        <v>0</v>
      </c>
      <c r="AK24" s="311">
        <f>SUMIF('A&amp;G Cost'!$C$5:$C$40,'O&amp;M'!$C24,'A&amp;G Cost'!AK$5:AK$40)</f>
        <v>0</v>
      </c>
      <c r="AL24" s="311">
        <f>SUMIF('A&amp;G Cost'!$C$5:$C$40,'O&amp;M'!$C24,'A&amp;G Cost'!AL$5:AL$40)</f>
        <v>0</v>
      </c>
      <c r="AM24" s="311">
        <f>SUMIF('A&amp;G Cost'!$C$5:$C$40,'O&amp;M'!$C24,'A&amp;G Cost'!AM$5:AM$40)</f>
        <v>0</v>
      </c>
      <c r="AN24" s="311">
        <f>SUMIF('A&amp;G Cost'!$C$5:$C$40,'O&amp;M'!$C24,'A&amp;G Cost'!AN$5:AN$40)</f>
        <v>0</v>
      </c>
      <c r="AO24" s="311">
        <f>SUMIF('A&amp;G Cost'!$C$5:$C$40,'O&amp;M'!$C24,'A&amp;G Cost'!AO$5:AO$40)</f>
        <v>0</v>
      </c>
      <c r="AP24" s="311">
        <f>SUMIF('A&amp;G Cost'!$C$5:$C$40,'O&amp;M'!$C24,'A&amp;G Cost'!AP$5:AP$40)</f>
        <v>0</v>
      </c>
      <c r="AQ24" s="311">
        <f>SUMIF('A&amp;G Cost'!$C$5:$C$40,'O&amp;M'!$C24,'A&amp;G Cost'!AQ$5:AQ$40)</f>
        <v>0</v>
      </c>
      <c r="AR24" s="311">
        <f>SUM(AK24:AQ24)</f>
        <v>0</v>
      </c>
    </row>
    <row r="25" spans="2:44" x14ac:dyDescent="0.35">
      <c r="B25" s="309"/>
      <c r="C25" s="309"/>
      <c r="D25" s="309"/>
      <c r="E25" s="311"/>
      <c r="F25" s="311"/>
      <c r="G25" s="311"/>
      <c r="H25" s="311"/>
      <c r="I25" s="311"/>
      <c r="J25" s="311"/>
      <c r="K25" s="311"/>
      <c r="L25" s="311">
        <f>SUM(E25:K25)</f>
        <v>0</v>
      </c>
      <c r="M25" s="311"/>
      <c r="N25" s="311"/>
      <c r="O25" s="311"/>
      <c r="P25" s="311"/>
      <c r="Q25" s="311"/>
      <c r="R25" s="311"/>
      <c r="S25" s="311"/>
      <c r="T25" s="311">
        <f>SUM(M25:S25)</f>
        <v>0</v>
      </c>
      <c r="U25" s="311"/>
      <c r="V25" s="311"/>
      <c r="W25" s="311"/>
      <c r="X25" s="311"/>
      <c r="Y25" s="311"/>
      <c r="Z25" s="311"/>
      <c r="AA25" s="311"/>
      <c r="AB25" s="311">
        <f>SUM(U25:AA25)</f>
        <v>0</v>
      </c>
      <c r="AC25" s="311"/>
      <c r="AD25" s="311"/>
      <c r="AE25" s="311"/>
      <c r="AF25" s="311"/>
      <c r="AG25" s="311"/>
      <c r="AH25" s="311"/>
      <c r="AI25" s="311"/>
      <c r="AJ25" s="311">
        <f>SUM(AC25:AI25)</f>
        <v>0</v>
      </c>
      <c r="AK25" s="311"/>
      <c r="AL25" s="311"/>
      <c r="AM25" s="311"/>
      <c r="AN25" s="311"/>
      <c r="AO25" s="311"/>
      <c r="AP25" s="311"/>
      <c r="AQ25" s="311"/>
      <c r="AR25" s="311">
        <f>SUM(AK25:AQ25)</f>
        <v>0</v>
      </c>
    </row>
    <row r="26" spans="2:44" x14ac:dyDescent="0.35">
      <c r="B26" s="338" t="s">
        <v>952</v>
      </c>
      <c r="C26" s="338"/>
      <c r="D26" s="338"/>
      <c r="E26" s="339">
        <f>SUM(E21:E24)</f>
        <v>0</v>
      </c>
      <c r="F26" s="339">
        <f t="shared" ref="F26:AR26" si="2">SUM(F21:F24)</f>
        <v>0</v>
      </c>
      <c r="G26" s="339">
        <f t="shared" si="2"/>
        <v>0</v>
      </c>
      <c r="H26" s="339">
        <f t="shared" si="2"/>
        <v>0</v>
      </c>
      <c r="I26" s="339">
        <f t="shared" si="2"/>
        <v>0</v>
      </c>
      <c r="J26" s="339">
        <f t="shared" si="2"/>
        <v>0</v>
      </c>
      <c r="K26" s="339">
        <f t="shared" si="2"/>
        <v>0</v>
      </c>
      <c r="L26" s="339">
        <f t="shared" si="2"/>
        <v>0</v>
      </c>
      <c r="M26" s="339">
        <f t="shared" si="2"/>
        <v>0</v>
      </c>
      <c r="N26" s="339">
        <f t="shared" si="2"/>
        <v>0</v>
      </c>
      <c r="O26" s="339">
        <f t="shared" si="2"/>
        <v>0</v>
      </c>
      <c r="P26" s="339">
        <f t="shared" si="2"/>
        <v>0</v>
      </c>
      <c r="Q26" s="339">
        <f t="shared" si="2"/>
        <v>0</v>
      </c>
      <c r="R26" s="339">
        <f t="shared" si="2"/>
        <v>0</v>
      </c>
      <c r="S26" s="339">
        <f t="shared" si="2"/>
        <v>0</v>
      </c>
      <c r="T26" s="339">
        <f t="shared" si="2"/>
        <v>0</v>
      </c>
      <c r="U26" s="339">
        <f t="shared" si="2"/>
        <v>0</v>
      </c>
      <c r="V26" s="339">
        <f t="shared" si="2"/>
        <v>0</v>
      </c>
      <c r="W26" s="339">
        <f t="shared" si="2"/>
        <v>0</v>
      </c>
      <c r="X26" s="339">
        <f t="shared" si="2"/>
        <v>0</v>
      </c>
      <c r="Y26" s="339">
        <f t="shared" si="2"/>
        <v>0</v>
      </c>
      <c r="Z26" s="339">
        <f t="shared" si="2"/>
        <v>0</v>
      </c>
      <c r="AA26" s="339">
        <f t="shared" si="2"/>
        <v>0</v>
      </c>
      <c r="AB26" s="339">
        <f t="shared" si="2"/>
        <v>0</v>
      </c>
      <c r="AC26" s="339">
        <f t="shared" si="2"/>
        <v>0</v>
      </c>
      <c r="AD26" s="339">
        <f t="shared" si="2"/>
        <v>0</v>
      </c>
      <c r="AE26" s="339">
        <f t="shared" si="2"/>
        <v>0</v>
      </c>
      <c r="AF26" s="339">
        <f t="shared" si="2"/>
        <v>0</v>
      </c>
      <c r="AG26" s="339">
        <f t="shared" si="2"/>
        <v>0</v>
      </c>
      <c r="AH26" s="339">
        <f t="shared" si="2"/>
        <v>0</v>
      </c>
      <c r="AI26" s="339">
        <f t="shared" si="2"/>
        <v>0</v>
      </c>
      <c r="AJ26" s="339">
        <f t="shared" si="2"/>
        <v>0</v>
      </c>
      <c r="AK26" s="339">
        <f t="shared" si="2"/>
        <v>0</v>
      </c>
      <c r="AL26" s="339">
        <f t="shared" si="2"/>
        <v>0</v>
      </c>
      <c r="AM26" s="339">
        <f t="shared" si="2"/>
        <v>0</v>
      </c>
      <c r="AN26" s="339">
        <f t="shared" si="2"/>
        <v>0</v>
      </c>
      <c r="AO26" s="339">
        <f t="shared" si="2"/>
        <v>0</v>
      </c>
      <c r="AP26" s="339">
        <f t="shared" si="2"/>
        <v>0</v>
      </c>
      <c r="AQ26" s="339">
        <f t="shared" si="2"/>
        <v>0</v>
      </c>
      <c r="AR26" s="339">
        <f t="shared" si="2"/>
        <v>0</v>
      </c>
    </row>
    <row r="28" spans="2:44" x14ac:dyDescent="0.35">
      <c r="B28" s="334" t="s">
        <v>351</v>
      </c>
      <c r="C28" s="321"/>
      <c r="D28" s="322"/>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row>
    <row r="29" spans="2:44" x14ac:dyDescent="0.35">
      <c r="B29" s="309" t="s">
        <v>943</v>
      </c>
      <c r="C29" s="335"/>
      <c r="D29" s="310"/>
      <c r="E29" s="335"/>
      <c r="F29" s="335"/>
      <c r="G29" s="335"/>
      <c r="H29" s="335"/>
      <c r="I29" s="335"/>
      <c r="J29" s="335"/>
      <c r="K29" s="335"/>
      <c r="L29" s="311">
        <f>SUM(E29:K29)</f>
        <v>0</v>
      </c>
      <c r="M29" s="335"/>
      <c r="N29" s="335"/>
      <c r="O29" s="335"/>
      <c r="P29" s="335"/>
      <c r="Q29" s="335"/>
      <c r="R29" s="335"/>
      <c r="S29" s="335"/>
      <c r="T29" s="311"/>
      <c r="U29" s="335"/>
      <c r="V29" s="335"/>
      <c r="W29" s="335"/>
      <c r="X29" s="335"/>
      <c r="Y29" s="335"/>
      <c r="Z29" s="335"/>
      <c r="AA29" s="335"/>
      <c r="AB29" s="311"/>
      <c r="AC29" s="335"/>
      <c r="AD29" s="335"/>
      <c r="AE29" s="335"/>
      <c r="AF29" s="335"/>
      <c r="AG29" s="335"/>
      <c r="AH29" s="335"/>
      <c r="AI29" s="335"/>
      <c r="AJ29" s="311"/>
      <c r="AK29" s="335"/>
      <c r="AL29" s="335"/>
      <c r="AM29" s="335"/>
      <c r="AN29" s="335"/>
      <c r="AO29" s="335"/>
      <c r="AP29" s="335"/>
      <c r="AQ29" s="335"/>
      <c r="AR29" s="311"/>
    </row>
    <row r="30" spans="2:44" x14ac:dyDescent="0.35">
      <c r="B30" s="336" t="s">
        <v>28</v>
      </c>
      <c r="C30" s="337" t="s">
        <v>480</v>
      </c>
      <c r="D30" s="310"/>
      <c r="E30" s="311">
        <f>E6+E14+E22</f>
        <v>0</v>
      </c>
      <c r="F30" s="311">
        <f t="shared" ref="F30:K30" si="3">F6+F14+F22</f>
        <v>0</v>
      </c>
      <c r="G30" s="311">
        <f t="shared" si="3"/>
        <v>0</v>
      </c>
      <c r="H30" s="311">
        <f t="shared" si="3"/>
        <v>0</v>
      </c>
      <c r="I30" s="311">
        <f t="shared" si="3"/>
        <v>0</v>
      </c>
      <c r="J30" s="311">
        <f t="shared" si="3"/>
        <v>0</v>
      </c>
      <c r="K30" s="311">
        <f t="shared" si="3"/>
        <v>0</v>
      </c>
      <c r="L30" s="311">
        <f>SUM(E30:K30)</f>
        <v>0</v>
      </c>
      <c r="M30" s="311">
        <f>M6+M14+M22</f>
        <v>0</v>
      </c>
      <c r="N30" s="311">
        <f t="shared" ref="N30:S30" si="4">N6+N14+N22</f>
        <v>0</v>
      </c>
      <c r="O30" s="311">
        <f t="shared" si="4"/>
        <v>0</v>
      </c>
      <c r="P30" s="311">
        <f t="shared" si="4"/>
        <v>0</v>
      </c>
      <c r="Q30" s="311">
        <f t="shared" si="4"/>
        <v>0</v>
      </c>
      <c r="R30" s="311">
        <f t="shared" si="4"/>
        <v>0</v>
      </c>
      <c r="S30" s="311">
        <f t="shared" si="4"/>
        <v>0</v>
      </c>
      <c r="T30" s="311">
        <f>SUM(M30:S30)</f>
        <v>0</v>
      </c>
      <c r="U30" s="311">
        <f>U6+U14+U22</f>
        <v>0</v>
      </c>
      <c r="V30" s="311">
        <f>V6+V14+V22</f>
        <v>0</v>
      </c>
      <c r="W30" s="311">
        <f>W6+W14+W22</f>
        <v>0</v>
      </c>
      <c r="X30" s="311"/>
      <c r="Y30" s="311"/>
      <c r="Z30" s="311"/>
      <c r="AA30" s="311"/>
      <c r="AB30" s="311"/>
      <c r="AC30" s="311">
        <f>AC6+AC14+AC22</f>
        <v>0</v>
      </c>
      <c r="AD30" s="311">
        <f>AD6+AD14+AD22</f>
        <v>0</v>
      </c>
      <c r="AE30" s="311">
        <f>AE6+AE14+AE22</f>
        <v>0</v>
      </c>
      <c r="AF30" s="311"/>
      <c r="AG30" s="311"/>
      <c r="AH30" s="311"/>
      <c r="AI30" s="311"/>
      <c r="AJ30" s="311"/>
      <c r="AK30" s="311">
        <f>AK6+AK14+AK22</f>
        <v>0</v>
      </c>
      <c r="AL30" s="311">
        <f>AL6+AL14+AL22</f>
        <v>0</v>
      </c>
      <c r="AM30" s="311">
        <f>AM6+AM14+AM22</f>
        <v>0</v>
      </c>
      <c r="AN30" s="311"/>
      <c r="AO30" s="311"/>
      <c r="AP30" s="311"/>
      <c r="AQ30" s="311"/>
      <c r="AR30" s="311"/>
    </row>
    <row r="31" spans="2:44" x14ac:dyDescent="0.35">
      <c r="B31" s="336" t="s">
        <v>945</v>
      </c>
      <c r="C31" s="337" t="s">
        <v>480</v>
      </c>
      <c r="D31" s="310"/>
      <c r="E31" s="311">
        <f t="shared" ref="E31:K32" si="5">E7+E15+E23</f>
        <v>0</v>
      </c>
      <c r="F31" s="311">
        <f t="shared" si="5"/>
        <v>0</v>
      </c>
      <c r="G31" s="311">
        <f t="shared" si="5"/>
        <v>0</v>
      </c>
      <c r="H31" s="311">
        <f t="shared" si="5"/>
        <v>0</v>
      </c>
      <c r="I31" s="311">
        <f t="shared" si="5"/>
        <v>0</v>
      </c>
      <c r="J31" s="311">
        <f t="shared" si="5"/>
        <v>0</v>
      </c>
      <c r="K31" s="311">
        <f t="shared" si="5"/>
        <v>0</v>
      </c>
      <c r="L31" s="311">
        <f>SUM(E31:K31)</f>
        <v>0</v>
      </c>
      <c r="M31" s="311">
        <f t="shared" ref="M31:S32" si="6">M7+M15+M23</f>
        <v>0</v>
      </c>
      <c r="N31" s="311">
        <f t="shared" si="6"/>
        <v>0</v>
      </c>
      <c r="O31" s="311">
        <f t="shared" si="6"/>
        <v>0</v>
      </c>
      <c r="P31" s="311">
        <f t="shared" si="6"/>
        <v>0</v>
      </c>
      <c r="Q31" s="311">
        <f t="shared" si="6"/>
        <v>0</v>
      </c>
      <c r="R31" s="311">
        <f t="shared" si="6"/>
        <v>0</v>
      </c>
      <c r="S31" s="311">
        <f t="shared" si="6"/>
        <v>0</v>
      </c>
      <c r="T31" s="311">
        <f>SUM(M31:S31)</f>
        <v>0</v>
      </c>
      <c r="U31" s="311">
        <f t="shared" ref="U31:W32" si="7">U7+U15+U23</f>
        <v>0</v>
      </c>
      <c r="V31" s="311">
        <f t="shared" si="7"/>
        <v>0</v>
      </c>
      <c r="W31" s="311">
        <f t="shared" si="7"/>
        <v>0</v>
      </c>
      <c r="X31" s="311"/>
      <c r="Y31" s="311"/>
      <c r="Z31" s="311"/>
      <c r="AA31" s="311"/>
      <c r="AB31" s="311"/>
      <c r="AC31" s="311">
        <f t="shared" ref="AC31:AE32" si="8">AC7+AC15+AC23</f>
        <v>0</v>
      </c>
      <c r="AD31" s="311">
        <f t="shared" si="8"/>
        <v>0</v>
      </c>
      <c r="AE31" s="311">
        <f t="shared" si="8"/>
        <v>0</v>
      </c>
      <c r="AF31" s="311"/>
      <c r="AG31" s="311"/>
      <c r="AH31" s="311"/>
      <c r="AI31" s="311"/>
      <c r="AJ31" s="311"/>
      <c r="AK31" s="311">
        <f t="shared" ref="AK31:AM32" si="9">AK7+AK15+AK23</f>
        <v>0</v>
      </c>
      <c r="AL31" s="311">
        <f t="shared" si="9"/>
        <v>0</v>
      </c>
      <c r="AM31" s="311">
        <f t="shared" si="9"/>
        <v>0</v>
      </c>
      <c r="AN31" s="311"/>
      <c r="AO31" s="311"/>
      <c r="AP31" s="311"/>
      <c r="AQ31" s="311"/>
      <c r="AR31" s="311"/>
    </row>
    <row r="32" spans="2:44" x14ac:dyDescent="0.35">
      <c r="B32" s="336" t="s">
        <v>349</v>
      </c>
      <c r="C32" s="337" t="s">
        <v>480</v>
      </c>
      <c r="D32" s="310"/>
      <c r="E32" s="311">
        <f t="shared" si="5"/>
        <v>0</v>
      </c>
      <c r="F32" s="311">
        <f t="shared" si="5"/>
        <v>0</v>
      </c>
      <c r="G32" s="311">
        <f t="shared" si="5"/>
        <v>0</v>
      </c>
      <c r="H32" s="311">
        <f t="shared" si="5"/>
        <v>0</v>
      </c>
      <c r="I32" s="311">
        <f t="shared" si="5"/>
        <v>0</v>
      </c>
      <c r="J32" s="311">
        <f t="shared" si="5"/>
        <v>0</v>
      </c>
      <c r="K32" s="311">
        <f t="shared" si="5"/>
        <v>0</v>
      </c>
      <c r="L32" s="311">
        <f>SUM(E32:K32)</f>
        <v>0</v>
      </c>
      <c r="M32" s="311">
        <f t="shared" si="6"/>
        <v>0</v>
      </c>
      <c r="N32" s="311">
        <f t="shared" si="6"/>
        <v>0</v>
      </c>
      <c r="O32" s="311">
        <f t="shared" si="6"/>
        <v>0</v>
      </c>
      <c r="P32" s="311">
        <f t="shared" si="6"/>
        <v>0</v>
      </c>
      <c r="Q32" s="311">
        <f t="shared" si="6"/>
        <v>0</v>
      </c>
      <c r="R32" s="311">
        <f t="shared" si="6"/>
        <v>0</v>
      </c>
      <c r="S32" s="311">
        <f t="shared" si="6"/>
        <v>0</v>
      </c>
      <c r="T32" s="311">
        <f>SUM(M32:S32)</f>
        <v>0</v>
      </c>
      <c r="U32" s="311">
        <f t="shared" si="7"/>
        <v>0</v>
      </c>
      <c r="V32" s="311">
        <f t="shared" si="7"/>
        <v>0</v>
      </c>
      <c r="W32" s="311">
        <f t="shared" si="7"/>
        <v>0</v>
      </c>
      <c r="X32" s="311"/>
      <c r="Y32" s="311"/>
      <c r="Z32" s="311"/>
      <c r="AA32" s="311"/>
      <c r="AB32" s="311"/>
      <c r="AC32" s="311">
        <f t="shared" si="8"/>
        <v>0</v>
      </c>
      <c r="AD32" s="311">
        <f t="shared" si="8"/>
        <v>0</v>
      </c>
      <c r="AE32" s="311">
        <f t="shared" si="8"/>
        <v>0</v>
      </c>
      <c r="AF32" s="311"/>
      <c r="AG32" s="311"/>
      <c r="AH32" s="311"/>
      <c r="AI32" s="311"/>
      <c r="AJ32" s="311"/>
      <c r="AK32" s="311">
        <f t="shared" si="9"/>
        <v>0</v>
      </c>
      <c r="AL32" s="311">
        <f t="shared" si="9"/>
        <v>0</v>
      </c>
      <c r="AM32" s="311">
        <f t="shared" si="9"/>
        <v>0</v>
      </c>
      <c r="AN32" s="311"/>
      <c r="AO32" s="311"/>
      <c r="AP32" s="311"/>
      <c r="AQ32" s="311"/>
      <c r="AR32" s="311"/>
    </row>
    <row r="33" spans="2:44" x14ac:dyDescent="0.35">
      <c r="B33" s="309"/>
      <c r="C33" s="309"/>
      <c r="D33" s="309"/>
      <c r="E33" s="311"/>
      <c r="F33" s="311"/>
      <c r="G33" s="311"/>
      <c r="H33" s="311"/>
      <c r="I33" s="311"/>
      <c r="J33" s="311"/>
      <c r="K33" s="311"/>
      <c r="L33" s="311">
        <f>SUM(E33:K33)</f>
        <v>0</v>
      </c>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row>
    <row r="34" spans="2:44" x14ac:dyDescent="0.35">
      <c r="B34" s="338" t="s">
        <v>953</v>
      </c>
      <c r="C34" s="338"/>
      <c r="D34" s="338"/>
      <c r="E34" s="339">
        <f>SUM(E29:E32)</f>
        <v>0</v>
      </c>
      <c r="F34" s="339">
        <f t="shared" ref="F34:AR34" si="10">SUM(F29:F32)</f>
        <v>0</v>
      </c>
      <c r="G34" s="339">
        <f t="shared" si="10"/>
        <v>0</v>
      </c>
      <c r="H34" s="339">
        <f t="shared" si="10"/>
        <v>0</v>
      </c>
      <c r="I34" s="339">
        <f t="shared" si="10"/>
        <v>0</v>
      </c>
      <c r="J34" s="339">
        <f t="shared" si="10"/>
        <v>0</v>
      </c>
      <c r="K34" s="339">
        <f t="shared" si="10"/>
        <v>0</v>
      </c>
      <c r="L34" s="339">
        <f t="shared" si="10"/>
        <v>0</v>
      </c>
      <c r="M34" s="339">
        <f t="shared" si="10"/>
        <v>0</v>
      </c>
      <c r="N34" s="339">
        <f t="shared" si="10"/>
        <v>0</v>
      </c>
      <c r="O34" s="339">
        <f t="shared" si="10"/>
        <v>0</v>
      </c>
      <c r="P34" s="339">
        <f t="shared" si="10"/>
        <v>0</v>
      </c>
      <c r="Q34" s="339">
        <f t="shared" si="10"/>
        <v>0</v>
      </c>
      <c r="R34" s="339">
        <f t="shared" si="10"/>
        <v>0</v>
      </c>
      <c r="S34" s="339">
        <f t="shared" si="10"/>
        <v>0</v>
      </c>
      <c r="T34" s="339">
        <f t="shared" si="10"/>
        <v>0</v>
      </c>
      <c r="U34" s="339">
        <f t="shared" si="10"/>
        <v>0</v>
      </c>
      <c r="V34" s="339">
        <f t="shared" si="10"/>
        <v>0</v>
      </c>
      <c r="W34" s="339">
        <f t="shared" si="10"/>
        <v>0</v>
      </c>
      <c r="X34" s="339">
        <f t="shared" si="10"/>
        <v>0</v>
      </c>
      <c r="Y34" s="339">
        <f t="shared" si="10"/>
        <v>0</v>
      </c>
      <c r="Z34" s="339">
        <f t="shared" si="10"/>
        <v>0</v>
      </c>
      <c r="AA34" s="339">
        <f t="shared" si="10"/>
        <v>0</v>
      </c>
      <c r="AB34" s="339">
        <f t="shared" si="10"/>
        <v>0</v>
      </c>
      <c r="AC34" s="339">
        <f t="shared" si="10"/>
        <v>0</v>
      </c>
      <c r="AD34" s="339">
        <f t="shared" si="10"/>
        <v>0</v>
      </c>
      <c r="AE34" s="339">
        <f t="shared" si="10"/>
        <v>0</v>
      </c>
      <c r="AF34" s="339">
        <f t="shared" si="10"/>
        <v>0</v>
      </c>
      <c r="AG34" s="339">
        <f t="shared" si="10"/>
        <v>0</v>
      </c>
      <c r="AH34" s="339">
        <f t="shared" si="10"/>
        <v>0</v>
      </c>
      <c r="AI34" s="339">
        <f t="shared" si="10"/>
        <v>0</v>
      </c>
      <c r="AJ34" s="339">
        <f t="shared" si="10"/>
        <v>0</v>
      </c>
      <c r="AK34" s="339">
        <f t="shared" si="10"/>
        <v>0</v>
      </c>
      <c r="AL34" s="339">
        <f t="shared" si="10"/>
        <v>0</v>
      </c>
      <c r="AM34" s="339">
        <f t="shared" si="10"/>
        <v>0</v>
      </c>
      <c r="AN34" s="339">
        <f t="shared" si="10"/>
        <v>0</v>
      </c>
      <c r="AO34" s="339">
        <f t="shared" si="10"/>
        <v>0</v>
      </c>
      <c r="AP34" s="339">
        <f t="shared" si="10"/>
        <v>0</v>
      </c>
      <c r="AQ34" s="339">
        <f t="shared" si="10"/>
        <v>0</v>
      </c>
      <c r="AR34" s="339">
        <f t="shared" si="10"/>
        <v>0</v>
      </c>
    </row>
  </sheetData>
  <mergeCells count="12">
    <mergeCell ref="AC2:AJ2"/>
    <mergeCell ref="AK2:AR2"/>
    <mergeCell ref="E1:L1"/>
    <mergeCell ref="M1:T1"/>
    <mergeCell ref="U1:AB1"/>
    <mergeCell ref="AC1:AJ1"/>
    <mergeCell ref="AK1:AR1"/>
    <mergeCell ref="C2:C3"/>
    <mergeCell ref="D2:D3"/>
    <mergeCell ref="E2:L2"/>
    <mergeCell ref="M2:T2"/>
    <mergeCell ref="U2:AB2"/>
  </mergeCells>
  <dataValidations count="1">
    <dataValidation type="list" allowBlank="1" showInputMessage="1" showErrorMessage="1" sqref="C11" xr:uid="{066E85E6-FDE4-4E32-A844-5BCAA02D4B91}">
      <formula1>"Wire, Retail"</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2F23791-1208-47C0-B58D-E3ABF4D9BEA4}">
          <x14:formula1>
            <xm:f>'Block of Assets'!$C$4:$C$29</xm:f>
          </x14:formula1>
          <xm:sqref>C11</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C742-FB2D-477B-AB91-0F5A78A78892}">
  <dimension ref="B1:AS41"/>
  <sheetViews>
    <sheetView showGridLines="0" zoomScale="80" zoomScaleNormal="80" workbookViewId="0">
      <pane xSplit="2" ySplit="3" topLeftCell="AG4" activePane="bottomRight" state="frozen"/>
      <selection activeCell="C90" sqref="B90:P113"/>
      <selection pane="topRight" activeCell="C90" sqref="B90:P113"/>
      <selection pane="bottomLeft" activeCell="C90" sqref="B90:P113"/>
      <selection pane="bottomRight" activeCell="C90" sqref="B90:P113"/>
    </sheetView>
  </sheetViews>
  <sheetFormatPr defaultColWidth="9.1328125" defaultRowHeight="13.5" x14ac:dyDescent="0.35"/>
  <cols>
    <col min="1" max="1" width="4.46484375" style="340" customWidth="1"/>
    <col min="2" max="2" width="48.1328125" style="340" customWidth="1"/>
    <col min="3" max="3" width="15.86328125" style="340" customWidth="1"/>
    <col min="4" max="4" width="35" style="340" bestFit="1" customWidth="1"/>
    <col min="5" max="19" width="13.86328125" style="340" customWidth="1"/>
    <col min="20" max="20" width="12.53125" style="340" bestFit="1" customWidth="1"/>
    <col min="21" max="44" width="12.86328125" style="340" customWidth="1"/>
    <col min="45" max="45" width="42.46484375" style="340" customWidth="1"/>
    <col min="46" max="16384" width="9.1328125" style="340"/>
  </cols>
  <sheetData>
    <row r="1" spans="2:45" x14ac:dyDescent="0.35">
      <c r="B1" s="340" t="s">
        <v>918</v>
      </c>
      <c r="E1" s="2226" t="s">
        <v>197</v>
      </c>
      <c r="F1" s="2227"/>
      <c r="G1" s="2227"/>
      <c r="H1" s="2227"/>
      <c r="I1" s="2227"/>
      <c r="J1" s="2227"/>
      <c r="K1" s="2227"/>
      <c r="L1" s="2227"/>
      <c r="M1" s="2226" t="s">
        <v>198</v>
      </c>
      <c r="N1" s="2227"/>
      <c r="O1" s="2227"/>
      <c r="P1" s="2227"/>
      <c r="Q1" s="2227"/>
      <c r="R1" s="2227"/>
      <c r="S1" s="2227"/>
      <c r="T1" s="2227"/>
      <c r="U1" s="2227" t="s">
        <v>199</v>
      </c>
      <c r="V1" s="2227"/>
      <c r="W1" s="2227"/>
      <c r="X1" s="2227"/>
      <c r="Y1" s="2227"/>
      <c r="Z1" s="2227"/>
      <c r="AA1" s="2227"/>
      <c r="AB1" s="2227"/>
      <c r="AC1" s="2227" t="s">
        <v>112</v>
      </c>
      <c r="AD1" s="2227"/>
      <c r="AE1" s="2227"/>
      <c r="AF1" s="2227"/>
      <c r="AG1" s="2227"/>
      <c r="AH1" s="2227"/>
      <c r="AI1" s="2227"/>
      <c r="AJ1" s="2227"/>
      <c r="AK1" s="2227" t="s">
        <v>113</v>
      </c>
      <c r="AL1" s="2227"/>
      <c r="AM1" s="2227"/>
      <c r="AN1" s="2227"/>
      <c r="AO1" s="2227"/>
      <c r="AP1" s="2227"/>
      <c r="AQ1" s="2227"/>
      <c r="AR1" s="2227"/>
    </row>
    <row r="2" spans="2:45" x14ac:dyDescent="0.35">
      <c r="C2" s="2193" t="s">
        <v>954</v>
      </c>
      <c r="D2" s="2193" t="s">
        <v>929</v>
      </c>
      <c r="E2" s="2219" t="s">
        <v>930</v>
      </c>
      <c r="F2" s="2220"/>
      <c r="G2" s="2220"/>
      <c r="H2" s="2220"/>
      <c r="I2" s="2220"/>
      <c r="J2" s="2220"/>
      <c r="K2" s="2220"/>
      <c r="L2" s="2221"/>
      <c r="M2" s="2219" t="s">
        <v>922</v>
      </c>
      <c r="N2" s="2220"/>
      <c r="O2" s="2220"/>
      <c r="P2" s="2220"/>
      <c r="Q2" s="2220"/>
      <c r="R2" s="2220"/>
      <c r="S2" s="2220"/>
      <c r="T2" s="2221"/>
      <c r="U2" s="2219" t="s">
        <v>922</v>
      </c>
      <c r="V2" s="2220"/>
      <c r="W2" s="2220"/>
      <c r="X2" s="2220"/>
      <c r="Y2" s="2220"/>
      <c r="Z2" s="2220"/>
      <c r="AA2" s="2220"/>
      <c r="AB2" s="2221"/>
      <c r="AC2" s="2219" t="s">
        <v>922</v>
      </c>
      <c r="AD2" s="2220"/>
      <c r="AE2" s="2220"/>
      <c r="AF2" s="2220"/>
      <c r="AG2" s="2220"/>
      <c r="AH2" s="2220"/>
      <c r="AI2" s="2220"/>
      <c r="AJ2" s="2221"/>
      <c r="AK2" s="2219" t="s">
        <v>922</v>
      </c>
      <c r="AL2" s="2220"/>
      <c r="AM2" s="2220"/>
      <c r="AN2" s="2220"/>
      <c r="AO2" s="2220"/>
      <c r="AP2" s="2220"/>
      <c r="AQ2" s="2220"/>
      <c r="AR2" s="2221"/>
    </row>
    <row r="3" spans="2:45" x14ac:dyDescent="0.35">
      <c r="B3" s="328" t="s">
        <v>955</v>
      </c>
      <c r="C3" s="2193"/>
      <c r="D3" s="2193"/>
      <c r="E3" s="287" t="s">
        <v>908</v>
      </c>
      <c r="F3" s="287" t="s">
        <v>909</v>
      </c>
      <c r="G3" s="287" t="s">
        <v>910</v>
      </c>
      <c r="H3" s="287" t="s">
        <v>911</v>
      </c>
      <c r="I3" s="287" t="s">
        <v>912</v>
      </c>
      <c r="J3" s="287" t="s">
        <v>923</v>
      </c>
      <c r="K3" s="287" t="s">
        <v>939</v>
      </c>
      <c r="L3" s="287" t="s">
        <v>164</v>
      </c>
      <c r="M3" s="287" t="s">
        <v>908</v>
      </c>
      <c r="N3" s="287" t="s">
        <v>909</v>
      </c>
      <c r="O3" s="287" t="s">
        <v>910</v>
      </c>
      <c r="P3" s="287" t="s">
        <v>911</v>
      </c>
      <c r="Q3" s="287" t="s">
        <v>912</v>
      </c>
      <c r="R3" s="287" t="s">
        <v>923</v>
      </c>
      <c r="S3" s="287" t="s">
        <v>939</v>
      </c>
      <c r="T3" s="287" t="s">
        <v>164</v>
      </c>
      <c r="U3" s="287" t="s">
        <v>908</v>
      </c>
      <c r="V3" s="287" t="s">
        <v>909</v>
      </c>
      <c r="W3" s="287" t="s">
        <v>910</v>
      </c>
      <c r="X3" s="287" t="s">
        <v>911</v>
      </c>
      <c r="Y3" s="287" t="s">
        <v>912</v>
      </c>
      <c r="Z3" s="287" t="s">
        <v>923</v>
      </c>
      <c r="AA3" s="287" t="s">
        <v>939</v>
      </c>
      <c r="AB3" s="287" t="s">
        <v>164</v>
      </c>
      <c r="AC3" s="287" t="s">
        <v>908</v>
      </c>
      <c r="AD3" s="287" t="s">
        <v>909</v>
      </c>
      <c r="AE3" s="287" t="s">
        <v>910</v>
      </c>
      <c r="AF3" s="287" t="s">
        <v>911</v>
      </c>
      <c r="AG3" s="287" t="s">
        <v>912</v>
      </c>
      <c r="AH3" s="287" t="s">
        <v>923</v>
      </c>
      <c r="AI3" s="287" t="s">
        <v>939</v>
      </c>
      <c r="AJ3" s="287" t="s">
        <v>164</v>
      </c>
      <c r="AK3" s="287" t="s">
        <v>908</v>
      </c>
      <c r="AL3" s="287" t="s">
        <v>909</v>
      </c>
      <c r="AM3" s="287" t="s">
        <v>910</v>
      </c>
      <c r="AN3" s="287" t="s">
        <v>911</v>
      </c>
      <c r="AO3" s="287" t="s">
        <v>912</v>
      </c>
      <c r="AP3" s="287" t="s">
        <v>923</v>
      </c>
      <c r="AQ3" s="287" t="s">
        <v>939</v>
      </c>
      <c r="AR3" s="287" t="s">
        <v>164</v>
      </c>
      <c r="AS3" s="2194" t="s">
        <v>934</v>
      </c>
    </row>
    <row r="4" spans="2:45" x14ac:dyDescent="0.35">
      <c r="B4" s="341" t="s">
        <v>956</v>
      </c>
      <c r="C4" s="341"/>
      <c r="D4" s="341"/>
      <c r="E4" s="342"/>
      <c r="F4" s="342"/>
      <c r="G4" s="342"/>
      <c r="H4" s="342"/>
      <c r="I4" s="342"/>
      <c r="J4" s="342"/>
      <c r="K4" s="342"/>
      <c r="L4" s="342">
        <f t="shared" ref="L4:L40" si="0">SUM(E4:K4)</f>
        <v>0</v>
      </c>
      <c r="M4" s="342"/>
      <c r="N4" s="342"/>
      <c r="O4" s="342"/>
      <c r="P4" s="342"/>
      <c r="Q4" s="342"/>
      <c r="R4" s="342"/>
      <c r="S4" s="342"/>
      <c r="T4" s="342">
        <f t="shared" ref="T4:T40" si="1">SUM(M4:S4)</f>
        <v>0</v>
      </c>
      <c r="U4" s="342"/>
      <c r="V4" s="342"/>
      <c r="W4" s="342"/>
      <c r="X4" s="342"/>
      <c r="Y4" s="342"/>
      <c r="Z4" s="342"/>
      <c r="AA4" s="342"/>
      <c r="AB4" s="342">
        <f t="shared" ref="AB4:AB40" si="2">SUM(U4:AA4)</f>
        <v>0</v>
      </c>
      <c r="AC4" s="342"/>
      <c r="AD4" s="342"/>
      <c r="AE4" s="342"/>
      <c r="AF4" s="342"/>
      <c r="AG4" s="342"/>
      <c r="AH4" s="342"/>
      <c r="AI4" s="342"/>
      <c r="AJ4" s="342">
        <f>SUM(AC4:AI4)</f>
        <v>0</v>
      </c>
      <c r="AK4" s="342"/>
      <c r="AL4" s="342"/>
      <c r="AM4" s="342"/>
      <c r="AN4" s="342"/>
      <c r="AO4" s="342"/>
      <c r="AP4" s="342"/>
      <c r="AQ4" s="342"/>
      <c r="AR4" s="342">
        <f>SUM(AK4:AQ4)</f>
        <v>0</v>
      </c>
      <c r="AS4" s="2195"/>
    </row>
    <row r="5" spans="2:45" ht="36.75" customHeight="1" x14ac:dyDescent="0.35">
      <c r="B5" s="341" t="s">
        <v>957</v>
      </c>
      <c r="C5" s="341" t="s">
        <v>958</v>
      </c>
      <c r="D5" s="341" t="s">
        <v>959</v>
      </c>
      <c r="E5" s="2228"/>
      <c r="F5" s="2229"/>
      <c r="G5" s="2229"/>
      <c r="H5" s="2229"/>
      <c r="I5" s="2230"/>
      <c r="J5" s="342"/>
      <c r="K5" s="342"/>
      <c r="L5" s="342"/>
      <c r="M5" s="2228"/>
      <c r="N5" s="2229"/>
      <c r="O5" s="2229"/>
      <c r="P5" s="2229"/>
      <c r="Q5" s="2230"/>
      <c r="R5" s="342"/>
      <c r="S5" s="342"/>
      <c r="T5" s="342"/>
      <c r="U5" s="2228"/>
      <c r="V5" s="2229"/>
      <c r="W5" s="2229"/>
      <c r="X5" s="2229"/>
      <c r="Y5" s="2230"/>
      <c r="Z5" s="342"/>
      <c r="AA5" s="342"/>
      <c r="AB5" s="342"/>
      <c r="AC5" s="2228"/>
      <c r="AD5" s="2229"/>
      <c r="AE5" s="2229"/>
      <c r="AF5" s="2229"/>
      <c r="AG5" s="2230"/>
      <c r="AH5" s="342"/>
      <c r="AI5" s="342"/>
      <c r="AJ5" s="342"/>
      <c r="AK5" s="2228"/>
      <c r="AL5" s="2229"/>
      <c r="AM5" s="2229"/>
      <c r="AN5" s="2229"/>
      <c r="AO5" s="2230"/>
      <c r="AP5" s="342"/>
      <c r="AQ5" s="342"/>
      <c r="AR5" s="342"/>
      <c r="AS5" s="2231"/>
    </row>
    <row r="6" spans="2:45" ht="62.25" customHeight="1" x14ac:dyDescent="0.35">
      <c r="B6" s="341" t="s">
        <v>960</v>
      </c>
      <c r="C6" s="341" t="s">
        <v>958</v>
      </c>
      <c r="D6" s="341" t="s">
        <v>959</v>
      </c>
      <c r="E6" s="2228"/>
      <c r="F6" s="2229"/>
      <c r="G6" s="2229"/>
      <c r="H6" s="2229"/>
      <c r="I6" s="2230"/>
      <c r="J6" s="342"/>
      <c r="K6" s="342"/>
      <c r="L6" s="342"/>
      <c r="M6" s="2228"/>
      <c r="N6" s="2229"/>
      <c r="O6" s="2229"/>
      <c r="P6" s="2229"/>
      <c r="Q6" s="2230"/>
      <c r="R6" s="342"/>
      <c r="S6" s="342"/>
      <c r="T6" s="342"/>
      <c r="U6" s="2228"/>
      <c r="V6" s="2229"/>
      <c r="W6" s="2229"/>
      <c r="X6" s="2229"/>
      <c r="Y6" s="2230"/>
      <c r="Z6" s="342"/>
      <c r="AA6" s="342"/>
      <c r="AB6" s="342"/>
      <c r="AC6" s="2228"/>
      <c r="AD6" s="2229"/>
      <c r="AE6" s="2229"/>
      <c r="AF6" s="2229"/>
      <c r="AG6" s="2230"/>
      <c r="AH6" s="342"/>
      <c r="AI6" s="342"/>
      <c r="AJ6" s="342"/>
      <c r="AK6" s="2228"/>
      <c r="AL6" s="2229"/>
      <c r="AM6" s="2229"/>
      <c r="AN6" s="2229"/>
      <c r="AO6" s="2230"/>
      <c r="AP6" s="342"/>
      <c r="AQ6" s="342"/>
      <c r="AR6" s="342"/>
      <c r="AS6" s="2232"/>
    </row>
    <row r="7" spans="2:45" x14ac:dyDescent="0.35">
      <c r="B7" s="341" t="s">
        <v>238</v>
      </c>
      <c r="C7" s="341"/>
      <c r="D7" s="341"/>
      <c r="E7" s="342"/>
      <c r="F7" s="342"/>
      <c r="G7" s="342"/>
      <c r="H7" s="342"/>
      <c r="I7" s="342"/>
      <c r="J7" s="342"/>
      <c r="K7" s="342"/>
      <c r="L7" s="342">
        <f t="shared" si="0"/>
        <v>0</v>
      </c>
      <c r="M7" s="342"/>
      <c r="N7" s="342"/>
      <c r="O7" s="342"/>
      <c r="P7" s="342"/>
      <c r="Q7" s="342"/>
      <c r="R7" s="342"/>
      <c r="S7" s="342"/>
      <c r="T7" s="342">
        <f t="shared" si="1"/>
        <v>0</v>
      </c>
      <c r="U7" s="342"/>
      <c r="V7" s="342"/>
      <c r="W7" s="342"/>
      <c r="X7" s="342"/>
      <c r="Y7" s="342"/>
      <c r="Z7" s="342"/>
      <c r="AA7" s="342"/>
      <c r="AB7" s="342">
        <f t="shared" si="2"/>
        <v>0</v>
      </c>
      <c r="AC7" s="342"/>
      <c r="AD7" s="342"/>
      <c r="AE7" s="342"/>
      <c r="AF7" s="342"/>
      <c r="AG7" s="342"/>
      <c r="AH7" s="342"/>
      <c r="AI7" s="342"/>
      <c r="AJ7" s="342">
        <f t="shared" ref="AJ7:AJ40" si="3">SUM(AC7:AI7)</f>
        <v>0</v>
      </c>
      <c r="AK7" s="342"/>
      <c r="AL7" s="342"/>
      <c r="AM7" s="342"/>
      <c r="AN7" s="342"/>
      <c r="AO7" s="342"/>
      <c r="AP7" s="342"/>
      <c r="AQ7" s="342"/>
      <c r="AR7" s="342">
        <f t="shared" ref="AR7:AR40" si="4">SUM(AK7:AQ7)</f>
        <v>0</v>
      </c>
      <c r="AS7" s="341"/>
    </row>
    <row r="8" spans="2:45" x14ac:dyDescent="0.35">
      <c r="B8" s="341" t="s">
        <v>238</v>
      </c>
      <c r="C8" s="341"/>
      <c r="D8" s="341"/>
      <c r="E8" s="342"/>
      <c r="F8" s="342"/>
      <c r="G8" s="342"/>
      <c r="H8" s="342"/>
      <c r="I8" s="342"/>
      <c r="J8" s="342"/>
      <c r="K8" s="342"/>
      <c r="L8" s="342">
        <f t="shared" si="0"/>
        <v>0</v>
      </c>
      <c r="M8" s="342"/>
      <c r="N8" s="342"/>
      <c r="O8" s="342"/>
      <c r="P8" s="342"/>
      <c r="Q8" s="342"/>
      <c r="R8" s="342"/>
      <c r="S8" s="342"/>
      <c r="T8" s="342">
        <f t="shared" si="1"/>
        <v>0</v>
      </c>
      <c r="U8" s="342"/>
      <c r="V8" s="342"/>
      <c r="W8" s="342"/>
      <c r="X8" s="342"/>
      <c r="Y8" s="342"/>
      <c r="Z8" s="342"/>
      <c r="AA8" s="342"/>
      <c r="AB8" s="342">
        <f t="shared" si="2"/>
        <v>0</v>
      </c>
      <c r="AC8" s="342"/>
      <c r="AD8" s="342"/>
      <c r="AE8" s="342"/>
      <c r="AF8" s="342"/>
      <c r="AG8" s="342"/>
      <c r="AH8" s="342"/>
      <c r="AI8" s="342"/>
      <c r="AJ8" s="342">
        <f t="shared" si="3"/>
        <v>0</v>
      </c>
      <c r="AK8" s="342"/>
      <c r="AL8" s="342"/>
      <c r="AM8" s="342"/>
      <c r="AN8" s="342"/>
      <c r="AO8" s="342"/>
      <c r="AP8" s="342"/>
      <c r="AQ8" s="342"/>
      <c r="AR8" s="342">
        <f t="shared" si="4"/>
        <v>0</v>
      </c>
      <c r="AS8" s="341"/>
    </row>
    <row r="9" spans="2:45" x14ac:dyDescent="0.35">
      <c r="B9" s="341" t="s">
        <v>238</v>
      </c>
      <c r="C9" s="341"/>
      <c r="D9" s="341"/>
      <c r="E9" s="342"/>
      <c r="F9" s="342"/>
      <c r="G9" s="342"/>
      <c r="H9" s="342"/>
      <c r="I9" s="342"/>
      <c r="J9" s="342"/>
      <c r="K9" s="342"/>
      <c r="L9" s="342">
        <f t="shared" si="0"/>
        <v>0</v>
      </c>
      <c r="M9" s="342"/>
      <c r="N9" s="342"/>
      <c r="O9" s="342"/>
      <c r="P9" s="342"/>
      <c r="Q9" s="342"/>
      <c r="R9" s="342"/>
      <c r="S9" s="342"/>
      <c r="T9" s="342">
        <f t="shared" si="1"/>
        <v>0</v>
      </c>
      <c r="U9" s="342"/>
      <c r="V9" s="342"/>
      <c r="W9" s="342"/>
      <c r="X9" s="342"/>
      <c r="Y9" s="342"/>
      <c r="Z9" s="342"/>
      <c r="AA9" s="342"/>
      <c r="AB9" s="342">
        <f t="shared" si="2"/>
        <v>0</v>
      </c>
      <c r="AC9" s="342"/>
      <c r="AD9" s="342"/>
      <c r="AE9" s="342"/>
      <c r="AF9" s="342"/>
      <c r="AG9" s="342"/>
      <c r="AH9" s="342"/>
      <c r="AI9" s="342"/>
      <c r="AJ9" s="342">
        <f t="shared" si="3"/>
        <v>0</v>
      </c>
      <c r="AK9" s="342"/>
      <c r="AL9" s="342"/>
      <c r="AM9" s="342"/>
      <c r="AN9" s="342"/>
      <c r="AO9" s="342"/>
      <c r="AP9" s="342"/>
      <c r="AQ9" s="342"/>
      <c r="AR9" s="342">
        <f t="shared" si="4"/>
        <v>0</v>
      </c>
      <c r="AS9" s="341"/>
    </row>
    <row r="10" spans="2:45" x14ac:dyDescent="0.35">
      <c r="B10" s="341" t="s">
        <v>238</v>
      </c>
      <c r="C10" s="341"/>
      <c r="D10" s="341"/>
      <c r="E10" s="342"/>
      <c r="F10" s="342"/>
      <c r="G10" s="342"/>
      <c r="H10" s="342"/>
      <c r="I10" s="342"/>
      <c r="J10" s="342"/>
      <c r="K10" s="342"/>
      <c r="L10" s="342">
        <f t="shared" si="0"/>
        <v>0</v>
      </c>
      <c r="M10" s="342"/>
      <c r="N10" s="342"/>
      <c r="O10" s="342"/>
      <c r="P10" s="342"/>
      <c r="Q10" s="342"/>
      <c r="R10" s="342"/>
      <c r="S10" s="342"/>
      <c r="T10" s="342">
        <f t="shared" si="1"/>
        <v>0</v>
      </c>
      <c r="U10" s="342"/>
      <c r="V10" s="342"/>
      <c r="W10" s="342"/>
      <c r="X10" s="342"/>
      <c r="Y10" s="342"/>
      <c r="Z10" s="342"/>
      <c r="AA10" s="342"/>
      <c r="AB10" s="342">
        <f t="shared" si="2"/>
        <v>0</v>
      </c>
      <c r="AC10" s="342"/>
      <c r="AD10" s="342"/>
      <c r="AE10" s="342"/>
      <c r="AF10" s="342"/>
      <c r="AG10" s="342"/>
      <c r="AH10" s="342"/>
      <c r="AI10" s="342"/>
      <c r="AJ10" s="342">
        <f t="shared" si="3"/>
        <v>0</v>
      </c>
      <c r="AK10" s="342"/>
      <c r="AL10" s="342"/>
      <c r="AM10" s="342"/>
      <c r="AN10" s="342"/>
      <c r="AO10" s="342"/>
      <c r="AP10" s="342"/>
      <c r="AQ10" s="342"/>
      <c r="AR10" s="342">
        <f t="shared" si="4"/>
        <v>0</v>
      </c>
      <c r="AS10" s="341"/>
    </row>
    <row r="11" spans="2:45" x14ac:dyDescent="0.35">
      <c r="B11" s="341" t="s">
        <v>238</v>
      </c>
      <c r="C11" s="341"/>
      <c r="D11" s="341"/>
      <c r="E11" s="342"/>
      <c r="F11" s="342"/>
      <c r="G11" s="342"/>
      <c r="H11" s="342"/>
      <c r="I11" s="342"/>
      <c r="J11" s="342"/>
      <c r="K11" s="342"/>
      <c r="L11" s="342">
        <f t="shared" si="0"/>
        <v>0</v>
      </c>
      <c r="M11" s="342"/>
      <c r="N11" s="342"/>
      <c r="O11" s="342"/>
      <c r="P11" s="342"/>
      <c r="Q11" s="342"/>
      <c r="R11" s="342"/>
      <c r="S11" s="342"/>
      <c r="T11" s="342">
        <f t="shared" si="1"/>
        <v>0</v>
      </c>
      <c r="U11" s="342"/>
      <c r="V11" s="342"/>
      <c r="W11" s="342"/>
      <c r="X11" s="342"/>
      <c r="Y11" s="342"/>
      <c r="Z11" s="342"/>
      <c r="AA11" s="342"/>
      <c r="AB11" s="342">
        <f t="shared" si="2"/>
        <v>0</v>
      </c>
      <c r="AC11" s="342"/>
      <c r="AD11" s="342"/>
      <c r="AE11" s="342"/>
      <c r="AF11" s="342"/>
      <c r="AG11" s="342"/>
      <c r="AH11" s="342"/>
      <c r="AI11" s="342"/>
      <c r="AJ11" s="342">
        <f t="shared" si="3"/>
        <v>0</v>
      </c>
      <c r="AK11" s="342"/>
      <c r="AL11" s="342"/>
      <c r="AM11" s="342"/>
      <c r="AN11" s="342"/>
      <c r="AO11" s="342"/>
      <c r="AP11" s="342"/>
      <c r="AQ11" s="342"/>
      <c r="AR11" s="342">
        <f t="shared" si="4"/>
        <v>0</v>
      </c>
      <c r="AS11" s="341"/>
    </row>
    <row r="12" spans="2:45" x14ac:dyDescent="0.35">
      <c r="B12" s="341" t="s">
        <v>238</v>
      </c>
      <c r="C12" s="341"/>
      <c r="D12" s="341"/>
      <c r="E12" s="342"/>
      <c r="F12" s="342"/>
      <c r="G12" s="342"/>
      <c r="H12" s="342"/>
      <c r="I12" s="342"/>
      <c r="J12" s="342"/>
      <c r="K12" s="342"/>
      <c r="L12" s="342">
        <f t="shared" si="0"/>
        <v>0</v>
      </c>
      <c r="M12" s="342"/>
      <c r="N12" s="342"/>
      <c r="O12" s="342"/>
      <c r="P12" s="342"/>
      <c r="Q12" s="342"/>
      <c r="R12" s="342"/>
      <c r="S12" s="342"/>
      <c r="T12" s="342">
        <f t="shared" si="1"/>
        <v>0</v>
      </c>
      <c r="U12" s="342"/>
      <c r="V12" s="342"/>
      <c r="W12" s="342"/>
      <c r="X12" s="342"/>
      <c r="Y12" s="342"/>
      <c r="Z12" s="342"/>
      <c r="AA12" s="342"/>
      <c r="AB12" s="342">
        <f t="shared" si="2"/>
        <v>0</v>
      </c>
      <c r="AC12" s="342"/>
      <c r="AD12" s="342"/>
      <c r="AE12" s="342"/>
      <c r="AF12" s="342"/>
      <c r="AG12" s="342"/>
      <c r="AH12" s="342"/>
      <c r="AI12" s="342"/>
      <c r="AJ12" s="342">
        <f t="shared" si="3"/>
        <v>0</v>
      </c>
      <c r="AK12" s="342"/>
      <c r="AL12" s="342"/>
      <c r="AM12" s="342"/>
      <c r="AN12" s="342"/>
      <c r="AO12" s="342"/>
      <c r="AP12" s="342"/>
      <c r="AQ12" s="342"/>
      <c r="AR12" s="342">
        <f t="shared" si="4"/>
        <v>0</v>
      </c>
      <c r="AS12" s="341"/>
    </row>
    <row r="13" spans="2:45" x14ac:dyDescent="0.35">
      <c r="B13" s="341" t="s">
        <v>238</v>
      </c>
      <c r="C13" s="341"/>
      <c r="D13" s="341"/>
      <c r="E13" s="342"/>
      <c r="F13" s="342"/>
      <c r="G13" s="342"/>
      <c r="H13" s="342"/>
      <c r="I13" s="342"/>
      <c r="J13" s="342"/>
      <c r="K13" s="342"/>
      <c r="L13" s="342">
        <f t="shared" si="0"/>
        <v>0</v>
      </c>
      <c r="M13" s="342"/>
      <c r="N13" s="342"/>
      <c r="O13" s="342"/>
      <c r="P13" s="342"/>
      <c r="Q13" s="342"/>
      <c r="R13" s="342"/>
      <c r="S13" s="342"/>
      <c r="T13" s="342">
        <f t="shared" si="1"/>
        <v>0</v>
      </c>
      <c r="U13" s="342"/>
      <c r="V13" s="342"/>
      <c r="W13" s="342"/>
      <c r="X13" s="342"/>
      <c r="Y13" s="342"/>
      <c r="Z13" s="342"/>
      <c r="AA13" s="342"/>
      <c r="AB13" s="342">
        <f t="shared" si="2"/>
        <v>0</v>
      </c>
      <c r="AC13" s="342"/>
      <c r="AD13" s="342"/>
      <c r="AE13" s="342"/>
      <c r="AF13" s="342"/>
      <c r="AG13" s="342"/>
      <c r="AH13" s="342"/>
      <c r="AI13" s="342"/>
      <c r="AJ13" s="342">
        <f t="shared" si="3"/>
        <v>0</v>
      </c>
      <c r="AK13" s="342"/>
      <c r="AL13" s="342"/>
      <c r="AM13" s="342"/>
      <c r="AN13" s="342"/>
      <c r="AO13" s="342"/>
      <c r="AP13" s="342"/>
      <c r="AQ13" s="342"/>
      <c r="AR13" s="342">
        <f t="shared" si="4"/>
        <v>0</v>
      </c>
      <c r="AS13" s="341"/>
    </row>
    <row r="14" spans="2:45" x14ac:dyDescent="0.35">
      <c r="B14" s="341" t="s">
        <v>238</v>
      </c>
      <c r="C14" s="341"/>
      <c r="D14" s="341"/>
      <c r="E14" s="342"/>
      <c r="F14" s="342"/>
      <c r="G14" s="342"/>
      <c r="H14" s="342"/>
      <c r="I14" s="342"/>
      <c r="J14" s="342"/>
      <c r="K14" s="342"/>
      <c r="L14" s="342">
        <f t="shared" si="0"/>
        <v>0</v>
      </c>
      <c r="M14" s="342"/>
      <c r="N14" s="342"/>
      <c r="O14" s="342"/>
      <c r="P14" s="342"/>
      <c r="Q14" s="342"/>
      <c r="R14" s="342"/>
      <c r="S14" s="342"/>
      <c r="T14" s="342">
        <f t="shared" si="1"/>
        <v>0</v>
      </c>
      <c r="U14" s="342"/>
      <c r="V14" s="342"/>
      <c r="W14" s="342"/>
      <c r="X14" s="342"/>
      <c r="Y14" s="342"/>
      <c r="Z14" s="342"/>
      <c r="AA14" s="342"/>
      <c r="AB14" s="342">
        <f t="shared" si="2"/>
        <v>0</v>
      </c>
      <c r="AC14" s="342"/>
      <c r="AD14" s="342"/>
      <c r="AE14" s="342"/>
      <c r="AF14" s="342"/>
      <c r="AG14" s="342"/>
      <c r="AH14" s="342"/>
      <c r="AI14" s="342"/>
      <c r="AJ14" s="342">
        <f t="shared" si="3"/>
        <v>0</v>
      </c>
      <c r="AK14" s="342"/>
      <c r="AL14" s="342"/>
      <c r="AM14" s="342"/>
      <c r="AN14" s="342"/>
      <c r="AO14" s="342"/>
      <c r="AP14" s="342"/>
      <c r="AQ14" s="342"/>
      <c r="AR14" s="342">
        <f t="shared" si="4"/>
        <v>0</v>
      </c>
      <c r="AS14" s="341"/>
    </row>
    <row r="15" spans="2:45" x14ac:dyDescent="0.35">
      <c r="B15" s="341" t="s">
        <v>238</v>
      </c>
      <c r="C15" s="341"/>
      <c r="D15" s="341"/>
      <c r="E15" s="342"/>
      <c r="F15" s="342"/>
      <c r="G15" s="342"/>
      <c r="H15" s="342"/>
      <c r="I15" s="342"/>
      <c r="J15" s="342"/>
      <c r="K15" s="342"/>
      <c r="L15" s="342">
        <f t="shared" si="0"/>
        <v>0</v>
      </c>
      <c r="M15" s="342"/>
      <c r="N15" s="342"/>
      <c r="O15" s="342"/>
      <c r="P15" s="342"/>
      <c r="Q15" s="342"/>
      <c r="R15" s="342"/>
      <c r="S15" s="342"/>
      <c r="T15" s="342">
        <f t="shared" si="1"/>
        <v>0</v>
      </c>
      <c r="U15" s="342"/>
      <c r="V15" s="342"/>
      <c r="W15" s="342"/>
      <c r="X15" s="342"/>
      <c r="Y15" s="342"/>
      <c r="Z15" s="342"/>
      <c r="AA15" s="342"/>
      <c r="AB15" s="342">
        <f t="shared" si="2"/>
        <v>0</v>
      </c>
      <c r="AC15" s="342"/>
      <c r="AD15" s="342"/>
      <c r="AE15" s="342"/>
      <c r="AF15" s="342"/>
      <c r="AG15" s="342"/>
      <c r="AH15" s="342"/>
      <c r="AI15" s="342"/>
      <c r="AJ15" s="342">
        <f t="shared" si="3"/>
        <v>0</v>
      </c>
      <c r="AK15" s="342"/>
      <c r="AL15" s="342"/>
      <c r="AM15" s="342"/>
      <c r="AN15" s="342"/>
      <c r="AO15" s="342"/>
      <c r="AP15" s="342"/>
      <c r="AQ15" s="342"/>
      <c r="AR15" s="342">
        <f t="shared" si="4"/>
        <v>0</v>
      </c>
      <c r="AS15" s="341"/>
    </row>
    <row r="16" spans="2:45" x14ac:dyDescent="0.35">
      <c r="B16" s="341" t="s">
        <v>238</v>
      </c>
      <c r="C16" s="341"/>
      <c r="D16" s="341"/>
      <c r="E16" s="342"/>
      <c r="F16" s="342"/>
      <c r="G16" s="342"/>
      <c r="H16" s="342"/>
      <c r="I16" s="342"/>
      <c r="J16" s="342"/>
      <c r="K16" s="342"/>
      <c r="L16" s="342">
        <f t="shared" si="0"/>
        <v>0</v>
      </c>
      <c r="M16" s="342"/>
      <c r="N16" s="342"/>
      <c r="O16" s="342"/>
      <c r="P16" s="342"/>
      <c r="Q16" s="342"/>
      <c r="R16" s="342"/>
      <c r="S16" s="342"/>
      <c r="T16" s="342">
        <f t="shared" si="1"/>
        <v>0</v>
      </c>
      <c r="U16" s="342"/>
      <c r="V16" s="342"/>
      <c r="W16" s="342"/>
      <c r="X16" s="342"/>
      <c r="Y16" s="342"/>
      <c r="Z16" s="342"/>
      <c r="AA16" s="342"/>
      <c r="AB16" s="342">
        <f t="shared" si="2"/>
        <v>0</v>
      </c>
      <c r="AC16" s="342"/>
      <c r="AD16" s="342"/>
      <c r="AE16" s="342"/>
      <c r="AF16" s="342"/>
      <c r="AG16" s="342"/>
      <c r="AH16" s="342"/>
      <c r="AI16" s="342"/>
      <c r="AJ16" s="342">
        <f t="shared" si="3"/>
        <v>0</v>
      </c>
      <c r="AK16" s="342"/>
      <c r="AL16" s="342"/>
      <c r="AM16" s="342"/>
      <c r="AN16" s="342"/>
      <c r="AO16" s="342"/>
      <c r="AP16" s="342"/>
      <c r="AQ16" s="342"/>
      <c r="AR16" s="342">
        <f t="shared" si="4"/>
        <v>0</v>
      </c>
      <c r="AS16" s="341"/>
    </row>
    <row r="17" spans="2:45" x14ac:dyDescent="0.35">
      <c r="B17" s="341" t="s">
        <v>238</v>
      </c>
      <c r="C17" s="341"/>
      <c r="D17" s="341"/>
      <c r="E17" s="342"/>
      <c r="F17" s="342"/>
      <c r="G17" s="342"/>
      <c r="H17" s="342"/>
      <c r="I17" s="342"/>
      <c r="J17" s="342"/>
      <c r="K17" s="342"/>
      <c r="L17" s="342">
        <f t="shared" si="0"/>
        <v>0</v>
      </c>
      <c r="M17" s="342"/>
      <c r="N17" s="342"/>
      <c r="O17" s="342"/>
      <c r="P17" s="342"/>
      <c r="Q17" s="342"/>
      <c r="R17" s="342"/>
      <c r="S17" s="342"/>
      <c r="T17" s="342">
        <f t="shared" si="1"/>
        <v>0</v>
      </c>
      <c r="U17" s="342"/>
      <c r="V17" s="342"/>
      <c r="W17" s="342"/>
      <c r="X17" s="342"/>
      <c r="Y17" s="342"/>
      <c r="Z17" s="342"/>
      <c r="AA17" s="342"/>
      <c r="AB17" s="342">
        <f t="shared" si="2"/>
        <v>0</v>
      </c>
      <c r="AC17" s="342"/>
      <c r="AD17" s="342"/>
      <c r="AE17" s="342"/>
      <c r="AF17" s="342"/>
      <c r="AG17" s="342"/>
      <c r="AH17" s="342"/>
      <c r="AI17" s="342"/>
      <c r="AJ17" s="342">
        <f t="shared" si="3"/>
        <v>0</v>
      </c>
      <c r="AK17" s="342"/>
      <c r="AL17" s="342"/>
      <c r="AM17" s="342"/>
      <c r="AN17" s="342"/>
      <c r="AO17" s="342"/>
      <c r="AP17" s="342"/>
      <c r="AQ17" s="342"/>
      <c r="AR17" s="342">
        <f t="shared" si="4"/>
        <v>0</v>
      </c>
      <c r="AS17" s="341"/>
    </row>
    <row r="18" spans="2:45" x14ac:dyDescent="0.35">
      <c r="B18" s="341" t="s">
        <v>238</v>
      </c>
      <c r="C18" s="341"/>
      <c r="D18" s="341"/>
      <c r="E18" s="342"/>
      <c r="F18" s="342"/>
      <c r="G18" s="342"/>
      <c r="H18" s="342"/>
      <c r="I18" s="342"/>
      <c r="J18" s="342"/>
      <c r="K18" s="342"/>
      <c r="L18" s="342">
        <f t="shared" si="0"/>
        <v>0</v>
      </c>
      <c r="M18" s="342"/>
      <c r="N18" s="342"/>
      <c r="O18" s="342"/>
      <c r="P18" s="342"/>
      <c r="Q18" s="342"/>
      <c r="R18" s="342"/>
      <c r="S18" s="342"/>
      <c r="T18" s="342">
        <f t="shared" si="1"/>
        <v>0</v>
      </c>
      <c r="U18" s="342"/>
      <c r="V18" s="342"/>
      <c r="W18" s="342"/>
      <c r="X18" s="342"/>
      <c r="Y18" s="342"/>
      <c r="Z18" s="342"/>
      <c r="AA18" s="342"/>
      <c r="AB18" s="342">
        <f t="shared" si="2"/>
        <v>0</v>
      </c>
      <c r="AC18" s="342"/>
      <c r="AD18" s="342"/>
      <c r="AE18" s="342"/>
      <c r="AF18" s="342"/>
      <c r="AG18" s="342"/>
      <c r="AH18" s="342"/>
      <c r="AI18" s="342"/>
      <c r="AJ18" s="342">
        <f t="shared" si="3"/>
        <v>0</v>
      </c>
      <c r="AK18" s="342"/>
      <c r="AL18" s="342"/>
      <c r="AM18" s="342"/>
      <c r="AN18" s="342"/>
      <c r="AO18" s="342"/>
      <c r="AP18" s="342"/>
      <c r="AQ18" s="342"/>
      <c r="AR18" s="342">
        <f t="shared" si="4"/>
        <v>0</v>
      </c>
      <c r="AS18" s="341"/>
    </row>
    <row r="19" spans="2:45" x14ac:dyDescent="0.35">
      <c r="B19" s="341" t="s">
        <v>238</v>
      </c>
      <c r="C19" s="341"/>
      <c r="D19" s="341"/>
      <c r="E19" s="342"/>
      <c r="F19" s="342"/>
      <c r="G19" s="342"/>
      <c r="H19" s="342"/>
      <c r="I19" s="342"/>
      <c r="J19" s="342"/>
      <c r="K19" s="342"/>
      <c r="L19" s="342">
        <f t="shared" si="0"/>
        <v>0</v>
      </c>
      <c r="M19" s="342"/>
      <c r="N19" s="342"/>
      <c r="O19" s="342"/>
      <c r="P19" s="342"/>
      <c r="Q19" s="342"/>
      <c r="R19" s="342"/>
      <c r="S19" s="342"/>
      <c r="T19" s="342">
        <f t="shared" si="1"/>
        <v>0</v>
      </c>
      <c r="U19" s="342"/>
      <c r="V19" s="342"/>
      <c r="W19" s="342"/>
      <c r="X19" s="342"/>
      <c r="Y19" s="342"/>
      <c r="Z19" s="342"/>
      <c r="AA19" s="342"/>
      <c r="AB19" s="342">
        <f t="shared" si="2"/>
        <v>0</v>
      </c>
      <c r="AC19" s="342"/>
      <c r="AD19" s="342"/>
      <c r="AE19" s="342"/>
      <c r="AF19" s="342"/>
      <c r="AG19" s="342"/>
      <c r="AH19" s="342"/>
      <c r="AI19" s="342"/>
      <c r="AJ19" s="342">
        <f t="shared" si="3"/>
        <v>0</v>
      </c>
      <c r="AK19" s="342"/>
      <c r="AL19" s="342"/>
      <c r="AM19" s="342"/>
      <c r="AN19" s="342"/>
      <c r="AO19" s="342"/>
      <c r="AP19" s="342"/>
      <c r="AQ19" s="342"/>
      <c r="AR19" s="342">
        <f t="shared" si="4"/>
        <v>0</v>
      </c>
      <c r="AS19" s="341"/>
    </row>
    <row r="20" spans="2:45" x14ac:dyDescent="0.35">
      <c r="B20" s="341" t="s">
        <v>238</v>
      </c>
      <c r="C20" s="341"/>
      <c r="D20" s="341"/>
      <c r="E20" s="342"/>
      <c r="F20" s="342"/>
      <c r="G20" s="342"/>
      <c r="H20" s="342"/>
      <c r="I20" s="342"/>
      <c r="J20" s="342"/>
      <c r="K20" s="342"/>
      <c r="L20" s="342">
        <f t="shared" si="0"/>
        <v>0</v>
      </c>
      <c r="M20" s="342"/>
      <c r="N20" s="342"/>
      <c r="O20" s="342"/>
      <c r="P20" s="342"/>
      <c r="Q20" s="342"/>
      <c r="R20" s="342"/>
      <c r="S20" s="342"/>
      <c r="T20" s="342">
        <f t="shared" si="1"/>
        <v>0</v>
      </c>
      <c r="U20" s="342"/>
      <c r="V20" s="342"/>
      <c r="W20" s="342"/>
      <c r="X20" s="342"/>
      <c r="Y20" s="342"/>
      <c r="Z20" s="342"/>
      <c r="AA20" s="342"/>
      <c r="AB20" s="342">
        <f t="shared" si="2"/>
        <v>0</v>
      </c>
      <c r="AC20" s="342"/>
      <c r="AD20" s="342"/>
      <c r="AE20" s="342"/>
      <c r="AF20" s="342"/>
      <c r="AG20" s="342"/>
      <c r="AH20" s="342"/>
      <c r="AI20" s="342"/>
      <c r="AJ20" s="342">
        <f t="shared" si="3"/>
        <v>0</v>
      </c>
      <c r="AK20" s="342"/>
      <c r="AL20" s="342"/>
      <c r="AM20" s="342"/>
      <c r="AN20" s="342"/>
      <c r="AO20" s="342"/>
      <c r="AP20" s="342"/>
      <c r="AQ20" s="342"/>
      <c r="AR20" s="342">
        <f t="shared" si="4"/>
        <v>0</v>
      </c>
      <c r="AS20" s="341"/>
    </row>
    <row r="21" spans="2:45" x14ac:dyDescent="0.35">
      <c r="B21" s="341" t="s">
        <v>238</v>
      </c>
      <c r="C21" s="341"/>
      <c r="D21" s="341"/>
      <c r="E21" s="342"/>
      <c r="F21" s="342"/>
      <c r="G21" s="342"/>
      <c r="H21" s="342"/>
      <c r="I21" s="342"/>
      <c r="J21" s="342"/>
      <c r="K21" s="342"/>
      <c r="L21" s="342">
        <f t="shared" si="0"/>
        <v>0</v>
      </c>
      <c r="M21" s="342"/>
      <c r="N21" s="342"/>
      <c r="O21" s="342"/>
      <c r="P21" s="342"/>
      <c r="Q21" s="342"/>
      <c r="R21" s="342"/>
      <c r="S21" s="342"/>
      <c r="T21" s="342">
        <f t="shared" si="1"/>
        <v>0</v>
      </c>
      <c r="U21" s="342"/>
      <c r="V21" s="342"/>
      <c r="W21" s="342"/>
      <c r="X21" s="342"/>
      <c r="Y21" s="342"/>
      <c r="Z21" s="342"/>
      <c r="AA21" s="342"/>
      <c r="AB21" s="342">
        <f t="shared" si="2"/>
        <v>0</v>
      </c>
      <c r="AC21" s="342"/>
      <c r="AD21" s="342"/>
      <c r="AE21" s="342"/>
      <c r="AF21" s="342"/>
      <c r="AG21" s="342"/>
      <c r="AH21" s="342"/>
      <c r="AI21" s="342"/>
      <c r="AJ21" s="342">
        <f t="shared" si="3"/>
        <v>0</v>
      </c>
      <c r="AK21" s="342"/>
      <c r="AL21" s="342"/>
      <c r="AM21" s="342"/>
      <c r="AN21" s="342"/>
      <c r="AO21" s="342"/>
      <c r="AP21" s="342"/>
      <c r="AQ21" s="342"/>
      <c r="AR21" s="342">
        <f t="shared" si="4"/>
        <v>0</v>
      </c>
      <c r="AS21" s="341"/>
    </row>
    <row r="22" spans="2:45" x14ac:dyDescent="0.35">
      <c r="B22" s="341" t="s">
        <v>238</v>
      </c>
      <c r="C22" s="341"/>
      <c r="D22" s="341"/>
      <c r="E22" s="342"/>
      <c r="F22" s="342"/>
      <c r="G22" s="342"/>
      <c r="H22" s="342"/>
      <c r="I22" s="342"/>
      <c r="J22" s="342"/>
      <c r="K22" s="342"/>
      <c r="L22" s="342">
        <f t="shared" si="0"/>
        <v>0</v>
      </c>
      <c r="M22" s="342"/>
      <c r="N22" s="342"/>
      <c r="O22" s="342"/>
      <c r="P22" s="342"/>
      <c r="Q22" s="342"/>
      <c r="R22" s="342"/>
      <c r="S22" s="342"/>
      <c r="T22" s="342">
        <f t="shared" si="1"/>
        <v>0</v>
      </c>
      <c r="U22" s="342"/>
      <c r="V22" s="342"/>
      <c r="W22" s="342"/>
      <c r="X22" s="342"/>
      <c r="Y22" s="342"/>
      <c r="Z22" s="342"/>
      <c r="AA22" s="342"/>
      <c r="AB22" s="342">
        <f t="shared" si="2"/>
        <v>0</v>
      </c>
      <c r="AC22" s="342"/>
      <c r="AD22" s="342"/>
      <c r="AE22" s="342"/>
      <c r="AF22" s="342"/>
      <c r="AG22" s="342"/>
      <c r="AH22" s="342"/>
      <c r="AI22" s="342"/>
      <c r="AJ22" s="342">
        <f t="shared" si="3"/>
        <v>0</v>
      </c>
      <c r="AK22" s="342"/>
      <c r="AL22" s="342"/>
      <c r="AM22" s="342"/>
      <c r="AN22" s="342"/>
      <c r="AO22" s="342"/>
      <c r="AP22" s="342"/>
      <c r="AQ22" s="342"/>
      <c r="AR22" s="342">
        <f t="shared" si="4"/>
        <v>0</v>
      </c>
      <c r="AS22" s="341"/>
    </row>
    <row r="23" spans="2:45" x14ac:dyDescent="0.35">
      <c r="B23" s="341" t="s">
        <v>238</v>
      </c>
      <c r="C23" s="341"/>
      <c r="D23" s="341"/>
      <c r="E23" s="342"/>
      <c r="F23" s="342"/>
      <c r="G23" s="342"/>
      <c r="H23" s="342"/>
      <c r="I23" s="342"/>
      <c r="J23" s="342"/>
      <c r="K23" s="342"/>
      <c r="L23" s="342">
        <f t="shared" si="0"/>
        <v>0</v>
      </c>
      <c r="M23" s="342"/>
      <c r="N23" s="342"/>
      <c r="O23" s="342"/>
      <c r="P23" s="342"/>
      <c r="Q23" s="342"/>
      <c r="R23" s="342"/>
      <c r="S23" s="342"/>
      <c r="T23" s="342">
        <f t="shared" si="1"/>
        <v>0</v>
      </c>
      <c r="U23" s="342"/>
      <c r="V23" s="342"/>
      <c r="W23" s="342"/>
      <c r="X23" s="342"/>
      <c r="Y23" s="342"/>
      <c r="Z23" s="342"/>
      <c r="AA23" s="342"/>
      <c r="AB23" s="342">
        <f t="shared" si="2"/>
        <v>0</v>
      </c>
      <c r="AC23" s="342"/>
      <c r="AD23" s="342"/>
      <c r="AE23" s="342"/>
      <c r="AF23" s="342"/>
      <c r="AG23" s="342"/>
      <c r="AH23" s="342"/>
      <c r="AI23" s="342"/>
      <c r="AJ23" s="342">
        <f t="shared" si="3"/>
        <v>0</v>
      </c>
      <c r="AK23" s="342"/>
      <c r="AL23" s="342"/>
      <c r="AM23" s="342"/>
      <c r="AN23" s="342"/>
      <c r="AO23" s="342"/>
      <c r="AP23" s="342"/>
      <c r="AQ23" s="342"/>
      <c r="AR23" s="342">
        <f t="shared" si="4"/>
        <v>0</v>
      </c>
      <c r="AS23" s="341"/>
    </row>
    <row r="24" spans="2:45" x14ac:dyDescent="0.35">
      <c r="B24" s="341" t="s">
        <v>238</v>
      </c>
      <c r="C24" s="341"/>
      <c r="D24" s="341"/>
      <c r="E24" s="342"/>
      <c r="F24" s="342"/>
      <c r="G24" s="342"/>
      <c r="H24" s="342"/>
      <c r="I24" s="342"/>
      <c r="J24" s="342"/>
      <c r="K24" s="342"/>
      <c r="L24" s="342">
        <f t="shared" si="0"/>
        <v>0</v>
      </c>
      <c r="M24" s="342"/>
      <c r="N24" s="342"/>
      <c r="O24" s="342"/>
      <c r="P24" s="342"/>
      <c r="Q24" s="342"/>
      <c r="R24" s="342"/>
      <c r="S24" s="342"/>
      <c r="T24" s="342">
        <f t="shared" si="1"/>
        <v>0</v>
      </c>
      <c r="U24" s="342"/>
      <c r="V24" s="342"/>
      <c r="W24" s="342"/>
      <c r="X24" s="342"/>
      <c r="Y24" s="342"/>
      <c r="Z24" s="342"/>
      <c r="AA24" s="342"/>
      <c r="AB24" s="342">
        <f t="shared" si="2"/>
        <v>0</v>
      </c>
      <c r="AC24" s="342"/>
      <c r="AD24" s="342"/>
      <c r="AE24" s="342"/>
      <c r="AF24" s="342"/>
      <c r="AG24" s="342"/>
      <c r="AH24" s="342"/>
      <c r="AI24" s="342"/>
      <c r="AJ24" s="342">
        <f t="shared" si="3"/>
        <v>0</v>
      </c>
      <c r="AK24" s="342"/>
      <c r="AL24" s="342"/>
      <c r="AM24" s="342"/>
      <c r="AN24" s="342"/>
      <c r="AO24" s="342"/>
      <c r="AP24" s="342"/>
      <c r="AQ24" s="342"/>
      <c r="AR24" s="342">
        <f t="shared" si="4"/>
        <v>0</v>
      </c>
      <c r="AS24" s="341"/>
    </row>
    <row r="25" spans="2:45" x14ac:dyDescent="0.35">
      <c r="B25" s="341" t="s">
        <v>238</v>
      </c>
      <c r="C25" s="341"/>
      <c r="D25" s="341"/>
      <c r="E25" s="342"/>
      <c r="F25" s="342"/>
      <c r="G25" s="342"/>
      <c r="H25" s="342"/>
      <c r="I25" s="342"/>
      <c r="J25" s="342"/>
      <c r="K25" s="342"/>
      <c r="L25" s="342">
        <f t="shared" si="0"/>
        <v>0</v>
      </c>
      <c r="M25" s="342"/>
      <c r="N25" s="342"/>
      <c r="O25" s="342"/>
      <c r="P25" s="342"/>
      <c r="Q25" s="342"/>
      <c r="R25" s="342"/>
      <c r="S25" s="342"/>
      <c r="T25" s="342">
        <f t="shared" si="1"/>
        <v>0</v>
      </c>
      <c r="U25" s="342"/>
      <c r="V25" s="342"/>
      <c r="W25" s="342"/>
      <c r="X25" s="342"/>
      <c r="Y25" s="342"/>
      <c r="Z25" s="342"/>
      <c r="AA25" s="342"/>
      <c r="AB25" s="342">
        <f t="shared" si="2"/>
        <v>0</v>
      </c>
      <c r="AC25" s="342"/>
      <c r="AD25" s="342"/>
      <c r="AE25" s="342"/>
      <c r="AF25" s="342"/>
      <c r="AG25" s="342"/>
      <c r="AH25" s="342"/>
      <c r="AI25" s="342"/>
      <c r="AJ25" s="342">
        <f t="shared" si="3"/>
        <v>0</v>
      </c>
      <c r="AK25" s="342"/>
      <c r="AL25" s="342"/>
      <c r="AM25" s="342"/>
      <c r="AN25" s="342"/>
      <c r="AO25" s="342"/>
      <c r="AP25" s="342"/>
      <c r="AQ25" s="342"/>
      <c r="AR25" s="342">
        <f t="shared" si="4"/>
        <v>0</v>
      </c>
      <c r="AS25" s="341"/>
    </row>
    <row r="26" spans="2:45" x14ac:dyDescent="0.35">
      <c r="B26" s="341" t="s">
        <v>238</v>
      </c>
      <c r="C26" s="341"/>
      <c r="D26" s="341"/>
      <c r="E26" s="342"/>
      <c r="F26" s="342"/>
      <c r="G26" s="342"/>
      <c r="H26" s="342"/>
      <c r="I26" s="342"/>
      <c r="J26" s="342"/>
      <c r="K26" s="342"/>
      <c r="L26" s="342">
        <f t="shared" si="0"/>
        <v>0</v>
      </c>
      <c r="M26" s="342"/>
      <c r="N26" s="342"/>
      <c r="O26" s="342"/>
      <c r="P26" s="342"/>
      <c r="Q26" s="342"/>
      <c r="R26" s="342"/>
      <c r="S26" s="342"/>
      <c r="T26" s="342">
        <f t="shared" si="1"/>
        <v>0</v>
      </c>
      <c r="U26" s="342"/>
      <c r="V26" s="342"/>
      <c r="W26" s="342"/>
      <c r="X26" s="342"/>
      <c r="Y26" s="342"/>
      <c r="Z26" s="342"/>
      <c r="AA26" s="342"/>
      <c r="AB26" s="342">
        <f t="shared" si="2"/>
        <v>0</v>
      </c>
      <c r="AC26" s="342"/>
      <c r="AD26" s="342"/>
      <c r="AE26" s="342"/>
      <c r="AF26" s="342"/>
      <c r="AG26" s="342"/>
      <c r="AH26" s="342"/>
      <c r="AI26" s="342"/>
      <c r="AJ26" s="342">
        <f t="shared" si="3"/>
        <v>0</v>
      </c>
      <c r="AK26" s="342"/>
      <c r="AL26" s="342"/>
      <c r="AM26" s="342"/>
      <c r="AN26" s="342"/>
      <c r="AO26" s="342"/>
      <c r="AP26" s="342"/>
      <c r="AQ26" s="342"/>
      <c r="AR26" s="342">
        <f t="shared" si="4"/>
        <v>0</v>
      </c>
      <c r="AS26" s="341"/>
    </row>
    <row r="27" spans="2:45" x14ac:dyDescent="0.35">
      <c r="B27" s="341" t="s">
        <v>238</v>
      </c>
      <c r="C27" s="341"/>
      <c r="D27" s="341"/>
      <c r="E27" s="342"/>
      <c r="F27" s="342"/>
      <c r="G27" s="342"/>
      <c r="H27" s="342"/>
      <c r="I27" s="342"/>
      <c r="J27" s="342"/>
      <c r="K27" s="342"/>
      <c r="L27" s="342">
        <f t="shared" si="0"/>
        <v>0</v>
      </c>
      <c r="M27" s="342"/>
      <c r="N27" s="342"/>
      <c r="O27" s="342"/>
      <c r="P27" s="342"/>
      <c r="Q27" s="342"/>
      <c r="R27" s="342"/>
      <c r="S27" s="342"/>
      <c r="T27" s="342">
        <f t="shared" si="1"/>
        <v>0</v>
      </c>
      <c r="U27" s="342"/>
      <c r="V27" s="342"/>
      <c r="W27" s="342"/>
      <c r="X27" s="342"/>
      <c r="Y27" s="342"/>
      <c r="Z27" s="342"/>
      <c r="AA27" s="342"/>
      <c r="AB27" s="342">
        <f t="shared" si="2"/>
        <v>0</v>
      </c>
      <c r="AC27" s="342"/>
      <c r="AD27" s="342"/>
      <c r="AE27" s="342"/>
      <c r="AF27" s="342"/>
      <c r="AG27" s="342"/>
      <c r="AH27" s="342"/>
      <c r="AI27" s="342"/>
      <c r="AJ27" s="342">
        <f t="shared" si="3"/>
        <v>0</v>
      </c>
      <c r="AK27" s="342"/>
      <c r="AL27" s="342"/>
      <c r="AM27" s="342"/>
      <c r="AN27" s="342"/>
      <c r="AO27" s="342"/>
      <c r="AP27" s="342"/>
      <c r="AQ27" s="342"/>
      <c r="AR27" s="342">
        <f t="shared" si="4"/>
        <v>0</v>
      </c>
      <c r="AS27" s="341"/>
    </row>
    <row r="28" spans="2:45" x14ac:dyDescent="0.35">
      <c r="B28" s="341" t="s">
        <v>238</v>
      </c>
      <c r="C28" s="341"/>
      <c r="D28" s="341"/>
      <c r="E28" s="342"/>
      <c r="F28" s="342"/>
      <c r="G28" s="342"/>
      <c r="H28" s="342"/>
      <c r="I28" s="342"/>
      <c r="J28" s="342"/>
      <c r="K28" s="342"/>
      <c r="L28" s="342">
        <f t="shared" si="0"/>
        <v>0</v>
      </c>
      <c r="M28" s="342"/>
      <c r="N28" s="342"/>
      <c r="O28" s="342"/>
      <c r="P28" s="342"/>
      <c r="Q28" s="342"/>
      <c r="R28" s="342"/>
      <c r="S28" s="342"/>
      <c r="T28" s="342">
        <f t="shared" si="1"/>
        <v>0</v>
      </c>
      <c r="U28" s="342"/>
      <c r="V28" s="342"/>
      <c r="W28" s="342"/>
      <c r="X28" s="342"/>
      <c r="Y28" s="342"/>
      <c r="Z28" s="342"/>
      <c r="AA28" s="342"/>
      <c r="AB28" s="342">
        <f t="shared" si="2"/>
        <v>0</v>
      </c>
      <c r="AC28" s="342"/>
      <c r="AD28" s="342"/>
      <c r="AE28" s="342"/>
      <c r="AF28" s="342"/>
      <c r="AG28" s="342"/>
      <c r="AH28" s="342"/>
      <c r="AI28" s="342"/>
      <c r="AJ28" s="342">
        <f t="shared" si="3"/>
        <v>0</v>
      </c>
      <c r="AK28" s="342"/>
      <c r="AL28" s="342"/>
      <c r="AM28" s="342"/>
      <c r="AN28" s="342"/>
      <c r="AO28" s="342"/>
      <c r="AP28" s="342"/>
      <c r="AQ28" s="342"/>
      <c r="AR28" s="342">
        <f t="shared" si="4"/>
        <v>0</v>
      </c>
      <c r="AS28" s="341"/>
    </row>
    <row r="29" spans="2:45" x14ac:dyDescent="0.35">
      <c r="B29" s="341" t="s">
        <v>238</v>
      </c>
      <c r="C29" s="341"/>
      <c r="D29" s="341"/>
      <c r="E29" s="342"/>
      <c r="F29" s="342"/>
      <c r="G29" s="342"/>
      <c r="H29" s="342"/>
      <c r="I29" s="342"/>
      <c r="J29" s="342"/>
      <c r="K29" s="342"/>
      <c r="L29" s="342">
        <f t="shared" si="0"/>
        <v>0</v>
      </c>
      <c r="M29" s="342"/>
      <c r="N29" s="342"/>
      <c r="O29" s="342"/>
      <c r="P29" s="342"/>
      <c r="Q29" s="342"/>
      <c r="R29" s="342"/>
      <c r="S29" s="342"/>
      <c r="T29" s="342">
        <f t="shared" si="1"/>
        <v>0</v>
      </c>
      <c r="U29" s="342"/>
      <c r="V29" s="342"/>
      <c r="W29" s="342"/>
      <c r="X29" s="342"/>
      <c r="Y29" s="342"/>
      <c r="Z29" s="342"/>
      <c r="AA29" s="342"/>
      <c r="AB29" s="342">
        <f t="shared" si="2"/>
        <v>0</v>
      </c>
      <c r="AC29" s="342"/>
      <c r="AD29" s="342"/>
      <c r="AE29" s="342"/>
      <c r="AF29" s="342"/>
      <c r="AG29" s="342"/>
      <c r="AH29" s="342"/>
      <c r="AI29" s="342"/>
      <c r="AJ29" s="342">
        <f t="shared" si="3"/>
        <v>0</v>
      </c>
      <c r="AK29" s="342"/>
      <c r="AL29" s="342"/>
      <c r="AM29" s="342"/>
      <c r="AN29" s="342"/>
      <c r="AO29" s="342"/>
      <c r="AP29" s="342"/>
      <c r="AQ29" s="342"/>
      <c r="AR29" s="342">
        <f t="shared" si="4"/>
        <v>0</v>
      </c>
      <c r="AS29" s="341"/>
    </row>
    <row r="30" spans="2:45" x14ac:dyDescent="0.35">
      <c r="B30" s="341" t="s">
        <v>238</v>
      </c>
      <c r="C30" s="341"/>
      <c r="D30" s="341"/>
      <c r="E30" s="342"/>
      <c r="F30" s="342"/>
      <c r="G30" s="342"/>
      <c r="H30" s="342"/>
      <c r="I30" s="342"/>
      <c r="J30" s="342"/>
      <c r="K30" s="342"/>
      <c r="L30" s="342">
        <f t="shared" si="0"/>
        <v>0</v>
      </c>
      <c r="M30" s="342"/>
      <c r="N30" s="342"/>
      <c r="O30" s="342"/>
      <c r="P30" s="342"/>
      <c r="Q30" s="342"/>
      <c r="R30" s="342"/>
      <c r="S30" s="342"/>
      <c r="T30" s="342">
        <f t="shared" si="1"/>
        <v>0</v>
      </c>
      <c r="U30" s="342"/>
      <c r="V30" s="342"/>
      <c r="W30" s="342"/>
      <c r="X30" s="342"/>
      <c r="Y30" s="342"/>
      <c r="Z30" s="342"/>
      <c r="AA30" s="342"/>
      <c r="AB30" s="342">
        <f t="shared" si="2"/>
        <v>0</v>
      </c>
      <c r="AC30" s="342"/>
      <c r="AD30" s="342"/>
      <c r="AE30" s="342"/>
      <c r="AF30" s="342"/>
      <c r="AG30" s="342"/>
      <c r="AH30" s="342"/>
      <c r="AI30" s="342"/>
      <c r="AJ30" s="342">
        <f t="shared" si="3"/>
        <v>0</v>
      </c>
      <c r="AK30" s="342"/>
      <c r="AL30" s="342"/>
      <c r="AM30" s="342"/>
      <c r="AN30" s="342"/>
      <c r="AO30" s="342"/>
      <c r="AP30" s="342"/>
      <c r="AQ30" s="342"/>
      <c r="AR30" s="342">
        <f t="shared" si="4"/>
        <v>0</v>
      </c>
      <c r="AS30" s="341"/>
    </row>
    <row r="31" spans="2:45" x14ac:dyDescent="0.35">
      <c r="B31" s="341" t="s">
        <v>238</v>
      </c>
      <c r="C31" s="341"/>
      <c r="D31" s="341"/>
      <c r="E31" s="342"/>
      <c r="F31" s="342"/>
      <c r="G31" s="342"/>
      <c r="H31" s="342"/>
      <c r="I31" s="342"/>
      <c r="J31" s="342"/>
      <c r="K31" s="342"/>
      <c r="L31" s="342">
        <f t="shared" si="0"/>
        <v>0</v>
      </c>
      <c r="M31" s="342"/>
      <c r="N31" s="342"/>
      <c r="O31" s="342"/>
      <c r="P31" s="342"/>
      <c r="Q31" s="342"/>
      <c r="R31" s="342"/>
      <c r="S31" s="342"/>
      <c r="T31" s="342">
        <f t="shared" si="1"/>
        <v>0</v>
      </c>
      <c r="U31" s="342"/>
      <c r="V31" s="342"/>
      <c r="W31" s="342"/>
      <c r="X31" s="342"/>
      <c r="Y31" s="342"/>
      <c r="Z31" s="342"/>
      <c r="AA31" s="342"/>
      <c r="AB31" s="342">
        <f t="shared" si="2"/>
        <v>0</v>
      </c>
      <c r="AC31" s="342"/>
      <c r="AD31" s="342"/>
      <c r="AE31" s="342"/>
      <c r="AF31" s="342"/>
      <c r="AG31" s="342"/>
      <c r="AH31" s="342"/>
      <c r="AI31" s="342"/>
      <c r="AJ31" s="342">
        <f t="shared" si="3"/>
        <v>0</v>
      </c>
      <c r="AK31" s="342"/>
      <c r="AL31" s="342"/>
      <c r="AM31" s="342"/>
      <c r="AN31" s="342"/>
      <c r="AO31" s="342"/>
      <c r="AP31" s="342"/>
      <c r="AQ31" s="342"/>
      <c r="AR31" s="342">
        <f t="shared" si="4"/>
        <v>0</v>
      </c>
      <c r="AS31" s="341"/>
    </row>
    <row r="32" spans="2:45" x14ac:dyDescent="0.35">
      <c r="B32" s="341" t="s">
        <v>238</v>
      </c>
      <c r="C32" s="341"/>
      <c r="D32" s="341"/>
      <c r="E32" s="342"/>
      <c r="F32" s="342"/>
      <c r="G32" s="342"/>
      <c r="H32" s="342"/>
      <c r="I32" s="342"/>
      <c r="J32" s="342"/>
      <c r="K32" s="342"/>
      <c r="L32" s="342">
        <f t="shared" si="0"/>
        <v>0</v>
      </c>
      <c r="M32" s="342"/>
      <c r="N32" s="342"/>
      <c r="O32" s="342"/>
      <c r="P32" s="342"/>
      <c r="Q32" s="342"/>
      <c r="R32" s="342"/>
      <c r="S32" s="342"/>
      <c r="T32" s="342">
        <f t="shared" si="1"/>
        <v>0</v>
      </c>
      <c r="U32" s="342"/>
      <c r="V32" s="342"/>
      <c r="W32" s="342"/>
      <c r="X32" s="342"/>
      <c r="Y32" s="342"/>
      <c r="Z32" s="342"/>
      <c r="AA32" s="342"/>
      <c r="AB32" s="342">
        <f t="shared" si="2"/>
        <v>0</v>
      </c>
      <c r="AC32" s="342"/>
      <c r="AD32" s="342"/>
      <c r="AE32" s="342"/>
      <c r="AF32" s="342"/>
      <c r="AG32" s="342"/>
      <c r="AH32" s="342"/>
      <c r="AI32" s="342"/>
      <c r="AJ32" s="342">
        <f t="shared" si="3"/>
        <v>0</v>
      </c>
      <c r="AK32" s="342"/>
      <c r="AL32" s="342"/>
      <c r="AM32" s="342"/>
      <c r="AN32" s="342"/>
      <c r="AO32" s="342"/>
      <c r="AP32" s="342"/>
      <c r="AQ32" s="342"/>
      <c r="AR32" s="342">
        <f t="shared" si="4"/>
        <v>0</v>
      </c>
      <c r="AS32" s="341"/>
    </row>
    <row r="33" spans="2:45" x14ac:dyDescent="0.35">
      <c r="B33" s="341" t="s">
        <v>238</v>
      </c>
      <c r="C33" s="341"/>
      <c r="D33" s="341"/>
      <c r="E33" s="342"/>
      <c r="F33" s="342"/>
      <c r="G33" s="342"/>
      <c r="H33" s="342"/>
      <c r="I33" s="342"/>
      <c r="J33" s="342"/>
      <c r="K33" s="342"/>
      <c r="L33" s="342">
        <f t="shared" si="0"/>
        <v>0</v>
      </c>
      <c r="M33" s="342"/>
      <c r="N33" s="342"/>
      <c r="O33" s="342"/>
      <c r="P33" s="342"/>
      <c r="Q33" s="342"/>
      <c r="R33" s="342"/>
      <c r="S33" s="342"/>
      <c r="T33" s="342">
        <f t="shared" si="1"/>
        <v>0</v>
      </c>
      <c r="U33" s="342"/>
      <c r="V33" s="342"/>
      <c r="W33" s="342"/>
      <c r="X33" s="342"/>
      <c r="Y33" s="342"/>
      <c r="Z33" s="342"/>
      <c r="AA33" s="342"/>
      <c r="AB33" s="342">
        <f t="shared" si="2"/>
        <v>0</v>
      </c>
      <c r="AC33" s="342"/>
      <c r="AD33" s="342"/>
      <c r="AE33" s="342"/>
      <c r="AF33" s="342"/>
      <c r="AG33" s="342"/>
      <c r="AH33" s="342"/>
      <c r="AI33" s="342"/>
      <c r="AJ33" s="342">
        <f t="shared" si="3"/>
        <v>0</v>
      </c>
      <c r="AK33" s="342"/>
      <c r="AL33" s="342"/>
      <c r="AM33" s="342"/>
      <c r="AN33" s="342"/>
      <c r="AO33" s="342"/>
      <c r="AP33" s="342"/>
      <c r="AQ33" s="342"/>
      <c r="AR33" s="342">
        <f t="shared" si="4"/>
        <v>0</v>
      </c>
      <c r="AS33" s="341"/>
    </row>
    <row r="34" spans="2:45" x14ac:dyDescent="0.35">
      <c r="B34" s="341" t="s">
        <v>238</v>
      </c>
      <c r="C34" s="341"/>
      <c r="D34" s="341"/>
      <c r="E34" s="342"/>
      <c r="F34" s="342"/>
      <c r="G34" s="342"/>
      <c r="H34" s="342"/>
      <c r="I34" s="342"/>
      <c r="J34" s="342"/>
      <c r="K34" s="342"/>
      <c r="L34" s="342">
        <f t="shared" si="0"/>
        <v>0</v>
      </c>
      <c r="M34" s="342"/>
      <c r="N34" s="342"/>
      <c r="O34" s="342"/>
      <c r="P34" s="342"/>
      <c r="Q34" s="342"/>
      <c r="R34" s="342"/>
      <c r="S34" s="342"/>
      <c r="T34" s="342">
        <f t="shared" si="1"/>
        <v>0</v>
      </c>
      <c r="U34" s="342"/>
      <c r="V34" s="342"/>
      <c r="W34" s="342"/>
      <c r="X34" s="342"/>
      <c r="Y34" s="342"/>
      <c r="Z34" s="342"/>
      <c r="AA34" s="342"/>
      <c r="AB34" s="342">
        <f t="shared" si="2"/>
        <v>0</v>
      </c>
      <c r="AC34" s="342"/>
      <c r="AD34" s="342"/>
      <c r="AE34" s="342"/>
      <c r="AF34" s="342"/>
      <c r="AG34" s="342"/>
      <c r="AH34" s="342"/>
      <c r="AI34" s="342"/>
      <c r="AJ34" s="342">
        <f t="shared" si="3"/>
        <v>0</v>
      </c>
      <c r="AK34" s="342"/>
      <c r="AL34" s="342"/>
      <c r="AM34" s="342"/>
      <c r="AN34" s="342"/>
      <c r="AO34" s="342"/>
      <c r="AP34" s="342"/>
      <c r="AQ34" s="342"/>
      <c r="AR34" s="342">
        <f t="shared" si="4"/>
        <v>0</v>
      </c>
      <c r="AS34" s="341"/>
    </row>
    <row r="35" spans="2:45" x14ac:dyDescent="0.35">
      <c r="B35" s="341" t="s">
        <v>238</v>
      </c>
      <c r="C35" s="341"/>
      <c r="D35" s="341"/>
      <c r="E35" s="342"/>
      <c r="F35" s="342"/>
      <c r="G35" s="342"/>
      <c r="H35" s="342"/>
      <c r="I35" s="342"/>
      <c r="J35" s="342"/>
      <c r="K35" s="342"/>
      <c r="L35" s="342">
        <f t="shared" si="0"/>
        <v>0</v>
      </c>
      <c r="M35" s="342"/>
      <c r="N35" s="342"/>
      <c r="O35" s="342"/>
      <c r="P35" s="342"/>
      <c r="Q35" s="342"/>
      <c r="R35" s="342"/>
      <c r="S35" s="342"/>
      <c r="T35" s="342">
        <f t="shared" si="1"/>
        <v>0</v>
      </c>
      <c r="U35" s="342"/>
      <c r="V35" s="342"/>
      <c r="W35" s="342"/>
      <c r="X35" s="342"/>
      <c r="Y35" s="342"/>
      <c r="Z35" s="342"/>
      <c r="AA35" s="342"/>
      <c r="AB35" s="342">
        <f t="shared" si="2"/>
        <v>0</v>
      </c>
      <c r="AC35" s="342"/>
      <c r="AD35" s="342"/>
      <c r="AE35" s="342"/>
      <c r="AF35" s="342"/>
      <c r="AG35" s="342"/>
      <c r="AH35" s="342"/>
      <c r="AI35" s="342"/>
      <c r="AJ35" s="342">
        <f t="shared" si="3"/>
        <v>0</v>
      </c>
      <c r="AK35" s="342"/>
      <c r="AL35" s="342"/>
      <c r="AM35" s="342"/>
      <c r="AN35" s="342"/>
      <c r="AO35" s="342"/>
      <c r="AP35" s="342"/>
      <c r="AQ35" s="342"/>
      <c r="AR35" s="342">
        <f t="shared" si="4"/>
        <v>0</v>
      </c>
      <c r="AS35" s="341"/>
    </row>
    <row r="36" spans="2:45" x14ac:dyDescent="0.35">
      <c r="B36" s="341" t="s">
        <v>238</v>
      </c>
      <c r="C36" s="341"/>
      <c r="D36" s="341"/>
      <c r="E36" s="342"/>
      <c r="F36" s="342"/>
      <c r="G36" s="342"/>
      <c r="H36" s="342"/>
      <c r="I36" s="342"/>
      <c r="J36" s="342"/>
      <c r="K36" s="342"/>
      <c r="L36" s="342">
        <f t="shared" si="0"/>
        <v>0</v>
      </c>
      <c r="M36" s="342"/>
      <c r="N36" s="342"/>
      <c r="O36" s="342"/>
      <c r="P36" s="342"/>
      <c r="Q36" s="342"/>
      <c r="R36" s="342"/>
      <c r="S36" s="342"/>
      <c r="T36" s="342">
        <f t="shared" si="1"/>
        <v>0</v>
      </c>
      <c r="U36" s="342"/>
      <c r="V36" s="342"/>
      <c r="W36" s="342"/>
      <c r="X36" s="342"/>
      <c r="Y36" s="342"/>
      <c r="Z36" s="342"/>
      <c r="AA36" s="342"/>
      <c r="AB36" s="342">
        <f t="shared" si="2"/>
        <v>0</v>
      </c>
      <c r="AC36" s="342"/>
      <c r="AD36" s="342"/>
      <c r="AE36" s="342"/>
      <c r="AF36" s="342"/>
      <c r="AG36" s="342"/>
      <c r="AH36" s="342"/>
      <c r="AI36" s="342"/>
      <c r="AJ36" s="342">
        <f t="shared" si="3"/>
        <v>0</v>
      </c>
      <c r="AK36" s="342"/>
      <c r="AL36" s="342"/>
      <c r="AM36" s="342"/>
      <c r="AN36" s="342"/>
      <c r="AO36" s="342"/>
      <c r="AP36" s="342"/>
      <c r="AQ36" s="342"/>
      <c r="AR36" s="342">
        <f t="shared" si="4"/>
        <v>0</v>
      </c>
      <c r="AS36" s="341"/>
    </row>
    <row r="37" spans="2:45" x14ac:dyDescent="0.35">
      <c r="B37" s="341" t="s">
        <v>238</v>
      </c>
      <c r="C37" s="341"/>
      <c r="D37" s="341"/>
      <c r="E37" s="342"/>
      <c r="F37" s="342"/>
      <c r="G37" s="342"/>
      <c r="H37" s="342"/>
      <c r="I37" s="342"/>
      <c r="J37" s="342"/>
      <c r="K37" s="342"/>
      <c r="L37" s="342">
        <f t="shared" si="0"/>
        <v>0</v>
      </c>
      <c r="M37" s="342"/>
      <c r="N37" s="342"/>
      <c r="O37" s="342"/>
      <c r="P37" s="342"/>
      <c r="Q37" s="342"/>
      <c r="R37" s="342"/>
      <c r="S37" s="342"/>
      <c r="T37" s="342">
        <f t="shared" si="1"/>
        <v>0</v>
      </c>
      <c r="U37" s="342"/>
      <c r="V37" s="342"/>
      <c r="W37" s="342"/>
      <c r="X37" s="342"/>
      <c r="Y37" s="342"/>
      <c r="Z37" s="342"/>
      <c r="AA37" s="342"/>
      <c r="AB37" s="342">
        <f t="shared" si="2"/>
        <v>0</v>
      </c>
      <c r="AC37" s="342"/>
      <c r="AD37" s="342"/>
      <c r="AE37" s="342"/>
      <c r="AF37" s="342"/>
      <c r="AG37" s="342"/>
      <c r="AH37" s="342"/>
      <c r="AI37" s="342"/>
      <c r="AJ37" s="342">
        <f t="shared" si="3"/>
        <v>0</v>
      </c>
      <c r="AK37" s="342"/>
      <c r="AL37" s="342"/>
      <c r="AM37" s="342"/>
      <c r="AN37" s="342"/>
      <c r="AO37" s="342"/>
      <c r="AP37" s="342"/>
      <c r="AQ37" s="342"/>
      <c r="AR37" s="342">
        <f t="shared" si="4"/>
        <v>0</v>
      </c>
      <c r="AS37" s="341"/>
    </row>
    <row r="38" spans="2:45" x14ac:dyDescent="0.35">
      <c r="B38" s="341" t="s">
        <v>238</v>
      </c>
      <c r="C38" s="341"/>
      <c r="D38" s="341"/>
      <c r="E38" s="342"/>
      <c r="F38" s="342"/>
      <c r="G38" s="342"/>
      <c r="H38" s="342"/>
      <c r="I38" s="342"/>
      <c r="J38" s="342"/>
      <c r="K38" s="342"/>
      <c r="L38" s="342">
        <f t="shared" si="0"/>
        <v>0</v>
      </c>
      <c r="M38" s="342"/>
      <c r="N38" s="342"/>
      <c r="O38" s="342"/>
      <c r="P38" s="342"/>
      <c r="Q38" s="342"/>
      <c r="R38" s="342"/>
      <c r="S38" s="342"/>
      <c r="T38" s="342">
        <f t="shared" si="1"/>
        <v>0</v>
      </c>
      <c r="U38" s="342"/>
      <c r="V38" s="342"/>
      <c r="W38" s="342"/>
      <c r="X38" s="342"/>
      <c r="Y38" s="342"/>
      <c r="Z38" s="342"/>
      <c r="AA38" s="342"/>
      <c r="AB38" s="342">
        <f t="shared" si="2"/>
        <v>0</v>
      </c>
      <c r="AC38" s="342"/>
      <c r="AD38" s="342"/>
      <c r="AE38" s="342"/>
      <c r="AF38" s="342"/>
      <c r="AG38" s="342"/>
      <c r="AH38" s="342"/>
      <c r="AI38" s="342"/>
      <c r="AJ38" s="342">
        <f t="shared" si="3"/>
        <v>0</v>
      </c>
      <c r="AK38" s="342"/>
      <c r="AL38" s="342"/>
      <c r="AM38" s="342"/>
      <c r="AN38" s="342"/>
      <c r="AO38" s="342"/>
      <c r="AP38" s="342"/>
      <c r="AQ38" s="342"/>
      <c r="AR38" s="342">
        <f t="shared" si="4"/>
        <v>0</v>
      </c>
      <c r="AS38" s="341"/>
    </row>
    <row r="39" spans="2:45" x14ac:dyDescent="0.35">
      <c r="B39" s="341" t="s">
        <v>238</v>
      </c>
      <c r="C39" s="341"/>
      <c r="D39" s="341"/>
      <c r="E39" s="342"/>
      <c r="F39" s="342"/>
      <c r="G39" s="342"/>
      <c r="H39" s="342"/>
      <c r="I39" s="342"/>
      <c r="J39" s="342"/>
      <c r="K39" s="342"/>
      <c r="L39" s="342">
        <f t="shared" si="0"/>
        <v>0</v>
      </c>
      <c r="M39" s="342"/>
      <c r="N39" s="342"/>
      <c r="O39" s="342"/>
      <c r="P39" s="342"/>
      <c r="Q39" s="342"/>
      <c r="R39" s="342"/>
      <c r="S39" s="342"/>
      <c r="T39" s="342">
        <f t="shared" si="1"/>
        <v>0</v>
      </c>
      <c r="U39" s="342"/>
      <c r="V39" s="342"/>
      <c r="W39" s="342"/>
      <c r="X39" s="342"/>
      <c r="Y39" s="342"/>
      <c r="Z39" s="342"/>
      <c r="AA39" s="342"/>
      <c r="AB39" s="342">
        <f t="shared" si="2"/>
        <v>0</v>
      </c>
      <c r="AC39" s="342"/>
      <c r="AD39" s="342"/>
      <c r="AE39" s="342"/>
      <c r="AF39" s="342"/>
      <c r="AG39" s="342"/>
      <c r="AH39" s="342"/>
      <c r="AI39" s="342"/>
      <c r="AJ39" s="342">
        <f t="shared" si="3"/>
        <v>0</v>
      </c>
      <c r="AK39" s="342"/>
      <c r="AL39" s="342"/>
      <c r="AM39" s="342"/>
      <c r="AN39" s="342"/>
      <c r="AO39" s="342"/>
      <c r="AP39" s="342"/>
      <c r="AQ39" s="342"/>
      <c r="AR39" s="342">
        <f t="shared" si="4"/>
        <v>0</v>
      </c>
      <c r="AS39" s="341"/>
    </row>
    <row r="40" spans="2:45" x14ac:dyDescent="0.35">
      <c r="B40" s="341"/>
      <c r="C40" s="341"/>
      <c r="D40" s="341"/>
      <c r="E40" s="342"/>
      <c r="F40" s="342"/>
      <c r="G40" s="342"/>
      <c r="H40" s="342"/>
      <c r="I40" s="342"/>
      <c r="J40" s="342"/>
      <c r="K40" s="342"/>
      <c r="L40" s="342">
        <f t="shared" si="0"/>
        <v>0</v>
      </c>
      <c r="M40" s="342"/>
      <c r="N40" s="342"/>
      <c r="O40" s="342"/>
      <c r="P40" s="342"/>
      <c r="Q40" s="342"/>
      <c r="R40" s="342"/>
      <c r="S40" s="342"/>
      <c r="T40" s="342">
        <f t="shared" si="1"/>
        <v>0</v>
      </c>
      <c r="U40" s="342"/>
      <c r="V40" s="342"/>
      <c r="W40" s="342"/>
      <c r="X40" s="342"/>
      <c r="Y40" s="342"/>
      <c r="Z40" s="342"/>
      <c r="AA40" s="342"/>
      <c r="AB40" s="342">
        <f t="shared" si="2"/>
        <v>0</v>
      </c>
      <c r="AC40" s="342"/>
      <c r="AD40" s="342"/>
      <c r="AE40" s="342"/>
      <c r="AF40" s="342"/>
      <c r="AG40" s="342"/>
      <c r="AH40" s="342"/>
      <c r="AI40" s="342"/>
      <c r="AJ40" s="342">
        <f t="shared" si="3"/>
        <v>0</v>
      </c>
      <c r="AK40" s="342"/>
      <c r="AL40" s="342"/>
      <c r="AM40" s="342"/>
      <c r="AN40" s="342"/>
      <c r="AO40" s="342"/>
      <c r="AP40" s="342"/>
      <c r="AQ40" s="342"/>
      <c r="AR40" s="342">
        <f t="shared" si="4"/>
        <v>0</v>
      </c>
      <c r="AS40" s="341"/>
    </row>
    <row r="41" spans="2:45" x14ac:dyDescent="0.35">
      <c r="B41" s="343" t="s">
        <v>164</v>
      </c>
      <c r="C41" s="343"/>
      <c r="D41" s="343"/>
      <c r="E41" s="344">
        <f>SUM(E4:E39)</f>
        <v>0</v>
      </c>
      <c r="F41" s="344">
        <f t="shared" ref="F41:AR41" si="5">SUM(F4:F39)</f>
        <v>0</v>
      </c>
      <c r="G41" s="344">
        <f t="shared" si="5"/>
        <v>0</v>
      </c>
      <c r="H41" s="344">
        <f t="shared" si="5"/>
        <v>0</v>
      </c>
      <c r="I41" s="344">
        <f t="shared" si="5"/>
        <v>0</v>
      </c>
      <c r="J41" s="344">
        <f t="shared" si="5"/>
        <v>0</v>
      </c>
      <c r="K41" s="344">
        <f t="shared" si="5"/>
        <v>0</v>
      </c>
      <c r="L41" s="344">
        <f t="shared" si="5"/>
        <v>0</v>
      </c>
      <c r="M41" s="344">
        <f t="shared" si="5"/>
        <v>0</v>
      </c>
      <c r="N41" s="344">
        <f t="shared" si="5"/>
        <v>0</v>
      </c>
      <c r="O41" s="344">
        <f t="shared" si="5"/>
        <v>0</v>
      </c>
      <c r="P41" s="344">
        <f t="shared" si="5"/>
        <v>0</v>
      </c>
      <c r="Q41" s="344">
        <f t="shared" si="5"/>
        <v>0</v>
      </c>
      <c r="R41" s="344">
        <f t="shared" si="5"/>
        <v>0</v>
      </c>
      <c r="S41" s="344">
        <f t="shared" si="5"/>
        <v>0</v>
      </c>
      <c r="T41" s="344">
        <f t="shared" si="5"/>
        <v>0</v>
      </c>
      <c r="U41" s="344">
        <f t="shared" si="5"/>
        <v>0</v>
      </c>
      <c r="V41" s="344">
        <f t="shared" si="5"/>
        <v>0</v>
      </c>
      <c r="W41" s="344">
        <f t="shared" si="5"/>
        <v>0</v>
      </c>
      <c r="X41" s="344">
        <f t="shared" si="5"/>
        <v>0</v>
      </c>
      <c r="Y41" s="344">
        <f t="shared" si="5"/>
        <v>0</v>
      </c>
      <c r="Z41" s="344">
        <f t="shared" si="5"/>
        <v>0</v>
      </c>
      <c r="AA41" s="344">
        <f t="shared" si="5"/>
        <v>0</v>
      </c>
      <c r="AB41" s="344">
        <f t="shared" si="5"/>
        <v>0</v>
      </c>
      <c r="AC41" s="344">
        <f t="shared" si="5"/>
        <v>0</v>
      </c>
      <c r="AD41" s="344">
        <f t="shared" si="5"/>
        <v>0</v>
      </c>
      <c r="AE41" s="344">
        <f t="shared" si="5"/>
        <v>0</v>
      </c>
      <c r="AF41" s="344">
        <f t="shared" si="5"/>
        <v>0</v>
      </c>
      <c r="AG41" s="344">
        <f t="shared" si="5"/>
        <v>0</v>
      </c>
      <c r="AH41" s="344">
        <f t="shared" si="5"/>
        <v>0</v>
      </c>
      <c r="AI41" s="344">
        <f t="shared" si="5"/>
        <v>0</v>
      </c>
      <c r="AJ41" s="344">
        <f t="shared" si="5"/>
        <v>0</v>
      </c>
      <c r="AK41" s="344">
        <f t="shared" si="5"/>
        <v>0</v>
      </c>
      <c r="AL41" s="344">
        <f t="shared" si="5"/>
        <v>0</v>
      </c>
      <c r="AM41" s="344">
        <f t="shared" si="5"/>
        <v>0</v>
      </c>
      <c r="AN41" s="344">
        <f t="shared" si="5"/>
        <v>0</v>
      </c>
      <c r="AO41" s="344">
        <f t="shared" si="5"/>
        <v>0</v>
      </c>
      <c r="AP41" s="344">
        <f t="shared" si="5"/>
        <v>0</v>
      </c>
      <c r="AQ41" s="344">
        <f t="shared" si="5"/>
        <v>0</v>
      </c>
      <c r="AR41" s="344">
        <f t="shared" si="5"/>
        <v>0</v>
      </c>
      <c r="AS41" s="341"/>
    </row>
  </sheetData>
  <mergeCells count="24">
    <mergeCell ref="AC2:AJ2"/>
    <mergeCell ref="AK2:AR2"/>
    <mergeCell ref="AS3:AS4"/>
    <mergeCell ref="E5:I5"/>
    <mergeCell ref="M5:Q5"/>
    <mergeCell ref="U5:Y5"/>
    <mergeCell ref="AC5:AG5"/>
    <mergeCell ref="AK5:AO5"/>
    <mergeCell ref="AS5:AS6"/>
    <mergeCell ref="E6:I6"/>
    <mergeCell ref="M6:Q6"/>
    <mergeCell ref="U6:Y6"/>
    <mergeCell ref="AC6:AG6"/>
    <mergeCell ref="AK6:AO6"/>
    <mergeCell ref="E1:L1"/>
    <mergeCell ref="M1:T1"/>
    <mergeCell ref="U1:AB1"/>
    <mergeCell ref="AC1:AJ1"/>
    <mergeCell ref="AK1:AR1"/>
    <mergeCell ref="C2:C3"/>
    <mergeCell ref="D2:D3"/>
    <mergeCell ref="E2:L2"/>
    <mergeCell ref="M2:T2"/>
    <mergeCell ref="U2:AB2"/>
  </mergeCells>
  <dataValidations count="2">
    <dataValidation type="list" allowBlank="1" showInputMessage="1" showErrorMessage="1" sqref="C4:C39" xr:uid="{D9F88112-FDA4-421A-884D-19DC3B24FD64}">
      <formula1>"Wire, Retail, Unallocable"</formula1>
    </dataValidation>
    <dataValidation type="list" allowBlank="1" showInputMessage="1" showErrorMessage="1" sqref="C40" xr:uid="{96A59559-D40B-4B1D-A0F1-DEA70D6A36E8}">
      <formula1>"Wire, Retail"</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F211C13-4EA3-4E18-89EA-FA8EAF56BD8F}">
          <x14:formula1>
            <xm:f>'Block of Assets'!$C$4:$C$29</xm:f>
          </x14:formula1>
          <xm:sqref>C40</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B5365-80B9-46D1-AA90-017136FC4152}">
  <dimension ref="B1:AS41"/>
  <sheetViews>
    <sheetView showGridLines="0" zoomScale="80" zoomScaleNormal="80" workbookViewId="0">
      <pane xSplit="2" ySplit="3" topLeftCell="AG4" activePane="bottomRight" state="frozen"/>
      <selection activeCell="C90" sqref="B90:P113"/>
      <selection pane="topRight" activeCell="C90" sqref="B90:P113"/>
      <selection pane="bottomLeft" activeCell="C90" sqref="B90:P113"/>
      <selection pane="bottomRight" activeCell="C90" sqref="B90:P113"/>
    </sheetView>
  </sheetViews>
  <sheetFormatPr defaultColWidth="9.1328125" defaultRowHeight="13.5" x14ac:dyDescent="0.35"/>
  <cols>
    <col min="1" max="1" width="4.46484375" style="285" customWidth="1"/>
    <col min="2" max="2" width="48.1328125" style="285" customWidth="1"/>
    <col min="3" max="3" width="14.86328125" style="285" customWidth="1"/>
    <col min="4" max="4" width="35" style="285" bestFit="1" customWidth="1"/>
    <col min="5" max="19" width="13.86328125" style="285" customWidth="1"/>
    <col min="20" max="20" width="12.53125" style="285" bestFit="1" customWidth="1"/>
    <col min="21" max="44" width="12.86328125" style="285" customWidth="1"/>
    <col min="45" max="45" width="33.1328125" style="285" customWidth="1"/>
    <col min="46" max="16384" width="9.1328125" style="285"/>
  </cols>
  <sheetData>
    <row r="1" spans="2:45" x14ac:dyDescent="0.35">
      <c r="B1" s="285" t="s">
        <v>918</v>
      </c>
      <c r="E1" s="2217" t="s">
        <v>197</v>
      </c>
      <c r="F1" s="2218"/>
      <c r="G1" s="2218"/>
      <c r="H1" s="2218"/>
      <c r="I1" s="2218"/>
      <c r="J1" s="2218"/>
      <c r="K1" s="2218"/>
      <c r="L1" s="2218"/>
      <c r="M1" s="2217" t="s">
        <v>198</v>
      </c>
      <c r="N1" s="2218"/>
      <c r="O1" s="2218"/>
      <c r="P1" s="2218"/>
      <c r="Q1" s="2218"/>
      <c r="R1" s="2218"/>
      <c r="S1" s="2218"/>
      <c r="T1" s="2218"/>
      <c r="U1" s="2218" t="s">
        <v>199</v>
      </c>
      <c r="V1" s="2218"/>
      <c r="W1" s="2218"/>
      <c r="X1" s="2218"/>
      <c r="Y1" s="2218"/>
      <c r="Z1" s="2218"/>
      <c r="AA1" s="2218"/>
      <c r="AB1" s="2218"/>
      <c r="AC1" s="2218" t="s">
        <v>112</v>
      </c>
      <c r="AD1" s="2218"/>
      <c r="AE1" s="2218"/>
      <c r="AF1" s="2218"/>
      <c r="AG1" s="2218"/>
      <c r="AH1" s="2218"/>
      <c r="AI1" s="2218"/>
      <c r="AJ1" s="2218"/>
      <c r="AK1" s="2218" t="s">
        <v>113</v>
      </c>
      <c r="AL1" s="2218"/>
      <c r="AM1" s="2218"/>
      <c r="AN1" s="2218"/>
      <c r="AO1" s="2218"/>
      <c r="AP1" s="2218"/>
      <c r="AQ1" s="2218"/>
      <c r="AR1" s="2218"/>
    </row>
    <row r="2" spans="2:45" ht="14.25" customHeight="1" x14ac:dyDescent="0.35">
      <c r="C2" s="2193" t="s">
        <v>954</v>
      </c>
      <c r="D2" s="2193" t="s">
        <v>929</v>
      </c>
      <c r="E2" s="2219" t="s">
        <v>930</v>
      </c>
      <c r="F2" s="2220"/>
      <c r="G2" s="2220"/>
      <c r="H2" s="2220"/>
      <c r="I2" s="2220"/>
      <c r="J2" s="2220"/>
      <c r="K2" s="2220"/>
      <c r="L2" s="2221"/>
      <c r="M2" s="2219" t="s">
        <v>922</v>
      </c>
      <c r="N2" s="2220"/>
      <c r="O2" s="2220"/>
      <c r="P2" s="2220"/>
      <c r="Q2" s="2220"/>
      <c r="R2" s="2220"/>
      <c r="S2" s="2220"/>
      <c r="T2" s="2221"/>
      <c r="U2" s="2219" t="s">
        <v>922</v>
      </c>
      <c r="V2" s="2220"/>
      <c r="W2" s="2220"/>
      <c r="X2" s="2220"/>
      <c r="Y2" s="2220"/>
      <c r="Z2" s="2220"/>
      <c r="AA2" s="2220"/>
      <c r="AB2" s="2221"/>
      <c r="AC2" s="2219" t="s">
        <v>922</v>
      </c>
      <c r="AD2" s="2220"/>
      <c r="AE2" s="2220"/>
      <c r="AF2" s="2220"/>
      <c r="AG2" s="2220"/>
      <c r="AH2" s="2220"/>
      <c r="AI2" s="2220"/>
      <c r="AJ2" s="2221"/>
      <c r="AK2" s="2219" t="s">
        <v>922</v>
      </c>
      <c r="AL2" s="2220"/>
      <c r="AM2" s="2220"/>
      <c r="AN2" s="2220"/>
      <c r="AO2" s="2220"/>
      <c r="AP2" s="2220"/>
      <c r="AQ2" s="2220"/>
      <c r="AR2" s="2221"/>
    </row>
    <row r="3" spans="2:45" ht="27" x14ac:dyDescent="0.35">
      <c r="B3" s="287" t="s">
        <v>961</v>
      </c>
      <c r="C3" s="2193"/>
      <c r="D3" s="2193"/>
      <c r="E3" s="287" t="s">
        <v>908</v>
      </c>
      <c r="F3" s="287" t="s">
        <v>909</v>
      </c>
      <c r="G3" s="287" t="s">
        <v>910</v>
      </c>
      <c r="H3" s="287" t="s">
        <v>911</v>
      </c>
      <c r="I3" s="287" t="s">
        <v>912</v>
      </c>
      <c r="J3" s="287" t="s">
        <v>923</v>
      </c>
      <c r="K3" s="287" t="s">
        <v>939</v>
      </c>
      <c r="L3" s="287" t="s">
        <v>164</v>
      </c>
      <c r="M3" s="287" t="s">
        <v>908</v>
      </c>
      <c r="N3" s="287" t="s">
        <v>909</v>
      </c>
      <c r="O3" s="287" t="s">
        <v>910</v>
      </c>
      <c r="P3" s="287" t="s">
        <v>911</v>
      </c>
      <c r="Q3" s="287" t="s">
        <v>912</v>
      </c>
      <c r="R3" s="287" t="s">
        <v>923</v>
      </c>
      <c r="S3" s="287" t="s">
        <v>939</v>
      </c>
      <c r="T3" s="287" t="s">
        <v>164</v>
      </c>
      <c r="U3" s="287" t="s">
        <v>908</v>
      </c>
      <c r="V3" s="287" t="s">
        <v>909</v>
      </c>
      <c r="W3" s="287" t="s">
        <v>910</v>
      </c>
      <c r="X3" s="287" t="s">
        <v>911</v>
      </c>
      <c r="Y3" s="287" t="s">
        <v>912</v>
      </c>
      <c r="Z3" s="287" t="s">
        <v>923</v>
      </c>
      <c r="AA3" s="287" t="s">
        <v>939</v>
      </c>
      <c r="AB3" s="287" t="s">
        <v>164</v>
      </c>
      <c r="AC3" s="287" t="s">
        <v>908</v>
      </c>
      <c r="AD3" s="287" t="s">
        <v>909</v>
      </c>
      <c r="AE3" s="287" t="s">
        <v>910</v>
      </c>
      <c r="AF3" s="287" t="s">
        <v>911</v>
      </c>
      <c r="AG3" s="287" t="s">
        <v>912</v>
      </c>
      <c r="AH3" s="287" t="s">
        <v>923</v>
      </c>
      <c r="AI3" s="287" t="s">
        <v>939</v>
      </c>
      <c r="AJ3" s="287" t="s">
        <v>164</v>
      </c>
      <c r="AK3" s="287" t="s">
        <v>908</v>
      </c>
      <c r="AL3" s="287" t="s">
        <v>909</v>
      </c>
      <c r="AM3" s="287" t="s">
        <v>910</v>
      </c>
      <c r="AN3" s="287" t="s">
        <v>911</v>
      </c>
      <c r="AO3" s="287" t="s">
        <v>912</v>
      </c>
      <c r="AP3" s="287" t="s">
        <v>923</v>
      </c>
      <c r="AQ3" s="287" t="s">
        <v>939</v>
      </c>
      <c r="AR3" s="287" t="s">
        <v>164</v>
      </c>
      <c r="AS3" s="2194" t="s">
        <v>934</v>
      </c>
    </row>
    <row r="4" spans="2:45" x14ac:dyDescent="0.35">
      <c r="B4" s="309" t="s">
        <v>956</v>
      </c>
      <c r="C4" s="309"/>
      <c r="D4" s="309"/>
      <c r="E4" s="311"/>
      <c r="F4" s="311"/>
      <c r="G4" s="311"/>
      <c r="H4" s="311"/>
      <c r="I4" s="311"/>
      <c r="J4" s="311"/>
      <c r="K4" s="311"/>
      <c r="L4" s="311">
        <f t="shared" ref="L4:L40" si="0">SUM(E4:K4)</f>
        <v>0</v>
      </c>
      <c r="M4" s="311"/>
      <c r="N4" s="311"/>
      <c r="O4" s="311"/>
      <c r="P4" s="311"/>
      <c r="Q4" s="311"/>
      <c r="R4" s="311"/>
      <c r="S4" s="311"/>
      <c r="T4" s="311">
        <f t="shared" ref="T4:T40" si="1">SUM(M4:S4)</f>
        <v>0</v>
      </c>
      <c r="U4" s="311"/>
      <c r="V4" s="311"/>
      <c r="W4" s="311"/>
      <c r="X4" s="311"/>
      <c r="Y4" s="311"/>
      <c r="Z4" s="311"/>
      <c r="AA4" s="311"/>
      <c r="AB4" s="311">
        <f t="shared" ref="AB4:AB40" si="2">SUM(U4:AA4)</f>
        <v>0</v>
      </c>
      <c r="AC4" s="311"/>
      <c r="AD4" s="311"/>
      <c r="AE4" s="311"/>
      <c r="AF4" s="311"/>
      <c r="AG4" s="311"/>
      <c r="AH4" s="311"/>
      <c r="AI4" s="311"/>
      <c r="AJ4" s="311">
        <f>SUM(AC4:AI4)</f>
        <v>0</v>
      </c>
      <c r="AK4" s="311"/>
      <c r="AL4" s="311"/>
      <c r="AM4" s="311"/>
      <c r="AN4" s="311"/>
      <c r="AO4" s="311"/>
      <c r="AP4" s="311"/>
      <c r="AQ4" s="311"/>
      <c r="AR4" s="311">
        <f>SUM(AK4:AQ4)</f>
        <v>0</v>
      </c>
      <c r="AS4" s="2195"/>
    </row>
    <row r="5" spans="2:45" ht="14.25" customHeight="1" x14ac:dyDescent="0.35">
      <c r="B5" s="309" t="s">
        <v>962</v>
      </c>
      <c r="C5" s="309" t="s">
        <v>963</v>
      </c>
      <c r="D5" s="345">
        <v>1</v>
      </c>
      <c r="E5" s="2233"/>
      <c r="F5" s="2234"/>
      <c r="G5" s="2234"/>
      <c r="H5" s="2234"/>
      <c r="I5" s="2235"/>
      <c r="J5" s="311"/>
      <c r="K5" s="311"/>
      <c r="L5" s="311"/>
      <c r="M5" s="2236"/>
      <c r="N5" s="2237"/>
      <c r="O5" s="2237"/>
      <c r="P5" s="2237"/>
      <c r="Q5" s="2238"/>
      <c r="R5" s="323"/>
      <c r="S5" s="323"/>
      <c r="T5" s="323"/>
      <c r="U5" s="2233"/>
      <c r="V5" s="2234"/>
      <c r="W5" s="2234"/>
      <c r="X5" s="2234"/>
      <c r="Y5" s="2235"/>
      <c r="Z5" s="311"/>
      <c r="AA5" s="311"/>
      <c r="AB5" s="311"/>
      <c r="AC5" s="2233"/>
      <c r="AD5" s="2234"/>
      <c r="AE5" s="2234"/>
      <c r="AF5" s="2234"/>
      <c r="AG5" s="2235"/>
      <c r="AH5" s="311"/>
      <c r="AI5" s="311"/>
      <c r="AJ5" s="311"/>
      <c r="AK5" s="2233"/>
      <c r="AL5" s="2234"/>
      <c r="AM5" s="2234"/>
      <c r="AN5" s="2234"/>
      <c r="AO5" s="2235"/>
      <c r="AP5" s="311"/>
      <c r="AQ5" s="311"/>
      <c r="AR5" s="311"/>
      <c r="AS5" s="2239"/>
    </row>
    <row r="6" spans="2:45" x14ac:dyDescent="0.35">
      <c r="B6" s="309" t="s">
        <v>964</v>
      </c>
      <c r="C6" s="309" t="s">
        <v>958</v>
      </c>
      <c r="D6" s="341" t="s">
        <v>959</v>
      </c>
      <c r="E6" s="2236"/>
      <c r="F6" s="2237"/>
      <c r="G6" s="2237"/>
      <c r="H6" s="2237"/>
      <c r="I6" s="2238"/>
      <c r="J6" s="323"/>
      <c r="K6" s="323"/>
      <c r="L6" s="323"/>
      <c r="M6" s="2236"/>
      <c r="N6" s="2237"/>
      <c r="O6" s="2237"/>
      <c r="P6" s="2237"/>
      <c r="Q6" s="2238"/>
      <c r="R6" s="323"/>
      <c r="S6" s="323"/>
      <c r="T6" s="323"/>
      <c r="U6" s="2233"/>
      <c r="V6" s="2234"/>
      <c r="W6" s="2234"/>
      <c r="X6" s="2234"/>
      <c r="Y6" s="2235"/>
      <c r="Z6" s="311"/>
      <c r="AA6" s="311"/>
      <c r="AB6" s="311"/>
      <c r="AC6" s="2233"/>
      <c r="AD6" s="2234"/>
      <c r="AE6" s="2234"/>
      <c r="AF6" s="2234"/>
      <c r="AG6" s="2235"/>
      <c r="AH6" s="311"/>
      <c r="AI6" s="311"/>
      <c r="AJ6" s="311"/>
      <c r="AK6" s="2233"/>
      <c r="AL6" s="2234"/>
      <c r="AM6" s="2234"/>
      <c r="AN6" s="2234"/>
      <c r="AO6" s="2235"/>
      <c r="AP6" s="311"/>
      <c r="AQ6" s="311"/>
      <c r="AR6" s="311"/>
      <c r="AS6" s="2240"/>
    </row>
    <row r="7" spans="2:45" x14ac:dyDescent="0.35">
      <c r="B7" s="309" t="s">
        <v>965</v>
      </c>
      <c r="C7" s="309" t="s">
        <v>958</v>
      </c>
      <c r="D7" s="341" t="s">
        <v>959</v>
      </c>
      <c r="E7" s="2236"/>
      <c r="F7" s="2237"/>
      <c r="G7" s="2237"/>
      <c r="H7" s="2237"/>
      <c r="I7" s="2238"/>
      <c r="J7" s="323"/>
      <c r="K7" s="323"/>
      <c r="L7" s="323"/>
      <c r="M7" s="2236"/>
      <c r="N7" s="2237"/>
      <c r="O7" s="2237"/>
      <c r="P7" s="2237"/>
      <c r="Q7" s="2238"/>
      <c r="R7" s="323"/>
      <c r="S7" s="323"/>
      <c r="T7" s="323"/>
      <c r="U7" s="2233"/>
      <c r="V7" s="2234"/>
      <c r="W7" s="2234"/>
      <c r="X7" s="2234"/>
      <c r="Y7" s="2235"/>
      <c r="Z7" s="311"/>
      <c r="AA7" s="311"/>
      <c r="AB7" s="311"/>
      <c r="AC7" s="2233"/>
      <c r="AD7" s="2234"/>
      <c r="AE7" s="2234"/>
      <c r="AF7" s="2234"/>
      <c r="AG7" s="2235"/>
      <c r="AH7" s="311"/>
      <c r="AI7" s="311"/>
      <c r="AJ7" s="311"/>
      <c r="AK7" s="2233"/>
      <c r="AL7" s="2234"/>
      <c r="AM7" s="2234"/>
      <c r="AN7" s="2234"/>
      <c r="AO7" s="2235"/>
      <c r="AP7" s="311"/>
      <c r="AQ7" s="311"/>
      <c r="AR7" s="311"/>
      <c r="AS7" s="2240"/>
    </row>
    <row r="8" spans="2:45" x14ac:dyDescent="0.35">
      <c r="B8" s="309" t="s">
        <v>966</v>
      </c>
      <c r="C8" s="309" t="s">
        <v>958</v>
      </c>
      <c r="D8" s="341" t="s">
        <v>959</v>
      </c>
      <c r="E8" s="2236"/>
      <c r="F8" s="2237"/>
      <c r="G8" s="2237"/>
      <c r="H8" s="2237"/>
      <c r="I8" s="2238"/>
      <c r="J8" s="323"/>
      <c r="K8" s="323"/>
      <c r="L8" s="323"/>
      <c r="M8" s="2236"/>
      <c r="N8" s="2237"/>
      <c r="O8" s="2237"/>
      <c r="P8" s="2237"/>
      <c r="Q8" s="2238"/>
      <c r="R8" s="323"/>
      <c r="S8" s="323"/>
      <c r="T8" s="323"/>
      <c r="U8" s="2233"/>
      <c r="V8" s="2234"/>
      <c r="W8" s="2234"/>
      <c r="X8" s="2234"/>
      <c r="Y8" s="2235"/>
      <c r="Z8" s="311"/>
      <c r="AA8" s="311"/>
      <c r="AB8" s="311"/>
      <c r="AC8" s="2233"/>
      <c r="AD8" s="2234"/>
      <c r="AE8" s="2234"/>
      <c r="AF8" s="2234"/>
      <c r="AG8" s="2235"/>
      <c r="AH8" s="311"/>
      <c r="AI8" s="311"/>
      <c r="AJ8" s="311"/>
      <c r="AK8" s="2233"/>
      <c r="AL8" s="2234"/>
      <c r="AM8" s="2234"/>
      <c r="AN8" s="2234"/>
      <c r="AO8" s="2235"/>
      <c r="AP8" s="311"/>
      <c r="AQ8" s="311"/>
      <c r="AR8" s="311"/>
      <c r="AS8" s="2240"/>
    </row>
    <row r="9" spans="2:45" x14ac:dyDescent="0.35">
      <c r="B9" s="309" t="s">
        <v>967</v>
      </c>
      <c r="C9" s="309" t="s">
        <v>958</v>
      </c>
      <c r="D9" s="341" t="s">
        <v>959</v>
      </c>
      <c r="E9" s="2236"/>
      <c r="F9" s="2237"/>
      <c r="G9" s="2237"/>
      <c r="H9" s="2237"/>
      <c r="I9" s="2238"/>
      <c r="J9" s="323"/>
      <c r="K9" s="323"/>
      <c r="L9" s="323"/>
      <c r="M9" s="2236"/>
      <c r="N9" s="2237"/>
      <c r="O9" s="2237"/>
      <c r="P9" s="2237"/>
      <c r="Q9" s="2238"/>
      <c r="R9" s="323"/>
      <c r="S9" s="323"/>
      <c r="T9" s="323"/>
      <c r="U9" s="2233"/>
      <c r="V9" s="2234"/>
      <c r="W9" s="2234"/>
      <c r="X9" s="2234"/>
      <c r="Y9" s="2235"/>
      <c r="Z9" s="311"/>
      <c r="AA9" s="311"/>
      <c r="AB9" s="311"/>
      <c r="AC9" s="2233"/>
      <c r="AD9" s="2234"/>
      <c r="AE9" s="2234"/>
      <c r="AF9" s="2234"/>
      <c r="AG9" s="2235"/>
      <c r="AH9" s="311"/>
      <c r="AI9" s="311"/>
      <c r="AJ9" s="311"/>
      <c r="AK9" s="2233"/>
      <c r="AL9" s="2234"/>
      <c r="AM9" s="2234"/>
      <c r="AN9" s="2234"/>
      <c r="AO9" s="2235"/>
      <c r="AP9" s="311"/>
      <c r="AQ9" s="311"/>
      <c r="AR9" s="311"/>
      <c r="AS9" s="2240"/>
    </row>
    <row r="10" spans="2:45" x14ac:dyDescent="0.35">
      <c r="B10" s="309" t="s">
        <v>968</v>
      </c>
      <c r="C10" s="309" t="s">
        <v>963</v>
      </c>
      <c r="D10" s="345">
        <v>1</v>
      </c>
      <c r="E10" s="2236"/>
      <c r="F10" s="2237"/>
      <c r="G10" s="2237"/>
      <c r="H10" s="2237"/>
      <c r="I10" s="2238"/>
      <c r="J10" s="323"/>
      <c r="K10" s="323"/>
      <c r="L10" s="323"/>
      <c r="M10" s="2236"/>
      <c r="N10" s="2237"/>
      <c r="O10" s="2237"/>
      <c r="P10" s="2237"/>
      <c r="Q10" s="2238"/>
      <c r="R10" s="323"/>
      <c r="S10" s="323"/>
      <c r="T10" s="323"/>
      <c r="U10" s="2233"/>
      <c r="V10" s="2234"/>
      <c r="W10" s="2234"/>
      <c r="X10" s="2234"/>
      <c r="Y10" s="2235"/>
      <c r="Z10" s="311"/>
      <c r="AA10" s="311"/>
      <c r="AB10" s="311"/>
      <c r="AC10" s="2233"/>
      <c r="AD10" s="2234"/>
      <c r="AE10" s="2234"/>
      <c r="AF10" s="2234"/>
      <c r="AG10" s="2235"/>
      <c r="AH10" s="311"/>
      <c r="AI10" s="311"/>
      <c r="AJ10" s="311"/>
      <c r="AK10" s="2233"/>
      <c r="AL10" s="2234"/>
      <c r="AM10" s="2234"/>
      <c r="AN10" s="2234"/>
      <c r="AO10" s="2235"/>
      <c r="AP10" s="311"/>
      <c r="AQ10" s="311"/>
      <c r="AR10" s="311"/>
      <c r="AS10" s="2240"/>
    </row>
    <row r="11" spans="2:45" x14ac:dyDescent="0.35">
      <c r="B11" s="309" t="s">
        <v>969</v>
      </c>
      <c r="C11" s="309" t="s">
        <v>958</v>
      </c>
      <c r="D11" s="341" t="s">
        <v>959</v>
      </c>
      <c r="E11" s="2236"/>
      <c r="F11" s="2237"/>
      <c r="G11" s="2237"/>
      <c r="H11" s="2237"/>
      <c r="I11" s="2238"/>
      <c r="J11" s="323"/>
      <c r="K11" s="323"/>
      <c r="L11" s="323"/>
      <c r="M11" s="2236"/>
      <c r="N11" s="2237"/>
      <c r="O11" s="2237"/>
      <c r="P11" s="2237"/>
      <c r="Q11" s="2238"/>
      <c r="R11" s="323"/>
      <c r="S11" s="323"/>
      <c r="T11" s="323"/>
      <c r="U11" s="2233"/>
      <c r="V11" s="2234"/>
      <c r="W11" s="2234"/>
      <c r="X11" s="2234"/>
      <c r="Y11" s="2235"/>
      <c r="Z11" s="311"/>
      <c r="AA11" s="311"/>
      <c r="AB11" s="311"/>
      <c r="AC11" s="2233"/>
      <c r="AD11" s="2234"/>
      <c r="AE11" s="2234"/>
      <c r="AF11" s="2234"/>
      <c r="AG11" s="2235"/>
      <c r="AH11" s="311"/>
      <c r="AI11" s="311"/>
      <c r="AJ11" s="311"/>
      <c r="AK11" s="2233"/>
      <c r="AL11" s="2234"/>
      <c r="AM11" s="2234"/>
      <c r="AN11" s="2234"/>
      <c r="AO11" s="2235"/>
      <c r="AP11" s="311"/>
      <c r="AQ11" s="311"/>
      <c r="AR11" s="311"/>
      <c r="AS11" s="2240"/>
    </row>
    <row r="12" spans="2:45" x14ac:dyDescent="0.35">
      <c r="B12" s="309" t="s">
        <v>238</v>
      </c>
      <c r="C12" s="309"/>
      <c r="D12" s="309"/>
      <c r="E12" s="311"/>
      <c r="F12" s="311"/>
      <c r="G12" s="311"/>
      <c r="H12" s="311"/>
      <c r="I12" s="311"/>
      <c r="J12" s="311"/>
      <c r="K12" s="311"/>
      <c r="L12" s="311">
        <f t="shared" si="0"/>
        <v>0</v>
      </c>
      <c r="M12" s="311"/>
      <c r="N12" s="311"/>
      <c r="O12" s="311"/>
      <c r="P12" s="311"/>
      <c r="Q12" s="311"/>
      <c r="R12" s="311"/>
      <c r="S12" s="311"/>
      <c r="T12" s="311">
        <f t="shared" si="1"/>
        <v>0</v>
      </c>
      <c r="U12" s="311"/>
      <c r="V12" s="311"/>
      <c r="W12" s="311"/>
      <c r="X12" s="311"/>
      <c r="Y12" s="311"/>
      <c r="Z12" s="311"/>
      <c r="AA12" s="311"/>
      <c r="AB12" s="311">
        <f t="shared" si="2"/>
        <v>0</v>
      </c>
      <c r="AC12" s="311"/>
      <c r="AD12" s="311"/>
      <c r="AE12" s="311"/>
      <c r="AF12" s="311"/>
      <c r="AG12" s="311"/>
      <c r="AH12" s="311"/>
      <c r="AI12" s="311"/>
      <c r="AJ12" s="311">
        <f t="shared" ref="AJ12:AJ40" si="3">SUM(AC12:AI12)</f>
        <v>0</v>
      </c>
      <c r="AK12" s="311"/>
      <c r="AL12" s="311"/>
      <c r="AM12" s="311"/>
      <c r="AN12" s="311"/>
      <c r="AO12" s="311"/>
      <c r="AP12" s="311"/>
      <c r="AQ12" s="311"/>
      <c r="AR12" s="311">
        <f t="shared" ref="AR12:AR40" si="4">SUM(AK12:AQ12)</f>
        <v>0</v>
      </c>
    </row>
    <row r="13" spans="2:45" x14ac:dyDescent="0.35">
      <c r="B13" s="309" t="s">
        <v>238</v>
      </c>
      <c r="C13" s="309"/>
      <c r="D13" s="309"/>
      <c r="E13" s="311"/>
      <c r="F13" s="311"/>
      <c r="G13" s="311"/>
      <c r="H13" s="311"/>
      <c r="I13" s="311"/>
      <c r="J13" s="311"/>
      <c r="K13" s="311"/>
      <c r="L13" s="311">
        <f t="shared" si="0"/>
        <v>0</v>
      </c>
      <c r="M13" s="311"/>
      <c r="N13" s="311"/>
      <c r="O13" s="311"/>
      <c r="P13" s="311"/>
      <c r="Q13" s="311"/>
      <c r="R13" s="311"/>
      <c r="S13" s="311"/>
      <c r="T13" s="311">
        <f t="shared" si="1"/>
        <v>0</v>
      </c>
      <c r="U13" s="311"/>
      <c r="V13" s="311"/>
      <c r="W13" s="311"/>
      <c r="X13" s="311"/>
      <c r="Y13" s="311"/>
      <c r="Z13" s="311"/>
      <c r="AA13" s="311"/>
      <c r="AB13" s="311">
        <f t="shared" si="2"/>
        <v>0</v>
      </c>
      <c r="AC13" s="311"/>
      <c r="AD13" s="311"/>
      <c r="AE13" s="311"/>
      <c r="AF13" s="311"/>
      <c r="AG13" s="311"/>
      <c r="AH13" s="311"/>
      <c r="AI13" s="311"/>
      <c r="AJ13" s="311">
        <f t="shared" si="3"/>
        <v>0</v>
      </c>
      <c r="AK13" s="311"/>
      <c r="AL13" s="311"/>
      <c r="AM13" s="311"/>
      <c r="AN13" s="311"/>
      <c r="AO13" s="311"/>
      <c r="AP13" s="311"/>
      <c r="AQ13" s="311"/>
      <c r="AR13" s="311">
        <f t="shared" si="4"/>
        <v>0</v>
      </c>
    </row>
    <row r="14" spans="2:45" x14ac:dyDescent="0.35">
      <c r="B14" s="309" t="s">
        <v>238</v>
      </c>
      <c r="C14" s="309"/>
      <c r="D14" s="309"/>
      <c r="E14" s="311"/>
      <c r="F14" s="311"/>
      <c r="G14" s="311"/>
      <c r="H14" s="311"/>
      <c r="I14" s="311"/>
      <c r="J14" s="311"/>
      <c r="K14" s="311"/>
      <c r="L14" s="311">
        <f t="shared" si="0"/>
        <v>0</v>
      </c>
      <c r="M14" s="311"/>
      <c r="N14" s="311"/>
      <c r="O14" s="311"/>
      <c r="P14" s="311"/>
      <c r="Q14" s="311"/>
      <c r="R14" s="311"/>
      <c r="S14" s="311"/>
      <c r="T14" s="311">
        <f t="shared" si="1"/>
        <v>0</v>
      </c>
      <c r="U14" s="311"/>
      <c r="V14" s="311"/>
      <c r="W14" s="311"/>
      <c r="X14" s="311"/>
      <c r="Y14" s="311"/>
      <c r="Z14" s="311"/>
      <c r="AA14" s="311"/>
      <c r="AB14" s="311">
        <f t="shared" si="2"/>
        <v>0</v>
      </c>
      <c r="AC14" s="311"/>
      <c r="AD14" s="311"/>
      <c r="AE14" s="311"/>
      <c r="AF14" s="311"/>
      <c r="AG14" s="311"/>
      <c r="AH14" s="311"/>
      <c r="AI14" s="311"/>
      <c r="AJ14" s="311">
        <f t="shared" si="3"/>
        <v>0</v>
      </c>
      <c r="AK14" s="311"/>
      <c r="AL14" s="311"/>
      <c r="AM14" s="311"/>
      <c r="AN14" s="311"/>
      <c r="AO14" s="311"/>
      <c r="AP14" s="311"/>
      <c r="AQ14" s="311"/>
      <c r="AR14" s="311">
        <f t="shared" si="4"/>
        <v>0</v>
      </c>
    </row>
    <row r="15" spans="2:45" x14ac:dyDescent="0.35">
      <c r="B15" s="309" t="s">
        <v>238</v>
      </c>
      <c r="C15" s="309"/>
      <c r="D15" s="309"/>
      <c r="E15" s="311"/>
      <c r="F15" s="311"/>
      <c r="G15" s="311"/>
      <c r="H15" s="311"/>
      <c r="I15" s="311"/>
      <c r="J15" s="311"/>
      <c r="K15" s="311"/>
      <c r="L15" s="311">
        <f t="shared" si="0"/>
        <v>0</v>
      </c>
      <c r="M15" s="311"/>
      <c r="N15" s="311"/>
      <c r="O15" s="311"/>
      <c r="P15" s="311"/>
      <c r="Q15" s="311"/>
      <c r="R15" s="311"/>
      <c r="S15" s="311"/>
      <c r="T15" s="311">
        <f t="shared" si="1"/>
        <v>0</v>
      </c>
      <c r="U15" s="311"/>
      <c r="V15" s="311"/>
      <c r="W15" s="311"/>
      <c r="X15" s="311"/>
      <c r="Y15" s="311"/>
      <c r="Z15" s="311"/>
      <c r="AA15" s="311"/>
      <c r="AB15" s="311">
        <f t="shared" si="2"/>
        <v>0</v>
      </c>
      <c r="AC15" s="311"/>
      <c r="AD15" s="311"/>
      <c r="AE15" s="311"/>
      <c r="AF15" s="311"/>
      <c r="AG15" s="311"/>
      <c r="AH15" s="311"/>
      <c r="AI15" s="311"/>
      <c r="AJ15" s="311">
        <f t="shared" si="3"/>
        <v>0</v>
      </c>
      <c r="AK15" s="311"/>
      <c r="AL15" s="311"/>
      <c r="AM15" s="311"/>
      <c r="AN15" s="311"/>
      <c r="AO15" s="311"/>
      <c r="AP15" s="311"/>
      <c r="AQ15" s="311"/>
      <c r="AR15" s="311">
        <f t="shared" si="4"/>
        <v>0</v>
      </c>
    </row>
    <row r="16" spans="2:45" x14ac:dyDescent="0.35">
      <c r="B16" s="309" t="s">
        <v>238</v>
      </c>
      <c r="C16" s="309"/>
      <c r="D16" s="309"/>
      <c r="E16" s="311"/>
      <c r="F16" s="311"/>
      <c r="G16" s="311"/>
      <c r="H16" s="311"/>
      <c r="I16" s="311"/>
      <c r="J16" s="311"/>
      <c r="K16" s="311"/>
      <c r="L16" s="311">
        <f t="shared" si="0"/>
        <v>0</v>
      </c>
      <c r="M16" s="311"/>
      <c r="N16" s="311"/>
      <c r="O16" s="311"/>
      <c r="P16" s="311"/>
      <c r="Q16" s="311"/>
      <c r="R16" s="311"/>
      <c r="S16" s="311"/>
      <c r="T16" s="311">
        <f t="shared" si="1"/>
        <v>0</v>
      </c>
      <c r="U16" s="311"/>
      <c r="V16" s="311"/>
      <c r="W16" s="311"/>
      <c r="X16" s="311"/>
      <c r="Y16" s="311"/>
      <c r="Z16" s="311"/>
      <c r="AA16" s="311"/>
      <c r="AB16" s="311">
        <f t="shared" si="2"/>
        <v>0</v>
      </c>
      <c r="AC16" s="311"/>
      <c r="AD16" s="311"/>
      <c r="AE16" s="311"/>
      <c r="AF16" s="311"/>
      <c r="AG16" s="311"/>
      <c r="AH16" s="311"/>
      <c r="AI16" s="311"/>
      <c r="AJ16" s="311">
        <f t="shared" si="3"/>
        <v>0</v>
      </c>
      <c r="AK16" s="311"/>
      <c r="AL16" s="311"/>
      <c r="AM16" s="311"/>
      <c r="AN16" s="311"/>
      <c r="AO16" s="311"/>
      <c r="AP16" s="311"/>
      <c r="AQ16" s="311"/>
      <c r="AR16" s="311">
        <f t="shared" si="4"/>
        <v>0</v>
      </c>
    </row>
    <row r="17" spans="2:44" x14ac:dyDescent="0.35">
      <c r="B17" s="309" t="s">
        <v>238</v>
      </c>
      <c r="C17" s="309"/>
      <c r="D17" s="309"/>
      <c r="E17" s="311"/>
      <c r="F17" s="311"/>
      <c r="G17" s="311"/>
      <c r="H17" s="311"/>
      <c r="I17" s="311"/>
      <c r="J17" s="311"/>
      <c r="K17" s="311"/>
      <c r="L17" s="311">
        <f t="shared" si="0"/>
        <v>0</v>
      </c>
      <c r="M17" s="311"/>
      <c r="N17" s="311"/>
      <c r="O17" s="311"/>
      <c r="P17" s="311"/>
      <c r="Q17" s="311"/>
      <c r="R17" s="311"/>
      <c r="S17" s="311"/>
      <c r="T17" s="311">
        <f t="shared" si="1"/>
        <v>0</v>
      </c>
      <c r="U17" s="311"/>
      <c r="V17" s="311"/>
      <c r="W17" s="311"/>
      <c r="X17" s="311"/>
      <c r="Y17" s="311"/>
      <c r="Z17" s="311"/>
      <c r="AA17" s="311"/>
      <c r="AB17" s="311">
        <f t="shared" si="2"/>
        <v>0</v>
      </c>
      <c r="AC17" s="311"/>
      <c r="AD17" s="311"/>
      <c r="AE17" s="311"/>
      <c r="AF17" s="311"/>
      <c r="AG17" s="311"/>
      <c r="AH17" s="311"/>
      <c r="AI17" s="311"/>
      <c r="AJ17" s="311">
        <f t="shared" si="3"/>
        <v>0</v>
      </c>
      <c r="AK17" s="311"/>
      <c r="AL17" s="311"/>
      <c r="AM17" s="311"/>
      <c r="AN17" s="311"/>
      <c r="AO17" s="311"/>
      <c r="AP17" s="311"/>
      <c r="AQ17" s="311"/>
      <c r="AR17" s="311">
        <f t="shared" si="4"/>
        <v>0</v>
      </c>
    </row>
    <row r="18" spans="2:44" x14ac:dyDescent="0.35">
      <c r="B18" s="309" t="s">
        <v>238</v>
      </c>
      <c r="C18" s="309"/>
      <c r="D18" s="309"/>
      <c r="E18" s="311"/>
      <c r="F18" s="311"/>
      <c r="G18" s="311"/>
      <c r="H18" s="311"/>
      <c r="I18" s="311"/>
      <c r="J18" s="311"/>
      <c r="K18" s="311"/>
      <c r="L18" s="311">
        <f t="shared" si="0"/>
        <v>0</v>
      </c>
      <c r="M18" s="311"/>
      <c r="N18" s="311"/>
      <c r="O18" s="311"/>
      <c r="P18" s="311"/>
      <c r="Q18" s="311"/>
      <c r="R18" s="311"/>
      <c r="S18" s="311"/>
      <c r="T18" s="311">
        <f t="shared" si="1"/>
        <v>0</v>
      </c>
      <c r="U18" s="311"/>
      <c r="V18" s="311"/>
      <c r="W18" s="311"/>
      <c r="X18" s="311"/>
      <c r="Y18" s="311"/>
      <c r="Z18" s="311"/>
      <c r="AA18" s="311"/>
      <c r="AB18" s="311">
        <f t="shared" si="2"/>
        <v>0</v>
      </c>
      <c r="AC18" s="311"/>
      <c r="AD18" s="311"/>
      <c r="AE18" s="311"/>
      <c r="AF18" s="311"/>
      <c r="AG18" s="311"/>
      <c r="AH18" s="311"/>
      <c r="AI18" s="311"/>
      <c r="AJ18" s="311">
        <f t="shared" si="3"/>
        <v>0</v>
      </c>
      <c r="AK18" s="311"/>
      <c r="AL18" s="311"/>
      <c r="AM18" s="311"/>
      <c r="AN18" s="311"/>
      <c r="AO18" s="311"/>
      <c r="AP18" s="311"/>
      <c r="AQ18" s="311"/>
      <c r="AR18" s="311">
        <f t="shared" si="4"/>
        <v>0</v>
      </c>
    </row>
    <row r="19" spans="2:44" x14ac:dyDescent="0.35">
      <c r="B19" s="309" t="s">
        <v>238</v>
      </c>
      <c r="C19" s="309"/>
      <c r="D19" s="309"/>
      <c r="E19" s="311"/>
      <c r="F19" s="311"/>
      <c r="G19" s="311"/>
      <c r="H19" s="311"/>
      <c r="I19" s="311"/>
      <c r="J19" s="311"/>
      <c r="K19" s="311"/>
      <c r="L19" s="311">
        <f t="shared" si="0"/>
        <v>0</v>
      </c>
      <c r="M19" s="311"/>
      <c r="N19" s="311"/>
      <c r="O19" s="311"/>
      <c r="P19" s="311"/>
      <c r="Q19" s="311"/>
      <c r="R19" s="311"/>
      <c r="S19" s="311"/>
      <c r="T19" s="311">
        <f t="shared" si="1"/>
        <v>0</v>
      </c>
      <c r="U19" s="311"/>
      <c r="V19" s="311"/>
      <c r="W19" s="311"/>
      <c r="X19" s="311"/>
      <c r="Y19" s="311"/>
      <c r="Z19" s="311"/>
      <c r="AA19" s="311"/>
      <c r="AB19" s="311">
        <f t="shared" si="2"/>
        <v>0</v>
      </c>
      <c r="AC19" s="311"/>
      <c r="AD19" s="311"/>
      <c r="AE19" s="311"/>
      <c r="AF19" s="311"/>
      <c r="AG19" s="311"/>
      <c r="AH19" s="311"/>
      <c r="AI19" s="311"/>
      <c r="AJ19" s="311">
        <f t="shared" si="3"/>
        <v>0</v>
      </c>
      <c r="AK19" s="311"/>
      <c r="AL19" s="311"/>
      <c r="AM19" s="311"/>
      <c r="AN19" s="311"/>
      <c r="AO19" s="311"/>
      <c r="AP19" s="311"/>
      <c r="AQ19" s="311"/>
      <c r="AR19" s="311">
        <f t="shared" si="4"/>
        <v>0</v>
      </c>
    </row>
    <row r="20" spans="2:44" x14ac:dyDescent="0.35">
      <c r="B20" s="309" t="s">
        <v>238</v>
      </c>
      <c r="C20" s="309"/>
      <c r="D20" s="309"/>
      <c r="E20" s="311"/>
      <c r="F20" s="311"/>
      <c r="G20" s="311"/>
      <c r="H20" s="311"/>
      <c r="I20" s="311"/>
      <c r="J20" s="311"/>
      <c r="K20" s="311"/>
      <c r="L20" s="311">
        <f t="shared" si="0"/>
        <v>0</v>
      </c>
      <c r="M20" s="311"/>
      <c r="N20" s="311"/>
      <c r="O20" s="311"/>
      <c r="P20" s="311"/>
      <c r="Q20" s="311"/>
      <c r="R20" s="311"/>
      <c r="S20" s="311"/>
      <c r="T20" s="311">
        <f t="shared" si="1"/>
        <v>0</v>
      </c>
      <c r="U20" s="311"/>
      <c r="V20" s="311"/>
      <c r="W20" s="311"/>
      <c r="X20" s="311"/>
      <c r="Y20" s="311"/>
      <c r="Z20" s="311"/>
      <c r="AA20" s="311"/>
      <c r="AB20" s="311">
        <f t="shared" si="2"/>
        <v>0</v>
      </c>
      <c r="AC20" s="311"/>
      <c r="AD20" s="311"/>
      <c r="AE20" s="311"/>
      <c r="AF20" s="311"/>
      <c r="AG20" s="311"/>
      <c r="AH20" s="311"/>
      <c r="AI20" s="311"/>
      <c r="AJ20" s="311">
        <f t="shared" si="3"/>
        <v>0</v>
      </c>
      <c r="AK20" s="311"/>
      <c r="AL20" s="311"/>
      <c r="AM20" s="311"/>
      <c r="AN20" s="311"/>
      <c r="AO20" s="311"/>
      <c r="AP20" s="311"/>
      <c r="AQ20" s="311"/>
      <c r="AR20" s="311">
        <f t="shared" si="4"/>
        <v>0</v>
      </c>
    </row>
    <row r="21" spans="2:44" x14ac:dyDescent="0.35">
      <c r="B21" s="309" t="s">
        <v>238</v>
      </c>
      <c r="C21" s="309"/>
      <c r="D21" s="309"/>
      <c r="E21" s="311"/>
      <c r="F21" s="311"/>
      <c r="G21" s="311"/>
      <c r="H21" s="311"/>
      <c r="I21" s="311"/>
      <c r="J21" s="311"/>
      <c r="K21" s="311"/>
      <c r="L21" s="311">
        <f t="shared" si="0"/>
        <v>0</v>
      </c>
      <c r="M21" s="311"/>
      <c r="N21" s="311"/>
      <c r="O21" s="311"/>
      <c r="P21" s="311"/>
      <c r="Q21" s="311"/>
      <c r="R21" s="311"/>
      <c r="S21" s="311"/>
      <c r="T21" s="311">
        <f t="shared" si="1"/>
        <v>0</v>
      </c>
      <c r="U21" s="311"/>
      <c r="V21" s="311"/>
      <c r="W21" s="311"/>
      <c r="X21" s="311"/>
      <c r="Y21" s="311"/>
      <c r="Z21" s="311"/>
      <c r="AA21" s="311"/>
      <c r="AB21" s="311">
        <f t="shared" si="2"/>
        <v>0</v>
      </c>
      <c r="AC21" s="311"/>
      <c r="AD21" s="311"/>
      <c r="AE21" s="311"/>
      <c r="AF21" s="311"/>
      <c r="AG21" s="311"/>
      <c r="AH21" s="311"/>
      <c r="AI21" s="311"/>
      <c r="AJ21" s="311">
        <f t="shared" si="3"/>
        <v>0</v>
      </c>
      <c r="AK21" s="311"/>
      <c r="AL21" s="311"/>
      <c r="AM21" s="311"/>
      <c r="AN21" s="311"/>
      <c r="AO21" s="311"/>
      <c r="AP21" s="311"/>
      <c r="AQ21" s="311"/>
      <c r="AR21" s="311">
        <f t="shared" si="4"/>
        <v>0</v>
      </c>
    </row>
    <row r="22" spans="2:44" x14ac:dyDescent="0.35">
      <c r="B22" s="309" t="s">
        <v>238</v>
      </c>
      <c r="C22" s="309"/>
      <c r="D22" s="309"/>
      <c r="E22" s="311"/>
      <c r="F22" s="311"/>
      <c r="G22" s="311"/>
      <c r="H22" s="311"/>
      <c r="I22" s="311"/>
      <c r="J22" s="311"/>
      <c r="K22" s="311"/>
      <c r="L22" s="311">
        <f t="shared" si="0"/>
        <v>0</v>
      </c>
      <c r="M22" s="311"/>
      <c r="N22" s="311"/>
      <c r="O22" s="311"/>
      <c r="P22" s="311"/>
      <c r="Q22" s="311"/>
      <c r="R22" s="311"/>
      <c r="S22" s="311"/>
      <c r="T22" s="311">
        <f t="shared" si="1"/>
        <v>0</v>
      </c>
      <c r="U22" s="311"/>
      <c r="V22" s="311"/>
      <c r="W22" s="311"/>
      <c r="X22" s="311"/>
      <c r="Y22" s="311"/>
      <c r="Z22" s="311"/>
      <c r="AA22" s="311"/>
      <c r="AB22" s="311">
        <f t="shared" si="2"/>
        <v>0</v>
      </c>
      <c r="AC22" s="311"/>
      <c r="AD22" s="311"/>
      <c r="AE22" s="311"/>
      <c r="AF22" s="311"/>
      <c r="AG22" s="311"/>
      <c r="AH22" s="311"/>
      <c r="AI22" s="311"/>
      <c r="AJ22" s="311">
        <f t="shared" si="3"/>
        <v>0</v>
      </c>
      <c r="AK22" s="311"/>
      <c r="AL22" s="311"/>
      <c r="AM22" s="311"/>
      <c r="AN22" s="311"/>
      <c r="AO22" s="311"/>
      <c r="AP22" s="311"/>
      <c r="AQ22" s="311"/>
      <c r="AR22" s="311">
        <f t="shared" si="4"/>
        <v>0</v>
      </c>
    </row>
    <row r="23" spans="2:44" x14ac:dyDescent="0.35">
      <c r="B23" s="309" t="s">
        <v>238</v>
      </c>
      <c r="C23" s="309"/>
      <c r="D23" s="309"/>
      <c r="E23" s="311"/>
      <c r="F23" s="311"/>
      <c r="G23" s="311"/>
      <c r="H23" s="311"/>
      <c r="I23" s="311"/>
      <c r="J23" s="311"/>
      <c r="K23" s="311"/>
      <c r="L23" s="311">
        <f t="shared" si="0"/>
        <v>0</v>
      </c>
      <c r="M23" s="311"/>
      <c r="N23" s="311"/>
      <c r="O23" s="311"/>
      <c r="P23" s="311"/>
      <c r="Q23" s="311"/>
      <c r="R23" s="311"/>
      <c r="S23" s="311"/>
      <c r="T23" s="311">
        <f t="shared" si="1"/>
        <v>0</v>
      </c>
      <c r="U23" s="311"/>
      <c r="V23" s="311"/>
      <c r="W23" s="311"/>
      <c r="X23" s="311"/>
      <c r="Y23" s="311"/>
      <c r="Z23" s="311"/>
      <c r="AA23" s="311"/>
      <c r="AB23" s="311">
        <f t="shared" si="2"/>
        <v>0</v>
      </c>
      <c r="AC23" s="311"/>
      <c r="AD23" s="311"/>
      <c r="AE23" s="311"/>
      <c r="AF23" s="311"/>
      <c r="AG23" s="311"/>
      <c r="AH23" s="311"/>
      <c r="AI23" s="311"/>
      <c r="AJ23" s="311">
        <f t="shared" si="3"/>
        <v>0</v>
      </c>
      <c r="AK23" s="311"/>
      <c r="AL23" s="311"/>
      <c r="AM23" s="311"/>
      <c r="AN23" s="311"/>
      <c r="AO23" s="311"/>
      <c r="AP23" s="311"/>
      <c r="AQ23" s="311"/>
      <c r="AR23" s="311">
        <f t="shared" si="4"/>
        <v>0</v>
      </c>
    </row>
    <row r="24" spans="2:44" x14ac:dyDescent="0.35">
      <c r="B24" s="309" t="s">
        <v>238</v>
      </c>
      <c r="C24" s="309"/>
      <c r="D24" s="309"/>
      <c r="E24" s="311"/>
      <c r="F24" s="311"/>
      <c r="G24" s="311"/>
      <c r="H24" s="311"/>
      <c r="I24" s="311"/>
      <c r="J24" s="311"/>
      <c r="K24" s="311"/>
      <c r="L24" s="311">
        <f t="shared" si="0"/>
        <v>0</v>
      </c>
      <c r="M24" s="311"/>
      <c r="N24" s="311"/>
      <c r="O24" s="311"/>
      <c r="P24" s="311"/>
      <c r="Q24" s="311"/>
      <c r="R24" s="311"/>
      <c r="S24" s="311"/>
      <c r="T24" s="311">
        <f t="shared" si="1"/>
        <v>0</v>
      </c>
      <c r="U24" s="311"/>
      <c r="V24" s="311"/>
      <c r="W24" s="311"/>
      <c r="X24" s="311"/>
      <c r="Y24" s="311"/>
      <c r="Z24" s="311"/>
      <c r="AA24" s="311"/>
      <c r="AB24" s="311">
        <f t="shared" si="2"/>
        <v>0</v>
      </c>
      <c r="AC24" s="311"/>
      <c r="AD24" s="311"/>
      <c r="AE24" s="311"/>
      <c r="AF24" s="311"/>
      <c r="AG24" s="311"/>
      <c r="AH24" s="311"/>
      <c r="AI24" s="311"/>
      <c r="AJ24" s="311">
        <f t="shared" si="3"/>
        <v>0</v>
      </c>
      <c r="AK24" s="311"/>
      <c r="AL24" s="311"/>
      <c r="AM24" s="311"/>
      <c r="AN24" s="311"/>
      <c r="AO24" s="311"/>
      <c r="AP24" s="311"/>
      <c r="AQ24" s="311"/>
      <c r="AR24" s="311">
        <f t="shared" si="4"/>
        <v>0</v>
      </c>
    </row>
    <row r="25" spans="2:44" x14ac:dyDescent="0.35">
      <c r="B25" s="309" t="s">
        <v>238</v>
      </c>
      <c r="C25" s="309"/>
      <c r="D25" s="309"/>
      <c r="E25" s="311"/>
      <c r="F25" s="311"/>
      <c r="G25" s="311"/>
      <c r="H25" s="311"/>
      <c r="I25" s="311"/>
      <c r="J25" s="311"/>
      <c r="K25" s="311"/>
      <c r="L25" s="311">
        <f t="shared" si="0"/>
        <v>0</v>
      </c>
      <c r="M25" s="311"/>
      <c r="N25" s="311"/>
      <c r="O25" s="311"/>
      <c r="P25" s="311"/>
      <c r="Q25" s="311"/>
      <c r="R25" s="311"/>
      <c r="S25" s="311"/>
      <c r="T25" s="311">
        <f t="shared" si="1"/>
        <v>0</v>
      </c>
      <c r="U25" s="311"/>
      <c r="V25" s="311"/>
      <c r="W25" s="311"/>
      <c r="X25" s="311"/>
      <c r="Y25" s="311"/>
      <c r="Z25" s="311"/>
      <c r="AA25" s="311"/>
      <c r="AB25" s="311">
        <f t="shared" si="2"/>
        <v>0</v>
      </c>
      <c r="AC25" s="311"/>
      <c r="AD25" s="311"/>
      <c r="AE25" s="311"/>
      <c r="AF25" s="311"/>
      <c r="AG25" s="311"/>
      <c r="AH25" s="311"/>
      <c r="AI25" s="311"/>
      <c r="AJ25" s="311">
        <f t="shared" si="3"/>
        <v>0</v>
      </c>
      <c r="AK25" s="311"/>
      <c r="AL25" s="311"/>
      <c r="AM25" s="311"/>
      <c r="AN25" s="311"/>
      <c r="AO25" s="311"/>
      <c r="AP25" s="311"/>
      <c r="AQ25" s="311"/>
      <c r="AR25" s="311">
        <f t="shared" si="4"/>
        <v>0</v>
      </c>
    </row>
    <row r="26" spans="2:44" x14ac:dyDescent="0.35">
      <c r="B26" s="309" t="s">
        <v>238</v>
      </c>
      <c r="C26" s="309"/>
      <c r="D26" s="309"/>
      <c r="E26" s="311"/>
      <c r="F26" s="311"/>
      <c r="G26" s="311"/>
      <c r="H26" s="311"/>
      <c r="I26" s="311"/>
      <c r="J26" s="311"/>
      <c r="K26" s="311"/>
      <c r="L26" s="311">
        <f t="shared" si="0"/>
        <v>0</v>
      </c>
      <c r="M26" s="311"/>
      <c r="N26" s="311"/>
      <c r="O26" s="311"/>
      <c r="P26" s="311"/>
      <c r="Q26" s="311"/>
      <c r="R26" s="311"/>
      <c r="S26" s="311"/>
      <c r="T26" s="311">
        <f t="shared" si="1"/>
        <v>0</v>
      </c>
      <c r="U26" s="311"/>
      <c r="V26" s="311"/>
      <c r="W26" s="311"/>
      <c r="X26" s="311"/>
      <c r="Y26" s="311"/>
      <c r="Z26" s="311"/>
      <c r="AA26" s="311"/>
      <c r="AB26" s="311">
        <f t="shared" si="2"/>
        <v>0</v>
      </c>
      <c r="AC26" s="311"/>
      <c r="AD26" s="311"/>
      <c r="AE26" s="311"/>
      <c r="AF26" s="311"/>
      <c r="AG26" s="311"/>
      <c r="AH26" s="311"/>
      <c r="AI26" s="311"/>
      <c r="AJ26" s="311">
        <f t="shared" si="3"/>
        <v>0</v>
      </c>
      <c r="AK26" s="311"/>
      <c r="AL26" s="311"/>
      <c r="AM26" s="311"/>
      <c r="AN26" s="311"/>
      <c r="AO26" s="311"/>
      <c r="AP26" s="311"/>
      <c r="AQ26" s="311"/>
      <c r="AR26" s="311">
        <f t="shared" si="4"/>
        <v>0</v>
      </c>
    </row>
    <row r="27" spans="2:44" x14ac:dyDescent="0.35">
      <c r="B27" s="309" t="s">
        <v>238</v>
      </c>
      <c r="C27" s="309"/>
      <c r="D27" s="309"/>
      <c r="E27" s="311"/>
      <c r="F27" s="311"/>
      <c r="G27" s="311"/>
      <c r="H27" s="311"/>
      <c r="I27" s="311"/>
      <c r="J27" s="311"/>
      <c r="K27" s="311"/>
      <c r="L27" s="311">
        <f t="shared" si="0"/>
        <v>0</v>
      </c>
      <c r="M27" s="311"/>
      <c r="N27" s="311"/>
      <c r="O27" s="311"/>
      <c r="P27" s="311"/>
      <c r="Q27" s="311"/>
      <c r="R27" s="311"/>
      <c r="S27" s="311"/>
      <c r="T27" s="311">
        <f t="shared" si="1"/>
        <v>0</v>
      </c>
      <c r="U27" s="311"/>
      <c r="V27" s="311"/>
      <c r="W27" s="311"/>
      <c r="X27" s="311"/>
      <c r="Y27" s="311"/>
      <c r="Z27" s="311"/>
      <c r="AA27" s="311"/>
      <c r="AB27" s="311">
        <f t="shared" si="2"/>
        <v>0</v>
      </c>
      <c r="AC27" s="311"/>
      <c r="AD27" s="311"/>
      <c r="AE27" s="311"/>
      <c r="AF27" s="311"/>
      <c r="AG27" s="311"/>
      <c r="AH27" s="311"/>
      <c r="AI27" s="311"/>
      <c r="AJ27" s="311">
        <f t="shared" si="3"/>
        <v>0</v>
      </c>
      <c r="AK27" s="311"/>
      <c r="AL27" s="311"/>
      <c r="AM27" s="311"/>
      <c r="AN27" s="311"/>
      <c r="AO27" s="311"/>
      <c r="AP27" s="311"/>
      <c r="AQ27" s="311"/>
      <c r="AR27" s="311">
        <f t="shared" si="4"/>
        <v>0</v>
      </c>
    </row>
    <row r="28" spans="2:44" x14ac:dyDescent="0.35">
      <c r="B28" s="309" t="s">
        <v>238</v>
      </c>
      <c r="C28" s="309"/>
      <c r="D28" s="309"/>
      <c r="E28" s="311"/>
      <c r="F28" s="311"/>
      <c r="G28" s="311"/>
      <c r="H28" s="311"/>
      <c r="I28" s="311"/>
      <c r="J28" s="311"/>
      <c r="K28" s="311"/>
      <c r="L28" s="311">
        <f t="shared" si="0"/>
        <v>0</v>
      </c>
      <c r="M28" s="311"/>
      <c r="N28" s="311"/>
      <c r="O28" s="311"/>
      <c r="P28" s="311"/>
      <c r="Q28" s="311"/>
      <c r="R28" s="311"/>
      <c r="S28" s="311"/>
      <c r="T28" s="311">
        <f t="shared" si="1"/>
        <v>0</v>
      </c>
      <c r="U28" s="311"/>
      <c r="V28" s="311"/>
      <c r="W28" s="311"/>
      <c r="X28" s="311"/>
      <c r="Y28" s="311"/>
      <c r="Z28" s="311"/>
      <c r="AA28" s="311"/>
      <c r="AB28" s="311">
        <f t="shared" si="2"/>
        <v>0</v>
      </c>
      <c r="AC28" s="311"/>
      <c r="AD28" s="311"/>
      <c r="AE28" s="311"/>
      <c r="AF28" s="311"/>
      <c r="AG28" s="311"/>
      <c r="AH28" s="311"/>
      <c r="AI28" s="311"/>
      <c r="AJ28" s="311">
        <f t="shared" si="3"/>
        <v>0</v>
      </c>
      <c r="AK28" s="311"/>
      <c r="AL28" s="311"/>
      <c r="AM28" s="311"/>
      <c r="AN28" s="311"/>
      <c r="AO28" s="311"/>
      <c r="AP28" s="311"/>
      <c r="AQ28" s="311"/>
      <c r="AR28" s="311">
        <f t="shared" si="4"/>
        <v>0</v>
      </c>
    </row>
    <row r="29" spans="2:44" x14ac:dyDescent="0.35">
      <c r="B29" s="309" t="s">
        <v>238</v>
      </c>
      <c r="C29" s="309"/>
      <c r="D29" s="309"/>
      <c r="E29" s="311"/>
      <c r="F29" s="311"/>
      <c r="G29" s="311"/>
      <c r="H29" s="311"/>
      <c r="I29" s="311"/>
      <c r="J29" s="311"/>
      <c r="K29" s="311"/>
      <c r="L29" s="311">
        <f t="shared" si="0"/>
        <v>0</v>
      </c>
      <c r="M29" s="311"/>
      <c r="N29" s="311"/>
      <c r="O29" s="311"/>
      <c r="P29" s="311"/>
      <c r="Q29" s="311"/>
      <c r="R29" s="311"/>
      <c r="S29" s="311"/>
      <c r="T29" s="311">
        <f t="shared" si="1"/>
        <v>0</v>
      </c>
      <c r="U29" s="311"/>
      <c r="V29" s="311"/>
      <c r="W29" s="311"/>
      <c r="X29" s="311"/>
      <c r="Y29" s="311"/>
      <c r="Z29" s="311"/>
      <c r="AA29" s="311"/>
      <c r="AB29" s="311">
        <f t="shared" si="2"/>
        <v>0</v>
      </c>
      <c r="AC29" s="311"/>
      <c r="AD29" s="311"/>
      <c r="AE29" s="311"/>
      <c r="AF29" s="311"/>
      <c r="AG29" s="311"/>
      <c r="AH29" s="311"/>
      <c r="AI29" s="311"/>
      <c r="AJ29" s="311">
        <f t="shared" si="3"/>
        <v>0</v>
      </c>
      <c r="AK29" s="311"/>
      <c r="AL29" s="311"/>
      <c r="AM29" s="311"/>
      <c r="AN29" s="311"/>
      <c r="AO29" s="311"/>
      <c r="AP29" s="311"/>
      <c r="AQ29" s="311"/>
      <c r="AR29" s="311">
        <f t="shared" si="4"/>
        <v>0</v>
      </c>
    </row>
    <row r="30" spans="2:44" x14ac:dyDescent="0.35">
      <c r="B30" s="309" t="s">
        <v>238</v>
      </c>
      <c r="C30" s="309"/>
      <c r="D30" s="309"/>
      <c r="E30" s="311"/>
      <c r="F30" s="311"/>
      <c r="G30" s="311"/>
      <c r="H30" s="311"/>
      <c r="I30" s="311"/>
      <c r="J30" s="311"/>
      <c r="K30" s="311"/>
      <c r="L30" s="311">
        <f t="shared" si="0"/>
        <v>0</v>
      </c>
      <c r="M30" s="311"/>
      <c r="N30" s="311"/>
      <c r="O30" s="311"/>
      <c r="P30" s="311"/>
      <c r="Q30" s="311"/>
      <c r="R30" s="311"/>
      <c r="S30" s="311"/>
      <c r="T30" s="311">
        <f t="shared" si="1"/>
        <v>0</v>
      </c>
      <c r="U30" s="311"/>
      <c r="V30" s="311"/>
      <c r="W30" s="311"/>
      <c r="X30" s="311"/>
      <c r="Y30" s="311"/>
      <c r="Z30" s="311"/>
      <c r="AA30" s="311"/>
      <c r="AB30" s="311">
        <f t="shared" si="2"/>
        <v>0</v>
      </c>
      <c r="AC30" s="311"/>
      <c r="AD30" s="311"/>
      <c r="AE30" s="311"/>
      <c r="AF30" s="311"/>
      <c r="AG30" s="311"/>
      <c r="AH30" s="311"/>
      <c r="AI30" s="311"/>
      <c r="AJ30" s="311">
        <f t="shared" si="3"/>
        <v>0</v>
      </c>
      <c r="AK30" s="311"/>
      <c r="AL30" s="311"/>
      <c r="AM30" s="311"/>
      <c r="AN30" s="311"/>
      <c r="AO30" s="311"/>
      <c r="AP30" s="311"/>
      <c r="AQ30" s="311"/>
      <c r="AR30" s="311">
        <f t="shared" si="4"/>
        <v>0</v>
      </c>
    </row>
    <row r="31" spans="2:44" x14ac:dyDescent="0.35">
      <c r="B31" s="309" t="s">
        <v>238</v>
      </c>
      <c r="C31" s="309"/>
      <c r="D31" s="309"/>
      <c r="E31" s="311"/>
      <c r="F31" s="311"/>
      <c r="G31" s="311"/>
      <c r="H31" s="311"/>
      <c r="I31" s="311"/>
      <c r="J31" s="311"/>
      <c r="K31" s="311"/>
      <c r="L31" s="311">
        <f t="shared" si="0"/>
        <v>0</v>
      </c>
      <c r="M31" s="311"/>
      <c r="N31" s="311"/>
      <c r="O31" s="311"/>
      <c r="P31" s="311"/>
      <c r="Q31" s="311"/>
      <c r="R31" s="311"/>
      <c r="S31" s="311"/>
      <c r="T31" s="311">
        <f t="shared" si="1"/>
        <v>0</v>
      </c>
      <c r="U31" s="311"/>
      <c r="V31" s="311"/>
      <c r="W31" s="311"/>
      <c r="X31" s="311"/>
      <c r="Y31" s="311"/>
      <c r="Z31" s="311"/>
      <c r="AA31" s="311"/>
      <c r="AB31" s="311">
        <f t="shared" si="2"/>
        <v>0</v>
      </c>
      <c r="AC31" s="311"/>
      <c r="AD31" s="311"/>
      <c r="AE31" s="311"/>
      <c r="AF31" s="311"/>
      <c r="AG31" s="311"/>
      <c r="AH31" s="311"/>
      <c r="AI31" s="311"/>
      <c r="AJ31" s="311">
        <f t="shared" si="3"/>
        <v>0</v>
      </c>
      <c r="AK31" s="311"/>
      <c r="AL31" s="311"/>
      <c r="AM31" s="311"/>
      <c r="AN31" s="311"/>
      <c r="AO31" s="311"/>
      <c r="AP31" s="311"/>
      <c r="AQ31" s="311"/>
      <c r="AR31" s="311">
        <f t="shared" si="4"/>
        <v>0</v>
      </c>
    </row>
    <row r="32" spans="2:44" x14ac:dyDescent="0.35">
      <c r="B32" s="309" t="s">
        <v>238</v>
      </c>
      <c r="C32" s="309"/>
      <c r="D32" s="309"/>
      <c r="E32" s="311"/>
      <c r="F32" s="311"/>
      <c r="G32" s="311"/>
      <c r="H32" s="311"/>
      <c r="I32" s="311"/>
      <c r="J32" s="311"/>
      <c r="K32" s="311"/>
      <c r="L32" s="311">
        <f t="shared" si="0"/>
        <v>0</v>
      </c>
      <c r="M32" s="311"/>
      <c r="N32" s="311"/>
      <c r="O32" s="311"/>
      <c r="P32" s="311"/>
      <c r="Q32" s="311"/>
      <c r="R32" s="311"/>
      <c r="S32" s="311"/>
      <c r="T32" s="311">
        <f t="shared" si="1"/>
        <v>0</v>
      </c>
      <c r="U32" s="311"/>
      <c r="V32" s="311"/>
      <c r="W32" s="311"/>
      <c r="X32" s="311"/>
      <c r="Y32" s="311"/>
      <c r="Z32" s="311"/>
      <c r="AA32" s="311"/>
      <c r="AB32" s="311">
        <f t="shared" si="2"/>
        <v>0</v>
      </c>
      <c r="AC32" s="311"/>
      <c r="AD32" s="311"/>
      <c r="AE32" s="311"/>
      <c r="AF32" s="311"/>
      <c r="AG32" s="311"/>
      <c r="AH32" s="311"/>
      <c r="AI32" s="311"/>
      <c r="AJ32" s="311">
        <f t="shared" si="3"/>
        <v>0</v>
      </c>
      <c r="AK32" s="311"/>
      <c r="AL32" s="311"/>
      <c r="AM32" s="311"/>
      <c r="AN32" s="311"/>
      <c r="AO32" s="311"/>
      <c r="AP32" s="311"/>
      <c r="AQ32" s="311"/>
      <c r="AR32" s="311">
        <f t="shared" si="4"/>
        <v>0</v>
      </c>
    </row>
    <row r="33" spans="2:44" x14ac:dyDescent="0.35">
      <c r="B33" s="309" t="s">
        <v>238</v>
      </c>
      <c r="C33" s="309"/>
      <c r="D33" s="309"/>
      <c r="E33" s="311"/>
      <c r="F33" s="311"/>
      <c r="G33" s="311"/>
      <c r="H33" s="311"/>
      <c r="I33" s="311"/>
      <c r="J33" s="311"/>
      <c r="K33" s="311"/>
      <c r="L33" s="311">
        <f t="shared" si="0"/>
        <v>0</v>
      </c>
      <c r="M33" s="311"/>
      <c r="N33" s="311"/>
      <c r="O33" s="311"/>
      <c r="P33" s="311"/>
      <c r="Q33" s="311"/>
      <c r="R33" s="311"/>
      <c r="S33" s="311"/>
      <c r="T33" s="311">
        <f t="shared" si="1"/>
        <v>0</v>
      </c>
      <c r="U33" s="311"/>
      <c r="V33" s="311"/>
      <c r="W33" s="311"/>
      <c r="X33" s="311"/>
      <c r="Y33" s="311"/>
      <c r="Z33" s="311"/>
      <c r="AA33" s="311"/>
      <c r="AB33" s="311">
        <f t="shared" si="2"/>
        <v>0</v>
      </c>
      <c r="AC33" s="311"/>
      <c r="AD33" s="311"/>
      <c r="AE33" s="311"/>
      <c r="AF33" s="311"/>
      <c r="AG33" s="311"/>
      <c r="AH33" s="311"/>
      <c r="AI33" s="311"/>
      <c r="AJ33" s="311">
        <f t="shared" si="3"/>
        <v>0</v>
      </c>
      <c r="AK33" s="311"/>
      <c r="AL33" s="311"/>
      <c r="AM33" s="311"/>
      <c r="AN33" s="311"/>
      <c r="AO33" s="311"/>
      <c r="AP33" s="311"/>
      <c r="AQ33" s="311"/>
      <c r="AR33" s="311">
        <f t="shared" si="4"/>
        <v>0</v>
      </c>
    </row>
    <row r="34" spans="2:44" x14ac:dyDescent="0.35">
      <c r="B34" s="309" t="s">
        <v>238</v>
      </c>
      <c r="C34" s="309"/>
      <c r="D34" s="309"/>
      <c r="E34" s="311"/>
      <c r="F34" s="311"/>
      <c r="G34" s="311"/>
      <c r="H34" s="311"/>
      <c r="I34" s="311"/>
      <c r="J34" s="311"/>
      <c r="K34" s="311"/>
      <c r="L34" s="311">
        <f t="shared" si="0"/>
        <v>0</v>
      </c>
      <c r="M34" s="311"/>
      <c r="N34" s="311"/>
      <c r="O34" s="311"/>
      <c r="P34" s="311"/>
      <c r="Q34" s="311"/>
      <c r="R34" s="311"/>
      <c r="S34" s="311"/>
      <c r="T34" s="311">
        <f t="shared" si="1"/>
        <v>0</v>
      </c>
      <c r="U34" s="311"/>
      <c r="V34" s="311"/>
      <c r="W34" s="311"/>
      <c r="X34" s="311"/>
      <c r="Y34" s="311"/>
      <c r="Z34" s="311"/>
      <c r="AA34" s="311"/>
      <c r="AB34" s="311">
        <f t="shared" si="2"/>
        <v>0</v>
      </c>
      <c r="AC34" s="311"/>
      <c r="AD34" s="311"/>
      <c r="AE34" s="311"/>
      <c r="AF34" s="311"/>
      <c r="AG34" s="311"/>
      <c r="AH34" s="311"/>
      <c r="AI34" s="311"/>
      <c r="AJ34" s="311">
        <f t="shared" si="3"/>
        <v>0</v>
      </c>
      <c r="AK34" s="311"/>
      <c r="AL34" s="311"/>
      <c r="AM34" s="311"/>
      <c r="AN34" s="311"/>
      <c r="AO34" s="311"/>
      <c r="AP34" s="311"/>
      <c r="AQ34" s="311"/>
      <c r="AR34" s="311">
        <f t="shared" si="4"/>
        <v>0</v>
      </c>
    </row>
    <row r="35" spans="2:44" x14ac:dyDescent="0.35">
      <c r="B35" s="309" t="s">
        <v>238</v>
      </c>
      <c r="C35" s="309"/>
      <c r="D35" s="309"/>
      <c r="E35" s="311"/>
      <c r="F35" s="311"/>
      <c r="G35" s="311"/>
      <c r="H35" s="311"/>
      <c r="I35" s="311"/>
      <c r="J35" s="311"/>
      <c r="K35" s="311"/>
      <c r="L35" s="311">
        <f t="shared" si="0"/>
        <v>0</v>
      </c>
      <c r="M35" s="311"/>
      <c r="N35" s="311"/>
      <c r="O35" s="311"/>
      <c r="P35" s="311"/>
      <c r="Q35" s="311"/>
      <c r="R35" s="311"/>
      <c r="S35" s="311"/>
      <c r="T35" s="311">
        <f t="shared" si="1"/>
        <v>0</v>
      </c>
      <c r="U35" s="311"/>
      <c r="V35" s="311"/>
      <c r="W35" s="311"/>
      <c r="X35" s="311"/>
      <c r="Y35" s="311"/>
      <c r="Z35" s="311"/>
      <c r="AA35" s="311"/>
      <c r="AB35" s="311">
        <f t="shared" si="2"/>
        <v>0</v>
      </c>
      <c r="AC35" s="311"/>
      <c r="AD35" s="311"/>
      <c r="AE35" s="311"/>
      <c r="AF35" s="311"/>
      <c r="AG35" s="311"/>
      <c r="AH35" s="311"/>
      <c r="AI35" s="311"/>
      <c r="AJ35" s="311">
        <f t="shared" si="3"/>
        <v>0</v>
      </c>
      <c r="AK35" s="311"/>
      <c r="AL35" s="311"/>
      <c r="AM35" s="311"/>
      <c r="AN35" s="311"/>
      <c r="AO35" s="311"/>
      <c r="AP35" s="311"/>
      <c r="AQ35" s="311"/>
      <c r="AR35" s="311">
        <f t="shared" si="4"/>
        <v>0</v>
      </c>
    </row>
    <row r="36" spans="2:44" x14ac:dyDescent="0.35">
      <c r="B36" s="309" t="s">
        <v>238</v>
      </c>
      <c r="C36" s="309"/>
      <c r="D36" s="309"/>
      <c r="E36" s="311"/>
      <c r="F36" s="311"/>
      <c r="G36" s="311"/>
      <c r="H36" s="311"/>
      <c r="I36" s="311"/>
      <c r="J36" s="311"/>
      <c r="K36" s="311"/>
      <c r="L36" s="311">
        <f t="shared" si="0"/>
        <v>0</v>
      </c>
      <c r="M36" s="311"/>
      <c r="N36" s="311"/>
      <c r="O36" s="311"/>
      <c r="P36" s="311"/>
      <c r="Q36" s="311"/>
      <c r="R36" s="311"/>
      <c r="S36" s="311"/>
      <c r="T36" s="311">
        <f t="shared" si="1"/>
        <v>0</v>
      </c>
      <c r="U36" s="311"/>
      <c r="V36" s="311"/>
      <c r="W36" s="311"/>
      <c r="X36" s="311"/>
      <c r="Y36" s="311"/>
      <c r="Z36" s="311"/>
      <c r="AA36" s="311"/>
      <c r="AB36" s="311">
        <f t="shared" si="2"/>
        <v>0</v>
      </c>
      <c r="AC36" s="311"/>
      <c r="AD36" s="311"/>
      <c r="AE36" s="311"/>
      <c r="AF36" s="311"/>
      <c r="AG36" s="311"/>
      <c r="AH36" s="311"/>
      <c r="AI36" s="311"/>
      <c r="AJ36" s="311">
        <f t="shared" si="3"/>
        <v>0</v>
      </c>
      <c r="AK36" s="311"/>
      <c r="AL36" s="311"/>
      <c r="AM36" s="311"/>
      <c r="AN36" s="311"/>
      <c r="AO36" s="311"/>
      <c r="AP36" s="311"/>
      <c r="AQ36" s="311"/>
      <c r="AR36" s="311">
        <f t="shared" si="4"/>
        <v>0</v>
      </c>
    </row>
    <row r="37" spans="2:44" x14ac:dyDescent="0.35">
      <c r="B37" s="309" t="s">
        <v>238</v>
      </c>
      <c r="C37" s="309"/>
      <c r="D37" s="309"/>
      <c r="E37" s="311"/>
      <c r="F37" s="311"/>
      <c r="G37" s="311"/>
      <c r="H37" s="311"/>
      <c r="I37" s="311"/>
      <c r="J37" s="311"/>
      <c r="K37" s="311"/>
      <c r="L37" s="311">
        <f t="shared" si="0"/>
        <v>0</v>
      </c>
      <c r="M37" s="311"/>
      <c r="N37" s="311"/>
      <c r="O37" s="311"/>
      <c r="P37" s="311"/>
      <c r="Q37" s="311"/>
      <c r="R37" s="311"/>
      <c r="S37" s="311"/>
      <c r="T37" s="311">
        <f t="shared" si="1"/>
        <v>0</v>
      </c>
      <c r="U37" s="311"/>
      <c r="V37" s="311"/>
      <c r="W37" s="311"/>
      <c r="X37" s="311"/>
      <c r="Y37" s="311"/>
      <c r="Z37" s="311"/>
      <c r="AA37" s="311"/>
      <c r="AB37" s="311">
        <f t="shared" si="2"/>
        <v>0</v>
      </c>
      <c r="AC37" s="311"/>
      <c r="AD37" s="311"/>
      <c r="AE37" s="311"/>
      <c r="AF37" s="311"/>
      <c r="AG37" s="311"/>
      <c r="AH37" s="311"/>
      <c r="AI37" s="311"/>
      <c r="AJ37" s="311">
        <f t="shared" si="3"/>
        <v>0</v>
      </c>
      <c r="AK37" s="311"/>
      <c r="AL37" s="311"/>
      <c r="AM37" s="311"/>
      <c r="AN37" s="311"/>
      <c r="AO37" s="311"/>
      <c r="AP37" s="311"/>
      <c r="AQ37" s="311"/>
      <c r="AR37" s="311">
        <f t="shared" si="4"/>
        <v>0</v>
      </c>
    </row>
    <row r="38" spans="2:44" x14ac:dyDescent="0.35">
      <c r="B38" s="309" t="s">
        <v>238</v>
      </c>
      <c r="C38" s="309"/>
      <c r="D38" s="309"/>
      <c r="E38" s="311"/>
      <c r="F38" s="311"/>
      <c r="G38" s="311"/>
      <c r="H38" s="311"/>
      <c r="I38" s="311"/>
      <c r="J38" s="311"/>
      <c r="K38" s="311"/>
      <c r="L38" s="311">
        <f t="shared" si="0"/>
        <v>0</v>
      </c>
      <c r="M38" s="311"/>
      <c r="N38" s="311"/>
      <c r="O38" s="311"/>
      <c r="P38" s="311"/>
      <c r="Q38" s="311"/>
      <c r="R38" s="311"/>
      <c r="S38" s="311"/>
      <c r="T38" s="311">
        <f t="shared" si="1"/>
        <v>0</v>
      </c>
      <c r="U38" s="311"/>
      <c r="V38" s="311"/>
      <c r="W38" s="311"/>
      <c r="X38" s="311"/>
      <c r="Y38" s="311"/>
      <c r="Z38" s="311"/>
      <c r="AA38" s="311"/>
      <c r="AB38" s="311">
        <f t="shared" si="2"/>
        <v>0</v>
      </c>
      <c r="AC38" s="311"/>
      <c r="AD38" s="311"/>
      <c r="AE38" s="311"/>
      <c r="AF38" s="311"/>
      <c r="AG38" s="311"/>
      <c r="AH38" s="311"/>
      <c r="AI38" s="311"/>
      <c r="AJ38" s="311">
        <f t="shared" si="3"/>
        <v>0</v>
      </c>
      <c r="AK38" s="311"/>
      <c r="AL38" s="311"/>
      <c r="AM38" s="311"/>
      <c r="AN38" s="311"/>
      <c r="AO38" s="311"/>
      <c r="AP38" s="311"/>
      <c r="AQ38" s="311"/>
      <c r="AR38" s="311">
        <f t="shared" si="4"/>
        <v>0</v>
      </c>
    </row>
    <row r="39" spans="2:44" x14ac:dyDescent="0.35">
      <c r="B39" s="309" t="s">
        <v>238</v>
      </c>
      <c r="C39" s="309"/>
      <c r="D39" s="309"/>
      <c r="E39" s="311"/>
      <c r="F39" s="311"/>
      <c r="G39" s="311"/>
      <c r="H39" s="311"/>
      <c r="I39" s="311"/>
      <c r="J39" s="311"/>
      <c r="K39" s="311"/>
      <c r="L39" s="311">
        <f t="shared" si="0"/>
        <v>0</v>
      </c>
      <c r="M39" s="311"/>
      <c r="N39" s="311"/>
      <c r="O39" s="311"/>
      <c r="P39" s="311"/>
      <c r="Q39" s="311"/>
      <c r="R39" s="311"/>
      <c r="S39" s="311"/>
      <c r="T39" s="311">
        <f t="shared" si="1"/>
        <v>0</v>
      </c>
      <c r="U39" s="311"/>
      <c r="V39" s="311"/>
      <c r="W39" s="311"/>
      <c r="X39" s="311"/>
      <c r="Y39" s="311"/>
      <c r="Z39" s="311"/>
      <c r="AA39" s="311"/>
      <c r="AB39" s="311">
        <f t="shared" si="2"/>
        <v>0</v>
      </c>
      <c r="AC39" s="311"/>
      <c r="AD39" s="311"/>
      <c r="AE39" s="311"/>
      <c r="AF39" s="311"/>
      <c r="AG39" s="311"/>
      <c r="AH39" s="311"/>
      <c r="AI39" s="311"/>
      <c r="AJ39" s="311">
        <f t="shared" si="3"/>
        <v>0</v>
      </c>
      <c r="AK39" s="311"/>
      <c r="AL39" s="311"/>
      <c r="AM39" s="311"/>
      <c r="AN39" s="311"/>
      <c r="AO39" s="311"/>
      <c r="AP39" s="311"/>
      <c r="AQ39" s="311"/>
      <c r="AR39" s="311">
        <f t="shared" si="4"/>
        <v>0</v>
      </c>
    </row>
    <row r="40" spans="2:44" x14ac:dyDescent="0.35">
      <c r="B40" s="309"/>
      <c r="C40" s="309"/>
      <c r="D40" s="309"/>
      <c r="E40" s="311"/>
      <c r="F40" s="311"/>
      <c r="G40" s="311"/>
      <c r="H40" s="311"/>
      <c r="I40" s="311"/>
      <c r="J40" s="311"/>
      <c r="K40" s="311"/>
      <c r="L40" s="311">
        <f t="shared" si="0"/>
        <v>0</v>
      </c>
      <c r="M40" s="311"/>
      <c r="N40" s="311"/>
      <c r="O40" s="311"/>
      <c r="P40" s="311"/>
      <c r="Q40" s="311"/>
      <c r="R40" s="311"/>
      <c r="S40" s="311"/>
      <c r="T40" s="311">
        <f t="shared" si="1"/>
        <v>0</v>
      </c>
      <c r="U40" s="311"/>
      <c r="V40" s="311"/>
      <c r="W40" s="311"/>
      <c r="X40" s="311"/>
      <c r="Y40" s="311"/>
      <c r="Z40" s="311"/>
      <c r="AA40" s="311"/>
      <c r="AB40" s="311">
        <f t="shared" si="2"/>
        <v>0</v>
      </c>
      <c r="AC40" s="311"/>
      <c r="AD40" s="311"/>
      <c r="AE40" s="311"/>
      <c r="AF40" s="311"/>
      <c r="AG40" s="311"/>
      <c r="AH40" s="311"/>
      <c r="AI40" s="311"/>
      <c r="AJ40" s="311">
        <f t="shared" si="3"/>
        <v>0</v>
      </c>
      <c r="AK40" s="311"/>
      <c r="AL40" s="311"/>
      <c r="AM40" s="311"/>
      <c r="AN40" s="311"/>
      <c r="AO40" s="311"/>
      <c r="AP40" s="311"/>
      <c r="AQ40" s="311"/>
      <c r="AR40" s="311">
        <f t="shared" si="4"/>
        <v>0</v>
      </c>
    </row>
    <row r="41" spans="2:44" x14ac:dyDescent="0.35">
      <c r="B41" s="314" t="s">
        <v>164</v>
      </c>
      <c r="C41" s="314"/>
      <c r="D41" s="314"/>
      <c r="E41" s="346">
        <f>SUM(E4:E39)</f>
        <v>0</v>
      </c>
      <c r="F41" s="346">
        <f t="shared" ref="F41:AR41" si="5">SUM(F4:F39)</f>
        <v>0</v>
      </c>
      <c r="G41" s="346">
        <f t="shared" si="5"/>
        <v>0</v>
      </c>
      <c r="H41" s="346">
        <f t="shared" si="5"/>
        <v>0</v>
      </c>
      <c r="I41" s="346">
        <f t="shared" si="5"/>
        <v>0</v>
      </c>
      <c r="J41" s="346">
        <f t="shared" si="5"/>
        <v>0</v>
      </c>
      <c r="K41" s="346">
        <f t="shared" si="5"/>
        <v>0</v>
      </c>
      <c r="L41" s="346">
        <f t="shared" si="5"/>
        <v>0</v>
      </c>
      <c r="M41" s="346">
        <f t="shared" si="5"/>
        <v>0</v>
      </c>
      <c r="N41" s="346">
        <f t="shared" si="5"/>
        <v>0</v>
      </c>
      <c r="O41" s="346">
        <f t="shared" si="5"/>
        <v>0</v>
      </c>
      <c r="P41" s="346">
        <f t="shared" si="5"/>
        <v>0</v>
      </c>
      <c r="Q41" s="346">
        <f t="shared" si="5"/>
        <v>0</v>
      </c>
      <c r="R41" s="346">
        <f t="shared" si="5"/>
        <v>0</v>
      </c>
      <c r="S41" s="346">
        <f t="shared" si="5"/>
        <v>0</v>
      </c>
      <c r="T41" s="346">
        <f t="shared" si="5"/>
        <v>0</v>
      </c>
      <c r="U41" s="346">
        <f t="shared" si="5"/>
        <v>0</v>
      </c>
      <c r="V41" s="346">
        <f t="shared" si="5"/>
        <v>0</v>
      </c>
      <c r="W41" s="346">
        <f t="shared" si="5"/>
        <v>0</v>
      </c>
      <c r="X41" s="346">
        <f t="shared" si="5"/>
        <v>0</v>
      </c>
      <c r="Y41" s="346">
        <f t="shared" si="5"/>
        <v>0</v>
      </c>
      <c r="Z41" s="346">
        <f t="shared" si="5"/>
        <v>0</v>
      </c>
      <c r="AA41" s="346">
        <f t="shared" si="5"/>
        <v>0</v>
      </c>
      <c r="AB41" s="346">
        <f t="shared" si="5"/>
        <v>0</v>
      </c>
      <c r="AC41" s="346">
        <f t="shared" si="5"/>
        <v>0</v>
      </c>
      <c r="AD41" s="346">
        <f t="shared" si="5"/>
        <v>0</v>
      </c>
      <c r="AE41" s="346">
        <f t="shared" si="5"/>
        <v>0</v>
      </c>
      <c r="AF41" s="346">
        <f t="shared" si="5"/>
        <v>0</v>
      </c>
      <c r="AG41" s="346">
        <f t="shared" si="5"/>
        <v>0</v>
      </c>
      <c r="AH41" s="346">
        <f t="shared" si="5"/>
        <v>0</v>
      </c>
      <c r="AI41" s="346">
        <f t="shared" si="5"/>
        <v>0</v>
      </c>
      <c r="AJ41" s="346">
        <f t="shared" si="5"/>
        <v>0</v>
      </c>
      <c r="AK41" s="346">
        <f t="shared" si="5"/>
        <v>0</v>
      </c>
      <c r="AL41" s="346">
        <f t="shared" si="5"/>
        <v>0</v>
      </c>
      <c r="AM41" s="346">
        <f t="shared" si="5"/>
        <v>0</v>
      </c>
      <c r="AN41" s="346">
        <f t="shared" si="5"/>
        <v>0</v>
      </c>
      <c r="AO41" s="346">
        <f t="shared" si="5"/>
        <v>0</v>
      </c>
      <c r="AP41" s="346">
        <f t="shared" si="5"/>
        <v>0</v>
      </c>
      <c r="AQ41" s="346">
        <f t="shared" si="5"/>
        <v>0</v>
      </c>
      <c r="AR41" s="346">
        <f t="shared" si="5"/>
        <v>0</v>
      </c>
    </row>
  </sheetData>
  <mergeCells count="49">
    <mergeCell ref="E10:I10"/>
    <mergeCell ref="M10:Q10"/>
    <mergeCell ref="U10:Y10"/>
    <mergeCell ref="AC10:AG10"/>
    <mergeCell ref="AK10:AO10"/>
    <mergeCell ref="E11:I11"/>
    <mergeCell ref="M11:Q11"/>
    <mergeCell ref="U11:Y11"/>
    <mergeCell ref="AC11:AG11"/>
    <mergeCell ref="AK11:AO11"/>
    <mergeCell ref="U7:Y7"/>
    <mergeCell ref="AC7:AG7"/>
    <mergeCell ref="AK7:AO7"/>
    <mergeCell ref="E9:I9"/>
    <mergeCell ref="M9:Q9"/>
    <mergeCell ref="U9:Y9"/>
    <mergeCell ref="AC9:AG9"/>
    <mergeCell ref="AK9:AO9"/>
    <mergeCell ref="E8:I8"/>
    <mergeCell ref="M8:Q8"/>
    <mergeCell ref="U8:Y8"/>
    <mergeCell ref="AC8:AG8"/>
    <mergeCell ref="AK8:AO8"/>
    <mergeCell ref="AC2:AJ2"/>
    <mergeCell ref="AK2:AR2"/>
    <mergeCell ref="AS3:AS4"/>
    <mergeCell ref="E5:I5"/>
    <mergeCell ref="M5:Q5"/>
    <mergeCell ref="U5:Y5"/>
    <mergeCell ref="AC5:AG5"/>
    <mergeCell ref="AK5:AO5"/>
    <mergeCell ref="AS5:AS11"/>
    <mergeCell ref="E6:I6"/>
    <mergeCell ref="M6:Q6"/>
    <mergeCell ref="U6:Y6"/>
    <mergeCell ref="AC6:AG6"/>
    <mergeCell ref="AK6:AO6"/>
    <mergeCell ref="E7:I7"/>
    <mergeCell ref="M7:Q7"/>
    <mergeCell ref="E1:L1"/>
    <mergeCell ref="M1:T1"/>
    <mergeCell ref="U1:AB1"/>
    <mergeCell ref="AC1:AJ1"/>
    <mergeCell ref="AK1:AR1"/>
    <mergeCell ref="C2:C3"/>
    <mergeCell ref="D2:D3"/>
    <mergeCell ref="E2:L2"/>
    <mergeCell ref="M2:T2"/>
    <mergeCell ref="U2:AB2"/>
  </mergeCells>
  <dataValidations count="2">
    <dataValidation type="list" allowBlank="1" showInputMessage="1" showErrorMessage="1" sqref="C40" xr:uid="{D57EB52F-5520-451F-B2A9-6EB3E5455975}">
      <formula1>"Wire, Retail"</formula1>
    </dataValidation>
    <dataValidation type="list" allowBlank="1" showInputMessage="1" showErrorMessage="1" sqref="C4:C39" xr:uid="{E18A63F4-42EF-4097-868D-060CF7D41D62}">
      <formula1>"Wire, Retail, Unallocable"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16EAF9-C461-4404-BFEF-A770E8DBEAE0}">
          <x14:formula1>
            <xm:f>'Block of Assets'!$C$4:$C$29</xm:f>
          </x14:formula1>
          <xm:sqref>C40</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7CE86-CCAA-4372-B2EE-294849F8FEA4}">
  <dimension ref="B1:AS41"/>
  <sheetViews>
    <sheetView showGridLines="0" zoomScale="80" zoomScaleNormal="80" workbookViewId="0">
      <pane xSplit="2" ySplit="3" topLeftCell="AC4" activePane="bottomRight" state="frozen"/>
      <selection activeCell="C90" sqref="B90:P113"/>
      <selection pane="topRight" activeCell="C90" sqref="B90:P113"/>
      <selection pane="bottomLeft" activeCell="C90" sqref="B90:P113"/>
      <selection pane="bottomRight" activeCell="C90" sqref="B90:P113"/>
    </sheetView>
  </sheetViews>
  <sheetFormatPr defaultColWidth="9.1328125" defaultRowHeight="13.5" x14ac:dyDescent="0.35"/>
  <cols>
    <col min="1" max="1" width="4.46484375" style="285" customWidth="1"/>
    <col min="2" max="2" width="48.1328125" style="285" customWidth="1"/>
    <col min="3" max="3" width="13.86328125" style="285" customWidth="1"/>
    <col min="4" max="4" width="35" style="285" bestFit="1" customWidth="1"/>
    <col min="5" max="19" width="13.86328125" style="285" customWidth="1"/>
    <col min="20" max="20" width="12.53125" style="285" bestFit="1" customWidth="1"/>
    <col min="21" max="44" width="12.86328125" style="285" customWidth="1"/>
    <col min="45" max="45" width="31.1328125" style="285" customWidth="1"/>
    <col min="46" max="16384" width="9.1328125" style="285"/>
  </cols>
  <sheetData>
    <row r="1" spans="2:45" x14ac:dyDescent="0.35">
      <c r="B1" s="285" t="s">
        <v>918</v>
      </c>
      <c r="E1" s="2217" t="s">
        <v>197</v>
      </c>
      <c r="F1" s="2218"/>
      <c r="G1" s="2218"/>
      <c r="H1" s="2218"/>
      <c r="I1" s="2218"/>
      <c r="J1" s="2218"/>
      <c r="K1" s="2218"/>
      <c r="L1" s="2218"/>
      <c r="M1" s="2217" t="s">
        <v>198</v>
      </c>
      <c r="N1" s="2218"/>
      <c r="O1" s="2218"/>
      <c r="P1" s="2218"/>
      <c r="Q1" s="2218"/>
      <c r="R1" s="2218"/>
      <c r="S1" s="2218"/>
      <c r="T1" s="2218"/>
      <c r="U1" s="2218" t="s">
        <v>199</v>
      </c>
      <c r="V1" s="2218"/>
      <c r="W1" s="2218"/>
      <c r="X1" s="2218"/>
      <c r="Y1" s="2218"/>
      <c r="Z1" s="2218"/>
      <c r="AA1" s="2218"/>
      <c r="AB1" s="2218"/>
      <c r="AC1" s="2218" t="s">
        <v>112</v>
      </c>
      <c r="AD1" s="2218"/>
      <c r="AE1" s="2218"/>
      <c r="AF1" s="2218"/>
      <c r="AG1" s="2218"/>
      <c r="AH1" s="2218"/>
      <c r="AI1" s="2218"/>
      <c r="AJ1" s="2218"/>
      <c r="AK1" s="2218" t="s">
        <v>113</v>
      </c>
      <c r="AL1" s="2218"/>
      <c r="AM1" s="2218"/>
      <c r="AN1" s="2218"/>
      <c r="AO1" s="2218"/>
      <c r="AP1" s="2218"/>
      <c r="AQ1" s="2218"/>
      <c r="AR1" s="2218"/>
    </row>
    <row r="2" spans="2:45" ht="14.25" customHeight="1" x14ac:dyDescent="0.35">
      <c r="C2" s="2193" t="s">
        <v>954</v>
      </c>
      <c r="D2" s="2193" t="s">
        <v>929</v>
      </c>
      <c r="E2" s="2219" t="s">
        <v>922</v>
      </c>
      <c r="F2" s="2220"/>
      <c r="G2" s="2220"/>
      <c r="H2" s="2220"/>
      <c r="I2" s="2220"/>
      <c r="J2" s="2220"/>
      <c r="K2" s="2220"/>
      <c r="L2" s="2221"/>
      <c r="M2" s="2219" t="s">
        <v>922</v>
      </c>
      <c r="N2" s="2220"/>
      <c r="O2" s="2220"/>
      <c r="P2" s="2220"/>
      <c r="Q2" s="2220"/>
      <c r="R2" s="2220"/>
      <c r="S2" s="2220"/>
      <c r="T2" s="2221"/>
      <c r="U2" s="2219" t="s">
        <v>930</v>
      </c>
      <c r="V2" s="2220"/>
      <c r="W2" s="2220"/>
      <c r="X2" s="2220"/>
      <c r="Y2" s="2220"/>
      <c r="Z2" s="2220"/>
      <c r="AA2" s="2220"/>
      <c r="AB2" s="2221"/>
      <c r="AC2" s="2219" t="s">
        <v>930</v>
      </c>
      <c r="AD2" s="2220"/>
      <c r="AE2" s="2220"/>
      <c r="AF2" s="2220"/>
      <c r="AG2" s="2220"/>
      <c r="AH2" s="2220"/>
      <c r="AI2" s="2220"/>
      <c r="AJ2" s="2221"/>
      <c r="AK2" s="2219" t="s">
        <v>930</v>
      </c>
      <c r="AL2" s="2220"/>
      <c r="AM2" s="2220"/>
      <c r="AN2" s="2220"/>
      <c r="AO2" s="2220"/>
      <c r="AP2" s="2220"/>
      <c r="AQ2" s="2220"/>
      <c r="AR2" s="2221"/>
    </row>
    <row r="3" spans="2:45" ht="27" x14ac:dyDescent="0.35">
      <c r="B3" s="287" t="s">
        <v>970</v>
      </c>
      <c r="C3" s="2193"/>
      <c r="D3" s="2193"/>
      <c r="E3" s="287" t="s">
        <v>908</v>
      </c>
      <c r="F3" s="287" t="s">
        <v>909</v>
      </c>
      <c r="G3" s="287" t="s">
        <v>910</v>
      </c>
      <c r="H3" s="287" t="s">
        <v>911</v>
      </c>
      <c r="I3" s="287" t="s">
        <v>912</v>
      </c>
      <c r="J3" s="287" t="s">
        <v>923</v>
      </c>
      <c r="K3" s="287" t="s">
        <v>939</v>
      </c>
      <c r="L3" s="287" t="s">
        <v>164</v>
      </c>
      <c r="M3" s="287" t="s">
        <v>908</v>
      </c>
      <c r="N3" s="287" t="s">
        <v>909</v>
      </c>
      <c r="O3" s="287" t="s">
        <v>910</v>
      </c>
      <c r="P3" s="287" t="s">
        <v>911</v>
      </c>
      <c r="Q3" s="287" t="s">
        <v>912</v>
      </c>
      <c r="R3" s="287" t="s">
        <v>923</v>
      </c>
      <c r="S3" s="287" t="s">
        <v>939</v>
      </c>
      <c r="T3" s="287" t="s">
        <v>164</v>
      </c>
      <c r="U3" s="287" t="s">
        <v>908</v>
      </c>
      <c r="V3" s="287" t="s">
        <v>909</v>
      </c>
      <c r="W3" s="287" t="s">
        <v>910</v>
      </c>
      <c r="X3" s="287" t="s">
        <v>911</v>
      </c>
      <c r="Y3" s="287" t="s">
        <v>912</v>
      </c>
      <c r="Z3" s="287" t="s">
        <v>923</v>
      </c>
      <c r="AA3" s="287" t="s">
        <v>939</v>
      </c>
      <c r="AB3" s="287" t="s">
        <v>164</v>
      </c>
      <c r="AC3" s="287" t="s">
        <v>908</v>
      </c>
      <c r="AD3" s="287" t="s">
        <v>909</v>
      </c>
      <c r="AE3" s="287" t="s">
        <v>910</v>
      </c>
      <c r="AF3" s="287" t="s">
        <v>911</v>
      </c>
      <c r="AG3" s="287" t="s">
        <v>912</v>
      </c>
      <c r="AH3" s="287" t="s">
        <v>923</v>
      </c>
      <c r="AI3" s="287" t="s">
        <v>939</v>
      </c>
      <c r="AJ3" s="287" t="s">
        <v>164</v>
      </c>
      <c r="AK3" s="287" t="s">
        <v>908</v>
      </c>
      <c r="AL3" s="287" t="s">
        <v>909</v>
      </c>
      <c r="AM3" s="287" t="s">
        <v>910</v>
      </c>
      <c r="AN3" s="287" t="s">
        <v>911</v>
      </c>
      <c r="AO3" s="287" t="s">
        <v>912</v>
      </c>
      <c r="AP3" s="287" t="s">
        <v>923</v>
      </c>
      <c r="AQ3" s="287" t="s">
        <v>939</v>
      </c>
      <c r="AR3" s="287" t="s">
        <v>164</v>
      </c>
      <c r="AS3" s="2194" t="s">
        <v>934</v>
      </c>
    </row>
    <row r="4" spans="2:45" x14ac:dyDescent="0.35">
      <c r="B4" s="309" t="s">
        <v>956</v>
      </c>
      <c r="C4" s="309"/>
      <c r="D4" s="309"/>
      <c r="E4" s="311"/>
      <c r="F4" s="311"/>
      <c r="G4" s="311"/>
      <c r="H4" s="311"/>
      <c r="I4" s="311"/>
      <c r="J4" s="311"/>
      <c r="K4" s="311"/>
      <c r="L4" s="311">
        <f>SUM(E4:K4)</f>
        <v>0</v>
      </c>
      <c r="M4" s="311"/>
      <c r="N4" s="311"/>
      <c r="O4" s="311"/>
      <c r="P4" s="311"/>
      <c r="Q4" s="311"/>
      <c r="R4" s="311"/>
      <c r="S4" s="311"/>
      <c r="T4" s="311">
        <f>SUM(M4:S4)</f>
        <v>0</v>
      </c>
      <c r="U4" s="311"/>
      <c r="V4" s="311"/>
      <c r="W4" s="311"/>
      <c r="X4" s="311"/>
      <c r="Y4" s="311"/>
      <c r="Z4" s="311"/>
      <c r="AA4" s="311"/>
      <c r="AB4" s="311">
        <f t="shared" ref="AB4:AB40" si="0">SUM(U4:AA4)</f>
        <v>0</v>
      </c>
      <c r="AC4" s="311"/>
      <c r="AD4" s="311"/>
      <c r="AE4" s="311"/>
      <c r="AF4" s="311"/>
      <c r="AG4" s="311"/>
      <c r="AH4" s="311"/>
      <c r="AI4" s="311"/>
      <c r="AJ4" s="311">
        <f>SUM(AC4:AI4)</f>
        <v>0</v>
      </c>
      <c r="AK4" s="311"/>
      <c r="AL4" s="311"/>
      <c r="AM4" s="311"/>
      <c r="AN4" s="311"/>
      <c r="AO4" s="311"/>
      <c r="AP4" s="311"/>
      <c r="AQ4" s="311"/>
      <c r="AR4" s="311">
        <f>SUM(AK4:AQ4)</f>
        <v>0</v>
      </c>
      <c r="AS4" s="2195"/>
    </row>
    <row r="5" spans="2:45" ht="14.25" customHeight="1" x14ac:dyDescent="0.35">
      <c r="B5" s="309" t="s">
        <v>971</v>
      </c>
      <c r="C5" s="309" t="s">
        <v>958</v>
      </c>
      <c r="D5" s="341"/>
      <c r="E5" s="311"/>
      <c r="F5" s="311"/>
      <c r="G5" s="311"/>
      <c r="H5" s="311"/>
      <c r="I5" s="311"/>
      <c r="J5" s="311"/>
      <c r="K5" s="311"/>
      <c r="L5" s="311"/>
      <c r="M5" s="2241"/>
      <c r="N5" s="2242"/>
      <c r="O5" s="2242"/>
      <c r="P5" s="2242"/>
      <c r="Q5" s="2243"/>
      <c r="R5" s="311"/>
      <c r="S5" s="311"/>
      <c r="T5" s="311"/>
      <c r="U5" s="2241"/>
      <c r="V5" s="2242"/>
      <c r="W5" s="2242"/>
      <c r="X5" s="2242"/>
      <c r="Y5" s="2243"/>
      <c r="Z5" s="311"/>
      <c r="AA5" s="311"/>
      <c r="AB5" s="311"/>
      <c r="AC5" s="2241"/>
      <c r="AD5" s="2242"/>
      <c r="AE5" s="2242"/>
      <c r="AF5" s="2242"/>
      <c r="AG5" s="2243"/>
      <c r="AH5" s="311"/>
      <c r="AI5" s="311"/>
      <c r="AJ5" s="311"/>
      <c r="AK5" s="2241"/>
      <c r="AL5" s="2242"/>
      <c r="AM5" s="2242"/>
      <c r="AN5" s="2242"/>
      <c r="AO5" s="2243"/>
      <c r="AP5" s="311"/>
      <c r="AQ5" s="311"/>
      <c r="AR5" s="311"/>
      <c r="AS5" s="2239"/>
    </row>
    <row r="6" spans="2:45" x14ac:dyDescent="0.35">
      <c r="B6" s="309" t="s">
        <v>972</v>
      </c>
      <c r="C6" s="309" t="s">
        <v>958</v>
      </c>
      <c r="D6" s="345"/>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2240"/>
    </row>
    <row r="7" spans="2:45" x14ac:dyDescent="0.35">
      <c r="B7" s="309" t="s">
        <v>973</v>
      </c>
      <c r="C7" s="309" t="s">
        <v>958</v>
      </c>
      <c r="D7" s="341"/>
      <c r="E7" s="2241"/>
      <c r="F7" s="2242"/>
      <c r="G7" s="2242"/>
      <c r="H7" s="2242"/>
      <c r="I7" s="2243"/>
      <c r="J7" s="324"/>
      <c r="K7" s="324"/>
      <c r="L7" s="324"/>
      <c r="M7" s="2241"/>
      <c r="N7" s="2242"/>
      <c r="O7" s="2242"/>
      <c r="P7" s="2242"/>
      <c r="Q7" s="2243"/>
      <c r="R7" s="311"/>
      <c r="S7" s="311"/>
      <c r="T7" s="311"/>
      <c r="U7" s="2241"/>
      <c r="V7" s="2242"/>
      <c r="W7" s="2242"/>
      <c r="X7" s="2242"/>
      <c r="Y7" s="2243"/>
      <c r="Z7" s="311"/>
      <c r="AA7" s="311"/>
      <c r="AB7" s="311"/>
      <c r="AC7" s="2241"/>
      <c r="AD7" s="2242"/>
      <c r="AE7" s="2242"/>
      <c r="AF7" s="2242"/>
      <c r="AG7" s="2243"/>
      <c r="AH7" s="311"/>
      <c r="AI7" s="311"/>
      <c r="AJ7" s="311"/>
      <c r="AK7" s="2241"/>
      <c r="AL7" s="2242"/>
      <c r="AM7" s="2242"/>
      <c r="AN7" s="2242"/>
      <c r="AO7" s="2243"/>
      <c r="AP7" s="311"/>
      <c r="AQ7" s="311"/>
      <c r="AR7" s="311"/>
      <c r="AS7" s="2240"/>
    </row>
    <row r="8" spans="2:45" x14ac:dyDescent="0.35">
      <c r="B8" s="309" t="s">
        <v>434</v>
      </c>
      <c r="C8" s="309" t="s">
        <v>958</v>
      </c>
      <c r="D8" s="345"/>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2240"/>
    </row>
    <row r="9" spans="2:45" x14ac:dyDescent="0.35">
      <c r="B9" s="309" t="s">
        <v>974</v>
      </c>
      <c r="C9" s="309" t="s">
        <v>958</v>
      </c>
      <c r="D9" s="345"/>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2240"/>
    </row>
    <row r="10" spans="2:45" x14ac:dyDescent="0.35">
      <c r="B10" s="309" t="s">
        <v>975</v>
      </c>
      <c r="C10" s="309" t="s">
        <v>958</v>
      </c>
      <c r="D10" s="341"/>
      <c r="E10" s="2233"/>
      <c r="F10" s="2234"/>
      <c r="G10" s="2234"/>
      <c r="H10" s="2234"/>
      <c r="I10" s="2235"/>
      <c r="J10" s="311"/>
      <c r="K10" s="311"/>
      <c r="L10" s="311"/>
      <c r="M10" s="2233"/>
      <c r="N10" s="2234"/>
      <c r="O10" s="2234"/>
      <c r="P10" s="2234"/>
      <c r="Q10" s="2235"/>
      <c r="R10" s="311"/>
      <c r="S10" s="311"/>
      <c r="T10" s="311"/>
      <c r="U10" s="2233"/>
      <c r="V10" s="2234"/>
      <c r="W10" s="2234"/>
      <c r="X10" s="2234"/>
      <c r="Y10" s="2235"/>
      <c r="Z10" s="311"/>
      <c r="AA10" s="311"/>
      <c r="AB10" s="311"/>
      <c r="AC10" s="2233"/>
      <c r="AD10" s="2234"/>
      <c r="AE10" s="2234"/>
      <c r="AF10" s="2234"/>
      <c r="AG10" s="2235"/>
      <c r="AH10" s="311"/>
      <c r="AI10" s="311"/>
      <c r="AJ10" s="311"/>
      <c r="AK10" s="2233"/>
      <c r="AL10" s="2234"/>
      <c r="AM10" s="2234"/>
      <c r="AN10" s="2234"/>
      <c r="AO10" s="2235"/>
      <c r="AP10" s="311"/>
      <c r="AQ10" s="311"/>
      <c r="AR10" s="311"/>
      <c r="AS10" s="2240"/>
    </row>
    <row r="11" spans="2:45" x14ac:dyDescent="0.35">
      <c r="B11" s="309" t="s">
        <v>976</v>
      </c>
      <c r="C11" s="309" t="s">
        <v>958</v>
      </c>
      <c r="D11" s="345"/>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2240"/>
    </row>
    <row r="12" spans="2:45" x14ac:dyDescent="0.35">
      <c r="B12" s="309" t="s">
        <v>977</v>
      </c>
      <c r="C12" s="309" t="s">
        <v>958</v>
      </c>
      <c r="D12" s="341"/>
      <c r="E12" s="2233"/>
      <c r="F12" s="2234"/>
      <c r="G12" s="2234"/>
      <c r="H12" s="2234"/>
      <c r="I12" s="2235"/>
      <c r="J12" s="311"/>
      <c r="K12" s="311"/>
      <c r="L12" s="311"/>
      <c r="M12" s="2233"/>
      <c r="N12" s="2234"/>
      <c r="O12" s="2234"/>
      <c r="P12" s="2234"/>
      <c r="Q12" s="2235"/>
      <c r="R12" s="311"/>
      <c r="S12" s="311"/>
      <c r="T12" s="311"/>
      <c r="U12" s="2233"/>
      <c r="V12" s="2234"/>
      <c r="W12" s="2234"/>
      <c r="X12" s="2234"/>
      <c r="Y12" s="2235"/>
      <c r="Z12" s="311"/>
      <c r="AA12" s="311"/>
      <c r="AB12" s="311"/>
      <c r="AC12" s="2233"/>
      <c r="AD12" s="2234"/>
      <c r="AE12" s="2234"/>
      <c r="AF12" s="2234"/>
      <c r="AG12" s="2235"/>
      <c r="AH12" s="311"/>
      <c r="AI12" s="311"/>
      <c r="AJ12" s="311"/>
      <c r="AK12" s="2233"/>
      <c r="AL12" s="2234"/>
      <c r="AM12" s="2234"/>
      <c r="AN12" s="2234"/>
      <c r="AO12" s="2235"/>
      <c r="AP12" s="311"/>
      <c r="AQ12" s="311"/>
      <c r="AR12" s="311"/>
      <c r="AS12" s="2240"/>
    </row>
    <row r="13" spans="2:45" x14ac:dyDescent="0.35">
      <c r="B13" s="309" t="s">
        <v>978</v>
      </c>
      <c r="C13" s="309" t="s">
        <v>958</v>
      </c>
      <c r="D13" s="345"/>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2240"/>
    </row>
    <row r="14" spans="2:45" x14ac:dyDescent="0.35">
      <c r="B14" s="309" t="s">
        <v>979</v>
      </c>
      <c r="C14" s="309" t="s">
        <v>958</v>
      </c>
      <c r="D14" s="345"/>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2240"/>
    </row>
    <row r="15" spans="2:45" x14ac:dyDescent="0.35">
      <c r="B15" s="309" t="s">
        <v>425</v>
      </c>
      <c r="C15" s="309" t="s">
        <v>958</v>
      </c>
      <c r="D15" s="341"/>
      <c r="E15" s="2233"/>
      <c r="F15" s="2234"/>
      <c r="G15" s="2234"/>
      <c r="H15" s="2234"/>
      <c r="I15" s="2235"/>
      <c r="J15" s="311"/>
      <c r="K15" s="311"/>
      <c r="L15" s="311"/>
      <c r="M15" s="2233"/>
      <c r="N15" s="2234"/>
      <c r="O15" s="2234"/>
      <c r="P15" s="2234"/>
      <c r="Q15" s="2235"/>
      <c r="R15" s="311"/>
      <c r="S15" s="311"/>
      <c r="T15" s="311"/>
      <c r="U15" s="2233"/>
      <c r="V15" s="2234"/>
      <c r="W15" s="2234"/>
      <c r="X15" s="2234"/>
      <c r="Y15" s="2235"/>
      <c r="Z15" s="311"/>
      <c r="AA15" s="311"/>
      <c r="AB15" s="311"/>
      <c r="AC15" s="2233"/>
      <c r="AD15" s="2234"/>
      <c r="AE15" s="2234"/>
      <c r="AF15" s="2234"/>
      <c r="AG15" s="2235"/>
      <c r="AH15" s="311"/>
      <c r="AI15" s="311"/>
      <c r="AJ15" s="311"/>
      <c r="AK15" s="2233"/>
      <c r="AL15" s="2234"/>
      <c r="AM15" s="2234"/>
      <c r="AN15" s="2234"/>
      <c r="AO15" s="2235"/>
      <c r="AP15" s="311"/>
      <c r="AQ15" s="311"/>
      <c r="AR15" s="311"/>
      <c r="AS15" s="2240"/>
    </row>
    <row r="16" spans="2:45" x14ac:dyDescent="0.35">
      <c r="B16" s="309" t="s">
        <v>980</v>
      </c>
      <c r="C16" s="309" t="s">
        <v>958</v>
      </c>
      <c r="D16" s="345"/>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2240"/>
    </row>
    <row r="17" spans="2:45" x14ac:dyDescent="0.35">
      <c r="B17" s="309" t="s">
        <v>981</v>
      </c>
      <c r="C17" s="309" t="s">
        <v>958</v>
      </c>
      <c r="D17" s="341"/>
      <c r="E17" s="2233"/>
      <c r="F17" s="2234"/>
      <c r="G17" s="2234"/>
      <c r="H17" s="2234"/>
      <c r="I17" s="2235"/>
      <c r="J17" s="311"/>
      <c r="K17" s="311"/>
      <c r="L17" s="311"/>
      <c r="M17" s="2233"/>
      <c r="N17" s="2234"/>
      <c r="O17" s="2234"/>
      <c r="P17" s="2234"/>
      <c r="Q17" s="2235"/>
      <c r="R17" s="311"/>
      <c r="S17" s="311"/>
      <c r="T17" s="311"/>
      <c r="U17" s="2233"/>
      <c r="V17" s="2234"/>
      <c r="W17" s="2234"/>
      <c r="X17" s="2234"/>
      <c r="Y17" s="2235"/>
      <c r="Z17" s="311"/>
      <c r="AA17" s="311"/>
      <c r="AB17" s="311"/>
      <c r="AC17" s="2233"/>
      <c r="AD17" s="2234"/>
      <c r="AE17" s="2234"/>
      <c r="AF17" s="2234"/>
      <c r="AG17" s="2235"/>
      <c r="AH17" s="311"/>
      <c r="AI17" s="311"/>
      <c r="AJ17" s="311"/>
      <c r="AK17" s="2233"/>
      <c r="AL17" s="2234"/>
      <c r="AM17" s="2234"/>
      <c r="AN17" s="2234"/>
      <c r="AO17" s="2235"/>
      <c r="AP17" s="311"/>
      <c r="AQ17" s="311"/>
      <c r="AR17" s="311"/>
      <c r="AS17" s="2240"/>
    </row>
    <row r="18" spans="2:45" x14ac:dyDescent="0.35">
      <c r="B18" s="309" t="s">
        <v>982</v>
      </c>
      <c r="C18" s="309" t="s">
        <v>958</v>
      </c>
      <c r="D18" s="341"/>
      <c r="E18" s="2233"/>
      <c r="F18" s="2234"/>
      <c r="G18" s="2234"/>
      <c r="H18" s="2234"/>
      <c r="I18" s="2235"/>
      <c r="J18" s="311"/>
      <c r="K18" s="311"/>
      <c r="L18" s="311"/>
      <c r="M18" s="2233"/>
      <c r="N18" s="2234"/>
      <c r="O18" s="2234"/>
      <c r="P18" s="2234"/>
      <c r="Q18" s="2235"/>
      <c r="R18" s="311"/>
      <c r="S18" s="311"/>
      <c r="T18" s="311"/>
      <c r="U18" s="2233"/>
      <c r="V18" s="2234"/>
      <c r="W18" s="2234"/>
      <c r="X18" s="2234"/>
      <c r="Y18" s="2235"/>
      <c r="Z18" s="311"/>
      <c r="AA18" s="311"/>
      <c r="AB18" s="311"/>
      <c r="AC18" s="2233"/>
      <c r="AD18" s="2234"/>
      <c r="AE18" s="2234"/>
      <c r="AF18" s="2234"/>
      <c r="AG18" s="2235"/>
      <c r="AH18" s="311"/>
      <c r="AI18" s="311"/>
      <c r="AJ18" s="311"/>
      <c r="AK18" s="2233"/>
      <c r="AL18" s="2234"/>
      <c r="AM18" s="2234"/>
      <c r="AN18" s="2234"/>
      <c r="AO18" s="2235"/>
      <c r="AP18" s="311"/>
      <c r="AQ18" s="311"/>
      <c r="AR18" s="311"/>
      <c r="AS18" s="2240"/>
    </row>
    <row r="19" spans="2:45" x14ac:dyDescent="0.35">
      <c r="B19" s="309" t="s">
        <v>983</v>
      </c>
      <c r="C19" s="309" t="s">
        <v>958</v>
      </c>
      <c r="D19" s="345"/>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2240"/>
    </row>
    <row r="20" spans="2:45" x14ac:dyDescent="0.35">
      <c r="B20" s="309" t="s">
        <v>984</v>
      </c>
      <c r="C20" s="309" t="s">
        <v>958</v>
      </c>
      <c r="D20" s="345"/>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2240"/>
    </row>
    <row r="21" spans="2:45" x14ac:dyDescent="0.35">
      <c r="B21" s="309" t="s">
        <v>238</v>
      </c>
      <c r="C21" s="309"/>
      <c r="D21" s="309"/>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f t="shared" si="0"/>
        <v>0</v>
      </c>
      <c r="AC21" s="311"/>
      <c r="AD21" s="311"/>
      <c r="AE21" s="311"/>
      <c r="AF21" s="311"/>
      <c r="AG21" s="311"/>
      <c r="AH21" s="311"/>
      <c r="AI21" s="311"/>
      <c r="AJ21" s="311">
        <f t="shared" ref="AJ21:AJ40" si="1">SUM(AC21:AI21)</f>
        <v>0</v>
      </c>
      <c r="AK21" s="311"/>
      <c r="AL21" s="311"/>
      <c r="AM21" s="311"/>
      <c r="AN21" s="311"/>
      <c r="AO21" s="311"/>
      <c r="AP21" s="311"/>
      <c r="AQ21" s="311"/>
      <c r="AR21" s="311">
        <f t="shared" ref="AR21:AR40" si="2">SUM(AK21:AQ21)</f>
        <v>0</v>
      </c>
    </row>
    <row r="22" spans="2:45" x14ac:dyDescent="0.35">
      <c r="B22" s="309" t="s">
        <v>238</v>
      </c>
      <c r="C22" s="309"/>
      <c r="D22" s="309"/>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f t="shared" si="0"/>
        <v>0</v>
      </c>
      <c r="AC22" s="311"/>
      <c r="AD22" s="311"/>
      <c r="AE22" s="311"/>
      <c r="AF22" s="311"/>
      <c r="AG22" s="311"/>
      <c r="AH22" s="311"/>
      <c r="AI22" s="311"/>
      <c r="AJ22" s="311">
        <f t="shared" si="1"/>
        <v>0</v>
      </c>
      <c r="AK22" s="311"/>
      <c r="AL22" s="311"/>
      <c r="AM22" s="311"/>
      <c r="AN22" s="311"/>
      <c r="AO22" s="311"/>
      <c r="AP22" s="311"/>
      <c r="AQ22" s="311"/>
      <c r="AR22" s="311">
        <f t="shared" si="2"/>
        <v>0</v>
      </c>
    </row>
    <row r="23" spans="2:45" x14ac:dyDescent="0.35">
      <c r="B23" s="309" t="s">
        <v>238</v>
      </c>
      <c r="C23" s="309"/>
      <c r="D23" s="309"/>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f t="shared" si="0"/>
        <v>0</v>
      </c>
      <c r="AC23" s="311"/>
      <c r="AD23" s="311"/>
      <c r="AE23" s="311"/>
      <c r="AF23" s="311"/>
      <c r="AG23" s="311"/>
      <c r="AH23" s="311"/>
      <c r="AI23" s="311"/>
      <c r="AJ23" s="311">
        <f t="shared" si="1"/>
        <v>0</v>
      </c>
      <c r="AK23" s="311"/>
      <c r="AL23" s="311"/>
      <c r="AM23" s="311"/>
      <c r="AN23" s="311"/>
      <c r="AO23" s="311"/>
      <c r="AP23" s="311"/>
      <c r="AQ23" s="311"/>
      <c r="AR23" s="311">
        <f t="shared" si="2"/>
        <v>0</v>
      </c>
    </row>
    <row r="24" spans="2:45" x14ac:dyDescent="0.35">
      <c r="B24" s="309" t="s">
        <v>238</v>
      </c>
      <c r="C24" s="309"/>
      <c r="D24" s="309"/>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f t="shared" si="0"/>
        <v>0</v>
      </c>
      <c r="AC24" s="311"/>
      <c r="AD24" s="311"/>
      <c r="AE24" s="311"/>
      <c r="AF24" s="311"/>
      <c r="AG24" s="311"/>
      <c r="AH24" s="311"/>
      <c r="AI24" s="311"/>
      <c r="AJ24" s="311">
        <f t="shared" si="1"/>
        <v>0</v>
      </c>
      <c r="AK24" s="311"/>
      <c r="AL24" s="311"/>
      <c r="AM24" s="311"/>
      <c r="AN24" s="311"/>
      <c r="AO24" s="311"/>
      <c r="AP24" s="311"/>
      <c r="AQ24" s="311"/>
      <c r="AR24" s="311">
        <f t="shared" si="2"/>
        <v>0</v>
      </c>
    </row>
    <row r="25" spans="2:45" x14ac:dyDescent="0.35">
      <c r="B25" s="309" t="s">
        <v>238</v>
      </c>
      <c r="C25" s="309"/>
      <c r="D25" s="309"/>
      <c r="E25" s="311"/>
      <c r="F25" s="311"/>
      <c r="G25" s="311"/>
      <c r="H25" s="311"/>
      <c r="I25" s="311"/>
      <c r="J25" s="311"/>
      <c r="K25" s="311"/>
      <c r="L25" s="311">
        <f t="shared" ref="L25:L40" si="3">SUM(E25:K25)</f>
        <v>0</v>
      </c>
      <c r="M25" s="311"/>
      <c r="N25" s="311"/>
      <c r="O25" s="311"/>
      <c r="P25" s="311"/>
      <c r="Q25" s="311"/>
      <c r="R25" s="311"/>
      <c r="S25" s="311"/>
      <c r="T25" s="311">
        <f t="shared" ref="T25:T40" si="4">SUM(M25:S25)</f>
        <v>0</v>
      </c>
      <c r="U25" s="311"/>
      <c r="V25" s="311"/>
      <c r="W25" s="311"/>
      <c r="X25" s="311"/>
      <c r="Y25" s="311"/>
      <c r="Z25" s="311"/>
      <c r="AA25" s="311"/>
      <c r="AB25" s="311">
        <f t="shared" si="0"/>
        <v>0</v>
      </c>
      <c r="AC25" s="311"/>
      <c r="AD25" s="311"/>
      <c r="AE25" s="311"/>
      <c r="AF25" s="311"/>
      <c r="AG25" s="311"/>
      <c r="AH25" s="311"/>
      <c r="AI25" s="311"/>
      <c r="AJ25" s="311">
        <f t="shared" si="1"/>
        <v>0</v>
      </c>
      <c r="AK25" s="311"/>
      <c r="AL25" s="311"/>
      <c r="AM25" s="311"/>
      <c r="AN25" s="311"/>
      <c r="AO25" s="311"/>
      <c r="AP25" s="311"/>
      <c r="AQ25" s="311"/>
      <c r="AR25" s="311">
        <f t="shared" si="2"/>
        <v>0</v>
      </c>
    </row>
    <row r="26" spans="2:45" x14ac:dyDescent="0.35">
      <c r="B26" s="309" t="s">
        <v>238</v>
      </c>
      <c r="C26" s="309"/>
      <c r="D26" s="309"/>
      <c r="E26" s="311"/>
      <c r="F26" s="311"/>
      <c r="G26" s="311"/>
      <c r="H26" s="311"/>
      <c r="I26" s="311"/>
      <c r="J26" s="311"/>
      <c r="K26" s="311"/>
      <c r="L26" s="311">
        <f t="shared" si="3"/>
        <v>0</v>
      </c>
      <c r="M26" s="311"/>
      <c r="N26" s="311"/>
      <c r="O26" s="311"/>
      <c r="P26" s="311"/>
      <c r="Q26" s="311"/>
      <c r="R26" s="311"/>
      <c r="S26" s="311"/>
      <c r="T26" s="311">
        <f t="shared" si="4"/>
        <v>0</v>
      </c>
      <c r="U26" s="311"/>
      <c r="V26" s="311"/>
      <c r="W26" s="311"/>
      <c r="X26" s="311"/>
      <c r="Y26" s="311"/>
      <c r="Z26" s="311"/>
      <c r="AA26" s="311"/>
      <c r="AB26" s="311">
        <f t="shared" si="0"/>
        <v>0</v>
      </c>
      <c r="AC26" s="311"/>
      <c r="AD26" s="311"/>
      <c r="AE26" s="311"/>
      <c r="AF26" s="311"/>
      <c r="AG26" s="311"/>
      <c r="AH26" s="311"/>
      <c r="AI26" s="311"/>
      <c r="AJ26" s="311">
        <f t="shared" si="1"/>
        <v>0</v>
      </c>
      <c r="AK26" s="311"/>
      <c r="AL26" s="311"/>
      <c r="AM26" s="311"/>
      <c r="AN26" s="311"/>
      <c r="AO26" s="311"/>
      <c r="AP26" s="311"/>
      <c r="AQ26" s="311"/>
      <c r="AR26" s="311">
        <f t="shared" si="2"/>
        <v>0</v>
      </c>
    </row>
    <row r="27" spans="2:45" x14ac:dyDescent="0.35">
      <c r="B27" s="309" t="s">
        <v>238</v>
      </c>
      <c r="C27" s="309"/>
      <c r="D27" s="309"/>
      <c r="E27" s="311"/>
      <c r="F27" s="311"/>
      <c r="G27" s="311"/>
      <c r="H27" s="311"/>
      <c r="I27" s="311"/>
      <c r="J27" s="311"/>
      <c r="K27" s="311"/>
      <c r="L27" s="311">
        <f t="shared" si="3"/>
        <v>0</v>
      </c>
      <c r="M27" s="311"/>
      <c r="N27" s="311"/>
      <c r="O27" s="311"/>
      <c r="P27" s="311"/>
      <c r="Q27" s="311"/>
      <c r="R27" s="311"/>
      <c r="S27" s="311"/>
      <c r="T27" s="311">
        <f t="shared" si="4"/>
        <v>0</v>
      </c>
      <c r="U27" s="311"/>
      <c r="V27" s="311"/>
      <c r="W27" s="311"/>
      <c r="X27" s="311"/>
      <c r="Y27" s="311"/>
      <c r="Z27" s="311"/>
      <c r="AA27" s="311"/>
      <c r="AB27" s="311">
        <f t="shared" si="0"/>
        <v>0</v>
      </c>
      <c r="AC27" s="311"/>
      <c r="AD27" s="311"/>
      <c r="AE27" s="311"/>
      <c r="AF27" s="311"/>
      <c r="AG27" s="311"/>
      <c r="AH27" s="311"/>
      <c r="AI27" s="311"/>
      <c r="AJ27" s="311">
        <f t="shared" si="1"/>
        <v>0</v>
      </c>
      <c r="AK27" s="311"/>
      <c r="AL27" s="311"/>
      <c r="AM27" s="311"/>
      <c r="AN27" s="311"/>
      <c r="AO27" s="311"/>
      <c r="AP27" s="311"/>
      <c r="AQ27" s="311"/>
      <c r="AR27" s="311">
        <f t="shared" si="2"/>
        <v>0</v>
      </c>
    </row>
    <row r="28" spans="2:45" x14ac:dyDescent="0.35">
      <c r="B28" s="309" t="s">
        <v>238</v>
      </c>
      <c r="C28" s="309"/>
      <c r="D28" s="309"/>
      <c r="E28" s="311"/>
      <c r="F28" s="311"/>
      <c r="G28" s="311"/>
      <c r="H28" s="311"/>
      <c r="I28" s="311"/>
      <c r="J28" s="311"/>
      <c r="K28" s="311"/>
      <c r="L28" s="311">
        <f t="shared" si="3"/>
        <v>0</v>
      </c>
      <c r="M28" s="311"/>
      <c r="N28" s="311"/>
      <c r="O28" s="311"/>
      <c r="P28" s="311"/>
      <c r="Q28" s="311"/>
      <c r="R28" s="311"/>
      <c r="S28" s="311"/>
      <c r="T28" s="311">
        <f t="shared" si="4"/>
        <v>0</v>
      </c>
      <c r="U28" s="311"/>
      <c r="V28" s="311"/>
      <c r="W28" s="311"/>
      <c r="X28" s="311"/>
      <c r="Y28" s="311"/>
      <c r="Z28" s="311"/>
      <c r="AA28" s="311"/>
      <c r="AB28" s="311">
        <f t="shared" si="0"/>
        <v>0</v>
      </c>
      <c r="AC28" s="311"/>
      <c r="AD28" s="311"/>
      <c r="AE28" s="311"/>
      <c r="AF28" s="311"/>
      <c r="AG28" s="311"/>
      <c r="AH28" s="311"/>
      <c r="AI28" s="311"/>
      <c r="AJ28" s="311">
        <f t="shared" si="1"/>
        <v>0</v>
      </c>
      <c r="AK28" s="311"/>
      <c r="AL28" s="311"/>
      <c r="AM28" s="311"/>
      <c r="AN28" s="311"/>
      <c r="AO28" s="311"/>
      <c r="AP28" s="311"/>
      <c r="AQ28" s="311"/>
      <c r="AR28" s="311">
        <f t="shared" si="2"/>
        <v>0</v>
      </c>
    </row>
    <row r="29" spans="2:45" x14ac:dyDescent="0.35">
      <c r="B29" s="309" t="s">
        <v>238</v>
      </c>
      <c r="C29" s="309"/>
      <c r="D29" s="309"/>
      <c r="E29" s="311"/>
      <c r="F29" s="311"/>
      <c r="G29" s="311"/>
      <c r="H29" s="311"/>
      <c r="I29" s="311"/>
      <c r="J29" s="311"/>
      <c r="K29" s="311"/>
      <c r="L29" s="311">
        <f t="shared" si="3"/>
        <v>0</v>
      </c>
      <c r="M29" s="311"/>
      <c r="N29" s="311"/>
      <c r="O29" s="311"/>
      <c r="P29" s="311"/>
      <c r="Q29" s="311"/>
      <c r="R29" s="311"/>
      <c r="S29" s="311"/>
      <c r="T29" s="311">
        <f t="shared" si="4"/>
        <v>0</v>
      </c>
      <c r="U29" s="311"/>
      <c r="V29" s="311"/>
      <c r="W29" s="311"/>
      <c r="X29" s="311"/>
      <c r="Y29" s="311"/>
      <c r="Z29" s="311"/>
      <c r="AA29" s="311"/>
      <c r="AB29" s="311">
        <f t="shared" si="0"/>
        <v>0</v>
      </c>
      <c r="AC29" s="311"/>
      <c r="AD29" s="311"/>
      <c r="AE29" s="311"/>
      <c r="AF29" s="311"/>
      <c r="AG29" s="311"/>
      <c r="AH29" s="311"/>
      <c r="AI29" s="311"/>
      <c r="AJ29" s="311">
        <f t="shared" si="1"/>
        <v>0</v>
      </c>
      <c r="AK29" s="311"/>
      <c r="AL29" s="311"/>
      <c r="AM29" s="311"/>
      <c r="AN29" s="311"/>
      <c r="AO29" s="311"/>
      <c r="AP29" s="311"/>
      <c r="AQ29" s="311"/>
      <c r="AR29" s="311">
        <f t="shared" si="2"/>
        <v>0</v>
      </c>
    </row>
    <row r="30" spans="2:45" x14ac:dyDescent="0.35">
      <c r="B30" s="309" t="s">
        <v>238</v>
      </c>
      <c r="C30" s="309"/>
      <c r="D30" s="309"/>
      <c r="E30" s="311"/>
      <c r="F30" s="311"/>
      <c r="G30" s="311"/>
      <c r="H30" s="311"/>
      <c r="I30" s="311"/>
      <c r="J30" s="311"/>
      <c r="K30" s="311"/>
      <c r="L30" s="311">
        <f t="shared" si="3"/>
        <v>0</v>
      </c>
      <c r="M30" s="311"/>
      <c r="N30" s="311"/>
      <c r="O30" s="311"/>
      <c r="P30" s="311"/>
      <c r="Q30" s="311"/>
      <c r="R30" s="311"/>
      <c r="S30" s="311"/>
      <c r="T30" s="311">
        <f t="shared" si="4"/>
        <v>0</v>
      </c>
      <c r="U30" s="311"/>
      <c r="V30" s="311"/>
      <c r="W30" s="311"/>
      <c r="X30" s="311"/>
      <c r="Y30" s="311"/>
      <c r="Z30" s="311"/>
      <c r="AA30" s="311"/>
      <c r="AB30" s="311">
        <f t="shared" si="0"/>
        <v>0</v>
      </c>
      <c r="AC30" s="311"/>
      <c r="AD30" s="311"/>
      <c r="AE30" s="311"/>
      <c r="AF30" s="311"/>
      <c r="AG30" s="311"/>
      <c r="AH30" s="311"/>
      <c r="AI30" s="311"/>
      <c r="AJ30" s="311">
        <f t="shared" si="1"/>
        <v>0</v>
      </c>
      <c r="AK30" s="311"/>
      <c r="AL30" s="311"/>
      <c r="AM30" s="311"/>
      <c r="AN30" s="311"/>
      <c r="AO30" s="311"/>
      <c r="AP30" s="311"/>
      <c r="AQ30" s="311"/>
      <c r="AR30" s="311">
        <f t="shared" si="2"/>
        <v>0</v>
      </c>
    </row>
    <row r="31" spans="2:45" x14ac:dyDescent="0.35">
      <c r="B31" s="309" t="s">
        <v>238</v>
      </c>
      <c r="C31" s="309"/>
      <c r="D31" s="309"/>
      <c r="E31" s="311"/>
      <c r="F31" s="311"/>
      <c r="G31" s="311"/>
      <c r="H31" s="311"/>
      <c r="I31" s="311"/>
      <c r="J31" s="311"/>
      <c r="K31" s="311"/>
      <c r="L31" s="311">
        <f t="shared" si="3"/>
        <v>0</v>
      </c>
      <c r="M31" s="311"/>
      <c r="N31" s="311"/>
      <c r="O31" s="311"/>
      <c r="P31" s="311"/>
      <c r="Q31" s="311"/>
      <c r="R31" s="311"/>
      <c r="S31" s="311"/>
      <c r="T31" s="311">
        <f t="shared" si="4"/>
        <v>0</v>
      </c>
      <c r="U31" s="311"/>
      <c r="V31" s="311"/>
      <c r="W31" s="311"/>
      <c r="X31" s="311"/>
      <c r="Y31" s="311"/>
      <c r="Z31" s="311"/>
      <c r="AA31" s="311"/>
      <c r="AB31" s="311">
        <f t="shared" si="0"/>
        <v>0</v>
      </c>
      <c r="AC31" s="311"/>
      <c r="AD31" s="311"/>
      <c r="AE31" s="311"/>
      <c r="AF31" s="311"/>
      <c r="AG31" s="311"/>
      <c r="AH31" s="311"/>
      <c r="AI31" s="311"/>
      <c r="AJ31" s="311">
        <f t="shared" si="1"/>
        <v>0</v>
      </c>
      <c r="AK31" s="311"/>
      <c r="AL31" s="311"/>
      <c r="AM31" s="311"/>
      <c r="AN31" s="311"/>
      <c r="AO31" s="311"/>
      <c r="AP31" s="311"/>
      <c r="AQ31" s="311"/>
      <c r="AR31" s="311">
        <f t="shared" si="2"/>
        <v>0</v>
      </c>
    </row>
    <row r="32" spans="2:45" x14ac:dyDescent="0.35">
      <c r="B32" s="309" t="s">
        <v>238</v>
      </c>
      <c r="C32" s="309"/>
      <c r="D32" s="309"/>
      <c r="E32" s="311"/>
      <c r="F32" s="311"/>
      <c r="G32" s="311"/>
      <c r="H32" s="311"/>
      <c r="I32" s="311"/>
      <c r="J32" s="311"/>
      <c r="K32" s="311"/>
      <c r="L32" s="311">
        <f t="shared" si="3"/>
        <v>0</v>
      </c>
      <c r="M32" s="311"/>
      <c r="N32" s="311"/>
      <c r="O32" s="311"/>
      <c r="P32" s="311"/>
      <c r="Q32" s="311"/>
      <c r="R32" s="311"/>
      <c r="S32" s="311"/>
      <c r="T32" s="311">
        <f t="shared" si="4"/>
        <v>0</v>
      </c>
      <c r="U32" s="311"/>
      <c r="V32" s="311"/>
      <c r="W32" s="311"/>
      <c r="X32" s="311"/>
      <c r="Y32" s="311"/>
      <c r="Z32" s="311"/>
      <c r="AA32" s="311"/>
      <c r="AB32" s="311">
        <f t="shared" si="0"/>
        <v>0</v>
      </c>
      <c r="AC32" s="311"/>
      <c r="AD32" s="311"/>
      <c r="AE32" s="311"/>
      <c r="AF32" s="311"/>
      <c r="AG32" s="311"/>
      <c r="AH32" s="311"/>
      <c r="AI32" s="311"/>
      <c r="AJ32" s="311">
        <f t="shared" si="1"/>
        <v>0</v>
      </c>
      <c r="AK32" s="311"/>
      <c r="AL32" s="311"/>
      <c r="AM32" s="311"/>
      <c r="AN32" s="311"/>
      <c r="AO32" s="311"/>
      <c r="AP32" s="311"/>
      <c r="AQ32" s="311"/>
      <c r="AR32" s="311">
        <f t="shared" si="2"/>
        <v>0</v>
      </c>
    </row>
    <row r="33" spans="2:44" x14ac:dyDescent="0.35">
      <c r="B33" s="309" t="s">
        <v>238</v>
      </c>
      <c r="C33" s="309"/>
      <c r="D33" s="309"/>
      <c r="E33" s="311"/>
      <c r="F33" s="311"/>
      <c r="G33" s="311"/>
      <c r="H33" s="311"/>
      <c r="I33" s="311"/>
      <c r="J33" s="311"/>
      <c r="K33" s="311"/>
      <c r="L33" s="311">
        <f t="shared" si="3"/>
        <v>0</v>
      </c>
      <c r="M33" s="311"/>
      <c r="N33" s="311"/>
      <c r="O33" s="311"/>
      <c r="P33" s="311"/>
      <c r="Q33" s="311"/>
      <c r="R33" s="311"/>
      <c r="S33" s="311"/>
      <c r="T33" s="311">
        <f t="shared" si="4"/>
        <v>0</v>
      </c>
      <c r="U33" s="311"/>
      <c r="V33" s="311"/>
      <c r="W33" s="311"/>
      <c r="X33" s="311"/>
      <c r="Y33" s="311"/>
      <c r="Z33" s="311"/>
      <c r="AA33" s="311"/>
      <c r="AB33" s="311">
        <f t="shared" si="0"/>
        <v>0</v>
      </c>
      <c r="AC33" s="311"/>
      <c r="AD33" s="311"/>
      <c r="AE33" s="311"/>
      <c r="AF33" s="311"/>
      <c r="AG33" s="311"/>
      <c r="AH33" s="311"/>
      <c r="AI33" s="311"/>
      <c r="AJ33" s="311">
        <f t="shared" si="1"/>
        <v>0</v>
      </c>
      <c r="AK33" s="311"/>
      <c r="AL33" s="311"/>
      <c r="AM33" s="311"/>
      <c r="AN33" s="311"/>
      <c r="AO33" s="311"/>
      <c r="AP33" s="311"/>
      <c r="AQ33" s="311"/>
      <c r="AR33" s="311">
        <f t="shared" si="2"/>
        <v>0</v>
      </c>
    </row>
    <row r="34" spans="2:44" x14ac:dyDescent="0.35">
      <c r="B34" s="309" t="s">
        <v>238</v>
      </c>
      <c r="C34" s="309"/>
      <c r="D34" s="309"/>
      <c r="E34" s="311"/>
      <c r="F34" s="311"/>
      <c r="G34" s="311"/>
      <c r="H34" s="311"/>
      <c r="I34" s="311"/>
      <c r="J34" s="311"/>
      <c r="K34" s="311"/>
      <c r="L34" s="311">
        <f t="shared" si="3"/>
        <v>0</v>
      </c>
      <c r="M34" s="311"/>
      <c r="N34" s="311"/>
      <c r="O34" s="311"/>
      <c r="P34" s="311"/>
      <c r="Q34" s="311"/>
      <c r="R34" s="311"/>
      <c r="S34" s="311"/>
      <c r="T34" s="311">
        <f t="shared" si="4"/>
        <v>0</v>
      </c>
      <c r="U34" s="311"/>
      <c r="V34" s="311"/>
      <c r="W34" s="311"/>
      <c r="X34" s="311"/>
      <c r="Y34" s="311"/>
      <c r="Z34" s="311"/>
      <c r="AA34" s="311"/>
      <c r="AB34" s="311">
        <f t="shared" si="0"/>
        <v>0</v>
      </c>
      <c r="AC34" s="311"/>
      <c r="AD34" s="311"/>
      <c r="AE34" s="311"/>
      <c r="AF34" s="311"/>
      <c r="AG34" s="311"/>
      <c r="AH34" s="311"/>
      <c r="AI34" s="311"/>
      <c r="AJ34" s="311">
        <f t="shared" si="1"/>
        <v>0</v>
      </c>
      <c r="AK34" s="311"/>
      <c r="AL34" s="311"/>
      <c r="AM34" s="311"/>
      <c r="AN34" s="311"/>
      <c r="AO34" s="311"/>
      <c r="AP34" s="311"/>
      <c r="AQ34" s="311"/>
      <c r="AR34" s="311">
        <f t="shared" si="2"/>
        <v>0</v>
      </c>
    </row>
    <row r="35" spans="2:44" x14ac:dyDescent="0.35">
      <c r="B35" s="309" t="s">
        <v>238</v>
      </c>
      <c r="C35" s="309"/>
      <c r="D35" s="309"/>
      <c r="E35" s="311"/>
      <c r="F35" s="311"/>
      <c r="G35" s="311"/>
      <c r="H35" s="311"/>
      <c r="I35" s="311"/>
      <c r="J35" s="311"/>
      <c r="K35" s="311"/>
      <c r="L35" s="311">
        <f t="shared" si="3"/>
        <v>0</v>
      </c>
      <c r="M35" s="311"/>
      <c r="N35" s="311"/>
      <c r="O35" s="311"/>
      <c r="P35" s="311"/>
      <c r="Q35" s="311"/>
      <c r="R35" s="311"/>
      <c r="S35" s="311"/>
      <c r="T35" s="311">
        <f t="shared" si="4"/>
        <v>0</v>
      </c>
      <c r="U35" s="311"/>
      <c r="V35" s="311"/>
      <c r="W35" s="311"/>
      <c r="X35" s="311"/>
      <c r="Y35" s="311"/>
      <c r="Z35" s="311"/>
      <c r="AA35" s="311"/>
      <c r="AB35" s="311">
        <f t="shared" si="0"/>
        <v>0</v>
      </c>
      <c r="AC35" s="311"/>
      <c r="AD35" s="311"/>
      <c r="AE35" s="311"/>
      <c r="AF35" s="311"/>
      <c r="AG35" s="311"/>
      <c r="AH35" s="311"/>
      <c r="AI35" s="311"/>
      <c r="AJ35" s="311">
        <f t="shared" si="1"/>
        <v>0</v>
      </c>
      <c r="AK35" s="311"/>
      <c r="AL35" s="311"/>
      <c r="AM35" s="311"/>
      <c r="AN35" s="311"/>
      <c r="AO35" s="311"/>
      <c r="AP35" s="311"/>
      <c r="AQ35" s="311"/>
      <c r="AR35" s="311">
        <f t="shared" si="2"/>
        <v>0</v>
      </c>
    </row>
    <row r="36" spans="2:44" x14ac:dyDescent="0.35">
      <c r="B36" s="309" t="s">
        <v>238</v>
      </c>
      <c r="C36" s="309"/>
      <c r="D36" s="309"/>
      <c r="E36" s="311"/>
      <c r="F36" s="311"/>
      <c r="G36" s="311"/>
      <c r="H36" s="311"/>
      <c r="I36" s="311"/>
      <c r="J36" s="311"/>
      <c r="K36" s="311"/>
      <c r="L36" s="311">
        <f t="shared" si="3"/>
        <v>0</v>
      </c>
      <c r="M36" s="311"/>
      <c r="N36" s="311"/>
      <c r="O36" s="311"/>
      <c r="P36" s="311"/>
      <c r="Q36" s="311"/>
      <c r="R36" s="311"/>
      <c r="S36" s="311"/>
      <c r="T36" s="311">
        <f t="shared" si="4"/>
        <v>0</v>
      </c>
      <c r="U36" s="311"/>
      <c r="V36" s="311"/>
      <c r="W36" s="311"/>
      <c r="X36" s="311"/>
      <c r="Y36" s="311"/>
      <c r="Z36" s="311"/>
      <c r="AA36" s="311"/>
      <c r="AB36" s="311">
        <f t="shared" si="0"/>
        <v>0</v>
      </c>
      <c r="AC36" s="311"/>
      <c r="AD36" s="311"/>
      <c r="AE36" s="311"/>
      <c r="AF36" s="311"/>
      <c r="AG36" s="311"/>
      <c r="AH36" s="311"/>
      <c r="AI36" s="311"/>
      <c r="AJ36" s="311">
        <f t="shared" si="1"/>
        <v>0</v>
      </c>
      <c r="AK36" s="311"/>
      <c r="AL36" s="311"/>
      <c r="AM36" s="311"/>
      <c r="AN36" s="311"/>
      <c r="AO36" s="311"/>
      <c r="AP36" s="311"/>
      <c r="AQ36" s="311"/>
      <c r="AR36" s="311">
        <f t="shared" si="2"/>
        <v>0</v>
      </c>
    </row>
    <row r="37" spans="2:44" x14ac:dyDescent="0.35">
      <c r="B37" s="309" t="s">
        <v>238</v>
      </c>
      <c r="C37" s="309"/>
      <c r="D37" s="309"/>
      <c r="E37" s="311"/>
      <c r="F37" s="311"/>
      <c r="G37" s="311"/>
      <c r="H37" s="311"/>
      <c r="I37" s="311"/>
      <c r="J37" s="311"/>
      <c r="K37" s="311"/>
      <c r="L37" s="311">
        <f t="shared" si="3"/>
        <v>0</v>
      </c>
      <c r="M37" s="311"/>
      <c r="N37" s="311"/>
      <c r="O37" s="311"/>
      <c r="P37" s="311"/>
      <c r="Q37" s="311"/>
      <c r="R37" s="311"/>
      <c r="S37" s="311"/>
      <c r="T37" s="311">
        <f t="shared" si="4"/>
        <v>0</v>
      </c>
      <c r="U37" s="311"/>
      <c r="V37" s="311"/>
      <c r="W37" s="311"/>
      <c r="X37" s="311"/>
      <c r="Y37" s="311"/>
      <c r="Z37" s="311"/>
      <c r="AA37" s="311"/>
      <c r="AB37" s="311">
        <f t="shared" si="0"/>
        <v>0</v>
      </c>
      <c r="AC37" s="311"/>
      <c r="AD37" s="311"/>
      <c r="AE37" s="311"/>
      <c r="AF37" s="311"/>
      <c r="AG37" s="311"/>
      <c r="AH37" s="311"/>
      <c r="AI37" s="311"/>
      <c r="AJ37" s="311">
        <f t="shared" si="1"/>
        <v>0</v>
      </c>
      <c r="AK37" s="311"/>
      <c r="AL37" s="311"/>
      <c r="AM37" s="311"/>
      <c r="AN37" s="311"/>
      <c r="AO37" s="311"/>
      <c r="AP37" s="311"/>
      <c r="AQ37" s="311"/>
      <c r="AR37" s="311">
        <f t="shared" si="2"/>
        <v>0</v>
      </c>
    </row>
    <row r="38" spans="2:44" x14ac:dyDescent="0.35">
      <c r="B38" s="309" t="s">
        <v>238</v>
      </c>
      <c r="C38" s="309"/>
      <c r="D38" s="309"/>
      <c r="E38" s="311"/>
      <c r="F38" s="311"/>
      <c r="G38" s="311"/>
      <c r="H38" s="311"/>
      <c r="I38" s="311"/>
      <c r="J38" s="311"/>
      <c r="K38" s="311"/>
      <c r="L38" s="311">
        <f t="shared" si="3"/>
        <v>0</v>
      </c>
      <c r="M38" s="311"/>
      <c r="N38" s="311"/>
      <c r="O38" s="311"/>
      <c r="P38" s="311"/>
      <c r="Q38" s="311"/>
      <c r="R38" s="311"/>
      <c r="S38" s="311"/>
      <c r="T38" s="311">
        <f t="shared" si="4"/>
        <v>0</v>
      </c>
      <c r="U38" s="311"/>
      <c r="V38" s="311"/>
      <c r="W38" s="311"/>
      <c r="X38" s="311"/>
      <c r="Y38" s="311"/>
      <c r="Z38" s="311"/>
      <c r="AA38" s="311"/>
      <c r="AB38" s="311">
        <f t="shared" si="0"/>
        <v>0</v>
      </c>
      <c r="AC38" s="311"/>
      <c r="AD38" s="311"/>
      <c r="AE38" s="311"/>
      <c r="AF38" s="311"/>
      <c r="AG38" s="311"/>
      <c r="AH38" s="311"/>
      <c r="AI38" s="311"/>
      <c r="AJ38" s="311">
        <f t="shared" si="1"/>
        <v>0</v>
      </c>
      <c r="AK38" s="311"/>
      <c r="AL38" s="311"/>
      <c r="AM38" s="311"/>
      <c r="AN38" s="311"/>
      <c r="AO38" s="311"/>
      <c r="AP38" s="311"/>
      <c r="AQ38" s="311"/>
      <c r="AR38" s="311">
        <f t="shared" si="2"/>
        <v>0</v>
      </c>
    </row>
    <row r="39" spans="2:44" x14ac:dyDescent="0.35">
      <c r="B39" s="309" t="s">
        <v>238</v>
      </c>
      <c r="C39" s="309"/>
      <c r="D39" s="309"/>
      <c r="E39" s="311"/>
      <c r="F39" s="311"/>
      <c r="G39" s="311"/>
      <c r="H39" s="311"/>
      <c r="I39" s="311"/>
      <c r="J39" s="311"/>
      <c r="K39" s="311"/>
      <c r="L39" s="311">
        <f t="shared" si="3"/>
        <v>0</v>
      </c>
      <c r="M39" s="311"/>
      <c r="N39" s="311"/>
      <c r="O39" s="311"/>
      <c r="P39" s="311"/>
      <c r="Q39" s="311"/>
      <c r="R39" s="311"/>
      <c r="S39" s="311"/>
      <c r="T39" s="311">
        <f t="shared" si="4"/>
        <v>0</v>
      </c>
      <c r="U39" s="311"/>
      <c r="V39" s="311"/>
      <c r="W39" s="311"/>
      <c r="X39" s="311"/>
      <c r="Y39" s="311"/>
      <c r="Z39" s="311"/>
      <c r="AA39" s="311"/>
      <c r="AB39" s="311">
        <f t="shared" si="0"/>
        <v>0</v>
      </c>
      <c r="AC39" s="311"/>
      <c r="AD39" s="311"/>
      <c r="AE39" s="311"/>
      <c r="AF39" s="311"/>
      <c r="AG39" s="311"/>
      <c r="AH39" s="311"/>
      <c r="AI39" s="311"/>
      <c r="AJ39" s="311">
        <f t="shared" si="1"/>
        <v>0</v>
      </c>
      <c r="AK39" s="311"/>
      <c r="AL39" s="311"/>
      <c r="AM39" s="311"/>
      <c r="AN39" s="311"/>
      <c r="AO39" s="311"/>
      <c r="AP39" s="311"/>
      <c r="AQ39" s="311"/>
      <c r="AR39" s="311">
        <f t="shared" si="2"/>
        <v>0</v>
      </c>
    </row>
    <row r="40" spans="2:44" x14ac:dyDescent="0.35">
      <c r="B40" s="309"/>
      <c r="C40" s="309"/>
      <c r="D40" s="309"/>
      <c r="E40" s="311"/>
      <c r="F40" s="311"/>
      <c r="G40" s="311"/>
      <c r="H40" s="311"/>
      <c r="I40" s="311"/>
      <c r="J40" s="311"/>
      <c r="K40" s="311"/>
      <c r="L40" s="311">
        <f t="shared" si="3"/>
        <v>0</v>
      </c>
      <c r="M40" s="311"/>
      <c r="N40" s="311"/>
      <c r="O40" s="311"/>
      <c r="P40" s="311"/>
      <c r="Q40" s="311"/>
      <c r="R40" s="311"/>
      <c r="S40" s="311"/>
      <c r="T40" s="311">
        <f t="shared" si="4"/>
        <v>0</v>
      </c>
      <c r="U40" s="311"/>
      <c r="V40" s="311"/>
      <c r="W40" s="311"/>
      <c r="X40" s="311"/>
      <c r="Y40" s="311"/>
      <c r="Z40" s="311"/>
      <c r="AA40" s="311"/>
      <c r="AB40" s="311">
        <f t="shared" si="0"/>
        <v>0</v>
      </c>
      <c r="AC40" s="311"/>
      <c r="AD40" s="311"/>
      <c r="AE40" s="311"/>
      <c r="AF40" s="311"/>
      <c r="AG40" s="311"/>
      <c r="AH40" s="311"/>
      <c r="AI40" s="311"/>
      <c r="AJ40" s="311">
        <f t="shared" si="1"/>
        <v>0</v>
      </c>
      <c r="AK40" s="311"/>
      <c r="AL40" s="311"/>
      <c r="AM40" s="311"/>
      <c r="AN40" s="311"/>
      <c r="AO40" s="311"/>
      <c r="AP40" s="311"/>
      <c r="AQ40" s="311"/>
      <c r="AR40" s="311">
        <f t="shared" si="2"/>
        <v>0</v>
      </c>
    </row>
    <row r="41" spans="2:44" x14ac:dyDescent="0.35">
      <c r="B41" s="314" t="s">
        <v>164</v>
      </c>
      <c r="C41" s="314"/>
      <c r="D41" s="314"/>
      <c r="E41" s="2244">
        <f>SUM(E7,E10,E12,E15,E17,E18)</f>
        <v>0</v>
      </c>
      <c r="F41" s="2245"/>
      <c r="G41" s="2245"/>
      <c r="H41" s="2245"/>
      <c r="I41" s="2246"/>
      <c r="J41" s="346">
        <f t="shared" ref="J41:AC41" si="5">SUM(J4:J39)</f>
        <v>0</v>
      </c>
      <c r="K41" s="346">
        <f t="shared" si="5"/>
        <v>0</v>
      </c>
      <c r="L41" s="346">
        <f t="shared" si="5"/>
        <v>0</v>
      </c>
      <c r="M41" s="2244">
        <f t="shared" si="5"/>
        <v>0</v>
      </c>
      <c r="N41" s="2245"/>
      <c r="O41" s="2245"/>
      <c r="P41" s="2245"/>
      <c r="Q41" s="2246"/>
      <c r="R41" s="346">
        <f t="shared" si="5"/>
        <v>0</v>
      </c>
      <c r="S41" s="346">
        <f t="shared" si="5"/>
        <v>0</v>
      </c>
      <c r="T41" s="346">
        <f t="shared" si="5"/>
        <v>0</v>
      </c>
      <c r="U41" s="2244">
        <f t="shared" si="5"/>
        <v>0</v>
      </c>
      <c r="V41" s="2245"/>
      <c r="W41" s="2245"/>
      <c r="X41" s="2245"/>
      <c r="Y41" s="2246"/>
      <c r="Z41" s="346">
        <f t="shared" si="5"/>
        <v>0</v>
      </c>
      <c r="AA41" s="346">
        <f t="shared" si="5"/>
        <v>0</v>
      </c>
      <c r="AB41" s="346">
        <f t="shared" si="5"/>
        <v>0</v>
      </c>
      <c r="AC41" s="2244">
        <f t="shared" si="5"/>
        <v>0</v>
      </c>
      <c r="AD41" s="2245"/>
      <c r="AE41" s="2245"/>
      <c r="AF41" s="2245"/>
      <c r="AG41" s="2246"/>
      <c r="AH41" s="346">
        <f>SUM(AH4:AH39)</f>
        <v>0</v>
      </c>
      <c r="AI41" s="346">
        <f>SUM(AI4:AI39)</f>
        <v>0</v>
      </c>
      <c r="AJ41" s="346">
        <f>SUM(AJ4:AJ39)</f>
        <v>0</v>
      </c>
      <c r="AK41" s="2244">
        <f>SUM(AK4:AK39)</f>
        <v>0</v>
      </c>
      <c r="AL41" s="2245"/>
      <c r="AM41" s="2245"/>
      <c r="AN41" s="2245"/>
      <c r="AO41" s="2246"/>
      <c r="AP41" s="346">
        <f>SUM(AP4:AP39)</f>
        <v>0</v>
      </c>
      <c r="AQ41" s="346">
        <f>SUM(AQ4:AQ39)</f>
        <v>0</v>
      </c>
      <c r="AR41" s="346">
        <f>SUM(AR4:AR39)</f>
        <v>0</v>
      </c>
    </row>
  </sheetData>
  <mergeCells count="53">
    <mergeCell ref="E41:I41"/>
    <mergeCell ref="M41:Q41"/>
    <mergeCell ref="U41:Y41"/>
    <mergeCell ref="AC41:AG41"/>
    <mergeCell ref="AK41:AO41"/>
    <mergeCell ref="E17:I17"/>
    <mergeCell ref="M17:Q17"/>
    <mergeCell ref="U17:Y17"/>
    <mergeCell ref="AC17:AG17"/>
    <mergeCell ref="AK17:AO17"/>
    <mergeCell ref="E18:I18"/>
    <mergeCell ref="M18:Q18"/>
    <mergeCell ref="U18:Y18"/>
    <mergeCell ref="AC18:AG18"/>
    <mergeCell ref="AK18:AO18"/>
    <mergeCell ref="E12:I12"/>
    <mergeCell ref="M12:Q12"/>
    <mergeCell ref="U12:Y12"/>
    <mergeCell ref="AC12:AG12"/>
    <mergeCell ref="AK12:AO12"/>
    <mergeCell ref="E15:I15"/>
    <mergeCell ref="M15:Q15"/>
    <mergeCell ref="U15:Y15"/>
    <mergeCell ref="AC15:AG15"/>
    <mergeCell ref="AK15:AO15"/>
    <mergeCell ref="E7:I7"/>
    <mergeCell ref="M7:Q7"/>
    <mergeCell ref="U7:Y7"/>
    <mergeCell ref="AC7:AG7"/>
    <mergeCell ref="AK7:AO7"/>
    <mergeCell ref="E10:I10"/>
    <mergeCell ref="M10:Q10"/>
    <mergeCell ref="U10:Y10"/>
    <mergeCell ref="AC10:AG10"/>
    <mergeCell ref="AK10:AO10"/>
    <mergeCell ref="AC2:AJ2"/>
    <mergeCell ref="AK2:AR2"/>
    <mergeCell ref="AS3:AS4"/>
    <mergeCell ref="M5:Q5"/>
    <mergeCell ref="U5:Y5"/>
    <mergeCell ref="AC5:AG5"/>
    <mergeCell ref="AK5:AO5"/>
    <mergeCell ref="AS5:AS20"/>
    <mergeCell ref="E1:L1"/>
    <mergeCell ref="M1:T1"/>
    <mergeCell ref="U1:AB1"/>
    <mergeCell ref="AC1:AJ1"/>
    <mergeCell ref="AK1:AR1"/>
    <mergeCell ref="C2:C3"/>
    <mergeCell ref="D2:D3"/>
    <mergeCell ref="E2:L2"/>
    <mergeCell ref="M2:T2"/>
    <mergeCell ref="U2:AB2"/>
  </mergeCells>
  <dataValidations count="2">
    <dataValidation type="list" allowBlank="1" showInputMessage="1" showErrorMessage="1" sqref="C4:C39" xr:uid="{59EB86CD-7D2A-458C-9269-EEFD2D0CE1D1}">
      <formula1>"Wire, Retail, Unallocable"</formula1>
    </dataValidation>
    <dataValidation type="list" allowBlank="1" showInputMessage="1" showErrorMessage="1" sqref="C40" xr:uid="{709EB4C6-BE28-489E-B370-8C1A3DC7EED1}">
      <formula1>"Wire, Retail"</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70E9B4A-BC50-4682-8118-6FDD696F7B86}">
          <x14:formula1>
            <xm:f>'Block of Assets'!$C$4:$C$29</xm:f>
          </x14:formula1>
          <xm:sqref>C40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R428"/>
  <sheetViews>
    <sheetView showGridLines="0" view="pageBreakPreview" topLeftCell="A5" zoomScale="70" zoomScaleNormal="75" zoomScaleSheetLayoutView="70" zoomScalePageLayoutView="110" workbookViewId="0">
      <selection activeCell="J33" sqref="J33"/>
    </sheetView>
  </sheetViews>
  <sheetFormatPr defaultColWidth="9.33203125" defaultRowHeight="13.9" x14ac:dyDescent="0.4"/>
  <cols>
    <col min="1" max="1" width="9.33203125" style="1"/>
    <col min="2" max="2" width="44.1328125" style="1" customWidth="1"/>
    <col min="3" max="3" width="13.6640625" style="1" customWidth="1"/>
    <col min="4" max="4" width="14.6640625" style="1" customWidth="1"/>
    <col min="5" max="6" width="14.33203125" style="1" customWidth="1"/>
    <col min="7" max="7" width="15.46484375" style="1" customWidth="1"/>
    <col min="8" max="8" width="17.33203125" style="1" customWidth="1"/>
    <col min="9" max="10" width="14.53125" style="1" customWidth="1"/>
    <col min="11" max="11" width="16.6640625" style="1" customWidth="1"/>
    <col min="12" max="12" width="18.6640625" style="1" customWidth="1"/>
    <col min="13" max="13" width="18.46484375" style="1" customWidth="1"/>
    <col min="14" max="14" width="14.46484375" style="1" customWidth="1"/>
    <col min="15" max="15" width="16.6640625" style="1" customWidth="1"/>
    <col min="16" max="253" width="9.33203125" style="1"/>
    <col min="254" max="254" width="15.6640625" style="1" customWidth="1"/>
    <col min="255" max="255" width="30.46484375" style="1" customWidth="1"/>
    <col min="256" max="267" width="10.6640625" style="1" customWidth="1"/>
    <col min="268" max="268" width="12.53125" style="1" customWidth="1"/>
    <col min="269" max="269" width="6.33203125" style="1" bestFit="1" customWidth="1"/>
    <col min="270" max="270" width="11.53125" style="1" customWidth="1"/>
    <col min="271" max="509" width="9.33203125" style="1"/>
    <col min="510" max="510" width="15.6640625" style="1" customWidth="1"/>
    <col min="511" max="511" width="30.46484375" style="1" customWidth="1"/>
    <col min="512" max="523" width="10.6640625" style="1" customWidth="1"/>
    <col min="524" max="524" width="12.53125" style="1" customWidth="1"/>
    <col min="525" max="525" width="6.33203125" style="1" bestFit="1" customWidth="1"/>
    <col min="526" max="526" width="11.53125" style="1" customWidth="1"/>
    <col min="527" max="765" width="9.33203125" style="1"/>
    <col min="766" max="766" width="15.6640625" style="1" customWidth="1"/>
    <col min="767" max="767" width="30.46484375" style="1" customWidth="1"/>
    <col min="768" max="779" width="10.6640625" style="1" customWidth="1"/>
    <col min="780" max="780" width="12.53125" style="1" customWidth="1"/>
    <col min="781" max="781" width="6.33203125" style="1" bestFit="1" customWidth="1"/>
    <col min="782" max="782" width="11.53125" style="1" customWidth="1"/>
    <col min="783" max="1021" width="9.33203125" style="1"/>
    <col min="1022" max="1022" width="15.6640625" style="1" customWidth="1"/>
    <col min="1023" max="1023" width="30.46484375" style="1" customWidth="1"/>
    <col min="1024" max="1035" width="10.6640625" style="1" customWidth="1"/>
    <col min="1036" max="1036" width="12.53125" style="1" customWidth="1"/>
    <col min="1037" max="1037" width="6.33203125" style="1" bestFit="1" customWidth="1"/>
    <col min="1038" max="1038" width="11.53125" style="1" customWidth="1"/>
    <col min="1039" max="1277" width="9.33203125" style="1"/>
    <col min="1278" max="1278" width="15.6640625" style="1" customWidth="1"/>
    <col min="1279" max="1279" width="30.46484375" style="1" customWidth="1"/>
    <col min="1280" max="1291" width="10.6640625" style="1" customWidth="1"/>
    <col min="1292" max="1292" width="12.53125" style="1" customWidth="1"/>
    <col min="1293" max="1293" width="6.33203125" style="1" bestFit="1" customWidth="1"/>
    <col min="1294" max="1294" width="11.53125" style="1" customWidth="1"/>
    <col min="1295" max="1533" width="9.33203125" style="1"/>
    <col min="1534" max="1534" width="15.6640625" style="1" customWidth="1"/>
    <col min="1535" max="1535" width="30.46484375" style="1" customWidth="1"/>
    <col min="1536" max="1547" width="10.6640625" style="1" customWidth="1"/>
    <col min="1548" max="1548" width="12.53125" style="1" customWidth="1"/>
    <col min="1549" max="1549" width="6.33203125" style="1" bestFit="1" customWidth="1"/>
    <col min="1550" max="1550" width="11.53125" style="1" customWidth="1"/>
    <col min="1551" max="1789" width="9.33203125" style="1"/>
    <col min="1790" max="1790" width="15.6640625" style="1" customWidth="1"/>
    <col min="1791" max="1791" width="30.46484375" style="1" customWidth="1"/>
    <col min="1792" max="1803" width="10.6640625" style="1" customWidth="1"/>
    <col min="1804" max="1804" width="12.53125" style="1" customWidth="1"/>
    <col min="1805" max="1805" width="6.33203125" style="1" bestFit="1" customWidth="1"/>
    <col min="1806" max="1806" width="11.53125" style="1" customWidth="1"/>
    <col min="1807" max="2045" width="9.33203125" style="1"/>
    <col min="2046" max="2046" width="15.6640625" style="1" customWidth="1"/>
    <col min="2047" max="2047" width="30.46484375" style="1" customWidth="1"/>
    <col min="2048" max="2059" width="10.6640625" style="1" customWidth="1"/>
    <col min="2060" max="2060" width="12.53125" style="1" customWidth="1"/>
    <col min="2061" max="2061" width="6.33203125" style="1" bestFit="1" customWidth="1"/>
    <col min="2062" max="2062" width="11.53125" style="1" customWidth="1"/>
    <col min="2063" max="2301" width="9.33203125" style="1"/>
    <col min="2302" max="2302" width="15.6640625" style="1" customWidth="1"/>
    <col min="2303" max="2303" width="30.46484375" style="1" customWidth="1"/>
    <col min="2304" max="2315" width="10.6640625" style="1" customWidth="1"/>
    <col min="2316" max="2316" width="12.53125" style="1" customWidth="1"/>
    <col min="2317" max="2317" width="6.33203125" style="1" bestFit="1" customWidth="1"/>
    <col min="2318" max="2318" width="11.53125" style="1" customWidth="1"/>
    <col min="2319" max="2557" width="9.33203125" style="1"/>
    <col min="2558" max="2558" width="15.6640625" style="1" customWidth="1"/>
    <col min="2559" max="2559" width="30.46484375" style="1" customWidth="1"/>
    <col min="2560" max="2571" width="10.6640625" style="1" customWidth="1"/>
    <col min="2572" max="2572" width="12.53125" style="1" customWidth="1"/>
    <col min="2573" max="2573" width="6.33203125" style="1" bestFit="1" customWidth="1"/>
    <col min="2574" max="2574" width="11.53125" style="1" customWidth="1"/>
    <col min="2575" max="2813" width="9.33203125" style="1"/>
    <col min="2814" max="2814" width="15.6640625" style="1" customWidth="1"/>
    <col min="2815" max="2815" width="30.46484375" style="1" customWidth="1"/>
    <col min="2816" max="2827" width="10.6640625" style="1" customWidth="1"/>
    <col min="2828" max="2828" width="12.53125" style="1" customWidth="1"/>
    <col min="2829" max="2829" width="6.33203125" style="1" bestFit="1" customWidth="1"/>
    <col min="2830" max="2830" width="11.53125" style="1" customWidth="1"/>
    <col min="2831" max="3069" width="9.33203125" style="1"/>
    <col min="3070" max="3070" width="15.6640625" style="1" customWidth="1"/>
    <col min="3071" max="3071" width="30.46484375" style="1" customWidth="1"/>
    <col min="3072" max="3083" width="10.6640625" style="1" customWidth="1"/>
    <col min="3084" max="3084" width="12.53125" style="1" customWidth="1"/>
    <col min="3085" max="3085" width="6.33203125" style="1" bestFit="1" customWidth="1"/>
    <col min="3086" max="3086" width="11.53125" style="1" customWidth="1"/>
    <col min="3087" max="3325" width="9.33203125" style="1"/>
    <col min="3326" max="3326" width="15.6640625" style="1" customWidth="1"/>
    <col min="3327" max="3327" width="30.46484375" style="1" customWidth="1"/>
    <col min="3328" max="3339" width="10.6640625" style="1" customWidth="1"/>
    <col min="3340" max="3340" width="12.53125" style="1" customWidth="1"/>
    <col min="3341" max="3341" width="6.33203125" style="1" bestFit="1" customWidth="1"/>
    <col min="3342" max="3342" width="11.53125" style="1" customWidth="1"/>
    <col min="3343" max="3581" width="9.33203125" style="1"/>
    <col min="3582" max="3582" width="15.6640625" style="1" customWidth="1"/>
    <col min="3583" max="3583" width="30.46484375" style="1" customWidth="1"/>
    <col min="3584" max="3595" width="10.6640625" style="1" customWidth="1"/>
    <col min="3596" max="3596" width="12.53125" style="1" customWidth="1"/>
    <col min="3597" max="3597" width="6.33203125" style="1" bestFit="1" customWidth="1"/>
    <col min="3598" max="3598" width="11.53125" style="1" customWidth="1"/>
    <col min="3599" max="3837" width="9.33203125" style="1"/>
    <col min="3838" max="3838" width="15.6640625" style="1" customWidth="1"/>
    <col min="3839" max="3839" width="30.46484375" style="1" customWidth="1"/>
    <col min="3840" max="3851" width="10.6640625" style="1" customWidth="1"/>
    <col min="3852" max="3852" width="12.53125" style="1" customWidth="1"/>
    <col min="3853" max="3853" width="6.33203125" style="1" bestFit="1" customWidth="1"/>
    <col min="3854" max="3854" width="11.53125" style="1" customWidth="1"/>
    <col min="3855" max="4093" width="9.33203125" style="1"/>
    <col min="4094" max="4094" width="15.6640625" style="1" customWidth="1"/>
    <col min="4095" max="4095" width="30.46484375" style="1" customWidth="1"/>
    <col min="4096" max="4107" width="10.6640625" style="1" customWidth="1"/>
    <col min="4108" max="4108" width="12.53125" style="1" customWidth="1"/>
    <col min="4109" max="4109" width="6.33203125" style="1" bestFit="1" customWidth="1"/>
    <col min="4110" max="4110" width="11.53125" style="1" customWidth="1"/>
    <col min="4111" max="4349" width="9.33203125" style="1"/>
    <col min="4350" max="4350" width="15.6640625" style="1" customWidth="1"/>
    <col min="4351" max="4351" width="30.46484375" style="1" customWidth="1"/>
    <col min="4352" max="4363" width="10.6640625" style="1" customWidth="1"/>
    <col min="4364" max="4364" width="12.53125" style="1" customWidth="1"/>
    <col min="4365" max="4365" width="6.33203125" style="1" bestFit="1" customWidth="1"/>
    <col min="4366" max="4366" width="11.53125" style="1" customWidth="1"/>
    <col min="4367" max="4605" width="9.33203125" style="1"/>
    <col min="4606" max="4606" width="15.6640625" style="1" customWidth="1"/>
    <col min="4607" max="4607" width="30.46484375" style="1" customWidth="1"/>
    <col min="4608" max="4619" width="10.6640625" style="1" customWidth="1"/>
    <col min="4620" max="4620" width="12.53125" style="1" customWidth="1"/>
    <col min="4621" max="4621" width="6.33203125" style="1" bestFit="1" customWidth="1"/>
    <col min="4622" max="4622" width="11.53125" style="1" customWidth="1"/>
    <col min="4623" max="4861" width="9.33203125" style="1"/>
    <col min="4862" max="4862" width="15.6640625" style="1" customWidth="1"/>
    <col min="4863" max="4863" width="30.46484375" style="1" customWidth="1"/>
    <col min="4864" max="4875" width="10.6640625" style="1" customWidth="1"/>
    <col min="4876" max="4876" width="12.53125" style="1" customWidth="1"/>
    <col min="4877" max="4877" width="6.33203125" style="1" bestFit="1" customWidth="1"/>
    <col min="4878" max="4878" width="11.53125" style="1" customWidth="1"/>
    <col min="4879" max="5117" width="9.33203125" style="1"/>
    <col min="5118" max="5118" width="15.6640625" style="1" customWidth="1"/>
    <col min="5119" max="5119" width="30.46484375" style="1" customWidth="1"/>
    <col min="5120" max="5131" width="10.6640625" style="1" customWidth="1"/>
    <col min="5132" max="5132" width="12.53125" style="1" customWidth="1"/>
    <col min="5133" max="5133" width="6.33203125" style="1" bestFit="1" customWidth="1"/>
    <col min="5134" max="5134" width="11.53125" style="1" customWidth="1"/>
    <col min="5135" max="5373" width="9.33203125" style="1"/>
    <col min="5374" max="5374" width="15.6640625" style="1" customWidth="1"/>
    <col min="5375" max="5375" width="30.46484375" style="1" customWidth="1"/>
    <col min="5376" max="5387" width="10.6640625" style="1" customWidth="1"/>
    <col min="5388" max="5388" width="12.53125" style="1" customWidth="1"/>
    <col min="5389" max="5389" width="6.33203125" style="1" bestFit="1" customWidth="1"/>
    <col min="5390" max="5390" width="11.53125" style="1" customWidth="1"/>
    <col min="5391" max="5629" width="9.33203125" style="1"/>
    <col min="5630" max="5630" width="15.6640625" style="1" customWidth="1"/>
    <col min="5631" max="5631" width="30.46484375" style="1" customWidth="1"/>
    <col min="5632" max="5643" width="10.6640625" style="1" customWidth="1"/>
    <col min="5644" max="5644" width="12.53125" style="1" customWidth="1"/>
    <col min="5645" max="5645" width="6.33203125" style="1" bestFit="1" customWidth="1"/>
    <col min="5646" max="5646" width="11.53125" style="1" customWidth="1"/>
    <col min="5647" max="5885" width="9.33203125" style="1"/>
    <col min="5886" max="5886" width="15.6640625" style="1" customWidth="1"/>
    <col min="5887" max="5887" width="30.46484375" style="1" customWidth="1"/>
    <col min="5888" max="5899" width="10.6640625" style="1" customWidth="1"/>
    <col min="5900" max="5900" width="12.53125" style="1" customWidth="1"/>
    <col min="5901" max="5901" width="6.33203125" style="1" bestFit="1" customWidth="1"/>
    <col min="5902" max="5902" width="11.53125" style="1" customWidth="1"/>
    <col min="5903" max="6141" width="9.33203125" style="1"/>
    <col min="6142" max="6142" width="15.6640625" style="1" customWidth="1"/>
    <col min="6143" max="6143" width="30.46484375" style="1" customWidth="1"/>
    <col min="6144" max="6155" width="10.6640625" style="1" customWidth="1"/>
    <col min="6156" max="6156" width="12.53125" style="1" customWidth="1"/>
    <col min="6157" max="6157" width="6.33203125" style="1" bestFit="1" customWidth="1"/>
    <col min="6158" max="6158" width="11.53125" style="1" customWidth="1"/>
    <col min="6159" max="6397" width="9.33203125" style="1"/>
    <col min="6398" max="6398" width="15.6640625" style="1" customWidth="1"/>
    <col min="6399" max="6399" width="30.46484375" style="1" customWidth="1"/>
    <col min="6400" max="6411" width="10.6640625" style="1" customWidth="1"/>
    <col min="6412" max="6412" width="12.53125" style="1" customWidth="1"/>
    <col min="6413" max="6413" width="6.33203125" style="1" bestFit="1" customWidth="1"/>
    <col min="6414" max="6414" width="11.53125" style="1" customWidth="1"/>
    <col min="6415" max="6653" width="9.33203125" style="1"/>
    <col min="6654" max="6654" width="15.6640625" style="1" customWidth="1"/>
    <col min="6655" max="6655" width="30.46484375" style="1" customWidth="1"/>
    <col min="6656" max="6667" width="10.6640625" style="1" customWidth="1"/>
    <col min="6668" max="6668" width="12.53125" style="1" customWidth="1"/>
    <col min="6669" max="6669" width="6.33203125" style="1" bestFit="1" customWidth="1"/>
    <col min="6670" max="6670" width="11.53125" style="1" customWidth="1"/>
    <col min="6671" max="6909" width="9.33203125" style="1"/>
    <col min="6910" max="6910" width="15.6640625" style="1" customWidth="1"/>
    <col min="6911" max="6911" width="30.46484375" style="1" customWidth="1"/>
    <col min="6912" max="6923" width="10.6640625" style="1" customWidth="1"/>
    <col min="6924" max="6924" width="12.53125" style="1" customWidth="1"/>
    <col min="6925" max="6925" width="6.33203125" style="1" bestFit="1" customWidth="1"/>
    <col min="6926" max="6926" width="11.53125" style="1" customWidth="1"/>
    <col min="6927" max="7165" width="9.33203125" style="1"/>
    <col min="7166" max="7166" width="15.6640625" style="1" customWidth="1"/>
    <col min="7167" max="7167" width="30.46484375" style="1" customWidth="1"/>
    <col min="7168" max="7179" width="10.6640625" style="1" customWidth="1"/>
    <col min="7180" max="7180" width="12.53125" style="1" customWidth="1"/>
    <col min="7181" max="7181" width="6.33203125" style="1" bestFit="1" customWidth="1"/>
    <col min="7182" max="7182" width="11.53125" style="1" customWidth="1"/>
    <col min="7183" max="7421" width="9.33203125" style="1"/>
    <col min="7422" max="7422" width="15.6640625" style="1" customWidth="1"/>
    <col min="7423" max="7423" width="30.46484375" style="1" customWidth="1"/>
    <col min="7424" max="7435" width="10.6640625" style="1" customWidth="1"/>
    <col min="7436" max="7436" width="12.53125" style="1" customWidth="1"/>
    <col min="7437" max="7437" width="6.33203125" style="1" bestFit="1" customWidth="1"/>
    <col min="7438" max="7438" width="11.53125" style="1" customWidth="1"/>
    <col min="7439" max="7677" width="9.33203125" style="1"/>
    <col min="7678" max="7678" width="15.6640625" style="1" customWidth="1"/>
    <col min="7679" max="7679" width="30.46484375" style="1" customWidth="1"/>
    <col min="7680" max="7691" width="10.6640625" style="1" customWidth="1"/>
    <col min="7692" max="7692" width="12.53125" style="1" customWidth="1"/>
    <col min="7693" max="7693" width="6.33203125" style="1" bestFit="1" customWidth="1"/>
    <col min="7694" max="7694" width="11.53125" style="1" customWidth="1"/>
    <col min="7695" max="7933" width="9.33203125" style="1"/>
    <col min="7934" max="7934" width="15.6640625" style="1" customWidth="1"/>
    <col min="7935" max="7935" width="30.46484375" style="1" customWidth="1"/>
    <col min="7936" max="7947" width="10.6640625" style="1" customWidth="1"/>
    <col min="7948" max="7948" width="12.53125" style="1" customWidth="1"/>
    <col min="7949" max="7949" width="6.33203125" style="1" bestFit="1" customWidth="1"/>
    <col min="7950" max="7950" width="11.53125" style="1" customWidth="1"/>
    <col min="7951" max="8189" width="9.33203125" style="1"/>
    <col min="8190" max="8190" width="15.6640625" style="1" customWidth="1"/>
    <col min="8191" max="8191" width="30.46484375" style="1" customWidth="1"/>
    <col min="8192" max="8203" width="10.6640625" style="1" customWidth="1"/>
    <col min="8204" max="8204" width="12.53125" style="1" customWidth="1"/>
    <col min="8205" max="8205" width="6.33203125" style="1" bestFit="1" customWidth="1"/>
    <col min="8206" max="8206" width="11.53125" style="1" customWidth="1"/>
    <col min="8207" max="8445" width="9.33203125" style="1"/>
    <col min="8446" max="8446" width="15.6640625" style="1" customWidth="1"/>
    <col min="8447" max="8447" width="30.46484375" style="1" customWidth="1"/>
    <col min="8448" max="8459" width="10.6640625" style="1" customWidth="1"/>
    <col min="8460" max="8460" width="12.53125" style="1" customWidth="1"/>
    <col min="8461" max="8461" width="6.33203125" style="1" bestFit="1" customWidth="1"/>
    <col min="8462" max="8462" width="11.53125" style="1" customWidth="1"/>
    <col min="8463" max="8701" width="9.33203125" style="1"/>
    <col min="8702" max="8702" width="15.6640625" style="1" customWidth="1"/>
    <col min="8703" max="8703" width="30.46484375" style="1" customWidth="1"/>
    <col min="8704" max="8715" width="10.6640625" style="1" customWidth="1"/>
    <col min="8716" max="8716" width="12.53125" style="1" customWidth="1"/>
    <col min="8717" max="8717" width="6.33203125" style="1" bestFit="1" customWidth="1"/>
    <col min="8718" max="8718" width="11.53125" style="1" customWidth="1"/>
    <col min="8719" max="8957" width="9.33203125" style="1"/>
    <col min="8958" max="8958" width="15.6640625" style="1" customWidth="1"/>
    <col min="8959" max="8959" width="30.46484375" style="1" customWidth="1"/>
    <col min="8960" max="8971" width="10.6640625" style="1" customWidth="1"/>
    <col min="8972" max="8972" width="12.53125" style="1" customWidth="1"/>
    <col min="8973" max="8973" width="6.33203125" style="1" bestFit="1" customWidth="1"/>
    <col min="8974" max="8974" width="11.53125" style="1" customWidth="1"/>
    <col min="8975" max="9213" width="9.33203125" style="1"/>
    <col min="9214" max="9214" width="15.6640625" style="1" customWidth="1"/>
    <col min="9215" max="9215" width="30.46484375" style="1" customWidth="1"/>
    <col min="9216" max="9227" width="10.6640625" style="1" customWidth="1"/>
    <col min="9228" max="9228" width="12.53125" style="1" customWidth="1"/>
    <col min="9229" max="9229" width="6.33203125" style="1" bestFit="1" customWidth="1"/>
    <col min="9230" max="9230" width="11.53125" style="1" customWidth="1"/>
    <col min="9231" max="9469" width="9.33203125" style="1"/>
    <col min="9470" max="9470" width="15.6640625" style="1" customWidth="1"/>
    <col min="9471" max="9471" width="30.46484375" style="1" customWidth="1"/>
    <col min="9472" max="9483" width="10.6640625" style="1" customWidth="1"/>
    <col min="9484" max="9484" width="12.53125" style="1" customWidth="1"/>
    <col min="9485" max="9485" width="6.33203125" style="1" bestFit="1" customWidth="1"/>
    <col min="9486" max="9486" width="11.53125" style="1" customWidth="1"/>
    <col min="9487" max="9725" width="9.33203125" style="1"/>
    <col min="9726" max="9726" width="15.6640625" style="1" customWidth="1"/>
    <col min="9727" max="9727" width="30.46484375" style="1" customWidth="1"/>
    <col min="9728" max="9739" width="10.6640625" style="1" customWidth="1"/>
    <col min="9740" max="9740" width="12.53125" style="1" customWidth="1"/>
    <col min="9741" max="9741" width="6.33203125" style="1" bestFit="1" customWidth="1"/>
    <col min="9742" max="9742" width="11.53125" style="1" customWidth="1"/>
    <col min="9743" max="9981" width="9.33203125" style="1"/>
    <col min="9982" max="9982" width="15.6640625" style="1" customWidth="1"/>
    <col min="9983" max="9983" width="30.46484375" style="1" customWidth="1"/>
    <col min="9984" max="9995" width="10.6640625" style="1" customWidth="1"/>
    <col min="9996" max="9996" width="12.53125" style="1" customWidth="1"/>
    <col min="9997" max="9997" width="6.33203125" style="1" bestFit="1" customWidth="1"/>
    <col min="9998" max="9998" width="11.53125" style="1" customWidth="1"/>
    <col min="9999" max="10237" width="9.33203125" style="1"/>
    <col min="10238" max="10238" width="15.6640625" style="1" customWidth="1"/>
    <col min="10239" max="10239" width="30.46484375" style="1" customWidth="1"/>
    <col min="10240" max="10251" width="10.6640625" style="1" customWidth="1"/>
    <col min="10252" max="10252" width="12.53125" style="1" customWidth="1"/>
    <col min="10253" max="10253" width="6.33203125" style="1" bestFit="1" customWidth="1"/>
    <col min="10254" max="10254" width="11.53125" style="1" customWidth="1"/>
    <col min="10255" max="10493" width="9.33203125" style="1"/>
    <col min="10494" max="10494" width="15.6640625" style="1" customWidth="1"/>
    <col min="10495" max="10495" width="30.46484375" style="1" customWidth="1"/>
    <col min="10496" max="10507" width="10.6640625" style="1" customWidth="1"/>
    <col min="10508" max="10508" width="12.53125" style="1" customWidth="1"/>
    <col min="10509" max="10509" width="6.33203125" style="1" bestFit="1" customWidth="1"/>
    <col min="10510" max="10510" width="11.53125" style="1" customWidth="1"/>
    <col min="10511" max="10749" width="9.33203125" style="1"/>
    <col min="10750" max="10750" width="15.6640625" style="1" customWidth="1"/>
    <col min="10751" max="10751" width="30.46484375" style="1" customWidth="1"/>
    <col min="10752" max="10763" width="10.6640625" style="1" customWidth="1"/>
    <col min="10764" max="10764" width="12.53125" style="1" customWidth="1"/>
    <col min="10765" max="10765" width="6.33203125" style="1" bestFit="1" customWidth="1"/>
    <col min="10766" max="10766" width="11.53125" style="1" customWidth="1"/>
    <col min="10767" max="11005" width="9.33203125" style="1"/>
    <col min="11006" max="11006" width="15.6640625" style="1" customWidth="1"/>
    <col min="11007" max="11007" width="30.46484375" style="1" customWidth="1"/>
    <col min="11008" max="11019" width="10.6640625" style="1" customWidth="1"/>
    <col min="11020" max="11020" width="12.53125" style="1" customWidth="1"/>
    <col min="11021" max="11021" width="6.33203125" style="1" bestFit="1" customWidth="1"/>
    <col min="11022" max="11022" width="11.53125" style="1" customWidth="1"/>
    <col min="11023" max="11261" width="9.33203125" style="1"/>
    <col min="11262" max="11262" width="15.6640625" style="1" customWidth="1"/>
    <col min="11263" max="11263" width="30.46484375" style="1" customWidth="1"/>
    <col min="11264" max="11275" width="10.6640625" style="1" customWidth="1"/>
    <col min="11276" max="11276" width="12.53125" style="1" customWidth="1"/>
    <col min="11277" max="11277" width="6.33203125" style="1" bestFit="1" customWidth="1"/>
    <col min="11278" max="11278" width="11.53125" style="1" customWidth="1"/>
    <col min="11279" max="11517" width="9.33203125" style="1"/>
    <col min="11518" max="11518" width="15.6640625" style="1" customWidth="1"/>
    <col min="11519" max="11519" width="30.46484375" style="1" customWidth="1"/>
    <col min="11520" max="11531" width="10.6640625" style="1" customWidth="1"/>
    <col min="11532" max="11532" width="12.53125" style="1" customWidth="1"/>
    <col min="11533" max="11533" width="6.33203125" style="1" bestFit="1" customWidth="1"/>
    <col min="11534" max="11534" width="11.53125" style="1" customWidth="1"/>
    <col min="11535" max="11773" width="9.33203125" style="1"/>
    <col min="11774" max="11774" width="15.6640625" style="1" customWidth="1"/>
    <col min="11775" max="11775" width="30.46484375" style="1" customWidth="1"/>
    <col min="11776" max="11787" width="10.6640625" style="1" customWidth="1"/>
    <col min="11788" max="11788" width="12.53125" style="1" customWidth="1"/>
    <col min="11789" max="11789" width="6.33203125" style="1" bestFit="1" customWidth="1"/>
    <col min="11790" max="11790" width="11.53125" style="1" customWidth="1"/>
    <col min="11791" max="12029" width="9.33203125" style="1"/>
    <col min="12030" max="12030" width="15.6640625" style="1" customWidth="1"/>
    <col min="12031" max="12031" width="30.46484375" style="1" customWidth="1"/>
    <col min="12032" max="12043" width="10.6640625" style="1" customWidth="1"/>
    <col min="12044" max="12044" width="12.53125" style="1" customWidth="1"/>
    <col min="12045" max="12045" width="6.33203125" style="1" bestFit="1" customWidth="1"/>
    <col min="12046" max="12046" width="11.53125" style="1" customWidth="1"/>
    <col min="12047" max="12285" width="9.33203125" style="1"/>
    <col min="12286" max="12286" width="15.6640625" style="1" customWidth="1"/>
    <col min="12287" max="12287" width="30.46484375" style="1" customWidth="1"/>
    <col min="12288" max="12299" width="10.6640625" style="1" customWidth="1"/>
    <col min="12300" max="12300" width="12.53125" style="1" customWidth="1"/>
    <col min="12301" max="12301" width="6.33203125" style="1" bestFit="1" customWidth="1"/>
    <col min="12302" max="12302" width="11.53125" style="1" customWidth="1"/>
    <col min="12303" max="12541" width="9.33203125" style="1"/>
    <col min="12542" max="12542" width="15.6640625" style="1" customWidth="1"/>
    <col min="12543" max="12543" width="30.46484375" style="1" customWidth="1"/>
    <col min="12544" max="12555" width="10.6640625" style="1" customWidth="1"/>
    <col min="12556" max="12556" width="12.53125" style="1" customWidth="1"/>
    <col min="12557" max="12557" width="6.33203125" style="1" bestFit="1" customWidth="1"/>
    <col min="12558" max="12558" width="11.53125" style="1" customWidth="1"/>
    <col min="12559" max="12797" width="9.33203125" style="1"/>
    <col min="12798" max="12798" width="15.6640625" style="1" customWidth="1"/>
    <col min="12799" max="12799" width="30.46484375" style="1" customWidth="1"/>
    <col min="12800" max="12811" width="10.6640625" style="1" customWidth="1"/>
    <col min="12812" max="12812" width="12.53125" style="1" customWidth="1"/>
    <col min="12813" max="12813" width="6.33203125" style="1" bestFit="1" customWidth="1"/>
    <col min="12814" max="12814" width="11.53125" style="1" customWidth="1"/>
    <col min="12815" max="13053" width="9.33203125" style="1"/>
    <col min="13054" max="13054" width="15.6640625" style="1" customWidth="1"/>
    <col min="13055" max="13055" width="30.46484375" style="1" customWidth="1"/>
    <col min="13056" max="13067" width="10.6640625" style="1" customWidth="1"/>
    <col min="13068" max="13068" width="12.53125" style="1" customWidth="1"/>
    <col min="13069" max="13069" width="6.33203125" style="1" bestFit="1" customWidth="1"/>
    <col min="13070" max="13070" width="11.53125" style="1" customWidth="1"/>
    <col min="13071" max="13309" width="9.33203125" style="1"/>
    <col min="13310" max="13310" width="15.6640625" style="1" customWidth="1"/>
    <col min="13311" max="13311" width="30.46484375" style="1" customWidth="1"/>
    <col min="13312" max="13323" width="10.6640625" style="1" customWidth="1"/>
    <col min="13324" max="13324" width="12.53125" style="1" customWidth="1"/>
    <col min="13325" max="13325" width="6.33203125" style="1" bestFit="1" customWidth="1"/>
    <col min="13326" max="13326" width="11.53125" style="1" customWidth="1"/>
    <col min="13327" max="13565" width="9.33203125" style="1"/>
    <col min="13566" max="13566" width="15.6640625" style="1" customWidth="1"/>
    <col min="13567" max="13567" width="30.46484375" style="1" customWidth="1"/>
    <col min="13568" max="13579" width="10.6640625" style="1" customWidth="1"/>
    <col min="13580" max="13580" width="12.53125" style="1" customWidth="1"/>
    <col min="13581" max="13581" width="6.33203125" style="1" bestFit="1" customWidth="1"/>
    <col min="13582" max="13582" width="11.53125" style="1" customWidth="1"/>
    <col min="13583" max="13821" width="9.33203125" style="1"/>
    <col min="13822" max="13822" width="15.6640625" style="1" customWidth="1"/>
    <col min="13823" max="13823" width="30.46484375" style="1" customWidth="1"/>
    <col min="13824" max="13835" width="10.6640625" style="1" customWidth="1"/>
    <col min="13836" max="13836" width="12.53125" style="1" customWidth="1"/>
    <col min="13837" max="13837" width="6.33203125" style="1" bestFit="1" customWidth="1"/>
    <col min="13838" max="13838" width="11.53125" style="1" customWidth="1"/>
    <col min="13839" max="14077" width="9.33203125" style="1"/>
    <col min="14078" max="14078" width="15.6640625" style="1" customWidth="1"/>
    <col min="14079" max="14079" width="30.46484375" style="1" customWidth="1"/>
    <col min="14080" max="14091" width="10.6640625" style="1" customWidth="1"/>
    <col min="14092" max="14092" width="12.53125" style="1" customWidth="1"/>
    <col min="14093" max="14093" width="6.33203125" style="1" bestFit="1" customWidth="1"/>
    <col min="14094" max="14094" width="11.53125" style="1" customWidth="1"/>
    <col min="14095" max="14333" width="9.33203125" style="1"/>
    <col min="14334" max="14334" width="15.6640625" style="1" customWidth="1"/>
    <col min="14335" max="14335" width="30.46484375" style="1" customWidth="1"/>
    <col min="14336" max="14347" width="10.6640625" style="1" customWidth="1"/>
    <col min="14348" max="14348" width="12.53125" style="1" customWidth="1"/>
    <col min="14349" max="14349" width="6.33203125" style="1" bestFit="1" customWidth="1"/>
    <col min="14350" max="14350" width="11.53125" style="1" customWidth="1"/>
    <col min="14351" max="14589" width="9.33203125" style="1"/>
    <col min="14590" max="14590" width="15.6640625" style="1" customWidth="1"/>
    <col min="14591" max="14591" width="30.46484375" style="1" customWidth="1"/>
    <col min="14592" max="14603" width="10.6640625" style="1" customWidth="1"/>
    <col min="14604" max="14604" width="12.53125" style="1" customWidth="1"/>
    <col min="14605" max="14605" width="6.33203125" style="1" bestFit="1" customWidth="1"/>
    <col min="14606" max="14606" width="11.53125" style="1" customWidth="1"/>
    <col min="14607" max="14845" width="9.33203125" style="1"/>
    <col min="14846" max="14846" width="15.6640625" style="1" customWidth="1"/>
    <col min="14847" max="14847" width="30.46484375" style="1" customWidth="1"/>
    <col min="14848" max="14859" width="10.6640625" style="1" customWidth="1"/>
    <col min="14860" max="14860" width="12.53125" style="1" customWidth="1"/>
    <col min="14861" max="14861" width="6.33203125" style="1" bestFit="1" customWidth="1"/>
    <col min="14862" max="14862" width="11.53125" style="1" customWidth="1"/>
    <col min="14863" max="15101" width="9.33203125" style="1"/>
    <col min="15102" max="15102" width="15.6640625" style="1" customWidth="1"/>
    <col min="15103" max="15103" width="30.46484375" style="1" customWidth="1"/>
    <col min="15104" max="15115" width="10.6640625" style="1" customWidth="1"/>
    <col min="15116" max="15116" width="12.53125" style="1" customWidth="1"/>
    <col min="15117" max="15117" width="6.33203125" style="1" bestFit="1" customWidth="1"/>
    <col min="15118" max="15118" width="11.53125" style="1" customWidth="1"/>
    <col min="15119" max="15357" width="9.33203125" style="1"/>
    <col min="15358" max="15358" width="15.6640625" style="1" customWidth="1"/>
    <col min="15359" max="15359" width="30.46484375" style="1" customWidth="1"/>
    <col min="15360" max="15371" width="10.6640625" style="1" customWidth="1"/>
    <col min="15372" max="15372" width="12.53125" style="1" customWidth="1"/>
    <col min="15373" max="15373" width="6.33203125" style="1" bestFit="1" customWidth="1"/>
    <col min="15374" max="15374" width="11.53125" style="1" customWidth="1"/>
    <col min="15375" max="15613" width="9.33203125" style="1"/>
    <col min="15614" max="15614" width="15.6640625" style="1" customWidth="1"/>
    <col min="15615" max="15615" width="30.46484375" style="1" customWidth="1"/>
    <col min="15616" max="15627" width="10.6640625" style="1" customWidth="1"/>
    <col min="15628" max="15628" width="12.53125" style="1" customWidth="1"/>
    <col min="15629" max="15629" width="6.33203125" style="1" bestFit="1" customWidth="1"/>
    <col min="15630" max="15630" width="11.53125" style="1" customWidth="1"/>
    <col min="15631" max="15869" width="9.33203125" style="1"/>
    <col min="15870" max="15870" width="15.6640625" style="1" customWidth="1"/>
    <col min="15871" max="15871" width="30.46484375" style="1" customWidth="1"/>
    <col min="15872" max="15883" width="10.6640625" style="1" customWidth="1"/>
    <col min="15884" max="15884" width="12.53125" style="1" customWidth="1"/>
    <col min="15885" max="15885" width="6.33203125" style="1" bestFit="1" customWidth="1"/>
    <col min="15886" max="15886" width="11.53125" style="1" customWidth="1"/>
    <col min="15887" max="16125" width="9.33203125" style="1"/>
    <col min="16126" max="16126" width="15.6640625" style="1" customWidth="1"/>
    <col min="16127" max="16127" width="30.46484375" style="1" customWidth="1"/>
    <col min="16128" max="16139" width="10.6640625" style="1" customWidth="1"/>
    <col min="16140" max="16140" width="12.53125" style="1" customWidth="1"/>
    <col min="16141" max="16141" width="6.33203125" style="1" bestFit="1" customWidth="1"/>
    <col min="16142" max="16142" width="11.53125" style="1" customWidth="1"/>
    <col min="16143" max="16384" width="9.33203125" style="1"/>
  </cols>
  <sheetData>
    <row r="2" spans="2:18" x14ac:dyDescent="0.4">
      <c r="B2" s="1875" t="str">
        <f>+Index!$B$2</f>
        <v>Nidar Utilities Panvel LLP</v>
      </c>
      <c r="C2" s="1875"/>
      <c r="D2" s="1875"/>
      <c r="E2" s="1875"/>
      <c r="F2" s="1875"/>
      <c r="G2" s="1875"/>
      <c r="H2" s="1875"/>
      <c r="I2" s="1875"/>
      <c r="J2" s="1875"/>
      <c r="K2" s="1875"/>
      <c r="L2" s="1875"/>
      <c r="M2" s="1875"/>
      <c r="N2" s="1875"/>
      <c r="O2" s="1875"/>
    </row>
    <row r="3" spans="2:18" x14ac:dyDescent="0.4">
      <c r="B3" s="1875" t="s">
        <v>107</v>
      </c>
      <c r="C3" s="1875"/>
      <c r="D3" s="1875"/>
      <c r="E3" s="1875"/>
      <c r="F3" s="1875"/>
      <c r="G3" s="1875"/>
      <c r="H3" s="1875"/>
      <c r="I3" s="1875"/>
      <c r="J3" s="1875"/>
      <c r="K3" s="1875"/>
      <c r="L3" s="1875"/>
      <c r="M3" s="1875"/>
      <c r="N3" s="1875"/>
      <c r="O3" s="1875"/>
    </row>
    <row r="4" spans="2:18" x14ac:dyDescent="0.4">
      <c r="B4" s="1875" t="s">
        <v>1138</v>
      </c>
      <c r="C4" s="1875"/>
      <c r="D4" s="1875"/>
      <c r="E4" s="1875"/>
      <c r="F4" s="1875"/>
      <c r="G4" s="1875"/>
      <c r="H4" s="1875"/>
      <c r="I4" s="1875"/>
      <c r="J4" s="1875"/>
      <c r="K4" s="1875"/>
      <c r="L4" s="1875"/>
      <c r="M4" s="1875"/>
      <c r="N4" s="1875"/>
      <c r="O4" s="1875"/>
    </row>
    <row r="5" spans="2:18" x14ac:dyDescent="0.4">
      <c r="B5" s="12"/>
      <c r="C5" s="8"/>
      <c r="D5" s="8"/>
      <c r="E5" s="8"/>
      <c r="F5" s="8"/>
      <c r="G5" s="8"/>
      <c r="H5" s="8"/>
      <c r="I5" s="8"/>
      <c r="J5" s="8"/>
      <c r="K5" s="8"/>
      <c r="L5" s="8"/>
      <c r="M5" s="8"/>
      <c r="N5" s="8"/>
      <c r="O5" s="8"/>
    </row>
    <row r="6" spans="2:18" x14ac:dyDescent="0.4">
      <c r="B6" s="12"/>
      <c r="C6" s="8"/>
      <c r="D6" s="8"/>
      <c r="E6" s="8"/>
      <c r="F6" s="8"/>
      <c r="G6" s="8"/>
      <c r="H6" s="8"/>
      <c r="I6" s="8"/>
      <c r="J6" s="8"/>
      <c r="K6" s="8"/>
      <c r="L6" s="8"/>
      <c r="M6" s="8"/>
      <c r="N6" s="8"/>
      <c r="O6" s="8"/>
    </row>
    <row r="7" spans="2:18" x14ac:dyDescent="0.4">
      <c r="B7" s="32" t="s">
        <v>159</v>
      </c>
      <c r="C7" s="8"/>
      <c r="D7" s="8"/>
      <c r="E7" s="8"/>
      <c r="F7" s="8"/>
      <c r="G7" s="8"/>
      <c r="H7" s="8"/>
      <c r="I7" s="8"/>
      <c r="J7" s="8"/>
      <c r="K7" s="8"/>
      <c r="L7" s="8"/>
      <c r="M7" s="8"/>
      <c r="N7" s="8"/>
      <c r="O7" s="4"/>
    </row>
    <row r="8" spans="2:18" x14ac:dyDescent="0.4">
      <c r="B8" s="32"/>
      <c r="C8" s="8"/>
      <c r="D8" s="8"/>
      <c r="E8" s="8"/>
      <c r="F8" s="8"/>
      <c r="G8" s="8"/>
      <c r="H8" s="8"/>
      <c r="I8" s="8"/>
      <c r="J8" s="8"/>
      <c r="K8" s="8"/>
      <c r="L8" s="8"/>
      <c r="M8" s="8"/>
      <c r="N8" s="8"/>
      <c r="O8" s="4"/>
    </row>
    <row r="9" spans="2:18" x14ac:dyDescent="0.4">
      <c r="B9" s="1947" t="s">
        <v>160</v>
      </c>
      <c r="C9" s="98" t="s">
        <v>196</v>
      </c>
      <c r="D9" s="98" t="s">
        <v>197</v>
      </c>
      <c r="E9" s="98" t="s">
        <v>198</v>
      </c>
      <c r="F9" s="98" t="s">
        <v>199</v>
      </c>
      <c r="G9" s="358" t="s">
        <v>112</v>
      </c>
      <c r="H9" s="358" t="s">
        <v>113</v>
      </c>
      <c r="I9" s="358" t="s">
        <v>114</v>
      </c>
      <c r="J9" s="1934" t="s">
        <v>1019</v>
      </c>
      <c r="K9" s="1935"/>
      <c r="L9" s="1935"/>
      <c r="M9" s="1935"/>
      <c r="N9" s="1936"/>
      <c r="O9" s="363"/>
    </row>
    <row r="10" spans="2:18" ht="27.6" customHeight="1" x14ac:dyDescent="0.4">
      <c r="B10" s="1947"/>
      <c r="C10" s="1934" t="s">
        <v>117</v>
      </c>
      <c r="D10" s="1935"/>
      <c r="E10" s="1935"/>
      <c r="F10" s="1935"/>
      <c r="G10" s="1935"/>
      <c r="H10" s="1935"/>
      <c r="I10" s="1936"/>
      <c r="J10" s="217" t="s">
        <v>123</v>
      </c>
      <c r="K10" s="217" t="s">
        <v>124</v>
      </c>
      <c r="L10" s="217" t="s">
        <v>125</v>
      </c>
      <c r="M10" s="217" t="s">
        <v>126</v>
      </c>
      <c r="N10" s="217" t="s">
        <v>127</v>
      </c>
      <c r="O10" s="217"/>
    </row>
    <row r="11" spans="2:18" x14ac:dyDescent="0.4">
      <c r="B11" s="517" t="s">
        <v>161</v>
      </c>
      <c r="C11" s="78"/>
      <c r="D11" s="78"/>
      <c r="E11" s="78"/>
      <c r="F11" s="3"/>
      <c r="G11" s="3"/>
      <c r="H11" s="2"/>
      <c r="I11" s="43"/>
      <c r="J11" s="44"/>
      <c r="K11" s="124"/>
      <c r="L11" s="124"/>
      <c r="M11" s="2"/>
      <c r="N11" s="2"/>
      <c r="O11" s="2"/>
    </row>
    <row r="12" spans="2:18" x14ac:dyDescent="0.4">
      <c r="B12" s="429" t="s">
        <v>1129</v>
      </c>
      <c r="C12" s="523">
        <f>+O47</f>
        <v>0</v>
      </c>
      <c r="D12" s="523">
        <f>+O75</f>
        <v>0</v>
      </c>
      <c r="E12" s="551">
        <f>+O104</f>
        <v>1.44E-2</v>
      </c>
      <c r="F12" s="565">
        <f>+O134</f>
        <v>13.381979999999999</v>
      </c>
      <c r="G12" s="565">
        <f>+O165</f>
        <v>21.446820000000002</v>
      </c>
      <c r="H12" s="565">
        <f>+O197</f>
        <v>33.8577600156</v>
      </c>
      <c r="I12" s="565">
        <f>+O230</f>
        <v>73.164360000000002</v>
      </c>
      <c r="J12" s="529">
        <f>+O262</f>
        <v>130.57773500000002</v>
      </c>
      <c r="K12" s="564">
        <f>+O290</f>
        <v>162.74159900000001</v>
      </c>
      <c r="L12" s="564">
        <f>+O318</f>
        <v>203.31539899999999</v>
      </c>
      <c r="M12" s="529">
        <f>+O346</f>
        <v>243.94679900000003</v>
      </c>
      <c r="N12" s="529">
        <f>+O374</f>
        <v>264.970799</v>
      </c>
      <c r="O12" s="2"/>
      <c r="R12" s="562"/>
    </row>
    <row r="13" spans="2:18" x14ac:dyDescent="0.4">
      <c r="B13" s="429" t="s">
        <v>1130</v>
      </c>
      <c r="C13" s="527">
        <f>+O48</f>
        <v>1.0070348</v>
      </c>
      <c r="D13" s="523">
        <f>+O76</f>
        <v>1.86831243</v>
      </c>
      <c r="E13" s="551">
        <f>+O105</f>
        <v>6.8380711400000012</v>
      </c>
      <c r="F13" s="565">
        <f>+O135</f>
        <v>1.3603304818999999</v>
      </c>
      <c r="G13" s="565">
        <f>+O166</f>
        <v>0.31088268000000002</v>
      </c>
      <c r="H13" s="565">
        <f>+O198</f>
        <v>0.34753758999999995</v>
      </c>
      <c r="I13" s="565">
        <f>+O231</f>
        <v>0.4924518</v>
      </c>
      <c r="J13" s="529">
        <f>+O263</f>
        <v>0.62262236209784638</v>
      </c>
      <c r="K13" s="564">
        <f>+O291</f>
        <v>0.74714683451741581</v>
      </c>
      <c r="L13" s="564">
        <f>+O319</f>
        <v>0.74714683451741581</v>
      </c>
      <c r="M13" s="529">
        <f>+O347</f>
        <v>0.99619577935655423</v>
      </c>
      <c r="N13" s="529">
        <f>+O375</f>
        <v>0.99619577935655412</v>
      </c>
      <c r="O13" s="2"/>
      <c r="R13" s="562"/>
    </row>
    <row r="14" spans="2:18" x14ac:dyDescent="0.4">
      <c r="B14" s="429" t="s">
        <v>1131</v>
      </c>
      <c r="C14" s="527">
        <f>+O49</f>
        <v>0</v>
      </c>
      <c r="D14" s="523">
        <f>+O77</f>
        <v>0.56330367000000003</v>
      </c>
      <c r="E14" s="551">
        <f>+O106</f>
        <v>0</v>
      </c>
      <c r="F14" s="565">
        <f>+O136</f>
        <v>0</v>
      </c>
      <c r="G14" s="565">
        <f>+O167</f>
        <v>0</v>
      </c>
      <c r="H14" s="565">
        <f>+O199</f>
        <v>0</v>
      </c>
      <c r="I14" s="565">
        <f>+O232</f>
        <v>0</v>
      </c>
      <c r="J14" s="529">
        <f>+O264</f>
        <v>0</v>
      </c>
      <c r="K14" s="564">
        <f>+O292</f>
        <v>0</v>
      </c>
      <c r="L14" s="564">
        <f>+O320</f>
        <v>0</v>
      </c>
      <c r="M14" s="529">
        <f>+O348</f>
        <v>0</v>
      </c>
      <c r="N14" s="529">
        <f>+O376</f>
        <v>0</v>
      </c>
      <c r="O14" s="2"/>
      <c r="R14" s="562"/>
    </row>
    <row r="15" spans="2:18" x14ac:dyDescent="0.4">
      <c r="B15" s="429" t="s">
        <v>1132</v>
      </c>
      <c r="C15" s="527">
        <f>+O50</f>
        <v>0</v>
      </c>
      <c r="D15" s="523">
        <f>+O78</f>
        <v>0</v>
      </c>
      <c r="E15" s="551">
        <f>+O107</f>
        <v>0</v>
      </c>
      <c r="F15" s="565">
        <f>+O137</f>
        <v>0</v>
      </c>
      <c r="G15" s="565">
        <f>+O168</f>
        <v>0</v>
      </c>
      <c r="H15" s="565">
        <f>+O200</f>
        <v>0</v>
      </c>
      <c r="I15" s="565">
        <f>+O233</f>
        <v>0</v>
      </c>
      <c r="J15" s="529">
        <f>+O265</f>
        <v>0</v>
      </c>
      <c r="K15" s="564">
        <f>+O293</f>
        <v>0</v>
      </c>
      <c r="L15" s="564">
        <f>+O321</f>
        <v>0</v>
      </c>
      <c r="M15" s="529">
        <f>+O349</f>
        <v>0</v>
      </c>
      <c r="N15" s="529">
        <f>+O377</f>
        <v>0</v>
      </c>
      <c r="O15" s="2"/>
      <c r="R15" s="562"/>
    </row>
    <row r="16" spans="2:18" x14ac:dyDescent="0.4">
      <c r="B16" s="518" t="s">
        <v>162</v>
      </c>
      <c r="C16" s="532">
        <f>SUM(C12:C15)</f>
        <v>1.0070348</v>
      </c>
      <c r="D16" s="532">
        <f t="shared" ref="D16:N16" si="0">SUM(D12:D15)</f>
        <v>2.4316161000000003</v>
      </c>
      <c r="E16" s="532">
        <f t="shared" si="0"/>
        <v>6.8524711400000013</v>
      </c>
      <c r="F16" s="532">
        <f t="shared" si="0"/>
        <v>14.742310481899999</v>
      </c>
      <c r="G16" s="532">
        <f t="shared" si="0"/>
        <v>21.757702680000001</v>
      </c>
      <c r="H16" s="532">
        <f t="shared" si="0"/>
        <v>34.205297605600002</v>
      </c>
      <c r="I16" s="532">
        <f t="shared" si="0"/>
        <v>73.6568118</v>
      </c>
      <c r="J16" s="532">
        <f t="shared" si="0"/>
        <v>131.20035736209786</v>
      </c>
      <c r="K16" s="532">
        <f t="shared" si="0"/>
        <v>163.48874583451743</v>
      </c>
      <c r="L16" s="532">
        <f t="shared" si="0"/>
        <v>204.06254583451741</v>
      </c>
      <c r="M16" s="532">
        <f t="shared" si="0"/>
        <v>244.94299477935658</v>
      </c>
      <c r="N16" s="532">
        <f t="shared" si="0"/>
        <v>265.96699477935653</v>
      </c>
      <c r="O16" s="2"/>
      <c r="R16" s="562"/>
    </row>
    <row r="17" spans="2:18" x14ac:dyDescent="0.4">
      <c r="B17" s="517" t="s">
        <v>163</v>
      </c>
      <c r="C17" s="533"/>
      <c r="D17" s="533"/>
      <c r="E17" s="533"/>
      <c r="F17" s="528"/>
      <c r="G17" s="528"/>
      <c r="H17" s="529"/>
      <c r="I17" s="528"/>
      <c r="J17" s="528"/>
      <c r="K17" s="530"/>
      <c r="L17" s="530"/>
      <c r="M17" s="529"/>
      <c r="N17" s="529"/>
      <c r="O17" s="2"/>
      <c r="R17" s="562"/>
    </row>
    <row r="18" spans="2:18" x14ac:dyDescent="0.4">
      <c r="B18" s="519" t="s">
        <v>1133</v>
      </c>
      <c r="C18" s="527"/>
      <c r="D18" s="527"/>
      <c r="E18" s="527"/>
      <c r="F18" s="528"/>
      <c r="G18" s="528"/>
      <c r="H18" s="529"/>
      <c r="I18" s="528"/>
      <c r="J18" s="528"/>
      <c r="K18" s="530"/>
      <c r="L18" s="530"/>
      <c r="M18" s="529"/>
      <c r="N18" s="529"/>
      <c r="O18" s="2"/>
      <c r="R18" s="562"/>
    </row>
    <row r="19" spans="2:18" x14ac:dyDescent="0.4">
      <c r="B19" s="520" t="s">
        <v>1106</v>
      </c>
      <c r="C19" s="527">
        <f>+O54</f>
        <v>3.6902539999999984E-2</v>
      </c>
      <c r="D19" s="523">
        <f>+O82</f>
        <v>4.5234989999999996E-2</v>
      </c>
      <c r="E19" s="551">
        <f t="shared" ref="E19:E26" si="1">+O111</f>
        <v>0.17605925</v>
      </c>
      <c r="F19" s="565">
        <f t="shared" ref="F19:F26" si="2">+O141</f>
        <v>0.34350700000000006</v>
      </c>
      <c r="G19" s="565">
        <f t="shared" ref="G19:G31" si="3">+O172</f>
        <v>0.60887500000000006</v>
      </c>
      <c r="H19" s="565">
        <f t="shared" ref="H19:H31" si="4">+O204</f>
        <v>0.93132999999999988</v>
      </c>
      <c r="I19" s="565">
        <f t="shared" ref="I19:I31" si="5">+O237</f>
        <v>1.2685139999999999</v>
      </c>
      <c r="J19" s="529">
        <f t="shared" ref="J19:J31" si="6">+O269</f>
        <v>1.6685011957773752</v>
      </c>
      <c r="K19" s="564">
        <f t="shared" ref="K19:K31" si="7">+O297</f>
        <v>2.0022014349328505</v>
      </c>
      <c r="L19" s="564">
        <f t="shared" ref="L19:L31" si="8">+O325</f>
        <v>2.0022014349328505</v>
      </c>
      <c r="M19" s="529">
        <f t="shared" ref="M19:M31" si="9">+O353</f>
        <v>2.6696019132437998</v>
      </c>
      <c r="N19" s="529">
        <f t="shared" ref="N19:N31" si="10">+O381</f>
        <v>2.6696019132438007</v>
      </c>
      <c r="O19" s="2"/>
      <c r="R19" s="562"/>
    </row>
    <row r="20" spans="2:18" x14ac:dyDescent="0.4">
      <c r="B20" s="520" t="s">
        <v>1107</v>
      </c>
      <c r="C20" s="527">
        <f>+O55</f>
        <v>2.9829460000000016E-2</v>
      </c>
      <c r="D20" s="523">
        <f>+O83</f>
        <v>8.3919010000000002E-2</v>
      </c>
      <c r="E20" s="551">
        <f t="shared" si="1"/>
        <v>0.13921244499999999</v>
      </c>
      <c r="F20" s="565">
        <f t="shared" si="2"/>
        <v>0.29010199999999997</v>
      </c>
      <c r="G20" s="565">
        <f t="shared" si="3"/>
        <v>0.58151600000000014</v>
      </c>
      <c r="H20" s="565">
        <f t="shared" si="4"/>
        <v>0.90188899999999994</v>
      </c>
      <c r="I20" s="565">
        <f t="shared" si="5"/>
        <v>1.3396719999999998</v>
      </c>
      <c r="J20" s="529">
        <f t="shared" si="6"/>
        <v>1.6157569013759479</v>
      </c>
      <c r="K20" s="564">
        <f t="shared" si="7"/>
        <v>1.9389082816511378</v>
      </c>
      <c r="L20" s="564">
        <f t="shared" si="8"/>
        <v>1.9389082816511376</v>
      </c>
      <c r="M20" s="529">
        <f t="shared" si="9"/>
        <v>2.5852110422015162</v>
      </c>
      <c r="N20" s="529">
        <f t="shared" si="10"/>
        <v>2.5852110422015158</v>
      </c>
      <c r="O20" s="2"/>
      <c r="R20" s="562"/>
    </row>
    <row r="21" spans="2:18" x14ac:dyDescent="0.4">
      <c r="B21" s="520" t="s">
        <v>1108</v>
      </c>
      <c r="C21" s="527">
        <f>+O56</f>
        <v>6.0957200000000007E-3</v>
      </c>
      <c r="D21" s="523">
        <f>+O84</f>
        <v>3.5031049999999994E-2</v>
      </c>
      <c r="E21" s="551">
        <f t="shared" si="1"/>
        <v>4.2151488999999993E-2</v>
      </c>
      <c r="F21" s="565">
        <f t="shared" si="2"/>
        <v>9.0147000000000005E-2</v>
      </c>
      <c r="G21" s="565">
        <f t="shared" si="3"/>
        <v>0.19316800000000001</v>
      </c>
      <c r="H21" s="565">
        <f t="shared" si="4"/>
        <v>0.31589299999999998</v>
      </c>
      <c r="I21" s="565">
        <f t="shared" si="5"/>
        <v>0.51790599999999987</v>
      </c>
      <c r="J21" s="529">
        <f t="shared" si="6"/>
        <v>0.56593028060698414</v>
      </c>
      <c r="K21" s="564">
        <f t="shared" si="7"/>
        <v>0.67911633672838101</v>
      </c>
      <c r="L21" s="564">
        <f t="shared" si="8"/>
        <v>0.67911633672838123</v>
      </c>
      <c r="M21" s="529">
        <f t="shared" si="9"/>
        <v>0.90548844897117431</v>
      </c>
      <c r="N21" s="529">
        <f t="shared" si="10"/>
        <v>0.90548844897117453</v>
      </c>
      <c r="O21" s="2"/>
      <c r="R21" s="562"/>
    </row>
    <row r="22" spans="2:18" x14ac:dyDescent="0.4">
      <c r="B22" s="520" t="s">
        <v>1109</v>
      </c>
      <c r="C22" s="527">
        <f>+O57</f>
        <v>7.2720199999999997E-3</v>
      </c>
      <c r="D22" s="523">
        <f>+O85</f>
        <v>3.430271E-2</v>
      </c>
      <c r="E22" s="551">
        <f t="shared" si="1"/>
        <v>0.49055880999999996</v>
      </c>
      <c r="F22" s="565">
        <f t="shared" si="2"/>
        <v>0.84930899999999998</v>
      </c>
      <c r="G22" s="565">
        <f t="shared" si="3"/>
        <v>1.5647049999999998</v>
      </c>
      <c r="H22" s="565">
        <f t="shared" si="4"/>
        <v>1.8567230000000001</v>
      </c>
      <c r="I22" s="565">
        <f t="shared" si="5"/>
        <v>1.9953139999999996</v>
      </c>
      <c r="J22" s="529">
        <f t="shared" si="6"/>
        <v>3.3263661062430678</v>
      </c>
      <c r="K22" s="564">
        <f t="shared" si="7"/>
        <v>3.9916393274916824</v>
      </c>
      <c r="L22" s="564">
        <f t="shared" si="8"/>
        <v>3.991639327491681</v>
      </c>
      <c r="M22" s="529">
        <f t="shared" si="9"/>
        <v>5.3221857699889075</v>
      </c>
      <c r="N22" s="529">
        <f t="shared" si="10"/>
        <v>5.3221857699889075</v>
      </c>
      <c r="O22" s="2"/>
      <c r="R22" s="562"/>
    </row>
    <row r="23" spans="2:18" x14ac:dyDescent="0.4">
      <c r="B23" s="520" t="s">
        <v>1110</v>
      </c>
      <c r="C23" s="527">
        <f>+O58</f>
        <v>3.8889259999999995E-2</v>
      </c>
      <c r="D23" s="523">
        <f>+O86</f>
        <v>0.30698021999999997</v>
      </c>
      <c r="E23" s="551">
        <f t="shared" si="1"/>
        <v>0</v>
      </c>
      <c r="F23" s="565">
        <f t="shared" si="2"/>
        <v>0</v>
      </c>
      <c r="G23" s="565">
        <f t="shared" si="3"/>
        <v>0</v>
      </c>
      <c r="H23" s="565">
        <f t="shared" si="4"/>
        <v>0</v>
      </c>
      <c r="I23" s="565">
        <f t="shared" si="5"/>
        <v>0</v>
      </c>
      <c r="J23" s="529">
        <f t="shared" si="6"/>
        <v>0</v>
      </c>
      <c r="K23" s="564">
        <f t="shared" si="7"/>
        <v>0</v>
      </c>
      <c r="L23" s="564">
        <f t="shared" si="8"/>
        <v>0</v>
      </c>
      <c r="M23" s="529">
        <f t="shared" si="9"/>
        <v>0</v>
      </c>
      <c r="N23" s="529">
        <f t="shared" si="10"/>
        <v>0</v>
      </c>
      <c r="O23" s="2"/>
      <c r="R23" s="562"/>
    </row>
    <row r="24" spans="2:18" x14ac:dyDescent="0.4">
      <c r="B24" s="519" t="s">
        <v>1139</v>
      </c>
      <c r="C24" s="2"/>
      <c r="D24" s="2"/>
      <c r="E24" s="551">
        <f t="shared" si="1"/>
        <v>0</v>
      </c>
      <c r="F24" s="565">
        <f t="shared" si="2"/>
        <v>0</v>
      </c>
      <c r="G24" s="565">
        <f t="shared" si="3"/>
        <v>0</v>
      </c>
      <c r="H24" s="565">
        <f t="shared" si="4"/>
        <v>0</v>
      </c>
      <c r="I24" s="565">
        <f t="shared" si="5"/>
        <v>0</v>
      </c>
      <c r="J24" s="529">
        <f t="shared" si="6"/>
        <v>0</v>
      </c>
      <c r="K24" s="564">
        <f t="shared" si="7"/>
        <v>0</v>
      </c>
      <c r="L24" s="564">
        <f t="shared" si="8"/>
        <v>0</v>
      </c>
      <c r="M24" s="529">
        <f t="shared" si="9"/>
        <v>0</v>
      </c>
      <c r="N24" s="529">
        <f t="shared" si="10"/>
        <v>0</v>
      </c>
      <c r="O24" s="2"/>
      <c r="R24" s="562"/>
    </row>
    <row r="25" spans="2:18" x14ac:dyDescent="0.4">
      <c r="B25" s="520" t="s">
        <v>1140</v>
      </c>
      <c r="C25" s="527">
        <f>+O59</f>
        <v>0</v>
      </c>
      <c r="D25" s="523">
        <f>+O87</f>
        <v>1.8100000000000001E-4</v>
      </c>
      <c r="E25" s="551">
        <f t="shared" si="1"/>
        <v>8.8260000000000005E-3</v>
      </c>
      <c r="F25" s="565">
        <f t="shared" si="2"/>
        <v>4.0835999999999997E-2</v>
      </c>
      <c r="G25" s="565">
        <f t="shared" si="3"/>
        <v>7.4553000000000008E-2</v>
      </c>
      <c r="H25" s="565">
        <f t="shared" si="4"/>
        <v>0.15646300000000002</v>
      </c>
      <c r="I25" s="565">
        <f t="shared" si="5"/>
        <v>0.25776300000000002</v>
      </c>
      <c r="J25" s="529">
        <f t="shared" si="6"/>
        <v>0.28030741261949632</v>
      </c>
      <c r="K25" s="564">
        <f t="shared" si="7"/>
        <v>0.33636889514339563</v>
      </c>
      <c r="L25" s="564">
        <f t="shared" si="8"/>
        <v>0.33636889514339563</v>
      </c>
      <c r="M25" s="529">
        <f t="shared" si="9"/>
        <v>0.44849186019119414</v>
      </c>
      <c r="N25" s="529">
        <f t="shared" si="10"/>
        <v>0.44849186019119414</v>
      </c>
      <c r="O25" s="2"/>
      <c r="R25" s="562"/>
    </row>
    <row r="26" spans="2:18" x14ac:dyDescent="0.4">
      <c r="B26" s="520" t="s">
        <v>1144</v>
      </c>
      <c r="C26" s="527">
        <f>+O60</f>
        <v>0</v>
      </c>
      <c r="D26" s="523">
        <f>+O88</f>
        <v>0</v>
      </c>
      <c r="E26" s="551">
        <f t="shared" si="1"/>
        <v>0</v>
      </c>
      <c r="F26" s="565">
        <f t="shared" si="2"/>
        <v>0.12834783</v>
      </c>
      <c r="G26" s="565">
        <f t="shared" si="3"/>
        <v>0.30945506229999997</v>
      </c>
      <c r="H26" s="565">
        <f t="shared" si="4"/>
        <v>0.27486611</v>
      </c>
      <c r="I26" s="565">
        <f t="shared" si="5"/>
        <v>0.48194874999999998</v>
      </c>
      <c r="J26" s="529">
        <f t="shared" si="6"/>
        <v>0.49242957191723197</v>
      </c>
      <c r="K26" s="564">
        <f t="shared" si="7"/>
        <v>0.59091548630067836</v>
      </c>
      <c r="L26" s="564">
        <f t="shared" si="8"/>
        <v>0.59091548630067836</v>
      </c>
      <c r="M26" s="529">
        <f t="shared" si="9"/>
        <v>0.78788731506757104</v>
      </c>
      <c r="N26" s="529">
        <f t="shared" si="10"/>
        <v>0.78788731506757104</v>
      </c>
      <c r="O26" s="2"/>
      <c r="R26" s="562"/>
    </row>
    <row r="27" spans="2:18" x14ac:dyDescent="0.4">
      <c r="B27" s="520" t="s">
        <v>1143</v>
      </c>
      <c r="C27" s="527"/>
      <c r="D27" s="523"/>
      <c r="E27" s="551"/>
      <c r="F27" s="565"/>
      <c r="G27" s="565">
        <f t="shared" si="3"/>
        <v>6.9497249999999997E-2</v>
      </c>
      <c r="H27" s="565">
        <f t="shared" si="4"/>
        <v>8.1854079999999996E-2</v>
      </c>
      <c r="I27" s="565">
        <f t="shared" si="5"/>
        <v>8.7541799999999989E-2</v>
      </c>
      <c r="J27" s="529">
        <f t="shared" si="6"/>
        <v>0.14664364979036104</v>
      </c>
      <c r="K27" s="564">
        <f t="shared" si="7"/>
        <v>0.17597237974843327</v>
      </c>
      <c r="L27" s="564">
        <f t="shared" si="8"/>
        <v>0.17597237974843327</v>
      </c>
      <c r="M27" s="529">
        <f t="shared" si="9"/>
        <v>0.23462983966457771</v>
      </c>
      <c r="N27" s="529">
        <f t="shared" si="10"/>
        <v>0.23462983966457771</v>
      </c>
      <c r="O27" s="2"/>
      <c r="R27" s="562"/>
    </row>
    <row r="28" spans="2:18" x14ac:dyDescent="0.4">
      <c r="B28" s="519" t="s">
        <v>1111</v>
      </c>
      <c r="C28" s="527">
        <f>+O60</f>
        <v>0</v>
      </c>
      <c r="D28" s="523">
        <f>+O88</f>
        <v>0</v>
      </c>
      <c r="E28" s="551">
        <f>+O119</f>
        <v>7.2580000000000006E-2</v>
      </c>
      <c r="F28" s="565">
        <f>+O149</f>
        <v>0.26699392</v>
      </c>
      <c r="G28" s="565">
        <f t="shared" si="3"/>
        <v>0.34130574200000002</v>
      </c>
      <c r="H28" s="565">
        <f t="shared" si="4"/>
        <v>0.45583488999999999</v>
      </c>
      <c r="I28" s="565">
        <f t="shared" si="5"/>
        <v>0.56095090999999997</v>
      </c>
      <c r="J28" s="529">
        <f t="shared" si="6"/>
        <v>0.81663970777495454</v>
      </c>
      <c r="K28" s="564">
        <f t="shared" si="7"/>
        <v>0.97996764932994562</v>
      </c>
      <c r="L28" s="564">
        <f t="shared" si="8"/>
        <v>0.97996764932994562</v>
      </c>
      <c r="M28" s="529">
        <f t="shared" si="9"/>
        <v>1.3066235324399276</v>
      </c>
      <c r="N28" s="529">
        <f t="shared" si="10"/>
        <v>1.3066235324399273</v>
      </c>
      <c r="O28" s="2"/>
      <c r="R28" s="562"/>
    </row>
    <row r="29" spans="2:18" x14ac:dyDescent="0.4">
      <c r="B29" s="519" t="s">
        <v>1135</v>
      </c>
      <c r="C29" s="527">
        <f>+O61</f>
        <v>5.5825E-2</v>
      </c>
      <c r="D29" s="523">
        <f>+O89</f>
        <v>0.12328399999999998</v>
      </c>
      <c r="E29" s="551">
        <f>+O120</f>
        <v>0.120709</v>
      </c>
      <c r="F29" s="565">
        <f>+O150</f>
        <v>0.13652400000000001</v>
      </c>
      <c r="G29" s="565">
        <f t="shared" si="3"/>
        <v>0.13664599999999999</v>
      </c>
      <c r="H29" s="565">
        <f t="shared" si="4"/>
        <v>0.16902500000000001</v>
      </c>
      <c r="I29" s="565">
        <f t="shared" si="5"/>
        <v>0.16315700000000005</v>
      </c>
      <c r="J29" s="529">
        <f t="shared" si="6"/>
        <v>0.30281255260355711</v>
      </c>
      <c r="K29" s="564">
        <f t="shared" si="7"/>
        <v>0.36337506312426865</v>
      </c>
      <c r="L29" s="564">
        <f t="shared" si="8"/>
        <v>0.3633750631242687</v>
      </c>
      <c r="M29" s="529">
        <f t="shared" si="9"/>
        <v>0.4845000841656914</v>
      </c>
      <c r="N29" s="529">
        <f t="shared" si="10"/>
        <v>0.4845000841656914</v>
      </c>
      <c r="O29" s="2"/>
      <c r="R29" s="562"/>
    </row>
    <row r="30" spans="2:18" x14ac:dyDescent="0.4">
      <c r="B30" s="519" t="s">
        <v>1136</v>
      </c>
      <c r="C30" s="527">
        <f>+O62</f>
        <v>0</v>
      </c>
      <c r="D30" s="523">
        <f>+O90</f>
        <v>1.318683E-2</v>
      </c>
      <c r="E30" s="551">
        <f>+O121</f>
        <v>6.4155000000000011E-3</v>
      </c>
      <c r="F30" s="565">
        <f>+O151</f>
        <v>3.8269799999999998E-3</v>
      </c>
      <c r="G30" s="565">
        <f t="shared" si="3"/>
        <v>0</v>
      </c>
      <c r="H30" s="565">
        <f t="shared" si="4"/>
        <v>0</v>
      </c>
      <c r="I30" s="565">
        <f t="shared" si="5"/>
        <v>0</v>
      </c>
      <c r="J30" s="529">
        <f t="shared" si="6"/>
        <v>0</v>
      </c>
      <c r="K30" s="564">
        <f t="shared" si="7"/>
        <v>0</v>
      </c>
      <c r="L30" s="564">
        <f t="shared" si="8"/>
        <v>0</v>
      </c>
      <c r="M30" s="529">
        <f t="shared" si="9"/>
        <v>0</v>
      </c>
      <c r="N30" s="529">
        <f t="shared" si="10"/>
        <v>0</v>
      </c>
      <c r="O30" s="2"/>
      <c r="R30" s="562"/>
    </row>
    <row r="31" spans="2:18" x14ac:dyDescent="0.4">
      <c r="B31" s="519" t="s">
        <v>1142</v>
      </c>
      <c r="C31" s="527"/>
      <c r="D31" s="523"/>
      <c r="E31" s="551"/>
      <c r="F31" s="565">
        <f>+O152</f>
        <v>1.8542E-4</v>
      </c>
      <c r="G31" s="565">
        <f t="shared" si="3"/>
        <v>1.778895E-3</v>
      </c>
      <c r="H31" s="565">
        <f t="shared" si="4"/>
        <v>9.4836839999999992E-3</v>
      </c>
      <c r="I31" s="565">
        <f t="shared" si="5"/>
        <v>3.2286402999999991E-2</v>
      </c>
      <c r="J31" s="529">
        <f t="shared" si="6"/>
        <v>1.6990259193169731E-2</v>
      </c>
      <c r="K31" s="564">
        <f t="shared" si="7"/>
        <v>2.0388311031803674E-2</v>
      </c>
      <c r="L31" s="564">
        <f t="shared" si="8"/>
        <v>2.0388311031803674E-2</v>
      </c>
      <c r="M31" s="529">
        <f t="shared" si="9"/>
        <v>2.7184414709071562E-2</v>
      </c>
      <c r="N31" s="529">
        <f t="shared" si="10"/>
        <v>2.7184414709071562E-2</v>
      </c>
      <c r="O31" s="2"/>
      <c r="R31" s="562"/>
    </row>
    <row r="32" spans="2:18" x14ac:dyDescent="0.4">
      <c r="B32" s="518" t="s">
        <v>162</v>
      </c>
      <c r="C32" s="532">
        <f>SUM(C19:C31)</f>
        <v>0.174814</v>
      </c>
      <c r="D32" s="532">
        <f>SUM(D19:D31)</f>
        <v>0.64211980999999985</v>
      </c>
      <c r="E32" s="532">
        <f>SUM(E19:E31)</f>
        <v>1.0565124939999999</v>
      </c>
      <c r="F32" s="532">
        <f>SUM(F19:F31)</f>
        <v>2.1497791500000005</v>
      </c>
      <c r="G32" s="532">
        <f t="shared" ref="G32:N32" si="11">SUM(G19:G31)</f>
        <v>3.8814999492999998</v>
      </c>
      <c r="H32" s="532">
        <f t="shared" si="11"/>
        <v>5.1533617640000005</v>
      </c>
      <c r="I32" s="532">
        <f t="shared" si="11"/>
        <v>6.7050538629999989</v>
      </c>
      <c r="J32" s="532">
        <f t="shared" si="11"/>
        <v>9.2323776379021467</v>
      </c>
      <c r="K32" s="532">
        <f t="shared" si="11"/>
        <v>11.078853165482577</v>
      </c>
      <c r="L32" s="532">
        <f t="shared" si="11"/>
        <v>11.078853165482577</v>
      </c>
      <c r="M32" s="532">
        <f t="shared" si="11"/>
        <v>14.77180422064343</v>
      </c>
      <c r="N32" s="532">
        <f t="shared" si="11"/>
        <v>14.771804220643432</v>
      </c>
      <c r="O32" s="2"/>
      <c r="R32" s="562"/>
    </row>
    <row r="33" spans="2:18" x14ac:dyDescent="0.4">
      <c r="B33" s="521"/>
      <c r="C33" s="532"/>
      <c r="D33" s="532"/>
      <c r="E33" s="532"/>
      <c r="F33" s="529"/>
      <c r="G33" s="529"/>
      <c r="H33" s="529"/>
      <c r="I33" s="529"/>
      <c r="J33" s="529"/>
      <c r="K33" s="530"/>
      <c r="L33" s="530"/>
      <c r="M33" s="529"/>
      <c r="N33" s="529"/>
      <c r="O33" s="2"/>
      <c r="R33" s="562"/>
    </row>
    <row r="34" spans="2:18" x14ac:dyDescent="0.4">
      <c r="B34" s="43" t="s">
        <v>164</v>
      </c>
      <c r="C34" s="534">
        <f>+C32+C16</f>
        <v>1.1818488</v>
      </c>
      <c r="D34" s="534">
        <f t="shared" ref="D34:N34" si="12">+D32+D16</f>
        <v>3.0737359099999999</v>
      </c>
      <c r="E34" s="534">
        <f t="shared" si="12"/>
        <v>7.908983634000001</v>
      </c>
      <c r="F34" s="534">
        <f t="shared" si="12"/>
        <v>16.892089631899999</v>
      </c>
      <c r="G34" s="534">
        <f t="shared" si="12"/>
        <v>25.639202629300001</v>
      </c>
      <c r="H34" s="534">
        <f t="shared" si="12"/>
        <v>39.358659369600005</v>
      </c>
      <c r="I34" s="534">
        <f t="shared" si="12"/>
        <v>80.361865663000003</v>
      </c>
      <c r="J34" s="534">
        <f t="shared" si="12"/>
        <v>140.43273500000001</v>
      </c>
      <c r="K34" s="534">
        <f t="shared" si="12"/>
        <v>174.567599</v>
      </c>
      <c r="L34" s="534">
        <f t="shared" si="12"/>
        <v>215.14139899999998</v>
      </c>
      <c r="M34" s="534">
        <f t="shared" si="12"/>
        <v>259.71479900000003</v>
      </c>
      <c r="N34" s="534">
        <f t="shared" si="12"/>
        <v>280.73879899999997</v>
      </c>
      <c r="O34" s="2"/>
    </row>
    <row r="35" spans="2:18" x14ac:dyDescent="0.4">
      <c r="B35" s="118" t="s">
        <v>165</v>
      </c>
      <c r="D35" s="562">
        <f>+'F1 SEZ'!D34+'F1 Non-SEZ'!D34-D34</f>
        <v>0</v>
      </c>
      <c r="E35" s="562">
        <f>+'F1 SEZ'!E34+'F1 Non-SEZ'!E34-E34</f>
        <v>0</v>
      </c>
      <c r="F35" s="560">
        <f>+'F1 SEZ'!F34+'F1 Non-SEZ'!F34-F34</f>
        <v>0</v>
      </c>
      <c r="G35" s="562">
        <f>+'F1 SEZ'!G34+'F1 Non-SEZ'!G34-G34</f>
        <v>0</v>
      </c>
      <c r="H35" s="562">
        <f>+'F1 SEZ'!H34+'F1 Non-SEZ'!H34-H34</f>
        <v>0</v>
      </c>
      <c r="I35" s="562">
        <f>+'F1 SEZ'!I34+'F1 Non-SEZ'!I34-I34</f>
        <v>0</v>
      </c>
      <c r="J35" s="562">
        <f>+'F1 SEZ'!J34+'F1 Non-SEZ'!J34-J34</f>
        <v>0</v>
      </c>
      <c r="K35" s="562">
        <f>+'F1 SEZ'!K34+'F1 Non-SEZ'!K34-K34</f>
        <v>0</v>
      </c>
      <c r="L35" s="562">
        <f>+'F1 SEZ'!L34+'F1 Non-SEZ'!L34-L34</f>
        <v>0</v>
      </c>
      <c r="M35" s="562">
        <f>+'F1 SEZ'!M34+'F1 Non-SEZ'!M34-M34</f>
        <v>0</v>
      </c>
      <c r="N35" s="562">
        <f>+'F1 SEZ'!N34+'F1 Non-SEZ'!N34-N34</f>
        <v>0</v>
      </c>
    </row>
    <row r="36" spans="2:18" x14ac:dyDescent="0.4">
      <c r="B36" s="27" t="s">
        <v>166</v>
      </c>
    </row>
    <row r="37" spans="2:18" x14ac:dyDescent="0.4">
      <c r="B37" s="10" t="s">
        <v>167</v>
      </c>
    </row>
    <row r="38" spans="2:18" x14ac:dyDescent="0.4">
      <c r="B38" s="27" t="s">
        <v>168</v>
      </c>
    </row>
    <row r="39" spans="2:18" x14ac:dyDescent="0.4">
      <c r="B39" s="118"/>
    </row>
    <row r="40" spans="2:18" x14ac:dyDescent="0.4">
      <c r="B40" s="118"/>
    </row>
    <row r="41" spans="2:18" x14ac:dyDescent="0.4">
      <c r="B41" s="32" t="s">
        <v>169</v>
      </c>
    </row>
    <row r="42" spans="2:18" x14ac:dyDescent="0.4">
      <c r="B42" s="32"/>
    </row>
    <row r="43" spans="2:18" x14ac:dyDescent="0.4">
      <c r="B43" s="32" t="s">
        <v>1020</v>
      </c>
      <c r="C43" s="8"/>
      <c r="D43" s="8"/>
      <c r="E43" s="8"/>
      <c r="F43" s="8"/>
      <c r="G43" s="8"/>
      <c r="H43" s="8"/>
      <c r="I43" s="8"/>
      <c r="J43" s="8"/>
      <c r="K43" s="8"/>
      <c r="L43" s="8"/>
      <c r="M43" s="8"/>
      <c r="N43" s="8"/>
      <c r="O43" s="4"/>
    </row>
    <row r="44" spans="2:18" x14ac:dyDescent="0.4">
      <c r="B44" s="32"/>
      <c r="C44" s="38"/>
      <c r="D44" s="38"/>
      <c r="O44" s="38" t="s">
        <v>171</v>
      </c>
    </row>
    <row r="45" spans="2:18" x14ac:dyDescent="0.4">
      <c r="B45" s="98" t="s">
        <v>160</v>
      </c>
      <c r="C45" s="98" t="s">
        <v>172</v>
      </c>
      <c r="D45" s="98" t="s">
        <v>173</v>
      </c>
      <c r="E45" s="98" t="s">
        <v>174</v>
      </c>
      <c r="F45" s="98" t="s">
        <v>175</v>
      </c>
      <c r="G45" s="98" t="s">
        <v>176</v>
      </c>
      <c r="H45" s="98" t="s">
        <v>177</v>
      </c>
      <c r="I45" s="98" t="s">
        <v>178</v>
      </c>
      <c r="J45" s="98" t="s">
        <v>179</v>
      </c>
      <c r="K45" s="98" t="s">
        <v>180</v>
      </c>
      <c r="L45" s="98" t="s">
        <v>181</v>
      </c>
      <c r="M45" s="98" t="s">
        <v>182</v>
      </c>
      <c r="N45" s="98" t="s">
        <v>183</v>
      </c>
      <c r="O45" s="98" t="s">
        <v>164</v>
      </c>
    </row>
    <row r="46" spans="2:18" ht="13.8" customHeight="1" x14ac:dyDescent="0.4">
      <c r="B46" s="517" t="s">
        <v>161</v>
      </c>
      <c r="C46" s="1948" t="s">
        <v>1128</v>
      </c>
      <c r="D46" s="1949"/>
      <c r="E46" s="1949"/>
      <c r="F46" s="1949"/>
      <c r="G46" s="1949"/>
      <c r="H46" s="1950"/>
      <c r="I46" s="509"/>
      <c r="J46" s="509"/>
      <c r="K46" s="509"/>
      <c r="L46" s="509"/>
      <c r="M46" s="509"/>
      <c r="N46" s="509"/>
      <c r="O46" s="509"/>
    </row>
    <row r="47" spans="2:18" x14ac:dyDescent="0.4">
      <c r="B47" s="429" t="s">
        <v>1129</v>
      </c>
      <c r="C47" s="1951"/>
      <c r="D47" s="1952"/>
      <c r="E47" s="1952"/>
      <c r="F47" s="1952"/>
      <c r="G47" s="1952"/>
      <c r="H47" s="1953"/>
      <c r="I47" s="510">
        <v>0</v>
      </c>
      <c r="J47" s="510">
        <v>0</v>
      </c>
      <c r="K47" s="510">
        <v>0</v>
      </c>
      <c r="L47" s="510">
        <v>0</v>
      </c>
      <c r="M47" s="510">
        <v>0</v>
      </c>
      <c r="N47" s="510">
        <v>0</v>
      </c>
      <c r="O47" s="510">
        <f>SUM(C47:N47)</f>
        <v>0</v>
      </c>
    </row>
    <row r="48" spans="2:18" x14ac:dyDescent="0.4">
      <c r="B48" s="429" t="s">
        <v>1130</v>
      </c>
      <c r="C48" s="1951"/>
      <c r="D48" s="1952"/>
      <c r="E48" s="1952"/>
      <c r="F48" s="1952"/>
      <c r="G48" s="1952"/>
      <c r="H48" s="1953"/>
      <c r="I48" s="510">
        <v>0.14257723999999999</v>
      </c>
      <c r="J48" s="510">
        <v>0.16259593</v>
      </c>
      <c r="K48" s="510">
        <v>0.17538799999999999</v>
      </c>
      <c r="L48" s="510">
        <v>0.17651585</v>
      </c>
      <c r="M48" s="510">
        <v>0.16310631</v>
      </c>
      <c r="N48" s="510">
        <v>0.18685146999999999</v>
      </c>
      <c r="O48" s="510">
        <f>SUM(C48:N48)</f>
        <v>1.0070348</v>
      </c>
    </row>
    <row r="49" spans="2:15" x14ac:dyDescent="0.4">
      <c r="B49" s="429" t="s">
        <v>1131</v>
      </c>
      <c r="C49" s="1951"/>
      <c r="D49" s="1952"/>
      <c r="E49" s="1952"/>
      <c r="F49" s="1952"/>
      <c r="G49" s="1952"/>
      <c r="H49" s="1953"/>
      <c r="I49" s="510">
        <v>0</v>
      </c>
      <c r="J49" s="510">
        <v>0</v>
      </c>
      <c r="K49" s="510">
        <v>0</v>
      </c>
      <c r="L49" s="510">
        <v>0</v>
      </c>
      <c r="M49" s="510">
        <v>0</v>
      </c>
      <c r="N49" s="510">
        <v>0</v>
      </c>
      <c r="O49" s="510">
        <f>SUM(C49:N49)</f>
        <v>0</v>
      </c>
    </row>
    <row r="50" spans="2:15" x14ac:dyDescent="0.4">
      <c r="B50" s="429" t="s">
        <v>1132</v>
      </c>
      <c r="C50" s="1951"/>
      <c r="D50" s="1952"/>
      <c r="E50" s="1952"/>
      <c r="F50" s="1952"/>
      <c r="G50" s="1952"/>
      <c r="H50" s="1953"/>
    </row>
    <row r="51" spans="2:15" x14ac:dyDescent="0.4">
      <c r="B51" s="518" t="s">
        <v>162</v>
      </c>
      <c r="C51" s="1951"/>
      <c r="D51" s="1952"/>
      <c r="E51" s="1952"/>
      <c r="F51" s="1952"/>
      <c r="G51" s="1952"/>
      <c r="H51" s="1953"/>
      <c r="I51" s="511">
        <f>SUM(I47:I50)</f>
        <v>0.14257723999999999</v>
      </c>
      <c r="J51" s="511">
        <f t="shared" ref="J51:O51" si="13">SUM(J47:J50)</f>
        <v>0.16259593</v>
      </c>
      <c r="K51" s="511">
        <f t="shared" si="13"/>
        <v>0.17538799999999999</v>
      </c>
      <c r="L51" s="511">
        <f t="shared" si="13"/>
        <v>0.17651585</v>
      </c>
      <c r="M51" s="511">
        <f t="shared" si="13"/>
        <v>0.16310631</v>
      </c>
      <c r="N51" s="511">
        <f t="shared" si="13"/>
        <v>0.18685146999999999</v>
      </c>
      <c r="O51" s="511">
        <f t="shared" si="13"/>
        <v>1.0070348</v>
      </c>
    </row>
    <row r="52" spans="2:15" x14ac:dyDescent="0.4">
      <c r="B52" s="517" t="s">
        <v>163</v>
      </c>
      <c r="C52" s="1951"/>
      <c r="D52" s="1952"/>
      <c r="E52" s="1952"/>
      <c r="F52" s="1952"/>
      <c r="G52" s="1952"/>
      <c r="H52" s="1953"/>
      <c r="I52" s="510"/>
      <c r="J52" s="510"/>
      <c r="K52" s="510"/>
      <c r="L52" s="510"/>
      <c r="M52" s="510"/>
      <c r="N52" s="510"/>
      <c r="O52" s="510"/>
    </row>
    <row r="53" spans="2:15" x14ac:dyDescent="0.4">
      <c r="B53" s="519" t="s">
        <v>1133</v>
      </c>
      <c r="C53" s="1951"/>
      <c r="D53" s="1952"/>
      <c r="E53" s="1952"/>
      <c r="F53" s="1952"/>
      <c r="G53" s="1952"/>
      <c r="H53" s="1953"/>
      <c r="I53" s="512"/>
      <c r="J53" s="513"/>
      <c r="K53" s="514"/>
      <c r="L53" s="513"/>
      <c r="M53" s="513"/>
      <c r="N53" s="515"/>
      <c r="O53" s="514"/>
    </row>
    <row r="54" spans="2:15" x14ac:dyDescent="0.4">
      <c r="B54" s="520" t="s">
        <v>1106</v>
      </c>
      <c r="C54" s="1951"/>
      <c r="D54" s="1952"/>
      <c r="E54" s="1952"/>
      <c r="F54" s="1952"/>
      <c r="G54" s="1952"/>
      <c r="H54" s="1953"/>
      <c r="I54" s="512">
        <v>5.7628399999999974E-3</v>
      </c>
      <c r="J54" s="512">
        <v>5.8999999999999999E-3</v>
      </c>
      <c r="K54" s="512">
        <v>6.0231799999999978E-3</v>
      </c>
      <c r="L54" s="512">
        <v>6.3388599999999965E-3</v>
      </c>
      <c r="M54" s="512">
        <v>6.023169999999997E-3</v>
      </c>
      <c r="N54" s="512">
        <v>6.8544899999999969E-3</v>
      </c>
      <c r="O54" s="510">
        <f>SUM(C54:N54)</f>
        <v>3.6902539999999984E-2</v>
      </c>
    </row>
    <row r="55" spans="2:15" x14ac:dyDescent="0.4">
      <c r="B55" s="520" t="s">
        <v>1107</v>
      </c>
      <c r="C55" s="1951"/>
      <c r="D55" s="1952"/>
      <c r="E55" s="1952"/>
      <c r="F55" s="1952"/>
      <c r="G55" s="1952"/>
      <c r="H55" s="1953"/>
      <c r="I55" s="512">
        <v>6.7341600000000029E-3</v>
      </c>
      <c r="J55" s="512">
        <v>5.1640000000000002E-3</v>
      </c>
      <c r="K55" s="512">
        <v>4.5558200000000021E-3</v>
      </c>
      <c r="L55" s="512">
        <v>3.4201400000000021E-3</v>
      </c>
      <c r="M55" s="512">
        <v>4.1248300000000021E-3</v>
      </c>
      <c r="N55" s="512">
        <v>5.8305100000000023E-3</v>
      </c>
      <c r="O55" s="510">
        <f>SUM(C55:N55)</f>
        <v>2.9829460000000016E-2</v>
      </c>
    </row>
    <row r="56" spans="2:15" x14ac:dyDescent="0.4">
      <c r="B56" s="520" t="s">
        <v>1108</v>
      </c>
      <c r="C56" s="1951"/>
      <c r="D56" s="1952"/>
      <c r="E56" s="1952"/>
      <c r="F56" s="1952"/>
      <c r="G56" s="1952"/>
      <c r="H56" s="1953"/>
      <c r="I56" s="512">
        <v>2.3796899999999998E-3</v>
      </c>
      <c r="J56" s="512">
        <v>9.59E-4</v>
      </c>
      <c r="K56" s="512">
        <v>5.4133999999999996E-4</v>
      </c>
      <c r="L56" s="512">
        <v>4.3233999999999997E-4</v>
      </c>
      <c r="M56" s="512">
        <v>5.5833999999999994E-4</v>
      </c>
      <c r="N56" s="512">
        <v>1.2250099999999999E-3</v>
      </c>
      <c r="O56" s="510">
        <f t="shared" ref="O56:O62" si="14">SUM(C56:N56)</f>
        <v>6.0957200000000007E-3</v>
      </c>
    </row>
    <row r="57" spans="2:15" x14ac:dyDescent="0.4">
      <c r="B57" s="520" t="s">
        <v>1109</v>
      </c>
      <c r="C57" s="1951"/>
      <c r="D57" s="1952"/>
      <c r="E57" s="1952"/>
      <c r="F57" s="1952"/>
      <c r="G57" s="1952"/>
      <c r="H57" s="1953"/>
      <c r="I57" s="512">
        <v>1.96933E-3</v>
      </c>
      <c r="J57" s="512">
        <v>1.116E-3</v>
      </c>
      <c r="K57" s="516">
        <v>1.03334E-3</v>
      </c>
      <c r="L57" s="516">
        <v>1.03334E-3</v>
      </c>
      <c r="M57" s="516">
        <v>9.3334000000000006E-4</v>
      </c>
      <c r="N57" s="512">
        <v>1.1866700000000001E-3</v>
      </c>
      <c r="O57" s="510">
        <f t="shared" si="14"/>
        <v>7.2720199999999997E-3</v>
      </c>
    </row>
    <row r="58" spans="2:15" x14ac:dyDescent="0.4">
      <c r="B58" s="520" t="s">
        <v>1110</v>
      </c>
      <c r="C58" s="1951"/>
      <c r="D58" s="1952"/>
      <c r="E58" s="1952"/>
      <c r="F58" s="1952"/>
      <c r="G58" s="1952"/>
      <c r="H58" s="1953"/>
      <c r="I58" s="512">
        <v>4.8379799999999995E-3</v>
      </c>
      <c r="J58" s="512">
        <v>9.8259999999999997E-3</v>
      </c>
      <c r="K58" s="512">
        <v>7.2933199999999998E-3</v>
      </c>
      <c r="L58" s="512">
        <v>6.9953199999999993E-3</v>
      </c>
      <c r="M58" s="512">
        <v>4.9663199999999998E-3</v>
      </c>
      <c r="N58" s="512">
        <v>4.9703199999999994E-3</v>
      </c>
      <c r="O58" s="510">
        <f t="shared" si="14"/>
        <v>3.8889259999999995E-2</v>
      </c>
    </row>
    <row r="59" spans="2:15" x14ac:dyDescent="0.4">
      <c r="B59" s="519" t="s">
        <v>1134</v>
      </c>
      <c r="C59" s="1951"/>
      <c r="D59" s="1952"/>
      <c r="E59" s="1952"/>
      <c r="F59" s="1952"/>
      <c r="G59" s="1952"/>
      <c r="H59" s="1953"/>
      <c r="I59" s="510">
        <v>0</v>
      </c>
      <c r="J59" s="510">
        <v>0</v>
      </c>
      <c r="K59" s="510">
        <v>0</v>
      </c>
      <c r="L59" s="510">
        <v>0</v>
      </c>
      <c r="M59" s="510">
        <v>0</v>
      </c>
      <c r="N59" s="510">
        <v>0</v>
      </c>
      <c r="O59" s="510">
        <f t="shared" si="14"/>
        <v>0</v>
      </c>
    </row>
    <row r="60" spans="2:15" x14ac:dyDescent="0.4">
      <c r="B60" s="519" t="s">
        <v>1111</v>
      </c>
      <c r="C60" s="1951"/>
      <c r="D60" s="1952"/>
      <c r="E60" s="1952"/>
      <c r="F60" s="1952"/>
      <c r="G60" s="1952"/>
      <c r="H60" s="1953"/>
      <c r="I60" s="510"/>
      <c r="J60" s="510"/>
      <c r="K60" s="510"/>
      <c r="L60" s="510"/>
      <c r="M60" s="510"/>
      <c r="N60" s="510"/>
      <c r="O60" s="510"/>
    </row>
    <row r="61" spans="2:15" x14ac:dyDescent="0.4">
      <c r="B61" s="519" t="s">
        <v>1135</v>
      </c>
      <c r="C61" s="1951"/>
      <c r="D61" s="1952"/>
      <c r="E61" s="1952"/>
      <c r="F61" s="1952"/>
      <c r="G61" s="1952"/>
      <c r="H61" s="1953"/>
      <c r="I61" s="510">
        <v>0</v>
      </c>
      <c r="J61" s="510">
        <v>1.7492000000000001E-2</v>
      </c>
      <c r="K61" s="510">
        <v>1.0743000000000001E-2</v>
      </c>
      <c r="L61" s="510">
        <v>9.0469999999999995E-3</v>
      </c>
      <c r="M61" s="510">
        <v>8.3470000000000003E-3</v>
      </c>
      <c r="N61" s="510">
        <v>1.0196E-2</v>
      </c>
      <c r="O61" s="510">
        <f t="shared" si="14"/>
        <v>5.5825E-2</v>
      </c>
    </row>
    <row r="62" spans="2:15" x14ac:dyDescent="0.4">
      <c r="B62" s="519" t="s">
        <v>1136</v>
      </c>
      <c r="C62" s="1951"/>
      <c r="D62" s="1952"/>
      <c r="E62" s="1952"/>
      <c r="F62" s="1952"/>
      <c r="G62" s="1952"/>
      <c r="H62" s="1953"/>
      <c r="I62" s="510">
        <v>0</v>
      </c>
      <c r="J62" s="510">
        <v>0</v>
      </c>
      <c r="K62" s="510">
        <v>0</v>
      </c>
      <c r="L62" s="510">
        <v>0</v>
      </c>
      <c r="M62" s="510">
        <v>0</v>
      </c>
      <c r="N62" s="510">
        <v>0</v>
      </c>
      <c r="O62" s="510">
        <f t="shared" si="14"/>
        <v>0</v>
      </c>
    </row>
    <row r="63" spans="2:15" x14ac:dyDescent="0.4">
      <c r="B63" s="175" t="s">
        <v>162</v>
      </c>
      <c r="C63" s="1954"/>
      <c r="D63" s="1955"/>
      <c r="E63" s="1955"/>
      <c r="F63" s="1955"/>
      <c r="G63" s="1955"/>
      <c r="H63" s="1956"/>
      <c r="I63" s="511">
        <f>SUM(I54:I62)</f>
        <v>2.1684000000000002E-2</v>
      </c>
      <c r="J63" s="511">
        <f t="shared" ref="J63:O63" si="15">SUM(J54:J62)</f>
        <v>4.0457E-2</v>
      </c>
      <c r="K63" s="511">
        <f t="shared" si="15"/>
        <v>3.0190000000000002E-2</v>
      </c>
      <c r="L63" s="511">
        <f t="shared" si="15"/>
        <v>2.7267E-2</v>
      </c>
      <c r="M63" s="511">
        <f t="shared" si="15"/>
        <v>2.4952999999999996E-2</v>
      </c>
      <c r="N63" s="511">
        <f t="shared" si="15"/>
        <v>3.0262999999999998E-2</v>
      </c>
      <c r="O63" s="511">
        <f t="shared" si="15"/>
        <v>0.174814</v>
      </c>
    </row>
    <row r="64" spans="2:15" x14ac:dyDescent="0.4">
      <c r="B64" s="175"/>
      <c r="C64" s="522"/>
      <c r="D64" s="522"/>
      <c r="E64" s="522"/>
      <c r="F64" s="522"/>
      <c r="G64" s="522"/>
      <c r="H64" s="522"/>
      <c r="I64" s="510"/>
      <c r="J64" s="510"/>
      <c r="K64" s="510"/>
      <c r="L64" s="510"/>
      <c r="M64" s="510"/>
      <c r="N64" s="510"/>
      <c r="O64" s="510"/>
    </row>
    <row r="65" spans="2:17" x14ac:dyDescent="0.4">
      <c r="B65" s="119" t="s">
        <v>164</v>
      </c>
      <c r="C65" s="26"/>
      <c r="D65" s="26"/>
      <c r="E65" s="26"/>
      <c r="F65" s="26"/>
      <c r="G65" s="26"/>
      <c r="H65" s="26"/>
      <c r="I65" s="511">
        <f t="shared" ref="I65:O65" si="16">I51+I63</f>
        <v>0.16426124</v>
      </c>
      <c r="J65" s="511">
        <f t="shared" si="16"/>
        <v>0.20305292999999999</v>
      </c>
      <c r="K65" s="511">
        <f t="shared" si="16"/>
        <v>0.20557799999999998</v>
      </c>
      <c r="L65" s="511">
        <f t="shared" si="16"/>
        <v>0.20378285000000002</v>
      </c>
      <c r="M65" s="511">
        <f t="shared" si="16"/>
        <v>0.18805931000000001</v>
      </c>
      <c r="N65" s="511">
        <f t="shared" si="16"/>
        <v>0.21711447</v>
      </c>
      <c r="O65" s="511">
        <f t="shared" si="16"/>
        <v>1.1818488</v>
      </c>
    </row>
    <row r="66" spans="2:17" x14ac:dyDescent="0.4">
      <c r="B66" s="118" t="s">
        <v>165</v>
      </c>
    </row>
    <row r="67" spans="2:17" x14ac:dyDescent="0.4">
      <c r="B67" s="27" t="s">
        <v>166</v>
      </c>
    </row>
    <row r="68" spans="2:17" x14ac:dyDescent="0.4">
      <c r="B68" s="1" t="s">
        <v>184</v>
      </c>
      <c r="C68" s="30"/>
      <c r="D68" s="30"/>
      <c r="E68" s="30"/>
      <c r="F68" s="30"/>
    </row>
    <row r="69" spans="2:17" x14ac:dyDescent="0.4">
      <c r="B69" s="27" t="s">
        <v>168</v>
      </c>
      <c r="C69" s="30"/>
      <c r="D69" s="30"/>
      <c r="E69" s="30"/>
      <c r="F69" s="30"/>
    </row>
    <row r="70" spans="2:17" x14ac:dyDescent="0.4">
      <c r="B70" s="27"/>
      <c r="C70" s="30"/>
      <c r="D70" s="30"/>
      <c r="E70" s="30"/>
      <c r="F70" s="30"/>
    </row>
    <row r="71" spans="2:17" x14ac:dyDescent="0.4">
      <c r="B71" s="32" t="s">
        <v>1021</v>
      </c>
      <c r="C71" s="8"/>
      <c r="D71" s="8"/>
      <c r="E71" s="8"/>
      <c r="F71" s="8"/>
      <c r="G71" s="8"/>
      <c r="H71" s="8"/>
      <c r="I71" s="8"/>
      <c r="J71" s="8"/>
      <c r="K71" s="8"/>
      <c r="L71" s="8"/>
      <c r="M71" s="8"/>
      <c r="N71" s="8"/>
      <c r="O71" s="4"/>
    </row>
    <row r="72" spans="2:17" x14ac:dyDescent="0.4">
      <c r="B72" s="32"/>
      <c r="C72" s="38"/>
      <c r="D72" s="38"/>
      <c r="O72" s="38" t="s">
        <v>171</v>
      </c>
    </row>
    <row r="73" spans="2:17" x14ac:dyDescent="0.4">
      <c r="B73" s="98" t="s">
        <v>160</v>
      </c>
      <c r="C73" s="98" t="s">
        <v>172</v>
      </c>
      <c r="D73" s="98" t="s">
        <v>173</v>
      </c>
      <c r="E73" s="98" t="s">
        <v>174</v>
      </c>
      <c r="F73" s="98" t="s">
        <v>175</v>
      </c>
      <c r="G73" s="98" t="s">
        <v>176</v>
      </c>
      <c r="H73" s="98" t="s">
        <v>177</v>
      </c>
      <c r="I73" s="98" t="s">
        <v>178</v>
      </c>
      <c r="J73" s="98" t="s">
        <v>179</v>
      </c>
      <c r="K73" s="98" t="s">
        <v>180</v>
      </c>
      <c r="L73" s="98" t="s">
        <v>181</v>
      </c>
      <c r="M73" s="98" t="s">
        <v>182</v>
      </c>
      <c r="N73" s="98" t="s">
        <v>183</v>
      </c>
      <c r="O73" s="98" t="s">
        <v>164</v>
      </c>
    </row>
    <row r="74" spans="2:17" x14ac:dyDescent="0.4">
      <c r="B74" s="517" t="s">
        <v>161</v>
      </c>
      <c r="C74" s="78"/>
      <c r="D74" s="78"/>
      <c r="E74" s="78"/>
      <c r="F74" s="3"/>
      <c r="G74" s="3"/>
      <c r="H74" s="2"/>
      <c r="I74" s="43"/>
      <c r="J74" s="44"/>
      <c r="K74" s="124"/>
      <c r="L74" s="124"/>
      <c r="M74" s="2"/>
      <c r="N74" s="2"/>
      <c r="O74" s="2"/>
    </row>
    <row r="75" spans="2:17" x14ac:dyDescent="0.4">
      <c r="B75" s="429" t="s">
        <v>1129</v>
      </c>
      <c r="C75" s="512">
        <f>+'F1 SEZ'!C75+'F1 Non-SEZ'!C75</f>
        <v>0</v>
      </c>
      <c r="D75" s="512">
        <f>+'F1 SEZ'!D75+'F1 Non-SEZ'!D75</f>
        <v>0</v>
      </c>
      <c r="E75" s="512">
        <f>+'F1 SEZ'!E75+'F1 Non-SEZ'!E75</f>
        <v>0</v>
      </c>
      <c r="F75" s="512">
        <f>+'F1 SEZ'!F75+'F1 Non-SEZ'!F75</f>
        <v>0</v>
      </c>
      <c r="G75" s="512">
        <f>+'F1 SEZ'!G75+'F1 Non-SEZ'!G75</f>
        <v>0</v>
      </c>
      <c r="H75" s="512">
        <f>+'F1 SEZ'!H75+'F1 Non-SEZ'!H75</f>
        <v>0</v>
      </c>
      <c r="I75" s="512">
        <f>+'F1 SEZ'!I75+'F1 Non-SEZ'!I75</f>
        <v>0</v>
      </c>
      <c r="J75" s="512">
        <f>+'F1 SEZ'!J75+'F1 Non-SEZ'!J75</f>
        <v>0</v>
      </c>
      <c r="K75" s="512">
        <f>+'F1 SEZ'!K75+'F1 Non-SEZ'!K75</f>
        <v>0</v>
      </c>
      <c r="L75" s="512">
        <f>+'F1 SEZ'!L75+'F1 Non-SEZ'!L75</f>
        <v>0</v>
      </c>
      <c r="M75" s="512">
        <f>+'F1 SEZ'!M75+'F1 Non-SEZ'!M75</f>
        <v>0</v>
      </c>
      <c r="N75" s="512">
        <f>+'F1 SEZ'!N75+'F1 Non-SEZ'!N75</f>
        <v>0</v>
      </c>
      <c r="O75" s="510">
        <f>SUM(C75:N75)</f>
        <v>0</v>
      </c>
      <c r="P75" s="561">
        <f>+'F1 SEZ'!O75+'F1 Non-SEZ'!O75</f>
        <v>0</v>
      </c>
      <c r="Q75" s="562">
        <f>+P75-O75</f>
        <v>0</v>
      </c>
    </row>
    <row r="76" spans="2:17" x14ac:dyDescent="0.4">
      <c r="B76" s="429" t="s">
        <v>1130</v>
      </c>
      <c r="C76" s="512">
        <f>+'F1 SEZ'!C76+'F1 Non-SEZ'!C76</f>
        <v>0.19884044000000001</v>
      </c>
      <c r="D76" s="512">
        <f>+'F1 SEZ'!D76+'F1 Non-SEZ'!D76</f>
        <v>0.18788087000000001</v>
      </c>
      <c r="E76" s="512">
        <f>+'F1 SEZ'!E76+'F1 Non-SEZ'!E76</f>
        <v>0.17948592000000002</v>
      </c>
      <c r="F76" s="512">
        <f>+'F1 SEZ'!F76+'F1 Non-SEZ'!F76</f>
        <v>0.18634855</v>
      </c>
      <c r="G76" s="512">
        <f>+'F1 SEZ'!G76+'F1 Non-SEZ'!G76</f>
        <v>0.16815105999999999</v>
      </c>
      <c r="H76" s="512">
        <f>+'F1 SEZ'!H76+'F1 Non-SEZ'!H76</f>
        <v>0.17877841</v>
      </c>
      <c r="I76" s="512">
        <f>+'F1 SEZ'!I76+'F1 Non-SEZ'!I76</f>
        <v>0.17616183999999999</v>
      </c>
      <c r="J76" s="512">
        <f>+'F1 SEZ'!J76+'F1 Non-SEZ'!J76</f>
        <v>0.12245565999999999</v>
      </c>
      <c r="K76" s="512">
        <f>+'F1 SEZ'!K76+'F1 Non-SEZ'!K76</f>
        <v>0.13598847</v>
      </c>
      <c r="L76" s="512">
        <f>+'F1 SEZ'!L76+'F1 Non-SEZ'!L76</f>
        <v>0.10585989999999999</v>
      </c>
      <c r="M76" s="512">
        <f>+'F1 SEZ'!M76+'F1 Non-SEZ'!M76</f>
        <v>0.107372</v>
      </c>
      <c r="N76" s="512">
        <f>+'F1 SEZ'!N76+'F1 Non-SEZ'!N76</f>
        <v>0.12098931000000002</v>
      </c>
      <c r="O76" s="510">
        <f>SUM(C76:N76)</f>
        <v>1.86831243</v>
      </c>
      <c r="P76" s="561"/>
      <c r="Q76" s="562"/>
    </row>
    <row r="77" spans="2:17" x14ac:dyDescent="0.4">
      <c r="B77" s="429" t="s">
        <v>1131</v>
      </c>
      <c r="C77" s="512">
        <f>+'F1 SEZ'!C77+'F1 Non-SEZ'!C77</f>
        <v>0</v>
      </c>
      <c r="D77" s="512">
        <f>+'F1 SEZ'!D77+'F1 Non-SEZ'!D77</f>
        <v>1.9900299999999999E-2</v>
      </c>
      <c r="E77" s="512">
        <f>+'F1 SEZ'!E77+'F1 Non-SEZ'!E77</f>
        <v>2.8550950000000002E-2</v>
      </c>
      <c r="F77" s="512">
        <f>+'F1 SEZ'!F77+'F1 Non-SEZ'!F77</f>
        <v>4.7114749999999997E-2</v>
      </c>
      <c r="G77" s="512">
        <f>+'F1 SEZ'!G77+'F1 Non-SEZ'!G77</f>
        <v>5.5926999999999998E-2</v>
      </c>
      <c r="H77" s="512">
        <f>+'F1 SEZ'!H77+'F1 Non-SEZ'!H77</f>
        <v>6.2180449999999998E-2</v>
      </c>
      <c r="I77" s="512">
        <f>+'F1 SEZ'!I77+'F1 Non-SEZ'!I77</f>
        <v>6.1310300000000005E-2</v>
      </c>
      <c r="J77" s="512">
        <f>+'F1 SEZ'!J77+'F1 Non-SEZ'!J77</f>
        <v>5.7791459999999996E-2</v>
      </c>
      <c r="K77" s="512">
        <f>+'F1 SEZ'!K77+'F1 Non-SEZ'!K77</f>
        <v>5.8304540000000002E-2</v>
      </c>
      <c r="L77" s="512">
        <f>+'F1 SEZ'!L77+'F1 Non-SEZ'!L77</f>
        <v>6.0667940000000004E-2</v>
      </c>
      <c r="M77" s="512">
        <f>+'F1 SEZ'!M77+'F1 Non-SEZ'!M77</f>
        <v>6.0793E-2</v>
      </c>
      <c r="N77" s="512">
        <f>+'F1 SEZ'!N77+'F1 Non-SEZ'!N77</f>
        <v>5.0762980000000006E-2</v>
      </c>
      <c r="O77" s="510">
        <f>SUM(C77:N77)</f>
        <v>0.56330367000000003</v>
      </c>
      <c r="P77" s="561"/>
      <c r="Q77" s="562"/>
    </row>
    <row r="78" spans="2:17" x14ac:dyDescent="0.4">
      <c r="B78" s="429" t="s">
        <v>1132</v>
      </c>
      <c r="C78" s="512">
        <f>+'F1 SEZ'!C78+'F1 Non-SEZ'!C78</f>
        <v>0</v>
      </c>
      <c r="D78" s="512">
        <f>+'F1 SEZ'!D78+'F1 Non-SEZ'!D78</f>
        <v>0</v>
      </c>
      <c r="E78" s="512">
        <f>+'F1 SEZ'!E78+'F1 Non-SEZ'!E78</f>
        <v>0</v>
      </c>
      <c r="F78" s="512">
        <f>+'F1 SEZ'!F78+'F1 Non-SEZ'!F78</f>
        <v>0</v>
      </c>
      <c r="G78" s="512">
        <f>+'F1 SEZ'!G78+'F1 Non-SEZ'!G78</f>
        <v>0</v>
      </c>
      <c r="H78" s="512">
        <f>+'F1 SEZ'!H78+'F1 Non-SEZ'!H78</f>
        <v>0</v>
      </c>
      <c r="I78" s="512">
        <f>+'F1 SEZ'!I78+'F1 Non-SEZ'!I78</f>
        <v>0</v>
      </c>
      <c r="J78" s="512">
        <f>+'F1 SEZ'!J78+'F1 Non-SEZ'!J78</f>
        <v>0</v>
      </c>
      <c r="K78" s="512">
        <f>+'F1 SEZ'!K78+'F1 Non-SEZ'!K78</f>
        <v>0</v>
      </c>
      <c r="L78" s="512">
        <f>+'F1 SEZ'!L78+'F1 Non-SEZ'!L78</f>
        <v>0</v>
      </c>
      <c r="M78" s="512">
        <f>+'F1 SEZ'!M78+'F1 Non-SEZ'!M78</f>
        <v>0</v>
      </c>
      <c r="N78" s="512">
        <f>+'F1 SEZ'!N78+'F1 Non-SEZ'!N78</f>
        <v>0</v>
      </c>
      <c r="O78" s="510">
        <f>SUM(C78:N78)</f>
        <v>0</v>
      </c>
    </row>
    <row r="79" spans="2:17" x14ac:dyDescent="0.4">
      <c r="B79" s="518" t="s">
        <v>162</v>
      </c>
      <c r="C79" s="513">
        <f>SUM(C75:C78)</f>
        <v>0.19884044000000001</v>
      </c>
      <c r="D79" s="513">
        <f t="shared" ref="D79:O79" si="17">SUM(D75:D78)</f>
        <v>0.20778117000000002</v>
      </c>
      <c r="E79" s="513">
        <f t="shared" si="17"/>
        <v>0.20803687000000001</v>
      </c>
      <c r="F79" s="513">
        <f t="shared" si="17"/>
        <v>0.23346329999999998</v>
      </c>
      <c r="G79" s="513">
        <f t="shared" si="17"/>
        <v>0.22407806</v>
      </c>
      <c r="H79" s="513">
        <f t="shared" si="17"/>
        <v>0.24095886</v>
      </c>
      <c r="I79" s="513">
        <f t="shared" si="17"/>
        <v>0.23747214</v>
      </c>
      <c r="J79" s="513">
        <f t="shared" si="17"/>
        <v>0.18024711999999998</v>
      </c>
      <c r="K79" s="513">
        <f t="shared" si="17"/>
        <v>0.19429300999999999</v>
      </c>
      <c r="L79" s="513">
        <f t="shared" si="17"/>
        <v>0.16652783999999998</v>
      </c>
      <c r="M79" s="513">
        <f t="shared" si="17"/>
        <v>0.16816500000000001</v>
      </c>
      <c r="N79" s="513">
        <f t="shared" si="17"/>
        <v>0.17175229000000003</v>
      </c>
      <c r="O79" s="513">
        <f t="shared" si="17"/>
        <v>2.4316161000000003</v>
      </c>
    </row>
    <row r="80" spans="2:17" x14ac:dyDescent="0.4">
      <c r="B80" s="517" t="s">
        <v>163</v>
      </c>
      <c r="C80" s="513"/>
      <c r="D80" s="513"/>
      <c r="E80" s="513"/>
      <c r="F80" s="513"/>
      <c r="G80" s="513"/>
      <c r="H80" s="513"/>
      <c r="I80" s="513"/>
      <c r="J80" s="513"/>
      <c r="K80" s="513"/>
      <c r="L80" s="513"/>
      <c r="M80" s="513"/>
      <c r="N80" s="513"/>
      <c r="O80" s="535"/>
    </row>
    <row r="81" spans="2:17" x14ac:dyDescent="0.4">
      <c r="B81" s="519" t="s">
        <v>1133</v>
      </c>
      <c r="C81" s="536"/>
      <c r="D81" s="536"/>
      <c r="E81" s="514"/>
      <c r="F81" s="536"/>
      <c r="G81" s="514"/>
      <c r="H81" s="514"/>
      <c r="I81" s="512"/>
      <c r="J81" s="513"/>
      <c r="K81" s="514"/>
      <c r="L81" s="513"/>
      <c r="M81" s="513"/>
      <c r="N81" s="515"/>
      <c r="O81" s="514"/>
    </row>
    <row r="82" spans="2:17" x14ac:dyDescent="0.4">
      <c r="B82" s="520" t="s">
        <v>1106</v>
      </c>
      <c r="C82" s="512">
        <f>+'F1 SEZ'!C82+'F1 Non-SEZ'!C82</f>
        <v>1.1969999999999999E-3</v>
      </c>
      <c r="D82" s="512">
        <f>+'F1 SEZ'!D82+'F1 Non-SEZ'!D82</f>
        <v>1.322E-3</v>
      </c>
      <c r="E82" s="512">
        <f>+'F1 SEZ'!E82+'F1 Non-SEZ'!E82</f>
        <v>1.1199999999999999E-3</v>
      </c>
      <c r="F82" s="512">
        <f>+'F1 SEZ'!F82+'F1 Non-SEZ'!F82</f>
        <v>1.4580000000000001E-3</v>
      </c>
      <c r="G82" s="512">
        <f>+'F1 SEZ'!G82+'F1 Non-SEZ'!G82</f>
        <v>1.075E-3</v>
      </c>
      <c r="H82" s="512">
        <f>+'F1 SEZ'!H82+'F1 Non-SEZ'!H82</f>
        <v>1.717E-3</v>
      </c>
      <c r="I82" s="512">
        <f>+'F1 SEZ'!I82+'F1 Non-SEZ'!I82</f>
        <v>1.8190000000000001E-3</v>
      </c>
      <c r="J82" s="512">
        <f>+'F1 SEZ'!J82+'F1 Non-SEZ'!J82</f>
        <v>1.9550000000000001E-3</v>
      </c>
      <c r="K82" s="512">
        <f>+'F1 SEZ'!K82+'F1 Non-SEZ'!K82</f>
        <v>8.4381400000000002E-3</v>
      </c>
      <c r="L82" s="512">
        <f>+'F1 SEZ'!L82+'F1 Non-SEZ'!L82</f>
        <v>8.1741699999999997E-3</v>
      </c>
      <c r="M82" s="512">
        <f>+'F1 SEZ'!M82+'F1 Non-SEZ'!M82</f>
        <v>8.1685300000000002E-3</v>
      </c>
      <c r="N82" s="512">
        <f>+'F1 SEZ'!N82+'F1 Non-SEZ'!N82</f>
        <v>8.7911499999999993E-3</v>
      </c>
      <c r="O82" s="510">
        <f t="shared" ref="O82:O88" si="18">SUM(C82:N82)</f>
        <v>4.5234989999999996E-2</v>
      </c>
      <c r="P82" s="561"/>
      <c r="Q82" s="562"/>
    </row>
    <row r="83" spans="2:17" x14ac:dyDescent="0.4">
      <c r="B83" s="520" t="s">
        <v>1107</v>
      </c>
      <c r="C83" s="512">
        <f>+'F1 SEZ'!C83+'F1 Non-SEZ'!C83</f>
        <v>6.2989999999999999E-3</v>
      </c>
      <c r="D83" s="512">
        <f>+'F1 SEZ'!D83+'F1 Non-SEZ'!D83</f>
        <v>6.2659999999999999E-3</v>
      </c>
      <c r="E83" s="512">
        <f>+'F1 SEZ'!E83+'F1 Non-SEZ'!E83</f>
        <v>8.0219999999999996E-3</v>
      </c>
      <c r="F83" s="512">
        <f>+'F1 SEZ'!F83+'F1 Non-SEZ'!F83</f>
        <v>8.2410000000000001E-3</v>
      </c>
      <c r="G83" s="512">
        <f>+'F1 SEZ'!G83+'F1 Non-SEZ'!G83</f>
        <v>8.4110000000000001E-3</v>
      </c>
      <c r="H83" s="512">
        <f>+'F1 SEZ'!H83+'F1 Non-SEZ'!H83</f>
        <v>7.6080000000000002E-3</v>
      </c>
      <c r="I83" s="512">
        <f>+'F1 SEZ'!I83+'F1 Non-SEZ'!I83</f>
        <v>8.5170000000000003E-3</v>
      </c>
      <c r="J83" s="512">
        <f>+'F1 SEZ'!J83+'F1 Non-SEZ'!J83</f>
        <v>8.1689999999999992E-3</v>
      </c>
      <c r="K83" s="512">
        <f>+'F1 SEZ'!K83+'F1 Non-SEZ'!K83</f>
        <v>5.7728599999999995E-3</v>
      </c>
      <c r="L83" s="512">
        <f>+'F1 SEZ'!L83+'F1 Non-SEZ'!L83</f>
        <v>4.6718300000000001E-3</v>
      </c>
      <c r="M83" s="512">
        <f>+'F1 SEZ'!M83+'F1 Non-SEZ'!M83</f>
        <v>5.8184700000000001E-3</v>
      </c>
      <c r="N83" s="512">
        <f>+'F1 SEZ'!N83+'F1 Non-SEZ'!N83</f>
        <v>6.12285E-3</v>
      </c>
      <c r="O83" s="510">
        <f t="shared" si="18"/>
        <v>8.3919010000000002E-2</v>
      </c>
      <c r="P83" s="561"/>
      <c r="Q83" s="562"/>
    </row>
    <row r="84" spans="2:17" x14ac:dyDescent="0.4">
      <c r="B84" s="520" t="s">
        <v>1108</v>
      </c>
      <c r="C84" s="512">
        <f>+'F1 SEZ'!C84+'F1 Non-SEZ'!C84</f>
        <v>4.7499999999999999E-3</v>
      </c>
      <c r="D84" s="512">
        <f>+'F1 SEZ'!D84+'F1 Non-SEZ'!D84</f>
        <v>4.0610000000000004E-3</v>
      </c>
      <c r="E84" s="512">
        <f>+'F1 SEZ'!E84+'F1 Non-SEZ'!E84</f>
        <v>2.9640000000000001E-3</v>
      </c>
      <c r="F84" s="512">
        <f>+'F1 SEZ'!F84+'F1 Non-SEZ'!F84</f>
        <v>3.686E-3</v>
      </c>
      <c r="G84" s="512">
        <f>+'F1 SEZ'!G84+'F1 Non-SEZ'!G84</f>
        <v>2.9880000000000002E-3</v>
      </c>
      <c r="H84" s="512">
        <f>+'F1 SEZ'!H84+'F1 Non-SEZ'!H84</f>
        <v>3.1830000000000001E-3</v>
      </c>
      <c r="I84" s="512">
        <f>+'F1 SEZ'!I84+'F1 Non-SEZ'!I84</f>
        <v>2.1949999999999999E-3</v>
      </c>
      <c r="J84" s="512">
        <f>+'F1 SEZ'!J84+'F1 Non-SEZ'!J84</f>
        <v>3.0200000000000001E-3</v>
      </c>
      <c r="K84" s="512">
        <f>+'F1 SEZ'!K84+'F1 Non-SEZ'!K84</f>
        <v>1.9600299999999998E-3</v>
      </c>
      <c r="L84" s="512">
        <f>+'F1 SEZ'!L84+'F1 Non-SEZ'!L84</f>
        <v>2.0327000000000001E-3</v>
      </c>
      <c r="M84" s="512">
        <f>+'F1 SEZ'!M84+'F1 Non-SEZ'!M84</f>
        <v>2.27363E-3</v>
      </c>
      <c r="N84" s="512">
        <f>+'F1 SEZ'!N84+'F1 Non-SEZ'!N84</f>
        <v>1.9176900000000001E-3</v>
      </c>
      <c r="O84" s="510">
        <f t="shared" si="18"/>
        <v>3.5031049999999994E-2</v>
      </c>
      <c r="P84" s="561"/>
      <c r="Q84" s="562"/>
    </row>
    <row r="85" spans="2:17" x14ac:dyDescent="0.4">
      <c r="B85" s="520" t="s">
        <v>1109</v>
      </c>
      <c r="C85" s="512">
        <f>+'F1 SEZ'!C85+'F1 Non-SEZ'!C85</f>
        <v>2.9949999999999998E-3</v>
      </c>
      <c r="D85" s="512">
        <f>+'F1 SEZ'!D85+'F1 Non-SEZ'!D85</f>
        <v>5.7559999999999998E-3</v>
      </c>
      <c r="E85" s="512">
        <f>+'F1 SEZ'!E85+'F1 Non-SEZ'!E85</f>
        <v>4.5830000000000003E-3</v>
      </c>
      <c r="F85" s="512">
        <f>+'F1 SEZ'!F85+'F1 Non-SEZ'!F85</f>
        <v>6.2100000000000002E-4</v>
      </c>
      <c r="G85" s="512">
        <f>+'F1 SEZ'!G85+'F1 Non-SEZ'!G85</f>
        <v>1.039E-3</v>
      </c>
      <c r="H85" s="512">
        <f>+'F1 SEZ'!H85+'F1 Non-SEZ'!H85</f>
        <v>0</v>
      </c>
      <c r="I85" s="512">
        <f>+'F1 SEZ'!I85+'F1 Non-SEZ'!I85</f>
        <v>5.1599999999999997E-4</v>
      </c>
      <c r="J85" s="512">
        <f>+'F1 SEZ'!J85+'F1 Non-SEZ'!J85</f>
        <v>5.0699999999999996E-4</v>
      </c>
      <c r="K85" s="512">
        <f>+'F1 SEZ'!K85+'F1 Non-SEZ'!K85</f>
        <v>4.1856899999999997E-3</v>
      </c>
      <c r="L85" s="512">
        <f>+'F1 SEZ'!L85+'F1 Non-SEZ'!L85</f>
        <v>5.1666999999999998E-3</v>
      </c>
      <c r="M85" s="512">
        <f>+'F1 SEZ'!M85+'F1 Non-SEZ'!M85</f>
        <v>5.3166300000000001E-3</v>
      </c>
      <c r="N85" s="512">
        <f>+'F1 SEZ'!N85+'F1 Non-SEZ'!N85</f>
        <v>3.6166900000000001E-3</v>
      </c>
      <c r="O85" s="510">
        <f t="shared" si="18"/>
        <v>3.430271E-2</v>
      </c>
      <c r="P85" s="561"/>
      <c r="Q85" s="562"/>
    </row>
    <row r="86" spans="2:17" x14ac:dyDescent="0.4">
      <c r="B86" s="520" t="s">
        <v>1110</v>
      </c>
      <c r="C86" s="512">
        <f>+'F1 SEZ'!C86+'F1 Non-SEZ'!C86</f>
        <v>7.7289999999999998E-3</v>
      </c>
      <c r="D86" s="512">
        <f>+'F1 SEZ'!D86+'F1 Non-SEZ'!D86</f>
        <v>8.3940000000000004E-3</v>
      </c>
      <c r="E86" s="512">
        <f>+'F1 SEZ'!E86+'F1 Non-SEZ'!E86</f>
        <v>7.6930000000000002E-3</v>
      </c>
      <c r="F86" s="512">
        <f>+'F1 SEZ'!F86+'F1 Non-SEZ'!F86</f>
        <v>8.8079999999999999E-3</v>
      </c>
      <c r="G86" s="512">
        <f>+'F1 SEZ'!G86+'F1 Non-SEZ'!G86</f>
        <v>9.5379999999999996E-3</v>
      </c>
      <c r="H86" s="512">
        <f>+'F1 SEZ'!H86+'F1 Non-SEZ'!H86</f>
        <v>1.0076E-2</v>
      </c>
      <c r="I86" s="512">
        <f>+'F1 SEZ'!I86+'F1 Non-SEZ'!I86</f>
        <v>9.2250000000000006E-3</v>
      </c>
      <c r="J86" s="512">
        <f>+'F1 SEZ'!J86+'F1 Non-SEZ'!J86</f>
        <v>5.4864999999999997E-2</v>
      </c>
      <c r="K86" s="512">
        <f>+'F1 SEZ'!K86+'F1 Non-SEZ'!K86</f>
        <v>4.6639279999999998E-2</v>
      </c>
      <c r="L86" s="512">
        <f>+'F1 SEZ'!L86+'F1 Non-SEZ'!L86</f>
        <v>5.7909599999999999E-2</v>
      </c>
      <c r="M86" s="512">
        <f>+'F1 SEZ'!M86+'F1 Non-SEZ'!M86</f>
        <v>5.3139739999999998E-2</v>
      </c>
      <c r="N86" s="512">
        <f>+'F1 SEZ'!N86+'F1 Non-SEZ'!N86</f>
        <v>3.2963599999999996E-2</v>
      </c>
      <c r="O86" s="510">
        <f t="shared" si="18"/>
        <v>0.30698021999999997</v>
      </c>
      <c r="P86" s="561"/>
      <c r="Q86" s="562"/>
    </row>
    <row r="87" spans="2:17" x14ac:dyDescent="0.4">
      <c r="B87" s="519" t="s">
        <v>1134</v>
      </c>
      <c r="C87" s="512">
        <f>+'F1 SEZ'!C87+'F1 Non-SEZ'!C87</f>
        <v>0</v>
      </c>
      <c r="D87" s="512">
        <f>+'F1 SEZ'!D87+'F1 Non-SEZ'!D87</f>
        <v>0</v>
      </c>
      <c r="E87" s="512">
        <f>+'F1 SEZ'!E87+'F1 Non-SEZ'!E87</f>
        <v>0</v>
      </c>
      <c r="F87" s="512">
        <f>+'F1 SEZ'!F87+'F1 Non-SEZ'!F87</f>
        <v>0</v>
      </c>
      <c r="G87" s="512">
        <f>+'F1 SEZ'!G87+'F1 Non-SEZ'!G87</f>
        <v>0</v>
      </c>
      <c r="H87" s="512">
        <f>+'F1 SEZ'!H87+'F1 Non-SEZ'!H87</f>
        <v>0</v>
      </c>
      <c r="I87" s="512">
        <f>+'F1 SEZ'!I87+'F1 Non-SEZ'!I87</f>
        <v>0</v>
      </c>
      <c r="J87" s="512">
        <f>+'F1 SEZ'!J87+'F1 Non-SEZ'!J87</f>
        <v>0</v>
      </c>
      <c r="K87" s="512">
        <f>+'F1 SEZ'!K87+'F1 Non-SEZ'!K87</f>
        <v>0</v>
      </c>
      <c r="L87" s="512">
        <f>+'F1 SEZ'!L87+'F1 Non-SEZ'!L87</f>
        <v>0</v>
      </c>
      <c r="M87" s="512">
        <f>+'F1 SEZ'!M87+'F1 Non-SEZ'!M87</f>
        <v>9.9999999999999995E-7</v>
      </c>
      <c r="N87" s="512">
        <f>+'F1 SEZ'!N87+'F1 Non-SEZ'!N87</f>
        <v>1.8000000000000001E-4</v>
      </c>
      <c r="O87" s="510">
        <f t="shared" si="18"/>
        <v>1.8100000000000001E-4</v>
      </c>
      <c r="P87" s="561"/>
      <c r="Q87" s="562"/>
    </row>
    <row r="88" spans="2:17" x14ac:dyDescent="0.4">
      <c r="B88" s="519" t="s">
        <v>1111</v>
      </c>
      <c r="C88" s="512">
        <f>+'F1 SEZ'!C88+'F1 Non-SEZ'!C88</f>
        <v>0</v>
      </c>
      <c r="D88" s="512">
        <f>+'F1 SEZ'!D88+'F1 Non-SEZ'!D88</f>
        <v>0</v>
      </c>
      <c r="E88" s="512">
        <f>+'F1 SEZ'!E88+'F1 Non-SEZ'!E88</f>
        <v>0</v>
      </c>
      <c r="F88" s="512">
        <f>+'F1 SEZ'!F88+'F1 Non-SEZ'!F88</f>
        <v>0</v>
      </c>
      <c r="G88" s="512">
        <f>+'F1 SEZ'!G88+'F1 Non-SEZ'!G88</f>
        <v>0</v>
      </c>
      <c r="H88" s="512">
        <f>+'F1 SEZ'!H88+'F1 Non-SEZ'!H88</f>
        <v>0</v>
      </c>
      <c r="I88" s="512">
        <f>+'F1 SEZ'!I88+'F1 Non-SEZ'!I88</f>
        <v>0</v>
      </c>
      <c r="J88" s="512">
        <f>+'F1 SEZ'!J88+'F1 Non-SEZ'!J88</f>
        <v>0</v>
      </c>
      <c r="K88" s="512">
        <f>+'F1 SEZ'!K88+'F1 Non-SEZ'!K88</f>
        <v>0</v>
      </c>
      <c r="L88" s="512">
        <f>+'F1 SEZ'!L88+'F1 Non-SEZ'!L88</f>
        <v>0</v>
      </c>
      <c r="M88" s="512">
        <f>+'F1 SEZ'!M88+'F1 Non-SEZ'!M88</f>
        <v>0</v>
      </c>
      <c r="N88" s="512">
        <f>+'F1 SEZ'!N88+'F1 Non-SEZ'!N88</f>
        <v>0</v>
      </c>
      <c r="O88" s="510">
        <f t="shared" si="18"/>
        <v>0</v>
      </c>
      <c r="P88" s="561"/>
      <c r="Q88" s="562"/>
    </row>
    <row r="89" spans="2:17" x14ac:dyDescent="0.4">
      <c r="B89" s="519" t="s">
        <v>1135</v>
      </c>
      <c r="C89" s="512">
        <f>+'F1 SEZ'!C89+'F1 Non-SEZ'!C89</f>
        <v>1.0109E-2</v>
      </c>
      <c r="D89" s="512">
        <f>+'F1 SEZ'!D89+'F1 Non-SEZ'!D89</f>
        <v>1.0880000000000001E-2</v>
      </c>
      <c r="E89" s="512">
        <f>+'F1 SEZ'!E89+'F1 Non-SEZ'!E89</f>
        <v>1.2352999999999999E-2</v>
      </c>
      <c r="F89" s="512">
        <f>+'F1 SEZ'!F89+'F1 Non-SEZ'!F89</f>
        <v>8.3479999999999995E-3</v>
      </c>
      <c r="G89" s="512">
        <f>+'F1 SEZ'!G89+'F1 Non-SEZ'!G89</f>
        <v>1.1391E-2</v>
      </c>
      <c r="H89" s="512">
        <f>+'F1 SEZ'!H89+'F1 Non-SEZ'!H89</f>
        <v>1.0869999999999999E-2</v>
      </c>
      <c r="I89" s="512">
        <f>+'F1 SEZ'!I89+'F1 Non-SEZ'!I89</f>
        <v>1.0437999999999999E-2</v>
      </c>
      <c r="J89" s="512">
        <f>+'F1 SEZ'!J89+'F1 Non-SEZ'!J89</f>
        <v>9.946E-3</v>
      </c>
      <c r="K89" s="512">
        <f>+'F1 SEZ'!K89+'F1 Non-SEZ'!K89</f>
        <v>1.0168E-2</v>
      </c>
      <c r="L89" s="512">
        <f>+'F1 SEZ'!L89+'F1 Non-SEZ'!L89</f>
        <v>9.1959999999999993E-3</v>
      </c>
      <c r="M89" s="512">
        <f>+'F1 SEZ'!M89+'F1 Non-SEZ'!M89</f>
        <v>9.6530000000000001E-3</v>
      </c>
      <c r="N89" s="512">
        <f>+'F1 SEZ'!N89+'F1 Non-SEZ'!N89</f>
        <v>9.9319999999999999E-3</v>
      </c>
      <c r="O89" s="510">
        <f>SUM(C89:N89)</f>
        <v>0.12328399999999998</v>
      </c>
      <c r="P89" s="561"/>
      <c r="Q89" s="562"/>
    </row>
    <row r="90" spans="2:17" x14ac:dyDescent="0.4">
      <c r="B90" s="519" t="s">
        <v>1136</v>
      </c>
      <c r="C90" s="512">
        <f>+'F1 SEZ'!C90+'F1 Non-SEZ'!C90</f>
        <v>0</v>
      </c>
      <c r="D90" s="512">
        <f>+'F1 SEZ'!D90+'F1 Non-SEZ'!D90</f>
        <v>2.483E-3</v>
      </c>
      <c r="E90" s="512">
        <f>+'F1 SEZ'!E90+'F1 Non-SEZ'!E90</f>
        <v>2.385E-3</v>
      </c>
      <c r="F90" s="512">
        <f>+'F1 SEZ'!F90+'F1 Non-SEZ'!F90</f>
        <v>1.3294300000000002E-3</v>
      </c>
      <c r="G90" s="512">
        <f>+'F1 SEZ'!G90+'F1 Non-SEZ'!G90</f>
        <v>1.1996999999999999E-3</v>
      </c>
      <c r="H90" s="512">
        <f>+'F1 SEZ'!H90+'F1 Non-SEZ'!H90</f>
        <v>9.4589999999999995E-4</v>
      </c>
      <c r="I90" s="512">
        <f>+'F1 SEZ'!I90+'F1 Non-SEZ'!I90</f>
        <v>1.0974000000000001E-3</v>
      </c>
      <c r="J90" s="512">
        <f>+'F1 SEZ'!J90+'F1 Non-SEZ'!J90</f>
        <v>1.0968E-3</v>
      </c>
      <c r="K90" s="512">
        <f>+'F1 SEZ'!K90+'F1 Non-SEZ'!K90</f>
        <v>8.2170000000000008E-4</v>
      </c>
      <c r="L90" s="512">
        <f>+'F1 SEZ'!L90+'F1 Non-SEZ'!L90</f>
        <v>4.8689999999999996E-4</v>
      </c>
      <c r="M90" s="512">
        <f>+'F1 SEZ'!M90+'F1 Non-SEZ'!M90</f>
        <v>6.1200000000000002E-4</v>
      </c>
      <c r="N90" s="512">
        <f>+'F1 SEZ'!N90+'F1 Non-SEZ'!N90</f>
        <v>7.2900000000000005E-4</v>
      </c>
      <c r="O90" s="510">
        <f>SUM(C90:N90)</f>
        <v>1.318683E-2</v>
      </c>
      <c r="P90" s="561"/>
      <c r="Q90" s="562"/>
    </row>
    <row r="91" spans="2:17" x14ac:dyDescent="0.4">
      <c r="B91" s="566" t="s">
        <v>1142</v>
      </c>
      <c r="C91" s="512"/>
      <c r="D91" s="512"/>
      <c r="E91" s="512"/>
      <c r="F91" s="512"/>
      <c r="G91" s="512"/>
      <c r="H91" s="512"/>
      <c r="I91" s="512"/>
      <c r="J91" s="512"/>
      <c r="K91" s="512"/>
      <c r="L91" s="512"/>
      <c r="M91" s="512"/>
      <c r="N91" s="512"/>
      <c r="O91" s="510"/>
      <c r="P91" s="561"/>
      <c r="Q91" s="562"/>
    </row>
    <row r="92" spans="2:17" x14ac:dyDescent="0.4">
      <c r="B92" s="175" t="s">
        <v>162</v>
      </c>
      <c r="C92" s="513">
        <f>SUM(C82:C90)</f>
        <v>3.3078999999999997E-2</v>
      </c>
      <c r="D92" s="513">
        <f t="shared" ref="D92:O92" si="19">SUM(D82:D90)</f>
        <v>3.9162000000000002E-2</v>
      </c>
      <c r="E92" s="513">
        <f t="shared" si="19"/>
        <v>3.9120000000000002E-2</v>
      </c>
      <c r="F92" s="513">
        <f t="shared" si="19"/>
        <v>3.2491430000000002E-2</v>
      </c>
      <c r="G92" s="513">
        <f t="shared" si="19"/>
        <v>3.5641699999999998E-2</v>
      </c>
      <c r="H92" s="513">
        <f t="shared" si="19"/>
        <v>3.4399899999999997E-2</v>
      </c>
      <c r="I92" s="513">
        <f t="shared" si="19"/>
        <v>3.3807400000000001E-2</v>
      </c>
      <c r="J92" s="513">
        <f t="shared" si="19"/>
        <v>7.9558799999999985E-2</v>
      </c>
      <c r="K92" s="513">
        <f t="shared" si="19"/>
        <v>7.7985699999999991E-2</v>
      </c>
      <c r="L92" s="513">
        <f t="shared" si="19"/>
        <v>8.7637899999999991E-2</v>
      </c>
      <c r="M92" s="513">
        <f t="shared" si="19"/>
        <v>8.4982999999999989E-2</v>
      </c>
      <c r="N92" s="513">
        <f t="shared" si="19"/>
        <v>6.4252979999999987E-2</v>
      </c>
      <c r="O92" s="513">
        <f t="shared" si="19"/>
        <v>0.64211980999999985</v>
      </c>
    </row>
    <row r="93" spans="2:17" x14ac:dyDescent="0.4">
      <c r="B93" s="175"/>
      <c r="C93" s="512"/>
      <c r="D93" s="512"/>
      <c r="E93" s="512"/>
      <c r="F93" s="512"/>
      <c r="G93" s="512"/>
      <c r="H93" s="512"/>
      <c r="I93" s="512"/>
      <c r="J93" s="512"/>
      <c r="K93" s="512"/>
      <c r="L93" s="512"/>
      <c r="M93" s="512"/>
      <c r="N93" s="512"/>
      <c r="O93" s="538"/>
    </row>
    <row r="94" spans="2:17" x14ac:dyDescent="0.4">
      <c r="B94" s="119" t="s">
        <v>164</v>
      </c>
      <c r="C94" s="513">
        <f t="shared" ref="C94:N94" si="20">C79+C92</f>
        <v>0.23191944</v>
      </c>
      <c r="D94" s="513">
        <f t="shared" si="20"/>
        <v>0.24694317000000002</v>
      </c>
      <c r="E94" s="513">
        <f t="shared" si="20"/>
        <v>0.24715687000000003</v>
      </c>
      <c r="F94" s="513">
        <f t="shared" si="20"/>
        <v>0.26595472999999997</v>
      </c>
      <c r="G94" s="513">
        <f t="shared" si="20"/>
        <v>0.25971975999999997</v>
      </c>
      <c r="H94" s="513">
        <f t="shared" si="20"/>
        <v>0.27535875999999998</v>
      </c>
      <c r="I94" s="513">
        <f t="shared" si="20"/>
        <v>0.27127953999999999</v>
      </c>
      <c r="J94" s="513">
        <f t="shared" si="20"/>
        <v>0.25980591999999997</v>
      </c>
      <c r="K94" s="513">
        <f t="shared" si="20"/>
        <v>0.27227870999999998</v>
      </c>
      <c r="L94" s="513">
        <f t="shared" si="20"/>
        <v>0.25416573999999997</v>
      </c>
      <c r="M94" s="513">
        <f t="shared" si="20"/>
        <v>0.25314799999999998</v>
      </c>
      <c r="N94" s="513">
        <f t="shared" si="20"/>
        <v>0.23600527000000002</v>
      </c>
      <c r="O94" s="539">
        <f>+O79+O92</f>
        <v>3.0737359099999999</v>
      </c>
    </row>
    <row r="95" spans="2:17" x14ac:dyDescent="0.4">
      <c r="B95" s="118" t="s">
        <v>165</v>
      </c>
    </row>
    <row r="96" spans="2:17" x14ac:dyDescent="0.4">
      <c r="B96" s="27" t="s">
        <v>166</v>
      </c>
    </row>
    <row r="97" spans="2:17" x14ac:dyDescent="0.4">
      <c r="B97" s="1" t="s">
        <v>184</v>
      </c>
      <c r="C97" s="30"/>
      <c r="D97" s="30"/>
      <c r="E97" s="30"/>
      <c r="F97" s="30"/>
    </row>
    <row r="98" spans="2:17" x14ac:dyDescent="0.4">
      <c r="B98" s="27" t="s">
        <v>168</v>
      </c>
      <c r="C98" s="30"/>
      <c r="D98" s="30"/>
      <c r="E98" s="30"/>
      <c r="F98" s="30"/>
    </row>
    <row r="99" spans="2:17" x14ac:dyDescent="0.4">
      <c r="B99" s="32"/>
    </row>
    <row r="100" spans="2:17" x14ac:dyDescent="0.4">
      <c r="B100" s="32" t="s">
        <v>1022</v>
      </c>
      <c r="C100" s="8"/>
      <c r="D100" s="8"/>
      <c r="E100" s="8"/>
      <c r="F100" s="8"/>
      <c r="G100" s="8"/>
      <c r="H100" s="8"/>
      <c r="I100" s="8"/>
      <c r="J100" s="8"/>
      <c r="K100" s="8"/>
      <c r="L100" s="8"/>
      <c r="M100" s="8"/>
      <c r="N100" s="8"/>
      <c r="O100" s="4"/>
    </row>
    <row r="101" spans="2:17" x14ac:dyDescent="0.4">
      <c r="B101" s="32"/>
      <c r="C101" s="38"/>
      <c r="D101" s="38"/>
      <c r="O101" s="38" t="s">
        <v>171</v>
      </c>
    </row>
    <row r="102" spans="2:17" x14ac:dyDescent="0.4">
      <c r="B102" s="98" t="s">
        <v>160</v>
      </c>
      <c r="C102" s="98" t="s">
        <v>172</v>
      </c>
      <c r="D102" s="98" t="s">
        <v>173</v>
      </c>
      <c r="E102" s="98" t="s">
        <v>174</v>
      </c>
      <c r="F102" s="98" t="s">
        <v>175</v>
      </c>
      <c r="G102" s="98" t="s">
        <v>176</v>
      </c>
      <c r="H102" s="98" t="s">
        <v>177</v>
      </c>
      <c r="I102" s="98" t="s">
        <v>178</v>
      </c>
      <c r="J102" s="98" t="s">
        <v>179</v>
      </c>
      <c r="K102" s="98" t="s">
        <v>180</v>
      </c>
      <c r="L102" s="98" t="s">
        <v>181</v>
      </c>
      <c r="M102" s="98" t="s">
        <v>182</v>
      </c>
      <c r="N102" s="98" t="s">
        <v>183</v>
      </c>
      <c r="O102" s="98" t="s">
        <v>164</v>
      </c>
    </row>
    <row r="103" spans="2:17" x14ac:dyDescent="0.4">
      <c r="B103" s="517" t="s">
        <v>161</v>
      </c>
      <c r="C103" s="540"/>
      <c r="D103" s="540"/>
      <c r="E103" s="541"/>
      <c r="F103" s="542"/>
      <c r="G103" s="541"/>
      <c r="H103" s="541"/>
      <c r="I103" s="541"/>
      <c r="J103" s="541"/>
      <c r="K103" s="541"/>
      <c r="L103" s="541"/>
      <c r="M103" s="541"/>
      <c r="N103" s="541"/>
      <c r="O103" s="540"/>
    </row>
    <row r="104" spans="2:17" x14ac:dyDescent="0.4">
      <c r="B104" s="429" t="s">
        <v>1129</v>
      </c>
      <c r="C104" s="512">
        <f>+'F1 SEZ'!C103+'F1 Non-SEZ'!C103</f>
        <v>0</v>
      </c>
      <c r="D104" s="512">
        <f>+'F1 SEZ'!D103+'F1 Non-SEZ'!D103</f>
        <v>0</v>
      </c>
      <c r="E104" s="512">
        <f>+'F1 SEZ'!E103+'F1 Non-SEZ'!E103</f>
        <v>0</v>
      </c>
      <c r="F104" s="512">
        <f>+'F1 SEZ'!F103+'F1 Non-SEZ'!F103</f>
        <v>0</v>
      </c>
      <c r="G104" s="512">
        <f>+'F1 SEZ'!G103+'F1 Non-SEZ'!G103</f>
        <v>0</v>
      </c>
      <c r="H104" s="512">
        <f>+'F1 SEZ'!H103+'F1 Non-SEZ'!H103</f>
        <v>0</v>
      </c>
      <c r="I104" s="512">
        <f>+'F1 SEZ'!I103+'F1 Non-SEZ'!I103</f>
        <v>0</v>
      </c>
      <c r="J104" s="512">
        <f>+'F1 SEZ'!J103+'F1 Non-SEZ'!J103</f>
        <v>0</v>
      </c>
      <c r="K104" s="512">
        <f>+'F1 SEZ'!K103+'F1 Non-SEZ'!K103</f>
        <v>0</v>
      </c>
      <c r="L104" s="512">
        <f>+'F1 SEZ'!L103+'F1 Non-SEZ'!L103</f>
        <v>0</v>
      </c>
      <c r="M104" s="512">
        <f>+'F1 SEZ'!M103+'F1 Non-SEZ'!M103</f>
        <v>0</v>
      </c>
      <c r="N104" s="512">
        <f>+'F1 SEZ'!N103+'F1 Non-SEZ'!N103</f>
        <v>1.44E-2</v>
      </c>
      <c r="O104" s="544">
        <f>SUM(C104:N104)</f>
        <v>1.44E-2</v>
      </c>
      <c r="P104" s="561"/>
      <c r="Q104" s="562"/>
    </row>
    <row r="105" spans="2:17" x14ac:dyDescent="0.4">
      <c r="B105" s="429" t="s">
        <v>1130</v>
      </c>
      <c r="C105" s="512">
        <f>+'F1 SEZ'!C104+'F1 Non-SEZ'!C104</f>
        <v>0.13674323999999999</v>
      </c>
      <c r="D105" s="512">
        <f>+'F1 SEZ'!D104+'F1 Non-SEZ'!D104</f>
        <v>0.17050226000000002</v>
      </c>
      <c r="E105" s="512">
        <f>+'F1 SEZ'!E104+'F1 Non-SEZ'!E104</f>
        <v>0.22207947</v>
      </c>
      <c r="F105" s="512">
        <f>+'F1 SEZ'!F104+'F1 Non-SEZ'!F104</f>
        <v>0.37797284000000003</v>
      </c>
      <c r="G105" s="512">
        <f>+'F1 SEZ'!G104+'F1 Non-SEZ'!G104</f>
        <v>0.67011540000000003</v>
      </c>
      <c r="H105" s="512">
        <f>+'F1 SEZ'!H104+'F1 Non-SEZ'!H104</f>
        <v>0.75534069999999998</v>
      </c>
      <c r="I105" s="512">
        <f>+'F1 SEZ'!I104+'F1 Non-SEZ'!I104</f>
        <v>0.74586701</v>
      </c>
      <c r="J105" s="512">
        <f>+'F1 SEZ'!J104+'F1 Non-SEZ'!J104</f>
        <v>0.66990434999999993</v>
      </c>
      <c r="K105" s="512">
        <f>+'F1 SEZ'!K104+'F1 Non-SEZ'!K104</f>
        <v>0.6950672</v>
      </c>
      <c r="L105" s="512">
        <f>+'F1 SEZ'!L104+'F1 Non-SEZ'!L104</f>
        <v>0.76876736999999995</v>
      </c>
      <c r="M105" s="512">
        <f>+'F1 SEZ'!M104+'F1 Non-SEZ'!M104</f>
        <v>0.71843003000000005</v>
      </c>
      <c r="N105" s="512">
        <f>+'F1 SEZ'!N104+'F1 Non-SEZ'!N104</f>
        <v>0.90728127000000003</v>
      </c>
      <c r="O105" s="544">
        <f>SUM(C105:N105)</f>
        <v>6.8380711400000012</v>
      </c>
      <c r="P105" s="561"/>
      <c r="Q105" s="562"/>
    </row>
    <row r="106" spans="2:17" x14ac:dyDescent="0.4">
      <c r="B106" s="429" t="s">
        <v>1131</v>
      </c>
      <c r="C106" s="512">
        <f>+'F1 SEZ'!C105+'F1 Non-SEZ'!C105</f>
        <v>0</v>
      </c>
      <c r="D106" s="512">
        <f>+'F1 SEZ'!D105+'F1 Non-SEZ'!D105</f>
        <v>0</v>
      </c>
      <c r="E106" s="512">
        <f>+'F1 SEZ'!E105+'F1 Non-SEZ'!E105</f>
        <v>0</v>
      </c>
      <c r="F106" s="512">
        <f>+'F1 SEZ'!F105+'F1 Non-SEZ'!F105</f>
        <v>0</v>
      </c>
      <c r="G106" s="512">
        <f>+'F1 SEZ'!G105+'F1 Non-SEZ'!G105</f>
        <v>0</v>
      </c>
      <c r="H106" s="512">
        <f>+'F1 SEZ'!H105+'F1 Non-SEZ'!H105</f>
        <v>0</v>
      </c>
      <c r="I106" s="512">
        <f>+'F1 SEZ'!I105+'F1 Non-SEZ'!I105</f>
        <v>0</v>
      </c>
      <c r="J106" s="512">
        <f>+'F1 SEZ'!J105+'F1 Non-SEZ'!J105</f>
        <v>0</v>
      </c>
      <c r="K106" s="512">
        <f>+'F1 SEZ'!K105+'F1 Non-SEZ'!K105</f>
        <v>0</v>
      </c>
      <c r="L106" s="512">
        <f>+'F1 SEZ'!L105+'F1 Non-SEZ'!L105</f>
        <v>0</v>
      </c>
      <c r="M106" s="512">
        <f>+'F1 SEZ'!M105+'F1 Non-SEZ'!M105</f>
        <v>0</v>
      </c>
      <c r="N106" s="512">
        <f>+'F1 SEZ'!N105+'F1 Non-SEZ'!N105</f>
        <v>0</v>
      </c>
      <c r="O106" s="544">
        <f>SUM(C106:N106)</f>
        <v>0</v>
      </c>
      <c r="P106" s="561"/>
      <c r="Q106" s="562"/>
    </row>
    <row r="107" spans="2:17" x14ac:dyDescent="0.4">
      <c r="B107" s="429" t="s">
        <v>1132</v>
      </c>
      <c r="C107" s="512">
        <f>+'F1 SEZ'!C106+'F1 Non-SEZ'!C106</f>
        <v>0</v>
      </c>
      <c r="D107" s="512">
        <f>+'F1 SEZ'!D106+'F1 Non-SEZ'!D106</f>
        <v>0</v>
      </c>
      <c r="E107" s="512">
        <f>+'F1 SEZ'!E106+'F1 Non-SEZ'!E106</f>
        <v>0</v>
      </c>
      <c r="F107" s="512">
        <f>+'F1 SEZ'!F106+'F1 Non-SEZ'!F106</f>
        <v>0</v>
      </c>
      <c r="G107" s="512">
        <f>+'F1 SEZ'!G106+'F1 Non-SEZ'!G106</f>
        <v>0</v>
      </c>
      <c r="H107" s="512">
        <f>+'F1 SEZ'!H106+'F1 Non-SEZ'!H106</f>
        <v>0</v>
      </c>
      <c r="I107" s="512">
        <f>+'F1 SEZ'!I106+'F1 Non-SEZ'!I106</f>
        <v>0</v>
      </c>
      <c r="J107" s="512">
        <f>+'F1 SEZ'!J106+'F1 Non-SEZ'!J106</f>
        <v>0</v>
      </c>
      <c r="K107" s="512">
        <f>+'F1 SEZ'!K106+'F1 Non-SEZ'!K106</f>
        <v>0</v>
      </c>
      <c r="L107" s="512">
        <f>+'F1 SEZ'!L106+'F1 Non-SEZ'!L106</f>
        <v>0</v>
      </c>
      <c r="M107" s="512">
        <f>+'F1 SEZ'!M106+'F1 Non-SEZ'!M106</f>
        <v>0</v>
      </c>
      <c r="N107" s="512">
        <f>+'F1 SEZ'!N106+'F1 Non-SEZ'!N106</f>
        <v>0</v>
      </c>
      <c r="O107" s="544">
        <f>SUM(C107:N107)</f>
        <v>0</v>
      </c>
      <c r="P107" s="561"/>
      <c r="Q107" s="562"/>
    </row>
    <row r="108" spans="2:17" x14ac:dyDescent="0.4">
      <c r="B108" s="518" t="s">
        <v>162</v>
      </c>
      <c r="C108" s="545">
        <f>SUM(C104:C107)</f>
        <v>0.13674323999999999</v>
      </c>
      <c r="D108" s="545">
        <f t="shared" ref="D108:O108" si="21">SUM(D104:D107)</f>
        <v>0.17050226000000002</v>
      </c>
      <c r="E108" s="545">
        <f t="shared" si="21"/>
        <v>0.22207947</v>
      </c>
      <c r="F108" s="545">
        <f t="shared" si="21"/>
        <v>0.37797284000000003</v>
      </c>
      <c r="G108" s="545">
        <f t="shared" si="21"/>
        <v>0.67011540000000003</v>
      </c>
      <c r="H108" s="545">
        <f t="shared" si="21"/>
        <v>0.75534069999999998</v>
      </c>
      <c r="I108" s="545">
        <f t="shared" si="21"/>
        <v>0.74586701</v>
      </c>
      <c r="J108" s="545">
        <f t="shared" si="21"/>
        <v>0.66990434999999993</v>
      </c>
      <c r="K108" s="545">
        <f t="shared" si="21"/>
        <v>0.6950672</v>
      </c>
      <c r="L108" s="545">
        <f t="shared" si="21"/>
        <v>0.76876736999999995</v>
      </c>
      <c r="M108" s="545">
        <f t="shared" si="21"/>
        <v>0.71843003000000005</v>
      </c>
      <c r="N108" s="545">
        <f t="shared" si="21"/>
        <v>0.92168127</v>
      </c>
      <c r="O108" s="545">
        <f t="shared" si="21"/>
        <v>6.8524711400000013</v>
      </c>
      <c r="P108" s="561"/>
      <c r="Q108" s="562"/>
    </row>
    <row r="109" spans="2:17" x14ac:dyDescent="0.4">
      <c r="B109" s="517" t="s">
        <v>163</v>
      </c>
      <c r="C109" s="545"/>
      <c r="D109" s="545"/>
      <c r="E109" s="545"/>
      <c r="F109" s="545"/>
      <c r="G109" s="545"/>
      <c r="H109" s="545"/>
      <c r="I109" s="545"/>
      <c r="J109" s="545"/>
      <c r="K109" s="545"/>
      <c r="L109" s="545"/>
      <c r="M109" s="545"/>
      <c r="N109" s="545"/>
      <c r="O109" s="545"/>
    </row>
    <row r="110" spans="2:17" x14ac:dyDescent="0.4">
      <c r="B110" s="519" t="s">
        <v>1133</v>
      </c>
      <c r="C110" s="546"/>
      <c r="D110" s="546"/>
      <c r="E110" s="547"/>
      <c r="F110" s="546"/>
      <c r="G110" s="547"/>
      <c r="H110" s="547"/>
      <c r="I110" s="543"/>
      <c r="J110" s="545"/>
      <c r="K110" s="547"/>
      <c r="L110" s="545"/>
      <c r="M110" s="545"/>
      <c r="N110" s="548"/>
      <c r="O110" s="544">
        <f t="shared" ref="O110:O121" si="22">SUM(C110:N110)</f>
        <v>0</v>
      </c>
    </row>
    <row r="111" spans="2:17" x14ac:dyDescent="0.4">
      <c r="B111" s="520" t="s">
        <v>1106</v>
      </c>
      <c r="C111" s="512">
        <f>+'F1 SEZ'!C110+'F1 Non-SEZ'!C110</f>
        <v>8.2039999999999995E-3</v>
      </c>
      <c r="D111" s="512">
        <f>+'F1 SEZ'!D110+'F1 Non-SEZ'!D110</f>
        <v>9.8307700000000008E-3</v>
      </c>
      <c r="E111" s="512">
        <f>+'F1 SEZ'!E110+'F1 Non-SEZ'!E110</f>
        <v>1.1536329999999999E-2</v>
      </c>
      <c r="F111" s="512">
        <f>+'F1 SEZ'!F110+'F1 Non-SEZ'!F110</f>
        <v>1.3002E-2</v>
      </c>
      <c r="G111" s="512">
        <f>+'F1 SEZ'!G110+'F1 Non-SEZ'!G110</f>
        <v>1.3668E-2</v>
      </c>
      <c r="H111" s="512">
        <f>+'F1 SEZ'!H110+'F1 Non-SEZ'!H110</f>
        <v>1.315E-2</v>
      </c>
      <c r="I111" s="512">
        <f>+'F1 SEZ'!I110+'F1 Non-SEZ'!I110</f>
        <v>1.567528E-2</v>
      </c>
      <c r="J111" s="512">
        <f>+'F1 SEZ'!J110+'F1 Non-SEZ'!J110</f>
        <v>1.5862000000000001E-2</v>
      </c>
      <c r="K111" s="512">
        <f>+'F1 SEZ'!K110+'F1 Non-SEZ'!K110</f>
        <v>1.7311279999999998E-2</v>
      </c>
      <c r="L111" s="512">
        <f>+'F1 SEZ'!L110+'F1 Non-SEZ'!L110</f>
        <v>1.835459E-2</v>
      </c>
      <c r="M111" s="512">
        <f>+'F1 SEZ'!M110+'F1 Non-SEZ'!M110</f>
        <v>1.8162000000000001E-2</v>
      </c>
      <c r="N111" s="512">
        <f>+'F1 SEZ'!N110+'F1 Non-SEZ'!N110</f>
        <v>2.1302999999999999E-2</v>
      </c>
      <c r="O111" s="544">
        <f t="shared" si="22"/>
        <v>0.17605925</v>
      </c>
      <c r="P111" s="561"/>
      <c r="Q111" s="562"/>
    </row>
    <row r="112" spans="2:17" x14ac:dyDescent="0.4">
      <c r="B112" s="520" t="s">
        <v>1107</v>
      </c>
      <c r="C112" s="512">
        <f>+'F1 SEZ'!C111+'F1 Non-SEZ'!C111</f>
        <v>7.8619999999999992E-3</v>
      </c>
      <c r="D112" s="512">
        <f>+'F1 SEZ'!D111+'F1 Non-SEZ'!D111</f>
        <v>8.4091550000000015E-3</v>
      </c>
      <c r="E112" s="512">
        <f>+'F1 SEZ'!E111+'F1 Non-SEZ'!E111</f>
        <v>1.0525670000000001E-2</v>
      </c>
      <c r="F112" s="512">
        <f>+'F1 SEZ'!F111+'F1 Non-SEZ'!F111</f>
        <v>1.2416E-2</v>
      </c>
      <c r="G112" s="512">
        <f>+'F1 SEZ'!G111+'F1 Non-SEZ'!G111</f>
        <v>1.1931000000000001E-2</v>
      </c>
      <c r="H112" s="512">
        <f>+'F1 SEZ'!H111+'F1 Non-SEZ'!H111</f>
        <v>1.0208E-2</v>
      </c>
      <c r="I112" s="512">
        <f>+'F1 SEZ'!I111+'F1 Non-SEZ'!I111</f>
        <v>1.3000629999999999E-2</v>
      </c>
      <c r="J112" s="512">
        <f>+'F1 SEZ'!J111+'F1 Non-SEZ'!J111</f>
        <v>1.1001E-2</v>
      </c>
      <c r="K112" s="512">
        <f>+'F1 SEZ'!K111+'F1 Non-SEZ'!K111</f>
        <v>1.1514659999999999E-2</v>
      </c>
      <c r="L112" s="512">
        <f>+'F1 SEZ'!L111+'F1 Non-SEZ'!L111</f>
        <v>1.1989329999999999E-2</v>
      </c>
      <c r="M112" s="512">
        <f>+'F1 SEZ'!M111+'F1 Non-SEZ'!M111</f>
        <v>1.107E-2</v>
      </c>
      <c r="N112" s="512">
        <f>+'F1 SEZ'!N111+'F1 Non-SEZ'!N111</f>
        <v>1.9285E-2</v>
      </c>
      <c r="O112" s="1455">
        <f t="shared" si="22"/>
        <v>0.13921244499999999</v>
      </c>
      <c r="P112" s="561"/>
      <c r="Q112" s="562"/>
    </row>
    <row r="113" spans="2:17" x14ac:dyDescent="0.4">
      <c r="B113" s="520" t="s">
        <v>1108</v>
      </c>
      <c r="C113" s="512">
        <f>+'F1 SEZ'!C112+'F1 Non-SEZ'!C112</f>
        <v>3.3670000000000002E-3</v>
      </c>
      <c r="D113" s="512">
        <f>+'F1 SEZ'!D112+'F1 Non-SEZ'!D112</f>
        <v>3.6613710000000001E-3</v>
      </c>
      <c r="E113" s="512">
        <f>+'F1 SEZ'!E112+'F1 Non-SEZ'!E112</f>
        <v>2.9680000000000002E-3</v>
      </c>
      <c r="F113" s="512">
        <f>+'F1 SEZ'!F112+'F1 Non-SEZ'!F112</f>
        <v>3.5920000000000001E-3</v>
      </c>
      <c r="G113" s="512">
        <f>+'F1 SEZ'!G112+'F1 Non-SEZ'!G112</f>
        <v>2.9399999999999999E-3</v>
      </c>
      <c r="H113" s="512">
        <f>+'F1 SEZ'!H112+'F1 Non-SEZ'!H112</f>
        <v>1.9E-3</v>
      </c>
      <c r="I113" s="512">
        <f>+'F1 SEZ'!I112+'F1 Non-SEZ'!I112</f>
        <v>4.5247109999999998E-3</v>
      </c>
      <c r="J113" s="512">
        <f>+'F1 SEZ'!J112+'F1 Non-SEZ'!J112</f>
        <v>3.2109999999999999E-3</v>
      </c>
      <c r="K113" s="512">
        <f>+'F1 SEZ'!K112+'F1 Non-SEZ'!K112</f>
        <v>3.0090250000000002E-3</v>
      </c>
      <c r="L113" s="512">
        <f>+'F1 SEZ'!L112+'F1 Non-SEZ'!L112</f>
        <v>2.933382E-3</v>
      </c>
      <c r="M113" s="512">
        <f>+'F1 SEZ'!M112+'F1 Non-SEZ'!M112</f>
        <v>2.9420000000000002E-3</v>
      </c>
      <c r="N113" s="512">
        <f>+'F1 SEZ'!N112+'F1 Non-SEZ'!N112</f>
        <v>7.1029999999999999E-3</v>
      </c>
      <c r="O113" s="544">
        <f t="shared" si="22"/>
        <v>4.2151488999999993E-2</v>
      </c>
      <c r="P113" s="561"/>
      <c r="Q113" s="562"/>
    </row>
    <row r="114" spans="2:17" x14ac:dyDescent="0.4">
      <c r="B114" s="520" t="s">
        <v>1109</v>
      </c>
      <c r="C114" s="512">
        <f>+'F1 SEZ'!C113+'F1 Non-SEZ'!C113</f>
        <v>2.6509000000000001E-2</v>
      </c>
      <c r="D114" s="512">
        <f>+'F1 SEZ'!D113+'F1 Non-SEZ'!D113</f>
        <v>2.7998700000000001E-2</v>
      </c>
      <c r="E114" s="512">
        <f>+'F1 SEZ'!E113+'F1 Non-SEZ'!E113</f>
        <v>2.9003999999999999E-2</v>
      </c>
      <c r="F114" s="512">
        <f>+'F1 SEZ'!F113+'F1 Non-SEZ'!F113</f>
        <v>2.6303E-2</v>
      </c>
      <c r="G114" s="512">
        <f>+'F1 SEZ'!G113+'F1 Non-SEZ'!G113</f>
        <v>1.3410999999999999E-2</v>
      </c>
      <c r="H114" s="512">
        <f>+'F1 SEZ'!H113+'F1 Non-SEZ'!H113</f>
        <v>5.9760000000000004E-3</v>
      </c>
      <c r="I114" s="512">
        <f>+'F1 SEZ'!I113+'F1 Non-SEZ'!I113</f>
        <v>4.5565379999999996E-2</v>
      </c>
      <c r="J114" s="512">
        <f>+'F1 SEZ'!J113+'F1 Non-SEZ'!J113</f>
        <v>7.0018999999999998E-2</v>
      </c>
      <c r="K114" s="512">
        <f>+'F1 SEZ'!K113+'F1 Non-SEZ'!K113</f>
        <v>6.5235029999999999E-2</v>
      </c>
      <c r="L114" s="512">
        <f>+'F1 SEZ'!L113+'F1 Non-SEZ'!L113</f>
        <v>6.1694699999999998E-2</v>
      </c>
      <c r="M114" s="512">
        <f>+'F1 SEZ'!M113+'F1 Non-SEZ'!M113</f>
        <v>5.3609999999999998E-2</v>
      </c>
      <c r="N114" s="512">
        <f>+'F1 SEZ'!N113+'F1 Non-SEZ'!N113</f>
        <v>6.5232999999999999E-2</v>
      </c>
      <c r="O114" s="544">
        <f t="shared" si="22"/>
        <v>0.49055880999999996</v>
      </c>
      <c r="P114" s="561"/>
      <c r="Q114" s="562"/>
    </row>
    <row r="115" spans="2:17" x14ac:dyDescent="0.4">
      <c r="B115" s="520" t="s">
        <v>1110</v>
      </c>
      <c r="C115" s="512">
        <f>+'F1 SEZ'!C114+'F1 Non-SEZ'!C114</f>
        <v>0</v>
      </c>
      <c r="D115" s="512">
        <f>+'F1 SEZ'!D114+'F1 Non-SEZ'!D114</f>
        <v>0</v>
      </c>
      <c r="E115" s="512">
        <f>+'F1 SEZ'!E114+'F1 Non-SEZ'!E114</f>
        <v>0</v>
      </c>
      <c r="F115" s="512">
        <f>+'F1 SEZ'!F114+'F1 Non-SEZ'!F114</f>
        <v>0</v>
      </c>
      <c r="G115" s="512">
        <f>+'F1 SEZ'!G114+'F1 Non-SEZ'!G114</f>
        <v>0</v>
      </c>
      <c r="H115" s="512">
        <f>+'F1 SEZ'!H114+'F1 Non-SEZ'!H114</f>
        <v>0</v>
      </c>
      <c r="I115" s="512">
        <f>+'F1 SEZ'!I114+'F1 Non-SEZ'!I114</f>
        <v>0</v>
      </c>
      <c r="J115" s="512">
        <f>+'F1 SEZ'!J114+'F1 Non-SEZ'!J114</f>
        <v>0</v>
      </c>
      <c r="K115" s="512">
        <f>+'F1 SEZ'!K114+'F1 Non-SEZ'!K114</f>
        <v>0</v>
      </c>
      <c r="L115" s="512">
        <f>+'F1 SEZ'!L114+'F1 Non-SEZ'!L114</f>
        <v>0</v>
      </c>
      <c r="M115" s="512">
        <f>+'F1 SEZ'!M114+'F1 Non-SEZ'!M114</f>
        <v>0</v>
      </c>
      <c r="N115" s="512">
        <f>+'F1 SEZ'!N114+'F1 Non-SEZ'!N114</f>
        <v>0</v>
      </c>
      <c r="O115" s="544">
        <f t="shared" si="22"/>
        <v>0</v>
      </c>
      <c r="P115" s="561"/>
    </row>
    <row r="116" spans="2:17" x14ac:dyDescent="0.4">
      <c r="B116" s="519" t="s">
        <v>1139</v>
      </c>
      <c r="C116" s="512">
        <f>+'F1 SEZ'!C115+'F1 Non-SEZ'!C115</f>
        <v>0</v>
      </c>
      <c r="D116" s="512">
        <f>+'F1 SEZ'!D115+'F1 Non-SEZ'!D115</f>
        <v>0</v>
      </c>
      <c r="E116" s="512">
        <f>+'F1 SEZ'!E115+'F1 Non-SEZ'!E115</f>
        <v>0</v>
      </c>
      <c r="F116" s="512">
        <f>+'F1 SEZ'!F115+'F1 Non-SEZ'!F115</f>
        <v>0</v>
      </c>
      <c r="G116" s="512">
        <f>+'F1 SEZ'!G115+'F1 Non-SEZ'!G115</f>
        <v>0</v>
      </c>
      <c r="H116" s="512">
        <f>+'F1 SEZ'!H115+'F1 Non-SEZ'!H115</f>
        <v>0</v>
      </c>
      <c r="I116" s="512">
        <f>+'F1 SEZ'!I115+'F1 Non-SEZ'!I115</f>
        <v>0</v>
      </c>
      <c r="J116" s="512">
        <f>+'F1 SEZ'!J115+'F1 Non-SEZ'!J115</f>
        <v>0</v>
      </c>
      <c r="K116" s="512">
        <f>+'F1 SEZ'!K115+'F1 Non-SEZ'!K115</f>
        <v>0</v>
      </c>
      <c r="L116" s="512">
        <f>+'F1 SEZ'!L115+'F1 Non-SEZ'!L115</f>
        <v>0</v>
      </c>
      <c r="M116" s="512">
        <f>+'F1 SEZ'!M115+'F1 Non-SEZ'!M115</f>
        <v>0</v>
      </c>
      <c r="N116" s="512">
        <f>+'F1 SEZ'!N115+'F1 Non-SEZ'!N115</f>
        <v>0</v>
      </c>
      <c r="O116" s="544">
        <f t="shared" si="22"/>
        <v>0</v>
      </c>
      <c r="P116" s="561"/>
    </row>
    <row r="117" spans="2:17" x14ac:dyDescent="0.4">
      <c r="B117" s="520" t="s">
        <v>1140</v>
      </c>
      <c r="C117" s="512">
        <f>+'F1 SEZ'!C116+'F1 Non-SEZ'!C116</f>
        <v>1.6799999999999999E-4</v>
      </c>
      <c r="D117" s="512">
        <f>+'F1 SEZ'!D116+'F1 Non-SEZ'!D116</f>
        <v>2.5099999999999998E-4</v>
      </c>
      <c r="E117" s="512">
        <f>+'F1 SEZ'!E116+'F1 Non-SEZ'!E116</f>
        <v>2.9100000000000003E-4</v>
      </c>
      <c r="F117" s="512">
        <f>+'F1 SEZ'!F116+'F1 Non-SEZ'!F116</f>
        <v>2.8800000000000001E-4</v>
      </c>
      <c r="G117" s="512">
        <f>+'F1 SEZ'!G116+'F1 Non-SEZ'!G116</f>
        <v>5.1099999999999995E-4</v>
      </c>
      <c r="H117" s="512">
        <f>+'F1 SEZ'!H116+'F1 Non-SEZ'!H116</f>
        <v>6.0300000000000002E-4</v>
      </c>
      <c r="I117" s="512">
        <f>+'F1 SEZ'!I116+'F1 Non-SEZ'!I116</f>
        <v>1.016E-3</v>
      </c>
      <c r="J117" s="512">
        <f>+'F1 SEZ'!J116+'F1 Non-SEZ'!J116</f>
        <v>1.075E-3</v>
      </c>
      <c r="K117" s="512">
        <f>+'F1 SEZ'!K116+'F1 Non-SEZ'!K116</f>
        <v>9.7300000000000002E-4</v>
      </c>
      <c r="L117" s="512">
        <f>+'F1 SEZ'!L116+'F1 Non-SEZ'!L116</f>
        <v>8.9700000000000001E-4</v>
      </c>
      <c r="M117" s="512">
        <f>+'F1 SEZ'!M116+'F1 Non-SEZ'!M116</f>
        <v>9.0200000000000002E-4</v>
      </c>
      <c r="N117" s="512">
        <f>+'F1 SEZ'!N116+'F1 Non-SEZ'!N116</f>
        <v>1.851E-3</v>
      </c>
      <c r="O117" s="544">
        <f t="shared" si="22"/>
        <v>8.8260000000000005E-3</v>
      </c>
      <c r="P117" s="561"/>
      <c r="Q117" s="562"/>
    </row>
    <row r="118" spans="2:17" x14ac:dyDescent="0.4">
      <c r="B118" s="520" t="s">
        <v>1141</v>
      </c>
      <c r="C118" s="512">
        <f>+'F1 SEZ'!C117+'F1 Non-SEZ'!C117</f>
        <v>0</v>
      </c>
      <c r="D118" s="512">
        <f>+'F1 SEZ'!D117+'F1 Non-SEZ'!D117</f>
        <v>0</v>
      </c>
      <c r="E118" s="512">
        <f>+'F1 SEZ'!E117+'F1 Non-SEZ'!E117</f>
        <v>0</v>
      </c>
      <c r="F118" s="512">
        <f>+'F1 SEZ'!F117+'F1 Non-SEZ'!F117</f>
        <v>0</v>
      </c>
      <c r="G118" s="512">
        <f>+'F1 SEZ'!G117+'F1 Non-SEZ'!G117</f>
        <v>0</v>
      </c>
      <c r="H118" s="512">
        <f>+'F1 SEZ'!H117+'F1 Non-SEZ'!H117</f>
        <v>0</v>
      </c>
      <c r="I118" s="512">
        <f>+'F1 SEZ'!I117+'F1 Non-SEZ'!I117</f>
        <v>0</v>
      </c>
      <c r="J118" s="512">
        <f>+'F1 SEZ'!J117+'F1 Non-SEZ'!J117</f>
        <v>0</v>
      </c>
      <c r="K118" s="512">
        <f>+'F1 SEZ'!K117+'F1 Non-SEZ'!K117</f>
        <v>0</v>
      </c>
      <c r="L118" s="512">
        <f>+'F1 SEZ'!L117+'F1 Non-SEZ'!L117</f>
        <v>0</v>
      </c>
      <c r="M118" s="512">
        <f>+'F1 SEZ'!M117+'F1 Non-SEZ'!M117</f>
        <v>0</v>
      </c>
      <c r="N118" s="512">
        <f>+'F1 SEZ'!N117+'F1 Non-SEZ'!N117</f>
        <v>0</v>
      </c>
      <c r="O118" s="544">
        <f t="shared" si="22"/>
        <v>0</v>
      </c>
      <c r="P118" s="561"/>
      <c r="Q118" s="562"/>
    </row>
    <row r="119" spans="2:17" x14ac:dyDescent="0.4">
      <c r="B119" s="519" t="s">
        <v>1111</v>
      </c>
      <c r="C119" s="512">
        <f>+'F1 SEZ'!C118+'F1 Non-SEZ'!C118</f>
        <v>0</v>
      </c>
      <c r="D119" s="512">
        <f>+'F1 SEZ'!D118+'F1 Non-SEZ'!D118</f>
        <v>0</v>
      </c>
      <c r="E119" s="512">
        <f>+'F1 SEZ'!E118+'F1 Non-SEZ'!E118</f>
        <v>0</v>
      </c>
      <c r="F119" s="512">
        <f>+'F1 SEZ'!F118+'F1 Non-SEZ'!F118</f>
        <v>0</v>
      </c>
      <c r="G119" s="512">
        <f>+'F1 SEZ'!G118+'F1 Non-SEZ'!G118</f>
        <v>0</v>
      </c>
      <c r="H119" s="512">
        <f>+'F1 SEZ'!H118+'F1 Non-SEZ'!H118</f>
        <v>0</v>
      </c>
      <c r="I119" s="512">
        <f>+'F1 SEZ'!I118+'F1 Non-SEZ'!I118</f>
        <v>0</v>
      </c>
      <c r="J119" s="512">
        <f>+'F1 SEZ'!J118+'F1 Non-SEZ'!J118</f>
        <v>0</v>
      </c>
      <c r="K119" s="512">
        <f>+'F1 SEZ'!K118+'F1 Non-SEZ'!K118</f>
        <v>8.1519999999999995E-3</v>
      </c>
      <c r="L119" s="512">
        <f>+'F1 SEZ'!L118+'F1 Non-SEZ'!L118</f>
        <v>2.1056800000000001E-2</v>
      </c>
      <c r="M119" s="512">
        <f>+'F1 SEZ'!M118+'F1 Non-SEZ'!M118</f>
        <v>2.0331200000000001E-2</v>
      </c>
      <c r="N119" s="512">
        <f>+'F1 SEZ'!N118+'F1 Non-SEZ'!N118</f>
        <v>2.3040000000000001E-2</v>
      </c>
      <c r="O119" s="544">
        <f t="shared" si="22"/>
        <v>7.2580000000000006E-2</v>
      </c>
      <c r="P119" s="561"/>
      <c r="Q119" s="562"/>
    </row>
    <row r="120" spans="2:17" x14ac:dyDescent="0.4">
      <c r="B120" s="519" t="s">
        <v>1135</v>
      </c>
      <c r="C120" s="512">
        <f>+'F1 SEZ'!C119+'F1 Non-SEZ'!C119</f>
        <v>1.0893E-2</v>
      </c>
      <c r="D120" s="512">
        <f>+'F1 SEZ'!D119+'F1 Non-SEZ'!D119</f>
        <v>1.2664999999999999E-2</v>
      </c>
      <c r="E120" s="512">
        <f>+'F1 SEZ'!E119+'F1 Non-SEZ'!E119</f>
        <v>1.0071E-2</v>
      </c>
      <c r="F120" s="512">
        <f>+'F1 SEZ'!F119+'F1 Non-SEZ'!F119</f>
        <v>9.5820000000000002E-3</v>
      </c>
      <c r="G120" s="512">
        <f>+'F1 SEZ'!G119+'F1 Non-SEZ'!G119</f>
        <v>9.3290000000000005E-3</v>
      </c>
      <c r="H120" s="512">
        <f>+'F1 SEZ'!H119+'F1 Non-SEZ'!H119</f>
        <v>1.0299000000000001E-2</v>
      </c>
      <c r="I120" s="512">
        <f>+'F1 SEZ'!I119+'F1 Non-SEZ'!I119</f>
        <v>1.0631E-2</v>
      </c>
      <c r="J120" s="512">
        <f>+'F1 SEZ'!J119+'F1 Non-SEZ'!J119</f>
        <v>9.861E-3</v>
      </c>
      <c r="K120" s="512">
        <f>+'F1 SEZ'!K119+'F1 Non-SEZ'!K119</f>
        <v>9.5860000000000008E-3</v>
      </c>
      <c r="L120" s="512">
        <f>+'F1 SEZ'!L119+'F1 Non-SEZ'!L119</f>
        <v>9.2069999999999999E-3</v>
      </c>
      <c r="M120" s="512">
        <f>+'F1 SEZ'!M119+'F1 Non-SEZ'!M119</f>
        <v>8.3040000000000006E-3</v>
      </c>
      <c r="N120" s="512">
        <f>+'F1 SEZ'!N119+'F1 Non-SEZ'!N119</f>
        <v>1.0281E-2</v>
      </c>
      <c r="O120" s="544">
        <f t="shared" si="22"/>
        <v>0.120709</v>
      </c>
      <c r="P120" s="561"/>
      <c r="Q120" s="562"/>
    </row>
    <row r="121" spans="2:17" x14ac:dyDescent="0.4">
      <c r="B121" s="519" t="s">
        <v>1136</v>
      </c>
      <c r="C121" s="512">
        <f>+'F1 SEZ'!C120+'F1 Non-SEZ'!C120</f>
        <v>6.648E-4</v>
      </c>
      <c r="D121" s="512">
        <f>+'F1 SEZ'!D120+'F1 Non-SEZ'!D120</f>
        <v>3.5819999999999998E-4</v>
      </c>
      <c r="E121" s="512">
        <f>+'F1 SEZ'!E120+'F1 Non-SEZ'!E120</f>
        <v>7.0889999999999994E-4</v>
      </c>
      <c r="F121" s="512">
        <f>+'F1 SEZ'!F120+'F1 Non-SEZ'!F120</f>
        <v>5.2800000000000004E-4</v>
      </c>
      <c r="G121" s="512">
        <f>+'F1 SEZ'!G120+'F1 Non-SEZ'!G120</f>
        <v>3.1530000000000002E-4</v>
      </c>
      <c r="H121" s="512">
        <f>+'F1 SEZ'!H120+'F1 Non-SEZ'!H120</f>
        <v>5.4660000000000006E-4</v>
      </c>
      <c r="I121" s="512">
        <f>+'F1 SEZ'!I120+'F1 Non-SEZ'!I120</f>
        <v>5.9460000000000003E-4</v>
      </c>
      <c r="J121" s="512">
        <f>+'F1 SEZ'!J120+'F1 Non-SEZ'!J120</f>
        <v>3.7649999999999999E-4</v>
      </c>
      <c r="K121" s="512">
        <f>+'F1 SEZ'!K120+'F1 Non-SEZ'!K120</f>
        <v>4.2569999999999999E-4</v>
      </c>
      <c r="L121" s="512">
        <f>+'F1 SEZ'!L120+'F1 Non-SEZ'!L120</f>
        <v>5.0969999999999998E-4</v>
      </c>
      <c r="M121" s="512">
        <f>+'F1 SEZ'!M120+'F1 Non-SEZ'!M120</f>
        <v>4.1970000000000001E-4</v>
      </c>
      <c r="N121" s="512">
        <f>+'F1 SEZ'!N120+'F1 Non-SEZ'!N120</f>
        <v>9.6750000000000004E-4</v>
      </c>
      <c r="O121" s="544">
        <f t="shared" si="22"/>
        <v>6.4155000000000011E-3</v>
      </c>
      <c r="P121" s="561"/>
      <c r="Q121" s="562"/>
    </row>
    <row r="122" spans="2:17" x14ac:dyDescent="0.4">
      <c r="B122" s="175" t="s">
        <v>162</v>
      </c>
      <c r="C122" s="545">
        <f>SUM(C111:C121)</f>
        <v>5.7667799999999998E-2</v>
      </c>
      <c r="D122" s="545">
        <f t="shared" ref="D122:O122" si="23">SUM(D111:D121)</f>
        <v>6.3174196000000002E-2</v>
      </c>
      <c r="E122" s="545">
        <f t="shared" si="23"/>
        <v>6.5104899999999993E-2</v>
      </c>
      <c r="F122" s="545">
        <f t="shared" si="23"/>
        <v>6.5710999999999992E-2</v>
      </c>
      <c r="G122" s="545">
        <f t="shared" si="23"/>
        <v>5.21053E-2</v>
      </c>
      <c r="H122" s="545">
        <f t="shared" si="23"/>
        <v>4.2682600000000001E-2</v>
      </c>
      <c r="I122" s="545">
        <f t="shared" si="23"/>
        <v>9.1007601000000007E-2</v>
      </c>
      <c r="J122" s="545">
        <f t="shared" si="23"/>
        <v>0.1114055</v>
      </c>
      <c r="K122" s="545">
        <f t="shared" si="23"/>
        <v>0.11620669499999998</v>
      </c>
      <c r="L122" s="545">
        <f t="shared" si="23"/>
        <v>0.12664250199999999</v>
      </c>
      <c r="M122" s="545">
        <f t="shared" si="23"/>
        <v>0.11574090000000001</v>
      </c>
      <c r="N122" s="545">
        <f t="shared" si="23"/>
        <v>0.14906350000000002</v>
      </c>
      <c r="O122" s="545">
        <f t="shared" si="23"/>
        <v>1.0565124939999999</v>
      </c>
    </row>
    <row r="123" spans="2:17" x14ac:dyDescent="0.4">
      <c r="B123" s="175"/>
      <c r="C123" s="543"/>
      <c r="D123" s="543"/>
      <c r="E123" s="543"/>
      <c r="F123" s="543"/>
      <c r="G123" s="543"/>
      <c r="H123" s="543"/>
      <c r="I123" s="543"/>
      <c r="J123" s="543"/>
      <c r="K123" s="543"/>
      <c r="L123" s="543"/>
      <c r="M123" s="543"/>
      <c r="N123" s="543"/>
      <c r="O123" s="543"/>
    </row>
    <row r="124" spans="2:17" x14ac:dyDescent="0.4">
      <c r="B124" s="119" t="s">
        <v>164</v>
      </c>
      <c r="C124" s="545">
        <f t="shared" ref="C124:O124" si="24">C108+C122</f>
        <v>0.19441103999999998</v>
      </c>
      <c r="D124" s="545">
        <f t="shared" si="24"/>
        <v>0.23367645600000003</v>
      </c>
      <c r="E124" s="545">
        <f t="shared" si="24"/>
        <v>0.28718436999999997</v>
      </c>
      <c r="F124" s="545">
        <f t="shared" si="24"/>
        <v>0.44368384000000005</v>
      </c>
      <c r="G124" s="545">
        <f t="shared" si="24"/>
        <v>0.72222070000000005</v>
      </c>
      <c r="H124" s="545">
        <f t="shared" si="24"/>
        <v>0.79802329999999999</v>
      </c>
      <c r="I124" s="545">
        <f t="shared" si="24"/>
        <v>0.83687461100000005</v>
      </c>
      <c r="J124" s="545">
        <f t="shared" si="24"/>
        <v>0.78130984999999997</v>
      </c>
      <c r="K124" s="545">
        <f t="shared" si="24"/>
        <v>0.81127389500000002</v>
      </c>
      <c r="L124" s="545">
        <f t="shared" si="24"/>
        <v>0.89540987199999988</v>
      </c>
      <c r="M124" s="545">
        <f t="shared" si="24"/>
        <v>0.83417093000000009</v>
      </c>
      <c r="N124" s="545">
        <f t="shared" si="24"/>
        <v>1.0707447700000001</v>
      </c>
      <c r="O124" s="545">
        <f t="shared" si="24"/>
        <v>7.908983634000001</v>
      </c>
      <c r="P124" s="924"/>
      <c r="Q124" s="560"/>
    </row>
    <row r="125" spans="2:17" x14ac:dyDescent="0.4">
      <c r="B125" s="118" t="s">
        <v>165</v>
      </c>
    </row>
    <row r="126" spans="2:17" x14ac:dyDescent="0.4">
      <c r="B126" s="27" t="s">
        <v>166</v>
      </c>
    </row>
    <row r="127" spans="2:17" x14ac:dyDescent="0.4">
      <c r="B127" s="1" t="s">
        <v>184</v>
      </c>
      <c r="C127" s="30"/>
      <c r="D127" s="30"/>
      <c r="E127" s="30"/>
      <c r="F127" s="30"/>
    </row>
    <row r="128" spans="2:17" x14ac:dyDescent="0.4">
      <c r="B128" s="27" t="s">
        <v>168</v>
      </c>
      <c r="C128" s="30"/>
      <c r="D128" s="30"/>
      <c r="E128" s="30"/>
      <c r="F128" s="30"/>
    </row>
    <row r="129" spans="2:16" x14ac:dyDescent="0.4">
      <c r="B129" s="32"/>
    </row>
    <row r="130" spans="2:16" x14ac:dyDescent="0.4">
      <c r="B130" s="32" t="s">
        <v>1023</v>
      </c>
      <c r="C130" s="8"/>
      <c r="D130" s="8"/>
      <c r="E130" s="8"/>
      <c r="F130" s="8"/>
      <c r="G130" s="8"/>
      <c r="H130" s="8"/>
      <c r="I130" s="8"/>
      <c r="J130" s="8"/>
      <c r="K130" s="8"/>
      <c r="L130" s="8"/>
      <c r="M130" s="8"/>
      <c r="N130" s="8"/>
      <c r="O130" s="4"/>
    </row>
    <row r="131" spans="2:16" x14ac:dyDescent="0.4">
      <c r="B131" s="32"/>
      <c r="C131" s="38"/>
      <c r="D131" s="38"/>
      <c r="O131" s="38" t="s">
        <v>171</v>
      </c>
    </row>
    <row r="132" spans="2:16" x14ac:dyDescent="0.4">
      <c r="B132" s="98" t="s">
        <v>160</v>
      </c>
      <c r="C132" s="98" t="s">
        <v>172</v>
      </c>
      <c r="D132" s="98" t="s">
        <v>173</v>
      </c>
      <c r="E132" s="98" t="s">
        <v>174</v>
      </c>
      <c r="F132" s="98" t="s">
        <v>175</v>
      </c>
      <c r="G132" s="98" t="s">
        <v>176</v>
      </c>
      <c r="H132" s="98" t="s">
        <v>177</v>
      </c>
      <c r="I132" s="98" t="s">
        <v>178</v>
      </c>
      <c r="J132" s="98" t="s">
        <v>179</v>
      </c>
      <c r="K132" s="98" t="s">
        <v>180</v>
      </c>
      <c r="L132" s="98" t="s">
        <v>181</v>
      </c>
      <c r="M132" s="98" t="s">
        <v>182</v>
      </c>
      <c r="N132" s="98" t="s">
        <v>183</v>
      </c>
      <c r="O132" s="98" t="s">
        <v>164</v>
      </c>
    </row>
    <row r="133" spans="2:16" x14ac:dyDescent="0.4">
      <c r="B133" s="517" t="s">
        <v>161</v>
      </c>
      <c r="C133" s="78"/>
      <c r="D133" s="78"/>
      <c r="E133" s="78"/>
      <c r="F133" s="3"/>
      <c r="G133" s="3"/>
      <c r="H133" s="2"/>
      <c r="I133" s="43"/>
      <c r="J133" s="44"/>
      <c r="K133" s="124"/>
      <c r="L133" s="124"/>
      <c r="M133" s="2"/>
      <c r="N133" s="2"/>
      <c r="O133" s="2"/>
    </row>
    <row r="134" spans="2:16" x14ac:dyDescent="0.4">
      <c r="B134" s="429" t="s">
        <v>1129</v>
      </c>
      <c r="C134" s="512">
        <f>+'F1 SEZ'!C133+'F1 Non-SEZ'!C133</f>
        <v>0.83411999999999997</v>
      </c>
      <c r="D134" s="512">
        <f>+'F1 SEZ'!D133+'F1 Non-SEZ'!D133</f>
        <v>0.89910000000000001</v>
      </c>
      <c r="E134" s="512">
        <f>+'F1 SEZ'!E133+'F1 Non-SEZ'!E133</f>
        <v>0.9768</v>
      </c>
      <c r="F134" s="512">
        <f>+'F1 SEZ'!F133+'F1 Non-SEZ'!F133</f>
        <v>1.0461</v>
      </c>
      <c r="G134" s="512">
        <f>+'F1 SEZ'!G133+'F1 Non-SEZ'!G133</f>
        <v>1.0420799999999999</v>
      </c>
      <c r="H134" s="512">
        <f>+'F1 SEZ'!H133+'F1 Non-SEZ'!H133</f>
        <v>1.00248</v>
      </c>
      <c r="I134" s="512">
        <f>+'F1 SEZ'!I133+'F1 Non-SEZ'!I133</f>
        <v>1.12866</v>
      </c>
      <c r="J134" s="512">
        <f>+'F1 SEZ'!J133+'F1 Non-SEZ'!J133</f>
        <v>1.13364</v>
      </c>
      <c r="K134" s="512">
        <f>+'F1 SEZ'!K133+'F1 Non-SEZ'!K133</f>
        <v>1.24512</v>
      </c>
      <c r="L134" s="512">
        <f>+'F1 SEZ'!L133+'F1 Non-SEZ'!L133</f>
        <v>1.27362</v>
      </c>
      <c r="M134" s="512">
        <f>+'F1 SEZ'!M133+'F1 Non-SEZ'!M133</f>
        <v>1.1736</v>
      </c>
      <c r="N134" s="512">
        <f>+'F1 SEZ'!N133+'F1 Non-SEZ'!N133</f>
        <v>1.62666</v>
      </c>
      <c r="O134" s="544">
        <f>SUM(C134:N134)</f>
        <v>13.381979999999999</v>
      </c>
      <c r="P134" s="562">
        <f>+'F1 SEZ'!O133+'F1 Non-SEZ'!O133-O134</f>
        <v>0</v>
      </c>
    </row>
    <row r="135" spans="2:16" x14ac:dyDescent="0.4">
      <c r="B135" s="429" t="s">
        <v>1130</v>
      </c>
      <c r="C135" s="512">
        <f>+'F1 SEZ'!C134+'F1 Non-SEZ'!C134</f>
        <v>6.9480539999999993E-2</v>
      </c>
      <c r="D135" s="512">
        <f>+'F1 SEZ'!D134+'F1 Non-SEZ'!D134</f>
        <v>0.12885175609999999</v>
      </c>
      <c r="E135" s="512">
        <f>+'F1 SEZ'!E134+'F1 Non-SEZ'!E134</f>
        <v>0.12892561419999998</v>
      </c>
      <c r="F135" s="512">
        <f>+'F1 SEZ'!F134+'F1 Non-SEZ'!F134</f>
        <v>0.14694271859999999</v>
      </c>
      <c r="G135" s="512">
        <f>+'F1 SEZ'!G134+'F1 Non-SEZ'!G134</f>
        <v>0.1316041855</v>
      </c>
      <c r="H135" s="512">
        <f>+'F1 SEZ'!H134+'F1 Non-SEZ'!H134</f>
        <v>0.1277661363</v>
      </c>
      <c r="I135" s="512">
        <f>+'F1 SEZ'!I134+'F1 Non-SEZ'!I134</f>
        <v>0.13084414010000001</v>
      </c>
      <c r="J135" s="512">
        <f>+'F1 SEZ'!J134+'F1 Non-SEZ'!J134</f>
        <v>0.14034013610000001</v>
      </c>
      <c r="K135" s="512">
        <f>+'F1 SEZ'!K134+'F1 Non-SEZ'!K134</f>
        <v>0.14809026720000001</v>
      </c>
      <c r="L135" s="512">
        <f>+'F1 SEZ'!L134+'F1 Non-SEZ'!L134</f>
        <v>0.14569344570000001</v>
      </c>
      <c r="M135" s="512">
        <f>+'F1 SEZ'!M134+'F1 Non-SEZ'!M134</f>
        <v>2.779237E-2</v>
      </c>
      <c r="N135" s="512">
        <f>+'F1 SEZ'!N134+'F1 Non-SEZ'!N134</f>
        <v>3.3999172100000002E-2</v>
      </c>
      <c r="O135" s="544">
        <f>SUM(C135:N135)</f>
        <v>1.3603304818999999</v>
      </c>
      <c r="P135" s="562">
        <f>+'F1 SEZ'!O134+'F1 Non-SEZ'!O134-O135</f>
        <v>0</v>
      </c>
    </row>
    <row r="136" spans="2:16" x14ac:dyDescent="0.4">
      <c r="B136" s="429" t="s">
        <v>1131</v>
      </c>
      <c r="C136" s="512">
        <f>+'F1 SEZ'!C135+'F1 Non-SEZ'!C135</f>
        <v>0</v>
      </c>
      <c r="D136" s="512">
        <f>+'F1 SEZ'!D135+'F1 Non-SEZ'!D135</f>
        <v>0</v>
      </c>
      <c r="E136" s="512">
        <f>+'F1 SEZ'!E135+'F1 Non-SEZ'!E135</f>
        <v>0</v>
      </c>
      <c r="F136" s="512">
        <f>+'F1 SEZ'!F135+'F1 Non-SEZ'!F135</f>
        <v>0</v>
      </c>
      <c r="G136" s="512">
        <f>+'F1 SEZ'!G135+'F1 Non-SEZ'!G135</f>
        <v>0</v>
      </c>
      <c r="H136" s="512">
        <f>+'F1 SEZ'!H135+'F1 Non-SEZ'!H135</f>
        <v>0</v>
      </c>
      <c r="I136" s="512">
        <f>+'F1 SEZ'!I135+'F1 Non-SEZ'!I135</f>
        <v>0</v>
      </c>
      <c r="J136" s="512">
        <f>+'F1 SEZ'!J135+'F1 Non-SEZ'!J135</f>
        <v>0</v>
      </c>
      <c r="K136" s="512">
        <f>+'F1 SEZ'!K135+'F1 Non-SEZ'!K135</f>
        <v>0</v>
      </c>
      <c r="L136" s="512">
        <f>+'F1 SEZ'!L135+'F1 Non-SEZ'!L135</f>
        <v>0</v>
      </c>
      <c r="M136" s="512">
        <f>+'F1 SEZ'!M135+'F1 Non-SEZ'!M135</f>
        <v>0</v>
      </c>
      <c r="N136" s="512">
        <f>+'F1 SEZ'!N135+'F1 Non-SEZ'!N135</f>
        <v>0</v>
      </c>
      <c r="O136" s="544">
        <f>SUM(C136:N136)</f>
        <v>0</v>
      </c>
      <c r="P136" s="562">
        <f>+'F1 SEZ'!O135+'F1 Non-SEZ'!O135-O136</f>
        <v>0</v>
      </c>
    </row>
    <row r="137" spans="2:16" x14ac:dyDescent="0.4">
      <c r="B137" s="429" t="s">
        <v>1132</v>
      </c>
      <c r="C137" s="512">
        <f>+'F1 SEZ'!C136+'F1 Non-SEZ'!C136</f>
        <v>0</v>
      </c>
      <c r="D137" s="512">
        <f>+'F1 SEZ'!D136+'F1 Non-SEZ'!D136</f>
        <v>0</v>
      </c>
      <c r="E137" s="512">
        <f>+'F1 SEZ'!E136+'F1 Non-SEZ'!E136</f>
        <v>0</v>
      </c>
      <c r="F137" s="512">
        <f>+'F1 SEZ'!F136+'F1 Non-SEZ'!F136</f>
        <v>0</v>
      </c>
      <c r="G137" s="512">
        <f>+'F1 SEZ'!G136+'F1 Non-SEZ'!G136</f>
        <v>0</v>
      </c>
      <c r="H137" s="512">
        <f>+'F1 SEZ'!H136+'F1 Non-SEZ'!H136</f>
        <v>0</v>
      </c>
      <c r="I137" s="512">
        <f>+'F1 SEZ'!I136+'F1 Non-SEZ'!I136</f>
        <v>0</v>
      </c>
      <c r="J137" s="512">
        <f>+'F1 SEZ'!J136+'F1 Non-SEZ'!J136</f>
        <v>0</v>
      </c>
      <c r="K137" s="512">
        <f>+'F1 SEZ'!K136+'F1 Non-SEZ'!K136</f>
        <v>0</v>
      </c>
      <c r="L137" s="512">
        <f>+'F1 SEZ'!L136+'F1 Non-SEZ'!L136</f>
        <v>0</v>
      </c>
      <c r="M137" s="512">
        <f>+'F1 SEZ'!M136+'F1 Non-SEZ'!M136</f>
        <v>0</v>
      </c>
      <c r="N137" s="512">
        <f>+'F1 SEZ'!N136+'F1 Non-SEZ'!N136</f>
        <v>0</v>
      </c>
      <c r="O137" s="544">
        <f>SUM(C137:N137)</f>
        <v>0</v>
      </c>
      <c r="P137" s="562">
        <f>+'F1 SEZ'!O136+'F1 Non-SEZ'!O136-O137</f>
        <v>0</v>
      </c>
    </row>
    <row r="138" spans="2:16" x14ac:dyDescent="0.4">
      <c r="B138" s="518" t="s">
        <v>162</v>
      </c>
      <c r="C138" s="545">
        <f>SUM(C134:C137)</f>
        <v>0.90360054000000001</v>
      </c>
      <c r="D138" s="545">
        <f t="shared" ref="D138:O138" si="25">SUM(D134:D137)</f>
        <v>1.0279517561</v>
      </c>
      <c r="E138" s="545">
        <f t="shared" si="25"/>
        <v>1.1057256142</v>
      </c>
      <c r="F138" s="545">
        <f t="shared" si="25"/>
        <v>1.1930427186000001</v>
      </c>
      <c r="G138" s="545">
        <f t="shared" si="25"/>
        <v>1.1736841855</v>
      </c>
      <c r="H138" s="545">
        <f t="shared" si="25"/>
        <v>1.1302461363</v>
      </c>
      <c r="I138" s="545">
        <f t="shared" si="25"/>
        <v>1.2595041401</v>
      </c>
      <c r="J138" s="545">
        <f t="shared" si="25"/>
        <v>1.2739801361</v>
      </c>
      <c r="K138" s="545">
        <f t="shared" si="25"/>
        <v>1.3932102672</v>
      </c>
      <c r="L138" s="545">
        <f t="shared" si="25"/>
        <v>1.4193134457000001</v>
      </c>
      <c r="M138" s="545">
        <f t="shared" si="25"/>
        <v>1.20139237</v>
      </c>
      <c r="N138" s="545">
        <f t="shared" si="25"/>
        <v>1.6606591720999999</v>
      </c>
      <c r="O138" s="545">
        <f t="shared" si="25"/>
        <v>14.742310481899999</v>
      </c>
      <c r="P138" s="562">
        <f>+'F1 SEZ'!O137+'F1 Non-SEZ'!O137-O138</f>
        <v>0</v>
      </c>
    </row>
    <row r="139" spans="2:16" x14ac:dyDescent="0.4">
      <c r="B139" s="517" t="s">
        <v>163</v>
      </c>
      <c r="C139" s="545"/>
      <c r="D139" s="545"/>
      <c r="E139" s="545"/>
      <c r="F139" s="545"/>
      <c r="G139" s="545"/>
      <c r="H139" s="545"/>
      <c r="I139" s="545"/>
      <c r="J139" s="545"/>
      <c r="K139" s="545"/>
      <c r="L139" s="545"/>
      <c r="M139" s="545"/>
      <c r="N139" s="545"/>
      <c r="O139" s="545"/>
      <c r="P139" s="562">
        <f>+'F1 SEZ'!O138+'F1 Non-SEZ'!O138-O139</f>
        <v>0</v>
      </c>
    </row>
    <row r="140" spans="2:16" x14ac:dyDescent="0.4">
      <c r="B140" s="519" t="s">
        <v>1133</v>
      </c>
      <c r="C140" s="546"/>
      <c r="D140" s="546"/>
      <c r="E140" s="547"/>
      <c r="F140" s="546"/>
      <c r="G140" s="547"/>
      <c r="H140" s="547"/>
      <c r="I140" s="543"/>
      <c r="J140" s="545"/>
      <c r="K140" s="547"/>
      <c r="L140" s="545"/>
      <c r="M140" s="545"/>
      <c r="N140" s="548"/>
      <c r="O140" s="544">
        <f t="shared" ref="O140:O152" si="26">SUM(C140:N140)</f>
        <v>0</v>
      </c>
      <c r="P140" s="562">
        <f>+'F1 SEZ'!O139+'F1 Non-SEZ'!O139-O140</f>
        <v>0</v>
      </c>
    </row>
    <row r="141" spans="2:16" x14ac:dyDescent="0.4">
      <c r="B141" s="520" t="s">
        <v>1106</v>
      </c>
      <c r="C141" s="512">
        <f>+'F1 SEZ'!C140+'F1 Non-SEZ'!C140</f>
        <v>2.1066000000000001E-2</v>
      </c>
      <c r="D141" s="512">
        <f>+'F1 SEZ'!D140+'F1 Non-SEZ'!D140</f>
        <v>2.0497999999999999E-2</v>
      </c>
      <c r="E141" s="512">
        <f>+'F1 SEZ'!E140+'F1 Non-SEZ'!E140</f>
        <v>2.1923999999999999E-2</v>
      </c>
      <c r="F141" s="512">
        <f>+'F1 SEZ'!F140+'F1 Non-SEZ'!F140</f>
        <v>2.5356E-2</v>
      </c>
      <c r="G141" s="512">
        <f>+'F1 SEZ'!G140+'F1 Non-SEZ'!G140</f>
        <v>2.6627000000000001E-2</v>
      </c>
      <c r="H141" s="512">
        <f>+'F1 SEZ'!H140+'F1 Non-SEZ'!H140</f>
        <v>2.8348000000000002E-2</v>
      </c>
      <c r="I141" s="512">
        <f>+'F1 SEZ'!I140+'F1 Non-SEZ'!I140</f>
        <v>3.0384000000000001E-2</v>
      </c>
      <c r="J141" s="512">
        <f>+'F1 SEZ'!J140+'F1 Non-SEZ'!J140</f>
        <v>3.0119E-2</v>
      </c>
      <c r="K141" s="512">
        <f>+'F1 SEZ'!K140+'F1 Non-SEZ'!K140</f>
        <v>3.1092999999999999E-2</v>
      </c>
      <c r="L141" s="512">
        <f>+'F1 SEZ'!L140+'F1 Non-SEZ'!L140</f>
        <v>3.2798000000000001E-2</v>
      </c>
      <c r="M141" s="512">
        <f>+'F1 SEZ'!M140+'F1 Non-SEZ'!M140</f>
        <v>3.5853000000000003E-2</v>
      </c>
      <c r="N141" s="512">
        <f>+'F1 SEZ'!N140+'F1 Non-SEZ'!N140</f>
        <v>3.9440999999999997E-2</v>
      </c>
      <c r="O141" s="544">
        <f t="shared" si="26"/>
        <v>0.34350700000000006</v>
      </c>
      <c r="P141" s="562">
        <f>+'F1 SEZ'!O140+'F1 Non-SEZ'!O140-O141</f>
        <v>0</v>
      </c>
    </row>
    <row r="142" spans="2:16" x14ac:dyDescent="0.4">
      <c r="B142" s="520" t="s">
        <v>1107</v>
      </c>
      <c r="C142" s="512">
        <f>+'F1 SEZ'!C141+'F1 Non-SEZ'!C141</f>
        <v>2.0612999999999999E-2</v>
      </c>
      <c r="D142" s="512">
        <f>+'F1 SEZ'!D141+'F1 Non-SEZ'!D141</f>
        <v>2.1746999999999999E-2</v>
      </c>
      <c r="E142" s="512">
        <f>+'F1 SEZ'!E141+'F1 Non-SEZ'!E141</f>
        <v>2.0590000000000001E-2</v>
      </c>
      <c r="F142" s="512">
        <f>+'F1 SEZ'!F141+'F1 Non-SEZ'!F141</f>
        <v>2.2540999999999999E-2</v>
      </c>
      <c r="G142" s="512">
        <f>+'F1 SEZ'!G141+'F1 Non-SEZ'!G141</f>
        <v>2.1229000000000001E-2</v>
      </c>
      <c r="H142" s="512">
        <f>+'F1 SEZ'!H141+'F1 Non-SEZ'!H141</f>
        <v>2.3463999999999999E-2</v>
      </c>
      <c r="I142" s="512">
        <f>+'F1 SEZ'!I141+'F1 Non-SEZ'!I141</f>
        <v>2.8731E-2</v>
      </c>
      <c r="J142" s="512">
        <f>+'F1 SEZ'!J141+'F1 Non-SEZ'!J141</f>
        <v>2.7311999999999999E-2</v>
      </c>
      <c r="K142" s="512">
        <f>+'F1 SEZ'!K141+'F1 Non-SEZ'!K141</f>
        <v>2.1582E-2</v>
      </c>
      <c r="L142" s="512">
        <f>+'F1 SEZ'!L141+'F1 Non-SEZ'!L141</f>
        <v>2.2443999999999999E-2</v>
      </c>
      <c r="M142" s="512">
        <f>+'F1 SEZ'!M141+'F1 Non-SEZ'!M141</f>
        <v>2.2998000000000001E-2</v>
      </c>
      <c r="N142" s="512">
        <f>+'F1 SEZ'!N141+'F1 Non-SEZ'!N141</f>
        <v>3.6851000000000002E-2</v>
      </c>
      <c r="O142" s="544">
        <f t="shared" si="26"/>
        <v>0.29010199999999997</v>
      </c>
      <c r="P142" s="562">
        <f>+'F1 SEZ'!O141+'F1 Non-SEZ'!O141-O142</f>
        <v>0</v>
      </c>
    </row>
    <row r="143" spans="2:16" x14ac:dyDescent="0.4">
      <c r="B143" s="520" t="s">
        <v>1108</v>
      </c>
      <c r="C143" s="512">
        <f>+'F1 SEZ'!C142+'F1 Non-SEZ'!C142</f>
        <v>9.0500000000000008E-3</v>
      </c>
      <c r="D143" s="512">
        <f>+'F1 SEZ'!D142+'F1 Non-SEZ'!D142</f>
        <v>1.0544E-2</v>
      </c>
      <c r="E143" s="512">
        <f>+'F1 SEZ'!E142+'F1 Non-SEZ'!E142</f>
        <v>6.2500000000000003E-3</v>
      </c>
      <c r="F143" s="512">
        <f>+'F1 SEZ'!F142+'F1 Non-SEZ'!F142</f>
        <v>6.2570000000000004E-3</v>
      </c>
      <c r="G143" s="512">
        <f>+'F1 SEZ'!G142+'F1 Non-SEZ'!G142</f>
        <v>6.1409999999999998E-3</v>
      </c>
      <c r="H143" s="512">
        <f>+'F1 SEZ'!H142+'F1 Non-SEZ'!H142</f>
        <v>6.5709999999999996E-3</v>
      </c>
      <c r="I143" s="512">
        <f>+'F1 SEZ'!I142+'F1 Non-SEZ'!I142</f>
        <v>8.6510000000000007E-3</v>
      </c>
      <c r="J143" s="512">
        <f>+'F1 SEZ'!J142+'F1 Non-SEZ'!J142</f>
        <v>8.3540000000000003E-3</v>
      </c>
      <c r="K143" s="512">
        <f>+'F1 SEZ'!K142+'F1 Non-SEZ'!K142</f>
        <v>4.7860000000000003E-3</v>
      </c>
      <c r="L143" s="512">
        <f>+'F1 SEZ'!L142+'F1 Non-SEZ'!L142</f>
        <v>5.0400000000000002E-3</v>
      </c>
      <c r="M143" s="512">
        <f>+'F1 SEZ'!M142+'F1 Non-SEZ'!M142</f>
        <v>5.3559999999999997E-3</v>
      </c>
      <c r="N143" s="512">
        <f>+'F1 SEZ'!N142+'F1 Non-SEZ'!N142</f>
        <v>1.3147000000000001E-2</v>
      </c>
      <c r="O143" s="544">
        <f t="shared" si="26"/>
        <v>9.0147000000000005E-2</v>
      </c>
      <c r="P143" s="562">
        <f>+'F1 SEZ'!O142+'F1 Non-SEZ'!O142-O143</f>
        <v>0</v>
      </c>
    </row>
    <row r="144" spans="2:16" x14ac:dyDescent="0.4">
      <c r="B144" s="520" t="s">
        <v>1109</v>
      </c>
      <c r="C144" s="512">
        <f>+'F1 SEZ'!C143+'F1 Non-SEZ'!C143</f>
        <v>0.13034899999999999</v>
      </c>
      <c r="D144" s="512">
        <f>+'F1 SEZ'!D143+'F1 Non-SEZ'!D143</f>
        <v>5.4134000000000002E-2</v>
      </c>
      <c r="E144" s="512">
        <f>+'F1 SEZ'!E143+'F1 Non-SEZ'!E143</f>
        <v>5.3192999999999997E-2</v>
      </c>
      <c r="F144" s="512">
        <f>+'F1 SEZ'!F143+'F1 Non-SEZ'!F143</f>
        <v>6.0911E-2</v>
      </c>
      <c r="G144" s="512">
        <f>+'F1 SEZ'!G143+'F1 Non-SEZ'!G143</f>
        <v>5.5378999999999998E-2</v>
      </c>
      <c r="H144" s="512">
        <f>+'F1 SEZ'!H143+'F1 Non-SEZ'!H143</f>
        <v>5.9152999999999997E-2</v>
      </c>
      <c r="I144" s="512">
        <f>+'F1 SEZ'!I143+'F1 Non-SEZ'!I143</f>
        <v>7.4503E-2</v>
      </c>
      <c r="J144" s="512">
        <f>+'F1 SEZ'!J143+'F1 Non-SEZ'!J143</f>
        <v>6.4130999999999994E-2</v>
      </c>
      <c r="K144" s="512">
        <f>+'F1 SEZ'!K143+'F1 Non-SEZ'!K143</f>
        <v>6.1163000000000002E-2</v>
      </c>
      <c r="L144" s="512">
        <f>+'F1 SEZ'!L143+'F1 Non-SEZ'!L143</f>
        <v>5.9785999999999999E-2</v>
      </c>
      <c r="M144" s="512">
        <f>+'F1 SEZ'!M143+'F1 Non-SEZ'!M143</f>
        <v>7.8233999999999998E-2</v>
      </c>
      <c r="N144" s="512">
        <f>+'F1 SEZ'!N143+'F1 Non-SEZ'!N143</f>
        <v>9.8373000000000002E-2</v>
      </c>
      <c r="O144" s="544">
        <f t="shared" si="26"/>
        <v>0.84930899999999998</v>
      </c>
      <c r="P144" s="562">
        <f>+'F1 SEZ'!O143+'F1 Non-SEZ'!O143-O144</f>
        <v>0</v>
      </c>
    </row>
    <row r="145" spans="2:16" x14ac:dyDescent="0.4">
      <c r="B145" s="520" t="s">
        <v>1110</v>
      </c>
      <c r="C145" s="512">
        <f>+'F1 SEZ'!C144+'F1 Non-SEZ'!C144</f>
        <v>0</v>
      </c>
      <c r="D145" s="512">
        <f>+'F1 SEZ'!D144+'F1 Non-SEZ'!D144</f>
        <v>0</v>
      </c>
      <c r="E145" s="512">
        <f>+'F1 SEZ'!E144+'F1 Non-SEZ'!E144</f>
        <v>0</v>
      </c>
      <c r="F145" s="512">
        <f>+'F1 SEZ'!F144+'F1 Non-SEZ'!F144</f>
        <v>0</v>
      </c>
      <c r="G145" s="512">
        <f>+'F1 SEZ'!G144+'F1 Non-SEZ'!G144</f>
        <v>0</v>
      </c>
      <c r="H145" s="512">
        <f>+'F1 SEZ'!H144+'F1 Non-SEZ'!H144</f>
        <v>0</v>
      </c>
      <c r="I145" s="512">
        <f>+'F1 SEZ'!I144+'F1 Non-SEZ'!I144</f>
        <v>0</v>
      </c>
      <c r="J145" s="512">
        <f>+'F1 SEZ'!J144+'F1 Non-SEZ'!J144</f>
        <v>0</v>
      </c>
      <c r="K145" s="512">
        <f>+'F1 SEZ'!K144+'F1 Non-SEZ'!K144</f>
        <v>0</v>
      </c>
      <c r="L145" s="512">
        <f>+'F1 SEZ'!L144+'F1 Non-SEZ'!L144</f>
        <v>0</v>
      </c>
      <c r="M145" s="512">
        <f>+'F1 SEZ'!M144+'F1 Non-SEZ'!M144</f>
        <v>0</v>
      </c>
      <c r="N145" s="512">
        <f>+'F1 SEZ'!N144+'F1 Non-SEZ'!N144</f>
        <v>0</v>
      </c>
      <c r="O145" s="544">
        <f t="shared" si="26"/>
        <v>0</v>
      </c>
      <c r="P145" s="562">
        <f>+'F1 SEZ'!O144+'F1 Non-SEZ'!O144-O145</f>
        <v>0</v>
      </c>
    </row>
    <row r="146" spans="2:16" x14ac:dyDescent="0.4">
      <c r="B146" s="519" t="s">
        <v>1139</v>
      </c>
      <c r="C146" s="512">
        <f>+'F1 SEZ'!C145+'F1 Non-SEZ'!C145</f>
        <v>0</v>
      </c>
      <c r="D146" s="512">
        <f>+'F1 SEZ'!D145+'F1 Non-SEZ'!D145</f>
        <v>0</v>
      </c>
      <c r="E146" s="512">
        <f>+'F1 SEZ'!E145+'F1 Non-SEZ'!E145</f>
        <v>0</v>
      </c>
      <c r="F146" s="512">
        <f>+'F1 SEZ'!F145+'F1 Non-SEZ'!F145</f>
        <v>0</v>
      </c>
      <c r="G146" s="512">
        <f>+'F1 SEZ'!G145+'F1 Non-SEZ'!G145</f>
        <v>0</v>
      </c>
      <c r="H146" s="512">
        <f>+'F1 SEZ'!H145+'F1 Non-SEZ'!H145</f>
        <v>0</v>
      </c>
      <c r="I146" s="512">
        <f>+'F1 SEZ'!I145+'F1 Non-SEZ'!I145</f>
        <v>0</v>
      </c>
      <c r="J146" s="512">
        <f>+'F1 SEZ'!J145+'F1 Non-SEZ'!J145</f>
        <v>0</v>
      </c>
      <c r="K146" s="512">
        <f>+'F1 SEZ'!K145+'F1 Non-SEZ'!K145</f>
        <v>0</v>
      </c>
      <c r="L146" s="512">
        <f>+'F1 SEZ'!L145+'F1 Non-SEZ'!L145</f>
        <v>0</v>
      </c>
      <c r="M146" s="512">
        <f>+'F1 SEZ'!M145+'F1 Non-SEZ'!M145</f>
        <v>0</v>
      </c>
      <c r="N146" s="512">
        <f>+'F1 SEZ'!N145+'F1 Non-SEZ'!N145</f>
        <v>0</v>
      </c>
      <c r="O146" s="544">
        <f t="shared" si="26"/>
        <v>0</v>
      </c>
      <c r="P146" s="562">
        <f>+'F1 SEZ'!O145+'F1 Non-SEZ'!O145-O146</f>
        <v>0</v>
      </c>
    </row>
    <row r="147" spans="2:16" x14ac:dyDescent="0.4">
      <c r="B147" s="520" t="s">
        <v>1140</v>
      </c>
      <c r="C147" s="512">
        <f>+'F1 SEZ'!C146+'F1 Non-SEZ'!C146</f>
        <v>1.8760000000000001E-3</v>
      </c>
      <c r="D147" s="512">
        <f>+'F1 SEZ'!D146+'F1 Non-SEZ'!D146</f>
        <v>2.2039999999999998E-3</v>
      </c>
      <c r="E147" s="512">
        <f>+'F1 SEZ'!E146+'F1 Non-SEZ'!E146</f>
        <v>2.0630000000000002E-3</v>
      </c>
      <c r="F147" s="512">
        <f>+'F1 SEZ'!F146+'F1 Non-SEZ'!F146</f>
        <v>2.4949999999999998E-3</v>
      </c>
      <c r="G147" s="512">
        <f>+'F1 SEZ'!G146+'F1 Non-SEZ'!G146</f>
        <v>2.6159999999999998E-3</v>
      </c>
      <c r="H147" s="512">
        <f>+'F1 SEZ'!H146+'F1 Non-SEZ'!H146</f>
        <v>3.6389999999999999E-3</v>
      </c>
      <c r="I147" s="512">
        <f>+'F1 SEZ'!I146+'F1 Non-SEZ'!I146</f>
        <v>4.7670000000000004E-3</v>
      </c>
      <c r="J147" s="512">
        <f>+'F1 SEZ'!J146+'F1 Non-SEZ'!J146</f>
        <v>4.614E-3</v>
      </c>
      <c r="K147" s="512">
        <f>+'F1 SEZ'!K146+'F1 Non-SEZ'!K146</f>
        <v>4.1489999999999999E-3</v>
      </c>
      <c r="L147" s="512">
        <f>+'F1 SEZ'!L146+'F1 Non-SEZ'!L146</f>
        <v>3.833E-3</v>
      </c>
      <c r="M147" s="512">
        <f>+'F1 SEZ'!M146+'F1 Non-SEZ'!M146</f>
        <v>3.496E-3</v>
      </c>
      <c r="N147" s="512">
        <f>+'F1 SEZ'!N146+'F1 Non-SEZ'!N146</f>
        <v>5.084E-3</v>
      </c>
      <c r="O147" s="544">
        <f t="shared" si="26"/>
        <v>4.0835999999999997E-2</v>
      </c>
      <c r="P147" s="562">
        <f>+'F1 SEZ'!O146+'F1 Non-SEZ'!O146-O147</f>
        <v>0</v>
      </c>
    </row>
    <row r="148" spans="2:16" x14ac:dyDescent="0.4">
      <c r="B148" s="520" t="s">
        <v>1141</v>
      </c>
      <c r="C148" s="512">
        <f>+'F1 SEZ'!C147+'F1 Non-SEZ'!C147</f>
        <v>0</v>
      </c>
      <c r="D148" s="512">
        <f>+'F1 SEZ'!D147+'F1 Non-SEZ'!D147</f>
        <v>0</v>
      </c>
      <c r="E148" s="512">
        <f>+'F1 SEZ'!E147+'F1 Non-SEZ'!E147</f>
        <v>0</v>
      </c>
      <c r="F148" s="512">
        <f>+'F1 SEZ'!F147+'F1 Non-SEZ'!F147</f>
        <v>0</v>
      </c>
      <c r="G148" s="512">
        <f>+'F1 SEZ'!G147+'F1 Non-SEZ'!G147</f>
        <v>6.3798000000000001E-4</v>
      </c>
      <c r="H148" s="512">
        <f>+'F1 SEZ'!H147+'F1 Non-SEZ'!H147</f>
        <v>6.6953999999999994E-4</v>
      </c>
      <c r="I148" s="512">
        <f>+'F1 SEZ'!I147+'F1 Non-SEZ'!I147</f>
        <v>9.3324E-4</v>
      </c>
      <c r="J148" s="512">
        <f>+'F1 SEZ'!J147+'F1 Non-SEZ'!J147</f>
        <v>4.5089999999999996E-4</v>
      </c>
      <c r="K148" s="512">
        <f>+'F1 SEZ'!K147+'F1 Non-SEZ'!K147</f>
        <v>1.74E-4</v>
      </c>
      <c r="L148" s="512">
        <f>+'F1 SEZ'!L147+'F1 Non-SEZ'!L147</f>
        <v>6.6660000000000002E-5</v>
      </c>
      <c r="M148" s="512">
        <f>+'F1 SEZ'!M147+'F1 Non-SEZ'!M147</f>
        <v>6.4655669999999998E-2</v>
      </c>
      <c r="N148" s="512">
        <f>+'F1 SEZ'!N147+'F1 Non-SEZ'!N147</f>
        <v>6.0759839999999996E-2</v>
      </c>
      <c r="O148" s="544">
        <f t="shared" si="26"/>
        <v>0.12834783</v>
      </c>
      <c r="P148" s="562">
        <f>+'F1 SEZ'!O147+'F1 Non-SEZ'!O147-O148</f>
        <v>0</v>
      </c>
    </row>
    <row r="149" spans="2:16" x14ac:dyDescent="0.4">
      <c r="B149" s="519" t="s">
        <v>1111</v>
      </c>
      <c r="C149" s="512">
        <f>+'F1 SEZ'!C148+'F1 Non-SEZ'!C148</f>
        <v>2.2880000000000001E-2</v>
      </c>
      <c r="D149" s="512">
        <f>+'F1 SEZ'!D148+'F1 Non-SEZ'!D148</f>
        <v>2.5016480000000001E-2</v>
      </c>
      <c r="E149" s="512">
        <f>+'F1 SEZ'!E148+'F1 Non-SEZ'!E148</f>
        <v>2.459712E-2</v>
      </c>
      <c r="F149" s="512">
        <f>+'F1 SEZ'!F148+'F1 Non-SEZ'!F148</f>
        <v>2.56032E-2</v>
      </c>
      <c r="G149" s="512">
        <f>+'F1 SEZ'!G148+'F1 Non-SEZ'!G148</f>
        <v>2.5200080000000003E-2</v>
      </c>
      <c r="H149" s="512">
        <f>+'F1 SEZ'!H148+'F1 Non-SEZ'!H148</f>
        <v>2.4057200000000001E-2</v>
      </c>
      <c r="I149" s="512">
        <f>+'F1 SEZ'!I148+'F1 Non-SEZ'!I148</f>
        <v>2.1419759999999999E-2</v>
      </c>
      <c r="J149" s="512">
        <f>+'F1 SEZ'!J148+'F1 Non-SEZ'!J148</f>
        <v>1.885264E-2</v>
      </c>
      <c r="K149" s="512">
        <f>+'F1 SEZ'!K148+'F1 Non-SEZ'!K148</f>
        <v>2.2568640000000001E-2</v>
      </c>
      <c r="L149" s="512">
        <f>+'F1 SEZ'!L148+'F1 Non-SEZ'!L148</f>
        <v>2.2140319999999998E-2</v>
      </c>
      <c r="M149" s="512">
        <f>+'F1 SEZ'!M148+'F1 Non-SEZ'!M148</f>
        <v>1.7375040000000001E-2</v>
      </c>
      <c r="N149" s="512">
        <f>+'F1 SEZ'!N148+'F1 Non-SEZ'!N148</f>
        <v>1.7283439999999997E-2</v>
      </c>
      <c r="O149" s="544">
        <f t="shared" si="26"/>
        <v>0.26699392</v>
      </c>
      <c r="P149" s="562">
        <f>+'F1 SEZ'!O148+'F1 Non-SEZ'!O148-O149</f>
        <v>0</v>
      </c>
    </row>
    <row r="150" spans="2:16" x14ac:dyDescent="0.4">
      <c r="B150" s="519" t="s">
        <v>1135</v>
      </c>
      <c r="C150" s="512">
        <f>+'F1 SEZ'!C149+'F1 Non-SEZ'!C149</f>
        <v>1.0881999999999999E-2</v>
      </c>
      <c r="D150" s="512">
        <f>+'F1 SEZ'!D149+'F1 Non-SEZ'!D149</f>
        <v>1.1736E-2</v>
      </c>
      <c r="E150" s="512">
        <f>+'F1 SEZ'!E149+'F1 Non-SEZ'!E149</f>
        <v>9.4570000000000001E-3</v>
      </c>
      <c r="F150" s="512">
        <f>+'F1 SEZ'!F149+'F1 Non-SEZ'!F149</f>
        <v>1.0855E-2</v>
      </c>
      <c r="G150" s="512">
        <f>+'F1 SEZ'!G149+'F1 Non-SEZ'!G149</f>
        <v>1.3524E-2</v>
      </c>
      <c r="H150" s="512">
        <f>+'F1 SEZ'!H149+'F1 Non-SEZ'!H149</f>
        <v>1.2829999999999999E-2</v>
      </c>
      <c r="I150" s="512">
        <f>+'F1 SEZ'!I149+'F1 Non-SEZ'!I149</f>
        <v>1.2475999999999999E-2</v>
      </c>
      <c r="J150" s="512">
        <f>+'F1 SEZ'!J149+'F1 Non-SEZ'!J149</f>
        <v>1.1664000000000001E-2</v>
      </c>
      <c r="K150" s="512">
        <f>+'F1 SEZ'!K149+'F1 Non-SEZ'!K149</f>
        <v>1.0347E-2</v>
      </c>
      <c r="L150" s="512">
        <f>+'F1 SEZ'!L149+'F1 Non-SEZ'!L149</f>
        <v>1.1174999999999999E-2</v>
      </c>
      <c r="M150" s="512">
        <f>+'F1 SEZ'!M149+'F1 Non-SEZ'!M149</f>
        <v>9.7979999999999994E-3</v>
      </c>
      <c r="N150" s="512">
        <f>+'F1 SEZ'!N149+'F1 Non-SEZ'!N149</f>
        <v>1.1780000000000001E-2</v>
      </c>
      <c r="O150" s="544">
        <f t="shared" si="26"/>
        <v>0.13652400000000001</v>
      </c>
      <c r="P150" s="562">
        <f>+'F1 SEZ'!O149+'F1 Non-SEZ'!O149-O150</f>
        <v>0</v>
      </c>
    </row>
    <row r="151" spans="2:16" x14ac:dyDescent="0.4">
      <c r="B151" s="519" t="s">
        <v>1136</v>
      </c>
      <c r="C151" s="512">
        <f>+'F1 SEZ'!C150+'F1 Non-SEZ'!C150</f>
        <v>1.062E-3</v>
      </c>
      <c r="D151" s="512">
        <f>+'F1 SEZ'!D150+'F1 Non-SEZ'!D150</f>
        <v>1.01235E-3</v>
      </c>
      <c r="E151" s="512">
        <f>+'F1 SEZ'!E150+'F1 Non-SEZ'!E150</f>
        <v>9.0395999999999998E-4</v>
      </c>
      <c r="F151" s="512">
        <f>+'F1 SEZ'!F150+'F1 Non-SEZ'!F150</f>
        <v>8.4866999999999994E-4</v>
      </c>
      <c r="G151" s="512">
        <f>+'F1 SEZ'!G150+'F1 Non-SEZ'!G150</f>
        <v>0</v>
      </c>
      <c r="H151" s="512">
        <f>+'F1 SEZ'!H150+'F1 Non-SEZ'!H150</f>
        <v>0</v>
      </c>
      <c r="I151" s="512">
        <f>+'F1 SEZ'!I150+'F1 Non-SEZ'!I150</f>
        <v>0</v>
      </c>
      <c r="J151" s="512">
        <f>+'F1 SEZ'!J150+'F1 Non-SEZ'!J150</f>
        <v>0</v>
      </c>
      <c r="K151" s="512">
        <f>+'F1 SEZ'!K150+'F1 Non-SEZ'!K150</f>
        <v>0</v>
      </c>
      <c r="L151" s="512">
        <f>+'F1 SEZ'!L150+'F1 Non-SEZ'!L150</f>
        <v>0</v>
      </c>
      <c r="M151" s="512">
        <f>+'F1 SEZ'!M150+'F1 Non-SEZ'!M150</f>
        <v>0</v>
      </c>
      <c r="N151" s="512">
        <f>+'F1 SEZ'!N150+'F1 Non-SEZ'!N150</f>
        <v>0</v>
      </c>
      <c r="O151" s="544">
        <f t="shared" si="26"/>
        <v>3.8269799999999998E-3</v>
      </c>
      <c r="P151" s="562">
        <f>+'F1 SEZ'!O150+'F1 Non-SEZ'!O150-O151</f>
        <v>0</v>
      </c>
    </row>
    <row r="152" spans="2:16" x14ac:dyDescent="0.4">
      <c r="B152" s="566" t="s">
        <v>1142</v>
      </c>
      <c r="C152" s="512">
        <f>+'F1 SEZ'!C151+'F1 Non-SEZ'!C151</f>
        <v>0</v>
      </c>
      <c r="D152" s="512">
        <f>+'F1 SEZ'!D151+'F1 Non-SEZ'!D151</f>
        <v>0</v>
      </c>
      <c r="E152" s="512">
        <f>+'F1 SEZ'!E151+'F1 Non-SEZ'!E151</f>
        <v>0</v>
      </c>
      <c r="F152" s="512">
        <f>+'F1 SEZ'!F151+'F1 Non-SEZ'!F151</f>
        <v>0</v>
      </c>
      <c r="G152" s="512">
        <f>+'F1 SEZ'!G151+'F1 Non-SEZ'!G151</f>
        <v>0</v>
      </c>
      <c r="H152" s="512">
        <f>+'F1 SEZ'!H151+'F1 Non-SEZ'!H151</f>
        <v>0</v>
      </c>
      <c r="I152" s="512">
        <f>+'F1 SEZ'!I151+'F1 Non-SEZ'!I151</f>
        <v>0</v>
      </c>
      <c r="J152" s="512">
        <f>+'F1 SEZ'!J151+'F1 Non-SEZ'!J151</f>
        <v>0</v>
      </c>
      <c r="K152" s="512">
        <f>+'F1 SEZ'!K151+'F1 Non-SEZ'!K151</f>
        <v>0</v>
      </c>
      <c r="L152" s="512">
        <f>+'F1 SEZ'!L151+'F1 Non-SEZ'!L151</f>
        <v>0</v>
      </c>
      <c r="M152" s="512">
        <f>+'F1 SEZ'!M151+'F1 Non-SEZ'!M151</f>
        <v>4.7729999999999999E-5</v>
      </c>
      <c r="N152" s="512">
        <f>+'F1 SEZ'!N151+'F1 Non-SEZ'!N151</f>
        <v>1.3768999999999999E-4</v>
      </c>
      <c r="O152" s="544">
        <f t="shared" si="26"/>
        <v>1.8542E-4</v>
      </c>
      <c r="P152" s="562">
        <f>+'F1 SEZ'!O151+'F1 Non-SEZ'!O151-O152</f>
        <v>0</v>
      </c>
    </row>
    <row r="153" spans="2:16" x14ac:dyDescent="0.4">
      <c r="B153" s="175" t="s">
        <v>162</v>
      </c>
      <c r="C153" s="567">
        <f>SUM(C141:C152)</f>
        <v>0.217778</v>
      </c>
      <c r="D153" s="567">
        <f t="shared" ref="D153:O153" si="27">SUM(D141:D152)</f>
        <v>0.14689182999999997</v>
      </c>
      <c r="E153" s="567">
        <f t="shared" si="27"/>
        <v>0.13897807999999998</v>
      </c>
      <c r="F153" s="567">
        <f t="shared" si="27"/>
        <v>0.15486686999999999</v>
      </c>
      <c r="G153" s="567">
        <f t="shared" si="27"/>
        <v>0.15135406000000001</v>
      </c>
      <c r="H153" s="567">
        <f t="shared" si="27"/>
        <v>0.15873174000000001</v>
      </c>
      <c r="I153" s="567">
        <f t="shared" si="27"/>
        <v>0.181865</v>
      </c>
      <c r="J153" s="567">
        <f t="shared" si="27"/>
        <v>0.16549754</v>
      </c>
      <c r="K153" s="567">
        <f t="shared" si="27"/>
        <v>0.15586264</v>
      </c>
      <c r="L153" s="567">
        <f t="shared" si="27"/>
        <v>0.15728297999999999</v>
      </c>
      <c r="M153" s="567">
        <f t="shared" si="27"/>
        <v>0.23781343999999999</v>
      </c>
      <c r="N153" s="567">
        <f t="shared" si="27"/>
        <v>0.28285697000000004</v>
      </c>
      <c r="O153" s="567">
        <f t="shared" si="27"/>
        <v>2.1497791500000005</v>
      </c>
      <c r="P153" s="562">
        <f>+'F1 SEZ'!O152+'F1 Non-SEZ'!O152-O153</f>
        <v>0</v>
      </c>
    </row>
    <row r="154" spans="2:16" x14ac:dyDescent="0.4">
      <c r="B154" s="175"/>
      <c r="C154" s="26"/>
      <c r="D154" s="26"/>
      <c r="E154" s="26"/>
      <c r="F154" s="26"/>
      <c r="G154" s="26"/>
      <c r="H154" s="26"/>
      <c r="I154" s="26"/>
      <c r="J154" s="26"/>
      <c r="K154" s="26"/>
      <c r="L154" s="26"/>
      <c r="M154" s="26"/>
      <c r="N154" s="26"/>
      <c r="O154" s="26"/>
    </row>
    <row r="155" spans="2:16" x14ac:dyDescent="0.4">
      <c r="B155" s="119" t="s">
        <v>164</v>
      </c>
      <c r="C155" s="568">
        <f>+C153+C138</f>
        <v>1.12137854</v>
      </c>
      <c r="D155" s="568">
        <f t="shared" ref="D155:O155" si="28">+D153+D138</f>
        <v>1.1748435860999999</v>
      </c>
      <c r="E155" s="568">
        <f t="shared" si="28"/>
        <v>1.2447036942</v>
      </c>
      <c r="F155" s="568">
        <f t="shared" si="28"/>
        <v>1.3479095886000001</v>
      </c>
      <c r="G155" s="568">
        <f t="shared" si="28"/>
        <v>1.3250382455</v>
      </c>
      <c r="H155" s="568">
        <f t="shared" si="28"/>
        <v>1.2889778763000002</v>
      </c>
      <c r="I155" s="568">
        <f t="shared" si="28"/>
        <v>1.4413691400999999</v>
      </c>
      <c r="J155" s="568">
        <f t="shared" si="28"/>
        <v>1.4394776761000001</v>
      </c>
      <c r="K155" s="568">
        <f t="shared" si="28"/>
        <v>1.5490729072</v>
      </c>
      <c r="L155" s="568">
        <f t="shared" si="28"/>
        <v>1.5765964257</v>
      </c>
      <c r="M155" s="568">
        <f t="shared" si="28"/>
        <v>1.43920581</v>
      </c>
      <c r="N155" s="568">
        <f t="shared" si="28"/>
        <v>1.9435161421</v>
      </c>
      <c r="O155" s="568">
        <f t="shared" si="28"/>
        <v>16.892089631899999</v>
      </c>
    </row>
    <row r="156" spans="2:16" x14ac:dyDescent="0.4">
      <c r="B156" s="118" t="s">
        <v>165</v>
      </c>
    </row>
    <row r="157" spans="2:16" x14ac:dyDescent="0.4">
      <c r="B157" s="27" t="s">
        <v>166</v>
      </c>
    </row>
    <row r="158" spans="2:16" x14ac:dyDescent="0.4">
      <c r="B158" s="1" t="s">
        <v>184</v>
      </c>
      <c r="C158" s="30"/>
      <c r="D158" s="30"/>
      <c r="E158" s="30"/>
      <c r="F158" s="30"/>
    </row>
    <row r="159" spans="2:16" x14ac:dyDescent="0.4">
      <c r="B159" s="27" t="s">
        <v>168</v>
      </c>
      <c r="C159" s="30"/>
      <c r="D159" s="30"/>
      <c r="E159" s="30"/>
      <c r="F159" s="30"/>
    </row>
    <row r="160" spans="2:16" x14ac:dyDescent="0.4">
      <c r="B160" s="118"/>
    </row>
    <row r="161" spans="2:15" x14ac:dyDescent="0.4">
      <c r="B161" s="32" t="s">
        <v>170</v>
      </c>
      <c r="C161" s="8"/>
      <c r="D161" s="8"/>
      <c r="E161" s="8"/>
      <c r="F161" s="8"/>
      <c r="G161" s="8"/>
      <c r="H161" s="8"/>
      <c r="I161" s="8"/>
      <c r="J161" s="8"/>
      <c r="K161" s="8"/>
      <c r="L161" s="8"/>
      <c r="M161" s="8"/>
      <c r="N161" s="8"/>
      <c r="O161" s="4"/>
    </row>
    <row r="162" spans="2:15" x14ac:dyDescent="0.4">
      <c r="B162" s="32"/>
      <c r="C162" s="38"/>
      <c r="D162" s="38"/>
      <c r="O162" s="38" t="s">
        <v>171</v>
      </c>
    </row>
    <row r="163" spans="2:15" x14ac:dyDescent="0.4">
      <c r="B163" s="98" t="s">
        <v>160</v>
      </c>
      <c r="C163" s="98" t="s">
        <v>172</v>
      </c>
      <c r="D163" s="98" t="s">
        <v>173</v>
      </c>
      <c r="E163" s="98" t="s">
        <v>174</v>
      </c>
      <c r="F163" s="98" t="s">
        <v>175</v>
      </c>
      <c r="G163" s="98" t="s">
        <v>176</v>
      </c>
      <c r="H163" s="98" t="s">
        <v>177</v>
      </c>
      <c r="I163" s="98" t="s">
        <v>178</v>
      </c>
      <c r="J163" s="98" t="s">
        <v>179</v>
      </c>
      <c r="K163" s="98" t="s">
        <v>180</v>
      </c>
      <c r="L163" s="98" t="s">
        <v>181</v>
      </c>
      <c r="M163" s="98" t="s">
        <v>182</v>
      </c>
      <c r="N163" s="98" t="s">
        <v>183</v>
      </c>
      <c r="O163" s="98" t="s">
        <v>164</v>
      </c>
    </row>
    <row r="164" spans="2:15" x14ac:dyDescent="0.4">
      <c r="B164" s="517" t="s">
        <v>161</v>
      </c>
      <c r="C164" s="78"/>
      <c r="D164" s="78"/>
      <c r="E164" s="78"/>
      <c r="F164" s="3"/>
      <c r="G164" s="3"/>
      <c r="H164" s="2"/>
      <c r="I164" s="43"/>
      <c r="J164" s="44"/>
      <c r="K164" s="124"/>
      <c r="L164" s="124"/>
      <c r="M164" s="2"/>
      <c r="N164" s="2"/>
      <c r="O164" s="2"/>
    </row>
    <row r="165" spans="2:15" x14ac:dyDescent="0.4">
      <c r="B165" s="429" t="s">
        <v>1129</v>
      </c>
      <c r="C165" s="512">
        <f>+'F1 SEZ'!C164+'F1 Non-SEZ'!C164</f>
        <v>1.6745399999999999</v>
      </c>
      <c r="D165" s="512">
        <f>+'F1 SEZ'!D164+'F1 Non-SEZ'!D164</f>
        <v>1.7526600000000001</v>
      </c>
      <c r="E165" s="512">
        <f>+'F1 SEZ'!E164+'F1 Non-SEZ'!E164</f>
        <v>1.6752</v>
      </c>
      <c r="F165" s="512">
        <f>+'F1 SEZ'!F164+'F1 Non-SEZ'!F164</f>
        <v>1.6296600000000001</v>
      </c>
      <c r="G165" s="512">
        <f>+'F1 SEZ'!G164+'F1 Non-SEZ'!G164</f>
        <v>1.74936</v>
      </c>
      <c r="H165" s="512">
        <f>+'F1 SEZ'!H164+'F1 Non-SEZ'!H164</f>
        <v>1.71516</v>
      </c>
      <c r="I165" s="512">
        <f>+'F1 SEZ'!I164+'F1 Non-SEZ'!I164</f>
        <v>1.8092999999999999</v>
      </c>
      <c r="J165" s="512">
        <f>+'F1 SEZ'!J164+'F1 Non-SEZ'!J164</f>
        <v>1.7883599999999999</v>
      </c>
      <c r="K165" s="512">
        <f>+'F1 SEZ'!K164+'F1 Non-SEZ'!K164</f>
        <v>1.86486</v>
      </c>
      <c r="L165" s="512">
        <f>+'F1 SEZ'!L164+'F1 Non-SEZ'!L164</f>
        <v>1.84992</v>
      </c>
      <c r="M165" s="512">
        <f>+'F1 SEZ'!M164+'F1 Non-SEZ'!M164</f>
        <v>1.78434</v>
      </c>
      <c r="N165" s="512">
        <f>+'F1 SEZ'!N164+'F1 Non-SEZ'!N164</f>
        <v>2.1534599999999999</v>
      </c>
      <c r="O165" s="544">
        <f>SUM(C165:N165)</f>
        <v>21.446820000000002</v>
      </c>
    </row>
    <row r="166" spans="2:15" x14ac:dyDescent="0.4">
      <c r="B166" s="429" t="s">
        <v>1130</v>
      </c>
      <c r="C166" s="512">
        <f>+'F1 SEZ'!C165+'F1 Non-SEZ'!C165</f>
        <v>3.2371879999999999E-2</v>
      </c>
      <c r="D166" s="512">
        <f>+'F1 SEZ'!D165+'F1 Non-SEZ'!D165</f>
        <v>3.1369359999999999E-2</v>
      </c>
      <c r="E166" s="512">
        <f>+'F1 SEZ'!E165+'F1 Non-SEZ'!E165</f>
        <v>2.3005370000000001E-2</v>
      </c>
      <c r="F166" s="512">
        <f>+'F1 SEZ'!F165+'F1 Non-SEZ'!F165</f>
        <v>3.9394459999999999E-2</v>
      </c>
      <c r="G166" s="512">
        <f>+'F1 SEZ'!G165+'F1 Non-SEZ'!G165</f>
        <v>2.759416E-2</v>
      </c>
      <c r="H166" s="512">
        <f>+'F1 SEZ'!H165+'F1 Non-SEZ'!H165</f>
        <v>2.791594E-2</v>
      </c>
      <c r="I166" s="512">
        <f>+'F1 SEZ'!I165+'F1 Non-SEZ'!I165</f>
        <v>2.670782E-2</v>
      </c>
      <c r="J166" s="512">
        <f>+'F1 SEZ'!J165+'F1 Non-SEZ'!J165</f>
        <v>2.1391540000000001E-2</v>
      </c>
      <c r="K166" s="512">
        <f>+'F1 SEZ'!K165+'F1 Non-SEZ'!K165</f>
        <v>2.168585E-2</v>
      </c>
      <c r="L166" s="512">
        <f>+'F1 SEZ'!L165+'F1 Non-SEZ'!L165</f>
        <v>2.00439E-2</v>
      </c>
      <c r="M166" s="512">
        <f>+'F1 SEZ'!M165+'F1 Non-SEZ'!M165</f>
        <v>1.869121E-2</v>
      </c>
      <c r="N166" s="512">
        <f>+'F1 SEZ'!N165+'F1 Non-SEZ'!N165</f>
        <v>2.0711189999999997E-2</v>
      </c>
      <c r="O166" s="544">
        <f>SUM(C166:N166)</f>
        <v>0.31088268000000002</v>
      </c>
    </row>
    <row r="167" spans="2:15" x14ac:dyDescent="0.4">
      <c r="B167" s="429" t="s">
        <v>1131</v>
      </c>
      <c r="C167" s="512">
        <f>+'F1 SEZ'!C166+'F1 Non-SEZ'!C166</f>
        <v>0</v>
      </c>
      <c r="D167" s="512">
        <f>+'F1 SEZ'!D166+'F1 Non-SEZ'!D166</f>
        <v>0</v>
      </c>
      <c r="E167" s="512">
        <f>+'F1 SEZ'!E166+'F1 Non-SEZ'!E166</f>
        <v>0</v>
      </c>
      <c r="F167" s="512">
        <f>+'F1 SEZ'!F166+'F1 Non-SEZ'!F166</f>
        <v>0</v>
      </c>
      <c r="G167" s="512">
        <f>+'F1 SEZ'!G166+'F1 Non-SEZ'!G166</f>
        <v>0</v>
      </c>
      <c r="H167" s="512">
        <f>+'F1 SEZ'!H166+'F1 Non-SEZ'!H166</f>
        <v>0</v>
      </c>
      <c r="I167" s="512">
        <f>+'F1 SEZ'!I166+'F1 Non-SEZ'!I166</f>
        <v>0</v>
      </c>
      <c r="J167" s="512">
        <f>+'F1 SEZ'!J166+'F1 Non-SEZ'!J166</f>
        <v>0</v>
      </c>
      <c r="K167" s="512">
        <f>+'F1 SEZ'!K166+'F1 Non-SEZ'!K166</f>
        <v>0</v>
      </c>
      <c r="L167" s="512">
        <f>+'F1 SEZ'!L166+'F1 Non-SEZ'!L166</f>
        <v>0</v>
      </c>
      <c r="M167" s="512">
        <f>+'F1 SEZ'!M166+'F1 Non-SEZ'!M166</f>
        <v>0</v>
      </c>
      <c r="N167" s="512">
        <f>+'F1 SEZ'!N166+'F1 Non-SEZ'!N166</f>
        <v>0</v>
      </c>
      <c r="O167" s="544">
        <f>SUM(C167:N167)</f>
        <v>0</v>
      </c>
    </row>
    <row r="168" spans="2:15" x14ac:dyDescent="0.4">
      <c r="B168" s="429" t="s">
        <v>1132</v>
      </c>
      <c r="C168" s="512">
        <f>+'F1 SEZ'!C167+'F1 Non-SEZ'!C167</f>
        <v>0</v>
      </c>
      <c r="D168" s="512">
        <f>+'F1 SEZ'!D167+'F1 Non-SEZ'!D167</f>
        <v>0</v>
      </c>
      <c r="E168" s="512">
        <f>+'F1 SEZ'!E167+'F1 Non-SEZ'!E167</f>
        <v>0</v>
      </c>
      <c r="F168" s="512">
        <f>+'F1 SEZ'!F167+'F1 Non-SEZ'!F167</f>
        <v>0</v>
      </c>
      <c r="G168" s="512">
        <f>+'F1 SEZ'!G167+'F1 Non-SEZ'!G167</f>
        <v>0</v>
      </c>
      <c r="H168" s="512">
        <f>+'F1 SEZ'!H167+'F1 Non-SEZ'!H167</f>
        <v>0</v>
      </c>
      <c r="I168" s="512">
        <f>+'F1 SEZ'!I167+'F1 Non-SEZ'!I167</f>
        <v>0</v>
      </c>
      <c r="J168" s="512">
        <f>+'F1 SEZ'!J167+'F1 Non-SEZ'!J167</f>
        <v>0</v>
      </c>
      <c r="K168" s="512">
        <f>+'F1 SEZ'!K167+'F1 Non-SEZ'!K167</f>
        <v>0</v>
      </c>
      <c r="L168" s="512">
        <f>+'F1 SEZ'!L167+'F1 Non-SEZ'!L167</f>
        <v>0</v>
      </c>
      <c r="M168" s="512">
        <f>+'F1 SEZ'!M167+'F1 Non-SEZ'!M167</f>
        <v>0</v>
      </c>
      <c r="N168" s="512">
        <f>+'F1 SEZ'!N167+'F1 Non-SEZ'!N167</f>
        <v>0</v>
      </c>
      <c r="O168" s="544">
        <f>SUM(C168:N168)</f>
        <v>0</v>
      </c>
    </row>
    <row r="169" spans="2:15" x14ac:dyDescent="0.4">
      <c r="B169" s="518" t="s">
        <v>162</v>
      </c>
      <c r="C169" s="545">
        <f>SUM(C165:C168)</f>
        <v>1.7069118799999998</v>
      </c>
      <c r="D169" s="545">
        <f t="shared" ref="D169:O169" si="29">SUM(D165:D168)</f>
        <v>1.7840293600000001</v>
      </c>
      <c r="E169" s="545">
        <f t="shared" si="29"/>
        <v>1.6982053699999999</v>
      </c>
      <c r="F169" s="545">
        <f t="shared" si="29"/>
        <v>1.6690544600000001</v>
      </c>
      <c r="G169" s="545">
        <f t="shared" si="29"/>
        <v>1.7769541600000001</v>
      </c>
      <c r="H169" s="545">
        <f t="shared" si="29"/>
        <v>1.74307594</v>
      </c>
      <c r="I169" s="545">
        <f t="shared" si="29"/>
        <v>1.8360078199999998</v>
      </c>
      <c r="J169" s="545">
        <f t="shared" si="29"/>
        <v>1.8097515399999999</v>
      </c>
      <c r="K169" s="545">
        <f t="shared" si="29"/>
        <v>1.8865458499999999</v>
      </c>
      <c r="L169" s="545">
        <f t="shared" si="29"/>
        <v>1.8699638999999999</v>
      </c>
      <c r="M169" s="545">
        <f t="shared" si="29"/>
        <v>1.8030312100000001</v>
      </c>
      <c r="N169" s="545">
        <f t="shared" si="29"/>
        <v>2.17417119</v>
      </c>
      <c r="O169" s="545">
        <f t="shared" si="29"/>
        <v>21.757702680000001</v>
      </c>
    </row>
    <row r="170" spans="2:15" x14ac:dyDescent="0.4">
      <c r="B170" s="517" t="s">
        <v>163</v>
      </c>
      <c r="C170" s="545"/>
      <c r="D170" s="545"/>
      <c r="E170" s="545"/>
      <c r="F170" s="545"/>
      <c r="G170" s="545"/>
      <c r="H170" s="545"/>
      <c r="I170" s="545"/>
      <c r="J170" s="545"/>
      <c r="K170" s="545"/>
      <c r="L170" s="545"/>
      <c r="M170" s="545"/>
      <c r="N170" s="545"/>
      <c r="O170" s="545"/>
    </row>
    <row r="171" spans="2:15" x14ac:dyDescent="0.4">
      <c r="B171" s="519" t="s">
        <v>1133</v>
      </c>
      <c r="C171" s="546"/>
      <c r="D171" s="546"/>
      <c r="E171" s="547"/>
      <c r="F171" s="546"/>
      <c r="G171" s="547"/>
      <c r="H171" s="547"/>
      <c r="I171" s="543"/>
      <c r="J171" s="545"/>
      <c r="K171" s="547"/>
      <c r="L171" s="545"/>
      <c r="M171" s="545"/>
      <c r="N171" s="548"/>
      <c r="O171" s="544">
        <f t="shared" ref="O171:O184" si="30">SUM(C171:N171)</f>
        <v>0</v>
      </c>
    </row>
    <row r="172" spans="2:15" x14ac:dyDescent="0.4">
      <c r="B172" s="520" t="s">
        <v>1106</v>
      </c>
      <c r="C172" s="512">
        <f>+'F1 SEZ'!C171+'F1 Non-SEZ'!C171</f>
        <v>4.3047000000000002E-2</v>
      </c>
      <c r="D172" s="512">
        <f>+'F1 SEZ'!D171+'F1 Non-SEZ'!D171</f>
        <v>4.3984000000000002E-2</v>
      </c>
      <c r="E172" s="512">
        <f>+'F1 SEZ'!E171+'F1 Non-SEZ'!E171</f>
        <v>4.6438E-2</v>
      </c>
      <c r="F172" s="512">
        <f>+'F1 SEZ'!F171+'F1 Non-SEZ'!F171</f>
        <v>4.7551999999999997E-2</v>
      </c>
      <c r="G172" s="512">
        <f>+'F1 SEZ'!G171+'F1 Non-SEZ'!G171</f>
        <v>4.9304000000000001E-2</v>
      </c>
      <c r="H172" s="512">
        <f>+'F1 SEZ'!H171+'F1 Non-SEZ'!H171</f>
        <v>5.0854000000000003E-2</v>
      </c>
      <c r="I172" s="512">
        <f>+'F1 SEZ'!I171+'F1 Non-SEZ'!I171</f>
        <v>5.1188999999999998E-2</v>
      </c>
      <c r="J172" s="512">
        <f>+'F1 SEZ'!J171+'F1 Non-SEZ'!J171</f>
        <v>5.1855999999999999E-2</v>
      </c>
      <c r="K172" s="512">
        <f>+'F1 SEZ'!K171+'F1 Non-SEZ'!K171</f>
        <v>5.4670999999999997E-2</v>
      </c>
      <c r="L172" s="512">
        <f>+'F1 SEZ'!L171+'F1 Non-SEZ'!L171</f>
        <v>5.4886999999999998E-2</v>
      </c>
      <c r="M172" s="512">
        <f>+'F1 SEZ'!M171+'F1 Non-SEZ'!M171</f>
        <v>5.5400999999999999E-2</v>
      </c>
      <c r="N172" s="512">
        <f>+'F1 SEZ'!N171+'F1 Non-SEZ'!N171</f>
        <v>5.9692000000000002E-2</v>
      </c>
      <c r="O172" s="544">
        <f t="shared" si="30"/>
        <v>0.60887500000000006</v>
      </c>
    </row>
    <row r="173" spans="2:15" x14ac:dyDescent="0.4">
      <c r="B173" s="520" t="s">
        <v>1107</v>
      </c>
      <c r="C173" s="512">
        <f>+'F1 SEZ'!C172+'F1 Non-SEZ'!C172</f>
        <v>4.9787999999999999E-2</v>
      </c>
      <c r="D173" s="512">
        <f>+'F1 SEZ'!D172+'F1 Non-SEZ'!D172</f>
        <v>5.5271000000000001E-2</v>
      </c>
      <c r="E173" s="512">
        <f>+'F1 SEZ'!E172+'F1 Non-SEZ'!E172</f>
        <v>5.3429999999999998E-2</v>
      </c>
      <c r="F173" s="512">
        <f>+'F1 SEZ'!F172+'F1 Non-SEZ'!F172</f>
        <v>4.3540000000000002E-2</v>
      </c>
      <c r="G173" s="512">
        <f>+'F1 SEZ'!G172+'F1 Non-SEZ'!G172</f>
        <v>4.5450999999999998E-2</v>
      </c>
      <c r="H173" s="512">
        <f>+'F1 SEZ'!H172+'F1 Non-SEZ'!H172</f>
        <v>4.8910000000000002E-2</v>
      </c>
      <c r="I173" s="512">
        <f>+'F1 SEZ'!I172+'F1 Non-SEZ'!I172</f>
        <v>4.8451000000000001E-2</v>
      </c>
      <c r="J173" s="512">
        <f>+'F1 SEZ'!J172+'F1 Non-SEZ'!J172</f>
        <v>4.3922000000000003E-2</v>
      </c>
      <c r="K173" s="512">
        <f>+'F1 SEZ'!K172+'F1 Non-SEZ'!K172</f>
        <v>4.7329000000000003E-2</v>
      </c>
      <c r="L173" s="512">
        <f>+'F1 SEZ'!L172+'F1 Non-SEZ'!L172</f>
        <v>4.0472000000000001E-2</v>
      </c>
      <c r="M173" s="512">
        <f>+'F1 SEZ'!M172+'F1 Non-SEZ'!M172</f>
        <v>4.5157000000000003E-2</v>
      </c>
      <c r="N173" s="512">
        <f>+'F1 SEZ'!N172+'F1 Non-SEZ'!N172</f>
        <v>5.9795000000000001E-2</v>
      </c>
      <c r="O173" s="544">
        <f t="shared" si="30"/>
        <v>0.58151600000000014</v>
      </c>
    </row>
    <row r="174" spans="2:15" x14ac:dyDescent="0.4">
      <c r="B174" s="520" t="s">
        <v>1108</v>
      </c>
      <c r="C174" s="512">
        <f>+'F1 SEZ'!C173+'F1 Non-SEZ'!C173</f>
        <v>2.3824000000000001E-2</v>
      </c>
      <c r="D174" s="512">
        <f>+'F1 SEZ'!D173+'F1 Non-SEZ'!D173</f>
        <v>2.8712999999999999E-2</v>
      </c>
      <c r="E174" s="512">
        <f>+'F1 SEZ'!E173+'F1 Non-SEZ'!E173</f>
        <v>2.2734000000000001E-2</v>
      </c>
      <c r="F174" s="512">
        <f>+'F1 SEZ'!F173+'F1 Non-SEZ'!F173</f>
        <v>1.2159E-2</v>
      </c>
      <c r="G174" s="512">
        <f>+'F1 SEZ'!G173+'F1 Non-SEZ'!G173</f>
        <v>1.2775E-2</v>
      </c>
      <c r="H174" s="512">
        <f>+'F1 SEZ'!H173+'F1 Non-SEZ'!H173</f>
        <v>1.5139E-2</v>
      </c>
      <c r="I174" s="512">
        <f>+'F1 SEZ'!I173+'F1 Non-SEZ'!I173</f>
        <v>1.5072E-2</v>
      </c>
      <c r="J174" s="512">
        <f>+'F1 SEZ'!J173+'F1 Non-SEZ'!J173</f>
        <v>1.2388E-2</v>
      </c>
      <c r="K174" s="512">
        <f>+'F1 SEZ'!K173+'F1 Non-SEZ'!K173</f>
        <v>1.1433E-2</v>
      </c>
      <c r="L174" s="512">
        <f>+'F1 SEZ'!L173+'F1 Non-SEZ'!L173</f>
        <v>8.0839999999999992E-3</v>
      </c>
      <c r="M174" s="512">
        <f>+'F1 SEZ'!M173+'F1 Non-SEZ'!M173</f>
        <v>1.0880000000000001E-2</v>
      </c>
      <c r="N174" s="512">
        <f>+'F1 SEZ'!N173+'F1 Non-SEZ'!N173</f>
        <v>1.9966999999999999E-2</v>
      </c>
      <c r="O174" s="544">
        <f t="shared" si="30"/>
        <v>0.19316800000000001</v>
      </c>
    </row>
    <row r="175" spans="2:15" x14ac:dyDescent="0.4">
      <c r="B175" s="520" t="s">
        <v>1109</v>
      </c>
      <c r="C175" s="512">
        <f>+'F1 SEZ'!C174+'F1 Non-SEZ'!C174</f>
        <v>0.11912399999999999</v>
      </c>
      <c r="D175" s="512">
        <f>+'F1 SEZ'!D174+'F1 Non-SEZ'!D174</f>
        <v>0.11536399999999999</v>
      </c>
      <c r="E175" s="512">
        <f>+'F1 SEZ'!E174+'F1 Non-SEZ'!E174</f>
        <v>0.122543</v>
      </c>
      <c r="F175" s="512">
        <f>+'F1 SEZ'!F174+'F1 Non-SEZ'!F174</f>
        <v>0.13459399999999999</v>
      </c>
      <c r="G175" s="512">
        <f>+'F1 SEZ'!G174+'F1 Non-SEZ'!G174</f>
        <v>0.144264</v>
      </c>
      <c r="H175" s="512">
        <f>+'F1 SEZ'!H174+'F1 Non-SEZ'!H174</f>
        <v>0.13444800000000001</v>
      </c>
      <c r="I175" s="512">
        <f>+'F1 SEZ'!I174+'F1 Non-SEZ'!I174</f>
        <v>0.13457</v>
      </c>
      <c r="J175" s="512">
        <f>+'F1 SEZ'!J174+'F1 Non-SEZ'!J174</f>
        <v>0.13656299999999999</v>
      </c>
      <c r="K175" s="512">
        <f>+'F1 SEZ'!K174+'F1 Non-SEZ'!K174</f>
        <v>0.13201499999999999</v>
      </c>
      <c r="L175" s="512">
        <f>+'F1 SEZ'!L174+'F1 Non-SEZ'!L174</f>
        <v>0.141705</v>
      </c>
      <c r="M175" s="512">
        <f>+'F1 SEZ'!M174+'F1 Non-SEZ'!M174</f>
        <v>0.11526699999999999</v>
      </c>
      <c r="N175" s="512">
        <f>+'F1 SEZ'!N174+'F1 Non-SEZ'!N174</f>
        <v>0.13424800000000001</v>
      </c>
      <c r="O175" s="544">
        <f t="shared" si="30"/>
        <v>1.5647049999999998</v>
      </c>
    </row>
    <row r="176" spans="2:15" x14ac:dyDescent="0.4">
      <c r="B176" s="520" t="s">
        <v>1110</v>
      </c>
      <c r="C176" s="512">
        <f>+'F1 SEZ'!C175+'F1 Non-SEZ'!C175</f>
        <v>0</v>
      </c>
      <c r="D176" s="512">
        <f>+'F1 SEZ'!D175+'F1 Non-SEZ'!D175</f>
        <v>0</v>
      </c>
      <c r="E176" s="512">
        <f>+'F1 SEZ'!E175+'F1 Non-SEZ'!E175</f>
        <v>0</v>
      </c>
      <c r="F176" s="512">
        <f>+'F1 SEZ'!F175+'F1 Non-SEZ'!F175</f>
        <v>0</v>
      </c>
      <c r="G176" s="512">
        <f>+'F1 SEZ'!G175+'F1 Non-SEZ'!G175</f>
        <v>0</v>
      </c>
      <c r="H176" s="512">
        <f>+'F1 SEZ'!H175+'F1 Non-SEZ'!H175</f>
        <v>0</v>
      </c>
      <c r="I176" s="512">
        <f>+'F1 SEZ'!I175+'F1 Non-SEZ'!I175</f>
        <v>0</v>
      </c>
      <c r="J176" s="512">
        <f>+'F1 SEZ'!J175+'F1 Non-SEZ'!J175</f>
        <v>0</v>
      </c>
      <c r="K176" s="512">
        <f>+'F1 SEZ'!K175+'F1 Non-SEZ'!K175</f>
        <v>0</v>
      </c>
      <c r="L176" s="512">
        <f>+'F1 SEZ'!L175+'F1 Non-SEZ'!L175</f>
        <v>0</v>
      </c>
      <c r="M176" s="512">
        <f>+'F1 SEZ'!M175+'F1 Non-SEZ'!M175</f>
        <v>0</v>
      </c>
      <c r="N176" s="512">
        <f>+'F1 SEZ'!N175+'F1 Non-SEZ'!N175</f>
        <v>0</v>
      </c>
      <c r="O176" s="544">
        <f t="shared" si="30"/>
        <v>0</v>
      </c>
    </row>
    <row r="177" spans="2:15" x14ac:dyDescent="0.4">
      <c r="B177" s="519" t="s">
        <v>1145</v>
      </c>
      <c r="C177" s="512">
        <f>+'F1 SEZ'!C176+'F1 Non-SEZ'!C176</f>
        <v>0</v>
      </c>
      <c r="D177" s="512">
        <f>+'F1 SEZ'!D176+'F1 Non-SEZ'!D176</f>
        <v>0</v>
      </c>
      <c r="E177" s="512">
        <f>+'F1 SEZ'!E176+'F1 Non-SEZ'!E176</f>
        <v>0</v>
      </c>
      <c r="F177" s="512">
        <f>+'F1 SEZ'!F176+'F1 Non-SEZ'!F176</f>
        <v>0</v>
      </c>
      <c r="G177" s="512">
        <f>+'F1 SEZ'!G176+'F1 Non-SEZ'!G176</f>
        <v>0</v>
      </c>
      <c r="H177" s="512">
        <f>+'F1 SEZ'!H176+'F1 Non-SEZ'!H176</f>
        <v>0</v>
      </c>
      <c r="I177" s="512">
        <f>+'F1 SEZ'!I176+'F1 Non-SEZ'!I176</f>
        <v>0</v>
      </c>
      <c r="J177" s="512">
        <f>+'F1 SEZ'!J176+'F1 Non-SEZ'!J176</f>
        <v>0</v>
      </c>
      <c r="K177" s="512">
        <f>+'F1 SEZ'!K176+'F1 Non-SEZ'!K176</f>
        <v>0</v>
      </c>
      <c r="L177" s="512">
        <f>+'F1 SEZ'!L176+'F1 Non-SEZ'!L176</f>
        <v>0</v>
      </c>
      <c r="M177" s="512">
        <f>+'F1 SEZ'!M176+'F1 Non-SEZ'!M176</f>
        <v>0</v>
      </c>
      <c r="N177" s="512">
        <f>+'F1 SEZ'!N176+'F1 Non-SEZ'!N176</f>
        <v>0</v>
      </c>
      <c r="O177" s="544">
        <f t="shared" si="30"/>
        <v>0</v>
      </c>
    </row>
    <row r="178" spans="2:15" x14ac:dyDescent="0.4">
      <c r="B178" s="520" t="s">
        <v>1140</v>
      </c>
      <c r="C178" s="512">
        <f>+'F1 SEZ'!C177+'F1 Non-SEZ'!C177</f>
        <v>6.2199999999999998E-3</v>
      </c>
      <c r="D178" s="512">
        <f>+'F1 SEZ'!D177+'F1 Non-SEZ'!D177</f>
        <v>7.7209999999999996E-3</v>
      </c>
      <c r="E178" s="512">
        <f>+'F1 SEZ'!E177+'F1 Non-SEZ'!E177</f>
        <v>6.5500000000000003E-3</v>
      </c>
      <c r="F178" s="512">
        <f>+'F1 SEZ'!F177+'F1 Non-SEZ'!F177</f>
        <v>5.391E-3</v>
      </c>
      <c r="G178" s="512">
        <f>+'F1 SEZ'!G177+'F1 Non-SEZ'!G177</f>
        <v>5.561E-3</v>
      </c>
      <c r="H178" s="512">
        <f>+'F1 SEZ'!H177+'F1 Non-SEZ'!H177</f>
        <v>6.4689999999999999E-3</v>
      </c>
      <c r="I178" s="512">
        <f>+'F1 SEZ'!I177+'F1 Non-SEZ'!I177</f>
        <v>6.3889999999999997E-3</v>
      </c>
      <c r="J178" s="512">
        <f>+'F1 SEZ'!J177+'F1 Non-SEZ'!J177</f>
        <v>6.0150000000000004E-3</v>
      </c>
      <c r="K178" s="512">
        <f>+'F1 SEZ'!K177+'F1 Non-SEZ'!K177</f>
        <v>5.7270000000000003E-3</v>
      </c>
      <c r="L178" s="512">
        <f>+'F1 SEZ'!L177+'F1 Non-SEZ'!L177</f>
        <v>5.2909999999999997E-3</v>
      </c>
      <c r="M178" s="512">
        <f>+'F1 SEZ'!M177+'F1 Non-SEZ'!M177</f>
        <v>5.5019999999999999E-3</v>
      </c>
      <c r="N178" s="512">
        <f>+'F1 SEZ'!N177+'F1 Non-SEZ'!N177</f>
        <v>7.7169999999999999E-3</v>
      </c>
      <c r="O178" s="544">
        <f t="shared" si="30"/>
        <v>7.4553000000000008E-2</v>
      </c>
    </row>
    <row r="179" spans="2:15" x14ac:dyDescent="0.4">
      <c r="B179" s="520" t="s">
        <v>1144</v>
      </c>
      <c r="C179" s="512">
        <f>+'F1 SEZ'!C178+'F1 Non-SEZ'!C178</f>
        <v>5.5691640000000001E-2</v>
      </c>
      <c r="D179" s="512">
        <f>+'F1 SEZ'!D178+'F1 Non-SEZ'!D178</f>
        <v>6.6994434999999991E-2</v>
      </c>
      <c r="E179" s="512">
        <f>+'F1 SEZ'!E178+'F1 Non-SEZ'!E178</f>
        <v>5.7454739999999997E-2</v>
      </c>
      <c r="F179" s="512">
        <f>+'F1 SEZ'!F178+'F1 Non-SEZ'!F178</f>
        <v>1.3472620000000001E-2</v>
      </c>
      <c r="G179" s="512">
        <f>+'F1 SEZ'!G178+'F1 Non-SEZ'!G178</f>
        <v>1.424951E-2</v>
      </c>
      <c r="H179" s="512">
        <f>+'F1 SEZ'!H178+'F1 Non-SEZ'!H178</f>
        <v>1.4558177299999999E-2</v>
      </c>
      <c r="I179" s="512">
        <f>+'F1 SEZ'!I178+'F1 Non-SEZ'!I178</f>
        <v>1.5206540000000001E-2</v>
      </c>
      <c r="J179" s="512">
        <f>+'F1 SEZ'!J178+'F1 Non-SEZ'!J178</f>
        <v>1.444868E-2</v>
      </c>
      <c r="K179" s="512">
        <f>+'F1 SEZ'!K178+'F1 Non-SEZ'!K178</f>
        <v>1.54755E-2</v>
      </c>
      <c r="L179" s="512">
        <f>+'F1 SEZ'!L178+'F1 Non-SEZ'!L178</f>
        <v>1.279781E-2</v>
      </c>
      <c r="M179" s="512">
        <f>+'F1 SEZ'!M178+'F1 Non-SEZ'!M178</f>
        <v>1.340994E-2</v>
      </c>
      <c r="N179" s="512">
        <f>+'F1 SEZ'!N178+'F1 Non-SEZ'!N178</f>
        <v>1.569547E-2</v>
      </c>
      <c r="O179" s="544">
        <f t="shared" si="30"/>
        <v>0.30945506229999997</v>
      </c>
    </row>
    <row r="180" spans="2:15" x14ac:dyDescent="0.4">
      <c r="B180" s="520" t="s">
        <v>1143</v>
      </c>
      <c r="C180" s="512">
        <f>+'F1 SEZ'!C179+'F1 Non-SEZ'!C179</f>
        <v>5.8290699999999996E-3</v>
      </c>
      <c r="D180" s="512">
        <f>+'F1 SEZ'!D179+'F1 Non-SEZ'!D179</f>
        <v>5.6651899999999996E-3</v>
      </c>
      <c r="E180" s="512">
        <f>+'F1 SEZ'!E179+'F1 Non-SEZ'!E179</f>
        <v>8.9625599999999996E-3</v>
      </c>
      <c r="F180" s="512">
        <f>+'F1 SEZ'!F179+'F1 Non-SEZ'!F179</f>
        <v>6.23224E-3</v>
      </c>
      <c r="G180" s="512">
        <f>+'F1 SEZ'!G179+'F1 Non-SEZ'!G179</f>
        <v>6.3198000000000004E-3</v>
      </c>
      <c r="H180" s="512">
        <f>+'F1 SEZ'!H179+'F1 Non-SEZ'!H179</f>
        <v>6.6920959999999998E-3</v>
      </c>
      <c r="I180" s="512">
        <f>+'F1 SEZ'!I179+'F1 Non-SEZ'!I179</f>
        <v>5.2642100000000001E-3</v>
      </c>
      <c r="J180" s="512">
        <f>+'F1 SEZ'!J179+'F1 Non-SEZ'!J179</f>
        <v>5.1388299999999996E-3</v>
      </c>
      <c r="K180" s="512">
        <f>+'F1 SEZ'!K179+'F1 Non-SEZ'!K179</f>
        <v>4.6548800000000001E-3</v>
      </c>
      <c r="L180" s="512">
        <f>+'F1 SEZ'!L179+'F1 Non-SEZ'!L179</f>
        <v>3.9033900000000001E-3</v>
      </c>
      <c r="M180" s="512">
        <f>+'F1 SEZ'!M179+'F1 Non-SEZ'!M179</f>
        <v>4.30818E-3</v>
      </c>
      <c r="N180" s="512">
        <f>+'F1 SEZ'!N179+'F1 Non-SEZ'!N179</f>
        <v>6.5268039999999998E-3</v>
      </c>
      <c r="O180" s="544">
        <f t="shared" si="30"/>
        <v>6.9497249999999997E-2</v>
      </c>
    </row>
    <row r="181" spans="2:15" x14ac:dyDescent="0.4">
      <c r="B181" s="519" t="s">
        <v>1111</v>
      </c>
      <c r="C181" s="512">
        <f>+'F1 SEZ'!C180+'F1 Non-SEZ'!C180</f>
        <v>1.668528E-2</v>
      </c>
      <c r="D181" s="512">
        <f>+'F1 SEZ'!D180+'F1 Non-SEZ'!D180</f>
        <v>1.81552E-2</v>
      </c>
      <c r="E181" s="512">
        <f>+'F1 SEZ'!E180+'F1 Non-SEZ'!E180</f>
        <v>1.7092720000000002E-2</v>
      </c>
      <c r="F181" s="512">
        <f>+'F1 SEZ'!F180+'F1 Non-SEZ'!F180</f>
        <v>2.7070979999999998E-2</v>
      </c>
      <c r="G181" s="512">
        <f>+'F1 SEZ'!G180+'F1 Non-SEZ'!G180</f>
        <v>3.1055869999999999E-2</v>
      </c>
      <c r="H181" s="512">
        <f>+'F1 SEZ'!H180+'F1 Non-SEZ'!H180</f>
        <v>2.8363142000000001E-2</v>
      </c>
      <c r="I181" s="512">
        <f>+'F1 SEZ'!I180+'F1 Non-SEZ'!I180</f>
        <v>2.579994E-2</v>
      </c>
      <c r="J181" s="512">
        <f>+'F1 SEZ'!J180+'F1 Non-SEZ'!J180</f>
        <v>2.561857E-2</v>
      </c>
      <c r="K181" s="512">
        <f>+'F1 SEZ'!K180+'F1 Non-SEZ'!K180</f>
        <v>3.6970169999999997E-2</v>
      </c>
      <c r="L181" s="512">
        <f>+'F1 SEZ'!L180+'F1 Non-SEZ'!L180</f>
        <v>3.9522919999999996E-2</v>
      </c>
      <c r="M181" s="512">
        <f>+'F1 SEZ'!M180+'F1 Non-SEZ'!M180</f>
        <v>3.5471330000000002E-2</v>
      </c>
      <c r="N181" s="512">
        <f>+'F1 SEZ'!N180+'F1 Non-SEZ'!N180</f>
        <v>3.9499619999999999E-2</v>
      </c>
      <c r="O181" s="544">
        <f t="shared" si="30"/>
        <v>0.34130574200000002</v>
      </c>
    </row>
    <row r="182" spans="2:15" x14ac:dyDescent="0.4">
      <c r="B182" s="519" t="s">
        <v>1135</v>
      </c>
      <c r="C182" s="512">
        <f>+'F1 SEZ'!C181+'F1 Non-SEZ'!C181</f>
        <v>1.1338000000000001E-2</v>
      </c>
      <c r="D182" s="512">
        <f>+'F1 SEZ'!D181+'F1 Non-SEZ'!D181</f>
        <v>1.315E-2</v>
      </c>
      <c r="E182" s="512">
        <f>+'F1 SEZ'!E181+'F1 Non-SEZ'!E181</f>
        <v>9.6600000000000002E-3</v>
      </c>
      <c r="F182" s="512">
        <f>+'F1 SEZ'!F181+'F1 Non-SEZ'!F181</f>
        <v>1.1554E-2</v>
      </c>
      <c r="G182" s="512">
        <f>+'F1 SEZ'!G181+'F1 Non-SEZ'!G181</f>
        <v>1.3204E-2</v>
      </c>
      <c r="H182" s="512">
        <f>+'F1 SEZ'!H181+'F1 Non-SEZ'!H181</f>
        <v>1.299E-2</v>
      </c>
      <c r="I182" s="512">
        <f>+'F1 SEZ'!I181+'F1 Non-SEZ'!I181</f>
        <v>1.2775E-2</v>
      </c>
      <c r="J182" s="512">
        <f>+'F1 SEZ'!J181+'F1 Non-SEZ'!J181</f>
        <v>1.1297E-2</v>
      </c>
      <c r="K182" s="512">
        <f>+'F1 SEZ'!K181+'F1 Non-SEZ'!K181</f>
        <v>9.5919999999999998E-3</v>
      </c>
      <c r="L182" s="512">
        <f>+'F1 SEZ'!L181+'F1 Non-SEZ'!L181</f>
        <v>9.8899999999999995E-3</v>
      </c>
      <c r="M182" s="512">
        <f>+'F1 SEZ'!M181+'F1 Non-SEZ'!M181</f>
        <v>9.7359999999999999E-3</v>
      </c>
      <c r="N182" s="512">
        <f>+'F1 SEZ'!N181+'F1 Non-SEZ'!N181</f>
        <v>1.146E-2</v>
      </c>
      <c r="O182" s="544">
        <f t="shared" si="30"/>
        <v>0.13664599999999999</v>
      </c>
    </row>
    <row r="183" spans="2:15" x14ac:dyDescent="0.4">
      <c r="B183" s="519" t="s">
        <v>1136</v>
      </c>
      <c r="C183" s="512">
        <f>+'F1 SEZ'!C182+'F1 Non-SEZ'!C182</f>
        <v>0</v>
      </c>
      <c r="D183" s="512">
        <f>+'F1 SEZ'!D182+'F1 Non-SEZ'!D182</f>
        <v>0</v>
      </c>
      <c r="E183" s="512">
        <f>+'F1 SEZ'!E182+'F1 Non-SEZ'!E182</f>
        <v>0</v>
      </c>
      <c r="F183" s="512">
        <f>+'F1 SEZ'!F182+'F1 Non-SEZ'!F182</f>
        <v>0</v>
      </c>
      <c r="G183" s="512">
        <f>+'F1 SEZ'!G182+'F1 Non-SEZ'!G182</f>
        <v>0</v>
      </c>
      <c r="H183" s="512">
        <f>+'F1 SEZ'!H182+'F1 Non-SEZ'!H182</f>
        <v>0</v>
      </c>
      <c r="I183" s="512">
        <f>+'F1 SEZ'!I182+'F1 Non-SEZ'!I182</f>
        <v>0</v>
      </c>
      <c r="J183" s="512">
        <f>+'F1 SEZ'!J182+'F1 Non-SEZ'!J182</f>
        <v>0</v>
      </c>
      <c r="K183" s="512">
        <f>+'F1 SEZ'!K182+'F1 Non-SEZ'!K182</f>
        <v>0</v>
      </c>
      <c r="L183" s="512">
        <f>+'F1 SEZ'!L182+'F1 Non-SEZ'!L182</f>
        <v>0</v>
      </c>
      <c r="M183" s="512">
        <f>+'F1 SEZ'!M182+'F1 Non-SEZ'!M182</f>
        <v>0</v>
      </c>
      <c r="N183" s="512">
        <f>+'F1 SEZ'!N182+'F1 Non-SEZ'!N182</f>
        <v>0</v>
      </c>
      <c r="O183" s="544">
        <f t="shared" si="30"/>
        <v>0</v>
      </c>
    </row>
    <row r="184" spans="2:15" x14ac:dyDescent="0.4">
      <c r="B184" s="566" t="s">
        <v>1142</v>
      </c>
      <c r="C184" s="512">
        <f>+'F1 SEZ'!C183+'F1 Non-SEZ'!C183</f>
        <v>5.9009999999999999E-5</v>
      </c>
      <c r="D184" s="512">
        <f>+'F1 SEZ'!D183+'F1 Non-SEZ'!D183</f>
        <v>6.2219999999999997E-5</v>
      </c>
      <c r="E184" s="512">
        <f>+'F1 SEZ'!E183+'F1 Non-SEZ'!E183</f>
        <v>1.3828000000000001E-4</v>
      </c>
      <c r="F184" s="512">
        <f>+'F1 SEZ'!F183+'F1 Non-SEZ'!F183</f>
        <v>5.6350000000000001E-5</v>
      </c>
      <c r="G184" s="512">
        <f>+'F1 SEZ'!G183+'F1 Non-SEZ'!G183</f>
        <v>1.1401E-4</v>
      </c>
      <c r="H184" s="512">
        <f>+'F1 SEZ'!H183+'F1 Non-SEZ'!H183</f>
        <v>1.1423499999999999E-4</v>
      </c>
      <c r="I184" s="512">
        <f>+'F1 SEZ'!I183+'F1 Non-SEZ'!I183</f>
        <v>1.8466999999999998E-4</v>
      </c>
      <c r="J184" s="512">
        <f>+'F1 SEZ'!J183+'F1 Non-SEZ'!J183</f>
        <v>2.1871E-4</v>
      </c>
      <c r="K184" s="512">
        <f>+'F1 SEZ'!K183+'F1 Non-SEZ'!K183</f>
        <v>1.9201E-4</v>
      </c>
      <c r="L184" s="512">
        <f>+'F1 SEZ'!L183+'F1 Non-SEZ'!L183</f>
        <v>1.3824E-4</v>
      </c>
      <c r="M184" s="512">
        <f>+'F1 SEZ'!M183+'F1 Non-SEZ'!M183</f>
        <v>2.0049999999999999E-4</v>
      </c>
      <c r="N184" s="512">
        <f>+'F1 SEZ'!N183+'F1 Non-SEZ'!N183</f>
        <v>3.0066000000000001E-4</v>
      </c>
      <c r="O184" s="544">
        <f t="shared" si="30"/>
        <v>1.778895E-3</v>
      </c>
    </row>
    <row r="185" spans="2:15" x14ac:dyDescent="0.4">
      <c r="B185" s="175" t="s">
        <v>162</v>
      </c>
      <c r="C185" s="567">
        <f>SUM(C172:C184)</f>
        <v>0.33160600000000007</v>
      </c>
      <c r="D185" s="567">
        <f t="shared" ref="D185:O185" si="31">SUM(D172:D184)</f>
        <v>0.35508004499999996</v>
      </c>
      <c r="E185" s="567">
        <f t="shared" si="31"/>
        <v>0.34500330000000001</v>
      </c>
      <c r="F185" s="567">
        <f t="shared" si="31"/>
        <v>0.30162219000000001</v>
      </c>
      <c r="G185" s="567">
        <f t="shared" si="31"/>
        <v>0.32229818999999998</v>
      </c>
      <c r="H185" s="567">
        <f t="shared" si="31"/>
        <v>0.31853765029999997</v>
      </c>
      <c r="I185" s="567">
        <f t="shared" si="31"/>
        <v>0.31490135999999996</v>
      </c>
      <c r="J185" s="567">
        <f t="shared" si="31"/>
        <v>0.30746578999999996</v>
      </c>
      <c r="K185" s="567">
        <f t="shared" si="31"/>
        <v>0.31805955999999996</v>
      </c>
      <c r="L185" s="567">
        <f t="shared" si="31"/>
        <v>0.31669136000000003</v>
      </c>
      <c r="M185" s="567">
        <f t="shared" si="31"/>
        <v>0.29533295000000004</v>
      </c>
      <c r="N185" s="567">
        <f t="shared" si="31"/>
        <v>0.35490155400000001</v>
      </c>
      <c r="O185" s="567">
        <f t="shared" si="31"/>
        <v>3.8814999492999998</v>
      </c>
    </row>
    <row r="186" spans="2:15" x14ac:dyDescent="0.4">
      <c r="B186" s="175"/>
      <c r="C186" s="26"/>
      <c r="D186" s="26"/>
      <c r="E186" s="26"/>
      <c r="F186" s="26"/>
      <c r="G186" s="26"/>
      <c r="H186" s="26"/>
      <c r="I186" s="26"/>
      <c r="J186" s="26"/>
      <c r="K186" s="26"/>
      <c r="L186" s="26"/>
      <c r="M186" s="26"/>
      <c r="N186" s="26"/>
      <c r="O186" s="26"/>
    </row>
    <row r="187" spans="2:15" x14ac:dyDescent="0.4">
      <c r="B187" s="119" t="s">
        <v>164</v>
      </c>
      <c r="C187" s="568">
        <f>+C185+C169</f>
        <v>2.0385178799999997</v>
      </c>
      <c r="D187" s="568">
        <f t="shared" ref="D187:O187" si="32">+D185+D169</f>
        <v>2.1391094050000001</v>
      </c>
      <c r="E187" s="568">
        <f t="shared" si="32"/>
        <v>2.0432086699999998</v>
      </c>
      <c r="F187" s="568">
        <f t="shared" si="32"/>
        <v>1.9706766500000001</v>
      </c>
      <c r="G187" s="568">
        <f t="shared" si="32"/>
        <v>2.09925235</v>
      </c>
      <c r="H187" s="568">
        <f t="shared" si="32"/>
        <v>2.0616135902999999</v>
      </c>
      <c r="I187" s="568">
        <f t="shared" si="32"/>
        <v>2.1509091799999998</v>
      </c>
      <c r="J187" s="568">
        <f t="shared" si="32"/>
        <v>2.1172173299999999</v>
      </c>
      <c r="K187" s="568">
        <f t="shared" si="32"/>
        <v>2.2046054099999997</v>
      </c>
      <c r="L187" s="568">
        <f t="shared" si="32"/>
        <v>2.1866552599999998</v>
      </c>
      <c r="M187" s="568">
        <f t="shared" si="32"/>
        <v>2.09836416</v>
      </c>
      <c r="N187" s="568">
        <f t="shared" si="32"/>
        <v>2.529072744</v>
      </c>
      <c r="O187" s="568">
        <f t="shared" si="32"/>
        <v>25.639202629300001</v>
      </c>
    </row>
    <row r="188" spans="2:15" x14ac:dyDescent="0.4">
      <c r="B188" s="118" t="s">
        <v>165</v>
      </c>
    </row>
    <row r="189" spans="2:15" x14ac:dyDescent="0.4">
      <c r="B189" s="27" t="s">
        <v>166</v>
      </c>
    </row>
    <row r="190" spans="2:15" x14ac:dyDescent="0.4">
      <c r="B190" s="1" t="s">
        <v>184</v>
      </c>
      <c r="C190" s="30"/>
      <c r="D190" s="30"/>
      <c r="E190" s="30"/>
      <c r="F190" s="30"/>
    </row>
    <row r="191" spans="2:15" x14ac:dyDescent="0.4">
      <c r="B191" s="27" t="s">
        <v>168</v>
      </c>
      <c r="C191" s="30"/>
      <c r="D191" s="30"/>
      <c r="E191" s="30"/>
      <c r="F191" s="30"/>
    </row>
    <row r="192" spans="2:15" x14ac:dyDescent="0.4">
      <c r="B192" s="27"/>
      <c r="C192" s="30"/>
      <c r="D192" s="30"/>
      <c r="E192" s="30"/>
      <c r="F192" s="30"/>
    </row>
    <row r="193" spans="2:15" x14ac:dyDescent="0.4">
      <c r="B193" s="32" t="s">
        <v>185</v>
      </c>
      <c r="C193" s="8"/>
      <c r="D193" s="8"/>
      <c r="E193" s="8"/>
      <c r="F193" s="8"/>
      <c r="G193" s="8"/>
      <c r="H193" s="8"/>
      <c r="I193" s="8"/>
      <c r="J193" s="8"/>
      <c r="K193" s="8"/>
      <c r="L193" s="8"/>
      <c r="M193" s="8"/>
      <c r="N193" s="8"/>
      <c r="O193" s="4"/>
    </row>
    <row r="194" spans="2:15" x14ac:dyDescent="0.4">
      <c r="B194" s="32"/>
      <c r="C194" s="38"/>
      <c r="D194" s="38"/>
      <c r="O194" s="38" t="s">
        <v>171</v>
      </c>
    </row>
    <row r="195" spans="2:15" x14ac:dyDescent="0.4">
      <c r="B195" s="98" t="s">
        <v>160</v>
      </c>
      <c r="C195" s="98" t="s">
        <v>172</v>
      </c>
      <c r="D195" s="98" t="s">
        <v>173</v>
      </c>
      <c r="E195" s="98" t="s">
        <v>174</v>
      </c>
      <c r="F195" s="98" t="s">
        <v>175</v>
      </c>
      <c r="G195" s="98" t="s">
        <v>176</v>
      </c>
      <c r="H195" s="98" t="s">
        <v>177</v>
      </c>
      <c r="I195" s="98" t="s">
        <v>178</v>
      </c>
      <c r="J195" s="98" t="s">
        <v>179</v>
      </c>
      <c r="K195" s="98" t="s">
        <v>180</v>
      </c>
      <c r="L195" s="98" t="s">
        <v>181</v>
      </c>
      <c r="M195" s="98" t="s">
        <v>182</v>
      </c>
      <c r="N195" s="98" t="s">
        <v>183</v>
      </c>
      <c r="O195" s="98" t="s">
        <v>164</v>
      </c>
    </row>
    <row r="196" spans="2:15" x14ac:dyDescent="0.4">
      <c r="B196" s="517" t="s">
        <v>161</v>
      </c>
      <c r="C196" s="78"/>
      <c r="D196" s="78"/>
      <c r="E196" s="78"/>
      <c r="F196" s="3"/>
      <c r="G196" s="3"/>
      <c r="H196" s="2"/>
      <c r="I196" s="43"/>
      <c r="J196" s="44"/>
      <c r="K196" s="124"/>
      <c r="L196" s="124"/>
      <c r="M196" s="2"/>
      <c r="N196" s="2"/>
      <c r="O196" s="2"/>
    </row>
    <row r="197" spans="2:15" x14ac:dyDescent="0.4">
      <c r="B197" s="429" t="s">
        <v>1129</v>
      </c>
      <c r="C197" s="512">
        <f>+'F1 SEZ'!C196+'F1 Non-SEZ'!C196</f>
        <v>2.2034400000000001</v>
      </c>
      <c r="D197" s="512">
        <f>+'F1 SEZ'!D196+'F1 Non-SEZ'!D196</f>
        <v>2.4106800000000002</v>
      </c>
      <c r="E197" s="512">
        <f>+'F1 SEZ'!E196+'F1 Non-SEZ'!E196</f>
        <v>2.3118599999999998</v>
      </c>
      <c r="F197" s="512">
        <f>+'F1 SEZ'!F196+'F1 Non-SEZ'!F196</f>
        <v>2.3652000000000002</v>
      </c>
      <c r="G197" s="512">
        <f>+'F1 SEZ'!G196+'F1 Non-SEZ'!G196</f>
        <v>2.8481399999999999</v>
      </c>
      <c r="H197" s="512">
        <f>+'F1 SEZ'!H196+'F1 Non-SEZ'!H196</f>
        <v>2.8423799999999999</v>
      </c>
      <c r="I197" s="512">
        <f>+'F1 SEZ'!I196+'F1 Non-SEZ'!I196</f>
        <v>3.1110000000000002</v>
      </c>
      <c r="J197" s="512">
        <f>+'F1 SEZ'!J196+'F1 Non-SEZ'!J196</f>
        <v>3.0201600000000002</v>
      </c>
      <c r="K197" s="512">
        <f>+'F1 SEZ'!K196+'F1 Non-SEZ'!K196</f>
        <v>3.1319400000000002</v>
      </c>
      <c r="L197" s="512">
        <f>+'F1 SEZ'!L196+'F1 Non-SEZ'!L196</f>
        <v>3.2474400000000001</v>
      </c>
      <c r="M197" s="512">
        <f>+'F1 SEZ'!M196+'F1 Non-SEZ'!M196</f>
        <v>3.0624600000000002</v>
      </c>
      <c r="N197" s="512">
        <f>+'F1 SEZ'!N196+'F1 Non-SEZ'!N196</f>
        <v>3.3030600155999998</v>
      </c>
      <c r="O197" s="544">
        <f>SUM(C197:N197)</f>
        <v>33.8577600156</v>
      </c>
    </row>
    <row r="198" spans="2:15" x14ac:dyDescent="0.4">
      <c r="B198" s="429" t="s">
        <v>1130</v>
      </c>
      <c r="C198" s="512">
        <f>+'F1 SEZ'!C197+'F1 Non-SEZ'!C197</f>
        <v>2.2176619999999998E-2</v>
      </c>
      <c r="D198" s="512">
        <f>+'F1 SEZ'!D197+'F1 Non-SEZ'!D197</f>
        <v>2.3154810000000001E-2</v>
      </c>
      <c r="E198" s="512">
        <f>+'F1 SEZ'!E197+'F1 Non-SEZ'!E197</f>
        <v>2.5375450000000001E-2</v>
      </c>
      <c r="F198" s="512">
        <f>+'F1 SEZ'!F197+'F1 Non-SEZ'!F197</f>
        <v>4.5368510000000001E-2</v>
      </c>
      <c r="G198" s="512">
        <f>+'F1 SEZ'!G197+'F1 Non-SEZ'!G197</f>
        <v>3.1869549999999996E-2</v>
      </c>
      <c r="H198" s="512">
        <f>+'F1 SEZ'!H197+'F1 Non-SEZ'!H197</f>
        <v>4.8727660000000006E-2</v>
      </c>
      <c r="I198" s="512">
        <f>+'F1 SEZ'!I197+'F1 Non-SEZ'!I197</f>
        <v>2.9795160000000001E-2</v>
      </c>
      <c r="J198" s="512">
        <f>+'F1 SEZ'!J197+'F1 Non-SEZ'!J197</f>
        <v>2.180147E-2</v>
      </c>
      <c r="K198" s="512">
        <f>+'F1 SEZ'!K197+'F1 Non-SEZ'!K197</f>
        <v>2.7562759999999999E-2</v>
      </c>
      <c r="L198" s="512">
        <f>+'F1 SEZ'!L197+'F1 Non-SEZ'!L197</f>
        <v>2.2048479999999999E-2</v>
      </c>
      <c r="M198" s="512">
        <f>+'F1 SEZ'!M197+'F1 Non-SEZ'!M197</f>
        <v>2.2363729999999998E-2</v>
      </c>
      <c r="N198" s="512">
        <f>+'F1 SEZ'!N197+'F1 Non-SEZ'!N197</f>
        <v>2.7293390000000001E-2</v>
      </c>
      <c r="O198" s="544">
        <f>SUM(C198:N198)</f>
        <v>0.34753758999999995</v>
      </c>
    </row>
    <row r="199" spans="2:15" x14ac:dyDescent="0.4">
      <c r="B199" s="429" t="s">
        <v>1131</v>
      </c>
      <c r="C199" s="512">
        <f>+'F1 SEZ'!C198+'F1 Non-SEZ'!C198</f>
        <v>0</v>
      </c>
      <c r="D199" s="512">
        <f>+'F1 SEZ'!D198+'F1 Non-SEZ'!D198</f>
        <v>0</v>
      </c>
      <c r="E199" s="512">
        <f>+'F1 SEZ'!E198+'F1 Non-SEZ'!E198</f>
        <v>0</v>
      </c>
      <c r="F199" s="512">
        <f>+'F1 SEZ'!F198+'F1 Non-SEZ'!F198</f>
        <v>0</v>
      </c>
      <c r="G199" s="512">
        <f>+'F1 SEZ'!G198+'F1 Non-SEZ'!G198</f>
        <v>0</v>
      </c>
      <c r="H199" s="512">
        <f>+'F1 SEZ'!H198+'F1 Non-SEZ'!H198</f>
        <v>0</v>
      </c>
      <c r="I199" s="512">
        <f>+'F1 SEZ'!I198+'F1 Non-SEZ'!I198</f>
        <v>0</v>
      </c>
      <c r="J199" s="512">
        <f>+'F1 SEZ'!J198+'F1 Non-SEZ'!J198</f>
        <v>0</v>
      </c>
      <c r="K199" s="512">
        <f>+'F1 SEZ'!K198+'F1 Non-SEZ'!K198</f>
        <v>0</v>
      </c>
      <c r="L199" s="512">
        <f>+'F1 SEZ'!L198+'F1 Non-SEZ'!L198</f>
        <v>0</v>
      </c>
      <c r="M199" s="512">
        <f>+'F1 SEZ'!M198+'F1 Non-SEZ'!M198</f>
        <v>0</v>
      </c>
      <c r="N199" s="512">
        <f>+'F1 SEZ'!N198+'F1 Non-SEZ'!N198</f>
        <v>0</v>
      </c>
      <c r="O199" s="544">
        <f>SUM(C199:N199)</f>
        <v>0</v>
      </c>
    </row>
    <row r="200" spans="2:15" x14ac:dyDescent="0.4">
      <c r="B200" s="429" t="s">
        <v>1132</v>
      </c>
      <c r="C200" s="512">
        <f>+'F1 SEZ'!C199+'F1 Non-SEZ'!C199</f>
        <v>0</v>
      </c>
      <c r="D200" s="512">
        <f>+'F1 SEZ'!D199+'F1 Non-SEZ'!D199</f>
        <v>0</v>
      </c>
      <c r="E200" s="512">
        <f>+'F1 SEZ'!E199+'F1 Non-SEZ'!E199</f>
        <v>0</v>
      </c>
      <c r="F200" s="512">
        <f>+'F1 SEZ'!F199+'F1 Non-SEZ'!F199</f>
        <v>0</v>
      </c>
      <c r="G200" s="512">
        <f>+'F1 SEZ'!G199+'F1 Non-SEZ'!G199</f>
        <v>0</v>
      </c>
      <c r="H200" s="512">
        <f>+'F1 SEZ'!H199+'F1 Non-SEZ'!H199</f>
        <v>0</v>
      </c>
      <c r="I200" s="512">
        <f>+'F1 SEZ'!I199+'F1 Non-SEZ'!I199</f>
        <v>0</v>
      </c>
      <c r="J200" s="512">
        <f>+'F1 SEZ'!J199+'F1 Non-SEZ'!J199</f>
        <v>0</v>
      </c>
      <c r="K200" s="512">
        <f>+'F1 SEZ'!K199+'F1 Non-SEZ'!K199</f>
        <v>0</v>
      </c>
      <c r="L200" s="512">
        <f>+'F1 SEZ'!L199+'F1 Non-SEZ'!L199</f>
        <v>0</v>
      </c>
      <c r="M200" s="512">
        <f>+'F1 SEZ'!M199+'F1 Non-SEZ'!M199</f>
        <v>0</v>
      </c>
      <c r="N200" s="512">
        <f>+'F1 SEZ'!N199+'F1 Non-SEZ'!N199</f>
        <v>0</v>
      </c>
      <c r="O200" s="544">
        <f>SUM(C200:N200)</f>
        <v>0</v>
      </c>
    </row>
    <row r="201" spans="2:15" x14ac:dyDescent="0.4">
      <c r="B201" s="518" t="s">
        <v>162</v>
      </c>
      <c r="C201" s="545">
        <f>SUM(C197:C200)</f>
        <v>2.2256166200000003</v>
      </c>
      <c r="D201" s="545">
        <f t="shared" ref="D201:O201" si="33">SUM(D197:D200)</f>
        <v>2.43383481</v>
      </c>
      <c r="E201" s="545">
        <f t="shared" si="33"/>
        <v>2.3372354499999997</v>
      </c>
      <c r="F201" s="545">
        <f t="shared" si="33"/>
        <v>2.4105685100000001</v>
      </c>
      <c r="G201" s="545">
        <f t="shared" si="33"/>
        <v>2.88000955</v>
      </c>
      <c r="H201" s="545">
        <f t="shared" si="33"/>
        <v>2.8911076599999999</v>
      </c>
      <c r="I201" s="545">
        <f t="shared" si="33"/>
        <v>3.1407951600000001</v>
      </c>
      <c r="J201" s="545">
        <f t="shared" si="33"/>
        <v>3.0419614700000004</v>
      </c>
      <c r="K201" s="545">
        <f t="shared" si="33"/>
        <v>3.1595027600000001</v>
      </c>
      <c r="L201" s="545">
        <f t="shared" si="33"/>
        <v>3.2694884800000001</v>
      </c>
      <c r="M201" s="545">
        <f t="shared" si="33"/>
        <v>3.0848237300000001</v>
      </c>
      <c r="N201" s="545">
        <f t="shared" si="33"/>
        <v>3.3303534055999999</v>
      </c>
      <c r="O201" s="545">
        <f t="shared" si="33"/>
        <v>34.205297605600002</v>
      </c>
    </row>
    <row r="202" spans="2:15" x14ac:dyDescent="0.4">
      <c r="B202" s="517" t="s">
        <v>163</v>
      </c>
      <c r="C202" s="545"/>
      <c r="D202" s="545"/>
      <c r="E202" s="545"/>
      <c r="F202" s="545"/>
      <c r="G202" s="545"/>
      <c r="H202" s="545"/>
      <c r="I202" s="545"/>
      <c r="J202" s="545"/>
      <c r="K202" s="545"/>
      <c r="L202" s="545"/>
      <c r="M202" s="545"/>
      <c r="N202" s="545"/>
      <c r="O202" s="545"/>
    </row>
    <row r="203" spans="2:15" x14ac:dyDescent="0.4">
      <c r="B203" s="519" t="s">
        <v>1133</v>
      </c>
      <c r="C203" s="546"/>
      <c r="D203" s="546"/>
      <c r="E203" s="547"/>
      <c r="F203" s="546"/>
      <c r="G203" s="547"/>
      <c r="H203" s="547"/>
      <c r="I203" s="543"/>
      <c r="J203" s="545"/>
      <c r="K203" s="547"/>
      <c r="L203" s="545"/>
      <c r="M203" s="545"/>
      <c r="N203" s="548"/>
      <c r="O203" s="544">
        <f t="shared" ref="O203:O216" si="34">SUM(C203:N203)</f>
        <v>0</v>
      </c>
    </row>
    <row r="204" spans="2:15" x14ac:dyDescent="0.4">
      <c r="B204" s="520" t="s">
        <v>1106</v>
      </c>
      <c r="C204" s="512">
        <f>+'F1 SEZ'!C203+'F1 Non-SEZ'!C203</f>
        <v>6.6030000000000005E-2</v>
      </c>
      <c r="D204" s="512">
        <f>+'F1 SEZ'!D203+'F1 Non-SEZ'!D203</f>
        <v>6.8662000000000001E-2</v>
      </c>
      <c r="E204" s="512">
        <f>+'F1 SEZ'!E203+'F1 Non-SEZ'!E203</f>
        <v>7.2454000000000005E-2</v>
      </c>
      <c r="F204" s="512">
        <f>+'F1 SEZ'!F203+'F1 Non-SEZ'!F203</f>
        <v>6.8848999999999994E-2</v>
      </c>
      <c r="G204" s="512">
        <f>+'F1 SEZ'!G203+'F1 Non-SEZ'!G203</f>
        <v>7.5384000000000007E-2</v>
      </c>
      <c r="H204" s="512">
        <f>+'F1 SEZ'!H203+'F1 Non-SEZ'!H203</f>
        <v>7.6342999999999994E-2</v>
      </c>
      <c r="I204" s="512">
        <f>+'F1 SEZ'!I203+'F1 Non-SEZ'!I203</f>
        <v>8.0395999999999995E-2</v>
      </c>
      <c r="J204" s="512">
        <f>+'F1 SEZ'!J203+'F1 Non-SEZ'!J203</f>
        <v>8.1365999999999994E-2</v>
      </c>
      <c r="K204" s="512">
        <f>+'F1 SEZ'!K203+'F1 Non-SEZ'!K203</f>
        <v>8.1823999999999994E-2</v>
      </c>
      <c r="L204" s="512">
        <f>+'F1 SEZ'!L203+'F1 Non-SEZ'!L203</f>
        <v>8.6599999999999996E-2</v>
      </c>
      <c r="M204" s="512">
        <f>+'F1 SEZ'!M203+'F1 Non-SEZ'!M203</f>
        <v>8.3668999999999993E-2</v>
      </c>
      <c r="N204" s="512">
        <f>+'F1 SEZ'!N203+'F1 Non-SEZ'!N203</f>
        <v>8.9752999999999999E-2</v>
      </c>
      <c r="O204" s="544">
        <f t="shared" si="34"/>
        <v>0.93132999999999988</v>
      </c>
    </row>
    <row r="205" spans="2:15" x14ac:dyDescent="0.4">
      <c r="B205" s="520" t="s">
        <v>1107</v>
      </c>
      <c r="C205" s="512">
        <f>+'F1 SEZ'!C204+'F1 Non-SEZ'!C204</f>
        <v>7.6935000000000003E-2</v>
      </c>
      <c r="D205" s="512">
        <f>+'F1 SEZ'!D204+'F1 Non-SEZ'!D204</f>
        <v>8.1995999999999999E-2</v>
      </c>
      <c r="E205" s="512">
        <f>+'F1 SEZ'!E204+'F1 Non-SEZ'!E204</f>
        <v>8.9079000000000005E-2</v>
      </c>
      <c r="F205" s="512">
        <f>+'F1 SEZ'!F204+'F1 Non-SEZ'!F204</f>
        <v>6.2744999999999995E-2</v>
      </c>
      <c r="G205" s="512">
        <f>+'F1 SEZ'!G204+'F1 Non-SEZ'!G204</f>
        <v>6.8973999999999994E-2</v>
      </c>
      <c r="H205" s="512">
        <f>+'F1 SEZ'!H204+'F1 Non-SEZ'!H204</f>
        <v>6.9240999999999997E-2</v>
      </c>
      <c r="I205" s="512">
        <f>+'F1 SEZ'!I204+'F1 Non-SEZ'!I204</f>
        <v>8.6538000000000004E-2</v>
      </c>
      <c r="J205" s="512">
        <f>+'F1 SEZ'!J204+'F1 Non-SEZ'!J204</f>
        <v>7.8981999999999997E-2</v>
      </c>
      <c r="K205" s="512">
        <f>+'F1 SEZ'!K204+'F1 Non-SEZ'!K204</f>
        <v>6.6804000000000002E-2</v>
      </c>
      <c r="L205" s="512">
        <f>+'F1 SEZ'!L204+'F1 Non-SEZ'!L204</f>
        <v>7.2833999999999996E-2</v>
      </c>
      <c r="M205" s="512">
        <f>+'F1 SEZ'!M204+'F1 Non-SEZ'!M204</f>
        <v>6.4253000000000005E-2</v>
      </c>
      <c r="N205" s="512">
        <f>+'F1 SEZ'!N204+'F1 Non-SEZ'!N204</f>
        <v>8.3507999999999999E-2</v>
      </c>
      <c r="O205" s="544">
        <f t="shared" si="34"/>
        <v>0.90188899999999994</v>
      </c>
    </row>
    <row r="206" spans="2:15" x14ac:dyDescent="0.4">
      <c r="B206" s="520" t="s">
        <v>1108</v>
      </c>
      <c r="C206" s="512">
        <f>+'F1 SEZ'!C205+'F1 Non-SEZ'!C205</f>
        <v>3.6034999999999998E-2</v>
      </c>
      <c r="D206" s="512">
        <f>+'F1 SEZ'!D205+'F1 Non-SEZ'!D205</f>
        <v>4.4424999999999999E-2</v>
      </c>
      <c r="E206" s="512">
        <f>+'F1 SEZ'!E205+'F1 Non-SEZ'!E205</f>
        <v>4.8300999999999997E-2</v>
      </c>
      <c r="F206" s="512">
        <f>+'F1 SEZ'!F205+'F1 Non-SEZ'!F205</f>
        <v>1.6195999999999999E-2</v>
      </c>
      <c r="G206" s="512">
        <f>+'F1 SEZ'!G205+'F1 Non-SEZ'!G205</f>
        <v>1.9425999999999999E-2</v>
      </c>
      <c r="H206" s="512">
        <f>+'F1 SEZ'!H205+'F1 Non-SEZ'!H205</f>
        <v>2.0840999999999998E-2</v>
      </c>
      <c r="I206" s="512">
        <f>+'F1 SEZ'!I205+'F1 Non-SEZ'!I205</f>
        <v>3.3893E-2</v>
      </c>
      <c r="J206" s="512">
        <f>+'F1 SEZ'!J205+'F1 Non-SEZ'!J205</f>
        <v>2.5283E-2</v>
      </c>
      <c r="K206" s="512">
        <f>+'F1 SEZ'!K205+'F1 Non-SEZ'!K205</f>
        <v>1.6441999999999998E-2</v>
      </c>
      <c r="L206" s="512">
        <f>+'F1 SEZ'!L205+'F1 Non-SEZ'!L205</f>
        <v>1.7101000000000002E-2</v>
      </c>
      <c r="M206" s="512">
        <f>+'F1 SEZ'!M205+'F1 Non-SEZ'!M205</f>
        <v>1.3690000000000001E-2</v>
      </c>
      <c r="N206" s="512">
        <f>+'F1 SEZ'!N205+'F1 Non-SEZ'!N205</f>
        <v>2.426E-2</v>
      </c>
      <c r="O206" s="544">
        <f t="shared" si="34"/>
        <v>0.31589299999999998</v>
      </c>
    </row>
    <row r="207" spans="2:15" x14ac:dyDescent="0.4">
      <c r="B207" s="520" t="s">
        <v>1109</v>
      </c>
      <c r="C207" s="512">
        <f>+'F1 SEZ'!C206+'F1 Non-SEZ'!C206</f>
        <v>0.15693599999999999</v>
      </c>
      <c r="D207" s="512">
        <f>+'F1 SEZ'!D206+'F1 Non-SEZ'!D206</f>
        <v>0.17735100000000001</v>
      </c>
      <c r="E207" s="512">
        <f>+'F1 SEZ'!E206+'F1 Non-SEZ'!E206</f>
        <v>0.18526999999999999</v>
      </c>
      <c r="F207" s="512">
        <f>+'F1 SEZ'!F206+'F1 Non-SEZ'!F206</f>
        <v>0.14182400000000001</v>
      </c>
      <c r="G207" s="512">
        <f>+'F1 SEZ'!G206+'F1 Non-SEZ'!G206</f>
        <v>0.154915</v>
      </c>
      <c r="H207" s="512">
        <f>+'F1 SEZ'!H206+'F1 Non-SEZ'!H206</f>
        <v>0.14571400000000001</v>
      </c>
      <c r="I207" s="512">
        <f>+'F1 SEZ'!I206+'F1 Non-SEZ'!I206</f>
        <v>0.15559700000000001</v>
      </c>
      <c r="J207" s="512">
        <f>+'F1 SEZ'!J206+'F1 Non-SEZ'!J206</f>
        <v>0.14522299999999999</v>
      </c>
      <c r="K207" s="512">
        <f>+'F1 SEZ'!K206+'F1 Non-SEZ'!K206</f>
        <v>0.144592</v>
      </c>
      <c r="L207" s="512">
        <f>+'F1 SEZ'!L206+'F1 Non-SEZ'!L206</f>
        <v>0.165654</v>
      </c>
      <c r="M207" s="512">
        <f>+'F1 SEZ'!M206+'F1 Non-SEZ'!M206</f>
        <v>0.137379</v>
      </c>
      <c r="N207" s="512">
        <f>+'F1 SEZ'!N206+'F1 Non-SEZ'!N206</f>
        <v>0.14626800000000001</v>
      </c>
      <c r="O207" s="544">
        <f t="shared" si="34"/>
        <v>1.8567230000000001</v>
      </c>
    </row>
    <row r="208" spans="2:15" x14ac:dyDescent="0.4">
      <c r="B208" s="520" t="s">
        <v>1110</v>
      </c>
      <c r="C208" s="512">
        <f>+'F1 SEZ'!C207+'F1 Non-SEZ'!C207</f>
        <v>0</v>
      </c>
      <c r="D208" s="512">
        <f>+'F1 SEZ'!D207+'F1 Non-SEZ'!D207</f>
        <v>0</v>
      </c>
      <c r="E208" s="512">
        <f>+'F1 SEZ'!E207+'F1 Non-SEZ'!E207</f>
        <v>0</v>
      </c>
      <c r="F208" s="512">
        <f>+'F1 SEZ'!F207+'F1 Non-SEZ'!F207</f>
        <v>0</v>
      </c>
      <c r="G208" s="512">
        <f>+'F1 SEZ'!G207+'F1 Non-SEZ'!G207</f>
        <v>0</v>
      </c>
      <c r="H208" s="512">
        <f>+'F1 SEZ'!H207+'F1 Non-SEZ'!H207</f>
        <v>0</v>
      </c>
      <c r="I208" s="512">
        <f>+'F1 SEZ'!I207+'F1 Non-SEZ'!I207</f>
        <v>0</v>
      </c>
      <c r="J208" s="512">
        <f>+'F1 SEZ'!J207+'F1 Non-SEZ'!J207</f>
        <v>0</v>
      </c>
      <c r="K208" s="512">
        <f>+'F1 SEZ'!K207+'F1 Non-SEZ'!K207</f>
        <v>0</v>
      </c>
      <c r="L208" s="512">
        <f>+'F1 SEZ'!L207+'F1 Non-SEZ'!L207</f>
        <v>0</v>
      </c>
      <c r="M208" s="512">
        <f>+'F1 SEZ'!M207+'F1 Non-SEZ'!M207</f>
        <v>0</v>
      </c>
      <c r="N208" s="512">
        <f>+'F1 SEZ'!N207+'F1 Non-SEZ'!N207</f>
        <v>0</v>
      </c>
      <c r="O208" s="544">
        <f t="shared" si="34"/>
        <v>0</v>
      </c>
    </row>
    <row r="209" spans="2:15" x14ac:dyDescent="0.4">
      <c r="B209" s="519" t="s">
        <v>1145</v>
      </c>
      <c r="C209" s="512">
        <f>+'F1 SEZ'!C208+'F1 Non-SEZ'!C208</f>
        <v>0</v>
      </c>
      <c r="D209" s="512">
        <f>+'F1 SEZ'!D208+'F1 Non-SEZ'!D208</f>
        <v>0</v>
      </c>
      <c r="E209" s="512">
        <f>+'F1 SEZ'!E208+'F1 Non-SEZ'!E208</f>
        <v>0</v>
      </c>
      <c r="F209" s="512">
        <f>+'F1 SEZ'!F208+'F1 Non-SEZ'!F208</f>
        <v>0</v>
      </c>
      <c r="G209" s="512">
        <f>+'F1 SEZ'!G208+'F1 Non-SEZ'!G208</f>
        <v>0</v>
      </c>
      <c r="H209" s="512">
        <f>+'F1 SEZ'!H208+'F1 Non-SEZ'!H208</f>
        <v>0</v>
      </c>
      <c r="I209" s="512">
        <f>+'F1 SEZ'!I208+'F1 Non-SEZ'!I208</f>
        <v>0</v>
      </c>
      <c r="J209" s="512">
        <f>+'F1 SEZ'!J208+'F1 Non-SEZ'!J208</f>
        <v>0</v>
      </c>
      <c r="K209" s="512">
        <f>+'F1 SEZ'!K208+'F1 Non-SEZ'!K208</f>
        <v>0</v>
      </c>
      <c r="L209" s="512">
        <f>+'F1 SEZ'!L208+'F1 Non-SEZ'!L208</f>
        <v>0</v>
      </c>
      <c r="M209" s="512">
        <f>+'F1 SEZ'!M208+'F1 Non-SEZ'!M208</f>
        <v>0</v>
      </c>
      <c r="N209" s="512">
        <f>+'F1 SEZ'!N208+'F1 Non-SEZ'!N208</f>
        <v>0</v>
      </c>
      <c r="O209" s="544">
        <f t="shared" si="34"/>
        <v>0</v>
      </c>
    </row>
    <row r="210" spans="2:15" x14ac:dyDescent="0.4">
      <c r="B210" s="520" t="s">
        <v>1140</v>
      </c>
      <c r="C210" s="512">
        <f>+'F1 SEZ'!C209+'F1 Non-SEZ'!C209</f>
        <v>9.7850000000000003E-3</v>
      </c>
      <c r="D210" s="512">
        <f>+'F1 SEZ'!D209+'F1 Non-SEZ'!D209</f>
        <v>1.1736999999999999E-2</v>
      </c>
      <c r="E210" s="512">
        <f>+'F1 SEZ'!E209+'F1 Non-SEZ'!E209</f>
        <v>1.2630000000000001E-2</v>
      </c>
      <c r="F210" s="512">
        <f>+'F1 SEZ'!F209+'F1 Non-SEZ'!F209</f>
        <v>9.4149999999999998E-3</v>
      </c>
      <c r="G210" s="512">
        <f>+'F1 SEZ'!G209+'F1 Non-SEZ'!G209</f>
        <v>1.1091E-2</v>
      </c>
      <c r="H210" s="512">
        <f>+'F1 SEZ'!H209+'F1 Non-SEZ'!H209</f>
        <v>1.0580000000000001E-2</v>
      </c>
      <c r="I210" s="512">
        <f>+'F1 SEZ'!I209+'F1 Non-SEZ'!I209</f>
        <v>1.2798E-2</v>
      </c>
      <c r="J210" s="512">
        <f>+'F1 SEZ'!J209+'F1 Non-SEZ'!J209</f>
        <v>1.4517E-2</v>
      </c>
      <c r="K210" s="512">
        <f>+'F1 SEZ'!K209+'F1 Non-SEZ'!K209</f>
        <v>1.6504000000000001E-2</v>
      </c>
      <c r="L210" s="512">
        <f>+'F1 SEZ'!L209+'F1 Non-SEZ'!L209</f>
        <v>1.6415000000000003E-2</v>
      </c>
      <c r="M210" s="512">
        <f>+'F1 SEZ'!M209+'F1 Non-SEZ'!M209</f>
        <v>1.4445E-2</v>
      </c>
      <c r="N210" s="512">
        <f>+'F1 SEZ'!N209+'F1 Non-SEZ'!N209</f>
        <v>1.6546000000000002E-2</v>
      </c>
      <c r="O210" s="544">
        <f t="shared" si="34"/>
        <v>0.15646300000000002</v>
      </c>
    </row>
    <row r="211" spans="2:15" x14ac:dyDescent="0.4">
      <c r="B211" s="520" t="s">
        <v>1144</v>
      </c>
      <c r="C211" s="512">
        <f>+'F1 SEZ'!C210+'F1 Non-SEZ'!C210</f>
        <v>2.7159450000000002E-2</v>
      </c>
      <c r="D211" s="512">
        <f>+'F1 SEZ'!D210+'F1 Non-SEZ'!D210</f>
        <v>2.9915240000000003E-2</v>
      </c>
      <c r="E211" s="512">
        <f>+'F1 SEZ'!E210+'F1 Non-SEZ'!E210</f>
        <v>2.8281110000000002E-2</v>
      </c>
      <c r="F211" s="512">
        <f>+'F1 SEZ'!F210+'F1 Non-SEZ'!F210</f>
        <v>2.148415E-2</v>
      </c>
      <c r="G211" s="512">
        <f>+'F1 SEZ'!G210+'F1 Non-SEZ'!G210</f>
        <v>2.2732639999999998E-2</v>
      </c>
      <c r="H211" s="512">
        <f>+'F1 SEZ'!H210+'F1 Non-SEZ'!H210</f>
        <v>2.0386790000000002E-2</v>
      </c>
      <c r="I211" s="512">
        <f>+'F1 SEZ'!I210+'F1 Non-SEZ'!I210</f>
        <v>2.1214770000000001E-2</v>
      </c>
      <c r="J211" s="512">
        <f>+'F1 SEZ'!J210+'F1 Non-SEZ'!J210</f>
        <v>1.8958060000000002E-2</v>
      </c>
      <c r="K211" s="512">
        <f>+'F1 SEZ'!K210+'F1 Non-SEZ'!K210</f>
        <v>1.9974220000000001E-2</v>
      </c>
      <c r="L211" s="512">
        <f>+'F1 SEZ'!L210+'F1 Non-SEZ'!L210</f>
        <v>2.0029830000000002E-2</v>
      </c>
      <c r="M211" s="512">
        <f>+'F1 SEZ'!M210+'F1 Non-SEZ'!M210</f>
        <v>1.9739860000000001E-2</v>
      </c>
      <c r="N211" s="512">
        <f>+'F1 SEZ'!N210+'F1 Non-SEZ'!N210</f>
        <v>2.498999E-2</v>
      </c>
      <c r="O211" s="544">
        <f t="shared" si="34"/>
        <v>0.27486611</v>
      </c>
    </row>
    <row r="212" spans="2:15" x14ac:dyDescent="0.4">
      <c r="B212" s="520" t="s">
        <v>1143</v>
      </c>
      <c r="C212" s="512">
        <f>+'F1 SEZ'!C211+'F1 Non-SEZ'!C211</f>
        <v>6.411234E-3</v>
      </c>
      <c r="D212" s="512">
        <f>+'F1 SEZ'!D211+'F1 Non-SEZ'!D211</f>
        <v>6.5268159999999995E-3</v>
      </c>
      <c r="E212" s="512">
        <f>+'F1 SEZ'!E211+'F1 Non-SEZ'!E211</f>
        <v>1.2095719999999999E-2</v>
      </c>
      <c r="F212" s="512">
        <f>+'F1 SEZ'!F211+'F1 Non-SEZ'!F211</f>
        <v>6.4936999999999998E-3</v>
      </c>
      <c r="G212" s="512">
        <f>+'F1 SEZ'!G211+'F1 Non-SEZ'!G211</f>
        <v>8.0795799999999994E-3</v>
      </c>
      <c r="H212" s="512">
        <f>+'F1 SEZ'!H211+'F1 Non-SEZ'!H211</f>
        <v>6.7550800000000001E-3</v>
      </c>
      <c r="I212" s="512">
        <f>+'F1 SEZ'!I211+'F1 Non-SEZ'!I211</f>
        <v>7.8443699999999998E-3</v>
      </c>
      <c r="J212" s="512">
        <f>+'F1 SEZ'!J211+'F1 Non-SEZ'!J211</f>
        <v>5.0962200000000003E-3</v>
      </c>
      <c r="K212" s="512">
        <f>+'F1 SEZ'!K211+'F1 Non-SEZ'!K211</f>
        <v>5.3214600000000001E-3</v>
      </c>
      <c r="L212" s="512">
        <f>+'F1 SEZ'!L211+'F1 Non-SEZ'!L211</f>
        <v>5.6799199999999998E-3</v>
      </c>
      <c r="M212" s="512">
        <f>+'F1 SEZ'!M211+'F1 Non-SEZ'!M211</f>
        <v>5.14606E-3</v>
      </c>
      <c r="N212" s="512">
        <f>+'F1 SEZ'!N211+'F1 Non-SEZ'!N211</f>
        <v>6.4039200000000004E-3</v>
      </c>
      <c r="O212" s="544">
        <f t="shared" si="34"/>
        <v>8.1854079999999996E-2</v>
      </c>
    </row>
    <row r="213" spans="2:15" x14ac:dyDescent="0.4">
      <c r="B213" s="519" t="s">
        <v>1111</v>
      </c>
      <c r="C213" s="512">
        <f>+'F1 SEZ'!C212+'F1 Non-SEZ'!C212</f>
        <v>3.7353150000000002E-2</v>
      </c>
      <c r="D213" s="512">
        <f>+'F1 SEZ'!D212+'F1 Non-SEZ'!D212</f>
        <v>3.6408969999999999E-2</v>
      </c>
      <c r="E213" s="512">
        <f>+'F1 SEZ'!E212+'F1 Non-SEZ'!E212</f>
        <v>3.8031559999999999E-2</v>
      </c>
      <c r="F213" s="512">
        <f>+'F1 SEZ'!F212+'F1 Non-SEZ'!F212</f>
        <v>3.5392460000000001E-2</v>
      </c>
      <c r="G213" s="512">
        <f>+'F1 SEZ'!G212+'F1 Non-SEZ'!G212</f>
        <v>3.4563749999999997E-2</v>
      </c>
      <c r="H213" s="512">
        <f>+'F1 SEZ'!H212+'F1 Non-SEZ'!H212</f>
        <v>3.6090589999999999E-2</v>
      </c>
      <c r="I213" s="512">
        <f>+'F1 SEZ'!I212+'F1 Non-SEZ'!I212</f>
        <v>4.4174720000000001E-2</v>
      </c>
      <c r="J213" s="512">
        <f>+'F1 SEZ'!J212+'F1 Non-SEZ'!J212</f>
        <v>3.8349769999999998E-2</v>
      </c>
      <c r="K213" s="512">
        <f>+'F1 SEZ'!K212+'F1 Non-SEZ'!K212</f>
        <v>3.9277739999999998E-2</v>
      </c>
      <c r="L213" s="512">
        <f>+'F1 SEZ'!L212+'F1 Non-SEZ'!L212</f>
        <v>3.8563170000000001E-2</v>
      </c>
      <c r="M213" s="512">
        <f>+'F1 SEZ'!M212+'F1 Non-SEZ'!M212</f>
        <v>3.7312970000000001E-2</v>
      </c>
      <c r="N213" s="512">
        <f>+'F1 SEZ'!N212+'F1 Non-SEZ'!N212</f>
        <v>4.0316039999999997E-2</v>
      </c>
      <c r="O213" s="544">
        <f t="shared" si="34"/>
        <v>0.45583488999999999</v>
      </c>
    </row>
    <row r="214" spans="2:15" x14ac:dyDescent="0.4">
      <c r="B214" s="519" t="s">
        <v>1135</v>
      </c>
      <c r="C214" s="512">
        <f>+'F1 SEZ'!C213+'F1 Non-SEZ'!C213</f>
        <v>1.353E-2</v>
      </c>
      <c r="D214" s="512">
        <f>+'F1 SEZ'!D213+'F1 Non-SEZ'!D213</f>
        <v>1.5129999999999999E-2</v>
      </c>
      <c r="E214" s="512">
        <f>+'F1 SEZ'!E213+'F1 Non-SEZ'!E213</f>
        <v>1.3009E-2</v>
      </c>
      <c r="F214" s="512">
        <f>+'F1 SEZ'!F213+'F1 Non-SEZ'!F213</f>
        <v>1.4334E-2</v>
      </c>
      <c r="G214" s="512">
        <f>+'F1 SEZ'!G213+'F1 Non-SEZ'!G213</f>
        <v>1.5816E-2</v>
      </c>
      <c r="H214" s="512">
        <f>+'F1 SEZ'!H213+'F1 Non-SEZ'!H213</f>
        <v>1.4422000000000001E-2</v>
      </c>
      <c r="I214" s="512">
        <f>+'F1 SEZ'!I213+'F1 Non-SEZ'!I213</f>
        <v>1.584E-2</v>
      </c>
      <c r="J214" s="512">
        <f>+'F1 SEZ'!J213+'F1 Non-SEZ'!J213</f>
        <v>1.4142E-2</v>
      </c>
      <c r="K214" s="512">
        <f>+'F1 SEZ'!K213+'F1 Non-SEZ'!K213</f>
        <v>1.4768E-2</v>
      </c>
      <c r="L214" s="512">
        <f>+'F1 SEZ'!L213+'F1 Non-SEZ'!L213</f>
        <v>1.2996000000000001E-2</v>
      </c>
      <c r="M214" s="512">
        <f>+'F1 SEZ'!M213+'F1 Non-SEZ'!M213</f>
        <v>1.1408E-2</v>
      </c>
      <c r="N214" s="512">
        <f>+'F1 SEZ'!N213+'F1 Non-SEZ'!N213</f>
        <v>1.363E-2</v>
      </c>
      <c r="O214" s="544">
        <f t="shared" si="34"/>
        <v>0.16902500000000001</v>
      </c>
    </row>
    <row r="215" spans="2:15" x14ac:dyDescent="0.4">
      <c r="B215" s="519" t="s">
        <v>1136</v>
      </c>
      <c r="C215" s="512">
        <f>+'F1 SEZ'!C214+'F1 Non-SEZ'!C214</f>
        <v>0</v>
      </c>
      <c r="D215" s="512">
        <f>+'F1 SEZ'!D214+'F1 Non-SEZ'!D214</f>
        <v>0</v>
      </c>
      <c r="E215" s="512">
        <f>+'F1 SEZ'!E214+'F1 Non-SEZ'!E214</f>
        <v>0</v>
      </c>
      <c r="F215" s="512">
        <f>+'F1 SEZ'!F214+'F1 Non-SEZ'!F214</f>
        <v>0</v>
      </c>
      <c r="G215" s="512">
        <f>+'F1 SEZ'!G214+'F1 Non-SEZ'!G214</f>
        <v>0</v>
      </c>
      <c r="H215" s="512">
        <f>+'F1 SEZ'!H214+'F1 Non-SEZ'!H214</f>
        <v>0</v>
      </c>
      <c r="I215" s="512">
        <f>+'F1 SEZ'!I214+'F1 Non-SEZ'!I214</f>
        <v>0</v>
      </c>
      <c r="J215" s="512">
        <f>+'F1 SEZ'!J214+'F1 Non-SEZ'!J214</f>
        <v>0</v>
      </c>
      <c r="K215" s="512">
        <f>+'F1 SEZ'!K214+'F1 Non-SEZ'!K214</f>
        <v>0</v>
      </c>
      <c r="L215" s="512">
        <f>+'F1 SEZ'!L214+'F1 Non-SEZ'!L214</f>
        <v>0</v>
      </c>
      <c r="M215" s="512">
        <f>+'F1 SEZ'!M214+'F1 Non-SEZ'!M214</f>
        <v>0</v>
      </c>
      <c r="N215" s="512">
        <f>+'F1 SEZ'!N214+'F1 Non-SEZ'!N214</f>
        <v>0</v>
      </c>
      <c r="O215" s="544">
        <f t="shared" si="34"/>
        <v>0</v>
      </c>
    </row>
    <row r="216" spans="2:15" x14ac:dyDescent="0.4">
      <c r="B216" s="566" t="s">
        <v>1142</v>
      </c>
      <c r="C216" s="512">
        <f>+'F1 SEZ'!C215+'F1 Non-SEZ'!C215</f>
        <v>4.5727999999999996E-4</v>
      </c>
      <c r="D216" s="512">
        <f>+'F1 SEZ'!D215+'F1 Non-SEZ'!D215</f>
        <v>3.7672000000000004E-4</v>
      </c>
      <c r="E216" s="512">
        <f>+'F1 SEZ'!E215+'F1 Non-SEZ'!E215</f>
        <v>4.2480000000000003E-4</v>
      </c>
      <c r="F216" s="512">
        <f>+'F1 SEZ'!F215+'F1 Non-SEZ'!F215</f>
        <v>3.7870999999999998E-4</v>
      </c>
      <c r="G216" s="512">
        <f>+'F1 SEZ'!G215+'F1 Non-SEZ'!G215</f>
        <v>2.7143000000000002E-4</v>
      </c>
      <c r="H216" s="512">
        <f>+'F1 SEZ'!H215+'F1 Non-SEZ'!H215</f>
        <v>1.8263E-4</v>
      </c>
      <c r="I216" s="512">
        <f>+'F1 SEZ'!I215+'F1 Non-SEZ'!I215</f>
        <v>6.5096000000000002E-4</v>
      </c>
      <c r="J216" s="512">
        <f>+'F1 SEZ'!J215+'F1 Non-SEZ'!J215</f>
        <v>1.2724500000000001E-3</v>
      </c>
      <c r="K216" s="512">
        <f>+'F1 SEZ'!K215+'F1 Non-SEZ'!K215</f>
        <v>1.0390999999999998E-3</v>
      </c>
      <c r="L216" s="512">
        <f>+'F1 SEZ'!L215+'F1 Non-SEZ'!L215</f>
        <v>1.0970299999999999E-3</v>
      </c>
      <c r="M216" s="512">
        <f>+'F1 SEZ'!M215+'F1 Non-SEZ'!M215</f>
        <v>1.321734E-3</v>
      </c>
      <c r="N216" s="512">
        <f>+'F1 SEZ'!N215+'F1 Non-SEZ'!N215</f>
        <v>2.0108399999999998E-3</v>
      </c>
      <c r="O216" s="544">
        <f t="shared" si="34"/>
        <v>9.4836839999999992E-3</v>
      </c>
    </row>
    <row r="217" spans="2:15" x14ac:dyDescent="0.4">
      <c r="B217" s="175" t="s">
        <v>162</v>
      </c>
      <c r="C217" s="567">
        <f t="shared" ref="C217:O217" si="35">SUM(C204:C216)</f>
        <v>0.43063211400000001</v>
      </c>
      <c r="D217" s="567">
        <f t="shared" si="35"/>
        <v>0.472528746</v>
      </c>
      <c r="E217" s="567">
        <f t="shared" si="35"/>
        <v>0.49957618999999998</v>
      </c>
      <c r="F217" s="567">
        <f t="shared" si="35"/>
        <v>0.37711201999999999</v>
      </c>
      <c r="G217" s="567">
        <f t="shared" si="35"/>
        <v>0.41125339999999999</v>
      </c>
      <c r="H217" s="567">
        <f t="shared" si="35"/>
        <v>0.40055608999999998</v>
      </c>
      <c r="I217" s="567">
        <f t="shared" si="35"/>
        <v>0.45894681999999998</v>
      </c>
      <c r="J217" s="567">
        <f t="shared" si="35"/>
        <v>0.42318949999999994</v>
      </c>
      <c r="K217" s="567">
        <f t="shared" si="35"/>
        <v>0.40654652000000002</v>
      </c>
      <c r="L217" s="567">
        <f t="shared" si="35"/>
        <v>0.43696995</v>
      </c>
      <c r="M217" s="567">
        <f t="shared" si="35"/>
        <v>0.38836462399999999</v>
      </c>
      <c r="N217" s="567">
        <f t="shared" si="35"/>
        <v>0.44768579000000003</v>
      </c>
      <c r="O217" s="567">
        <f t="shared" si="35"/>
        <v>5.1533617640000005</v>
      </c>
    </row>
    <row r="218" spans="2:15" x14ac:dyDescent="0.4">
      <c r="B218" s="175"/>
      <c r="C218" s="26"/>
      <c r="D218" s="26"/>
      <c r="E218" s="26"/>
      <c r="F218" s="26"/>
      <c r="G218" s="26"/>
      <c r="H218" s="26"/>
      <c r="I218" s="26"/>
      <c r="J218" s="26"/>
      <c r="K218" s="26"/>
      <c r="L218" s="26"/>
      <c r="M218" s="26"/>
      <c r="N218" s="26"/>
      <c r="O218" s="26"/>
    </row>
    <row r="219" spans="2:15" x14ac:dyDescent="0.4">
      <c r="B219" s="119" t="s">
        <v>164</v>
      </c>
      <c r="C219" s="568">
        <f>+C217+C201</f>
        <v>2.6562487340000001</v>
      </c>
      <c r="D219" s="568">
        <f t="shared" ref="D219:O219" si="36">+D217+D201</f>
        <v>2.9063635560000001</v>
      </c>
      <c r="E219" s="568">
        <f t="shared" si="36"/>
        <v>2.8368116399999996</v>
      </c>
      <c r="F219" s="568">
        <f t="shared" si="36"/>
        <v>2.7876805300000003</v>
      </c>
      <c r="G219" s="568">
        <f t="shared" si="36"/>
        <v>3.2912629500000001</v>
      </c>
      <c r="H219" s="568">
        <f t="shared" si="36"/>
        <v>3.2916637499999997</v>
      </c>
      <c r="I219" s="568">
        <f t="shared" si="36"/>
        <v>3.5997419800000001</v>
      </c>
      <c r="J219" s="568">
        <f t="shared" si="36"/>
        <v>3.4651509700000003</v>
      </c>
      <c r="K219" s="568">
        <f t="shared" si="36"/>
        <v>3.5660492800000001</v>
      </c>
      <c r="L219" s="568">
        <f t="shared" si="36"/>
        <v>3.7064584300000001</v>
      </c>
      <c r="M219" s="568">
        <f t="shared" si="36"/>
        <v>3.4731883539999999</v>
      </c>
      <c r="N219" s="568">
        <f t="shared" si="36"/>
        <v>3.7780391955999999</v>
      </c>
      <c r="O219" s="568">
        <f t="shared" si="36"/>
        <v>39.358659369600005</v>
      </c>
    </row>
    <row r="220" spans="2:15" x14ac:dyDescent="0.4">
      <c r="B220" s="118" t="s">
        <v>165</v>
      </c>
    </row>
    <row r="221" spans="2:15" x14ac:dyDescent="0.4">
      <c r="B221" s="27" t="s">
        <v>166</v>
      </c>
    </row>
    <row r="222" spans="2:15" x14ac:dyDescent="0.4">
      <c r="B222" s="1" t="s">
        <v>184</v>
      </c>
      <c r="C222" s="30"/>
      <c r="D222" s="30"/>
      <c r="E222" s="30"/>
      <c r="F222" s="30"/>
    </row>
    <row r="223" spans="2:15" x14ac:dyDescent="0.4">
      <c r="B223" s="27" t="s">
        <v>168</v>
      </c>
      <c r="C223" s="30"/>
      <c r="D223" s="30"/>
      <c r="E223" s="30"/>
      <c r="F223" s="30"/>
    </row>
    <row r="224" spans="2:15" x14ac:dyDescent="0.4">
      <c r="B224" s="27"/>
      <c r="C224" s="30"/>
      <c r="D224" s="30"/>
      <c r="E224" s="30"/>
      <c r="F224" s="30"/>
    </row>
    <row r="225" spans="2:15" x14ac:dyDescent="0.4">
      <c r="B225" s="32" t="s">
        <v>1024</v>
      </c>
      <c r="C225" s="8"/>
      <c r="D225" s="8"/>
      <c r="E225" s="8"/>
      <c r="F225" s="8"/>
      <c r="G225" s="8"/>
      <c r="H225" s="8"/>
      <c r="I225" s="8"/>
      <c r="J225" s="8"/>
      <c r="K225" s="8"/>
      <c r="L225" s="8"/>
      <c r="M225" s="8"/>
      <c r="N225" s="8"/>
      <c r="O225" s="4"/>
    </row>
    <row r="226" spans="2:15" x14ac:dyDescent="0.4">
      <c r="B226" s="32"/>
      <c r="C226" s="38"/>
      <c r="D226" s="38"/>
      <c r="O226" s="38" t="s">
        <v>171</v>
      </c>
    </row>
    <row r="227" spans="2:15" s="51" customFormat="1" x14ac:dyDescent="0.35">
      <c r="B227" s="1940" t="s">
        <v>160</v>
      </c>
      <c r="C227" s="1945" t="s">
        <v>186</v>
      </c>
      <c r="D227" s="1945"/>
      <c r="E227" s="1945"/>
      <c r="F227" s="1945"/>
      <c r="G227" s="1945"/>
      <c r="H227" s="1945"/>
      <c r="I227" s="1946" t="s">
        <v>187</v>
      </c>
      <c r="J227" s="1946"/>
      <c r="K227" s="1946"/>
      <c r="L227" s="1946"/>
      <c r="M227" s="1946"/>
      <c r="N227" s="1946"/>
      <c r="O227" s="1947" t="s">
        <v>188</v>
      </c>
    </row>
    <row r="228" spans="2:15" s="51" customFormat="1" x14ac:dyDescent="0.35">
      <c r="B228" s="1940"/>
      <c r="C228" s="106" t="s">
        <v>172</v>
      </c>
      <c r="D228" s="106" t="s">
        <v>173</v>
      </c>
      <c r="E228" s="64" t="s">
        <v>174</v>
      </c>
      <c r="F228" s="64" t="s">
        <v>175</v>
      </c>
      <c r="G228" s="64" t="s">
        <v>176</v>
      </c>
      <c r="H228" s="64" t="s">
        <v>177</v>
      </c>
      <c r="I228" s="64" t="s">
        <v>178</v>
      </c>
      <c r="J228" s="64" t="s">
        <v>179</v>
      </c>
      <c r="K228" s="64" t="s">
        <v>180</v>
      </c>
      <c r="L228" s="64" t="s">
        <v>181</v>
      </c>
      <c r="M228" s="64" t="s">
        <v>182</v>
      </c>
      <c r="N228" s="64" t="s">
        <v>183</v>
      </c>
      <c r="O228" s="1947"/>
    </row>
    <row r="229" spans="2:15" x14ac:dyDescent="0.4">
      <c r="B229" s="517" t="s">
        <v>161</v>
      </c>
      <c r="C229" s="78"/>
      <c r="D229" s="78"/>
      <c r="E229" s="78"/>
      <c r="F229" s="3"/>
      <c r="G229" s="3"/>
      <c r="H229" s="2"/>
      <c r="I229" s="43"/>
      <c r="J229" s="44"/>
      <c r="K229" s="124"/>
      <c r="L229" s="124"/>
      <c r="M229" s="2"/>
      <c r="N229" s="2"/>
      <c r="O229" s="2"/>
    </row>
    <row r="230" spans="2:15" x14ac:dyDescent="0.4">
      <c r="B230" s="429" t="s">
        <v>1129</v>
      </c>
      <c r="C230" s="512">
        <f>+'F1 SEZ'!C229+'F1 Non-SEZ'!C229</f>
        <v>3.4148399999999999</v>
      </c>
      <c r="D230" s="512">
        <f>+'F1 SEZ'!D229+'F1 Non-SEZ'!D229</f>
        <v>4.1491199999999999</v>
      </c>
      <c r="E230" s="512">
        <f>+'F1 SEZ'!E229+'F1 Non-SEZ'!E229</f>
        <v>5.8598400000000002</v>
      </c>
      <c r="F230" s="512">
        <f>+'F1 SEZ'!F229+'F1 Non-SEZ'!F229</f>
        <v>6.2614200000000002</v>
      </c>
      <c r="G230" s="512">
        <f>+'F1 SEZ'!G229+'F1 Non-SEZ'!G229</f>
        <v>5.9743199999999996</v>
      </c>
      <c r="H230" s="512">
        <f>+'F1 SEZ'!H229+'F1 Non-SEZ'!H229</f>
        <v>6.2991599999999996</v>
      </c>
      <c r="I230" s="512">
        <f>+'F1 SEZ'!I229+'F1 Non-SEZ'!I229</f>
        <v>6.8262</v>
      </c>
      <c r="J230" s="512">
        <f>+'F1 SEZ'!J229+'F1 Non-SEZ'!J229</f>
        <v>6.7975199999999996</v>
      </c>
      <c r="K230" s="512">
        <f>+'F1 SEZ'!K229+'F1 Non-SEZ'!K229</f>
        <v>7.2103200000000003</v>
      </c>
      <c r="L230" s="512">
        <f>+'F1 SEZ'!L229+'F1 Non-SEZ'!L229</f>
        <v>6.3647400000000003</v>
      </c>
      <c r="M230" s="512">
        <f>+'F1 SEZ'!M229+'F1 Non-SEZ'!M229</f>
        <v>6.3689400000000003</v>
      </c>
      <c r="N230" s="512">
        <f>+'F1 SEZ'!N229+'F1 Non-SEZ'!N229</f>
        <v>7.6379400000000004</v>
      </c>
      <c r="O230" s="544">
        <f>SUM(C230:N230)</f>
        <v>73.164360000000002</v>
      </c>
    </row>
    <row r="231" spans="2:15" x14ac:dyDescent="0.4">
      <c r="B231" s="429" t="s">
        <v>1130</v>
      </c>
      <c r="C231" s="512">
        <f>+'F1 SEZ'!C230+'F1 Non-SEZ'!C230</f>
        <v>3.9028569999999999E-2</v>
      </c>
      <c r="D231" s="512">
        <f>+'F1 SEZ'!D230+'F1 Non-SEZ'!D230</f>
        <v>4.4999809999999994E-2</v>
      </c>
      <c r="E231" s="512">
        <f>+'F1 SEZ'!E230+'F1 Non-SEZ'!E230</f>
        <v>3.1761379999999999E-2</v>
      </c>
      <c r="F231" s="512">
        <f>+'F1 SEZ'!F230+'F1 Non-SEZ'!F230</f>
        <v>4.4103749999999997E-2</v>
      </c>
      <c r="G231" s="512">
        <f>+'F1 SEZ'!G230+'F1 Non-SEZ'!G230</f>
        <v>3.9460510000000004E-2</v>
      </c>
      <c r="H231" s="512">
        <f>+'F1 SEZ'!H230+'F1 Non-SEZ'!H230</f>
        <v>3.9271639999999997E-2</v>
      </c>
      <c r="I231" s="512">
        <f>+'F1 SEZ'!I230+'F1 Non-SEZ'!I230</f>
        <v>3.7890609999999998E-2</v>
      </c>
      <c r="J231" s="512">
        <f>+'F1 SEZ'!J230+'F1 Non-SEZ'!J230</f>
        <v>3.0070639999999999E-2</v>
      </c>
      <c r="K231" s="512">
        <f>+'F1 SEZ'!K230+'F1 Non-SEZ'!K230</f>
        <v>4.2325309999999998E-2</v>
      </c>
      <c r="L231" s="512">
        <f>+'F1 SEZ'!L230+'F1 Non-SEZ'!L230</f>
        <v>4.7025839999999999E-2</v>
      </c>
      <c r="M231" s="512">
        <f>+'F1 SEZ'!M230+'F1 Non-SEZ'!M230</f>
        <v>4.3599650000000004E-2</v>
      </c>
      <c r="N231" s="512">
        <f>+'F1 SEZ'!N230+'F1 Non-SEZ'!N230</f>
        <v>5.2914089999999997E-2</v>
      </c>
      <c r="O231" s="544">
        <f>SUM(C231:N231)</f>
        <v>0.4924518</v>
      </c>
    </row>
    <row r="232" spans="2:15" x14ac:dyDescent="0.4">
      <c r="B232" s="429" t="s">
        <v>1131</v>
      </c>
      <c r="C232" s="512">
        <f>+'F1 SEZ'!C231+'F1 Non-SEZ'!C231</f>
        <v>0</v>
      </c>
      <c r="D232" s="512">
        <f>+'F1 SEZ'!D231+'F1 Non-SEZ'!D231</f>
        <v>0</v>
      </c>
      <c r="E232" s="512">
        <f>+'F1 SEZ'!E231+'F1 Non-SEZ'!E231</f>
        <v>0</v>
      </c>
      <c r="F232" s="512">
        <f>+'F1 SEZ'!F231+'F1 Non-SEZ'!F231</f>
        <v>0</v>
      </c>
      <c r="G232" s="512">
        <f>+'F1 SEZ'!G231+'F1 Non-SEZ'!G231</f>
        <v>0</v>
      </c>
      <c r="H232" s="512">
        <f>+'F1 SEZ'!H231+'F1 Non-SEZ'!H231</f>
        <v>0</v>
      </c>
      <c r="I232" s="512">
        <f>+'F1 SEZ'!I231+'F1 Non-SEZ'!I231</f>
        <v>0</v>
      </c>
      <c r="J232" s="512">
        <f>+'F1 SEZ'!J231+'F1 Non-SEZ'!J231</f>
        <v>0</v>
      </c>
      <c r="K232" s="512">
        <f>+'F1 SEZ'!K231+'F1 Non-SEZ'!K231</f>
        <v>0</v>
      </c>
      <c r="L232" s="512">
        <f>+'F1 SEZ'!L231+'F1 Non-SEZ'!L231</f>
        <v>0</v>
      </c>
      <c r="M232" s="512">
        <f>+'F1 SEZ'!M231+'F1 Non-SEZ'!M231</f>
        <v>0</v>
      </c>
      <c r="N232" s="512">
        <f>+'F1 SEZ'!N231+'F1 Non-SEZ'!N231</f>
        <v>0</v>
      </c>
      <c r="O232" s="544">
        <f>SUM(C232:N232)</f>
        <v>0</v>
      </c>
    </row>
    <row r="233" spans="2:15" x14ac:dyDescent="0.4">
      <c r="B233" s="429" t="s">
        <v>1132</v>
      </c>
      <c r="C233" s="512">
        <f>+'F1 SEZ'!C232+'F1 Non-SEZ'!C232</f>
        <v>0</v>
      </c>
      <c r="D233" s="512">
        <f>+'F1 SEZ'!D232+'F1 Non-SEZ'!D232</f>
        <v>0</v>
      </c>
      <c r="E233" s="512">
        <f>+'F1 SEZ'!E232+'F1 Non-SEZ'!E232</f>
        <v>0</v>
      </c>
      <c r="F233" s="512">
        <f>+'F1 SEZ'!F232+'F1 Non-SEZ'!F232</f>
        <v>0</v>
      </c>
      <c r="G233" s="512">
        <f>+'F1 SEZ'!G232+'F1 Non-SEZ'!G232</f>
        <v>0</v>
      </c>
      <c r="H233" s="512">
        <f>+'F1 SEZ'!H232+'F1 Non-SEZ'!H232</f>
        <v>0</v>
      </c>
      <c r="I233" s="512">
        <f>+'F1 SEZ'!I232+'F1 Non-SEZ'!I232</f>
        <v>0</v>
      </c>
      <c r="J233" s="512">
        <f>+'F1 SEZ'!J232+'F1 Non-SEZ'!J232</f>
        <v>0</v>
      </c>
      <c r="K233" s="512">
        <f>+'F1 SEZ'!K232+'F1 Non-SEZ'!K232</f>
        <v>0</v>
      </c>
      <c r="L233" s="512">
        <f>+'F1 SEZ'!L232+'F1 Non-SEZ'!L232</f>
        <v>0</v>
      </c>
      <c r="M233" s="512">
        <f>+'F1 SEZ'!M232+'F1 Non-SEZ'!M232</f>
        <v>0</v>
      </c>
      <c r="N233" s="512">
        <f>+'F1 SEZ'!N232+'F1 Non-SEZ'!N232</f>
        <v>0</v>
      </c>
      <c r="O233" s="544">
        <f>SUM(C233:N233)</f>
        <v>0</v>
      </c>
    </row>
    <row r="234" spans="2:15" x14ac:dyDescent="0.4">
      <c r="B234" s="518" t="s">
        <v>162</v>
      </c>
      <c r="C234" s="545">
        <f>SUM(C230:C233)</f>
        <v>3.45386857</v>
      </c>
      <c r="D234" s="545">
        <f t="shared" ref="D234:O234" si="37">SUM(D230:D233)</f>
        <v>4.1941198100000001</v>
      </c>
      <c r="E234" s="545">
        <f t="shared" si="37"/>
        <v>5.89160138</v>
      </c>
      <c r="F234" s="545">
        <f t="shared" si="37"/>
        <v>6.3055237499999999</v>
      </c>
      <c r="G234" s="545">
        <f t="shared" si="37"/>
        <v>6.0137805099999992</v>
      </c>
      <c r="H234" s="545">
        <f t="shared" si="37"/>
        <v>6.3384316399999996</v>
      </c>
      <c r="I234" s="545">
        <f t="shared" si="37"/>
        <v>6.8640906099999999</v>
      </c>
      <c r="J234" s="545">
        <f t="shared" si="37"/>
        <v>6.8275906399999995</v>
      </c>
      <c r="K234" s="545">
        <f t="shared" si="37"/>
        <v>7.2526453100000001</v>
      </c>
      <c r="L234" s="545">
        <f t="shared" si="37"/>
        <v>6.4117658400000002</v>
      </c>
      <c r="M234" s="545">
        <f t="shared" si="37"/>
        <v>6.4125396500000003</v>
      </c>
      <c r="N234" s="545">
        <f t="shared" si="37"/>
        <v>7.6908540900000002</v>
      </c>
      <c r="O234" s="545">
        <f t="shared" si="37"/>
        <v>73.6568118</v>
      </c>
    </row>
    <row r="235" spans="2:15" x14ac:dyDescent="0.4">
      <c r="B235" s="517" t="s">
        <v>163</v>
      </c>
      <c r="C235" s="545"/>
      <c r="D235" s="545"/>
      <c r="E235" s="545"/>
      <c r="F235" s="545"/>
      <c r="G235" s="545"/>
      <c r="H235" s="545"/>
      <c r="I235" s="545"/>
      <c r="J235" s="545"/>
      <c r="K235" s="545"/>
      <c r="L235" s="545"/>
      <c r="M235" s="545"/>
      <c r="N235" s="545"/>
      <c r="O235" s="545"/>
    </row>
    <row r="236" spans="2:15" x14ac:dyDescent="0.4">
      <c r="B236" s="519" t="s">
        <v>1133</v>
      </c>
      <c r="C236" s="546"/>
      <c r="D236" s="546"/>
      <c r="E236" s="547"/>
      <c r="F236" s="546"/>
      <c r="G236" s="547"/>
      <c r="H236" s="547"/>
      <c r="I236" s="543"/>
      <c r="J236" s="545"/>
      <c r="K236" s="547"/>
      <c r="L236" s="545"/>
      <c r="M236" s="545"/>
      <c r="N236" s="548"/>
      <c r="O236" s="544">
        <f t="shared" ref="O236:O249" si="38">SUM(C236:N236)</f>
        <v>0</v>
      </c>
    </row>
    <row r="237" spans="2:15" x14ac:dyDescent="0.4">
      <c r="B237" s="520" t="s">
        <v>1106</v>
      </c>
      <c r="C237" s="512">
        <f>+'F1 SEZ'!C236+'F1 Non-SEZ'!C236</f>
        <v>9.6000000000000002E-2</v>
      </c>
      <c r="D237" s="512">
        <f>+'F1 SEZ'!D236+'F1 Non-SEZ'!D236</f>
        <v>0.102669</v>
      </c>
      <c r="E237" s="512">
        <f>+'F1 SEZ'!E236+'F1 Non-SEZ'!E236</f>
        <v>0.1032</v>
      </c>
      <c r="F237" s="512">
        <f>+'F1 SEZ'!F236+'F1 Non-SEZ'!F236</f>
        <v>0.101856</v>
      </c>
      <c r="G237" s="512">
        <f>+'F1 SEZ'!G236+'F1 Non-SEZ'!G236</f>
        <v>0.102481</v>
      </c>
      <c r="H237" s="512">
        <f>+'F1 SEZ'!H236+'F1 Non-SEZ'!H236</f>
        <v>0.105015</v>
      </c>
      <c r="I237" s="512">
        <f>+'F1 SEZ'!I236+'F1 Non-SEZ'!I236</f>
        <v>0.107656</v>
      </c>
      <c r="J237" s="512">
        <f>+'F1 SEZ'!J236+'F1 Non-SEZ'!J236</f>
        <v>0.107849</v>
      </c>
      <c r="K237" s="512">
        <f>+'F1 SEZ'!K236+'F1 Non-SEZ'!K236</f>
        <v>0.10559399999999999</v>
      </c>
      <c r="L237" s="512">
        <f>+'F1 SEZ'!L236+'F1 Non-SEZ'!L236</f>
        <v>0.10945199999999999</v>
      </c>
      <c r="M237" s="512">
        <f>+'F1 SEZ'!M236+'F1 Non-SEZ'!M236</f>
        <v>0.109822</v>
      </c>
      <c r="N237" s="512">
        <f>+'F1 SEZ'!N236+'F1 Non-SEZ'!N236</f>
        <v>0.11692</v>
      </c>
      <c r="O237" s="544">
        <f t="shared" si="38"/>
        <v>1.2685139999999999</v>
      </c>
    </row>
    <row r="238" spans="2:15" x14ac:dyDescent="0.4">
      <c r="B238" s="520" t="s">
        <v>1107</v>
      </c>
      <c r="C238" s="512">
        <f>+'F1 SEZ'!C237+'F1 Non-SEZ'!C237</f>
        <v>0.121489</v>
      </c>
      <c r="D238" s="512">
        <f>+'F1 SEZ'!D237+'F1 Non-SEZ'!D237</f>
        <v>0.137655</v>
      </c>
      <c r="E238" s="512">
        <f>+'F1 SEZ'!E237+'F1 Non-SEZ'!E237</f>
        <v>0.12729399999999999</v>
      </c>
      <c r="F238" s="512">
        <f>+'F1 SEZ'!F237+'F1 Non-SEZ'!F237</f>
        <v>0.102731</v>
      </c>
      <c r="G238" s="512">
        <f>+'F1 SEZ'!G237+'F1 Non-SEZ'!G237</f>
        <v>0.103473</v>
      </c>
      <c r="H238" s="512">
        <f>+'F1 SEZ'!H237+'F1 Non-SEZ'!H237</f>
        <v>0.10245600000000001</v>
      </c>
      <c r="I238" s="512">
        <f>+'F1 SEZ'!I237+'F1 Non-SEZ'!I237</f>
        <v>0.11779199999999999</v>
      </c>
      <c r="J238" s="512">
        <f>+'F1 SEZ'!J237+'F1 Non-SEZ'!J237</f>
        <v>0.108319</v>
      </c>
      <c r="K238" s="512">
        <f>+'F1 SEZ'!K237+'F1 Non-SEZ'!K237</f>
        <v>8.6428000000000005E-2</v>
      </c>
      <c r="L238" s="512">
        <f>+'F1 SEZ'!L237+'F1 Non-SEZ'!L237</f>
        <v>9.3851000000000004E-2</v>
      </c>
      <c r="M238" s="512">
        <f>+'F1 SEZ'!M237+'F1 Non-SEZ'!M237</f>
        <v>9.8311999999999997E-2</v>
      </c>
      <c r="N238" s="512">
        <f>+'F1 SEZ'!N237+'F1 Non-SEZ'!N237</f>
        <v>0.139872</v>
      </c>
      <c r="O238" s="544">
        <f t="shared" si="38"/>
        <v>1.3396719999999998</v>
      </c>
    </row>
    <row r="239" spans="2:15" x14ac:dyDescent="0.4">
      <c r="B239" s="520" t="s">
        <v>1108</v>
      </c>
      <c r="C239" s="512">
        <f>+'F1 SEZ'!C238+'F1 Non-SEZ'!C238</f>
        <v>6.0836000000000001E-2</v>
      </c>
      <c r="D239" s="512">
        <f>+'F1 SEZ'!D238+'F1 Non-SEZ'!D238</f>
        <v>8.5533999999999999E-2</v>
      </c>
      <c r="E239" s="512">
        <f>+'F1 SEZ'!E238+'F1 Non-SEZ'!E238</f>
        <v>6.0241000000000003E-2</v>
      </c>
      <c r="F239" s="512">
        <f>+'F1 SEZ'!F238+'F1 Non-SEZ'!F238</f>
        <v>3.1433999999999997E-2</v>
      </c>
      <c r="G239" s="512">
        <f>+'F1 SEZ'!G238+'F1 Non-SEZ'!G238</f>
        <v>3.2969999999999999E-2</v>
      </c>
      <c r="H239" s="512">
        <f>+'F1 SEZ'!H238+'F1 Non-SEZ'!H238</f>
        <v>3.211E-2</v>
      </c>
      <c r="I239" s="512">
        <f>+'F1 SEZ'!I238+'F1 Non-SEZ'!I238</f>
        <v>4.4697000000000001E-2</v>
      </c>
      <c r="J239" s="512">
        <f>+'F1 SEZ'!J238+'F1 Non-SEZ'!J238</f>
        <v>3.78E-2</v>
      </c>
      <c r="K239" s="512">
        <f>+'F1 SEZ'!K238+'F1 Non-SEZ'!K238</f>
        <v>2.0142E-2</v>
      </c>
      <c r="L239" s="512">
        <f>+'F1 SEZ'!L238+'F1 Non-SEZ'!L238</f>
        <v>2.4018000000000001E-2</v>
      </c>
      <c r="M239" s="512">
        <f>+'F1 SEZ'!M238+'F1 Non-SEZ'!M238</f>
        <v>2.6866999999999999E-2</v>
      </c>
      <c r="N239" s="512">
        <f>+'F1 SEZ'!N238+'F1 Non-SEZ'!N238</f>
        <v>6.1256999999999999E-2</v>
      </c>
      <c r="O239" s="544">
        <f t="shared" si="38"/>
        <v>0.51790599999999987</v>
      </c>
    </row>
    <row r="240" spans="2:15" x14ac:dyDescent="0.4">
      <c r="B240" s="520" t="s">
        <v>1109</v>
      </c>
      <c r="C240" s="512">
        <f>+'F1 SEZ'!C239+'F1 Non-SEZ'!C239</f>
        <v>0.18681700000000001</v>
      </c>
      <c r="D240" s="512">
        <f>+'F1 SEZ'!D239+'F1 Non-SEZ'!D239</f>
        <v>0.24234</v>
      </c>
      <c r="E240" s="512">
        <f>+'F1 SEZ'!E239+'F1 Non-SEZ'!E239</f>
        <v>0.16755300000000001</v>
      </c>
      <c r="F240" s="512">
        <f>+'F1 SEZ'!F239+'F1 Non-SEZ'!F239</f>
        <v>0.155801</v>
      </c>
      <c r="G240" s="512">
        <f>+'F1 SEZ'!G239+'F1 Non-SEZ'!G239</f>
        <v>0.15070800000000001</v>
      </c>
      <c r="H240" s="512">
        <f>+'F1 SEZ'!H239+'F1 Non-SEZ'!H239</f>
        <v>0.15596499999999999</v>
      </c>
      <c r="I240" s="512">
        <f>+'F1 SEZ'!I239+'F1 Non-SEZ'!I239</f>
        <v>0.16830200000000001</v>
      </c>
      <c r="J240" s="512">
        <f>+'F1 SEZ'!J239+'F1 Non-SEZ'!J239</f>
        <v>0.163301</v>
      </c>
      <c r="K240" s="512">
        <f>+'F1 SEZ'!K239+'F1 Non-SEZ'!K239</f>
        <v>0.14172499999999999</v>
      </c>
      <c r="L240" s="512">
        <f>+'F1 SEZ'!L239+'F1 Non-SEZ'!L239</f>
        <v>0.147727</v>
      </c>
      <c r="M240" s="512">
        <f>+'F1 SEZ'!M239+'F1 Non-SEZ'!M239</f>
        <v>0.13833699999999999</v>
      </c>
      <c r="N240" s="512">
        <f>+'F1 SEZ'!N239+'F1 Non-SEZ'!N239</f>
        <v>0.17673800000000001</v>
      </c>
      <c r="O240" s="544">
        <f t="shared" si="38"/>
        <v>1.9953139999999996</v>
      </c>
    </row>
    <row r="241" spans="2:15" x14ac:dyDescent="0.4">
      <c r="B241" s="520" t="s">
        <v>1110</v>
      </c>
      <c r="C241" s="512">
        <f>+'F1 SEZ'!C240+'F1 Non-SEZ'!C240</f>
        <v>0</v>
      </c>
      <c r="D241" s="512">
        <f>+'F1 SEZ'!D240+'F1 Non-SEZ'!D240</f>
        <v>0</v>
      </c>
      <c r="E241" s="512">
        <f>+'F1 SEZ'!E240+'F1 Non-SEZ'!E240</f>
        <v>0</v>
      </c>
      <c r="F241" s="512">
        <f>+'F1 SEZ'!F240+'F1 Non-SEZ'!F240</f>
        <v>0</v>
      </c>
      <c r="G241" s="512">
        <f>+'F1 SEZ'!G240+'F1 Non-SEZ'!G240</f>
        <v>0</v>
      </c>
      <c r="H241" s="512">
        <f>+'F1 SEZ'!H240+'F1 Non-SEZ'!H240</f>
        <v>0</v>
      </c>
      <c r="I241" s="512">
        <f>+'F1 SEZ'!I240+'F1 Non-SEZ'!I240</f>
        <v>0</v>
      </c>
      <c r="J241" s="512">
        <f>+'F1 SEZ'!J240+'F1 Non-SEZ'!J240</f>
        <v>0</v>
      </c>
      <c r="K241" s="512">
        <f>+'F1 SEZ'!K240+'F1 Non-SEZ'!K240</f>
        <v>0</v>
      </c>
      <c r="L241" s="512">
        <f>+'F1 SEZ'!L240+'F1 Non-SEZ'!L240</f>
        <v>0</v>
      </c>
      <c r="M241" s="512">
        <f>+'F1 SEZ'!M240+'F1 Non-SEZ'!M240</f>
        <v>0</v>
      </c>
      <c r="N241" s="512">
        <f>+'F1 SEZ'!N240+'F1 Non-SEZ'!N240</f>
        <v>0</v>
      </c>
      <c r="O241" s="544">
        <f t="shared" si="38"/>
        <v>0</v>
      </c>
    </row>
    <row r="242" spans="2:15" x14ac:dyDescent="0.4">
      <c r="B242" s="519" t="s">
        <v>1145</v>
      </c>
      <c r="C242" s="512">
        <f>+'F1 SEZ'!C241+'F1 Non-SEZ'!C241</f>
        <v>0</v>
      </c>
      <c r="D242" s="512">
        <f>+'F1 SEZ'!D241+'F1 Non-SEZ'!D241</f>
        <v>0</v>
      </c>
      <c r="E242" s="512">
        <f>+'F1 SEZ'!E241+'F1 Non-SEZ'!E241</f>
        <v>0</v>
      </c>
      <c r="F242" s="512">
        <f>+'F1 SEZ'!F241+'F1 Non-SEZ'!F241</f>
        <v>0</v>
      </c>
      <c r="G242" s="512">
        <f>+'F1 SEZ'!G241+'F1 Non-SEZ'!G241</f>
        <v>0</v>
      </c>
      <c r="H242" s="512">
        <f>+'F1 SEZ'!H241+'F1 Non-SEZ'!H241</f>
        <v>0</v>
      </c>
      <c r="I242" s="512">
        <f>+'F1 SEZ'!I241+'F1 Non-SEZ'!I241</f>
        <v>0</v>
      </c>
      <c r="J242" s="512">
        <f>+'F1 SEZ'!J241+'F1 Non-SEZ'!J241</f>
        <v>0</v>
      </c>
      <c r="K242" s="512">
        <f>+'F1 SEZ'!K241+'F1 Non-SEZ'!K241</f>
        <v>0</v>
      </c>
      <c r="L242" s="512">
        <f>+'F1 SEZ'!L241+'F1 Non-SEZ'!L241</f>
        <v>0</v>
      </c>
      <c r="M242" s="512">
        <f>+'F1 SEZ'!M241+'F1 Non-SEZ'!M241</f>
        <v>0</v>
      </c>
      <c r="N242" s="512">
        <f>+'F1 SEZ'!N241+'F1 Non-SEZ'!N241</f>
        <v>0</v>
      </c>
      <c r="O242" s="544">
        <f t="shared" si="38"/>
        <v>0</v>
      </c>
    </row>
    <row r="243" spans="2:15" x14ac:dyDescent="0.4">
      <c r="B243" s="520" t="s">
        <v>1140</v>
      </c>
      <c r="C243" s="512">
        <f>+'F1 SEZ'!C242+'F1 Non-SEZ'!C242</f>
        <v>2.1437000000000001E-2</v>
      </c>
      <c r="D243" s="512">
        <f>+'F1 SEZ'!D242+'F1 Non-SEZ'!D242</f>
        <v>2.7632E-2</v>
      </c>
      <c r="E243" s="512">
        <f>+'F1 SEZ'!E242+'F1 Non-SEZ'!E242</f>
        <v>2.3061999999999999E-2</v>
      </c>
      <c r="F243" s="512">
        <f>+'F1 SEZ'!F242+'F1 Non-SEZ'!F242</f>
        <v>2.1876E-2</v>
      </c>
      <c r="G243" s="512">
        <f>+'F1 SEZ'!G242+'F1 Non-SEZ'!G242</f>
        <v>2.2817E-2</v>
      </c>
      <c r="H243" s="512">
        <f>+'F1 SEZ'!H242+'F1 Non-SEZ'!H242</f>
        <v>2.1007000000000001E-2</v>
      </c>
      <c r="I243" s="512">
        <f>+'F1 SEZ'!I242+'F1 Non-SEZ'!I242</f>
        <v>2.1523E-2</v>
      </c>
      <c r="J243" s="512">
        <f>+'F1 SEZ'!J242+'F1 Non-SEZ'!J242</f>
        <v>2.1707000000000001E-2</v>
      </c>
      <c r="K243" s="512">
        <f>+'F1 SEZ'!K242+'F1 Non-SEZ'!K242</f>
        <v>1.7987E-2</v>
      </c>
      <c r="L243" s="512">
        <f>+'F1 SEZ'!L242+'F1 Non-SEZ'!L242</f>
        <v>1.8969E-2</v>
      </c>
      <c r="M243" s="512">
        <f>+'F1 SEZ'!M242+'F1 Non-SEZ'!M242</f>
        <v>1.8527999999999999E-2</v>
      </c>
      <c r="N243" s="512">
        <f>+'F1 SEZ'!N242+'F1 Non-SEZ'!N242</f>
        <v>2.1218000000000001E-2</v>
      </c>
      <c r="O243" s="544">
        <f t="shared" si="38"/>
        <v>0.25776300000000002</v>
      </c>
    </row>
    <row r="244" spans="2:15" x14ac:dyDescent="0.4">
      <c r="B244" s="520" t="s">
        <v>1144</v>
      </c>
      <c r="C244" s="512">
        <f>+'F1 SEZ'!C243+'F1 Non-SEZ'!C243</f>
        <v>3.4999820000000001E-2</v>
      </c>
      <c r="D244" s="512">
        <f>+'F1 SEZ'!D243+'F1 Non-SEZ'!D243</f>
        <v>4.1628789999999999E-2</v>
      </c>
      <c r="E244" s="512">
        <f>+'F1 SEZ'!E243+'F1 Non-SEZ'!E243</f>
        <v>4.2348459999999997E-2</v>
      </c>
      <c r="F244" s="512">
        <f>+'F1 SEZ'!F243+'F1 Non-SEZ'!F243</f>
        <v>3.7199389999999999E-2</v>
      </c>
      <c r="G244" s="512">
        <f>+'F1 SEZ'!G243+'F1 Non-SEZ'!G243</f>
        <v>4.0519039999999999E-2</v>
      </c>
      <c r="H244" s="512">
        <f>+'F1 SEZ'!H243+'F1 Non-SEZ'!H243</f>
        <v>3.8298260000000001E-2</v>
      </c>
      <c r="I244" s="512">
        <f>+'F1 SEZ'!I243+'F1 Non-SEZ'!I243</f>
        <v>4.4948300000000004E-2</v>
      </c>
      <c r="J244" s="512">
        <f>+'F1 SEZ'!J243+'F1 Non-SEZ'!J243</f>
        <v>3.6921530000000001E-2</v>
      </c>
      <c r="K244" s="512">
        <f>+'F1 SEZ'!K243+'F1 Non-SEZ'!K243</f>
        <v>3.564664E-2</v>
      </c>
      <c r="L244" s="512">
        <f>+'F1 SEZ'!L243+'F1 Non-SEZ'!L243</f>
        <v>4.014968E-2</v>
      </c>
      <c r="M244" s="512">
        <f>+'F1 SEZ'!M243+'F1 Non-SEZ'!M243</f>
        <v>3.8499350000000002E-2</v>
      </c>
      <c r="N244" s="512">
        <f>+'F1 SEZ'!N243+'F1 Non-SEZ'!N243</f>
        <v>5.078949E-2</v>
      </c>
      <c r="O244" s="544">
        <f t="shared" si="38"/>
        <v>0.48194874999999998</v>
      </c>
    </row>
    <row r="245" spans="2:15" x14ac:dyDescent="0.4">
      <c r="B245" s="520" t="s">
        <v>1143</v>
      </c>
      <c r="C245" s="512">
        <f>+'F1 SEZ'!C244+'F1 Non-SEZ'!C244</f>
        <v>8.0519399999999988E-3</v>
      </c>
      <c r="D245" s="512">
        <f>+'F1 SEZ'!D244+'F1 Non-SEZ'!D244</f>
        <v>6.3393E-3</v>
      </c>
      <c r="E245" s="512">
        <f>+'F1 SEZ'!E244+'F1 Non-SEZ'!E244</f>
        <v>1.0105100000000001E-2</v>
      </c>
      <c r="F245" s="512">
        <f>+'F1 SEZ'!F244+'F1 Non-SEZ'!F244</f>
        <v>8.3796700000000005E-3</v>
      </c>
      <c r="G245" s="512">
        <f>+'F1 SEZ'!G244+'F1 Non-SEZ'!G244</f>
        <v>9.3569300000000011E-3</v>
      </c>
      <c r="H245" s="512">
        <f>+'F1 SEZ'!H244+'F1 Non-SEZ'!H244</f>
        <v>7.4920000000000004E-3</v>
      </c>
      <c r="I245" s="512">
        <f>+'F1 SEZ'!I244+'F1 Non-SEZ'!I244</f>
        <v>8.5944799999999998E-3</v>
      </c>
      <c r="J245" s="512">
        <f>+'F1 SEZ'!J244+'F1 Non-SEZ'!J244</f>
        <v>5.72486E-3</v>
      </c>
      <c r="K245" s="512">
        <f>+'F1 SEZ'!K244+'F1 Non-SEZ'!K244</f>
        <v>4.3484799999999992E-3</v>
      </c>
      <c r="L245" s="512">
        <f>+'F1 SEZ'!L244+'F1 Non-SEZ'!L244</f>
        <v>5.8403100000000005E-3</v>
      </c>
      <c r="M245" s="512">
        <f>+'F1 SEZ'!M244+'F1 Non-SEZ'!M244</f>
        <v>5.9379799999999998E-3</v>
      </c>
      <c r="N245" s="512">
        <f>+'F1 SEZ'!N244+'F1 Non-SEZ'!N244</f>
        <v>7.3707499999999997E-3</v>
      </c>
      <c r="O245" s="544">
        <f t="shared" si="38"/>
        <v>8.7541799999999989E-2</v>
      </c>
    </row>
    <row r="246" spans="2:15" x14ac:dyDescent="0.4">
      <c r="B246" s="519" t="s">
        <v>1111</v>
      </c>
      <c r="C246" s="512">
        <f>+'F1 SEZ'!C245+'F1 Non-SEZ'!C245</f>
        <v>4.6088179999999999E-2</v>
      </c>
      <c r="D246" s="512">
        <f>+'F1 SEZ'!D245+'F1 Non-SEZ'!D245</f>
        <v>4.7240570000000003E-2</v>
      </c>
      <c r="E246" s="512">
        <f>+'F1 SEZ'!E245+'F1 Non-SEZ'!E245</f>
        <v>4.2285820000000002E-2</v>
      </c>
      <c r="F246" s="512">
        <f>+'F1 SEZ'!F245+'F1 Non-SEZ'!F245</f>
        <v>4.6396819999999998E-2</v>
      </c>
      <c r="G246" s="512">
        <f>+'F1 SEZ'!G245+'F1 Non-SEZ'!G245</f>
        <v>5.0255809999999998E-2</v>
      </c>
      <c r="H246" s="512">
        <f>+'F1 SEZ'!H245+'F1 Non-SEZ'!H245</f>
        <v>4.9949050000000002E-2</v>
      </c>
      <c r="I246" s="512">
        <f>+'F1 SEZ'!I245+'F1 Non-SEZ'!I245</f>
        <v>5.089983E-2</v>
      </c>
      <c r="J246" s="512">
        <f>+'F1 SEZ'!J245+'F1 Non-SEZ'!J245</f>
        <v>4.9129010000000001E-2</v>
      </c>
      <c r="K246" s="512">
        <f>+'F1 SEZ'!K245+'F1 Non-SEZ'!K245</f>
        <v>5.4122509999999999E-2</v>
      </c>
      <c r="L246" s="512">
        <f>+'F1 SEZ'!L245+'F1 Non-SEZ'!L245</f>
        <v>4.3960150000000003E-2</v>
      </c>
      <c r="M246" s="512">
        <f>+'F1 SEZ'!M245+'F1 Non-SEZ'!M245</f>
        <v>4.0398650000000001E-2</v>
      </c>
      <c r="N246" s="512">
        <f>+'F1 SEZ'!N245+'F1 Non-SEZ'!N245</f>
        <v>4.0224510000000005E-2</v>
      </c>
      <c r="O246" s="544">
        <f t="shared" si="38"/>
        <v>0.56095090999999997</v>
      </c>
    </row>
    <row r="247" spans="2:15" x14ac:dyDescent="0.4">
      <c r="B247" s="519" t="s">
        <v>1135</v>
      </c>
      <c r="C247" s="512">
        <f>+'F1 SEZ'!C246+'F1 Non-SEZ'!C246</f>
        <v>1.46E-2</v>
      </c>
      <c r="D247" s="512">
        <f>+'F1 SEZ'!D246+'F1 Non-SEZ'!D246</f>
        <v>1.3381000000000001E-2</v>
      </c>
      <c r="E247" s="512">
        <f>+'F1 SEZ'!E246+'F1 Non-SEZ'!E246</f>
        <v>1.4234E-2</v>
      </c>
      <c r="F247" s="512">
        <f>+'F1 SEZ'!F246+'F1 Non-SEZ'!F246</f>
        <v>1.3804E-2</v>
      </c>
      <c r="G247" s="512">
        <f>+'F1 SEZ'!G246+'F1 Non-SEZ'!G246</f>
        <v>1.4174000000000001E-2</v>
      </c>
      <c r="H247" s="512">
        <f>+'F1 SEZ'!H246+'F1 Non-SEZ'!H246</f>
        <v>1.3906E-2</v>
      </c>
      <c r="I247" s="512">
        <f>+'F1 SEZ'!I246+'F1 Non-SEZ'!I246</f>
        <v>1.5991999999999999E-2</v>
      </c>
      <c r="J247" s="512">
        <f>+'F1 SEZ'!J246+'F1 Non-SEZ'!J246</f>
        <v>1.3506000000000001E-2</v>
      </c>
      <c r="K247" s="512">
        <f>+'F1 SEZ'!K246+'F1 Non-SEZ'!K246</f>
        <v>1.193E-2</v>
      </c>
      <c r="L247" s="512">
        <f>+'F1 SEZ'!L246+'F1 Non-SEZ'!L246</f>
        <v>1.261E-2</v>
      </c>
      <c r="M247" s="512">
        <f>+'F1 SEZ'!M246+'F1 Non-SEZ'!M246</f>
        <v>1.133E-2</v>
      </c>
      <c r="N247" s="512">
        <f>+'F1 SEZ'!N246+'F1 Non-SEZ'!N246</f>
        <v>1.3690000000000001E-2</v>
      </c>
      <c r="O247" s="544">
        <f t="shared" si="38"/>
        <v>0.16315700000000005</v>
      </c>
    </row>
    <row r="248" spans="2:15" x14ac:dyDescent="0.4">
      <c r="B248" s="519" t="s">
        <v>1136</v>
      </c>
      <c r="C248" s="512">
        <f>+'F1 SEZ'!C247+'F1 Non-SEZ'!C247</f>
        <v>0</v>
      </c>
      <c r="D248" s="512">
        <f>+'F1 SEZ'!D247+'F1 Non-SEZ'!D247</f>
        <v>0</v>
      </c>
      <c r="E248" s="512">
        <f>+'F1 SEZ'!E247+'F1 Non-SEZ'!E247</f>
        <v>0</v>
      </c>
      <c r="F248" s="512">
        <f>+'F1 SEZ'!F247+'F1 Non-SEZ'!F247</f>
        <v>0</v>
      </c>
      <c r="G248" s="512">
        <f>+'F1 SEZ'!G247+'F1 Non-SEZ'!G247</f>
        <v>0</v>
      </c>
      <c r="H248" s="512">
        <f>+'F1 SEZ'!H247+'F1 Non-SEZ'!H247</f>
        <v>0</v>
      </c>
      <c r="I248" s="512">
        <f>+'F1 SEZ'!I247+'F1 Non-SEZ'!I247</f>
        <v>0</v>
      </c>
      <c r="J248" s="512">
        <f>+'F1 SEZ'!J247+'F1 Non-SEZ'!J247</f>
        <v>0</v>
      </c>
      <c r="K248" s="512">
        <f>+'F1 SEZ'!K247+'F1 Non-SEZ'!K247</f>
        <v>0</v>
      </c>
      <c r="L248" s="512">
        <f>+'F1 SEZ'!L247+'F1 Non-SEZ'!L247</f>
        <v>0</v>
      </c>
      <c r="M248" s="512">
        <f>+'F1 SEZ'!M247+'F1 Non-SEZ'!M247</f>
        <v>0</v>
      </c>
      <c r="N248" s="512">
        <f>+'F1 SEZ'!N247+'F1 Non-SEZ'!N247</f>
        <v>0</v>
      </c>
      <c r="O248" s="544">
        <f t="shared" si="38"/>
        <v>0</v>
      </c>
    </row>
    <row r="249" spans="2:15" x14ac:dyDescent="0.4">
      <c r="B249" s="566" t="s">
        <v>1142</v>
      </c>
      <c r="C249" s="512">
        <f>+'F1 SEZ'!C248+'F1 Non-SEZ'!C248</f>
        <v>2.2467899999999998E-3</v>
      </c>
      <c r="D249" s="512">
        <f>+'F1 SEZ'!D248+'F1 Non-SEZ'!D248</f>
        <v>2.4546799999999999E-3</v>
      </c>
      <c r="E249" s="512">
        <f>+'F1 SEZ'!E248+'F1 Non-SEZ'!E248</f>
        <v>2.1919609999999996E-3</v>
      </c>
      <c r="F249" s="512">
        <f>+'F1 SEZ'!F248+'F1 Non-SEZ'!F248</f>
        <v>2.1631300000000001E-3</v>
      </c>
      <c r="G249" s="512">
        <f>+'F1 SEZ'!G248+'F1 Non-SEZ'!G248</f>
        <v>1.8506500000000001E-3</v>
      </c>
      <c r="H249" s="512">
        <f>+'F1 SEZ'!H248+'F1 Non-SEZ'!H248</f>
        <v>1.7522899999999999E-3</v>
      </c>
      <c r="I249" s="512">
        <f>+'F1 SEZ'!I248+'F1 Non-SEZ'!I248</f>
        <v>2.4327399999999996E-3</v>
      </c>
      <c r="J249" s="512">
        <f>+'F1 SEZ'!J248+'F1 Non-SEZ'!J248</f>
        <v>2.82986E-3</v>
      </c>
      <c r="K249" s="512">
        <f>+'F1 SEZ'!K248+'F1 Non-SEZ'!K248</f>
        <v>3.3006310000000001E-3</v>
      </c>
      <c r="L249" s="512">
        <f>+'F1 SEZ'!L248+'F1 Non-SEZ'!L248</f>
        <v>3.3709609999999996E-3</v>
      </c>
      <c r="M249" s="512">
        <f>+'F1 SEZ'!M248+'F1 Non-SEZ'!M248</f>
        <v>3.4416100000000003E-3</v>
      </c>
      <c r="N249" s="512">
        <f>+'F1 SEZ'!N248+'F1 Non-SEZ'!N248</f>
        <v>4.2511000000000007E-3</v>
      </c>
      <c r="O249" s="544">
        <f t="shared" si="38"/>
        <v>3.2286402999999991E-2</v>
      </c>
    </row>
    <row r="250" spans="2:15" x14ac:dyDescent="0.4">
      <c r="B250" s="175" t="s">
        <v>162</v>
      </c>
      <c r="C250" s="567">
        <f t="shared" ref="C250:O250" si="39">SUM(C237:C249)</f>
        <v>0.59256573000000001</v>
      </c>
      <c r="D250" s="567">
        <f t="shared" si="39"/>
        <v>0.70687434000000005</v>
      </c>
      <c r="E250" s="567">
        <f t="shared" si="39"/>
        <v>0.59251534099999992</v>
      </c>
      <c r="F250" s="567">
        <f t="shared" si="39"/>
        <v>0.52164101000000007</v>
      </c>
      <c r="G250" s="567">
        <f t="shared" si="39"/>
        <v>0.52860542999999993</v>
      </c>
      <c r="H250" s="567">
        <f t="shared" si="39"/>
        <v>0.52795059999999994</v>
      </c>
      <c r="I250" s="567">
        <f t="shared" si="39"/>
        <v>0.58283735000000003</v>
      </c>
      <c r="J250" s="567">
        <f t="shared" si="39"/>
        <v>0.54708725999999996</v>
      </c>
      <c r="K250" s="567">
        <f t="shared" si="39"/>
        <v>0.48122426099999999</v>
      </c>
      <c r="L250" s="567">
        <f t="shared" si="39"/>
        <v>0.49994810100000009</v>
      </c>
      <c r="M250" s="567">
        <f t="shared" si="39"/>
        <v>0.4914735899999999</v>
      </c>
      <c r="N250" s="567">
        <f t="shared" si="39"/>
        <v>0.63233085</v>
      </c>
      <c r="O250" s="567">
        <f t="shared" si="39"/>
        <v>6.7050538629999989</v>
      </c>
    </row>
    <row r="251" spans="2:15" x14ac:dyDescent="0.4">
      <c r="B251" s="175"/>
      <c r="C251" s="26"/>
      <c r="D251" s="26"/>
      <c r="E251" s="26"/>
      <c r="F251" s="26"/>
      <c r="G251" s="26"/>
      <c r="H251" s="26"/>
      <c r="I251" s="26"/>
      <c r="J251" s="26"/>
      <c r="K251" s="26"/>
      <c r="L251" s="26"/>
      <c r="M251" s="26"/>
      <c r="N251" s="26"/>
      <c r="O251" s="26"/>
    </row>
    <row r="252" spans="2:15" x14ac:dyDescent="0.4">
      <c r="B252" s="119" t="s">
        <v>164</v>
      </c>
      <c r="C252" s="568">
        <f>+C250+C234</f>
        <v>4.0464342999999996</v>
      </c>
      <c r="D252" s="568">
        <f t="shared" ref="D252:O252" si="40">+D250+D234</f>
        <v>4.9009941499999998</v>
      </c>
      <c r="E252" s="568">
        <f t="shared" si="40"/>
        <v>6.4841167209999995</v>
      </c>
      <c r="F252" s="568">
        <f t="shared" si="40"/>
        <v>6.8271647599999996</v>
      </c>
      <c r="G252" s="568">
        <f t="shared" si="40"/>
        <v>6.5423859399999991</v>
      </c>
      <c r="H252" s="568">
        <f t="shared" si="40"/>
        <v>6.8663822399999992</v>
      </c>
      <c r="I252" s="568">
        <f t="shared" si="40"/>
        <v>7.44692796</v>
      </c>
      <c r="J252" s="568">
        <f t="shared" si="40"/>
        <v>7.3746778999999991</v>
      </c>
      <c r="K252" s="568">
        <f t="shared" si="40"/>
        <v>7.7338695710000005</v>
      </c>
      <c r="L252" s="568">
        <f t="shared" si="40"/>
        <v>6.9117139410000004</v>
      </c>
      <c r="M252" s="568">
        <f t="shared" si="40"/>
        <v>6.9040132400000003</v>
      </c>
      <c r="N252" s="568">
        <f t="shared" si="40"/>
        <v>8.3231849400000009</v>
      </c>
      <c r="O252" s="568">
        <f t="shared" si="40"/>
        <v>80.361865663000003</v>
      </c>
    </row>
    <row r="253" spans="2:15" x14ac:dyDescent="0.4">
      <c r="B253" s="118" t="s">
        <v>165</v>
      </c>
    </row>
    <row r="254" spans="2:15" x14ac:dyDescent="0.4">
      <c r="B254" s="27" t="s">
        <v>166</v>
      </c>
    </row>
    <row r="255" spans="2:15" x14ac:dyDescent="0.4">
      <c r="B255" s="1" t="s">
        <v>184</v>
      </c>
      <c r="C255" s="30"/>
      <c r="D255" s="30"/>
      <c r="E255" s="30"/>
      <c r="F255" s="30"/>
    </row>
    <row r="256" spans="2:15" x14ac:dyDescent="0.4">
      <c r="B256" s="27" t="s">
        <v>168</v>
      </c>
      <c r="C256" s="30"/>
      <c r="D256" s="30"/>
      <c r="E256" s="30"/>
      <c r="F256" s="30"/>
    </row>
    <row r="258" spans="2:15" x14ac:dyDescent="0.4">
      <c r="B258" s="32" t="s">
        <v>189</v>
      </c>
      <c r="C258" s="8"/>
      <c r="D258" s="8"/>
      <c r="E258" s="8"/>
      <c r="F258" s="8"/>
      <c r="G258" s="8"/>
      <c r="H258" s="8"/>
      <c r="I258" s="8"/>
      <c r="J258" s="8"/>
      <c r="K258" s="8"/>
      <c r="L258" s="8"/>
      <c r="M258" s="8"/>
      <c r="N258" s="8"/>
      <c r="O258" s="4"/>
    </row>
    <row r="259" spans="2:15" x14ac:dyDescent="0.4">
      <c r="B259" s="32"/>
      <c r="C259" s="38"/>
      <c r="D259" s="38"/>
      <c r="O259" s="38" t="s">
        <v>171</v>
      </c>
    </row>
    <row r="260" spans="2:15" s="51" customFormat="1" ht="27" x14ac:dyDescent="0.35">
      <c r="B260" s="169" t="s">
        <v>160</v>
      </c>
      <c r="C260" s="106" t="s">
        <v>172</v>
      </c>
      <c r="D260" s="106" t="s">
        <v>173</v>
      </c>
      <c r="E260" s="64" t="s">
        <v>174</v>
      </c>
      <c r="F260" s="64" t="s">
        <v>175</v>
      </c>
      <c r="G260" s="64" t="s">
        <v>176</v>
      </c>
      <c r="H260" s="64" t="s">
        <v>177</v>
      </c>
      <c r="I260" s="64" t="s">
        <v>178</v>
      </c>
      <c r="J260" s="64" t="s">
        <v>179</v>
      </c>
      <c r="K260" s="64" t="s">
        <v>180</v>
      </c>
      <c r="L260" s="64" t="s">
        <v>181</v>
      </c>
      <c r="M260" s="64" t="s">
        <v>182</v>
      </c>
      <c r="N260" s="64" t="s">
        <v>183</v>
      </c>
      <c r="O260" s="158" t="s">
        <v>188</v>
      </c>
    </row>
    <row r="261" spans="2:15" x14ac:dyDescent="0.4">
      <c r="B261" s="517" t="s">
        <v>161</v>
      </c>
      <c r="C261" s="78"/>
      <c r="D261" s="78"/>
      <c r="E261" s="78"/>
      <c r="F261" s="3"/>
      <c r="G261" s="3"/>
      <c r="H261" s="2"/>
      <c r="I261" s="43"/>
      <c r="J261" s="44"/>
      <c r="K261" s="124"/>
      <c r="L261" s="124"/>
      <c r="M261" s="2"/>
      <c r="N261" s="2"/>
      <c r="O261" s="2"/>
    </row>
    <row r="262" spans="2:15" x14ac:dyDescent="0.4">
      <c r="B262" s="429" t="s">
        <v>1129</v>
      </c>
      <c r="C262" s="512">
        <f>+'F1 SEZ'!C261+'F1 Non-SEZ'!C261</f>
        <v>9.1778399999999998</v>
      </c>
      <c r="D262" s="512">
        <f>+'F1 SEZ'!D261+'F1 Non-SEZ'!D261</f>
        <v>9.4854470000000024</v>
      </c>
      <c r="E262" s="512">
        <f>+'F1 SEZ'!E261+'F1 Non-SEZ'!E261</f>
        <v>9.1766400000000008</v>
      </c>
      <c r="F262" s="512">
        <f>+'F1 SEZ'!F261+'F1 Non-SEZ'!F261</f>
        <v>11.049156</v>
      </c>
      <c r="G262" s="512">
        <f>+'F1 SEZ'!G261+'F1 Non-SEZ'!G261</f>
        <v>11.047955999999999</v>
      </c>
      <c r="H262" s="512">
        <f>+'F1 SEZ'!H261+'F1 Non-SEZ'!H261</f>
        <v>10.69308</v>
      </c>
      <c r="I262" s="512">
        <f>+'F1 SEZ'!I261+'F1 Non-SEZ'!I261</f>
        <v>11.648447999999998</v>
      </c>
      <c r="J262" s="512">
        <f>+'F1 SEZ'!J261+'F1 Non-SEZ'!J261</f>
        <v>11.273039999999998</v>
      </c>
      <c r="K262" s="512">
        <f>+'F1 SEZ'!K261+'F1 Non-SEZ'!K261</f>
        <v>11.647247999999999</v>
      </c>
      <c r="L262" s="512">
        <f>+'F1 SEZ'!L261+'F1 Non-SEZ'!L261</f>
        <v>12.178632000000004</v>
      </c>
      <c r="M262" s="512">
        <f>+'F1 SEZ'!M261+'F1 Non-SEZ'!M261</f>
        <v>11.008416000000004</v>
      </c>
      <c r="N262" s="512">
        <f>+'F1 SEZ'!N261+'F1 Non-SEZ'!N261</f>
        <v>12.191832000000005</v>
      </c>
      <c r="O262" s="544">
        <f>SUM(C262:N262)</f>
        <v>130.57773500000002</v>
      </c>
    </row>
    <row r="263" spans="2:15" x14ac:dyDescent="0.4">
      <c r="B263" s="429" t="s">
        <v>1130</v>
      </c>
      <c r="C263" s="512">
        <f>+'F1 SEZ'!C262+'F1 Non-SEZ'!C262</f>
        <v>4.9387066956661015E-2</v>
      </c>
      <c r="D263" s="512">
        <f>+'F1 SEZ'!D262+'F1 Non-SEZ'!D262</f>
        <v>5.6980379365925635E-2</v>
      </c>
      <c r="E263" s="512">
        <f>+'F1 SEZ'!E262+'F1 Non-SEZ'!E262</f>
        <v>4.0178410131312091E-2</v>
      </c>
      <c r="F263" s="512">
        <f>+'F1 SEZ'!F262+'F1 Non-SEZ'!F262</f>
        <v>5.5791857896013958E-2</v>
      </c>
      <c r="G263" s="512">
        <f>+'F1 SEZ'!G262+'F1 Non-SEZ'!G262</f>
        <v>4.9910874284645412E-2</v>
      </c>
      <c r="H263" s="512">
        <f>+'F1 SEZ'!H262+'F1 Non-SEZ'!H262</f>
        <v>4.962047027730232E-2</v>
      </c>
      <c r="I263" s="512">
        <f>+'F1 SEZ'!I262+'F1 Non-SEZ'!I262</f>
        <v>4.7828571339981293E-2</v>
      </c>
      <c r="J263" s="512">
        <f>+'F1 SEZ'!J262+'F1 Non-SEZ'!J262</f>
        <v>3.7943122770810959E-2</v>
      </c>
      <c r="K263" s="512">
        <f>+'F1 SEZ'!K262+'F1 Non-SEZ'!K262</f>
        <v>5.3481188338808633E-2</v>
      </c>
      <c r="L263" s="512">
        <f>+'F1 SEZ'!L262+'F1 Non-SEZ'!L262</f>
        <v>5.9439990566008002E-2</v>
      </c>
      <c r="M263" s="512">
        <f>+'F1 SEZ'!M262+'F1 Non-SEZ'!M262</f>
        <v>5.5124898149527889E-2</v>
      </c>
      <c r="N263" s="512">
        <f>+'F1 SEZ'!N262+'F1 Non-SEZ'!N262</f>
        <v>6.6935532020849106E-2</v>
      </c>
      <c r="O263" s="544">
        <f>SUM(C263:N263)</f>
        <v>0.62262236209784638</v>
      </c>
    </row>
    <row r="264" spans="2:15" x14ac:dyDescent="0.4">
      <c r="B264" s="429" t="s">
        <v>1131</v>
      </c>
      <c r="C264" s="512">
        <f>+'F1 SEZ'!C263+'F1 Non-SEZ'!C263</f>
        <v>0</v>
      </c>
      <c r="D264" s="512">
        <f>+'F1 SEZ'!D263+'F1 Non-SEZ'!D263</f>
        <v>0</v>
      </c>
      <c r="E264" s="512">
        <f>+'F1 SEZ'!E263+'F1 Non-SEZ'!E263</f>
        <v>0</v>
      </c>
      <c r="F264" s="512">
        <f>+'F1 SEZ'!F263+'F1 Non-SEZ'!F263</f>
        <v>0</v>
      </c>
      <c r="G264" s="512">
        <f>+'F1 SEZ'!G263+'F1 Non-SEZ'!G263</f>
        <v>0</v>
      </c>
      <c r="H264" s="512">
        <f>+'F1 SEZ'!H263+'F1 Non-SEZ'!H263</f>
        <v>0</v>
      </c>
      <c r="I264" s="512">
        <f>+'F1 SEZ'!I263+'F1 Non-SEZ'!I263</f>
        <v>0</v>
      </c>
      <c r="J264" s="512">
        <f>+'F1 SEZ'!J263+'F1 Non-SEZ'!J263</f>
        <v>0</v>
      </c>
      <c r="K264" s="512">
        <f>+'F1 SEZ'!K263+'F1 Non-SEZ'!K263</f>
        <v>0</v>
      </c>
      <c r="L264" s="512">
        <f>+'F1 SEZ'!L263+'F1 Non-SEZ'!L263</f>
        <v>0</v>
      </c>
      <c r="M264" s="512">
        <f>+'F1 SEZ'!M263+'F1 Non-SEZ'!M263</f>
        <v>0</v>
      </c>
      <c r="N264" s="512">
        <f>+'F1 SEZ'!N263+'F1 Non-SEZ'!N263</f>
        <v>0</v>
      </c>
      <c r="O264" s="544">
        <f>SUM(C264:N264)</f>
        <v>0</v>
      </c>
    </row>
    <row r="265" spans="2:15" x14ac:dyDescent="0.4">
      <c r="B265" s="429" t="s">
        <v>1132</v>
      </c>
      <c r="C265" s="512">
        <f>+'F1 SEZ'!C264+'F1 Non-SEZ'!C264</f>
        <v>0</v>
      </c>
      <c r="D265" s="512">
        <f>+'F1 SEZ'!D264+'F1 Non-SEZ'!D264</f>
        <v>0</v>
      </c>
      <c r="E265" s="512">
        <f>+'F1 SEZ'!E264+'F1 Non-SEZ'!E264</f>
        <v>0</v>
      </c>
      <c r="F265" s="512">
        <f>+'F1 SEZ'!F264+'F1 Non-SEZ'!F264</f>
        <v>0</v>
      </c>
      <c r="G265" s="512">
        <f>+'F1 SEZ'!G264+'F1 Non-SEZ'!G264</f>
        <v>0</v>
      </c>
      <c r="H265" s="512">
        <f>+'F1 SEZ'!H264+'F1 Non-SEZ'!H264</f>
        <v>0</v>
      </c>
      <c r="I265" s="512">
        <f>+'F1 SEZ'!I264+'F1 Non-SEZ'!I264</f>
        <v>0</v>
      </c>
      <c r="J265" s="512">
        <f>+'F1 SEZ'!J264+'F1 Non-SEZ'!J264</f>
        <v>0</v>
      </c>
      <c r="K265" s="512">
        <f>+'F1 SEZ'!K264+'F1 Non-SEZ'!K264</f>
        <v>0</v>
      </c>
      <c r="L265" s="512">
        <f>+'F1 SEZ'!L264+'F1 Non-SEZ'!L264</f>
        <v>0</v>
      </c>
      <c r="M265" s="512">
        <f>+'F1 SEZ'!M264+'F1 Non-SEZ'!M264</f>
        <v>0</v>
      </c>
      <c r="N265" s="512">
        <f>+'F1 SEZ'!N264+'F1 Non-SEZ'!N264</f>
        <v>0</v>
      </c>
      <c r="O265" s="544">
        <f>SUM(C265:N265)</f>
        <v>0</v>
      </c>
    </row>
    <row r="266" spans="2:15" x14ac:dyDescent="0.4">
      <c r="B266" s="518" t="s">
        <v>162</v>
      </c>
      <c r="C266" s="545">
        <f>SUM(C262:C265)</f>
        <v>9.2272270669566616</v>
      </c>
      <c r="D266" s="545">
        <f t="shared" ref="D266:O266" si="41">SUM(D262:D265)</f>
        <v>9.5424273793659289</v>
      </c>
      <c r="E266" s="545">
        <f t="shared" si="41"/>
        <v>9.2168184101313138</v>
      </c>
      <c r="F266" s="545">
        <f t="shared" si="41"/>
        <v>11.104947857896015</v>
      </c>
      <c r="G266" s="545">
        <f t="shared" si="41"/>
        <v>11.097866874284644</v>
      </c>
      <c r="H266" s="545">
        <f t="shared" si="41"/>
        <v>10.742700470277303</v>
      </c>
      <c r="I266" s="545">
        <f t="shared" si="41"/>
        <v>11.696276571339979</v>
      </c>
      <c r="J266" s="545">
        <f t="shared" si="41"/>
        <v>11.310983122770809</v>
      </c>
      <c r="K266" s="545">
        <f t="shared" si="41"/>
        <v>11.700729188338808</v>
      </c>
      <c r="L266" s="545">
        <f t="shared" si="41"/>
        <v>12.238071990566011</v>
      </c>
      <c r="M266" s="545">
        <f t="shared" si="41"/>
        <v>11.063540898149531</v>
      </c>
      <c r="N266" s="545">
        <f t="shared" si="41"/>
        <v>12.258767532020855</v>
      </c>
      <c r="O266" s="545">
        <f t="shared" si="41"/>
        <v>131.20035736209786</v>
      </c>
    </row>
    <row r="267" spans="2:15" x14ac:dyDescent="0.4">
      <c r="B267" s="517" t="s">
        <v>163</v>
      </c>
      <c r="C267" s="545"/>
      <c r="D267" s="545"/>
      <c r="E267" s="545"/>
      <c r="F267" s="545"/>
      <c r="G267" s="545"/>
      <c r="H267" s="545"/>
      <c r="I267" s="545"/>
      <c r="J267" s="545"/>
      <c r="K267" s="545"/>
      <c r="L267" s="545"/>
      <c r="M267" s="545"/>
      <c r="N267" s="545"/>
      <c r="O267" s="545"/>
    </row>
    <row r="268" spans="2:15" x14ac:dyDescent="0.4">
      <c r="B268" s="519" t="s">
        <v>1133</v>
      </c>
      <c r="C268" s="546"/>
      <c r="D268" s="546"/>
      <c r="E268" s="547"/>
      <c r="F268" s="546"/>
      <c r="G268" s="547"/>
      <c r="H268" s="547"/>
      <c r="I268" s="543"/>
      <c r="J268" s="545"/>
      <c r="K268" s="547"/>
      <c r="L268" s="545"/>
      <c r="M268" s="545"/>
      <c r="N268" s="548"/>
      <c r="O268" s="544">
        <f t="shared" ref="O268:O281" si="42">SUM(C268:N268)</f>
        <v>0</v>
      </c>
    </row>
    <row r="269" spans="2:15" x14ac:dyDescent="0.4">
      <c r="B269" s="520" t="s">
        <v>1106</v>
      </c>
      <c r="C269" s="512">
        <f>+'F1 SEZ'!C268+'F1 Non-SEZ'!C268</f>
        <v>0.1262706716635591</v>
      </c>
      <c r="D269" s="512">
        <f>+'F1 SEZ'!D268+'F1 Non-SEZ'!D268</f>
        <v>0.13504253738568697</v>
      </c>
      <c r="E269" s="512">
        <f>+'F1 SEZ'!E268+'F1 Non-SEZ'!E268</f>
        <v>0.13574097203832605</v>
      </c>
      <c r="F269" s="512">
        <f>+'F1 SEZ'!F268+'F1 Non-SEZ'!F268</f>
        <v>0.13397318263503624</v>
      </c>
      <c r="G269" s="512">
        <f>+'F1 SEZ'!G268+'F1 Non-SEZ'!G268</f>
        <v>0.13479525732034586</v>
      </c>
      <c r="H269" s="512">
        <f>+'F1 SEZ'!H268+'F1 Non-SEZ'!H268</f>
        <v>0.13812827692446522</v>
      </c>
      <c r="I269" s="512">
        <f>+'F1 SEZ'!I268+'F1 Non-SEZ'!I268</f>
        <v>0.14160203571470958</v>
      </c>
      <c r="J269" s="512">
        <f>+'F1 SEZ'!J268+'F1 Non-SEZ'!J268</f>
        <v>0.14185589237753321</v>
      </c>
      <c r="K269" s="512">
        <f>+'F1 SEZ'!K268+'F1 Non-SEZ'!K268</f>
        <v>0.13888984691293604</v>
      </c>
      <c r="L269" s="512">
        <f>+'F1 SEZ'!L268+'F1 Non-SEZ'!L268</f>
        <v>0.14396434953041531</v>
      </c>
      <c r="M269" s="512">
        <f>+'F1 SEZ'!M268+'F1 Non-SEZ'!M268</f>
        <v>0.14445101774411864</v>
      </c>
      <c r="N269" s="512">
        <f>+'F1 SEZ'!N268+'F1 Non-SEZ'!N268</f>
        <v>0.15378715553024302</v>
      </c>
      <c r="O269" s="544">
        <f t="shared" si="42"/>
        <v>1.6685011957773752</v>
      </c>
    </row>
    <row r="270" spans="2:15" x14ac:dyDescent="0.4">
      <c r="B270" s="520" t="s">
        <v>1107</v>
      </c>
      <c r="C270" s="512">
        <f>+'F1 SEZ'!C269+'F1 Non-SEZ'!C269</f>
        <v>0.1465259333562712</v>
      </c>
      <c r="D270" s="512">
        <f>+'F1 SEZ'!D269+'F1 Non-SEZ'!D269</f>
        <v>0.16602348653917234</v>
      </c>
      <c r="E270" s="512">
        <f>+'F1 SEZ'!E269+'F1 Non-SEZ'!E269</f>
        <v>0.15352725070297049</v>
      </c>
      <c r="F270" s="512">
        <f>+'F1 SEZ'!F269+'F1 Non-SEZ'!F269</f>
        <v>0.12390221056740196</v>
      </c>
      <c r="G270" s="512">
        <f>+'F1 SEZ'!G269+'F1 Non-SEZ'!G269</f>
        <v>0.12479712486046843</v>
      </c>
      <c r="H270" s="512">
        <f>+'F1 SEZ'!H269+'F1 Non-SEZ'!H269</f>
        <v>0.12357053748034903</v>
      </c>
      <c r="I270" s="512">
        <f>+'F1 SEZ'!I269+'F1 Non-SEZ'!I269</f>
        <v>0.14206704098232675</v>
      </c>
      <c r="J270" s="512">
        <f>+'F1 SEZ'!J269+'F1 Non-SEZ'!J269</f>
        <v>0.13064180769631767</v>
      </c>
      <c r="K270" s="512">
        <f>+'F1 SEZ'!K269+'F1 Non-SEZ'!K269</f>
        <v>0.10423942388295078</v>
      </c>
      <c r="L270" s="512">
        <f>+'F1 SEZ'!L269+'F1 Non-SEZ'!L269</f>
        <v>0.11319218506547431</v>
      </c>
      <c r="M270" s="512">
        <f>+'F1 SEZ'!M269+'F1 Non-SEZ'!M269</f>
        <v>0.11857252557944944</v>
      </c>
      <c r="N270" s="512">
        <f>+'F1 SEZ'!N269+'F1 Non-SEZ'!N269</f>
        <v>0.16869737466279552</v>
      </c>
      <c r="O270" s="544">
        <f t="shared" si="42"/>
        <v>1.6157569013759479</v>
      </c>
    </row>
    <row r="271" spans="2:15" x14ac:dyDescent="0.4">
      <c r="B271" s="520" t="s">
        <v>1108</v>
      </c>
      <c r="C271" s="512">
        <f>+'F1 SEZ'!C270+'F1 Non-SEZ'!C270</f>
        <v>6.6477188043788812E-2</v>
      </c>
      <c r="D271" s="512">
        <f>+'F1 SEZ'!D270+'F1 Non-SEZ'!D270</f>
        <v>9.346537908701151E-2</v>
      </c>
      <c r="E271" s="512">
        <f>+'F1 SEZ'!E270+'F1 Non-SEZ'!E270</f>
        <v>6.5827015006671749E-2</v>
      </c>
      <c r="F271" s="512">
        <f>+'F1 SEZ'!F270+'F1 Non-SEZ'!F270</f>
        <v>3.4348805460064059E-2</v>
      </c>
      <c r="G271" s="512">
        <f>+'F1 SEZ'!G270+'F1 Non-SEZ'!G270</f>
        <v>3.6027235350840243E-2</v>
      </c>
      <c r="H271" s="512">
        <f>+'F1 SEZ'!H270+'F1 Non-SEZ'!H270</f>
        <v>3.5087489448452538E-2</v>
      </c>
      <c r="I271" s="512">
        <f>+'F1 SEZ'!I270+'F1 Non-SEZ'!I270</f>
        <v>4.8841654184910724E-2</v>
      </c>
      <c r="J271" s="512">
        <f>+'F1 SEZ'!J270+'F1 Non-SEZ'!J270</f>
        <v>4.1305110593320031E-2</v>
      </c>
      <c r="K271" s="512">
        <f>+'F1 SEZ'!K270+'F1 Non-SEZ'!K270</f>
        <v>2.2009723216154815E-2</v>
      </c>
      <c r="L271" s="512">
        <f>+'F1 SEZ'!L270+'F1 Non-SEZ'!L270</f>
        <v>2.6245136143660329E-2</v>
      </c>
      <c r="M271" s="512">
        <f>+'F1 SEZ'!M270+'F1 Non-SEZ'!M270</f>
        <v>2.9358317627267965E-2</v>
      </c>
      <c r="N271" s="512">
        <f>+'F1 SEZ'!N270+'F1 Non-SEZ'!N270</f>
        <v>6.6937226444841402E-2</v>
      </c>
      <c r="O271" s="544">
        <f t="shared" si="42"/>
        <v>0.56593028060698414</v>
      </c>
    </row>
    <row r="272" spans="2:15" x14ac:dyDescent="0.4">
      <c r="B272" s="520" t="s">
        <v>1109</v>
      </c>
      <c r="C272" s="512">
        <f>+'F1 SEZ'!C271+'F1 Non-SEZ'!C271</f>
        <v>0.31144057369918282</v>
      </c>
      <c r="D272" s="512">
        <f>+'F1 SEZ'!D271+'F1 Non-SEZ'!D271</f>
        <v>0.40400235861971856</v>
      </c>
      <c r="E272" s="512">
        <f>+'F1 SEZ'!E271+'F1 Non-SEZ'!E271</f>
        <v>0.27932577037967193</v>
      </c>
      <c r="F272" s="512">
        <f>+'F1 SEZ'!F271+'F1 Non-SEZ'!F271</f>
        <v>0.25973413994928934</v>
      </c>
      <c r="G272" s="512">
        <f>+'F1 SEZ'!G271+'F1 Non-SEZ'!G271</f>
        <v>0.25124365545457022</v>
      </c>
      <c r="H272" s="512">
        <f>+'F1 SEZ'!H271+'F1 Non-SEZ'!H271</f>
        <v>0.26000754255230007</v>
      </c>
      <c r="I272" s="512">
        <f>+'F1 SEZ'!I271+'F1 Non-SEZ'!I271</f>
        <v>0.28057442007269073</v>
      </c>
      <c r="J272" s="512">
        <f>+'F1 SEZ'!J271+'F1 Non-SEZ'!J271</f>
        <v>0.27223730776990451</v>
      </c>
      <c r="K272" s="512">
        <f>+'F1 SEZ'!K271+'F1 Non-SEZ'!K271</f>
        <v>0.23626819458355866</v>
      </c>
      <c r="L272" s="512">
        <f>+'F1 SEZ'!L271+'F1 Non-SEZ'!L271</f>
        <v>0.24627406301813634</v>
      </c>
      <c r="M272" s="512">
        <f>+'F1 SEZ'!M271+'F1 Non-SEZ'!M271</f>
        <v>0.23062009690672611</v>
      </c>
      <c r="N272" s="512">
        <f>+'F1 SEZ'!N271+'F1 Non-SEZ'!N271</f>
        <v>0.29463798323731871</v>
      </c>
      <c r="O272" s="544">
        <f t="shared" si="42"/>
        <v>3.3263661062430678</v>
      </c>
    </row>
    <row r="273" spans="2:15" x14ac:dyDescent="0.4">
      <c r="B273" s="520" t="s">
        <v>1110</v>
      </c>
      <c r="C273" s="512">
        <f>+'F1 SEZ'!C272+'F1 Non-SEZ'!C272</f>
        <v>0</v>
      </c>
      <c r="D273" s="512">
        <f>+'F1 SEZ'!D272+'F1 Non-SEZ'!D272</f>
        <v>0</v>
      </c>
      <c r="E273" s="512">
        <f>+'F1 SEZ'!E272+'F1 Non-SEZ'!E272</f>
        <v>0</v>
      </c>
      <c r="F273" s="512">
        <f>+'F1 SEZ'!F272+'F1 Non-SEZ'!F272</f>
        <v>0</v>
      </c>
      <c r="G273" s="512">
        <f>+'F1 SEZ'!G272+'F1 Non-SEZ'!G272</f>
        <v>0</v>
      </c>
      <c r="H273" s="512">
        <f>+'F1 SEZ'!H272+'F1 Non-SEZ'!H272</f>
        <v>0</v>
      </c>
      <c r="I273" s="512">
        <f>+'F1 SEZ'!I272+'F1 Non-SEZ'!I272</f>
        <v>0</v>
      </c>
      <c r="J273" s="512">
        <f>+'F1 SEZ'!J272+'F1 Non-SEZ'!J272</f>
        <v>0</v>
      </c>
      <c r="K273" s="512">
        <f>+'F1 SEZ'!K272+'F1 Non-SEZ'!K272</f>
        <v>0</v>
      </c>
      <c r="L273" s="512">
        <f>+'F1 SEZ'!L272+'F1 Non-SEZ'!L272</f>
        <v>0</v>
      </c>
      <c r="M273" s="512">
        <f>+'F1 SEZ'!M272+'F1 Non-SEZ'!M272</f>
        <v>0</v>
      </c>
      <c r="N273" s="512">
        <f>+'F1 SEZ'!N272+'F1 Non-SEZ'!N272</f>
        <v>0</v>
      </c>
      <c r="O273" s="544">
        <f t="shared" si="42"/>
        <v>0</v>
      </c>
    </row>
    <row r="274" spans="2:15" x14ac:dyDescent="0.4">
      <c r="B274" s="519" t="s">
        <v>1145</v>
      </c>
      <c r="C274" s="512">
        <f>+'F1 SEZ'!C273+'F1 Non-SEZ'!C273</f>
        <v>0</v>
      </c>
      <c r="D274" s="512">
        <f>+'F1 SEZ'!D273+'F1 Non-SEZ'!D273</f>
        <v>0</v>
      </c>
      <c r="E274" s="512">
        <f>+'F1 SEZ'!E273+'F1 Non-SEZ'!E273</f>
        <v>0</v>
      </c>
      <c r="F274" s="512">
        <f>+'F1 SEZ'!F273+'F1 Non-SEZ'!F273</f>
        <v>0</v>
      </c>
      <c r="G274" s="512">
        <f>+'F1 SEZ'!G273+'F1 Non-SEZ'!G273</f>
        <v>0</v>
      </c>
      <c r="H274" s="512">
        <f>+'F1 SEZ'!H273+'F1 Non-SEZ'!H273</f>
        <v>0</v>
      </c>
      <c r="I274" s="512">
        <f>+'F1 SEZ'!I273+'F1 Non-SEZ'!I273</f>
        <v>0</v>
      </c>
      <c r="J274" s="512">
        <f>+'F1 SEZ'!J273+'F1 Non-SEZ'!J273</f>
        <v>0</v>
      </c>
      <c r="K274" s="512">
        <f>+'F1 SEZ'!K273+'F1 Non-SEZ'!K273</f>
        <v>0</v>
      </c>
      <c r="L274" s="512">
        <f>+'F1 SEZ'!L273+'F1 Non-SEZ'!L273</f>
        <v>0</v>
      </c>
      <c r="M274" s="512">
        <f>+'F1 SEZ'!M273+'F1 Non-SEZ'!M273</f>
        <v>0</v>
      </c>
      <c r="N274" s="512">
        <f>+'F1 SEZ'!N273+'F1 Non-SEZ'!N273</f>
        <v>0</v>
      </c>
      <c r="O274" s="544">
        <f t="shared" si="42"/>
        <v>0</v>
      </c>
    </row>
    <row r="275" spans="2:15" x14ac:dyDescent="0.4">
      <c r="B275" s="520" t="s">
        <v>1140</v>
      </c>
      <c r="C275" s="512">
        <f>+'F1 SEZ'!C274+'F1 Non-SEZ'!C274</f>
        <v>2.3311918329334089E-2</v>
      </c>
      <c r="D275" s="512">
        <f>+'F1 SEZ'!D274+'F1 Non-SEZ'!D274</f>
        <v>3.0048744100208028E-2</v>
      </c>
      <c r="E275" s="512">
        <f>+'F1 SEZ'!E274+'F1 Non-SEZ'!E274</f>
        <v>2.5079043733316354E-2</v>
      </c>
      <c r="F275" s="512">
        <f>+'F1 SEZ'!F274+'F1 Non-SEZ'!F274</f>
        <v>2.3789314053856064E-2</v>
      </c>
      <c r="G275" s="512">
        <f>+'F1 SEZ'!G274+'F1 Non-SEZ'!G274</f>
        <v>2.4812615595485185E-2</v>
      </c>
      <c r="H275" s="512">
        <f>+'F1 SEZ'!H274+'F1 Non-SEZ'!H274</f>
        <v>2.2844309760895704E-2</v>
      </c>
      <c r="I275" s="512">
        <f>+'F1 SEZ'!I274+'F1 Non-SEZ'!I274</f>
        <v>2.3405440043021763E-2</v>
      </c>
      <c r="J275" s="512">
        <f>+'F1 SEZ'!J274+'F1 Non-SEZ'!J274</f>
        <v>2.3605533011841911E-2</v>
      </c>
      <c r="K275" s="512">
        <f>+'F1 SEZ'!K274+'F1 Non-SEZ'!K274</f>
        <v>1.9560175163956348E-2</v>
      </c>
      <c r="L275" s="512">
        <f>+'F1 SEZ'!L274+'F1 Non-SEZ'!L274</f>
        <v>2.0628062638855169E-2</v>
      </c>
      <c r="M275" s="512">
        <f>+'F1 SEZ'!M274+'F1 Non-SEZ'!M274</f>
        <v>2.0148491990759059E-2</v>
      </c>
      <c r="N275" s="512">
        <f>+'F1 SEZ'!N274+'F1 Non-SEZ'!N274</f>
        <v>2.3073764197966629E-2</v>
      </c>
      <c r="O275" s="544">
        <f t="shared" si="42"/>
        <v>0.28030741261949632</v>
      </c>
    </row>
    <row r="276" spans="2:15" x14ac:dyDescent="0.4">
      <c r="B276" s="520" t="s">
        <v>1144</v>
      </c>
      <c r="C276" s="512">
        <f>+'F1 SEZ'!C275+'F1 Non-SEZ'!C275</f>
        <v>3.5760952548959148E-2</v>
      </c>
      <c r="D276" s="512">
        <f>+'F1 SEZ'!D275+'F1 Non-SEZ'!D275</f>
        <v>4.2534081142719726E-2</v>
      </c>
      <c r="E276" s="512">
        <f>+'F1 SEZ'!E275+'F1 Non-SEZ'!E275</f>
        <v>4.3269401630679653E-2</v>
      </c>
      <c r="F276" s="512">
        <f>+'F1 SEZ'!F275+'F1 Non-SEZ'!F275</f>
        <v>3.800835606126618E-2</v>
      </c>
      <c r="G276" s="512">
        <f>+'F1 SEZ'!G275+'F1 Non-SEZ'!G275</f>
        <v>4.1400197680141707E-2</v>
      </c>
      <c r="H276" s="512">
        <f>+'F1 SEZ'!H275+'F1 Non-SEZ'!H275</f>
        <v>3.9131122919137874E-2</v>
      </c>
      <c r="I276" s="512">
        <f>+'F1 SEZ'!I275+'F1 Non-SEZ'!I275</f>
        <v>4.5925779717049413E-2</v>
      </c>
      <c r="J276" s="512">
        <f>+'F1 SEZ'!J275+'F1 Non-SEZ'!J275</f>
        <v>3.7724453507617224E-2</v>
      </c>
      <c r="K276" s="512">
        <f>+'F1 SEZ'!K275+'F1 Non-SEZ'!K275</f>
        <v>3.6421838785737438E-2</v>
      </c>
      <c r="L276" s="512">
        <f>+'F1 SEZ'!L275+'F1 Non-SEZ'!L275</f>
        <v>4.1022805298309935E-2</v>
      </c>
      <c r="M276" s="512">
        <f>+'F1 SEZ'!M275+'F1 Non-SEZ'!M275</f>
        <v>3.9336585974321304E-2</v>
      </c>
      <c r="N276" s="512">
        <f>+'F1 SEZ'!N275+'F1 Non-SEZ'!N275</f>
        <v>5.1893996651292351E-2</v>
      </c>
      <c r="O276" s="544">
        <f t="shared" si="42"/>
        <v>0.49242957191723197</v>
      </c>
    </row>
    <row r="277" spans="2:15" x14ac:dyDescent="0.4">
      <c r="B277" s="520" t="s">
        <v>1143</v>
      </c>
      <c r="C277" s="512">
        <f>+'F1 SEZ'!C276+'F1 Non-SEZ'!C276</f>
        <v>1.3488023658332359E-2</v>
      </c>
      <c r="D277" s="512">
        <f>+'F1 SEZ'!D276+'F1 Non-SEZ'!D276</f>
        <v>1.0619133820826574E-2</v>
      </c>
      <c r="E277" s="512">
        <f>+'F1 SEZ'!E276+'F1 Non-SEZ'!E276</f>
        <v>1.6927327807933785E-2</v>
      </c>
      <c r="F277" s="512">
        <f>+'F1 SEZ'!F276+'F1 Non-SEZ'!F276</f>
        <v>1.4037013093616933E-2</v>
      </c>
      <c r="G277" s="512">
        <f>+'F1 SEZ'!G276+'F1 Non-SEZ'!G276</f>
        <v>1.5674047895210326E-2</v>
      </c>
      <c r="H277" s="512">
        <f>+'F1 SEZ'!H276+'F1 Non-SEZ'!H276</f>
        <v>1.2550052937332624E-2</v>
      </c>
      <c r="I277" s="512">
        <f>+'F1 SEZ'!I276+'F1 Non-SEZ'!I276</f>
        <v>1.4396847166156765E-2</v>
      </c>
      <c r="J277" s="512">
        <f>+'F1 SEZ'!J276+'F1 Non-SEZ'!J276</f>
        <v>9.5898686677546776E-3</v>
      </c>
      <c r="K277" s="512">
        <f>+'F1 SEZ'!K276+'F1 Non-SEZ'!K276</f>
        <v>7.284257100498152E-3</v>
      </c>
      <c r="L277" s="512">
        <f>+'F1 SEZ'!L276+'F1 Non-SEZ'!L276</f>
        <v>9.7832621023002005E-3</v>
      </c>
      <c r="M277" s="512">
        <f>+'F1 SEZ'!M276+'F1 Non-SEZ'!M276</f>
        <v>9.9468717753366746E-3</v>
      </c>
      <c r="N277" s="512">
        <f>+'F1 SEZ'!N276+'F1 Non-SEZ'!N276</f>
        <v>1.2346943765061989E-2</v>
      </c>
      <c r="O277" s="544">
        <f t="shared" si="42"/>
        <v>0.14664364979036104</v>
      </c>
    </row>
    <row r="278" spans="2:15" x14ac:dyDescent="0.4">
      <c r="B278" s="519" t="s">
        <v>1111</v>
      </c>
      <c r="C278" s="512">
        <f>+'F1 SEZ'!C277+'F1 Non-SEZ'!C277</f>
        <v>6.7095778215386995E-2</v>
      </c>
      <c r="D278" s="512">
        <f>+'F1 SEZ'!D277+'F1 Non-SEZ'!D277</f>
        <v>6.8773442724109832E-2</v>
      </c>
      <c r="E278" s="512">
        <f>+'F1 SEZ'!E277+'F1 Non-SEZ'!E277</f>
        <v>6.1560252550128376E-2</v>
      </c>
      <c r="F278" s="512">
        <f>+'F1 SEZ'!F277+'F1 Non-SEZ'!F277</f>
        <v>6.7545100384073131E-2</v>
      </c>
      <c r="G278" s="512">
        <f>+'F1 SEZ'!G277+'F1 Non-SEZ'!G277</f>
        <v>7.3163068747662138E-2</v>
      </c>
      <c r="H278" s="512">
        <f>+'F1 SEZ'!H277+'F1 Non-SEZ'!H277</f>
        <v>7.2716483507686253E-2</v>
      </c>
      <c r="I278" s="512">
        <f>+'F1 SEZ'!I277+'F1 Non-SEZ'!I277</f>
        <v>7.4100641528498212E-2</v>
      </c>
      <c r="J278" s="512">
        <f>+'F1 SEZ'!J277+'F1 Non-SEZ'!J277</f>
        <v>7.1522658497287797E-2</v>
      </c>
      <c r="K278" s="512">
        <f>+'F1 SEZ'!K277+'F1 Non-SEZ'!K277</f>
        <v>7.8792261430589455E-2</v>
      </c>
      <c r="L278" s="512">
        <f>+'F1 SEZ'!L277+'F1 Non-SEZ'!L277</f>
        <v>6.3997764171098634E-2</v>
      </c>
      <c r="M278" s="512">
        <f>+'F1 SEZ'!M277+'F1 Non-SEZ'!M277</f>
        <v>5.8812885659642961E-2</v>
      </c>
      <c r="N278" s="512">
        <f>+'F1 SEZ'!N277+'F1 Non-SEZ'!N277</f>
        <v>5.855937035879083E-2</v>
      </c>
      <c r="O278" s="544">
        <f t="shared" si="42"/>
        <v>0.81663970777495454</v>
      </c>
    </row>
    <row r="279" spans="2:15" x14ac:dyDescent="0.4">
      <c r="B279" s="519" t="s">
        <v>1135</v>
      </c>
      <c r="C279" s="512">
        <f>+'F1 SEZ'!C278+'F1 Non-SEZ'!C278</f>
        <v>2.7102168423148186E-2</v>
      </c>
      <c r="D279" s="512">
        <f>+'F1 SEZ'!D278+'F1 Non-SEZ'!D278</f>
        <v>2.488068941553009E-2</v>
      </c>
      <c r="E279" s="512">
        <f>+'F1 SEZ'!E278+'F1 Non-SEZ'!E278</f>
        <v>2.6423174764837035E-2</v>
      </c>
      <c r="F279" s="512">
        <f>+'F1 SEZ'!F278+'F1 Non-SEZ'!F278</f>
        <v>2.5607496542237318E-2</v>
      </c>
      <c r="G279" s="512">
        <f>+'F1 SEZ'!G278+'F1 Non-SEZ'!G278</f>
        <v>2.6308550397360735E-2</v>
      </c>
      <c r="H279" s="512">
        <f>+'F1 SEZ'!H278+'F1 Non-SEZ'!H278</f>
        <v>2.5789098676829266E-2</v>
      </c>
      <c r="I279" s="512">
        <f>+'F1 SEZ'!I278+'F1 Non-SEZ'!I278</f>
        <v>2.9635164444361994E-2</v>
      </c>
      <c r="J279" s="512">
        <f>+'F1 SEZ'!J278+'F1 Non-SEZ'!J278</f>
        <v>2.5055729660320856E-2</v>
      </c>
      <c r="K279" s="512">
        <f>+'F1 SEZ'!K278+'F1 Non-SEZ'!K278</f>
        <v>2.2155713512807026E-2</v>
      </c>
      <c r="L279" s="512">
        <f>+'F1 SEZ'!L278+'F1 Non-SEZ'!L278</f>
        <v>2.3417113006165571E-2</v>
      </c>
      <c r="M279" s="512">
        <f>+'F1 SEZ'!M278+'F1 Non-SEZ'!M278</f>
        <v>2.1031206379220669E-2</v>
      </c>
      <c r="N279" s="512">
        <f>+'F1 SEZ'!N278+'F1 Non-SEZ'!N278</f>
        <v>2.540644738073837E-2</v>
      </c>
      <c r="O279" s="544">
        <f t="shared" si="42"/>
        <v>0.30281255260355711</v>
      </c>
    </row>
    <row r="280" spans="2:15" x14ac:dyDescent="0.4">
      <c r="B280" s="519" t="s">
        <v>1136</v>
      </c>
      <c r="C280" s="512">
        <f>+'F1 SEZ'!C279+'F1 Non-SEZ'!C279</f>
        <v>0</v>
      </c>
      <c r="D280" s="512">
        <f>+'F1 SEZ'!D279+'F1 Non-SEZ'!D279</f>
        <v>0</v>
      </c>
      <c r="E280" s="512">
        <f>+'F1 SEZ'!E279+'F1 Non-SEZ'!E279</f>
        <v>0</v>
      </c>
      <c r="F280" s="512">
        <f>+'F1 SEZ'!F279+'F1 Non-SEZ'!F279</f>
        <v>0</v>
      </c>
      <c r="G280" s="512">
        <f>+'F1 SEZ'!G279+'F1 Non-SEZ'!G279</f>
        <v>0</v>
      </c>
      <c r="H280" s="512">
        <f>+'F1 SEZ'!H279+'F1 Non-SEZ'!H279</f>
        <v>0</v>
      </c>
      <c r="I280" s="512">
        <f>+'F1 SEZ'!I279+'F1 Non-SEZ'!I279</f>
        <v>0</v>
      </c>
      <c r="J280" s="512">
        <f>+'F1 SEZ'!J279+'F1 Non-SEZ'!J279</f>
        <v>0</v>
      </c>
      <c r="K280" s="512">
        <f>+'F1 SEZ'!K279+'F1 Non-SEZ'!K279</f>
        <v>0</v>
      </c>
      <c r="L280" s="512">
        <f>+'F1 SEZ'!L279+'F1 Non-SEZ'!L279</f>
        <v>0</v>
      </c>
      <c r="M280" s="512">
        <f>+'F1 SEZ'!M279+'F1 Non-SEZ'!M279</f>
        <v>0</v>
      </c>
      <c r="N280" s="512">
        <f>+'F1 SEZ'!N279+'F1 Non-SEZ'!N279</f>
        <v>0</v>
      </c>
      <c r="O280" s="544">
        <f t="shared" si="42"/>
        <v>0</v>
      </c>
    </row>
    <row r="281" spans="2:15" x14ac:dyDescent="0.4">
      <c r="B281" s="566" t="s">
        <v>1142</v>
      </c>
      <c r="C281" s="512">
        <f>+'F1 SEZ'!C280+'F1 Non-SEZ'!C280</f>
        <v>1.182341199563848E-3</v>
      </c>
      <c r="D281" s="512">
        <f>+'F1 SEZ'!D280+'F1 Non-SEZ'!D280</f>
        <v>1.2917403476717388E-3</v>
      </c>
      <c r="E281" s="512">
        <f>+'F1 SEZ'!E280+'F1 Non-SEZ'!E280</f>
        <v>1.1534882201439259E-3</v>
      </c>
      <c r="F281" s="512">
        <f>+'F1 SEZ'!F280+'F1 Non-SEZ'!F280</f>
        <v>1.1383163175074425E-3</v>
      </c>
      <c r="G281" s="512">
        <f>+'F1 SEZ'!G280+'F1 Non-SEZ'!G280</f>
        <v>9.7387817329293606E-4</v>
      </c>
      <c r="H281" s="512">
        <f>+'F1 SEZ'!H280+'F1 Non-SEZ'!H280</f>
        <v>9.2211762585009502E-4</v>
      </c>
      <c r="I281" s="512">
        <f>+'F1 SEZ'!I280+'F1 Non-SEZ'!I280</f>
        <v>1.2801947355235493E-3</v>
      </c>
      <c r="J281" s="512">
        <f>+'F1 SEZ'!J280+'F1 Non-SEZ'!J280</f>
        <v>1.489173472820224E-3</v>
      </c>
      <c r="K281" s="512">
        <f>+'F1 SEZ'!K280+'F1 Non-SEZ'!K280</f>
        <v>1.7369099986459008E-3</v>
      </c>
      <c r="L281" s="512">
        <f>+'F1 SEZ'!L280+'F1 Non-SEZ'!L280</f>
        <v>1.7739201582804571E-3</v>
      </c>
      <c r="M281" s="512">
        <f>+'F1 SEZ'!M280+'F1 Non-SEZ'!M280</f>
        <v>1.8110981871162573E-3</v>
      </c>
      <c r="N281" s="512">
        <f>+'F1 SEZ'!N280+'F1 Non-SEZ'!N280</f>
        <v>2.2370807567533573E-3</v>
      </c>
      <c r="O281" s="544">
        <f t="shared" si="42"/>
        <v>1.6990259193169731E-2</v>
      </c>
    </row>
    <row r="282" spans="2:15" x14ac:dyDescent="0.4">
      <c r="B282" s="175" t="s">
        <v>162</v>
      </c>
      <c r="C282" s="567">
        <f t="shared" ref="C282:O282" si="43">SUM(C269:C281)</f>
        <v>0.81865554913752658</v>
      </c>
      <c r="D282" s="567">
        <f t="shared" si="43"/>
        <v>0.97668159318265546</v>
      </c>
      <c r="E282" s="567">
        <f t="shared" si="43"/>
        <v>0.80883369683467943</v>
      </c>
      <c r="F282" s="567">
        <f t="shared" si="43"/>
        <v>0.72208393506434876</v>
      </c>
      <c r="G282" s="567">
        <f t="shared" si="43"/>
        <v>0.72919563147537769</v>
      </c>
      <c r="H282" s="567">
        <f t="shared" si="43"/>
        <v>0.73074703183329859</v>
      </c>
      <c r="I282" s="567">
        <f t="shared" si="43"/>
        <v>0.80182921858924938</v>
      </c>
      <c r="J282" s="567">
        <f t="shared" si="43"/>
        <v>0.755027535254718</v>
      </c>
      <c r="K282" s="567">
        <f t="shared" si="43"/>
        <v>0.66735834458783472</v>
      </c>
      <c r="L282" s="567">
        <f t="shared" si="43"/>
        <v>0.69029866113269622</v>
      </c>
      <c r="M282" s="567">
        <f t="shared" si="43"/>
        <v>0.67408909782395909</v>
      </c>
      <c r="N282" s="567">
        <f t="shared" si="43"/>
        <v>0.85757734298580213</v>
      </c>
      <c r="O282" s="567">
        <f t="shared" si="43"/>
        <v>9.2323776379021467</v>
      </c>
    </row>
    <row r="283" spans="2:15" x14ac:dyDescent="0.4">
      <c r="B283" s="175"/>
      <c r="C283" s="26"/>
      <c r="D283" s="26"/>
      <c r="E283" s="26"/>
      <c r="F283" s="26"/>
      <c r="G283" s="26"/>
      <c r="H283" s="26"/>
      <c r="I283" s="26"/>
      <c r="J283" s="26"/>
      <c r="K283" s="26"/>
      <c r="L283" s="26"/>
      <c r="M283" s="26"/>
      <c r="N283" s="26"/>
      <c r="O283" s="26"/>
    </row>
    <row r="284" spans="2:15" x14ac:dyDescent="0.4">
      <c r="B284" s="119" t="s">
        <v>164</v>
      </c>
      <c r="C284" s="568">
        <f>+C282+C266</f>
        <v>10.045882616094188</v>
      </c>
      <c r="D284" s="568">
        <f t="shared" ref="D284:O284" si="44">+D282+D266</f>
        <v>10.519108972548585</v>
      </c>
      <c r="E284" s="568">
        <f t="shared" si="44"/>
        <v>10.025652106965993</v>
      </c>
      <c r="F284" s="568">
        <f t="shared" si="44"/>
        <v>11.827031792960364</v>
      </c>
      <c r="G284" s="568">
        <f t="shared" si="44"/>
        <v>11.827062505760022</v>
      </c>
      <c r="H284" s="568">
        <f t="shared" si="44"/>
        <v>11.4734475021106</v>
      </c>
      <c r="I284" s="568">
        <f t="shared" si="44"/>
        <v>12.498105789929228</v>
      </c>
      <c r="J284" s="568">
        <f t="shared" si="44"/>
        <v>12.066010658025526</v>
      </c>
      <c r="K284" s="568">
        <f t="shared" si="44"/>
        <v>12.368087532926642</v>
      </c>
      <c r="L284" s="568">
        <f t="shared" si="44"/>
        <v>12.928370651698707</v>
      </c>
      <c r="M284" s="568">
        <f t="shared" si="44"/>
        <v>11.73762999597349</v>
      </c>
      <c r="N284" s="568">
        <f t="shared" si="44"/>
        <v>13.116344875006657</v>
      </c>
      <c r="O284" s="568">
        <f t="shared" si="44"/>
        <v>140.43273500000001</v>
      </c>
    </row>
    <row r="285" spans="2:15" x14ac:dyDescent="0.4">
      <c r="B285" s="118"/>
      <c r="E285" s="198"/>
      <c r="F285" s="199"/>
      <c r="G285" s="198"/>
      <c r="H285" s="198"/>
      <c r="I285" s="198"/>
      <c r="J285" s="198"/>
      <c r="K285" s="198"/>
      <c r="L285" s="198"/>
      <c r="M285" s="198"/>
      <c r="N285" s="198"/>
      <c r="O285" s="199"/>
    </row>
    <row r="286" spans="2:15" x14ac:dyDescent="0.4">
      <c r="B286" s="32" t="s">
        <v>190</v>
      </c>
      <c r="C286" s="8"/>
      <c r="D286" s="8"/>
      <c r="E286" s="8"/>
      <c r="F286" s="8"/>
      <c r="G286" s="8"/>
      <c r="H286" s="8"/>
      <c r="I286" s="8"/>
      <c r="J286" s="8"/>
      <c r="K286" s="8"/>
      <c r="L286" s="8"/>
      <c r="M286" s="8"/>
      <c r="N286" s="8"/>
      <c r="O286" s="4"/>
    </row>
    <row r="287" spans="2:15" x14ac:dyDescent="0.4">
      <c r="B287" s="32"/>
      <c r="C287" s="38"/>
      <c r="D287" s="38"/>
      <c r="O287" s="38" t="s">
        <v>171</v>
      </c>
    </row>
    <row r="288" spans="2:15" s="51" customFormat="1" ht="27" x14ac:dyDescent="0.35">
      <c r="B288" s="169" t="s">
        <v>160</v>
      </c>
      <c r="C288" s="106" t="s">
        <v>172</v>
      </c>
      <c r="D288" s="106" t="s">
        <v>173</v>
      </c>
      <c r="E288" s="64" t="s">
        <v>174</v>
      </c>
      <c r="F288" s="64" t="s">
        <v>175</v>
      </c>
      <c r="G288" s="64" t="s">
        <v>176</v>
      </c>
      <c r="H288" s="64" t="s">
        <v>177</v>
      </c>
      <c r="I288" s="64" t="s">
        <v>178</v>
      </c>
      <c r="J288" s="64" t="s">
        <v>179</v>
      </c>
      <c r="K288" s="64" t="s">
        <v>180</v>
      </c>
      <c r="L288" s="64" t="s">
        <v>181</v>
      </c>
      <c r="M288" s="64" t="s">
        <v>182</v>
      </c>
      <c r="N288" s="64" t="s">
        <v>183</v>
      </c>
      <c r="O288" s="158" t="s">
        <v>188</v>
      </c>
    </row>
    <row r="289" spans="2:15" x14ac:dyDescent="0.4">
      <c r="B289" s="517" t="s">
        <v>161</v>
      </c>
      <c r="C289" s="78"/>
      <c r="D289" s="78"/>
      <c r="E289" s="78"/>
      <c r="F289" s="3"/>
      <c r="G289" s="3"/>
      <c r="H289" s="2"/>
      <c r="I289" s="43"/>
      <c r="J289" s="44"/>
      <c r="K289" s="124"/>
      <c r="L289" s="124"/>
      <c r="M289" s="2"/>
      <c r="N289" s="2"/>
      <c r="O289" s="2"/>
    </row>
    <row r="290" spans="2:15" x14ac:dyDescent="0.4">
      <c r="B290" s="429" t="s">
        <v>1129</v>
      </c>
      <c r="C290" s="512">
        <f>+'F1 SEZ'!C289+'F1 Non-SEZ'!C289</f>
        <v>12.520799999999999</v>
      </c>
      <c r="D290" s="512">
        <f>+'F1 SEZ'!D289+'F1 Non-SEZ'!D289</f>
        <v>12.939838999999999</v>
      </c>
      <c r="E290" s="512">
        <f>+'F1 SEZ'!E289+'F1 Non-SEZ'!E289</f>
        <v>12.519600000000001</v>
      </c>
      <c r="F290" s="512">
        <f>+'F1 SEZ'!F289+'F1 Non-SEZ'!F289</f>
        <v>13.521840000000001</v>
      </c>
      <c r="G290" s="512">
        <f>+'F1 SEZ'!G289+'F1 Non-SEZ'!G289</f>
        <v>13.52064</v>
      </c>
      <c r="H290" s="512">
        <f>+'F1 SEZ'!H289+'F1 Non-SEZ'!H289</f>
        <v>13.085999999999999</v>
      </c>
      <c r="I290" s="512">
        <f>+'F1 SEZ'!I289+'F1 Non-SEZ'!I289</f>
        <v>14.117039999999999</v>
      </c>
      <c r="J290" s="512">
        <f>+'F1 SEZ'!J289+'F1 Non-SEZ'!J289</f>
        <v>13.661999999999999</v>
      </c>
      <c r="K290" s="512">
        <f>+'F1 SEZ'!K289+'F1 Non-SEZ'!K289</f>
        <v>14.11584</v>
      </c>
      <c r="L290" s="512">
        <f>+'F1 SEZ'!L289+'F1 Non-SEZ'!L289</f>
        <v>14.71344</v>
      </c>
      <c r="M290" s="512">
        <f>+'F1 SEZ'!M289+'F1 Non-SEZ'!M289</f>
        <v>13.297920000000001</v>
      </c>
      <c r="N290" s="512">
        <f>+'F1 SEZ'!N289+'F1 Non-SEZ'!N289</f>
        <v>14.72664</v>
      </c>
      <c r="O290" s="544">
        <f>SUM(C290:N290)</f>
        <v>162.74159900000001</v>
      </c>
    </row>
    <row r="291" spans="2:15" x14ac:dyDescent="0.4">
      <c r="B291" s="429" t="s">
        <v>1130</v>
      </c>
      <c r="C291" s="512">
        <f>+'F1 SEZ'!C290+'F1 Non-SEZ'!C290</f>
        <v>5.9264480347993247E-2</v>
      </c>
      <c r="D291" s="512">
        <f>+'F1 SEZ'!D290+'F1 Non-SEZ'!D290</f>
        <v>6.8376455239110789E-2</v>
      </c>
      <c r="E291" s="512">
        <f>+'F1 SEZ'!E290+'F1 Non-SEZ'!E290</f>
        <v>4.821409215757453E-2</v>
      </c>
      <c r="F291" s="512">
        <f>+'F1 SEZ'!F290+'F1 Non-SEZ'!F290</f>
        <v>6.6950229475216783E-2</v>
      </c>
      <c r="G291" s="512">
        <f>+'F1 SEZ'!G290+'F1 Non-SEZ'!G290</f>
        <v>5.989304914157452E-2</v>
      </c>
      <c r="H291" s="512">
        <f>+'F1 SEZ'!H290+'F1 Non-SEZ'!H290</f>
        <v>5.9544564332762805E-2</v>
      </c>
      <c r="I291" s="512">
        <f>+'F1 SEZ'!I290+'F1 Non-SEZ'!I290</f>
        <v>5.7394285607977574E-2</v>
      </c>
      <c r="J291" s="512">
        <f>+'F1 SEZ'!J290+'F1 Non-SEZ'!J290</f>
        <v>4.5531747324973164E-2</v>
      </c>
      <c r="K291" s="512">
        <f>+'F1 SEZ'!K290+'F1 Non-SEZ'!K290</f>
        <v>6.4177426006570393E-2</v>
      </c>
      <c r="L291" s="512">
        <f>+'F1 SEZ'!L290+'F1 Non-SEZ'!L290</f>
        <v>7.1327988679209628E-2</v>
      </c>
      <c r="M291" s="512">
        <f>+'F1 SEZ'!M290+'F1 Non-SEZ'!M290</f>
        <v>6.6149877779433486E-2</v>
      </c>
      <c r="N291" s="512">
        <f>+'F1 SEZ'!N290+'F1 Non-SEZ'!N290</f>
        <v>8.0322638425018952E-2</v>
      </c>
      <c r="O291" s="544">
        <f>SUM(C291:N291)</f>
        <v>0.74714683451741581</v>
      </c>
    </row>
    <row r="292" spans="2:15" x14ac:dyDescent="0.4">
      <c r="B292" s="429" t="s">
        <v>1131</v>
      </c>
      <c r="C292" s="512">
        <f>+'F1 SEZ'!C291+'F1 Non-SEZ'!C291</f>
        <v>0</v>
      </c>
      <c r="D292" s="512">
        <f>+'F1 SEZ'!D291+'F1 Non-SEZ'!D291</f>
        <v>0</v>
      </c>
      <c r="E292" s="512">
        <f>+'F1 SEZ'!E291+'F1 Non-SEZ'!E291</f>
        <v>0</v>
      </c>
      <c r="F292" s="512">
        <f>+'F1 SEZ'!F291+'F1 Non-SEZ'!F291</f>
        <v>0</v>
      </c>
      <c r="G292" s="512">
        <f>+'F1 SEZ'!G291+'F1 Non-SEZ'!G291</f>
        <v>0</v>
      </c>
      <c r="H292" s="512">
        <f>+'F1 SEZ'!H291+'F1 Non-SEZ'!H291</f>
        <v>0</v>
      </c>
      <c r="I292" s="512">
        <f>+'F1 SEZ'!I291+'F1 Non-SEZ'!I291</f>
        <v>0</v>
      </c>
      <c r="J292" s="512">
        <f>+'F1 SEZ'!J291+'F1 Non-SEZ'!J291</f>
        <v>0</v>
      </c>
      <c r="K292" s="512">
        <f>+'F1 SEZ'!K291+'F1 Non-SEZ'!K291</f>
        <v>0</v>
      </c>
      <c r="L292" s="512">
        <f>+'F1 SEZ'!L291+'F1 Non-SEZ'!L291</f>
        <v>0</v>
      </c>
      <c r="M292" s="512">
        <f>+'F1 SEZ'!M291+'F1 Non-SEZ'!M291</f>
        <v>0</v>
      </c>
      <c r="N292" s="512">
        <f>+'F1 SEZ'!N291+'F1 Non-SEZ'!N291</f>
        <v>0</v>
      </c>
      <c r="O292" s="544">
        <f>SUM(C292:N292)</f>
        <v>0</v>
      </c>
    </row>
    <row r="293" spans="2:15" x14ac:dyDescent="0.4">
      <c r="B293" s="429" t="s">
        <v>1132</v>
      </c>
      <c r="C293" s="512">
        <f>+'F1 SEZ'!C292+'F1 Non-SEZ'!C292</f>
        <v>0</v>
      </c>
      <c r="D293" s="512">
        <f>+'F1 SEZ'!D292+'F1 Non-SEZ'!D292</f>
        <v>0</v>
      </c>
      <c r="E293" s="512">
        <f>+'F1 SEZ'!E292+'F1 Non-SEZ'!E292</f>
        <v>0</v>
      </c>
      <c r="F293" s="512">
        <f>+'F1 SEZ'!F292+'F1 Non-SEZ'!F292</f>
        <v>0</v>
      </c>
      <c r="G293" s="512">
        <f>+'F1 SEZ'!G292+'F1 Non-SEZ'!G292</f>
        <v>0</v>
      </c>
      <c r="H293" s="512">
        <f>+'F1 SEZ'!H292+'F1 Non-SEZ'!H292</f>
        <v>0</v>
      </c>
      <c r="I293" s="512">
        <f>+'F1 SEZ'!I292+'F1 Non-SEZ'!I292</f>
        <v>0</v>
      </c>
      <c r="J293" s="512">
        <f>+'F1 SEZ'!J292+'F1 Non-SEZ'!J292</f>
        <v>0</v>
      </c>
      <c r="K293" s="512">
        <f>+'F1 SEZ'!K292+'F1 Non-SEZ'!K292</f>
        <v>0</v>
      </c>
      <c r="L293" s="512">
        <f>+'F1 SEZ'!L292+'F1 Non-SEZ'!L292</f>
        <v>0</v>
      </c>
      <c r="M293" s="512">
        <f>+'F1 SEZ'!M292+'F1 Non-SEZ'!M292</f>
        <v>0</v>
      </c>
      <c r="N293" s="512">
        <f>+'F1 SEZ'!N292+'F1 Non-SEZ'!N292</f>
        <v>0</v>
      </c>
      <c r="O293" s="544">
        <f>SUM(C293:N293)</f>
        <v>0</v>
      </c>
    </row>
    <row r="294" spans="2:15" x14ac:dyDescent="0.4">
      <c r="B294" s="518" t="s">
        <v>162</v>
      </c>
      <c r="C294" s="545">
        <f>SUM(C290:C293)</f>
        <v>12.580064480347993</v>
      </c>
      <c r="D294" s="545">
        <f t="shared" ref="D294:O294" si="45">SUM(D290:D293)</f>
        <v>13.00821545523911</v>
      </c>
      <c r="E294" s="545">
        <f t="shared" si="45"/>
        <v>12.567814092157574</v>
      </c>
      <c r="F294" s="545">
        <f t="shared" si="45"/>
        <v>13.588790229475217</v>
      </c>
      <c r="G294" s="545">
        <f t="shared" si="45"/>
        <v>13.580533049141575</v>
      </c>
      <c r="H294" s="545">
        <f t="shared" si="45"/>
        <v>13.145544564332761</v>
      </c>
      <c r="I294" s="545">
        <f t="shared" si="45"/>
        <v>14.174434285607976</v>
      </c>
      <c r="J294" s="545">
        <f t="shared" si="45"/>
        <v>13.707531747324973</v>
      </c>
      <c r="K294" s="545">
        <f t="shared" si="45"/>
        <v>14.180017426006572</v>
      </c>
      <c r="L294" s="545">
        <f t="shared" si="45"/>
        <v>14.78476798867921</v>
      </c>
      <c r="M294" s="545">
        <f t="shared" si="45"/>
        <v>13.364069877779436</v>
      </c>
      <c r="N294" s="545">
        <f t="shared" si="45"/>
        <v>14.806962638425018</v>
      </c>
      <c r="O294" s="545">
        <f t="shared" si="45"/>
        <v>163.48874583451743</v>
      </c>
    </row>
    <row r="295" spans="2:15" x14ac:dyDescent="0.4">
      <c r="B295" s="517" t="s">
        <v>163</v>
      </c>
      <c r="C295" s="545"/>
      <c r="D295" s="545"/>
      <c r="E295" s="545"/>
      <c r="F295" s="545"/>
      <c r="G295" s="545"/>
      <c r="H295" s="545"/>
      <c r="I295" s="545"/>
      <c r="J295" s="545"/>
      <c r="K295" s="545"/>
      <c r="L295" s="545"/>
      <c r="M295" s="545"/>
      <c r="N295" s="545"/>
      <c r="O295" s="545"/>
    </row>
    <row r="296" spans="2:15" x14ac:dyDescent="0.4">
      <c r="B296" s="519" t="s">
        <v>1133</v>
      </c>
      <c r="C296" s="546"/>
      <c r="D296" s="546"/>
      <c r="E296" s="547"/>
      <c r="F296" s="546"/>
      <c r="G296" s="547"/>
      <c r="H296" s="547"/>
      <c r="I296" s="543"/>
      <c r="J296" s="545"/>
      <c r="K296" s="547"/>
      <c r="L296" s="545"/>
      <c r="M296" s="545"/>
      <c r="N296" s="548"/>
      <c r="O296" s="544">
        <f t="shared" ref="O296:O309" si="46">SUM(C296:N296)</f>
        <v>0</v>
      </c>
    </row>
    <row r="297" spans="2:15" x14ac:dyDescent="0.4">
      <c r="B297" s="520" t="s">
        <v>1106</v>
      </c>
      <c r="C297" s="512">
        <f>+'F1 SEZ'!C296+'F1 Non-SEZ'!C296</f>
        <v>0.15152480599627094</v>
      </c>
      <c r="D297" s="512">
        <f>+'F1 SEZ'!D296+'F1 Non-SEZ'!D296</f>
        <v>0.1620510448628244</v>
      </c>
      <c r="E297" s="512">
        <f>+'F1 SEZ'!E296+'F1 Non-SEZ'!E296</f>
        <v>0.16288916644599127</v>
      </c>
      <c r="F297" s="512">
        <f>+'F1 SEZ'!F296+'F1 Non-SEZ'!F296</f>
        <v>0.16076781916204352</v>
      </c>
      <c r="G297" s="512">
        <f>+'F1 SEZ'!G296+'F1 Non-SEZ'!G296</f>
        <v>0.16175430878441507</v>
      </c>
      <c r="H297" s="512">
        <f>+'F1 SEZ'!H296+'F1 Non-SEZ'!H296</f>
        <v>0.16575393230935828</v>
      </c>
      <c r="I297" s="512">
        <f>+'F1 SEZ'!I296+'F1 Non-SEZ'!I296</f>
        <v>0.16992244285765151</v>
      </c>
      <c r="J297" s="512">
        <f>+'F1 SEZ'!J296+'F1 Non-SEZ'!J296</f>
        <v>0.17022707085303987</v>
      </c>
      <c r="K297" s="512">
        <f>+'F1 SEZ'!K296+'F1 Non-SEZ'!K296</f>
        <v>0.1666678162955233</v>
      </c>
      <c r="L297" s="512">
        <f>+'F1 SEZ'!L296+'F1 Non-SEZ'!L296</f>
        <v>0.17275721943649841</v>
      </c>
      <c r="M297" s="512">
        <f>+'F1 SEZ'!M296+'F1 Non-SEZ'!M296</f>
        <v>0.17334122129294238</v>
      </c>
      <c r="N297" s="512">
        <f>+'F1 SEZ'!N296+'F1 Non-SEZ'!N296</f>
        <v>0.18454458663629167</v>
      </c>
      <c r="O297" s="544">
        <f t="shared" si="46"/>
        <v>2.0022014349328505</v>
      </c>
    </row>
    <row r="298" spans="2:15" x14ac:dyDescent="0.4">
      <c r="B298" s="520" t="s">
        <v>1107</v>
      </c>
      <c r="C298" s="512">
        <f>+'F1 SEZ'!C297+'F1 Non-SEZ'!C297</f>
        <v>0.17583112002752546</v>
      </c>
      <c r="D298" s="512">
        <f>+'F1 SEZ'!D297+'F1 Non-SEZ'!D297</f>
        <v>0.19922818384700683</v>
      </c>
      <c r="E298" s="512">
        <f>+'F1 SEZ'!E297+'F1 Non-SEZ'!E297</f>
        <v>0.18423270084356461</v>
      </c>
      <c r="F298" s="512">
        <f>+'F1 SEZ'!F297+'F1 Non-SEZ'!F297</f>
        <v>0.14868265268088238</v>
      </c>
      <c r="G298" s="512">
        <f>+'F1 SEZ'!G297+'F1 Non-SEZ'!G297</f>
        <v>0.14975654983256212</v>
      </c>
      <c r="H298" s="512">
        <f>+'F1 SEZ'!H297+'F1 Non-SEZ'!H297</f>
        <v>0.14828464497641886</v>
      </c>
      <c r="I298" s="512">
        <f>+'F1 SEZ'!I297+'F1 Non-SEZ'!I297</f>
        <v>0.17048044917879213</v>
      </c>
      <c r="J298" s="512">
        <f>+'F1 SEZ'!J297+'F1 Non-SEZ'!J297</f>
        <v>0.15677016923558121</v>
      </c>
      <c r="K298" s="512">
        <f>+'F1 SEZ'!K297+'F1 Non-SEZ'!K297</f>
        <v>0.12508730865954096</v>
      </c>
      <c r="L298" s="512">
        <f>+'F1 SEZ'!L297+'F1 Non-SEZ'!L297</f>
        <v>0.13583062207856919</v>
      </c>
      <c r="M298" s="512">
        <f>+'F1 SEZ'!M297+'F1 Non-SEZ'!M297</f>
        <v>0.14228703069533935</v>
      </c>
      <c r="N298" s="512">
        <f>+'F1 SEZ'!N297+'F1 Non-SEZ'!N297</f>
        <v>0.20243684959535466</v>
      </c>
      <c r="O298" s="544">
        <f t="shared" si="46"/>
        <v>1.9389082816511378</v>
      </c>
    </row>
    <row r="299" spans="2:15" x14ac:dyDescent="0.4">
      <c r="B299" s="520" t="s">
        <v>1108</v>
      </c>
      <c r="C299" s="512">
        <f>+'F1 SEZ'!C298+'F1 Non-SEZ'!C298</f>
        <v>7.9772625652546586E-2</v>
      </c>
      <c r="D299" s="512">
        <f>+'F1 SEZ'!D298+'F1 Non-SEZ'!D298</f>
        <v>0.11215845490441383</v>
      </c>
      <c r="E299" s="512">
        <f>+'F1 SEZ'!E298+'F1 Non-SEZ'!E298</f>
        <v>7.8992418008006104E-2</v>
      </c>
      <c r="F299" s="512">
        <f>+'F1 SEZ'!F298+'F1 Non-SEZ'!F298</f>
        <v>4.1218566552076875E-2</v>
      </c>
      <c r="G299" s="512">
        <f>+'F1 SEZ'!G298+'F1 Non-SEZ'!G298</f>
        <v>4.3232682421008292E-2</v>
      </c>
      <c r="H299" s="512">
        <f>+'F1 SEZ'!H298+'F1 Non-SEZ'!H298</f>
        <v>4.2104987338143052E-2</v>
      </c>
      <c r="I299" s="512">
        <f>+'F1 SEZ'!I298+'F1 Non-SEZ'!I298</f>
        <v>5.8609985021892873E-2</v>
      </c>
      <c r="J299" s="512">
        <f>+'F1 SEZ'!J298+'F1 Non-SEZ'!J298</f>
        <v>4.956613271198404E-2</v>
      </c>
      <c r="K299" s="512">
        <f>+'F1 SEZ'!K298+'F1 Non-SEZ'!K298</f>
        <v>2.6411667859385781E-2</v>
      </c>
      <c r="L299" s="512">
        <f>+'F1 SEZ'!L298+'F1 Non-SEZ'!L298</f>
        <v>3.1494163372392393E-2</v>
      </c>
      <c r="M299" s="512">
        <f>+'F1 SEZ'!M298+'F1 Non-SEZ'!M298</f>
        <v>3.5229981152721558E-2</v>
      </c>
      <c r="N299" s="512">
        <f>+'F1 SEZ'!N298+'F1 Non-SEZ'!N298</f>
        <v>8.0324671733809694E-2</v>
      </c>
      <c r="O299" s="544">
        <f t="shared" si="46"/>
        <v>0.67911633672838101</v>
      </c>
    </row>
    <row r="300" spans="2:15" x14ac:dyDescent="0.4">
      <c r="B300" s="520" t="s">
        <v>1109</v>
      </c>
      <c r="C300" s="512">
        <f>+'F1 SEZ'!C299+'F1 Non-SEZ'!C299</f>
        <v>0.37372868843901941</v>
      </c>
      <c r="D300" s="512">
        <f>+'F1 SEZ'!D299+'F1 Non-SEZ'!D299</f>
        <v>0.48480283034366228</v>
      </c>
      <c r="E300" s="512">
        <f>+'F1 SEZ'!E299+'F1 Non-SEZ'!E299</f>
        <v>0.33519092445560628</v>
      </c>
      <c r="F300" s="512">
        <f>+'F1 SEZ'!F299+'F1 Non-SEZ'!F299</f>
        <v>0.31168096793914718</v>
      </c>
      <c r="G300" s="512">
        <f>+'F1 SEZ'!G299+'F1 Non-SEZ'!G299</f>
        <v>0.30149238654548427</v>
      </c>
      <c r="H300" s="512">
        <f>+'F1 SEZ'!H299+'F1 Non-SEZ'!H299</f>
        <v>0.31200905106276006</v>
      </c>
      <c r="I300" s="512">
        <f>+'F1 SEZ'!I299+'F1 Non-SEZ'!I299</f>
        <v>0.33668930408722886</v>
      </c>
      <c r="J300" s="512">
        <f>+'F1 SEZ'!J299+'F1 Non-SEZ'!J299</f>
        <v>0.32668476932388546</v>
      </c>
      <c r="K300" s="512">
        <f>+'F1 SEZ'!K299+'F1 Non-SEZ'!K299</f>
        <v>0.28352183350027038</v>
      </c>
      <c r="L300" s="512">
        <f>+'F1 SEZ'!L299+'F1 Non-SEZ'!L299</f>
        <v>0.29552887562176361</v>
      </c>
      <c r="M300" s="512">
        <f>+'F1 SEZ'!M299+'F1 Non-SEZ'!M299</f>
        <v>0.27674411628807133</v>
      </c>
      <c r="N300" s="512">
        <f>+'F1 SEZ'!N299+'F1 Non-SEZ'!N299</f>
        <v>0.35356557988478243</v>
      </c>
      <c r="O300" s="544">
        <f t="shared" si="46"/>
        <v>3.9916393274916824</v>
      </c>
    </row>
    <row r="301" spans="2:15" x14ac:dyDescent="0.4">
      <c r="B301" s="520" t="s">
        <v>1110</v>
      </c>
      <c r="C301" s="512">
        <f>+'F1 SEZ'!C300+'F1 Non-SEZ'!C300</f>
        <v>0</v>
      </c>
      <c r="D301" s="512">
        <f>+'F1 SEZ'!D300+'F1 Non-SEZ'!D300</f>
        <v>0</v>
      </c>
      <c r="E301" s="512">
        <f>+'F1 SEZ'!E300+'F1 Non-SEZ'!E300</f>
        <v>0</v>
      </c>
      <c r="F301" s="512">
        <f>+'F1 SEZ'!F300+'F1 Non-SEZ'!F300</f>
        <v>0</v>
      </c>
      <c r="G301" s="512">
        <f>+'F1 SEZ'!G300+'F1 Non-SEZ'!G300</f>
        <v>0</v>
      </c>
      <c r="H301" s="512">
        <f>+'F1 SEZ'!H300+'F1 Non-SEZ'!H300</f>
        <v>0</v>
      </c>
      <c r="I301" s="512">
        <f>+'F1 SEZ'!I300+'F1 Non-SEZ'!I300</f>
        <v>0</v>
      </c>
      <c r="J301" s="512">
        <f>+'F1 SEZ'!J300+'F1 Non-SEZ'!J300</f>
        <v>0</v>
      </c>
      <c r="K301" s="512">
        <f>+'F1 SEZ'!K300+'F1 Non-SEZ'!K300</f>
        <v>0</v>
      </c>
      <c r="L301" s="512">
        <f>+'F1 SEZ'!L300+'F1 Non-SEZ'!L300</f>
        <v>0</v>
      </c>
      <c r="M301" s="512">
        <f>+'F1 SEZ'!M300+'F1 Non-SEZ'!M300</f>
        <v>0</v>
      </c>
      <c r="N301" s="512">
        <f>+'F1 SEZ'!N300+'F1 Non-SEZ'!N300</f>
        <v>0</v>
      </c>
      <c r="O301" s="544">
        <f t="shared" si="46"/>
        <v>0</v>
      </c>
    </row>
    <row r="302" spans="2:15" x14ac:dyDescent="0.4">
      <c r="B302" s="519" t="s">
        <v>1145</v>
      </c>
      <c r="C302" s="512">
        <f>+'F1 SEZ'!C301+'F1 Non-SEZ'!C301</f>
        <v>0</v>
      </c>
      <c r="D302" s="512">
        <f>+'F1 SEZ'!D301+'F1 Non-SEZ'!D301</f>
        <v>0</v>
      </c>
      <c r="E302" s="512">
        <f>+'F1 SEZ'!E301+'F1 Non-SEZ'!E301</f>
        <v>0</v>
      </c>
      <c r="F302" s="512">
        <f>+'F1 SEZ'!F301+'F1 Non-SEZ'!F301</f>
        <v>0</v>
      </c>
      <c r="G302" s="512">
        <f>+'F1 SEZ'!G301+'F1 Non-SEZ'!G301</f>
        <v>0</v>
      </c>
      <c r="H302" s="512">
        <f>+'F1 SEZ'!H301+'F1 Non-SEZ'!H301</f>
        <v>0</v>
      </c>
      <c r="I302" s="512">
        <f>+'F1 SEZ'!I301+'F1 Non-SEZ'!I301</f>
        <v>0</v>
      </c>
      <c r="J302" s="512">
        <f>+'F1 SEZ'!J301+'F1 Non-SEZ'!J301</f>
        <v>0</v>
      </c>
      <c r="K302" s="512">
        <f>+'F1 SEZ'!K301+'F1 Non-SEZ'!K301</f>
        <v>0</v>
      </c>
      <c r="L302" s="512">
        <f>+'F1 SEZ'!L301+'F1 Non-SEZ'!L301</f>
        <v>0</v>
      </c>
      <c r="M302" s="512">
        <f>+'F1 SEZ'!M301+'F1 Non-SEZ'!M301</f>
        <v>0</v>
      </c>
      <c r="N302" s="512">
        <f>+'F1 SEZ'!N301+'F1 Non-SEZ'!N301</f>
        <v>0</v>
      </c>
      <c r="O302" s="544">
        <f t="shared" si="46"/>
        <v>0</v>
      </c>
    </row>
    <row r="303" spans="2:15" x14ac:dyDescent="0.4">
      <c r="B303" s="520" t="s">
        <v>1140</v>
      </c>
      <c r="C303" s="512">
        <f>+'F1 SEZ'!C302+'F1 Non-SEZ'!C302</f>
        <v>2.7974301995200911E-2</v>
      </c>
      <c r="D303" s="512">
        <f>+'F1 SEZ'!D302+'F1 Non-SEZ'!D302</f>
        <v>3.6058492920249638E-2</v>
      </c>
      <c r="E303" s="512">
        <f>+'F1 SEZ'!E302+'F1 Non-SEZ'!E302</f>
        <v>3.0094852479979627E-2</v>
      </c>
      <c r="F303" s="512">
        <f>+'F1 SEZ'!F302+'F1 Non-SEZ'!F302</f>
        <v>2.8547176864627283E-2</v>
      </c>
      <c r="G303" s="512">
        <f>+'F1 SEZ'!G302+'F1 Non-SEZ'!G302</f>
        <v>2.9775138714582226E-2</v>
      </c>
      <c r="H303" s="512">
        <f>+'F1 SEZ'!H302+'F1 Non-SEZ'!H302</f>
        <v>2.7413171713074849E-2</v>
      </c>
      <c r="I303" s="512">
        <f>+'F1 SEZ'!I302+'F1 Non-SEZ'!I302</f>
        <v>2.8086528051626123E-2</v>
      </c>
      <c r="J303" s="512">
        <f>+'F1 SEZ'!J302+'F1 Non-SEZ'!J302</f>
        <v>2.8326639614210298E-2</v>
      </c>
      <c r="K303" s="512">
        <f>+'F1 SEZ'!K302+'F1 Non-SEZ'!K302</f>
        <v>2.3472210196747622E-2</v>
      </c>
      <c r="L303" s="512">
        <f>+'F1 SEZ'!L302+'F1 Non-SEZ'!L302</f>
        <v>2.4753675166626209E-2</v>
      </c>
      <c r="M303" s="512">
        <f>+'F1 SEZ'!M302+'F1 Non-SEZ'!M302</f>
        <v>2.4178190388910874E-2</v>
      </c>
      <c r="N303" s="512">
        <f>+'F1 SEZ'!N302+'F1 Non-SEZ'!N302</f>
        <v>2.7688517037559958E-2</v>
      </c>
      <c r="O303" s="544">
        <f t="shared" si="46"/>
        <v>0.33636889514339563</v>
      </c>
    </row>
    <row r="304" spans="2:15" x14ac:dyDescent="0.4">
      <c r="B304" s="520" t="s">
        <v>1144</v>
      </c>
      <c r="C304" s="512">
        <f>+'F1 SEZ'!C303+'F1 Non-SEZ'!C303</f>
        <v>4.2913143058750977E-2</v>
      </c>
      <c r="D304" s="512">
        <f>+'F1 SEZ'!D303+'F1 Non-SEZ'!D303</f>
        <v>5.1040897371263667E-2</v>
      </c>
      <c r="E304" s="512">
        <f>+'F1 SEZ'!E303+'F1 Non-SEZ'!E303</f>
        <v>5.192328195681558E-2</v>
      </c>
      <c r="F304" s="512">
        <f>+'F1 SEZ'!F303+'F1 Non-SEZ'!F303</f>
        <v>4.561002727351942E-2</v>
      </c>
      <c r="G304" s="512">
        <f>+'F1 SEZ'!G303+'F1 Non-SEZ'!G303</f>
        <v>4.9680237216170042E-2</v>
      </c>
      <c r="H304" s="512">
        <f>+'F1 SEZ'!H303+'F1 Non-SEZ'!H303</f>
        <v>4.6957347502965451E-2</v>
      </c>
      <c r="I304" s="512">
        <f>+'F1 SEZ'!I303+'F1 Non-SEZ'!I303</f>
        <v>5.5110935660459291E-2</v>
      </c>
      <c r="J304" s="512">
        <f>+'F1 SEZ'!J303+'F1 Non-SEZ'!J303</f>
        <v>4.5269344209140673E-2</v>
      </c>
      <c r="K304" s="512">
        <f>+'F1 SEZ'!K303+'F1 Non-SEZ'!K303</f>
        <v>4.3706206542884929E-2</v>
      </c>
      <c r="L304" s="512">
        <f>+'F1 SEZ'!L303+'F1 Non-SEZ'!L303</f>
        <v>4.9227366357971925E-2</v>
      </c>
      <c r="M304" s="512">
        <f>+'F1 SEZ'!M303+'F1 Non-SEZ'!M303</f>
        <v>4.720390316918556E-2</v>
      </c>
      <c r="N304" s="512">
        <f>+'F1 SEZ'!N303+'F1 Non-SEZ'!N303</f>
        <v>6.2272795981550819E-2</v>
      </c>
      <c r="O304" s="544">
        <f t="shared" si="46"/>
        <v>0.59091548630067836</v>
      </c>
    </row>
    <row r="305" spans="2:15" x14ac:dyDescent="0.4">
      <c r="B305" s="520" t="s">
        <v>1143</v>
      </c>
      <c r="C305" s="512">
        <f>+'F1 SEZ'!C304+'F1 Non-SEZ'!C304</f>
        <v>1.6185628389998832E-2</v>
      </c>
      <c r="D305" s="512">
        <f>+'F1 SEZ'!D304+'F1 Non-SEZ'!D304</f>
        <v>1.2742960584991891E-2</v>
      </c>
      <c r="E305" s="512">
        <f>+'F1 SEZ'!E304+'F1 Non-SEZ'!E304</f>
        <v>2.0312793369520545E-2</v>
      </c>
      <c r="F305" s="512">
        <f>+'F1 SEZ'!F304+'F1 Non-SEZ'!F304</f>
        <v>1.684441571234032E-2</v>
      </c>
      <c r="G305" s="512">
        <f>+'F1 SEZ'!G304+'F1 Non-SEZ'!G304</f>
        <v>1.8808857474252393E-2</v>
      </c>
      <c r="H305" s="512">
        <f>+'F1 SEZ'!H304+'F1 Non-SEZ'!H304</f>
        <v>1.5060063524799149E-2</v>
      </c>
      <c r="I305" s="512">
        <f>+'F1 SEZ'!I304+'F1 Non-SEZ'!I304</f>
        <v>1.7276216599388119E-2</v>
      </c>
      <c r="J305" s="512">
        <f>+'F1 SEZ'!J304+'F1 Non-SEZ'!J304</f>
        <v>1.1507842401305615E-2</v>
      </c>
      <c r="K305" s="512">
        <f>+'F1 SEZ'!K304+'F1 Non-SEZ'!K304</f>
        <v>8.7411085205977845E-3</v>
      </c>
      <c r="L305" s="512">
        <f>+'F1 SEZ'!L304+'F1 Non-SEZ'!L304</f>
        <v>1.1739914522760242E-2</v>
      </c>
      <c r="M305" s="512">
        <f>+'F1 SEZ'!M304+'F1 Non-SEZ'!M304</f>
        <v>1.1936246130404012E-2</v>
      </c>
      <c r="N305" s="512">
        <f>+'F1 SEZ'!N304+'F1 Non-SEZ'!N304</f>
        <v>1.4816332518074389E-2</v>
      </c>
      <c r="O305" s="544">
        <f t="shared" si="46"/>
        <v>0.17597237974843327</v>
      </c>
    </row>
    <row r="306" spans="2:15" x14ac:dyDescent="0.4">
      <c r="B306" s="519" t="s">
        <v>1111</v>
      </c>
      <c r="C306" s="512">
        <f>+'F1 SEZ'!C305+'F1 Non-SEZ'!C305</f>
        <v>8.0514933858464408E-2</v>
      </c>
      <c r="D306" s="512">
        <f>+'F1 SEZ'!D305+'F1 Non-SEZ'!D305</f>
        <v>8.2528131268931812E-2</v>
      </c>
      <c r="E306" s="512">
        <f>+'F1 SEZ'!E305+'F1 Non-SEZ'!E305</f>
        <v>7.3872303060154063E-2</v>
      </c>
      <c r="F306" s="512">
        <f>+'F1 SEZ'!F305+'F1 Non-SEZ'!F305</f>
        <v>8.1054120460887766E-2</v>
      </c>
      <c r="G306" s="512">
        <f>+'F1 SEZ'!G305+'F1 Non-SEZ'!G305</f>
        <v>8.7795682497194577E-2</v>
      </c>
      <c r="H306" s="512">
        <f>+'F1 SEZ'!H305+'F1 Non-SEZ'!H305</f>
        <v>8.7259780209223509E-2</v>
      </c>
      <c r="I306" s="512">
        <f>+'F1 SEZ'!I305+'F1 Non-SEZ'!I305</f>
        <v>8.8920769834197874E-2</v>
      </c>
      <c r="J306" s="512">
        <f>+'F1 SEZ'!J305+'F1 Non-SEZ'!J305</f>
        <v>8.5827190196745368E-2</v>
      </c>
      <c r="K306" s="512">
        <f>+'F1 SEZ'!K305+'F1 Non-SEZ'!K305</f>
        <v>9.4550713716707369E-2</v>
      </c>
      <c r="L306" s="512">
        <f>+'F1 SEZ'!L305+'F1 Non-SEZ'!L305</f>
        <v>7.6797317005318375E-2</v>
      </c>
      <c r="M306" s="512">
        <f>+'F1 SEZ'!M305+'F1 Non-SEZ'!M305</f>
        <v>7.0575462791571564E-2</v>
      </c>
      <c r="N306" s="512">
        <f>+'F1 SEZ'!N305+'F1 Non-SEZ'!N305</f>
        <v>7.027124443054901E-2</v>
      </c>
      <c r="O306" s="544">
        <f t="shared" si="46"/>
        <v>0.97996764932994562</v>
      </c>
    </row>
    <row r="307" spans="2:15" x14ac:dyDescent="0.4">
      <c r="B307" s="519" t="s">
        <v>1135</v>
      </c>
      <c r="C307" s="512">
        <f>+'F1 SEZ'!C306+'F1 Non-SEZ'!C306</f>
        <v>3.2522602107777833E-2</v>
      </c>
      <c r="D307" s="512">
        <f>+'F1 SEZ'!D306+'F1 Non-SEZ'!D306</f>
        <v>2.9856827298636122E-2</v>
      </c>
      <c r="E307" s="512">
        <f>+'F1 SEZ'!E306+'F1 Non-SEZ'!E306</f>
        <v>3.1707809717804451E-2</v>
      </c>
      <c r="F307" s="512">
        <f>+'F1 SEZ'!F306+'F1 Non-SEZ'!F306</f>
        <v>3.0728995850684789E-2</v>
      </c>
      <c r="G307" s="512">
        <f>+'F1 SEZ'!G306+'F1 Non-SEZ'!G306</f>
        <v>3.1570260476832895E-2</v>
      </c>
      <c r="H307" s="512">
        <f>+'F1 SEZ'!H306+'F1 Non-SEZ'!H306</f>
        <v>3.0946918412195129E-2</v>
      </c>
      <c r="I307" s="512">
        <f>+'F1 SEZ'!I306+'F1 Non-SEZ'!I306</f>
        <v>3.5562197333234409E-2</v>
      </c>
      <c r="J307" s="512">
        <f>+'F1 SEZ'!J306+'F1 Non-SEZ'!J306</f>
        <v>3.0066875592385033E-2</v>
      </c>
      <c r="K307" s="512">
        <f>+'F1 SEZ'!K306+'F1 Non-SEZ'!K306</f>
        <v>2.6586856215368444E-2</v>
      </c>
      <c r="L307" s="512">
        <f>+'F1 SEZ'!L306+'F1 Non-SEZ'!L306</f>
        <v>2.81005356073987E-2</v>
      </c>
      <c r="M307" s="512">
        <f>+'F1 SEZ'!M306+'F1 Non-SEZ'!M306</f>
        <v>2.5237447655064808E-2</v>
      </c>
      <c r="N307" s="512">
        <f>+'F1 SEZ'!N306+'F1 Non-SEZ'!N306</f>
        <v>3.048773685688605E-2</v>
      </c>
      <c r="O307" s="544">
        <f t="shared" si="46"/>
        <v>0.36337506312426865</v>
      </c>
    </row>
    <row r="308" spans="2:15" x14ac:dyDescent="0.4">
      <c r="B308" s="519" t="s">
        <v>1136</v>
      </c>
      <c r="C308" s="512">
        <f>+'F1 SEZ'!C307+'F1 Non-SEZ'!C307</f>
        <v>0</v>
      </c>
      <c r="D308" s="512">
        <f>+'F1 SEZ'!D307+'F1 Non-SEZ'!D307</f>
        <v>0</v>
      </c>
      <c r="E308" s="512">
        <f>+'F1 SEZ'!E307+'F1 Non-SEZ'!E307</f>
        <v>0</v>
      </c>
      <c r="F308" s="512">
        <f>+'F1 SEZ'!F307+'F1 Non-SEZ'!F307</f>
        <v>0</v>
      </c>
      <c r="G308" s="512">
        <f>+'F1 SEZ'!G307+'F1 Non-SEZ'!G307</f>
        <v>0</v>
      </c>
      <c r="H308" s="512">
        <f>+'F1 SEZ'!H307+'F1 Non-SEZ'!H307</f>
        <v>0</v>
      </c>
      <c r="I308" s="512">
        <f>+'F1 SEZ'!I307+'F1 Non-SEZ'!I307</f>
        <v>0</v>
      </c>
      <c r="J308" s="512">
        <f>+'F1 SEZ'!J307+'F1 Non-SEZ'!J307</f>
        <v>0</v>
      </c>
      <c r="K308" s="512">
        <f>+'F1 SEZ'!K307+'F1 Non-SEZ'!K307</f>
        <v>0</v>
      </c>
      <c r="L308" s="512">
        <f>+'F1 SEZ'!L307+'F1 Non-SEZ'!L307</f>
        <v>0</v>
      </c>
      <c r="M308" s="512">
        <f>+'F1 SEZ'!M307+'F1 Non-SEZ'!M307</f>
        <v>0</v>
      </c>
      <c r="N308" s="512">
        <f>+'F1 SEZ'!N307+'F1 Non-SEZ'!N307</f>
        <v>0</v>
      </c>
      <c r="O308" s="544">
        <f t="shared" si="46"/>
        <v>0</v>
      </c>
    </row>
    <row r="309" spans="2:15" x14ac:dyDescent="0.4">
      <c r="B309" s="566" t="s">
        <v>1142</v>
      </c>
      <c r="C309" s="512">
        <f>+'F1 SEZ'!C308+'F1 Non-SEZ'!C308</f>
        <v>1.4188094394766175E-3</v>
      </c>
      <c r="D309" s="512">
        <f>+'F1 SEZ'!D308+'F1 Non-SEZ'!D308</f>
        <v>1.5500884172060863E-3</v>
      </c>
      <c r="E309" s="512">
        <f>+'F1 SEZ'!E308+'F1 Non-SEZ'!E308</f>
        <v>1.3841858641727108E-3</v>
      </c>
      <c r="F309" s="512">
        <f>+'F1 SEZ'!F308+'F1 Non-SEZ'!F308</f>
        <v>1.3659795810089307E-3</v>
      </c>
      <c r="G309" s="512">
        <f>+'F1 SEZ'!G308+'F1 Non-SEZ'!G308</f>
        <v>1.1686538079515231E-3</v>
      </c>
      <c r="H309" s="512">
        <f>+'F1 SEZ'!H308+'F1 Non-SEZ'!H308</f>
        <v>1.1065411510201137E-3</v>
      </c>
      <c r="I309" s="512">
        <f>+'F1 SEZ'!I308+'F1 Non-SEZ'!I308</f>
        <v>1.536233682628259E-3</v>
      </c>
      <c r="J309" s="512">
        <f>+'F1 SEZ'!J308+'F1 Non-SEZ'!J308</f>
        <v>1.7870081673842686E-3</v>
      </c>
      <c r="K309" s="512">
        <f>+'F1 SEZ'!K308+'F1 Non-SEZ'!K308</f>
        <v>2.0842919983750804E-3</v>
      </c>
      <c r="L309" s="512">
        <f>+'F1 SEZ'!L308+'F1 Non-SEZ'!L308</f>
        <v>2.1287041899365482E-3</v>
      </c>
      <c r="M309" s="512">
        <f>+'F1 SEZ'!M308+'F1 Non-SEZ'!M308</f>
        <v>2.1733178245395084E-3</v>
      </c>
      <c r="N309" s="512">
        <f>+'F1 SEZ'!N308+'F1 Non-SEZ'!N308</f>
        <v>2.6844969081040279E-3</v>
      </c>
      <c r="O309" s="544">
        <f t="shared" si="46"/>
        <v>2.0388311031803674E-2</v>
      </c>
    </row>
    <row r="310" spans="2:15" x14ac:dyDescent="0.4">
      <c r="B310" s="175" t="s">
        <v>162</v>
      </c>
      <c r="C310" s="567">
        <f t="shared" ref="C310:O310" si="47">SUM(C297:C309)</f>
        <v>0.98238665896503186</v>
      </c>
      <c r="D310" s="567">
        <f t="shared" si="47"/>
        <v>1.1720179118191867</v>
      </c>
      <c r="E310" s="567">
        <f t="shared" si="47"/>
        <v>0.97060043620161518</v>
      </c>
      <c r="F310" s="567">
        <f t="shared" si="47"/>
        <v>0.8665007220772184</v>
      </c>
      <c r="G310" s="567">
        <f t="shared" si="47"/>
        <v>0.87503475777045348</v>
      </c>
      <c r="H310" s="567">
        <f t="shared" si="47"/>
        <v>0.87689643819995844</v>
      </c>
      <c r="I310" s="567">
        <f t="shared" si="47"/>
        <v>0.96219506230709939</v>
      </c>
      <c r="J310" s="567">
        <f t="shared" si="47"/>
        <v>0.90603304230566195</v>
      </c>
      <c r="K310" s="567">
        <f t="shared" si="47"/>
        <v>0.80083001350540184</v>
      </c>
      <c r="L310" s="567">
        <f t="shared" si="47"/>
        <v>0.82835839335923545</v>
      </c>
      <c r="M310" s="567">
        <f t="shared" si="47"/>
        <v>0.80890691738875098</v>
      </c>
      <c r="N310" s="567">
        <f t="shared" si="47"/>
        <v>1.0290928115829627</v>
      </c>
      <c r="O310" s="567">
        <f t="shared" si="47"/>
        <v>11.078853165482577</v>
      </c>
    </row>
    <row r="311" spans="2:15" x14ac:dyDescent="0.4">
      <c r="B311" s="175"/>
      <c r="C311" s="26"/>
      <c r="D311" s="26"/>
      <c r="E311" s="26"/>
      <c r="F311" s="26"/>
      <c r="G311" s="26"/>
      <c r="H311" s="26"/>
      <c r="I311" s="26"/>
      <c r="J311" s="26"/>
      <c r="K311" s="26"/>
      <c r="L311" s="26"/>
      <c r="M311" s="26"/>
      <c r="N311" s="26"/>
      <c r="O311" s="26"/>
    </row>
    <row r="312" spans="2:15" x14ac:dyDescent="0.4">
      <c r="B312" s="119" t="s">
        <v>164</v>
      </c>
      <c r="C312" s="568">
        <f>+C310+C294</f>
        <v>13.562451139313024</v>
      </c>
      <c r="D312" s="568">
        <f t="shared" ref="D312:O312" si="48">+D310+D294</f>
        <v>14.180233367058296</v>
      </c>
      <c r="E312" s="568">
        <f t="shared" si="48"/>
        <v>13.538414528359189</v>
      </c>
      <c r="F312" s="568">
        <f t="shared" si="48"/>
        <v>14.455290951552435</v>
      </c>
      <c r="G312" s="568">
        <f t="shared" si="48"/>
        <v>14.455567806912029</v>
      </c>
      <c r="H312" s="568">
        <f t="shared" si="48"/>
        <v>14.02244100253272</v>
      </c>
      <c r="I312" s="568">
        <f t="shared" si="48"/>
        <v>15.136629347915076</v>
      </c>
      <c r="J312" s="568">
        <f t="shared" si="48"/>
        <v>14.613564789630635</v>
      </c>
      <c r="K312" s="568">
        <f t="shared" si="48"/>
        <v>14.980847439511974</v>
      </c>
      <c r="L312" s="568">
        <f t="shared" si="48"/>
        <v>15.613126382038445</v>
      </c>
      <c r="M312" s="568">
        <f t="shared" si="48"/>
        <v>14.172976795168186</v>
      </c>
      <c r="N312" s="568">
        <f t="shared" si="48"/>
        <v>15.836055450007981</v>
      </c>
      <c r="O312" s="568">
        <f t="shared" si="48"/>
        <v>174.567599</v>
      </c>
    </row>
    <row r="313" spans="2:15" x14ac:dyDescent="0.4">
      <c r="B313" s="118"/>
      <c r="E313" s="198"/>
      <c r="F313" s="199"/>
      <c r="G313" s="198"/>
      <c r="H313" s="198"/>
      <c r="I313" s="198"/>
      <c r="J313" s="198"/>
      <c r="K313" s="198"/>
      <c r="L313" s="198"/>
      <c r="M313" s="198"/>
      <c r="N313" s="198"/>
      <c r="O313" s="199"/>
    </row>
    <row r="314" spans="2:15" x14ac:dyDescent="0.4">
      <c r="B314" s="32" t="s">
        <v>191</v>
      </c>
      <c r="C314" s="8"/>
      <c r="D314" s="8"/>
      <c r="E314" s="8"/>
      <c r="F314" s="8"/>
      <c r="G314" s="8"/>
      <c r="H314" s="8"/>
      <c r="I314" s="8"/>
      <c r="J314" s="8"/>
      <c r="K314" s="8"/>
      <c r="L314" s="8"/>
      <c r="M314" s="8"/>
      <c r="N314" s="8"/>
      <c r="O314" s="4"/>
    </row>
    <row r="315" spans="2:15" x14ac:dyDescent="0.4">
      <c r="B315" s="32"/>
      <c r="C315" s="38"/>
      <c r="D315" s="38"/>
      <c r="O315" s="38" t="s">
        <v>171</v>
      </c>
    </row>
    <row r="316" spans="2:15" s="51" customFormat="1" ht="27" x14ac:dyDescent="0.35">
      <c r="B316" s="169" t="s">
        <v>160</v>
      </c>
      <c r="C316" s="106" t="s">
        <v>172</v>
      </c>
      <c r="D316" s="106" t="s">
        <v>173</v>
      </c>
      <c r="E316" s="64" t="s">
        <v>174</v>
      </c>
      <c r="F316" s="64" t="s">
        <v>175</v>
      </c>
      <c r="G316" s="64" t="s">
        <v>176</v>
      </c>
      <c r="H316" s="64" t="s">
        <v>177</v>
      </c>
      <c r="I316" s="64" t="s">
        <v>178</v>
      </c>
      <c r="J316" s="64" t="s">
        <v>179</v>
      </c>
      <c r="K316" s="64" t="s">
        <v>180</v>
      </c>
      <c r="L316" s="64" t="s">
        <v>181</v>
      </c>
      <c r="M316" s="64" t="s">
        <v>182</v>
      </c>
      <c r="N316" s="64" t="s">
        <v>183</v>
      </c>
      <c r="O316" s="158" t="s">
        <v>188</v>
      </c>
    </row>
    <row r="317" spans="2:15" x14ac:dyDescent="0.4">
      <c r="B317" s="517" t="s">
        <v>161</v>
      </c>
      <c r="C317" s="78"/>
      <c r="D317" s="78"/>
      <c r="E317" s="78"/>
      <c r="F317" s="3"/>
      <c r="G317" s="3"/>
      <c r="H317" s="2"/>
      <c r="I317" s="43"/>
      <c r="J317" s="44"/>
      <c r="K317" s="124"/>
      <c r="L317" s="124"/>
      <c r="M317" s="2"/>
      <c r="N317" s="2"/>
      <c r="O317" s="2"/>
    </row>
    <row r="318" spans="2:15" x14ac:dyDescent="0.4">
      <c r="B318" s="429" t="s">
        <v>1129</v>
      </c>
      <c r="C318" s="512">
        <f>+'F1 SEZ'!C317+'F1 Non-SEZ'!C317</f>
        <v>14.994</v>
      </c>
      <c r="D318" s="512">
        <f>+'F1 SEZ'!D317+'F1 Non-SEZ'!D317</f>
        <v>15.495479000000001</v>
      </c>
      <c r="E318" s="512">
        <f>+'F1 SEZ'!E317+'F1 Non-SEZ'!E317</f>
        <v>14.992800000000001</v>
      </c>
      <c r="F318" s="512">
        <f>+'F1 SEZ'!F317+'F1 Non-SEZ'!F317</f>
        <v>16.67268</v>
      </c>
      <c r="G318" s="512">
        <f>+'F1 SEZ'!G317+'F1 Non-SEZ'!G317</f>
        <v>16.671479999999999</v>
      </c>
      <c r="H318" s="512">
        <f>+'F1 SEZ'!H317+'F1 Non-SEZ'!H317</f>
        <v>16.135200000000001</v>
      </c>
      <c r="I318" s="512">
        <f>+'F1 SEZ'!I317+'F1 Non-SEZ'!I317</f>
        <v>17.86308</v>
      </c>
      <c r="J318" s="512">
        <f>+'F1 SEZ'!J317+'F1 Non-SEZ'!J317</f>
        <v>17.287199999999999</v>
      </c>
      <c r="K318" s="512">
        <f>+'F1 SEZ'!K317+'F1 Non-SEZ'!K317</f>
        <v>17.861879999999999</v>
      </c>
      <c r="L318" s="512">
        <f>+'F1 SEZ'!L317+'F1 Non-SEZ'!L317</f>
        <v>19.054680000000001</v>
      </c>
      <c r="M318" s="512">
        <f>+'F1 SEZ'!M317+'F1 Non-SEZ'!M317</f>
        <v>17.21904</v>
      </c>
      <c r="N318" s="512">
        <f>+'F1 SEZ'!N317+'F1 Non-SEZ'!N317</f>
        <v>19.067880000000002</v>
      </c>
      <c r="O318" s="544">
        <f>SUM(C318:N318)</f>
        <v>203.31539899999999</v>
      </c>
    </row>
    <row r="319" spans="2:15" x14ac:dyDescent="0.4">
      <c r="B319" s="429" t="s">
        <v>1130</v>
      </c>
      <c r="C319" s="512">
        <f>+'F1 SEZ'!C318+'F1 Non-SEZ'!C318</f>
        <v>5.926448034799324E-2</v>
      </c>
      <c r="D319" s="512">
        <f>+'F1 SEZ'!D318+'F1 Non-SEZ'!D318</f>
        <v>6.8376455239110775E-2</v>
      </c>
      <c r="E319" s="512">
        <f>+'F1 SEZ'!E318+'F1 Non-SEZ'!E318</f>
        <v>4.8214092157574523E-2</v>
      </c>
      <c r="F319" s="512">
        <f>+'F1 SEZ'!F318+'F1 Non-SEZ'!F318</f>
        <v>6.6950229475216783E-2</v>
      </c>
      <c r="G319" s="512">
        <f>+'F1 SEZ'!G318+'F1 Non-SEZ'!G318</f>
        <v>5.9893049141574506E-2</v>
      </c>
      <c r="H319" s="512">
        <f>+'F1 SEZ'!H318+'F1 Non-SEZ'!H318</f>
        <v>5.9544564332762798E-2</v>
      </c>
      <c r="I319" s="512">
        <f>+'F1 SEZ'!I318+'F1 Non-SEZ'!I318</f>
        <v>5.7394285607977567E-2</v>
      </c>
      <c r="J319" s="512">
        <f>+'F1 SEZ'!J318+'F1 Non-SEZ'!J318</f>
        <v>4.5531747324973157E-2</v>
      </c>
      <c r="K319" s="512">
        <f>+'F1 SEZ'!K318+'F1 Non-SEZ'!K318</f>
        <v>6.4177426006570379E-2</v>
      </c>
      <c r="L319" s="512">
        <f>+'F1 SEZ'!L318+'F1 Non-SEZ'!L318</f>
        <v>7.1327988679209614E-2</v>
      </c>
      <c r="M319" s="512">
        <f>+'F1 SEZ'!M318+'F1 Non-SEZ'!M318</f>
        <v>6.6149877779433472E-2</v>
      </c>
      <c r="N319" s="512">
        <f>+'F1 SEZ'!N318+'F1 Non-SEZ'!N318</f>
        <v>8.0322638425018938E-2</v>
      </c>
      <c r="O319" s="544">
        <f>SUM(C319:N319)</f>
        <v>0.74714683451741581</v>
      </c>
    </row>
    <row r="320" spans="2:15" x14ac:dyDescent="0.4">
      <c r="B320" s="429" t="s">
        <v>1131</v>
      </c>
      <c r="C320" s="512">
        <f>+'F1 SEZ'!C319+'F1 Non-SEZ'!C319</f>
        <v>0</v>
      </c>
      <c r="D320" s="512">
        <f>+'F1 SEZ'!D319+'F1 Non-SEZ'!D319</f>
        <v>0</v>
      </c>
      <c r="E320" s="512">
        <f>+'F1 SEZ'!E319+'F1 Non-SEZ'!E319</f>
        <v>0</v>
      </c>
      <c r="F320" s="512">
        <f>+'F1 SEZ'!F319+'F1 Non-SEZ'!F319</f>
        <v>0</v>
      </c>
      <c r="G320" s="512">
        <f>+'F1 SEZ'!G319+'F1 Non-SEZ'!G319</f>
        <v>0</v>
      </c>
      <c r="H320" s="512">
        <f>+'F1 SEZ'!H319+'F1 Non-SEZ'!H319</f>
        <v>0</v>
      </c>
      <c r="I320" s="512">
        <f>+'F1 SEZ'!I319+'F1 Non-SEZ'!I319</f>
        <v>0</v>
      </c>
      <c r="J320" s="512">
        <f>+'F1 SEZ'!J319+'F1 Non-SEZ'!J319</f>
        <v>0</v>
      </c>
      <c r="K320" s="512">
        <f>+'F1 SEZ'!K319+'F1 Non-SEZ'!K319</f>
        <v>0</v>
      </c>
      <c r="L320" s="512">
        <f>+'F1 SEZ'!L319+'F1 Non-SEZ'!L319</f>
        <v>0</v>
      </c>
      <c r="M320" s="512">
        <f>+'F1 SEZ'!M319+'F1 Non-SEZ'!M319</f>
        <v>0</v>
      </c>
      <c r="N320" s="512">
        <f>+'F1 SEZ'!N319+'F1 Non-SEZ'!N319</f>
        <v>0</v>
      </c>
      <c r="O320" s="544">
        <f>SUM(C320:N320)</f>
        <v>0</v>
      </c>
    </row>
    <row r="321" spans="2:15" x14ac:dyDescent="0.4">
      <c r="B321" s="429" t="s">
        <v>1132</v>
      </c>
      <c r="C321" s="512">
        <f>+'F1 SEZ'!C320+'F1 Non-SEZ'!C320</f>
        <v>0</v>
      </c>
      <c r="D321" s="512">
        <f>+'F1 SEZ'!D320+'F1 Non-SEZ'!D320</f>
        <v>0</v>
      </c>
      <c r="E321" s="512">
        <f>+'F1 SEZ'!E320+'F1 Non-SEZ'!E320</f>
        <v>0</v>
      </c>
      <c r="F321" s="512">
        <f>+'F1 SEZ'!F320+'F1 Non-SEZ'!F320</f>
        <v>0</v>
      </c>
      <c r="G321" s="512">
        <f>+'F1 SEZ'!G320+'F1 Non-SEZ'!G320</f>
        <v>0</v>
      </c>
      <c r="H321" s="512">
        <f>+'F1 SEZ'!H320+'F1 Non-SEZ'!H320</f>
        <v>0</v>
      </c>
      <c r="I321" s="512">
        <f>+'F1 SEZ'!I320+'F1 Non-SEZ'!I320</f>
        <v>0</v>
      </c>
      <c r="J321" s="512">
        <f>+'F1 SEZ'!J320+'F1 Non-SEZ'!J320</f>
        <v>0</v>
      </c>
      <c r="K321" s="512">
        <f>+'F1 SEZ'!K320+'F1 Non-SEZ'!K320</f>
        <v>0</v>
      </c>
      <c r="L321" s="512">
        <f>+'F1 SEZ'!L320+'F1 Non-SEZ'!L320</f>
        <v>0</v>
      </c>
      <c r="M321" s="512">
        <f>+'F1 SEZ'!M320+'F1 Non-SEZ'!M320</f>
        <v>0</v>
      </c>
      <c r="N321" s="512">
        <f>+'F1 SEZ'!N320+'F1 Non-SEZ'!N320</f>
        <v>0</v>
      </c>
      <c r="O321" s="544">
        <f>SUM(C321:N321)</f>
        <v>0</v>
      </c>
    </row>
    <row r="322" spans="2:15" x14ac:dyDescent="0.4">
      <c r="B322" s="518" t="s">
        <v>162</v>
      </c>
      <c r="C322" s="545">
        <f>SUM(C318:C321)</f>
        <v>15.053264480347993</v>
      </c>
      <c r="D322" s="545">
        <f t="shared" ref="D322:O322" si="49">SUM(D318:D321)</f>
        <v>15.563855455239112</v>
      </c>
      <c r="E322" s="545">
        <f t="shared" si="49"/>
        <v>15.041014092157575</v>
      </c>
      <c r="F322" s="545">
        <f t="shared" si="49"/>
        <v>16.739630229475218</v>
      </c>
      <c r="G322" s="545">
        <f t="shared" si="49"/>
        <v>16.731373049141574</v>
      </c>
      <c r="H322" s="545">
        <f t="shared" si="49"/>
        <v>16.194744564332765</v>
      </c>
      <c r="I322" s="545">
        <f t="shared" si="49"/>
        <v>17.920474285607977</v>
      </c>
      <c r="J322" s="545">
        <f t="shared" si="49"/>
        <v>17.332731747324971</v>
      </c>
      <c r="K322" s="545">
        <f t="shared" si="49"/>
        <v>17.926057426006569</v>
      </c>
      <c r="L322" s="545">
        <f t="shared" si="49"/>
        <v>19.126007988679209</v>
      </c>
      <c r="M322" s="545">
        <f t="shared" si="49"/>
        <v>17.285189877779434</v>
      </c>
      <c r="N322" s="545">
        <f t="shared" si="49"/>
        <v>19.148202638425023</v>
      </c>
      <c r="O322" s="545">
        <f t="shared" si="49"/>
        <v>204.06254583451741</v>
      </c>
    </row>
    <row r="323" spans="2:15" x14ac:dyDescent="0.4">
      <c r="B323" s="517" t="s">
        <v>163</v>
      </c>
      <c r="C323" s="545"/>
      <c r="D323" s="545"/>
      <c r="E323" s="545"/>
      <c r="F323" s="545"/>
      <c r="G323" s="545"/>
      <c r="H323" s="545"/>
      <c r="I323" s="545"/>
      <c r="J323" s="545"/>
      <c r="K323" s="545"/>
      <c r="L323" s="545"/>
      <c r="M323" s="545"/>
      <c r="N323" s="545"/>
      <c r="O323" s="545"/>
    </row>
    <row r="324" spans="2:15" x14ac:dyDescent="0.4">
      <c r="B324" s="519" t="s">
        <v>1133</v>
      </c>
      <c r="C324" s="546"/>
      <c r="D324" s="546"/>
      <c r="E324" s="547"/>
      <c r="F324" s="546"/>
      <c r="G324" s="547"/>
      <c r="H324" s="547"/>
      <c r="I324" s="543"/>
      <c r="J324" s="545"/>
      <c r="K324" s="547"/>
      <c r="L324" s="545"/>
      <c r="M324" s="545"/>
      <c r="N324" s="548"/>
      <c r="O324" s="544">
        <f t="shared" ref="O324:O337" si="50">SUM(C324:N324)</f>
        <v>0</v>
      </c>
    </row>
    <row r="325" spans="2:15" x14ac:dyDescent="0.4">
      <c r="B325" s="520" t="s">
        <v>1106</v>
      </c>
      <c r="C325" s="512">
        <f>+'F1 SEZ'!C324+'F1 Non-SEZ'!C324</f>
        <v>0.15152480599627094</v>
      </c>
      <c r="D325" s="512">
        <f>+'F1 SEZ'!D324+'F1 Non-SEZ'!D324</f>
        <v>0.1620510448628244</v>
      </c>
      <c r="E325" s="512">
        <f>+'F1 SEZ'!E324+'F1 Non-SEZ'!E324</f>
        <v>0.16288916644599127</v>
      </c>
      <c r="F325" s="512">
        <f>+'F1 SEZ'!F324+'F1 Non-SEZ'!F324</f>
        <v>0.16076781916204352</v>
      </c>
      <c r="G325" s="512">
        <f>+'F1 SEZ'!G324+'F1 Non-SEZ'!G324</f>
        <v>0.16175430878441507</v>
      </c>
      <c r="H325" s="512">
        <f>+'F1 SEZ'!H324+'F1 Non-SEZ'!H324</f>
        <v>0.16575393230935828</v>
      </c>
      <c r="I325" s="512">
        <f>+'F1 SEZ'!I324+'F1 Non-SEZ'!I324</f>
        <v>0.16992244285765151</v>
      </c>
      <c r="J325" s="512">
        <f>+'F1 SEZ'!J324+'F1 Non-SEZ'!J324</f>
        <v>0.17022707085303987</v>
      </c>
      <c r="K325" s="512">
        <f>+'F1 SEZ'!K324+'F1 Non-SEZ'!K324</f>
        <v>0.1666678162955233</v>
      </c>
      <c r="L325" s="512">
        <f>+'F1 SEZ'!L324+'F1 Non-SEZ'!L324</f>
        <v>0.17275721943649841</v>
      </c>
      <c r="M325" s="512">
        <f>+'F1 SEZ'!M324+'F1 Non-SEZ'!M324</f>
        <v>0.17334122129294238</v>
      </c>
      <c r="N325" s="512">
        <f>+'F1 SEZ'!N324+'F1 Non-SEZ'!N324</f>
        <v>0.18454458663629167</v>
      </c>
      <c r="O325" s="544">
        <f t="shared" si="50"/>
        <v>2.0022014349328505</v>
      </c>
    </row>
    <row r="326" spans="2:15" x14ac:dyDescent="0.4">
      <c r="B326" s="520" t="s">
        <v>1107</v>
      </c>
      <c r="C326" s="512">
        <f>+'F1 SEZ'!C325+'F1 Non-SEZ'!C325</f>
        <v>0.17583112002752543</v>
      </c>
      <c r="D326" s="512">
        <f>+'F1 SEZ'!D325+'F1 Non-SEZ'!D325</f>
        <v>0.1992281838470068</v>
      </c>
      <c r="E326" s="512">
        <f>+'F1 SEZ'!E325+'F1 Non-SEZ'!E325</f>
        <v>0.18423270084356458</v>
      </c>
      <c r="F326" s="512">
        <f>+'F1 SEZ'!F325+'F1 Non-SEZ'!F325</f>
        <v>0.14868265268088235</v>
      </c>
      <c r="G326" s="512">
        <f>+'F1 SEZ'!G325+'F1 Non-SEZ'!G325</f>
        <v>0.14975654983256209</v>
      </c>
      <c r="H326" s="512">
        <f>+'F1 SEZ'!H325+'F1 Non-SEZ'!H325</f>
        <v>0.14828464497641883</v>
      </c>
      <c r="I326" s="512">
        <f>+'F1 SEZ'!I325+'F1 Non-SEZ'!I325</f>
        <v>0.1704804491787921</v>
      </c>
      <c r="J326" s="512">
        <f>+'F1 SEZ'!J325+'F1 Non-SEZ'!J325</f>
        <v>0.15677016923558118</v>
      </c>
      <c r="K326" s="512">
        <f>+'F1 SEZ'!K325+'F1 Non-SEZ'!K325</f>
        <v>0.12508730865954093</v>
      </c>
      <c r="L326" s="512">
        <f>+'F1 SEZ'!L325+'F1 Non-SEZ'!L325</f>
        <v>0.13583062207856916</v>
      </c>
      <c r="M326" s="512">
        <f>+'F1 SEZ'!M325+'F1 Non-SEZ'!M325</f>
        <v>0.14228703069533932</v>
      </c>
      <c r="N326" s="512">
        <f>+'F1 SEZ'!N325+'F1 Non-SEZ'!N325</f>
        <v>0.20243684959535463</v>
      </c>
      <c r="O326" s="544">
        <f t="shared" si="50"/>
        <v>1.9389082816511376</v>
      </c>
    </row>
    <row r="327" spans="2:15" x14ac:dyDescent="0.4">
      <c r="B327" s="520" t="s">
        <v>1108</v>
      </c>
      <c r="C327" s="512">
        <f>+'F1 SEZ'!C326+'F1 Non-SEZ'!C326</f>
        <v>7.9772625652546586E-2</v>
      </c>
      <c r="D327" s="512">
        <f>+'F1 SEZ'!D326+'F1 Non-SEZ'!D326</f>
        <v>0.11215845490441384</v>
      </c>
      <c r="E327" s="512">
        <f>+'F1 SEZ'!E326+'F1 Non-SEZ'!E326</f>
        <v>7.8992418008006104E-2</v>
      </c>
      <c r="F327" s="512">
        <f>+'F1 SEZ'!F326+'F1 Non-SEZ'!F326</f>
        <v>4.1218566552076875E-2</v>
      </c>
      <c r="G327" s="512">
        <f>+'F1 SEZ'!G326+'F1 Non-SEZ'!G326</f>
        <v>4.3232682421008292E-2</v>
      </c>
      <c r="H327" s="512">
        <f>+'F1 SEZ'!H326+'F1 Non-SEZ'!H326</f>
        <v>4.2104987338143052E-2</v>
      </c>
      <c r="I327" s="512">
        <f>+'F1 SEZ'!I326+'F1 Non-SEZ'!I326</f>
        <v>5.8609985021892873E-2</v>
      </c>
      <c r="J327" s="512">
        <f>+'F1 SEZ'!J326+'F1 Non-SEZ'!J326</f>
        <v>4.956613271198404E-2</v>
      </c>
      <c r="K327" s="512">
        <f>+'F1 SEZ'!K326+'F1 Non-SEZ'!K326</f>
        <v>2.6411667859385781E-2</v>
      </c>
      <c r="L327" s="512">
        <f>+'F1 SEZ'!L326+'F1 Non-SEZ'!L326</f>
        <v>3.1494163372392393E-2</v>
      </c>
      <c r="M327" s="512">
        <f>+'F1 SEZ'!M326+'F1 Non-SEZ'!M326</f>
        <v>3.5229981152721558E-2</v>
      </c>
      <c r="N327" s="512">
        <f>+'F1 SEZ'!N326+'F1 Non-SEZ'!N326</f>
        <v>8.0324671733809694E-2</v>
      </c>
      <c r="O327" s="544">
        <f t="shared" si="50"/>
        <v>0.67911633672838123</v>
      </c>
    </row>
    <row r="328" spans="2:15" x14ac:dyDescent="0.4">
      <c r="B328" s="520" t="s">
        <v>1109</v>
      </c>
      <c r="C328" s="512">
        <f>+'F1 SEZ'!C327+'F1 Non-SEZ'!C327</f>
        <v>0.37372868843901935</v>
      </c>
      <c r="D328" s="512">
        <f>+'F1 SEZ'!D327+'F1 Non-SEZ'!D327</f>
        <v>0.48480283034366217</v>
      </c>
      <c r="E328" s="512">
        <f>+'F1 SEZ'!E327+'F1 Non-SEZ'!E327</f>
        <v>0.33519092445560622</v>
      </c>
      <c r="F328" s="512">
        <f>+'F1 SEZ'!F327+'F1 Non-SEZ'!F327</f>
        <v>0.31168096793914712</v>
      </c>
      <c r="G328" s="512">
        <f>+'F1 SEZ'!G327+'F1 Non-SEZ'!G327</f>
        <v>0.30149238654548421</v>
      </c>
      <c r="H328" s="512">
        <f>+'F1 SEZ'!H327+'F1 Non-SEZ'!H327</f>
        <v>0.31200905106276</v>
      </c>
      <c r="I328" s="512">
        <f>+'F1 SEZ'!I327+'F1 Non-SEZ'!I327</f>
        <v>0.3366893040872288</v>
      </c>
      <c r="J328" s="512">
        <f>+'F1 SEZ'!J327+'F1 Non-SEZ'!J327</f>
        <v>0.3266847693238854</v>
      </c>
      <c r="K328" s="512">
        <f>+'F1 SEZ'!K327+'F1 Non-SEZ'!K327</f>
        <v>0.28352183350027033</v>
      </c>
      <c r="L328" s="512">
        <f>+'F1 SEZ'!L327+'F1 Non-SEZ'!L327</f>
        <v>0.29552887562176355</v>
      </c>
      <c r="M328" s="512">
        <f>+'F1 SEZ'!M327+'F1 Non-SEZ'!M327</f>
        <v>0.27674411628807127</v>
      </c>
      <c r="N328" s="512">
        <f>+'F1 SEZ'!N327+'F1 Non-SEZ'!N327</f>
        <v>0.35356557988478232</v>
      </c>
      <c r="O328" s="544">
        <f t="shared" si="50"/>
        <v>3.991639327491681</v>
      </c>
    </row>
    <row r="329" spans="2:15" x14ac:dyDescent="0.4">
      <c r="B329" s="520" t="s">
        <v>1110</v>
      </c>
      <c r="C329" s="512">
        <f>+'F1 SEZ'!C328+'F1 Non-SEZ'!C328</f>
        <v>0</v>
      </c>
      <c r="D329" s="512">
        <f>+'F1 SEZ'!D328+'F1 Non-SEZ'!D328</f>
        <v>0</v>
      </c>
      <c r="E329" s="512">
        <f>+'F1 SEZ'!E328+'F1 Non-SEZ'!E328</f>
        <v>0</v>
      </c>
      <c r="F329" s="512">
        <f>+'F1 SEZ'!F328+'F1 Non-SEZ'!F328</f>
        <v>0</v>
      </c>
      <c r="G329" s="512">
        <f>+'F1 SEZ'!G328+'F1 Non-SEZ'!G328</f>
        <v>0</v>
      </c>
      <c r="H329" s="512">
        <f>+'F1 SEZ'!H328+'F1 Non-SEZ'!H328</f>
        <v>0</v>
      </c>
      <c r="I329" s="512">
        <f>+'F1 SEZ'!I328+'F1 Non-SEZ'!I328</f>
        <v>0</v>
      </c>
      <c r="J329" s="512">
        <f>+'F1 SEZ'!J328+'F1 Non-SEZ'!J328</f>
        <v>0</v>
      </c>
      <c r="K329" s="512">
        <f>+'F1 SEZ'!K328+'F1 Non-SEZ'!K328</f>
        <v>0</v>
      </c>
      <c r="L329" s="512">
        <f>+'F1 SEZ'!L328+'F1 Non-SEZ'!L328</f>
        <v>0</v>
      </c>
      <c r="M329" s="512">
        <f>+'F1 SEZ'!M328+'F1 Non-SEZ'!M328</f>
        <v>0</v>
      </c>
      <c r="N329" s="512">
        <f>+'F1 SEZ'!N328+'F1 Non-SEZ'!N328</f>
        <v>0</v>
      </c>
      <c r="O329" s="544">
        <f t="shared" si="50"/>
        <v>0</v>
      </c>
    </row>
    <row r="330" spans="2:15" x14ac:dyDescent="0.4">
      <c r="B330" s="519" t="s">
        <v>1145</v>
      </c>
      <c r="C330" s="512">
        <f>+'F1 SEZ'!C329+'F1 Non-SEZ'!C329</f>
        <v>0</v>
      </c>
      <c r="D330" s="512">
        <f>+'F1 SEZ'!D329+'F1 Non-SEZ'!D329</f>
        <v>0</v>
      </c>
      <c r="E330" s="512">
        <f>+'F1 SEZ'!E329+'F1 Non-SEZ'!E329</f>
        <v>0</v>
      </c>
      <c r="F330" s="512">
        <f>+'F1 SEZ'!F329+'F1 Non-SEZ'!F329</f>
        <v>0</v>
      </c>
      <c r="G330" s="512">
        <f>+'F1 SEZ'!G329+'F1 Non-SEZ'!G329</f>
        <v>0</v>
      </c>
      <c r="H330" s="512">
        <f>+'F1 SEZ'!H329+'F1 Non-SEZ'!H329</f>
        <v>0</v>
      </c>
      <c r="I330" s="512">
        <f>+'F1 SEZ'!I329+'F1 Non-SEZ'!I329</f>
        <v>0</v>
      </c>
      <c r="J330" s="512">
        <f>+'F1 SEZ'!J329+'F1 Non-SEZ'!J329</f>
        <v>0</v>
      </c>
      <c r="K330" s="512">
        <f>+'F1 SEZ'!K329+'F1 Non-SEZ'!K329</f>
        <v>0</v>
      </c>
      <c r="L330" s="512">
        <f>+'F1 SEZ'!L329+'F1 Non-SEZ'!L329</f>
        <v>0</v>
      </c>
      <c r="M330" s="512">
        <f>+'F1 SEZ'!M329+'F1 Non-SEZ'!M329</f>
        <v>0</v>
      </c>
      <c r="N330" s="512">
        <f>+'F1 SEZ'!N329+'F1 Non-SEZ'!N329</f>
        <v>0</v>
      </c>
      <c r="O330" s="544">
        <f t="shared" si="50"/>
        <v>0</v>
      </c>
    </row>
    <row r="331" spans="2:15" x14ac:dyDescent="0.4">
      <c r="B331" s="520" t="s">
        <v>1140</v>
      </c>
      <c r="C331" s="512">
        <f>+'F1 SEZ'!C330+'F1 Non-SEZ'!C330</f>
        <v>2.7974301995200911E-2</v>
      </c>
      <c r="D331" s="512">
        <f>+'F1 SEZ'!D330+'F1 Non-SEZ'!D330</f>
        <v>3.6058492920249638E-2</v>
      </c>
      <c r="E331" s="512">
        <f>+'F1 SEZ'!E330+'F1 Non-SEZ'!E330</f>
        <v>3.0094852479979627E-2</v>
      </c>
      <c r="F331" s="512">
        <f>+'F1 SEZ'!F330+'F1 Non-SEZ'!F330</f>
        <v>2.8547176864627283E-2</v>
      </c>
      <c r="G331" s="512">
        <f>+'F1 SEZ'!G330+'F1 Non-SEZ'!G330</f>
        <v>2.9775138714582223E-2</v>
      </c>
      <c r="H331" s="512">
        <f>+'F1 SEZ'!H330+'F1 Non-SEZ'!H330</f>
        <v>2.7413171713074849E-2</v>
      </c>
      <c r="I331" s="512">
        <f>+'F1 SEZ'!I330+'F1 Non-SEZ'!I330</f>
        <v>2.8086528051626126E-2</v>
      </c>
      <c r="J331" s="512">
        <f>+'F1 SEZ'!J330+'F1 Non-SEZ'!J330</f>
        <v>2.8326639614210294E-2</v>
      </c>
      <c r="K331" s="512">
        <f>+'F1 SEZ'!K330+'F1 Non-SEZ'!K330</f>
        <v>2.3472210196747622E-2</v>
      </c>
      <c r="L331" s="512">
        <f>+'F1 SEZ'!L330+'F1 Non-SEZ'!L330</f>
        <v>2.4753675166626205E-2</v>
      </c>
      <c r="M331" s="512">
        <f>+'F1 SEZ'!M330+'F1 Non-SEZ'!M330</f>
        <v>2.4178190388910874E-2</v>
      </c>
      <c r="N331" s="512">
        <f>+'F1 SEZ'!N330+'F1 Non-SEZ'!N330</f>
        <v>2.7688517037559958E-2</v>
      </c>
      <c r="O331" s="544">
        <f t="shared" si="50"/>
        <v>0.33636889514339563</v>
      </c>
    </row>
    <row r="332" spans="2:15" x14ac:dyDescent="0.4">
      <c r="B332" s="520" t="s">
        <v>1144</v>
      </c>
      <c r="C332" s="512">
        <f>+'F1 SEZ'!C331+'F1 Non-SEZ'!C331</f>
        <v>4.2913143058750977E-2</v>
      </c>
      <c r="D332" s="512">
        <f>+'F1 SEZ'!D331+'F1 Non-SEZ'!D331</f>
        <v>5.1040897371263667E-2</v>
      </c>
      <c r="E332" s="512">
        <f>+'F1 SEZ'!E331+'F1 Non-SEZ'!E331</f>
        <v>5.192328195681558E-2</v>
      </c>
      <c r="F332" s="512">
        <f>+'F1 SEZ'!F331+'F1 Non-SEZ'!F331</f>
        <v>4.561002727351942E-2</v>
      </c>
      <c r="G332" s="512">
        <f>+'F1 SEZ'!G331+'F1 Non-SEZ'!G331</f>
        <v>4.9680237216170042E-2</v>
      </c>
      <c r="H332" s="512">
        <f>+'F1 SEZ'!H331+'F1 Non-SEZ'!H331</f>
        <v>4.6957347502965451E-2</v>
      </c>
      <c r="I332" s="512">
        <f>+'F1 SEZ'!I331+'F1 Non-SEZ'!I331</f>
        <v>5.5110935660459291E-2</v>
      </c>
      <c r="J332" s="512">
        <f>+'F1 SEZ'!J331+'F1 Non-SEZ'!J331</f>
        <v>4.5269344209140673E-2</v>
      </c>
      <c r="K332" s="512">
        <f>+'F1 SEZ'!K331+'F1 Non-SEZ'!K331</f>
        <v>4.3706206542884929E-2</v>
      </c>
      <c r="L332" s="512">
        <f>+'F1 SEZ'!L331+'F1 Non-SEZ'!L331</f>
        <v>4.9227366357971925E-2</v>
      </c>
      <c r="M332" s="512">
        <f>+'F1 SEZ'!M331+'F1 Non-SEZ'!M331</f>
        <v>4.720390316918556E-2</v>
      </c>
      <c r="N332" s="512">
        <f>+'F1 SEZ'!N331+'F1 Non-SEZ'!N331</f>
        <v>6.2272795981550819E-2</v>
      </c>
      <c r="O332" s="544">
        <f t="shared" si="50"/>
        <v>0.59091548630067836</v>
      </c>
    </row>
    <row r="333" spans="2:15" x14ac:dyDescent="0.4">
      <c r="B333" s="520" t="s">
        <v>1143</v>
      </c>
      <c r="C333" s="512">
        <f>+'F1 SEZ'!C332+'F1 Non-SEZ'!C332</f>
        <v>1.6185628389998832E-2</v>
      </c>
      <c r="D333" s="512">
        <f>+'F1 SEZ'!D332+'F1 Non-SEZ'!D332</f>
        <v>1.2742960584991891E-2</v>
      </c>
      <c r="E333" s="512">
        <f>+'F1 SEZ'!E332+'F1 Non-SEZ'!E332</f>
        <v>2.0312793369520545E-2</v>
      </c>
      <c r="F333" s="512">
        <f>+'F1 SEZ'!F332+'F1 Non-SEZ'!F332</f>
        <v>1.684441571234032E-2</v>
      </c>
      <c r="G333" s="512">
        <f>+'F1 SEZ'!G332+'F1 Non-SEZ'!G332</f>
        <v>1.8808857474252393E-2</v>
      </c>
      <c r="H333" s="512">
        <f>+'F1 SEZ'!H332+'F1 Non-SEZ'!H332</f>
        <v>1.5060063524799147E-2</v>
      </c>
      <c r="I333" s="512">
        <f>+'F1 SEZ'!I332+'F1 Non-SEZ'!I332</f>
        <v>1.7276216599388119E-2</v>
      </c>
      <c r="J333" s="512">
        <f>+'F1 SEZ'!J332+'F1 Non-SEZ'!J332</f>
        <v>1.1507842401305615E-2</v>
      </c>
      <c r="K333" s="512">
        <f>+'F1 SEZ'!K332+'F1 Non-SEZ'!K332</f>
        <v>8.7411085205977845E-3</v>
      </c>
      <c r="L333" s="512">
        <f>+'F1 SEZ'!L332+'F1 Non-SEZ'!L332</f>
        <v>1.1739914522760242E-2</v>
      </c>
      <c r="M333" s="512">
        <f>+'F1 SEZ'!M332+'F1 Non-SEZ'!M332</f>
        <v>1.193624613040401E-2</v>
      </c>
      <c r="N333" s="512">
        <f>+'F1 SEZ'!N332+'F1 Non-SEZ'!N332</f>
        <v>1.4816332518074389E-2</v>
      </c>
      <c r="O333" s="544">
        <f t="shared" si="50"/>
        <v>0.17597237974843327</v>
      </c>
    </row>
    <row r="334" spans="2:15" x14ac:dyDescent="0.4">
      <c r="B334" s="519" t="s">
        <v>1111</v>
      </c>
      <c r="C334" s="512">
        <f>+'F1 SEZ'!C333+'F1 Non-SEZ'!C333</f>
        <v>8.0514933858464408E-2</v>
      </c>
      <c r="D334" s="512">
        <f>+'F1 SEZ'!D333+'F1 Non-SEZ'!D333</f>
        <v>8.2528131268931812E-2</v>
      </c>
      <c r="E334" s="512">
        <f>+'F1 SEZ'!E333+'F1 Non-SEZ'!E333</f>
        <v>7.3872303060154063E-2</v>
      </c>
      <c r="F334" s="512">
        <f>+'F1 SEZ'!F333+'F1 Non-SEZ'!F333</f>
        <v>8.1054120460887766E-2</v>
      </c>
      <c r="G334" s="512">
        <f>+'F1 SEZ'!G333+'F1 Non-SEZ'!G333</f>
        <v>8.7795682497194577E-2</v>
      </c>
      <c r="H334" s="512">
        <f>+'F1 SEZ'!H333+'F1 Non-SEZ'!H333</f>
        <v>8.7259780209223509E-2</v>
      </c>
      <c r="I334" s="512">
        <f>+'F1 SEZ'!I333+'F1 Non-SEZ'!I333</f>
        <v>8.8920769834197874E-2</v>
      </c>
      <c r="J334" s="512">
        <f>+'F1 SEZ'!J333+'F1 Non-SEZ'!J333</f>
        <v>8.5827190196745368E-2</v>
      </c>
      <c r="K334" s="512">
        <f>+'F1 SEZ'!K333+'F1 Non-SEZ'!K333</f>
        <v>9.4550713716707369E-2</v>
      </c>
      <c r="L334" s="512">
        <f>+'F1 SEZ'!L333+'F1 Non-SEZ'!L333</f>
        <v>7.6797317005318375E-2</v>
      </c>
      <c r="M334" s="512">
        <f>+'F1 SEZ'!M333+'F1 Non-SEZ'!M333</f>
        <v>7.0575462791571564E-2</v>
      </c>
      <c r="N334" s="512">
        <f>+'F1 SEZ'!N333+'F1 Non-SEZ'!N333</f>
        <v>7.027124443054901E-2</v>
      </c>
      <c r="O334" s="544">
        <f t="shared" si="50"/>
        <v>0.97996764932994562</v>
      </c>
    </row>
    <row r="335" spans="2:15" x14ac:dyDescent="0.4">
      <c r="B335" s="519" t="s">
        <v>1135</v>
      </c>
      <c r="C335" s="512">
        <f>+'F1 SEZ'!C334+'F1 Non-SEZ'!C334</f>
        <v>3.252260210777784E-2</v>
      </c>
      <c r="D335" s="512">
        <f>+'F1 SEZ'!D334+'F1 Non-SEZ'!D334</f>
        <v>2.9856827298636122E-2</v>
      </c>
      <c r="E335" s="512">
        <f>+'F1 SEZ'!E334+'F1 Non-SEZ'!E334</f>
        <v>3.1707809717804458E-2</v>
      </c>
      <c r="F335" s="512">
        <f>+'F1 SEZ'!F334+'F1 Non-SEZ'!F334</f>
        <v>3.0728995850684792E-2</v>
      </c>
      <c r="G335" s="512">
        <f>+'F1 SEZ'!G334+'F1 Non-SEZ'!G334</f>
        <v>3.1570260476832895E-2</v>
      </c>
      <c r="H335" s="512">
        <f>+'F1 SEZ'!H334+'F1 Non-SEZ'!H334</f>
        <v>3.0946918412195129E-2</v>
      </c>
      <c r="I335" s="512">
        <f>+'F1 SEZ'!I334+'F1 Non-SEZ'!I334</f>
        <v>3.5562197333234409E-2</v>
      </c>
      <c r="J335" s="512">
        <f>+'F1 SEZ'!J334+'F1 Non-SEZ'!J334</f>
        <v>3.006687559238504E-2</v>
      </c>
      <c r="K335" s="512">
        <f>+'F1 SEZ'!K334+'F1 Non-SEZ'!K334</f>
        <v>2.6586856215368444E-2</v>
      </c>
      <c r="L335" s="512">
        <f>+'F1 SEZ'!L334+'F1 Non-SEZ'!L334</f>
        <v>2.81005356073987E-2</v>
      </c>
      <c r="M335" s="512">
        <f>+'F1 SEZ'!M334+'F1 Non-SEZ'!M334</f>
        <v>2.5237447655064815E-2</v>
      </c>
      <c r="N335" s="512">
        <f>+'F1 SEZ'!N334+'F1 Non-SEZ'!N334</f>
        <v>3.0487736856886057E-2</v>
      </c>
      <c r="O335" s="544">
        <f t="shared" si="50"/>
        <v>0.3633750631242687</v>
      </c>
    </row>
    <row r="336" spans="2:15" x14ac:dyDescent="0.4">
      <c r="B336" s="519" t="s">
        <v>1136</v>
      </c>
      <c r="C336" s="512">
        <f>+'F1 SEZ'!C335+'F1 Non-SEZ'!C335</f>
        <v>0</v>
      </c>
      <c r="D336" s="512">
        <f>+'F1 SEZ'!D335+'F1 Non-SEZ'!D335</f>
        <v>0</v>
      </c>
      <c r="E336" s="512">
        <f>+'F1 SEZ'!E335+'F1 Non-SEZ'!E335</f>
        <v>0</v>
      </c>
      <c r="F336" s="512">
        <f>+'F1 SEZ'!F335+'F1 Non-SEZ'!F335</f>
        <v>0</v>
      </c>
      <c r="G336" s="512">
        <f>+'F1 SEZ'!G335+'F1 Non-SEZ'!G335</f>
        <v>0</v>
      </c>
      <c r="H336" s="512">
        <f>+'F1 SEZ'!H335+'F1 Non-SEZ'!H335</f>
        <v>0</v>
      </c>
      <c r="I336" s="512">
        <f>+'F1 SEZ'!I335+'F1 Non-SEZ'!I335</f>
        <v>0</v>
      </c>
      <c r="J336" s="512">
        <f>+'F1 SEZ'!J335+'F1 Non-SEZ'!J335</f>
        <v>0</v>
      </c>
      <c r="K336" s="512">
        <f>+'F1 SEZ'!K335+'F1 Non-SEZ'!K335</f>
        <v>0</v>
      </c>
      <c r="L336" s="512">
        <f>+'F1 SEZ'!L335+'F1 Non-SEZ'!L335</f>
        <v>0</v>
      </c>
      <c r="M336" s="512">
        <f>+'F1 SEZ'!M335+'F1 Non-SEZ'!M335</f>
        <v>0</v>
      </c>
      <c r="N336" s="512">
        <f>+'F1 SEZ'!N335+'F1 Non-SEZ'!N335</f>
        <v>0</v>
      </c>
      <c r="O336" s="544">
        <f t="shared" si="50"/>
        <v>0</v>
      </c>
    </row>
    <row r="337" spans="2:15" x14ac:dyDescent="0.4">
      <c r="B337" s="566" t="s">
        <v>1142</v>
      </c>
      <c r="C337" s="512">
        <f>+'F1 SEZ'!C336+'F1 Non-SEZ'!C336</f>
        <v>1.4188094394766175E-3</v>
      </c>
      <c r="D337" s="512">
        <f>+'F1 SEZ'!D336+'F1 Non-SEZ'!D336</f>
        <v>1.5500884172060863E-3</v>
      </c>
      <c r="E337" s="512">
        <f>+'F1 SEZ'!E336+'F1 Non-SEZ'!E336</f>
        <v>1.3841858641727108E-3</v>
      </c>
      <c r="F337" s="512">
        <f>+'F1 SEZ'!F336+'F1 Non-SEZ'!F336</f>
        <v>1.3659795810089307E-3</v>
      </c>
      <c r="G337" s="512">
        <f>+'F1 SEZ'!G336+'F1 Non-SEZ'!G336</f>
        <v>1.1686538079515231E-3</v>
      </c>
      <c r="H337" s="512">
        <f>+'F1 SEZ'!H336+'F1 Non-SEZ'!H336</f>
        <v>1.1065411510201137E-3</v>
      </c>
      <c r="I337" s="512">
        <f>+'F1 SEZ'!I336+'F1 Non-SEZ'!I336</f>
        <v>1.536233682628259E-3</v>
      </c>
      <c r="J337" s="512">
        <f>+'F1 SEZ'!J336+'F1 Non-SEZ'!J336</f>
        <v>1.7870081673842689E-3</v>
      </c>
      <c r="K337" s="512">
        <f>+'F1 SEZ'!K336+'F1 Non-SEZ'!K336</f>
        <v>2.0842919983750804E-3</v>
      </c>
      <c r="L337" s="512">
        <f>+'F1 SEZ'!L336+'F1 Non-SEZ'!L336</f>
        <v>2.1287041899365482E-3</v>
      </c>
      <c r="M337" s="512">
        <f>+'F1 SEZ'!M336+'F1 Non-SEZ'!M336</f>
        <v>2.1733178245395084E-3</v>
      </c>
      <c r="N337" s="512">
        <f>+'F1 SEZ'!N336+'F1 Non-SEZ'!N336</f>
        <v>2.6844969081040279E-3</v>
      </c>
      <c r="O337" s="544">
        <f t="shared" si="50"/>
        <v>2.0388311031803674E-2</v>
      </c>
    </row>
    <row r="338" spans="2:15" x14ac:dyDescent="0.4">
      <c r="B338" s="175" t="s">
        <v>162</v>
      </c>
      <c r="C338" s="567">
        <f t="shared" ref="C338:O338" si="51">SUM(C325:C337)</f>
        <v>0.98238665896503186</v>
      </c>
      <c r="D338" s="567">
        <f t="shared" si="51"/>
        <v>1.1720179118191865</v>
      </c>
      <c r="E338" s="567">
        <f t="shared" si="51"/>
        <v>0.97060043620161507</v>
      </c>
      <c r="F338" s="567">
        <f t="shared" si="51"/>
        <v>0.86650072207721829</v>
      </c>
      <c r="G338" s="567">
        <f t="shared" si="51"/>
        <v>0.87503475777045348</v>
      </c>
      <c r="H338" s="567">
        <f t="shared" si="51"/>
        <v>0.87689643819995844</v>
      </c>
      <c r="I338" s="567">
        <f t="shared" si="51"/>
        <v>0.96219506230709939</v>
      </c>
      <c r="J338" s="567">
        <f t="shared" si="51"/>
        <v>0.90603304230566184</v>
      </c>
      <c r="K338" s="567">
        <f t="shared" si="51"/>
        <v>0.80083001350540162</v>
      </c>
      <c r="L338" s="567">
        <f t="shared" si="51"/>
        <v>0.82835839335923545</v>
      </c>
      <c r="M338" s="567">
        <f t="shared" si="51"/>
        <v>0.80890691738875098</v>
      </c>
      <c r="N338" s="567">
        <f t="shared" si="51"/>
        <v>1.0290928115829625</v>
      </c>
      <c r="O338" s="567">
        <f t="shared" si="51"/>
        <v>11.078853165482577</v>
      </c>
    </row>
    <row r="339" spans="2:15" x14ac:dyDescent="0.4">
      <c r="B339" s="175"/>
      <c r="C339" s="26"/>
      <c r="D339" s="26"/>
      <c r="E339" s="26"/>
      <c r="F339" s="26"/>
      <c r="G339" s="26"/>
      <c r="H339" s="26"/>
      <c r="I339" s="26"/>
      <c r="J339" s="26"/>
      <c r="K339" s="26"/>
      <c r="L339" s="26"/>
      <c r="M339" s="26"/>
      <c r="N339" s="26"/>
      <c r="O339" s="26"/>
    </row>
    <row r="340" spans="2:15" x14ac:dyDescent="0.4">
      <c r="B340" s="119" t="s">
        <v>164</v>
      </c>
      <c r="C340" s="568">
        <f>+C338+C322</f>
        <v>16.035651139313025</v>
      </c>
      <c r="D340" s="568">
        <f t="shared" ref="D340:O340" si="52">+D338+D322</f>
        <v>16.7358733670583</v>
      </c>
      <c r="E340" s="568">
        <f t="shared" si="52"/>
        <v>16.011614528359189</v>
      </c>
      <c r="F340" s="568">
        <f t="shared" si="52"/>
        <v>17.606130951552437</v>
      </c>
      <c r="G340" s="568">
        <f t="shared" si="52"/>
        <v>17.606407806912028</v>
      </c>
      <c r="H340" s="568">
        <f t="shared" si="52"/>
        <v>17.071641002532722</v>
      </c>
      <c r="I340" s="568">
        <f t="shared" si="52"/>
        <v>18.882669347915076</v>
      </c>
      <c r="J340" s="568">
        <f t="shared" si="52"/>
        <v>18.238764789630633</v>
      </c>
      <c r="K340" s="568">
        <f t="shared" si="52"/>
        <v>18.72688743951197</v>
      </c>
      <c r="L340" s="568">
        <f t="shared" si="52"/>
        <v>19.954366382038444</v>
      </c>
      <c r="M340" s="568">
        <f t="shared" si="52"/>
        <v>18.094096795168184</v>
      </c>
      <c r="N340" s="568">
        <f t="shared" si="52"/>
        <v>20.177295450007986</v>
      </c>
      <c r="O340" s="568">
        <f t="shared" si="52"/>
        <v>215.14139899999998</v>
      </c>
    </row>
    <row r="341" spans="2:15" x14ac:dyDescent="0.4">
      <c r="B341" s="118"/>
      <c r="E341" s="198"/>
      <c r="F341" s="199"/>
      <c r="G341" s="198"/>
      <c r="H341" s="198"/>
      <c r="I341" s="198"/>
      <c r="J341" s="198"/>
      <c r="K341" s="198"/>
      <c r="L341" s="198"/>
      <c r="M341" s="198"/>
      <c r="N341" s="198"/>
      <c r="O341" s="199"/>
    </row>
    <row r="342" spans="2:15" x14ac:dyDescent="0.4">
      <c r="B342" s="32" t="s">
        <v>192</v>
      </c>
      <c r="C342" s="8"/>
      <c r="D342" s="8"/>
      <c r="E342" s="8"/>
      <c r="F342" s="8"/>
      <c r="G342" s="8"/>
      <c r="H342" s="8"/>
      <c r="I342" s="8"/>
      <c r="J342" s="8"/>
      <c r="K342" s="8"/>
      <c r="L342" s="8"/>
      <c r="M342" s="8"/>
      <c r="N342" s="8"/>
      <c r="O342" s="4"/>
    </row>
    <row r="343" spans="2:15" x14ac:dyDescent="0.4">
      <c r="B343" s="32"/>
      <c r="C343" s="38"/>
      <c r="D343" s="38"/>
      <c r="O343" s="38" t="s">
        <v>171</v>
      </c>
    </row>
    <row r="344" spans="2:15" s="51" customFormat="1" ht="27" x14ac:dyDescent="0.35">
      <c r="B344" s="169" t="s">
        <v>160</v>
      </c>
      <c r="C344" s="106" t="s">
        <v>172</v>
      </c>
      <c r="D344" s="106" t="s">
        <v>173</v>
      </c>
      <c r="E344" s="64" t="s">
        <v>174</v>
      </c>
      <c r="F344" s="64" t="s">
        <v>175</v>
      </c>
      <c r="G344" s="64" t="s">
        <v>176</v>
      </c>
      <c r="H344" s="64" t="s">
        <v>177</v>
      </c>
      <c r="I344" s="64" t="s">
        <v>178</v>
      </c>
      <c r="J344" s="64" t="s">
        <v>179</v>
      </c>
      <c r="K344" s="64" t="s">
        <v>180</v>
      </c>
      <c r="L344" s="64" t="s">
        <v>181</v>
      </c>
      <c r="M344" s="64" t="s">
        <v>182</v>
      </c>
      <c r="N344" s="64" t="s">
        <v>183</v>
      </c>
      <c r="O344" s="158" t="s">
        <v>188</v>
      </c>
    </row>
    <row r="345" spans="2:15" x14ac:dyDescent="0.4">
      <c r="B345" s="517" t="s">
        <v>161</v>
      </c>
      <c r="C345" s="78"/>
      <c r="D345" s="78"/>
      <c r="E345" s="78"/>
      <c r="F345" s="3"/>
      <c r="G345" s="3"/>
      <c r="H345" s="2"/>
      <c r="I345" s="43"/>
      <c r="J345" s="44"/>
      <c r="K345" s="124"/>
      <c r="L345" s="124"/>
      <c r="M345" s="2"/>
      <c r="N345" s="2"/>
      <c r="O345" s="2"/>
    </row>
    <row r="346" spans="2:15" x14ac:dyDescent="0.4">
      <c r="B346" s="429" t="s">
        <v>1129</v>
      </c>
      <c r="C346" s="512">
        <f>+'F1 SEZ'!C345+'F1 Non-SEZ'!C345</f>
        <v>19.1952</v>
      </c>
      <c r="D346" s="512">
        <f>+'F1 SEZ'!D345+'F1 Non-SEZ'!D345</f>
        <v>19.836718999999999</v>
      </c>
      <c r="E346" s="512">
        <f>+'F1 SEZ'!E345+'F1 Non-SEZ'!E345</f>
        <v>19.194000000000003</v>
      </c>
      <c r="F346" s="512">
        <f>+'F1 SEZ'!F345+'F1 Non-SEZ'!F345</f>
        <v>20.418719999999997</v>
      </c>
      <c r="G346" s="512">
        <f>+'F1 SEZ'!G345+'F1 Non-SEZ'!G345</f>
        <v>20.417519999999996</v>
      </c>
      <c r="H346" s="512">
        <f>+'F1 SEZ'!H345+'F1 Non-SEZ'!H345</f>
        <v>19.760400000000001</v>
      </c>
      <c r="I346" s="512">
        <f>+'F1 SEZ'!I345+'F1 Non-SEZ'!I345</f>
        <v>21.013919999999999</v>
      </c>
      <c r="J346" s="512">
        <f>+'F1 SEZ'!J345+'F1 Non-SEZ'!J345</f>
        <v>20.336400000000001</v>
      </c>
      <c r="K346" s="512">
        <f>+'F1 SEZ'!K345+'F1 Non-SEZ'!K345</f>
        <v>21.012720000000002</v>
      </c>
      <c r="L346" s="512">
        <f>+'F1 SEZ'!L345+'F1 Non-SEZ'!L345</f>
        <v>21.610320000000002</v>
      </c>
      <c r="M346" s="512">
        <f>+'F1 SEZ'!M345+'F1 Non-SEZ'!M345</f>
        <v>19.527360000000005</v>
      </c>
      <c r="N346" s="512">
        <f>+'F1 SEZ'!N345+'F1 Non-SEZ'!N345</f>
        <v>21.623520000000003</v>
      </c>
      <c r="O346" s="544">
        <f>SUM(C346:N346)</f>
        <v>243.94679900000003</v>
      </c>
    </row>
    <row r="347" spans="2:15" x14ac:dyDescent="0.4">
      <c r="B347" s="429" t="s">
        <v>1130</v>
      </c>
      <c r="C347" s="512">
        <f>+'F1 SEZ'!C346+'F1 Non-SEZ'!C346</f>
        <v>7.9019307130657648E-2</v>
      </c>
      <c r="D347" s="512">
        <f>+'F1 SEZ'!D346+'F1 Non-SEZ'!D346</f>
        <v>9.1168606985481043E-2</v>
      </c>
      <c r="E347" s="512">
        <f>+'F1 SEZ'!E346+'F1 Non-SEZ'!E346</f>
        <v>6.4285456210099359E-2</v>
      </c>
      <c r="F347" s="512">
        <f>+'F1 SEZ'!F346+'F1 Non-SEZ'!F346</f>
        <v>8.9266972633622377E-2</v>
      </c>
      <c r="G347" s="512">
        <f>+'F1 SEZ'!G346+'F1 Non-SEZ'!G346</f>
        <v>7.9857398855432679E-2</v>
      </c>
      <c r="H347" s="512">
        <f>+'F1 SEZ'!H346+'F1 Non-SEZ'!H346</f>
        <v>7.9392752443683726E-2</v>
      </c>
      <c r="I347" s="512">
        <f>+'F1 SEZ'!I346+'F1 Non-SEZ'!I346</f>
        <v>7.6525714143970094E-2</v>
      </c>
      <c r="J347" s="512">
        <f>+'F1 SEZ'!J346+'F1 Non-SEZ'!J346</f>
        <v>6.0708996433297552E-2</v>
      </c>
      <c r="K347" s="512">
        <f>+'F1 SEZ'!K346+'F1 Non-SEZ'!K346</f>
        <v>8.5569901342093843E-2</v>
      </c>
      <c r="L347" s="512">
        <f>+'F1 SEZ'!L346+'F1 Non-SEZ'!L346</f>
        <v>9.5103984905612823E-2</v>
      </c>
      <c r="M347" s="512">
        <f>+'F1 SEZ'!M346+'F1 Non-SEZ'!M346</f>
        <v>8.8199837039244638E-2</v>
      </c>
      <c r="N347" s="512">
        <f>+'F1 SEZ'!N346+'F1 Non-SEZ'!N346</f>
        <v>0.10709685123335858</v>
      </c>
      <c r="O347" s="544">
        <f>SUM(C347:N347)</f>
        <v>0.99619577935655423</v>
      </c>
    </row>
    <row r="348" spans="2:15" x14ac:dyDescent="0.4">
      <c r="B348" s="429" t="s">
        <v>1131</v>
      </c>
      <c r="C348" s="512">
        <f>+'F1 SEZ'!C347+'F1 Non-SEZ'!C347</f>
        <v>0</v>
      </c>
      <c r="D348" s="512">
        <f>+'F1 SEZ'!D347+'F1 Non-SEZ'!D347</f>
        <v>0</v>
      </c>
      <c r="E348" s="512">
        <f>+'F1 SEZ'!E347+'F1 Non-SEZ'!E347</f>
        <v>0</v>
      </c>
      <c r="F348" s="512">
        <f>+'F1 SEZ'!F347+'F1 Non-SEZ'!F347</f>
        <v>0</v>
      </c>
      <c r="G348" s="512">
        <f>+'F1 SEZ'!G347+'F1 Non-SEZ'!G347</f>
        <v>0</v>
      </c>
      <c r="H348" s="512">
        <f>+'F1 SEZ'!H347+'F1 Non-SEZ'!H347</f>
        <v>0</v>
      </c>
      <c r="I348" s="512">
        <f>+'F1 SEZ'!I347+'F1 Non-SEZ'!I347</f>
        <v>0</v>
      </c>
      <c r="J348" s="512">
        <f>+'F1 SEZ'!J347+'F1 Non-SEZ'!J347</f>
        <v>0</v>
      </c>
      <c r="K348" s="512">
        <f>+'F1 SEZ'!K347+'F1 Non-SEZ'!K347</f>
        <v>0</v>
      </c>
      <c r="L348" s="512">
        <f>+'F1 SEZ'!L347+'F1 Non-SEZ'!L347</f>
        <v>0</v>
      </c>
      <c r="M348" s="512">
        <f>+'F1 SEZ'!M347+'F1 Non-SEZ'!M347</f>
        <v>0</v>
      </c>
      <c r="N348" s="512">
        <f>+'F1 SEZ'!N347+'F1 Non-SEZ'!N347</f>
        <v>0</v>
      </c>
      <c r="O348" s="544">
        <f>SUM(C348:N348)</f>
        <v>0</v>
      </c>
    </row>
    <row r="349" spans="2:15" x14ac:dyDescent="0.4">
      <c r="B349" s="429" t="s">
        <v>1132</v>
      </c>
      <c r="C349" s="512">
        <f>+'F1 SEZ'!C348+'F1 Non-SEZ'!C348</f>
        <v>0</v>
      </c>
      <c r="D349" s="512">
        <f>+'F1 SEZ'!D348+'F1 Non-SEZ'!D348</f>
        <v>0</v>
      </c>
      <c r="E349" s="512">
        <f>+'F1 SEZ'!E348+'F1 Non-SEZ'!E348</f>
        <v>0</v>
      </c>
      <c r="F349" s="512">
        <f>+'F1 SEZ'!F348+'F1 Non-SEZ'!F348</f>
        <v>0</v>
      </c>
      <c r="G349" s="512">
        <f>+'F1 SEZ'!G348+'F1 Non-SEZ'!G348</f>
        <v>0</v>
      </c>
      <c r="H349" s="512">
        <f>+'F1 SEZ'!H348+'F1 Non-SEZ'!H348</f>
        <v>0</v>
      </c>
      <c r="I349" s="512">
        <f>+'F1 SEZ'!I348+'F1 Non-SEZ'!I348</f>
        <v>0</v>
      </c>
      <c r="J349" s="512">
        <f>+'F1 SEZ'!J348+'F1 Non-SEZ'!J348</f>
        <v>0</v>
      </c>
      <c r="K349" s="512">
        <f>+'F1 SEZ'!K348+'F1 Non-SEZ'!K348</f>
        <v>0</v>
      </c>
      <c r="L349" s="512">
        <f>+'F1 SEZ'!L348+'F1 Non-SEZ'!L348</f>
        <v>0</v>
      </c>
      <c r="M349" s="512">
        <f>+'F1 SEZ'!M348+'F1 Non-SEZ'!M348</f>
        <v>0</v>
      </c>
      <c r="N349" s="512">
        <f>+'F1 SEZ'!N348+'F1 Non-SEZ'!N348</f>
        <v>0</v>
      </c>
      <c r="O349" s="544">
        <f>SUM(C349:N349)</f>
        <v>0</v>
      </c>
    </row>
    <row r="350" spans="2:15" x14ac:dyDescent="0.4">
      <c r="B350" s="518" t="s">
        <v>162</v>
      </c>
      <c r="C350" s="545">
        <f>SUM(C346:C349)</f>
        <v>19.274219307130657</v>
      </c>
      <c r="D350" s="545">
        <f t="shared" ref="D350:O350" si="53">SUM(D346:D349)</f>
        <v>19.927887606985479</v>
      </c>
      <c r="E350" s="545">
        <f t="shared" si="53"/>
        <v>19.258285456210103</v>
      </c>
      <c r="F350" s="545">
        <f t="shared" si="53"/>
        <v>20.507986972633621</v>
      </c>
      <c r="G350" s="545">
        <f t="shared" si="53"/>
        <v>20.497377398855427</v>
      </c>
      <c r="H350" s="545">
        <f t="shared" si="53"/>
        <v>19.839792752443685</v>
      </c>
      <c r="I350" s="545">
        <f t="shared" si="53"/>
        <v>21.090445714143968</v>
      </c>
      <c r="J350" s="545">
        <f t="shared" si="53"/>
        <v>20.3971089964333</v>
      </c>
      <c r="K350" s="545">
        <f t="shared" si="53"/>
        <v>21.098289901342095</v>
      </c>
      <c r="L350" s="545">
        <f t="shared" si="53"/>
        <v>21.705423984905615</v>
      </c>
      <c r="M350" s="545">
        <f t="shared" si="53"/>
        <v>19.61555983703925</v>
      </c>
      <c r="N350" s="545">
        <f t="shared" si="53"/>
        <v>21.730616851233361</v>
      </c>
      <c r="O350" s="545">
        <f t="shared" si="53"/>
        <v>244.94299477935658</v>
      </c>
    </row>
    <row r="351" spans="2:15" x14ac:dyDescent="0.4">
      <c r="B351" s="517" t="s">
        <v>163</v>
      </c>
      <c r="C351" s="545"/>
      <c r="D351" s="545"/>
      <c r="E351" s="545"/>
      <c r="F351" s="545"/>
      <c r="G351" s="545"/>
      <c r="H351" s="545"/>
      <c r="I351" s="545"/>
      <c r="J351" s="545"/>
      <c r="K351" s="545"/>
      <c r="L351" s="545"/>
      <c r="M351" s="545"/>
      <c r="N351" s="545"/>
      <c r="O351" s="545"/>
    </row>
    <row r="352" spans="2:15" x14ac:dyDescent="0.4">
      <c r="B352" s="519" t="s">
        <v>1133</v>
      </c>
      <c r="C352" s="546"/>
      <c r="D352" s="546"/>
      <c r="E352" s="547"/>
      <c r="F352" s="546"/>
      <c r="G352" s="547"/>
      <c r="H352" s="547"/>
      <c r="I352" s="543"/>
      <c r="J352" s="545"/>
      <c r="K352" s="547"/>
      <c r="L352" s="545"/>
      <c r="M352" s="545"/>
      <c r="N352" s="548"/>
      <c r="O352" s="544">
        <f t="shared" ref="O352:O365" si="54">SUM(C352:N352)</f>
        <v>0</v>
      </c>
    </row>
    <row r="353" spans="2:15" x14ac:dyDescent="0.4">
      <c r="B353" s="520" t="s">
        <v>1106</v>
      </c>
      <c r="C353" s="512">
        <f>+'F1 SEZ'!C352+'F1 Non-SEZ'!C352</f>
        <v>0.20203307466169454</v>
      </c>
      <c r="D353" s="512">
        <f>+'F1 SEZ'!D352+'F1 Non-SEZ'!D352</f>
        <v>0.21606805981709915</v>
      </c>
      <c r="E353" s="512">
        <f>+'F1 SEZ'!E352+'F1 Non-SEZ'!E352</f>
        <v>0.21718555526132166</v>
      </c>
      <c r="F353" s="512">
        <f>+'F1 SEZ'!F352+'F1 Non-SEZ'!F352</f>
        <v>0.214357092216058</v>
      </c>
      <c r="G353" s="512">
        <f>+'F1 SEZ'!G352+'F1 Non-SEZ'!G352</f>
        <v>0.21567241171255341</v>
      </c>
      <c r="H353" s="512">
        <f>+'F1 SEZ'!H352+'F1 Non-SEZ'!H352</f>
        <v>0.22100524307914432</v>
      </c>
      <c r="I353" s="512">
        <f>+'F1 SEZ'!I352+'F1 Non-SEZ'!I352</f>
        <v>0.22656325714353531</v>
      </c>
      <c r="J353" s="512">
        <f>+'F1 SEZ'!J352+'F1 Non-SEZ'!J352</f>
        <v>0.2269694278040531</v>
      </c>
      <c r="K353" s="512">
        <f>+'F1 SEZ'!K352+'F1 Non-SEZ'!K352</f>
        <v>0.22222375506069769</v>
      </c>
      <c r="L353" s="512">
        <f>+'F1 SEZ'!L352+'F1 Non-SEZ'!L352</f>
        <v>0.23034295924866452</v>
      </c>
      <c r="M353" s="512">
        <f>+'F1 SEZ'!M352+'F1 Non-SEZ'!M352</f>
        <v>0.23112162839058981</v>
      </c>
      <c r="N353" s="512">
        <f>+'F1 SEZ'!N352+'F1 Non-SEZ'!N352</f>
        <v>0.24605944884838885</v>
      </c>
      <c r="O353" s="544">
        <f t="shared" si="54"/>
        <v>2.6696019132437998</v>
      </c>
    </row>
    <row r="354" spans="2:15" x14ac:dyDescent="0.4">
      <c r="B354" s="520" t="s">
        <v>1107</v>
      </c>
      <c r="C354" s="512">
        <f>+'F1 SEZ'!C353+'F1 Non-SEZ'!C353</f>
        <v>0.23444149337003384</v>
      </c>
      <c r="D354" s="512">
        <f>+'F1 SEZ'!D353+'F1 Non-SEZ'!D353</f>
        <v>0.26563757846267566</v>
      </c>
      <c r="E354" s="512">
        <f>+'F1 SEZ'!E353+'F1 Non-SEZ'!E353</f>
        <v>0.2456436011247527</v>
      </c>
      <c r="F354" s="512">
        <f>+'F1 SEZ'!F353+'F1 Non-SEZ'!F353</f>
        <v>0.19824353690784308</v>
      </c>
      <c r="G354" s="512">
        <f>+'F1 SEZ'!G353+'F1 Non-SEZ'!G353</f>
        <v>0.19967539977674942</v>
      </c>
      <c r="H354" s="512">
        <f>+'F1 SEZ'!H353+'F1 Non-SEZ'!H353</f>
        <v>0.19771285996855839</v>
      </c>
      <c r="I354" s="512">
        <f>+'F1 SEZ'!I353+'F1 Non-SEZ'!I353</f>
        <v>0.22730726557172273</v>
      </c>
      <c r="J354" s="512">
        <f>+'F1 SEZ'!J353+'F1 Non-SEZ'!J353</f>
        <v>0.20902689231410818</v>
      </c>
      <c r="K354" s="512">
        <f>+'F1 SEZ'!K353+'F1 Non-SEZ'!K353</f>
        <v>0.1667830782127212</v>
      </c>
      <c r="L354" s="512">
        <f>+'F1 SEZ'!L353+'F1 Non-SEZ'!L353</f>
        <v>0.18110749610475885</v>
      </c>
      <c r="M354" s="512">
        <f>+'F1 SEZ'!M353+'F1 Non-SEZ'!M353</f>
        <v>0.18971604092711905</v>
      </c>
      <c r="N354" s="512">
        <f>+'F1 SEZ'!N353+'F1 Non-SEZ'!N353</f>
        <v>0.26991579946047278</v>
      </c>
      <c r="O354" s="544">
        <f t="shared" si="54"/>
        <v>2.5852110422015162</v>
      </c>
    </row>
    <row r="355" spans="2:15" x14ac:dyDescent="0.4">
      <c r="B355" s="520" t="s">
        <v>1108</v>
      </c>
      <c r="C355" s="512">
        <f>+'F1 SEZ'!C354+'F1 Non-SEZ'!C354</f>
        <v>0.10636350087006206</v>
      </c>
      <c r="D355" s="512">
        <f>+'F1 SEZ'!D354+'F1 Non-SEZ'!D354</f>
        <v>0.14954460653921839</v>
      </c>
      <c r="E355" s="512">
        <f>+'F1 SEZ'!E354+'F1 Non-SEZ'!E354</f>
        <v>0.10532322401067475</v>
      </c>
      <c r="F355" s="512">
        <f>+'F1 SEZ'!F354+'F1 Non-SEZ'!F354</f>
        <v>5.4958088736102473E-2</v>
      </c>
      <c r="G355" s="512">
        <f>+'F1 SEZ'!G354+'F1 Non-SEZ'!G354</f>
        <v>5.7643576561344355E-2</v>
      </c>
      <c r="H355" s="512">
        <f>+'F1 SEZ'!H354+'F1 Non-SEZ'!H354</f>
        <v>5.6139983117524037E-2</v>
      </c>
      <c r="I355" s="512">
        <f>+'F1 SEZ'!I354+'F1 Non-SEZ'!I354</f>
        <v>7.8146646695857122E-2</v>
      </c>
      <c r="J355" s="512">
        <f>+'F1 SEZ'!J354+'F1 Non-SEZ'!J354</f>
        <v>6.6088176949312016E-2</v>
      </c>
      <c r="K355" s="512">
        <f>+'F1 SEZ'!K354+'F1 Non-SEZ'!K354</f>
        <v>3.521555714584769E-2</v>
      </c>
      <c r="L355" s="512">
        <f>+'F1 SEZ'!L354+'F1 Non-SEZ'!L354</f>
        <v>4.1992217829856508E-2</v>
      </c>
      <c r="M355" s="512">
        <f>+'F1 SEZ'!M354+'F1 Non-SEZ'!M354</f>
        <v>4.6973308203628723E-2</v>
      </c>
      <c r="N355" s="512">
        <f>+'F1 SEZ'!N354+'F1 Non-SEZ'!N354</f>
        <v>0.10709956231174621</v>
      </c>
      <c r="O355" s="544">
        <f t="shared" si="54"/>
        <v>0.90548844897117431</v>
      </c>
    </row>
    <row r="356" spans="2:15" x14ac:dyDescent="0.4">
      <c r="B356" s="520" t="s">
        <v>1109</v>
      </c>
      <c r="C356" s="512">
        <f>+'F1 SEZ'!C355+'F1 Non-SEZ'!C355</f>
        <v>0.49830491791869241</v>
      </c>
      <c r="D356" s="512">
        <f>+'F1 SEZ'!D355+'F1 Non-SEZ'!D355</f>
        <v>0.64640377379154945</v>
      </c>
      <c r="E356" s="512">
        <f>+'F1 SEZ'!E355+'F1 Non-SEZ'!E355</f>
        <v>0.44692123260747491</v>
      </c>
      <c r="F356" s="512">
        <f>+'F1 SEZ'!F355+'F1 Non-SEZ'!F355</f>
        <v>0.41557462391886274</v>
      </c>
      <c r="G356" s="512">
        <f>+'F1 SEZ'!G355+'F1 Non-SEZ'!G355</f>
        <v>0.40198984872731225</v>
      </c>
      <c r="H356" s="512">
        <f>+'F1 SEZ'!H355+'F1 Non-SEZ'!H355</f>
        <v>0.41601206808367996</v>
      </c>
      <c r="I356" s="512">
        <f>+'F1 SEZ'!I355+'F1 Non-SEZ'!I355</f>
        <v>0.448919072116305</v>
      </c>
      <c r="J356" s="512">
        <f>+'F1 SEZ'!J355+'F1 Non-SEZ'!J355</f>
        <v>0.43557969243184719</v>
      </c>
      <c r="K356" s="512">
        <f>+'F1 SEZ'!K355+'F1 Non-SEZ'!K355</f>
        <v>0.37802911133369371</v>
      </c>
      <c r="L356" s="512">
        <f>+'F1 SEZ'!L355+'F1 Non-SEZ'!L355</f>
        <v>0.39403850082901803</v>
      </c>
      <c r="M356" s="512">
        <f>+'F1 SEZ'!M355+'F1 Non-SEZ'!M355</f>
        <v>0.36899215505076166</v>
      </c>
      <c r="N356" s="512">
        <f>+'F1 SEZ'!N355+'F1 Non-SEZ'!N355</f>
        <v>0.47142077317970971</v>
      </c>
      <c r="O356" s="544">
        <f t="shared" si="54"/>
        <v>5.3221857699889075</v>
      </c>
    </row>
    <row r="357" spans="2:15" x14ac:dyDescent="0.4">
      <c r="B357" s="520" t="s">
        <v>1110</v>
      </c>
      <c r="C357" s="512">
        <f>+'F1 SEZ'!C356+'F1 Non-SEZ'!C356</f>
        <v>0</v>
      </c>
      <c r="D357" s="512">
        <f>+'F1 SEZ'!D356+'F1 Non-SEZ'!D356</f>
        <v>0</v>
      </c>
      <c r="E357" s="512">
        <f>+'F1 SEZ'!E356+'F1 Non-SEZ'!E356</f>
        <v>0</v>
      </c>
      <c r="F357" s="512">
        <f>+'F1 SEZ'!F356+'F1 Non-SEZ'!F356</f>
        <v>0</v>
      </c>
      <c r="G357" s="512">
        <f>+'F1 SEZ'!G356+'F1 Non-SEZ'!G356</f>
        <v>0</v>
      </c>
      <c r="H357" s="512">
        <f>+'F1 SEZ'!H356+'F1 Non-SEZ'!H356</f>
        <v>0</v>
      </c>
      <c r="I357" s="512">
        <f>+'F1 SEZ'!I356+'F1 Non-SEZ'!I356</f>
        <v>0</v>
      </c>
      <c r="J357" s="512">
        <f>+'F1 SEZ'!J356+'F1 Non-SEZ'!J356</f>
        <v>0</v>
      </c>
      <c r="K357" s="512">
        <f>+'F1 SEZ'!K356+'F1 Non-SEZ'!K356</f>
        <v>0</v>
      </c>
      <c r="L357" s="512">
        <f>+'F1 SEZ'!L356+'F1 Non-SEZ'!L356</f>
        <v>0</v>
      </c>
      <c r="M357" s="512">
        <f>+'F1 SEZ'!M356+'F1 Non-SEZ'!M356</f>
        <v>0</v>
      </c>
      <c r="N357" s="512">
        <f>+'F1 SEZ'!N356+'F1 Non-SEZ'!N356</f>
        <v>0</v>
      </c>
      <c r="O357" s="544">
        <f t="shared" si="54"/>
        <v>0</v>
      </c>
    </row>
    <row r="358" spans="2:15" x14ac:dyDescent="0.4">
      <c r="B358" s="519" t="s">
        <v>1145</v>
      </c>
      <c r="C358" s="512">
        <f>+'F1 SEZ'!C357+'F1 Non-SEZ'!C357</f>
        <v>0</v>
      </c>
      <c r="D358" s="512">
        <f>+'F1 SEZ'!D357+'F1 Non-SEZ'!D357</f>
        <v>0</v>
      </c>
      <c r="E358" s="512">
        <f>+'F1 SEZ'!E357+'F1 Non-SEZ'!E357</f>
        <v>0</v>
      </c>
      <c r="F358" s="512">
        <f>+'F1 SEZ'!F357+'F1 Non-SEZ'!F357</f>
        <v>0</v>
      </c>
      <c r="G358" s="512">
        <f>+'F1 SEZ'!G357+'F1 Non-SEZ'!G357</f>
        <v>0</v>
      </c>
      <c r="H358" s="512">
        <f>+'F1 SEZ'!H357+'F1 Non-SEZ'!H357</f>
        <v>0</v>
      </c>
      <c r="I358" s="512">
        <f>+'F1 SEZ'!I357+'F1 Non-SEZ'!I357</f>
        <v>0</v>
      </c>
      <c r="J358" s="512">
        <f>+'F1 SEZ'!J357+'F1 Non-SEZ'!J357</f>
        <v>0</v>
      </c>
      <c r="K358" s="512">
        <f>+'F1 SEZ'!K357+'F1 Non-SEZ'!K357</f>
        <v>0</v>
      </c>
      <c r="L358" s="512">
        <f>+'F1 SEZ'!L357+'F1 Non-SEZ'!L357</f>
        <v>0</v>
      </c>
      <c r="M358" s="512">
        <f>+'F1 SEZ'!M357+'F1 Non-SEZ'!M357</f>
        <v>0</v>
      </c>
      <c r="N358" s="512">
        <f>+'F1 SEZ'!N357+'F1 Non-SEZ'!N357</f>
        <v>0</v>
      </c>
      <c r="O358" s="544">
        <f t="shared" si="54"/>
        <v>0</v>
      </c>
    </row>
    <row r="359" spans="2:15" x14ac:dyDescent="0.4">
      <c r="B359" s="520" t="s">
        <v>1140</v>
      </c>
      <c r="C359" s="512">
        <f>+'F1 SEZ'!C358+'F1 Non-SEZ'!C358</f>
        <v>3.7299069326934546E-2</v>
      </c>
      <c r="D359" s="512">
        <f>+'F1 SEZ'!D358+'F1 Non-SEZ'!D358</f>
        <v>4.8077990560332851E-2</v>
      </c>
      <c r="E359" s="512">
        <f>+'F1 SEZ'!E358+'F1 Non-SEZ'!E358</f>
        <v>4.0126469973306163E-2</v>
      </c>
      <c r="F359" s="512">
        <f>+'F1 SEZ'!F358+'F1 Non-SEZ'!F358</f>
        <v>3.8062902486169704E-2</v>
      </c>
      <c r="G359" s="512">
        <f>+'F1 SEZ'!G358+'F1 Non-SEZ'!G358</f>
        <v>3.9700184952776295E-2</v>
      </c>
      <c r="H359" s="512">
        <f>+'F1 SEZ'!H358+'F1 Non-SEZ'!H358</f>
        <v>3.6550895617433132E-2</v>
      </c>
      <c r="I359" s="512">
        <f>+'F1 SEZ'!I358+'F1 Non-SEZ'!I358</f>
        <v>3.7448704068834833E-2</v>
      </c>
      <c r="J359" s="512">
        <f>+'F1 SEZ'!J358+'F1 Non-SEZ'!J358</f>
        <v>3.7768852818947055E-2</v>
      </c>
      <c r="K359" s="512">
        <f>+'F1 SEZ'!K358+'F1 Non-SEZ'!K358</f>
        <v>3.129628026233016E-2</v>
      </c>
      <c r="L359" s="512">
        <f>+'F1 SEZ'!L358+'F1 Non-SEZ'!L358</f>
        <v>3.3004900222168274E-2</v>
      </c>
      <c r="M359" s="512">
        <f>+'F1 SEZ'!M358+'F1 Non-SEZ'!M358</f>
        <v>3.2237587185214495E-2</v>
      </c>
      <c r="N359" s="512">
        <f>+'F1 SEZ'!N358+'F1 Non-SEZ'!N358</f>
        <v>3.6918022716746608E-2</v>
      </c>
      <c r="O359" s="544">
        <f t="shared" si="54"/>
        <v>0.44849186019119414</v>
      </c>
    </row>
    <row r="360" spans="2:15" x14ac:dyDescent="0.4">
      <c r="B360" s="520" t="s">
        <v>1144</v>
      </c>
      <c r="C360" s="512">
        <f>+'F1 SEZ'!C359+'F1 Non-SEZ'!C359</f>
        <v>5.7217524078334629E-2</v>
      </c>
      <c r="D360" s="512">
        <f>+'F1 SEZ'!D359+'F1 Non-SEZ'!D359</f>
        <v>6.8054529828351557E-2</v>
      </c>
      <c r="E360" s="512">
        <f>+'F1 SEZ'!E359+'F1 Non-SEZ'!E359</f>
        <v>6.9231042609087426E-2</v>
      </c>
      <c r="F360" s="512">
        <f>+'F1 SEZ'!F359+'F1 Non-SEZ'!F359</f>
        <v>6.0813369698025886E-2</v>
      </c>
      <c r="G360" s="512">
        <f>+'F1 SEZ'!G359+'F1 Non-SEZ'!G359</f>
        <v>6.6240316288226714E-2</v>
      </c>
      <c r="H360" s="512">
        <f>+'F1 SEZ'!H359+'F1 Non-SEZ'!H359</f>
        <v>6.2609796670620596E-2</v>
      </c>
      <c r="I360" s="512">
        <f>+'F1 SEZ'!I359+'F1 Non-SEZ'!I359</f>
        <v>7.3481247547279041E-2</v>
      </c>
      <c r="J360" s="512">
        <f>+'F1 SEZ'!J359+'F1 Non-SEZ'!J359</f>
        <v>6.0359125612187557E-2</v>
      </c>
      <c r="K360" s="512">
        <f>+'F1 SEZ'!K359+'F1 Non-SEZ'!K359</f>
        <v>5.8274942057179896E-2</v>
      </c>
      <c r="L360" s="512">
        <f>+'F1 SEZ'!L359+'F1 Non-SEZ'!L359</f>
        <v>6.563648847729589E-2</v>
      </c>
      <c r="M360" s="512">
        <f>+'F1 SEZ'!M359+'F1 Non-SEZ'!M359</f>
        <v>6.2938537558914071E-2</v>
      </c>
      <c r="N360" s="512">
        <f>+'F1 SEZ'!N359+'F1 Non-SEZ'!N359</f>
        <v>8.3030394642067754E-2</v>
      </c>
      <c r="O360" s="544">
        <f t="shared" si="54"/>
        <v>0.78788731506757104</v>
      </c>
    </row>
    <row r="361" spans="2:15" x14ac:dyDescent="0.4">
      <c r="B361" s="520" t="s">
        <v>1143</v>
      </c>
      <c r="C361" s="512">
        <f>+'F1 SEZ'!C360+'F1 Non-SEZ'!C360</f>
        <v>2.1580837853331775E-2</v>
      </c>
      <c r="D361" s="512">
        <f>+'F1 SEZ'!D360+'F1 Non-SEZ'!D360</f>
        <v>1.6990614113322519E-2</v>
      </c>
      <c r="E361" s="512">
        <f>+'F1 SEZ'!E360+'F1 Non-SEZ'!E360</f>
        <v>2.7083724492694059E-2</v>
      </c>
      <c r="F361" s="512">
        <f>+'F1 SEZ'!F360+'F1 Non-SEZ'!F360</f>
        <v>2.2459220949787091E-2</v>
      </c>
      <c r="G361" s="512">
        <f>+'F1 SEZ'!G360+'F1 Non-SEZ'!G360</f>
        <v>2.5078476632336522E-2</v>
      </c>
      <c r="H361" s="512">
        <f>+'F1 SEZ'!H360+'F1 Non-SEZ'!H360</f>
        <v>2.0080084699732194E-2</v>
      </c>
      <c r="I361" s="512">
        <f>+'F1 SEZ'!I360+'F1 Non-SEZ'!I360</f>
        <v>2.3034955465850826E-2</v>
      </c>
      <c r="J361" s="512">
        <f>+'F1 SEZ'!J360+'F1 Non-SEZ'!J360</f>
        <v>1.5343789868407485E-2</v>
      </c>
      <c r="K361" s="512">
        <f>+'F1 SEZ'!K360+'F1 Non-SEZ'!K360</f>
        <v>1.1654811360797044E-2</v>
      </c>
      <c r="L361" s="512">
        <f>+'F1 SEZ'!L360+'F1 Non-SEZ'!L360</f>
        <v>1.5653219363680321E-2</v>
      </c>
      <c r="M361" s="512">
        <f>+'F1 SEZ'!M360+'F1 Non-SEZ'!M360</f>
        <v>1.5914994840538679E-2</v>
      </c>
      <c r="N361" s="512">
        <f>+'F1 SEZ'!N360+'F1 Non-SEZ'!N360</f>
        <v>1.9755110024099184E-2</v>
      </c>
      <c r="O361" s="544">
        <f t="shared" si="54"/>
        <v>0.23462983966457771</v>
      </c>
    </row>
    <row r="362" spans="2:15" x14ac:dyDescent="0.4">
      <c r="B362" s="519" t="s">
        <v>1111</v>
      </c>
      <c r="C362" s="512">
        <f>+'F1 SEZ'!C361+'F1 Non-SEZ'!C361</f>
        <v>0.10735324514461919</v>
      </c>
      <c r="D362" s="512">
        <f>+'F1 SEZ'!D361+'F1 Non-SEZ'!D361</f>
        <v>0.11003750835857574</v>
      </c>
      <c r="E362" s="512">
        <f>+'F1 SEZ'!E361+'F1 Non-SEZ'!E361</f>
        <v>9.8496404080205407E-2</v>
      </c>
      <c r="F362" s="512">
        <f>+'F1 SEZ'!F361+'F1 Non-SEZ'!F361</f>
        <v>0.10807216061451701</v>
      </c>
      <c r="G362" s="512">
        <f>+'F1 SEZ'!G361+'F1 Non-SEZ'!G361</f>
        <v>0.11706090999625941</v>
      </c>
      <c r="H362" s="512">
        <f>+'F1 SEZ'!H361+'F1 Non-SEZ'!H361</f>
        <v>0.11634637361229799</v>
      </c>
      <c r="I362" s="512">
        <f>+'F1 SEZ'!I361+'F1 Non-SEZ'!I361</f>
        <v>0.11856102644559716</v>
      </c>
      <c r="J362" s="512">
        <f>+'F1 SEZ'!J361+'F1 Non-SEZ'!J361</f>
        <v>0.11443625359566047</v>
      </c>
      <c r="K362" s="512">
        <f>+'F1 SEZ'!K361+'F1 Non-SEZ'!K361</f>
        <v>0.12606761828894314</v>
      </c>
      <c r="L362" s="512">
        <f>+'F1 SEZ'!L361+'F1 Non-SEZ'!L361</f>
        <v>0.10239642267375783</v>
      </c>
      <c r="M362" s="512">
        <f>+'F1 SEZ'!M361+'F1 Non-SEZ'!M361</f>
        <v>9.4100617055428729E-2</v>
      </c>
      <c r="N362" s="512">
        <f>+'F1 SEZ'!N361+'F1 Non-SEZ'!N361</f>
        <v>9.3694992574065328E-2</v>
      </c>
      <c r="O362" s="544">
        <f t="shared" si="54"/>
        <v>1.3066235324399276</v>
      </c>
    </row>
    <row r="363" spans="2:15" x14ac:dyDescent="0.4">
      <c r="B363" s="519" t="s">
        <v>1135</v>
      </c>
      <c r="C363" s="512">
        <f>+'F1 SEZ'!C362+'F1 Non-SEZ'!C362</f>
        <v>4.3363469477037099E-2</v>
      </c>
      <c r="D363" s="512">
        <f>+'F1 SEZ'!D362+'F1 Non-SEZ'!D362</f>
        <v>3.980910306484816E-2</v>
      </c>
      <c r="E363" s="512">
        <f>+'F1 SEZ'!E362+'F1 Non-SEZ'!E362</f>
        <v>4.2277079623739264E-2</v>
      </c>
      <c r="F363" s="512">
        <f>+'F1 SEZ'!F362+'F1 Non-SEZ'!F362</f>
        <v>4.0971994467579709E-2</v>
      </c>
      <c r="G363" s="512">
        <f>+'F1 SEZ'!G362+'F1 Non-SEZ'!G362</f>
        <v>4.2093680635777182E-2</v>
      </c>
      <c r="H363" s="512">
        <f>+'F1 SEZ'!H362+'F1 Non-SEZ'!H362</f>
        <v>4.1262557882926834E-2</v>
      </c>
      <c r="I363" s="512">
        <f>+'F1 SEZ'!I362+'F1 Non-SEZ'!I362</f>
        <v>4.7416263110979205E-2</v>
      </c>
      <c r="J363" s="512">
        <f>+'F1 SEZ'!J362+'F1 Non-SEZ'!J362</f>
        <v>4.0089167456513371E-2</v>
      </c>
      <c r="K363" s="512">
        <f>+'F1 SEZ'!K362+'F1 Non-SEZ'!K362</f>
        <v>3.5449141620491259E-2</v>
      </c>
      <c r="L363" s="512">
        <f>+'F1 SEZ'!L362+'F1 Non-SEZ'!L362</f>
        <v>3.7467380809864927E-2</v>
      </c>
      <c r="M363" s="512">
        <f>+'F1 SEZ'!M362+'F1 Non-SEZ'!M362</f>
        <v>3.3649930206753068E-2</v>
      </c>
      <c r="N363" s="512">
        <f>+'F1 SEZ'!N362+'F1 Non-SEZ'!N362</f>
        <v>4.0650315809181395E-2</v>
      </c>
      <c r="O363" s="544">
        <f t="shared" si="54"/>
        <v>0.4845000841656914</v>
      </c>
    </row>
    <row r="364" spans="2:15" x14ac:dyDescent="0.4">
      <c r="B364" s="519" t="s">
        <v>1136</v>
      </c>
      <c r="C364" s="512">
        <f>+'F1 SEZ'!C363+'F1 Non-SEZ'!C363</f>
        <v>0</v>
      </c>
      <c r="D364" s="512">
        <f>+'F1 SEZ'!D363+'F1 Non-SEZ'!D363</f>
        <v>0</v>
      </c>
      <c r="E364" s="512">
        <f>+'F1 SEZ'!E363+'F1 Non-SEZ'!E363</f>
        <v>0</v>
      </c>
      <c r="F364" s="512">
        <f>+'F1 SEZ'!F363+'F1 Non-SEZ'!F363</f>
        <v>0</v>
      </c>
      <c r="G364" s="512">
        <f>+'F1 SEZ'!G363+'F1 Non-SEZ'!G363</f>
        <v>0</v>
      </c>
      <c r="H364" s="512">
        <f>+'F1 SEZ'!H363+'F1 Non-SEZ'!H363</f>
        <v>0</v>
      </c>
      <c r="I364" s="512">
        <f>+'F1 SEZ'!I363+'F1 Non-SEZ'!I363</f>
        <v>0</v>
      </c>
      <c r="J364" s="512">
        <f>+'F1 SEZ'!J363+'F1 Non-SEZ'!J363</f>
        <v>0</v>
      </c>
      <c r="K364" s="512">
        <f>+'F1 SEZ'!K363+'F1 Non-SEZ'!K363</f>
        <v>0</v>
      </c>
      <c r="L364" s="512">
        <f>+'F1 SEZ'!L363+'F1 Non-SEZ'!L363</f>
        <v>0</v>
      </c>
      <c r="M364" s="512">
        <f>+'F1 SEZ'!M363+'F1 Non-SEZ'!M363</f>
        <v>0</v>
      </c>
      <c r="N364" s="512">
        <f>+'F1 SEZ'!N363+'F1 Non-SEZ'!N363</f>
        <v>0</v>
      </c>
      <c r="O364" s="544">
        <f t="shared" si="54"/>
        <v>0</v>
      </c>
    </row>
    <row r="365" spans="2:15" x14ac:dyDescent="0.4">
      <c r="B365" s="566" t="s">
        <v>1142</v>
      </c>
      <c r="C365" s="512">
        <f>+'F1 SEZ'!C364+'F1 Non-SEZ'!C364</f>
        <v>1.8917459193021565E-3</v>
      </c>
      <c r="D365" s="512">
        <f>+'F1 SEZ'!D364+'F1 Non-SEZ'!D364</f>
        <v>2.0667845562747818E-3</v>
      </c>
      <c r="E365" s="512">
        <f>+'F1 SEZ'!E364+'F1 Non-SEZ'!E364</f>
        <v>1.8455811522302809E-3</v>
      </c>
      <c r="F365" s="512">
        <f>+'F1 SEZ'!F364+'F1 Non-SEZ'!F364</f>
        <v>1.8213061080119073E-3</v>
      </c>
      <c r="G365" s="512">
        <f>+'F1 SEZ'!G364+'F1 Non-SEZ'!G364</f>
        <v>1.5582050772686973E-3</v>
      </c>
      <c r="H365" s="512">
        <f>+'F1 SEZ'!H364+'F1 Non-SEZ'!H364</f>
        <v>1.4753882013601514E-3</v>
      </c>
      <c r="I365" s="512">
        <f>+'F1 SEZ'!I364+'F1 Non-SEZ'!I364</f>
        <v>2.0483115768376785E-3</v>
      </c>
      <c r="J365" s="512">
        <f>+'F1 SEZ'!J364+'F1 Non-SEZ'!J364</f>
        <v>2.382677556512358E-3</v>
      </c>
      <c r="K365" s="512">
        <f>+'F1 SEZ'!K364+'F1 Non-SEZ'!K364</f>
        <v>2.7790559978334399E-3</v>
      </c>
      <c r="L365" s="512">
        <f>+'F1 SEZ'!L364+'F1 Non-SEZ'!L364</f>
        <v>2.8382722532487308E-3</v>
      </c>
      <c r="M365" s="512">
        <f>+'F1 SEZ'!M364+'F1 Non-SEZ'!M364</f>
        <v>2.8977570993860106E-3</v>
      </c>
      <c r="N365" s="512">
        <f>+'F1 SEZ'!N364+'F1 Non-SEZ'!N364</f>
        <v>3.5793292108053701E-3</v>
      </c>
      <c r="O365" s="544">
        <f t="shared" si="54"/>
        <v>2.7184414709071562E-2</v>
      </c>
    </row>
    <row r="366" spans="2:15" x14ac:dyDescent="0.4">
      <c r="B366" s="175" t="s">
        <v>162</v>
      </c>
      <c r="C366" s="567">
        <f t="shared" ref="C366:O366" si="55">SUM(C353:C365)</f>
        <v>1.3098488786200424</v>
      </c>
      <c r="D366" s="567">
        <f t="shared" si="55"/>
        <v>1.562690549092248</v>
      </c>
      <c r="E366" s="567">
        <f t="shared" si="55"/>
        <v>1.2941339149354865</v>
      </c>
      <c r="F366" s="567">
        <f t="shared" si="55"/>
        <v>1.1553342961029576</v>
      </c>
      <c r="G366" s="567">
        <f t="shared" si="55"/>
        <v>1.1667130103606043</v>
      </c>
      <c r="H366" s="567">
        <f t="shared" si="55"/>
        <v>1.1691952509332777</v>
      </c>
      <c r="I366" s="567">
        <f t="shared" si="55"/>
        <v>1.282926749742799</v>
      </c>
      <c r="J366" s="567">
        <f t="shared" si="55"/>
        <v>1.2080440564075487</v>
      </c>
      <c r="K366" s="567">
        <f t="shared" si="55"/>
        <v>1.067773351340535</v>
      </c>
      <c r="L366" s="567">
        <f t="shared" si="55"/>
        <v>1.104477857812314</v>
      </c>
      <c r="M366" s="567">
        <f t="shared" si="55"/>
        <v>1.0785425565183344</v>
      </c>
      <c r="N366" s="567">
        <f t="shared" si="55"/>
        <v>1.3721237487772833</v>
      </c>
      <c r="O366" s="567">
        <f t="shared" si="55"/>
        <v>14.77180422064343</v>
      </c>
    </row>
    <row r="367" spans="2:15" x14ac:dyDescent="0.4">
      <c r="B367" s="175"/>
      <c r="C367" s="26"/>
      <c r="D367" s="26"/>
      <c r="E367" s="26"/>
      <c r="F367" s="26"/>
      <c r="G367" s="26"/>
      <c r="H367" s="26"/>
      <c r="I367" s="26"/>
      <c r="J367" s="26"/>
      <c r="K367" s="26"/>
      <c r="L367" s="26"/>
      <c r="M367" s="26"/>
      <c r="N367" s="26"/>
      <c r="O367" s="26"/>
    </row>
    <row r="368" spans="2:15" x14ac:dyDescent="0.4">
      <c r="B368" s="119" t="s">
        <v>164</v>
      </c>
      <c r="C368" s="568">
        <f>+C366+C350</f>
        <v>20.584068185750699</v>
      </c>
      <c r="D368" s="568">
        <f t="shared" ref="D368:O368" si="56">+D366+D350</f>
        <v>21.490578156077728</v>
      </c>
      <c r="E368" s="568">
        <f t="shared" si="56"/>
        <v>20.552419371145589</v>
      </c>
      <c r="F368" s="568">
        <f t="shared" si="56"/>
        <v>21.663321268736578</v>
      </c>
      <c r="G368" s="568">
        <f t="shared" si="56"/>
        <v>21.66409040921603</v>
      </c>
      <c r="H368" s="568">
        <f t="shared" si="56"/>
        <v>21.008988003376963</v>
      </c>
      <c r="I368" s="568">
        <f t="shared" si="56"/>
        <v>22.373372463886767</v>
      </c>
      <c r="J368" s="568">
        <f t="shared" si="56"/>
        <v>21.605153052840848</v>
      </c>
      <c r="K368" s="568">
        <f t="shared" si="56"/>
        <v>22.16606325268263</v>
      </c>
      <c r="L368" s="568">
        <f t="shared" si="56"/>
        <v>22.809901842717927</v>
      </c>
      <c r="M368" s="568">
        <f t="shared" si="56"/>
        <v>20.694102393557586</v>
      </c>
      <c r="N368" s="568">
        <f t="shared" si="56"/>
        <v>23.102740600010645</v>
      </c>
      <c r="O368" s="568">
        <f t="shared" si="56"/>
        <v>259.71479900000003</v>
      </c>
    </row>
    <row r="369" spans="2:15" x14ac:dyDescent="0.4">
      <c r="B369" s="118"/>
      <c r="E369" s="198"/>
      <c r="F369" s="199"/>
      <c r="G369" s="198"/>
      <c r="H369" s="198"/>
      <c r="I369" s="198"/>
      <c r="J369" s="198"/>
      <c r="K369" s="198"/>
      <c r="L369" s="198"/>
      <c r="M369" s="198"/>
      <c r="N369" s="198"/>
      <c r="O369" s="199"/>
    </row>
    <row r="370" spans="2:15" x14ac:dyDescent="0.4">
      <c r="B370" s="32" t="s">
        <v>193</v>
      </c>
      <c r="C370" s="8"/>
      <c r="D370" s="8"/>
      <c r="E370" s="8"/>
      <c r="F370" s="8"/>
      <c r="G370" s="8"/>
      <c r="H370" s="8"/>
      <c r="I370" s="8"/>
      <c r="J370" s="8"/>
      <c r="K370" s="8"/>
      <c r="L370" s="8"/>
      <c r="M370" s="8"/>
      <c r="N370" s="8"/>
      <c r="O370" s="4"/>
    </row>
    <row r="371" spans="2:15" x14ac:dyDescent="0.4">
      <c r="B371" s="32"/>
      <c r="C371" s="38"/>
      <c r="D371" s="38"/>
      <c r="O371" s="38" t="s">
        <v>171</v>
      </c>
    </row>
    <row r="372" spans="2:15" s="51" customFormat="1" ht="27" x14ac:dyDescent="0.35">
      <c r="B372" s="169" t="s">
        <v>160</v>
      </c>
      <c r="C372" s="106" t="s">
        <v>172</v>
      </c>
      <c r="D372" s="106" t="s">
        <v>173</v>
      </c>
      <c r="E372" s="64" t="s">
        <v>174</v>
      </c>
      <c r="F372" s="64" t="s">
        <v>175</v>
      </c>
      <c r="G372" s="64" t="s">
        <v>176</v>
      </c>
      <c r="H372" s="64" t="s">
        <v>177</v>
      </c>
      <c r="I372" s="64" t="s">
        <v>178</v>
      </c>
      <c r="J372" s="64" t="s">
        <v>179</v>
      </c>
      <c r="K372" s="64" t="s">
        <v>180</v>
      </c>
      <c r="L372" s="64" t="s">
        <v>181</v>
      </c>
      <c r="M372" s="64" t="s">
        <v>182</v>
      </c>
      <c r="N372" s="64" t="s">
        <v>183</v>
      </c>
      <c r="O372" s="158" t="s">
        <v>188</v>
      </c>
    </row>
    <row r="373" spans="2:15" x14ac:dyDescent="0.4">
      <c r="B373" s="517" t="s">
        <v>161</v>
      </c>
      <c r="C373" s="78"/>
      <c r="D373" s="78"/>
      <c r="E373" s="78"/>
      <c r="F373" s="3"/>
      <c r="G373" s="3"/>
      <c r="H373" s="2"/>
      <c r="I373" s="43"/>
      <c r="J373" s="44"/>
      <c r="K373" s="124"/>
      <c r="L373" s="124"/>
      <c r="M373" s="2"/>
      <c r="N373" s="2"/>
      <c r="O373" s="2"/>
    </row>
    <row r="374" spans="2:15" x14ac:dyDescent="0.4">
      <c r="B374" s="429" t="s">
        <v>1129</v>
      </c>
      <c r="C374" s="512">
        <f>+'F1 SEZ'!C373+'F1 Non-SEZ'!C373</f>
        <v>20.923200000000001</v>
      </c>
      <c r="D374" s="512">
        <f>+'F1 SEZ'!D373+'F1 Non-SEZ'!D373</f>
        <v>21.622319000000001</v>
      </c>
      <c r="E374" s="512">
        <f>+'F1 SEZ'!E373+'F1 Non-SEZ'!E373</f>
        <v>20.922000000000004</v>
      </c>
      <c r="F374" s="512">
        <f>+'F1 SEZ'!F373+'F1 Non-SEZ'!F373</f>
        <v>22.204319999999999</v>
      </c>
      <c r="G374" s="512">
        <f>+'F1 SEZ'!G373+'F1 Non-SEZ'!G373</f>
        <v>22.203119999999998</v>
      </c>
      <c r="H374" s="512">
        <f>+'F1 SEZ'!H373+'F1 Non-SEZ'!H373</f>
        <v>21.488400000000002</v>
      </c>
      <c r="I374" s="512">
        <f>+'F1 SEZ'!I373+'F1 Non-SEZ'!I373</f>
        <v>22.799519999999998</v>
      </c>
      <c r="J374" s="512">
        <f>+'F1 SEZ'!J373+'F1 Non-SEZ'!J373</f>
        <v>22.064400000000003</v>
      </c>
      <c r="K374" s="512">
        <f>+'F1 SEZ'!K373+'F1 Non-SEZ'!K373</f>
        <v>22.798319999999997</v>
      </c>
      <c r="L374" s="512">
        <f>+'F1 SEZ'!L373+'F1 Non-SEZ'!L373</f>
        <v>23.39592</v>
      </c>
      <c r="M374" s="512">
        <f>+'F1 SEZ'!M373+'F1 Non-SEZ'!M373</f>
        <v>21.140160000000005</v>
      </c>
      <c r="N374" s="512">
        <f>+'F1 SEZ'!N373+'F1 Non-SEZ'!N373</f>
        <v>23.409120000000001</v>
      </c>
      <c r="O374" s="544">
        <f>SUM(C374:N374)</f>
        <v>264.970799</v>
      </c>
    </row>
    <row r="375" spans="2:15" x14ac:dyDescent="0.4">
      <c r="B375" s="429" t="s">
        <v>1130</v>
      </c>
      <c r="C375" s="512">
        <f>+'F1 SEZ'!C374+'F1 Non-SEZ'!C374</f>
        <v>7.9019307130657634E-2</v>
      </c>
      <c r="D375" s="512">
        <f>+'F1 SEZ'!D374+'F1 Non-SEZ'!D374</f>
        <v>9.1168606985481029E-2</v>
      </c>
      <c r="E375" s="512">
        <f>+'F1 SEZ'!E374+'F1 Non-SEZ'!E374</f>
        <v>6.4285456210099345E-2</v>
      </c>
      <c r="F375" s="512">
        <f>+'F1 SEZ'!F374+'F1 Non-SEZ'!F374</f>
        <v>8.9266972633622363E-2</v>
      </c>
      <c r="G375" s="512">
        <f>+'F1 SEZ'!G374+'F1 Non-SEZ'!G374</f>
        <v>7.9857398855432665E-2</v>
      </c>
      <c r="H375" s="512">
        <f>+'F1 SEZ'!H374+'F1 Non-SEZ'!H374</f>
        <v>7.9392752443683726E-2</v>
      </c>
      <c r="I375" s="512">
        <f>+'F1 SEZ'!I374+'F1 Non-SEZ'!I374</f>
        <v>7.6525714143970081E-2</v>
      </c>
      <c r="J375" s="512">
        <f>+'F1 SEZ'!J374+'F1 Non-SEZ'!J374</f>
        <v>6.0708996433297545E-2</v>
      </c>
      <c r="K375" s="512">
        <f>+'F1 SEZ'!K374+'F1 Non-SEZ'!K374</f>
        <v>8.5569901342093829E-2</v>
      </c>
      <c r="L375" s="512">
        <f>+'F1 SEZ'!L374+'F1 Non-SEZ'!L374</f>
        <v>9.5103984905612823E-2</v>
      </c>
      <c r="M375" s="512">
        <f>+'F1 SEZ'!M374+'F1 Non-SEZ'!M374</f>
        <v>8.8199837039244638E-2</v>
      </c>
      <c r="N375" s="512">
        <f>+'F1 SEZ'!N374+'F1 Non-SEZ'!N374</f>
        <v>0.10709685123335856</v>
      </c>
      <c r="O375" s="544">
        <f>SUM(C375:N375)</f>
        <v>0.99619577935655412</v>
      </c>
    </row>
    <row r="376" spans="2:15" x14ac:dyDescent="0.4">
      <c r="B376" s="429" t="s">
        <v>1131</v>
      </c>
      <c r="C376" s="512">
        <f>+'F1 SEZ'!C375+'F1 Non-SEZ'!C375</f>
        <v>0</v>
      </c>
      <c r="D376" s="512">
        <f>+'F1 SEZ'!D375+'F1 Non-SEZ'!D375</f>
        <v>0</v>
      </c>
      <c r="E376" s="512">
        <f>+'F1 SEZ'!E375+'F1 Non-SEZ'!E375</f>
        <v>0</v>
      </c>
      <c r="F376" s="512">
        <f>+'F1 SEZ'!F375+'F1 Non-SEZ'!F375</f>
        <v>0</v>
      </c>
      <c r="G376" s="512">
        <f>+'F1 SEZ'!G375+'F1 Non-SEZ'!G375</f>
        <v>0</v>
      </c>
      <c r="H376" s="512">
        <f>+'F1 SEZ'!H375+'F1 Non-SEZ'!H375</f>
        <v>0</v>
      </c>
      <c r="I376" s="512">
        <f>+'F1 SEZ'!I375+'F1 Non-SEZ'!I375</f>
        <v>0</v>
      </c>
      <c r="J376" s="512">
        <f>+'F1 SEZ'!J375+'F1 Non-SEZ'!J375</f>
        <v>0</v>
      </c>
      <c r="K376" s="512">
        <f>+'F1 SEZ'!K375+'F1 Non-SEZ'!K375</f>
        <v>0</v>
      </c>
      <c r="L376" s="512">
        <f>+'F1 SEZ'!L375+'F1 Non-SEZ'!L375</f>
        <v>0</v>
      </c>
      <c r="M376" s="512">
        <f>+'F1 SEZ'!M375+'F1 Non-SEZ'!M375</f>
        <v>0</v>
      </c>
      <c r="N376" s="512">
        <f>+'F1 SEZ'!N375+'F1 Non-SEZ'!N375</f>
        <v>0</v>
      </c>
      <c r="O376" s="544">
        <f>SUM(C376:N376)</f>
        <v>0</v>
      </c>
    </row>
    <row r="377" spans="2:15" x14ac:dyDescent="0.4">
      <c r="B377" s="429" t="s">
        <v>1132</v>
      </c>
      <c r="C377" s="512">
        <f>+'F1 SEZ'!C376+'F1 Non-SEZ'!C376</f>
        <v>0</v>
      </c>
      <c r="D377" s="512">
        <f>+'F1 SEZ'!D376+'F1 Non-SEZ'!D376</f>
        <v>0</v>
      </c>
      <c r="E377" s="512">
        <f>+'F1 SEZ'!E376+'F1 Non-SEZ'!E376</f>
        <v>0</v>
      </c>
      <c r="F377" s="512">
        <f>+'F1 SEZ'!F376+'F1 Non-SEZ'!F376</f>
        <v>0</v>
      </c>
      <c r="G377" s="512">
        <f>+'F1 SEZ'!G376+'F1 Non-SEZ'!G376</f>
        <v>0</v>
      </c>
      <c r="H377" s="512">
        <f>+'F1 SEZ'!H376+'F1 Non-SEZ'!H376</f>
        <v>0</v>
      </c>
      <c r="I377" s="512">
        <f>+'F1 SEZ'!I376+'F1 Non-SEZ'!I376</f>
        <v>0</v>
      </c>
      <c r="J377" s="512">
        <f>+'F1 SEZ'!J376+'F1 Non-SEZ'!J376</f>
        <v>0</v>
      </c>
      <c r="K377" s="512">
        <f>+'F1 SEZ'!K376+'F1 Non-SEZ'!K376</f>
        <v>0</v>
      </c>
      <c r="L377" s="512">
        <f>+'F1 SEZ'!L376+'F1 Non-SEZ'!L376</f>
        <v>0</v>
      </c>
      <c r="M377" s="512">
        <f>+'F1 SEZ'!M376+'F1 Non-SEZ'!M376</f>
        <v>0</v>
      </c>
      <c r="N377" s="512">
        <f>+'F1 SEZ'!N376+'F1 Non-SEZ'!N376</f>
        <v>0</v>
      </c>
      <c r="O377" s="544">
        <f>SUM(C377:N377)</f>
        <v>0</v>
      </c>
    </row>
    <row r="378" spans="2:15" x14ac:dyDescent="0.4">
      <c r="B378" s="518" t="s">
        <v>162</v>
      </c>
      <c r="C378" s="545">
        <f>SUM(C374:C377)</f>
        <v>21.002219307130659</v>
      </c>
      <c r="D378" s="545">
        <f t="shared" ref="D378:O378" si="57">SUM(D374:D377)</f>
        <v>21.713487606985481</v>
      </c>
      <c r="E378" s="545">
        <f t="shared" si="57"/>
        <v>20.986285456210105</v>
      </c>
      <c r="F378" s="545">
        <f t="shared" si="57"/>
        <v>22.293586972633623</v>
      </c>
      <c r="G378" s="545">
        <f t="shared" si="57"/>
        <v>22.282977398855429</v>
      </c>
      <c r="H378" s="545">
        <f t="shared" si="57"/>
        <v>21.567792752443687</v>
      </c>
      <c r="I378" s="545">
        <f t="shared" si="57"/>
        <v>22.876045714143967</v>
      </c>
      <c r="J378" s="545">
        <f t="shared" si="57"/>
        <v>22.125108996433301</v>
      </c>
      <c r="K378" s="545">
        <f t="shared" si="57"/>
        <v>22.883889901342091</v>
      </c>
      <c r="L378" s="545">
        <f t="shared" si="57"/>
        <v>23.491023984905613</v>
      </c>
      <c r="M378" s="545">
        <f t="shared" si="57"/>
        <v>21.22835983703925</v>
      </c>
      <c r="N378" s="545">
        <f t="shared" si="57"/>
        <v>23.516216851233359</v>
      </c>
      <c r="O378" s="545">
        <f t="shared" si="57"/>
        <v>265.96699477935653</v>
      </c>
    </row>
    <row r="379" spans="2:15" x14ac:dyDescent="0.4">
      <c r="B379" s="517" t="s">
        <v>163</v>
      </c>
      <c r="C379" s="545"/>
      <c r="D379" s="545"/>
      <c r="E379" s="545"/>
      <c r="F379" s="545"/>
      <c r="G379" s="545"/>
      <c r="H379" s="545"/>
      <c r="I379" s="545"/>
      <c r="J379" s="545"/>
      <c r="K379" s="545"/>
      <c r="L379" s="545"/>
      <c r="M379" s="545"/>
      <c r="N379" s="545"/>
      <c r="O379" s="545"/>
    </row>
    <row r="380" spans="2:15" x14ac:dyDescent="0.4">
      <c r="B380" s="519" t="s">
        <v>1133</v>
      </c>
      <c r="C380" s="546"/>
      <c r="D380" s="546"/>
      <c r="E380" s="547"/>
      <c r="F380" s="546"/>
      <c r="G380" s="547"/>
      <c r="H380" s="547"/>
      <c r="I380" s="543"/>
      <c r="J380" s="545"/>
      <c r="K380" s="547"/>
      <c r="L380" s="545"/>
      <c r="M380" s="545"/>
      <c r="N380" s="548"/>
      <c r="O380" s="544">
        <f t="shared" ref="O380:O393" si="58">SUM(C380:N380)</f>
        <v>0</v>
      </c>
    </row>
    <row r="381" spans="2:15" x14ac:dyDescent="0.4">
      <c r="B381" s="520" t="s">
        <v>1106</v>
      </c>
      <c r="C381" s="512">
        <f>+'F1 SEZ'!C380+'F1 Non-SEZ'!C380</f>
        <v>0.20203307466169457</v>
      </c>
      <c r="D381" s="512">
        <f>+'F1 SEZ'!D380+'F1 Non-SEZ'!D380</f>
        <v>0.21606805981709917</v>
      </c>
      <c r="E381" s="512">
        <f>+'F1 SEZ'!E380+'F1 Non-SEZ'!E380</f>
        <v>0.21718555526132169</v>
      </c>
      <c r="F381" s="512">
        <f>+'F1 SEZ'!F380+'F1 Non-SEZ'!F380</f>
        <v>0.21435709221605806</v>
      </c>
      <c r="G381" s="512">
        <f>+'F1 SEZ'!G380+'F1 Non-SEZ'!G380</f>
        <v>0.21567241171255344</v>
      </c>
      <c r="H381" s="512">
        <f>+'F1 SEZ'!H380+'F1 Non-SEZ'!H380</f>
        <v>0.22100524307914435</v>
      </c>
      <c r="I381" s="512">
        <f>+'F1 SEZ'!I380+'F1 Non-SEZ'!I380</f>
        <v>0.22656325714353534</v>
      </c>
      <c r="J381" s="512">
        <f>+'F1 SEZ'!J380+'F1 Non-SEZ'!J380</f>
        <v>0.22696942780405316</v>
      </c>
      <c r="K381" s="512">
        <f>+'F1 SEZ'!K380+'F1 Non-SEZ'!K380</f>
        <v>0.22222375506069775</v>
      </c>
      <c r="L381" s="512">
        <f>+'F1 SEZ'!L380+'F1 Non-SEZ'!L380</f>
        <v>0.23034295924866457</v>
      </c>
      <c r="M381" s="512">
        <f>+'F1 SEZ'!M380+'F1 Non-SEZ'!M380</f>
        <v>0.23112162839058983</v>
      </c>
      <c r="N381" s="512">
        <f>+'F1 SEZ'!N380+'F1 Non-SEZ'!N380</f>
        <v>0.2460594488483889</v>
      </c>
      <c r="O381" s="544">
        <f t="shared" si="58"/>
        <v>2.6696019132438007</v>
      </c>
    </row>
    <row r="382" spans="2:15" x14ac:dyDescent="0.4">
      <c r="B382" s="520" t="s">
        <v>1107</v>
      </c>
      <c r="C382" s="512">
        <f>+'F1 SEZ'!C381+'F1 Non-SEZ'!C381</f>
        <v>0.23444149337003384</v>
      </c>
      <c r="D382" s="512">
        <f>+'F1 SEZ'!D381+'F1 Non-SEZ'!D381</f>
        <v>0.26563757846267566</v>
      </c>
      <c r="E382" s="512">
        <f>+'F1 SEZ'!E381+'F1 Non-SEZ'!E381</f>
        <v>0.24564360112475273</v>
      </c>
      <c r="F382" s="512">
        <f>+'F1 SEZ'!F381+'F1 Non-SEZ'!F381</f>
        <v>0.1982435369078431</v>
      </c>
      <c r="G382" s="512">
        <f>+'F1 SEZ'!G381+'F1 Non-SEZ'!G381</f>
        <v>0.19967539977674942</v>
      </c>
      <c r="H382" s="512">
        <f>+'F1 SEZ'!H381+'F1 Non-SEZ'!H381</f>
        <v>0.19771285996855836</v>
      </c>
      <c r="I382" s="512">
        <f>+'F1 SEZ'!I381+'F1 Non-SEZ'!I381</f>
        <v>0.22730726557172271</v>
      </c>
      <c r="J382" s="512">
        <f>+'F1 SEZ'!J381+'F1 Non-SEZ'!J381</f>
        <v>0.20902689231410815</v>
      </c>
      <c r="K382" s="512">
        <f>+'F1 SEZ'!K381+'F1 Non-SEZ'!K381</f>
        <v>0.1667830782127212</v>
      </c>
      <c r="L382" s="512">
        <f>+'F1 SEZ'!L381+'F1 Non-SEZ'!L381</f>
        <v>0.18110749610475885</v>
      </c>
      <c r="M382" s="512">
        <f>+'F1 SEZ'!M381+'F1 Non-SEZ'!M381</f>
        <v>0.18971604092711905</v>
      </c>
      <c r="N382" s="512">
        <f>+'F1 SEZ'!N381+'F1 Non-SEZ'!N381</f>
        <v>0.26991579946047278</v>
      </c>
      <c r="O382" s="544">
        <f t="shared" si="58"/>
        <v>2.5852110422015158</v>
      </c>
    </row>
    <row r="383" spans="2:15" x14ac:dyDescent="0.4">
      <c r="B383" s="520" t="s">
        <v>1108</v>
      </c>
      <c r="C383" s="512">
        <f>+'F1 SEZ'!C382+'F1 Non-SEZ'!C382</f>
        <v>0.10636350087006209</v>
      </c>
      <c r="D383" s="512">
        <f>+'F1 SEZ'!D382+'F1 Non-SEZ'!D382</f>
        <v>0.14954460653921842</v>
      </c>
      <c r="E383" s="512">
        <f>+'F1 SEZ'!E382+'F1 Non-SEZ'!E382</f>
        <v>0.10532322401067476</v>
      </c>
      <c r="F383" s="512">
        <f>+'F1 SEZ'!F382+'F1 Non-SEZ'!F382</f>
        <v>5.4958088736102487E-2</v>
      </c>
      <c r="G383" s="512">
        <f>+'F1 SEZ'!G382+'F1 Non-SEZ'!G382</f>
        <v>5.7643576561344369E-2</v>
      </c>
      <c r="H383" s="512">
        <f>+'F1 SEZ'!H382+'F1 Non-SEZ'!H382</f>
        <v>5.613998311752405E-2</v>
      </c>
      <c r="I383" s="512">
        <f>+'F1 SEZ'!I382+'F1 Non-SEZ'!I382</f>
        <v>7.8146646695857136E-2</v>
      </c>
      <c r="J383" s="512">
        <f>+'F1 SEZ'!J382+'F1 Non-SEZ'!J382</f>
        <v>6.608817694931203E-2</v>
      </c>
      <c r="K383" s="512">
        <f>+'F1 SEZ'!K382+'F1 Non-SEZ'!K382</f>
        <v>3.5215557145847697E-2</v>
      </c>
      <c r="L383" s="512">
        <f>+'F1 SEZ'!L382+'F1 Non-SEZ'!L382</f>
        <v>4.1992217829856522E-2</v>
      </c>
      <c r="M383" s="512">
        <f>+'F1 SEZ'!M382+'F1 Non-SEZ'!M382</f>
        <v>4.697330820362873E-2</v>
      </c>
      <c r="N383" s="512">
        <f>+'F1 SEZ'!N382+'F1 Non-SEZ'!N382</f>
        <v>0.10709956231174624</v>
      </c>
      <c r="O383" s="544">
        <f t="shared" si="58"/>
        <v>0.90548844897117453</v>
      </c>
    </row>
    <row r="384" spans="2:15" x14ac:dyDescent="0.4">
      <c r="B384" s="520" t="s">
        <v>1109</v>
      </c>
      <c r="C384" s="512">
        <f>+'F1 SEZ'!C383+'F1 Non-SEZ'!C383</f>
        <v>0.49830491791869241</v>
      </c>
      <c r="D384" s="512">
        <f>+'F1 SEZ'!D383+'F1 Non-SEZ'!D383</f>
        <v>0.64640377379154945</v>
      </c>
      <c r="E384" s="512">
        <f>+'F1 SEZ'!E383+'F1 Non-SEZ'!E383</f>
        <v>0.44692123260747485</v>
      </c>
      <c r="F384" s="512">
        <f>+'F1 SEZ'!F383+'F1 Non-SEZ'!F383</f>
        <v>0.41557462391886268</v>
      </c>
      <c r="G384" s="512">
        <f>+'F1 SEZ'!G383+'F1 Non-SEZ'!G383</f>
        <v>0.40198984872731225</v>
      </c>
      <c r="H384" s="512">
        <f>+'F1 SEZ'!H383+'F1 Non-SEZ'!H383</f>
        <v>0.41601206808367996</v>
      </c>
      <c r="I384" s="512">
        <f>+'F1 SEZ'!I383+'F1 Non-SEZ'!I383</f>
        <v>0.448919072116305</v>
      </c>
      <c r="J384" s="512">
        <f>+'F1 SEZ'!J383+'F1 Non-SEZ'!J383</f>
        <v>0.43557969243184719</v>
      </c>
      <c r="K384" s="512">
        <f>+'F1 SEZ'!K383+'F1 Non-SEZ'!K383</f>
        <v>0.37802911133369371</v>
      </c>
      <c r="L384" s="512">
        <f>+'F1 SEZ'!L383+'F1 Non-SEZ'!L383</f>
        <v>0.39403850082901803</v>
      </c>
      <c r="M384" s="512">
        <f>+'F1 SEZ'!M383+'F1 Non-SEZ'!M383</f>
        <v>0.36899215505076166</v>
      </c>
      <c r="N384" s="512">
        <f>+'F1 SEZ'!N383+'F1 Non-SEZ'!N383</f>
        <v>0.47142077317970971</v>
      </c>
      <c r="O384" s="544">
        <f t="shared" si="58"/>
        <v>5.3221857699889075</v>
      </c>
    </row>
    <row r="385" spans="2:15" x14ac:dyDescent="0.4">
      <c r="B385" s="520" t="s">
        <v>1110</v>
      </c>
      <c r="C385" s="512">
        <f>+'F1 SEZ'!C384+'F1 Non-SEZ'!C384</f>
        <v>0</v>
      </c>
      <c r="D385" s="512">
        <f>+'F1 SEZ'!D384+'F1 Non-SEZ'!D384</f>
        <v>0</v>
      </c>
      <c r="E385" s="512">
        <f>+'F1 SEZ'!E384+'F1 Non-SEZ'!E384</f>
        <v>0</v>
      </c>
      <c r="F385" s="512">
        <f>+'F1 SEZ'!F384+'F1 Non-SEZ'!F384</f>
        <v>0</v>
      </c>
      <c r="G385" s="512">
        <f>+'F1 SEZ'!G384+'F1 Non-SEZ'!G384</f>
        <v>0</v>
      </c>
      <c r="H385" s="512">
        <f>+'F1 SEZ'!H384+'F1 Non-SEZ'!H384</f>
        <v>0</v>
      </c>
      <c r="I385" s="512">
        <f>+'F1 SEZ'!I384+'F1 Non-SEZ'!I384</f>
        <v>0</v>
      </c>
      <c r="J385" s="512">
        <f>+'F1 SEZ'!J384+'F1 Non-SEZ'!J384</f>
        <v>0</v>
      </c>
      <c r="K385" s="512">
        <f>+'F1 SEZ'!K384+'F1 Non-SEZ'!K384</f>
        <v>0</v>
      </c>
      <c r="L385" s="512">
        <f>+'F1 SEZ'!L384+'F1 Non-SEZ'!L384</f>
        <v>0</v>
      </c>
      <c r="M385" s="512">
        <f>+'F1 SEZ'!M384+'F1 Non-SEZ'!M384</f>
        <v>0</v>
      </c>
      <c r="N385" s="512">
        <f>+'F1 SEZ'!N384+'F1 Non-SEZ'!N384</f>
        <v>0</v>
      </c>
      <c r="O385" s="544">
        <f t="shared" si="58"/>
        <v>0</v>
      </c>
    </row>
    <row r="386" spans="2:15" x14ac:dyDescent="0.4">
      <c r="B386" s="519" t="s">
        <v>1145</v>
      </c>
      <c r="C386" s="512">
        <f>+'F1 SEZ'!C385+'F1 Non-SEZ'!C385</f>
        <v>0</v>
      </c>
      <c r="D386" s="512">
        <f>+'F1 SEZ'!D385+'F1 Non-SEZ'!D385</f>
        <v>0</v>
      </c>
      <c r="E386" s="512">
        <f>+'F1 SEZ'!E385+'F1 Non-SEZ'!E385</f>
        <v>0</v>
      </c>
      <c r="F386" s="512">
        <f>+'F1 SEZ'!F385+'F1 Non-SEZ'!F385</f>
        <v>0</v>
      </c>
      <c r="G386" s="512">
        <f>+'F1 SEZ'!G385+'F1 Non-SEZ'!G385</f>
        <v>0</v>
      </c>
      <c r="H386" s="512">
        <f>+'F1 SEZ'!H385+'F1 Non-SEZ'!H385</f>
        <v>0</v>
      </c>
      <c r="I386" s="512">
        <f>+'F1 SEZ'!I385+'F1 Non-SEZ'!I385</f>
        <v>0</v>
      </c>
      <c r="J386" s="512">
        <f>+'F1 SEZ'!J385+'F1 Non-SEZ'!J385</f>
        <v>0</v>
      </c>
      <c r="K386" s="512">
        <f>+'F1 SEZ'!K385+'F1 Non-SEZ'!K385</f>
        <v>0</v>
      </c>
      <c r="L386" s="512">
        <f>+'F1 SEZ'!L385+'F1 Non-SEZ'!L385</f>
        <v>0</v>
      </c>
      <c r="M386" s="512">
        <f>+'F1 SEZ'!M385+'F1 Non-SEZ'!M385</f>
        <v>0</v>
      </c>
      <c r="N386" s="512">
        <f>+'F1 SEZ'!N385+'F1 Non-SEZ'!N385</f>
        <v>0</v>
      </c>
      <c r="O386" s="544">
        <f t="shared" si="58"/>
        <v>0</v>
      </c>
    </row>
    <row r="387" spans="2:15" x14ac:dyDescent="0.4">
      <c r="B387" s="520" t="s">
        <v>1140</v>
      </c>
      <c r="C387" s="512">
        <f>+'F1 SEZ'!C386+'F1 Non-SEZ'!C386</f>
        <v>3.7299069326934546E-2</v>
      </c>
      <c r="D387" s="512">
        <f>+'F1 SEZ'!D386+'F1 Non-SEZ'!D386</f>
        <v>4.8077990560332851E-2</v>
      </c>
      <c r="E387" s="512">
        <f>+'F1 SEZ'!E386+'F1 Non-SEZ'!E386</f>
        <v>4.0126469973306163E-2</v>
      </c>
      <c r="F387" s="512">
        <f>+'F1 SEZ'!F386+'F1 Non-SEZ'!F386</f>
        <v>3.8062902486169704E-2</v>
      </c>
      <c r="G387" s="512">
        <f>+'F1 SEZ'!G386+'F1 Non-SEZ'!G386</f>
        <v>3.9700184952776295E-2</v>
      </c>
      <c r="H387" s="512">
        <f>+'F1 SEZ'!H386+'F1 Non-SEZ'!H386</f>
        <v>3.6550895617433132E-2</v>
      </c>
      <c r="I387" s="512">
        <f>+'F1 SEZ'!I386+'F1 Non-SEZ'!I386</f>
        <v>3.7448704068834833E-2</v>
      </c>
      <c r="J387" s="512">
        <f>+'F1 SEZ'!J386+'F1 Non-SEZ'!J386</f>
        <v>3.7768852818947055E-2</v>
      </c>
      <c r="K387" s="512">
        <f>+'F1 SEZ'!K386+'F1 Non-SEZ'!K386</f>
        <v>3.129628026233016E-2</v>
      </c>
      <c r="L387" s="512">
        <f>+'F1 SEZ'!L386+'F1 Non-SEZ'!L386</f>
        <v>3.3004900222168274E-2</v>
      </c>
      <c r="M387" s="512">
        <f>+'F1 SEZ'!M386+'F1 Non-SEZ'!M386</f>
        <v>3.2237587185214495E-2</v>
      </c>
      <c r="N387" s="512">
        <f>+'F1 SEZ'!N386+'F1 Non-SEZ'!N386</f>
        <v>3.6918022716746608E-2</v>
      </c>
      <c r="O387" s="544">
        <f t="shared" si="58"/>
        <v>0.44849186019119414</v>
      </c>
    </row>
    <row r="388" spans="2:15" x14ac:dyDescent="0.4">
      <c r="B388" s="520" t="s">
        <v>1144</v>
      </c>
      <c r="C388" s="512">
        <f>+'F1 SEZ'!C387+'F1 Non-SEZ'!C387</f>
        <v>5.7217524078334629E-2</v>
      </c>
      <c r="D388" s="512">
        <f>+'F1 SEZ'!D387+'F1 Non-SEZ'!D387</f>
        <v>6.8054529828351557E-2</v>
      </c>
      <c r="E388" s="512">
        <f>+'F1 SEZ'!E387+'F1 Non-SEZ'!E387</f>
        <v>6.9231042609087426E-2</v>
      </c>
      <c r="F388" s="512">
        <f>+'F1 SEZ'!F387+'F1 Non-SEZ'!F387</f>
        <v>6.0813369698025886E-2</v>
      </c>
      <c r="G388" s="512">
        <f>+'F1 SEZ'!G387+'F1 Non-SEZ'!G387</f>
        <v>6.6240316288226714E-2</v>
      </c>
      <c r="H388" s="512">
        <f>+'F1 SEZ'!H387+'F1 Non-SEZ'!H387</f>
        <v>6.2609796670620596E-2</v>
      </c>
      <c r="I388" s="512">
        <f>+'F1 SEZ'!I387+'F1 Non-SEZ'!I387</f>
        <v>7.3481247547279041E-2</v>
      </c>
      <c r="J388" s="512">
        <f>+'F1 SEZ'!J387+'F1 Non-SEZ'!J387</f>
        <v>6.0359125612187557E-2</v>
      </c>
      <c r="K388" s="512">
        <f>+'F1 SEZ'!K387+'F1 Non-SEZ'!K387</f>
        <v>5.8274942057179896E-2</v>
      </c>
      <c r="L388" s="512">
        <f>+'F1 SEZ'!L387+'F1 Non-SEZ'!L387</f>
        <v>6.563648847729589E-2</v>
      </c>
      <c r="M388" s="512">
        <f>+'F1 SEZ'!M387+'F1 Non-SEZ'!M387</f>
        <v>6.2938537558914071E-2</v>
      </c>
      <c r="N388" s="512">
        <f>+'F1 SEZ'!N387+'F1 Non-SEZ'!N387</f>
        <v>8.3030394642067754E-2</v>
      </c>
      <c r="O388" s="544">
        <f t="shared" si="58"/>
        <v>0.78788731506757104</v>
      </c>
    </row>
    <row r="389" spans="2:15" x14ac:dyDescent="0.4">
      <c r="B389" s="520" t="s">
        <v>1143</v>
      </c>
      <c r="C389" s="512">
        <f>+'F1 SEZ'!C388+'F1 Non-SEZ'!C388</f>
        <v>2.1580837853331775E-2</v>
      </c>
      <c r="D389" s="512">
        <f>+'F1 SEZ'!D388+'F1 Non-SEZ'!D388</f>
        <v>1.6990614113322519E-2</v>
      </c>
      <c r="E389" s="512">
        <f>+'F1 SEZ'!E388+'F1 Non-SEZ'!E388</f>
        <v>2.7083724492694059E-2</v>
      </c>
      <c r="F389" s="512">
        <f>+'F1 SEZ'!F388+'F1 Non-SEZ'!F388</f>
        <v>2.2459220949787088E-2</v>
      </c>
      <c r="G389" s="512">
        <f>+'F1 SEZ'!G388+'F1 Non-SEZ'!G388</f>
        <v>2.5078476632336519E-2</v>
      </c>
      <c r="H389" s="512">
        <f>+'F1 SEZ'!H388+'F1 Non-SEZ'!H388</f>
        <v>2.008008469973219E-2</v>
      </c>
      <c r="I389" s="512">
        <f>+'F1 SEZ'!I388+'F1 Non-SEZ'!I388</f>
        <v>2.3034955465850823E-2</v>
      </c>
      <c r="J389" s="512">
        <f>+'F1 SEZ'!J388+'F1 Non-SEZ'!J388</f>
        <v>1.5343789868407483E-2</v>
      </c>
      <c r="K389" s="512">
        <f>+'F1 SEZ'!K388+'F1 Non-SEZ'!K388</f>
        <v>1.1654811360797044E-2</v>
      </c>
      <c r="L389" s="512">
        <f>+'F1 SEZ'!L388+'F1 Non-SEZ'!L388</f>
        <v>1.5653219363680318E-2</v>
      </c>
      <c r="M389" s="512">
        <f>+'F1 SEZ'!M388+'F1 Non-SEZ'!M388</f>
        <v>1.5914994840538679E-2</v>
      </c>
      <c r="N389" s="512">
        <f>+'F1 SEZ'!N388+'F1 Non-SEZ'!N388</f>
        <v>1.975511002409918E-2</v>
      </c>
      <c r="O389" s="544">
        <f t="shared" si="58"/>
        <v>0.23462983966457771</v>
      </c>
    </row>
    <row r="390" spans="2:15" x14ac:dyDescent="0.4">
      <c r="B390" s="519" t="s">
        <v>1111</v>
      </c>
      <c r="C390" s="512">
        <f>+'F1 SEZ'!C389+'F1 Non-SEZ'!C389</f>
        <v>0.10735324514461918</v>
      </c>
      <c r="D390" s="512">
        <f>+'F1 SEZ'!D389+'F1 Non-SEZ'!D389</f>
        <v>0.11003750835857572</v>
      </c>
      <c r="E390" s="512">
        <f>+'F1 SEZ'!E389+'F1 Non-SEZ'!E389</f>
        <v>9.8496404080205394E-2</v>
      </c>
      <c r="F390" s="512">
        <f>+'F1 SEZ'!F389+'F1 Non-SEZ'!F389</f>
        <v>0.10807216061451699</v>
      </c>
      <c r="G390" s="512">
        <f>+'F1 SEZ'!G389+'F1 Non-SEZ'!G389</f>
        <v>0.1170609099962594</v>
      </c>
      <c r="H390" s="512">
        <f>+'F1 SEZ'!H389+'F1 Non-SEZ'!H389</f>
        <v>0.11634637361229798</v>
      </c>
      <c r="I390" s="512">
        <f>+'F1 SEZ'!I389+'F1 Non-SEZ'!I389</f>
        <v>0.11856102644559714</v>
      </c>
      <c r="J390" s="512">
        <f>+'F1 SEZ'!J389+'F1 Non-SEZ'!J389</f>
        <v>0.11443625359566044</v>
      </c>
      <c r="K390" s="512">
        <f>+'F1 SEZ'!K389+'F1 Non-SEZ'!K389</f>
        <v>0.12606761828894311</v>
      </c>
      <c r="L390" s="512">
        <f>+'F1 SEZ'!L389+'F1 Non-SEZ'!L389</f>
        <v>0.1023964226737578</v>
      </c>
      <c r="M390" s="512">
        <f>+'F1 SEZ'!M389+'F1 Non-SEZ'!M389</f>
        <v>9.4100617055428715E-2</v>
      </c>
      <c r="N390" s="512">
        <f>+'F1 SEZ'!N389+'F1 Non-SEZ'!N389</f>
        <v>9.36949925740653E-2</v>
      </c>
      <c r="O390" s="544">
        <f t="shared" si="58"/>
        <v>1.3066235324399273</v>
      </c>
    </row>
    <row r="391" spans="2:15" x14ac:dyDescent="0.4">
      <c r="B391" s="519" t="s">
        <v>1135</v>
      </c>
      <c r="C391" s="512">
        <f>+'F1 SEZ'!C390+'F1 Non-SEZ'!C390</f>
        <v>4.3363469477037113E-2</v>
      </c>
      <c r="D391" s="512">
        <f>+'F1 SEZ'!D390+'F1 Non-SEZ'!D390</f>
        <v>3.980910306484816E-2</v>
      </c>
      <c r="E391" s="512">
        <f>+'F1 SEZ'!E390+'F1 Non-SEZ'!E390</f>
        <v>4.2277079623739264E-2</v>
      </c>
      <c r="F391" s="512">
        <f>+'F1 SEZ'!F390+'F1 Non-SEZ'!F390</f>
        <v>4.0971994467579723E-2</v>
      </c>
      <c r="G391" s="512">
        <f>+'F1 SEZ'!G390+'F1 Non-SEZ'!G390</f>
        <v>4.2093680635777189E-2</v>
      </c>
      <c r="H391" s="512">
        <f>+'F1 SEZ'!H390+'F1 Non-SEZ'!H390</f>
        <v>4.1262557882926834E-2</v>
      </c>
      <c r="I391" s="512">
        <f>+'F1 SEZ'!I390+'F1 Non-SEZ'!I390</f>
        <v>4.7416263110979205E-2</v>
      </c>
      <c r="J391" s="512">
        <f>+'F1 SEZ'!J390+'F1 Non-SEZ'!J390</f>
        <v>4.0089167456513378E-2</v>
      </c>
      <c r="K391" s="512">
        <f>+'F1 SEZ'!K390+'F1 Non-SEZ'!K390</f>
        <v>3.5449141620491259E-2</v>
      </c>
      <c r="L391" s="512">
        <f>+'F1 SEZ'!L390+'F1 Non-SEZ'!L390</f>
        <v>3.7467380809864927E-2</v>
      </c>
      <c r="M391" s="512">
        <f>+'F1 SEZ'!M390+'F1 Non-SEZ'!M390</f>
        <v>3.3649930206753081E-2</v>
      </c>
      <c r="N391" s="512">
        <f>+'F1 SEZ'!N390+'F1 Non-SEZ'!N390</f>
        <v>4.0650315809181402E-2</v>
      </c>
      <c r="O391" s="544">
        <f t="shared" si="58"/>
        <v>0.4845000841656914</v>
      </c>
    </row>
    <row r="392" spans="2:15" x14ac:dyDescent="0.4">
      <c r="B392" s="519" t="s">
        <v>1136</v>
      </c>
      <c r="C392" s="512">
        <f>+'F1 SEZ'!C391+'F1 Non-SEZ'!C391</f>
        <v>0</v>
      </c>
      <c r="D392" s="512">
        <f>+'F1 SEZ'!D391+'F1 Non-SEZ'!D391</f>
        <v>0</v>
      </c>
      <c r="E392" s="512">
        <f>+'F1 SEZ'!E391+'F1 Non-SEZ'!E391</f>
        <v>0</v>
      </c>
      <c r="F392" s="512">
        <f>+'F1 SEZ'!F391+'F1 Non-SEZ'!F391</f>
        <v>0</v>
      </c>
      <c r="G392" s="512">
        <f>+'F1 SEZ'!G391+'F1 Non-SEZ'!G391</f>
        <v>0</v>
      </c>
      <c r="H392" s="512">
        <f>+'F1 SEZ'!H391+'F1 Non-SEZ'!H391</f>
        <v>0</v>
      </c>
      <c r="I392" s="512">
        <f>+'F1 SEZ'!I391+'F1 Non-SEZ'!I391</f>
        <v>0</v>
      </c>
      <c r="J392" s="512">
        <f>+'F1 SEZ'!J391+'F1 Non-SEZ'!J391</f>
        <v>0</v>
      </c>
      <c r="K392" s="512">
        <f>+'F1 SEZ'!K391+'F1 Non-SEZ'!K391</f>
        <v>0</v>
      </c>
      <c r="L392" s="512">
        <f>+'F1 SEZ'!L391+'F1 Non-SEZ'!L391</f>
        <v>0</v>
      </c>
      <c r="M392" s="512">
        <f>+'F1 SEZ'!M391+'F1 Non-SEZ'!M391</f>
        <v>0</v>
      </c>
      <c r="N392" s="512">
        <f>+'F1 SEZ'!N391+'F1 Non-SEZ'!N391</f>
        <v>0</v>
      </c>
      <c r="O392" s="544">
        <f t="shared" si="58"/>
        <v>0</v>
      </c>
    </row>
    <row r="393" spans="2:15" x14ac:dyDescent="0.4">
      <c r="B393" s="566" t="s">
        <v>1142</v>
      </c>
      <c r="C393" s="512">
        <f>+'F1 SEZ'!C392+'F1 Non-SEZ'!C392</f>
        <v>1.8917459193021568E-3</v>
      </c>
      <c r="D393" s="512">
        <f>+'F1 SEZ'!D392+'F1 Non-SEZ'!D392</f>
        <v>2.0667845562747818E-3</v>
      </c>
      <c r="E393" s="512">
        <f>+'F1 SEZ'!E392+'F1 Non-SEZ'!E392</f>
        <v>1.8455811522302809E-3</v>
      </c>
      <c r="F393" s="512">
        <f>+'F1 SEZ'!F392+'F1 Non-SEZ'!F392</f>
        <v>1.8213061080119073E-3</v>
      </c>
      <c r="G393" s="512">
        <f>+'F1 SEZ'!G392+'F1 Non-SEZ'!G392</f>
        <v>1.5582050772686973E-3</v>
      </c>
      <c r="H393" s="512">
        <f>+'F1 SEZ'!H392+'F1 Non-SEZ'!H392</f>
        <v>1.4753882013601514E-3</v>
      </c>
      <c r="I393" s="512">
        <f>+'F1 SEZ'!I392+'F1 Non-SEZ'!I392</f>
        <v>2.0483115768376785E-3</v>
      </c>
      <c r="J393" s="512">
        <f>+'F1 SEZ'!J392+'F1 Non-SEZ'!J392</f>
        <v>2.382677556512358E-3</v>
      </c>
      <c r="K393" s="512">
        <f>+'F1 SEZ'!K392+'F1 Non-SEZ'!K392</f>
        <v>2.7790559978334395E-3</v>
      </c>
      <c r="L393" s="512">
        <f>+'F1 SEZ'!L392+'F1 Non-SEZ'!L392</f>
        <v>2.8382722532487303E-3</v>
      </c>
      <c r="M393" s="512">
        <f>+'F1 SEZ'!M392+'F1 Non-SEZ'!M392</f>
        <v>2.8977570993860106E-3</v>
      </c>
      <c r="N393" s="512">
        <f>+'F1 SEZ'!N392+'F1 Non-SEZ'!N392</f>
        <v>3.5793292108053701E-3</v>
      </c>
      <c r="O393" s="544">
        <f t="shared" si="58"/>
        <v>2.7184414709071562E-2</v>
      </c>
    </row>
    <row r="394" spans="2:15" x14ac:dyDescent="0.4">
      <c r="B394" s="175" t="s">
        <v>162</v>
      </c>
      <c r="C394" s="567">
        <f t="shared" ref="C394:O394" si="59">SUM(C381:C393)</f>
        <v>1.3098488786200422</v>
      </c>
      <c r="D394" s="567">
        <f t="shared" si="59"/>
        <v>1.562690549092248</v>
      </c>
      <c r="E394" s="567">
        <f t="shared" si="59"/>
        <v>1.2941339149354865</v>
      </c>
      <c r="F394" s="567">
        <f t="shared" si="59"/>
        <v>1.1553342961029576</v>
      </c>
      <c r="G394" s="567">
        <f t="shared" si="59"/>
        <v>1.1667130103606043</v>
      </c>
      <c r="H394" s="567">
        <f t="shared" si="59"/>
        <v>1.1691952509332777</v>
      </c>
      <c r="I394" s="567">
        <f t="shared" si="59"/>
        <v>1.282926749742799</v>
      </c>
      <c r="J394" s="567">
        <f t="shared" si="59"/>
        <v>1.2080440564075487</v>
      </c>
      <c r="K394" s="567">
        <f t="shared" si="59"/>
        <v>1.067773351340535</v>
      </c>
      <c r="L394" s="567">
        <f t="shared" si="59"/>
        <v>1.1044778578123138</v>
      </c>
      <c r="M394" s="567">
        <f t="shared" si="59"/>
        <v>1.0785425565183344</v>
      </c>
      <c r="N394" s="567">
        <f t="shared" si="59"/>
        <v>1.3721237487772833</v>
      </c>
      <c r="O394" s="567">
        <f t="shared" si="59"/>
        <v>14.771804220643432</v>
      </c>
    </row>
    <row r="395" spans="2:15" x14ac:dyDescent="0.4">
      <c r="B395" s="175"/>
      <c r="C395" s="26"/>
      <c r="D395" s="26"/>
      <c r="E395" s="26"/>
      <c r="F395" s="26"/>
      <c r="G395" s="26"/>
      <c r="H395" s="26"/>
      <c r="I395" s="26"/>
      <c r="J395" s="26"/>
      <c r="K395" s="26"/>
      <c r="L395" s="26"/>
      <c r="M395" s="26"/>
      <c r="N395" s="26"/>
      <c r="O395" s="26"/>
    </row>
    <row r="396" spans="2:15" x14ac:dyDescent="0.4">
      <c r="B396" s="119" t="s">
        <v>164</v>
      </c>
      <c r="C396" s="568">
        <f>+C394+C378</f>
        <v>22.3120681857507</v>
      </c>
      <c r="D396" s="568">
        <f t="shared" ref="D396:O396" si="60">+D394+D378</f>
        <v>23.27617815607773</v>
      </c>
      <c r="E396" s="568">
        <f t="shared" si="60"/>
        <v>22.280419371145591</v>
      </c>
      <c r="F396" s="568">
        <f t="shared" si="60"/>
        <v>23.44892126873658</v>
      </c>
      <c r="G396" s="568">
        <f t="shared" si="60"/>
        <v>23.449690409216032</v>
      </c>
      <c r="H396" s="568">
        <f t="shared" si="60"/>
        <v>22.736988003376965</v>
      </c>
      <c r="I396" s="568">
        <f t="shared" si="60"/>
        <v>24.158972463886766</v>
      </c>
      <c r="J396" s="568">
        <f t="shared" si="60"/>
        <v>23.333153052840849</v>
      </c>
      <c r="K396" s="568">
        <f t="shared" si="60"/>
        <v>23.951663252682625</v>
      </c>
      <c r="L396" s="568">
        <f t="shared" si="60"/>
        <v>24.595501842717926</v>
      </c>
      <c r="M396" s="568">
        <f t="shared" si="60"/>
        <v>22.306902393557586</v>
      </c>
      <c r="N396" s="568">
        <f t="shared" si="60"/>
        <v>24.888340600010643</v>
      </c>
      <c r="O396" s="568">
        <f t="shared" si="60"/>
        <v>280.73879899999997</v>
      </c>
    </row>
    <row r="397" spans="2:15" x14ac:dyDescent="0.4">
      <c r="B397" s="118"/>
      <c r="E397" s="198"/>
      <c r="F397" s="199"/>
      <c r="G397" s="198"/>
      <c r="H397" s="198"/>
      <c r="I397" s="198"/>
      <c r="J397" s="198"/>
      <c r="K397" s="198"/>
      <c r="L397" s="198"/>
      <c r="M397" s="198"/>
      <c r="N397" s="198"/>
      <c r="O397" s="199"/>
    </row>
    <row r="398" spans="2:15" x14ac:dyDescent="0.4">
      <c r="B398" s="6" t="s">
        <v>194</v>
      </c>
    </row>
    <row r="400" spans="2:15" x14ac:dyDescent="0.4">
      <c r="B400" s="106" t="s">
        <v>160</v>
      </c>
      <c r="C400" s="64" t="s">
        <v>196</v>
      </c>
      <c r="D400" s="64" t="s">
        <v>197</v>
      </c>
      <c r="E400" s="64" t="s">
        <v>198</v>
      </c>
      <c r="F400" s="64" t="s">
        <v>199</v>
      </c>
      <c r="G400" s="64" t="s">
        <v>112</v>
      </c>
      <c r="H400" s="64" t="s">
        <v>113</v>
      </c>
      <c r="I400" s="64" t="s">
        <v>114</v>
      </c>
    </row>
    <row r="401" spans="2:9" x14ac:dyDescent="0.4">
      <c r="B401" s="517" t="s">
        <v>161</v>
      </c>
      <c r="C401" s="65"/>
      <c r="D401" s="65"/>
      <c r="E401" s="65"/>
      <c r="F401" s="65"/>
      <c r="G401" s="65"/>
      <c r="H401" s="65"/>
      <c r="I401" s="65"/>
    </row>
    <row r="402" spans="2:9" x14ac:dyDescent="0.4">
      <c r="B402" s="429" t="s">
        <v>1129</v>
      </c>
      <c r="C402" s="620">
        <f>+C12</f>
        <v>0</v>
      </c>
      <c r="D402" s="620">
        <f t="shared" ref="D402:I402" si="61">+D12</f>
        <v>0</v>
      </c>
      <c r="E402" s="620">
        <f t="shared" si="61"/>
        <v>1.44E-2</v>
      </c>
      <c r="F402" s="620">
        <f t="shared" si="61"/>
        <v>13.381979999999999</v>
      </c>
      <c r="G402" s="620">
        <f t="shared" si="61"/>
        <v>21.446820000000002</v>
      </c>
      <c r="H402" s="620">
        <f t="shared" si="61"/>
        <v>33.8577600156</v>
      </c>
      <c r="I402" s="620">
        <f t="shared" si="61"/>
        <v>73.164360000000002</v>
      </c>
    </row>
    <row r="403" spans="2:9" x14ac:dyDescent="0.4">
      <c r="B403" s="429" t="s">
        <v>1130</v>
      </c>
      <c r="C403" s="620">
        <f t="shared" ref="C403:I403" si="62">+C13</f>
        <v>1.0070348</v>
      </c>
      <c r="D403" s="620">
        <f t="shared" si="62"/>
        <v>1.86831243</v>
      </c>
      <c r="E403" s="620">
        <f t="shared" si="62"/>
        <v>6.8380711400000012</v>
      </c>
      <c r="F403" s="620">
        <f t="shared" si="62"/>
        <v>1.3603304818999999</v>
      </c>
      <c r="G403" s="620">
        <f t="shared" si="62"/>
        <v>0.31088268000000002</v>
      </c>
      <c r="H403" s="620">
        <f t="shared" si="62"/>
        <v>0.34753758999999995</v>
      </c>
      <c r="I403" s="620">
        <f t="shared" si="62"/>
        <v>0.4924518</v>
      </c>
    </row>
    <row r="404" spans="2:9" x14ac:dyDescent="0.4">
      <c r="B404" s="429" t="s">
        <v>1131</v>
      </c>
      <c r="C404" s="620">
        <f t="shared" ref="C404:I404" si="63">+C14</f>
        <v>0</v>
      </c>
      <c r="D404" s="620">
        <f t="shared" si="63"/>
        <v>0.56330367000000003</v>
      </c>
      <c r="E404" s="620">
        <f t="shared" si="63"/>
        <v>0</v>
      </c>
      <c r="F404" s="620">
        <f t="shared" si="63"/>
        <v>0</v>
      </c>
      <c r="G404" s="620">
        <f t="shared" si="63"/>
        <v>0</v>
      </c>
      <c r="H404" s="620">
        <f t="shared" si="63"/>
        <v>0</v>
      </c>
      <c r="I404" s="620">
        <f t="shared" si="63"/>
        <v>0</v>
      </c>
    </row>
    <row r="405" spans="2:9" x14ac:dyDescent="0.4">
      <c r="B405" s="429" t="s">
        <v>1132</v>
      </c>
      <c r="C405" s="620">
        <f t="shared" ref="C405:I405" si="64">+C15</f>
        <v>0</v>
      </c>
      <c r="D405" s="620">
        <f t="shared" si="64"/>
        <v>0</v>
      </c>
      <c r="E405" s="620">
        <f t="shared" si="64"/>
        <v>0</v>
      </c>
      <c r="F405" s="620">
        <f t="shared" si="64"/>
        <v>0</v>
      </c>
      <c r="G405" s="620">
        <f t="shared" si="64"/>
        <v>0</v>
      </c>
      <c r="H405" s="620">
        <f t="shared" si="64"/>
        <v>0</v>
      </c>
      <c r="I405" s="620">
        <f t="shared" si="64"/>
        <v>0</v>
      </c>
    </row>
    <row r="406" spans="2:9" x14ac:dyDescent="0.4">
      <c r="B406" s="518" t="s">
        <v>162</v>
      </c>
      <c r="C406" s="619">
        <f>SUM(C402:C405)</f>
        <v>1.0070348</v>
      </c>
      <c r="D406" s="619">
        <f t="shared" ref="D406:I406" si="65">SUM(D402:D405)</f>
        <v>2.4316161000000003</v>
      </c>
      <c r="E406" s="619">
        <f t="shared" si="65"/>
        <v>6.8524711400000013</v>
      </c>
      <c r="F406" s="619">
        <f t="shared" si="65"/>
        <v>14.742310481899999</v>
      </c>
      <c r="G406" s="619">
        <f t="shared" si="65"/>
        <v>21.757702680000001</v>
      </c>
      <c r="H406" s="619">
        <f t="shared" si="65"/>
        <v>34.205297605600002</v>
      </c>
      <c r="I406" s="619">
        <f t="shared" si="65"/>
        <v>73.6568118</v>
      </c>
    </row>
    <row r="407" spans="2:9" x14ac:dyDescent="0.4">
      <c r="B407" s="517" t="s">
        <v>163</v>
      </c>
      <c r="C407" s="620">
        <f t="shared" ref="C407:I407" si="66">+C17</f>
        <v>0</v>
      </c>
      <c r="D407" s="620">
        <f t="shared" si="66"/>
        <v>0</v>
      </c>
      <c r="E407" s="620">
        <f t="shared" si="66"/>
        <v>0</v>
      </c>
      <c r="F407" s="620">
        <f t="shared" si="66"/>
        <v>0</v>
      </c>
      <c r="G407" s="620">
        <f t="shared" si="66"/>
        <v>0</v>
      </c>
      <c r="H407" s="620">
        <f t="shared" si="66"/>
        <v>0</v>
      </c>
      <c r="I407" s="620">
        <f t="shared" si="66"/>
        <v>0</v>
      </c>
    </row>
    <row r="408" spans="2:9" x14ac:dyDescent="0.4">
      <c r="B408" s="519" t="s">
        <v>1133</v>
      </c>
      <c r="C408" s="620">
        <f t="shared" ref="C408:I408" si="67">+C18</f>
        <v>0</v>
      </c>
      <c r="D408" s="620">
        <f t="shared" si="67"/>
        <v>0</v>
      </c>
      <c r="E408" s="620">
        <f t="shared" si="67"/>
        <v>0</v>
      </c>
      <c r="F408" s="620">
        <f t="shared" si="67"/>
        <v>0</v>
      </c>
      <c r="G408" s="620">
        <f t="shared" si="67"/>
        <v>0</v>
      </c>
      <c r="H408" s="620">
        <f t="shared" si="67"/>
        <v>0</v>
      </c>
      <c r="I408" s="620">
        <f t="shared" si="67"/>
        <v>0</v>
      </c>
    </row>
    <row r="409" spans="2:9" x14ac:dyDescent="0.4">
      <c r="B409" s="520" t="s">
        <v>1106</v>
      </c>
      <c r="C409" s="620">
        <f t="shared" ref="C409:I409" si="68">+C19</f>
        <v>3.6902539999999984E-2</v>
      </c>
      <c r="D409" s="620">
        <f t="shared" si="68"/>
        <v>4.5234989999999996E-2</v>
      </c>
      <c r="E409" s="620">
        <f t="shared" si="68"/>
        <v>0.17605925</v>
      </c>
      <c r="F409" s="620">
        <f t="shared" si="68"/>
        <v>0.34350700000000006</v>
      </c>
      <c r="G409" s="620">
        <f t="shared" si="68"/>
        <v>0.60887500000000006</v>
      </c>
      <c r="H409" s="620">
        <f t="shared" si="68"/>
        <v>0.93132999999999988</v>
      </c>
      <c r="I409" s="620">
        <f t="shared" si="68"/>
        <v>1.2685139999999999</v>
      </c>
    </row>
    <row r="410" spans="2:9" x14ac:dyDescent="0.4">
      <c r="B410" s="520" t="s">
        <v>1107</v>
      </c>
      <c r="C410" s="620">
        <f t="shared" ref="C410:I410" si="69">+C20</f>
        <v>2.9829460000000016E-2</v>
      </c>
      <c r="D410" s="620">
        <f t="shared" si="69"/>
        <v>8.3919010000000002E-2</v>
      </c>
      <c r="E410" s="620">
        <f t="shared" si="69"/>
        <v>0.13921244499999999</v>
      </c>
      <c r="F410" s="620">
        <f t="shared" si="69"/>
        <v>0.29010199999999997</v>
      </c>
      <c r="G410" s="620">
        <f t="shared" si="69"/>
        <v>0.58151600000000014</v>
      </c>
      <c r="H410" s="620">
        <f t="shared" si="69"/>
        <v>0.90188899999999994</v>
      </c>
      <c r="I410" s="620">
        <f t="shared" si="69"/>
        <v>1.3396719999999998</v>
      </c>
    </row>
    <row r="411" spans="2:9" x14ac:dyDescent="0.4">
      <c r="B411" s="520" t="s">
        <v>1108</v>
      </c>
      <c r="C411" s="620">
        <f t="shared" ref="C411:I411" si="70">+C21</f>
        <v>6.0957200000000007E-3</v>
      </c>
      <c r="D411" s="620">
        <f t="shared" si="70"/>
        <v>3.5031049999999994E-2</v>
      </c>
      <c r="E411" s="620">
        <f t="shared" si="70"/>
        <v>4.2151488999999993E-2</v>
      </c>
      <c r="F411" s="620">
        <f t="shared" si="70"/>
        <v>9.0147000000000005E-2</v>
      </c>
      <c r="G411" s="620">
        <f t="shared" si="70"/>
        <v>0.19316800000000001</v>
      </c>
      <c r="H411" s="620">
        <f t="shared" si="70"/>
        <v>0.31589299999999998</v>
      </c>
      <c r="I411" s="620">
        <f t="shared" si="70"/>
        <v>0.51790599999999987</v>
      </c>
    </row>
    <row r="412" spans="2:9" x14ac:dyDescent="0.4">
      <c r="B412" s="520" t="s">
        <v>1109</v>
      </c>
      <c r="C412" s="620">
        <f t="shared" ref="C412:I412" si="71">+C22</f>
        <v>7.2720199999999997E-3</v>
      </c>
      <c r="D412" s="620">
        <f t="shared" si="71"/>
        <v>3.430271E-2</v>
      </c>
      <c r="E412" s="620">
        <f t="shared" si="71"/>
        <v>0.49055880999999996</v>
      </c>
      <c r="F412" s="620">
        <f t="shared" si="71"/>
        <v>0.84930899999999998</v>
      </c>
      <c r="G412" s="620">
        <f t="shared" si="71"/>
        <v>1.5647049999999998</v>
      </c>
      <c r="H412" s="620">
        <f t="shared" si="71"/>
        <v>1.8567230000000001</v>
      </c>
      <c r="I412" s="620">
        <f t="shared" si="71"/>
        <v>1.9953139999999996</v>
      </c>
    </row>
    <row r="413" spans="2:9" x14ac:dyDescent="0.4">
      <c r="B413" s="520" t="s">
        <v>1110</v>
      </c>
      <c r="C413" s="620">
        <f t="shared" ref="C413:I413" si="72">+C23</f>
        <v>3.8889259999999995E-2</v>
      </c>
      <c r="D413" s="620">
        <f t="shared" si="72"/>
        <v>0.30698021999999997</v>
      </c>
      <c r="E413" s="620">
        <f t="shared" si="72"/>
        <v>0</v>
      </c>
      <c r="F413" s="620">
        <f t="shared" si="72"/>
        <v>0</v>
      </c>
      <c r="G413" s="620">
        <f t="shared" si="72"/>
        <v>0</v>
      </c>
      <c r="H413" s="620">
        <f t="shared" si="72"/>
        <v>0</v>
      </c>
      <c r="I413" s="620">
        <f t="shared" si="72"/>
        <v>0</v>
      </c>
    </row>
    <row r="414" spans="2:9" x14ac:dyDescent="0.4">
      <c r="B414" s="519" t="s">
        <v>1145</v>
      </c>
      <c r="C414" s="620">
        <f t="shared" ref="C414:I414" si="73">+C24</f>
        <v>0</v>
      </c>
      <c r="D414" s="620">
        <f t="shared" si="73"/>
        <v>0</v>
      </c>
      <c r="E414" s="620">
        <f t="shared" si="73"/>
        <v>0</v>
      </c>
      <c r="F414" s="620">
        <f t="shared" si="73"/>
        <v>0</v>
      </c>
      <c r="G414" s="620">
        <f t="shared" si="73"/>
        <v>0</v>
      </c>
      <c r="H414" s="620">
        <f t="shared" si="73"/>
        <v>0</v>
      </c>
      <c r="I414" s="620">
        <f t="shared" si="73"/>
        <v>0</v>
      </c>
    </row>
    <row r="415" spans="2:9" x14ac:dyDescent="0.4">
      <c r="B415" s="520" t="s">
        <v>1140</v>
      </c>
      <c r="C415" s="620">
        <f t="shared" ref="C415:I415" si="74">+C25</f>
        <v>0</v>
      </c>
      <c r="D415" s="620">
        <f t="shared" si="74"/>
        <v>1.8100000000000001E-4</v>
      </c>
      <c r="E415" s="620">
        <f t="shared" si="74"/>
        <v>8.8260000000000005E-3</v>
      </c>
      <c r="F415" s="620">
        <f t="shared" si="74"/>
        <v>4.0835999999999997E-2</v>
      </c>
      <c r="G415" s="620">
        <f t="shared" si="74"/>
        <v>7.4553000000000008E-2</v>
      </c>
      <c r="H415" s="620">
        <f t="shared" si="74"/>
        <v>0.15646300000000002</v>
      </c>
      <c r="I415" s="620">
        <f t="shared" si="74"/>
        <v>0.25776300000000002</v>
      </c>
    </row>
    <row r="416" spans="2:9" x14ac:dyDescent="0.4">
      <c r="B416" s="520" t="s">
        <v>1144</v>
      </c>
      <c r="C416" s="620">
        <f t="shared" ref="C416:I416" si="75">+C26</f>
        <v>0</v>
      </c>
      <c r="D416" s="620">
        <f t="shared" si="75"/>
        <v>0</v>
      </c>
      <c r="E416" s="620">
        <f t="shared" si="75"/>
        <v>0</v>
      </c>
      <c r="F416" s="620">
        <f t="shared" si="75"/>
        <v>0.12834783</v>
      </c>
      <c r="G416" s="620">
        <f t="shared" si="75"/>
        <v>0.30945506229999997</v>
      </c>
      <c r="H416" s="620">
        <f t="shared" si="75"/>
        <v>0.27486611</v>
      </c>
      <c r="I416" s="620">
        <f t="shared" si="75"/>
        <v>0.48194874999999998</v>
      </c>
    </row>
    <row r="417" spans="2:9" x14ac:dyDescent="0.4">
      <c r="B417" s="520" t="s">
        <v>1143</v>
      </c>
      <c r="C417" s="620">
        <f t="shared" ref="C417:I417" si="76">+C27</f>
        <v>0</v>
      </c>
      <c r="D417" s="620">
        <f t="shared" si="76"/>
        <v>0</v>
      </c>
      <c r="E417" s="620">
        <f t="shared" si="76"/>
        <v>0</v>
      </c>
      <c r="F417" s="620">
        <f t="shared" si="76"/>
        <v>0</v>
      </c>
      <c r="G417" s="620">
        <f t="shared" si="76"/>
        <v>6.9497249999999997E-2</v>
      </c>
      <c r="H417" s="620">
        <f t="shared" si="76"/>
        <v>8.1854079999999996E-2</v>
      </c>
      <c r="I417" s="620">
        <f t="shared" si="76"/>
        <v>8.7541799999999989E-2</v>
      </c>
    </row>
    <row r="418" spans="2:9" x14ac:dyDescent="0.4">
      <c r="B418" s="519" t="s">
        <v>1111</v>
      </c>
      <c r="C418" s="620">
        <f t="shared" ref="C418:I418" si="77">+C28</f>
        <v>0</v>
      </c>
      <c r="D418" s="620">
        <f t="shared" si="77"/>
        <v>0</v>
      </c>
      <c r="E418" s="620">
        <f t="shared" si="77"/>
        <v>7.2580000000000006E-2</v>
      </c>
      <c r="F418" s="620">
        <f t="shared" si="77"/>
        <v>0.26699392</v>
      </c>
      <c r="G418" s="620">
        <f t="shared" si="77"/>
        <v>0.34130574200000002</v>
      </c>
      <c r="H418" s="620">
        <f t="shared" si="77"/>
        <v>0.45583488999999999</v>
      </c>
      <c r="I418" s="620">
        <f t="shared" si="77"/>
        <v>0.56095090999999997</v>
      </c>
    </row>
    <row r="419" spans="2:9" x14ac:dyDescent="0.4">
      <c r="B419" s="519" t="s">
        <v>1135</v>
      </c>
      <c r="C419" s="620">
        <f t="shared" ref="C419:I419" si="78">+C29</f>
        <v>5.5825E-2</v>
      </c>
      <c r="D419" s="620">
        <f t="shared" si="78"/>
        <v>0.12328399999999998</v>
      </c>
      <c r="E419" s="620">
        <f t="shared" si="78"/>
        <v>0.120709</v>
      </c>
      <c r="F419" s="620">
        <f t="shared" si="78"/>
        <v>0.13652400000000001</v>
      </c>
      <c r="G419" s="620">
        <f t="shared" si="78"/>
        <v>0.13664599999999999</v>
      </c>
      <c r="H419" s="620">
        <f t="shared" si="78"/>
        <v>0.16902500000000001</v>
      </c>
      <c r="I419" s="620">
        <f t="shared" si="78"/>
        <v>0.16315700000000005</v>
      </c>
    </row>
    <row r="420" spans="2:9" x14ac:dyDescent="0.4">
      <c r="B420" s="519" t="s">
        <v>1136</v>
      </c>
      <c r="C420" s="620">
        <f t="shared" ref="C420:I421" si="79">+C30</f>
        <v>0</v>
      </c>
      <c r="D420" s="620">
        <f t="shared" si="79"/>
        <v>1.318683E-2</v>
      </c>
      <c r="E420" s="620">
        <f t="shared" si="79"/>
        <v>6.4155000000000011E-3</v>
      </c>
      <c r="F420" s="620">
        <f t="shared" si="79"/>
        <v>3.8269799999999998E-3</v>
      </c>
      <c r="G420" s="620">
        <f t="shared" si="79"/>
        <v>0</v>
      </c>
      <c r="H420" s="620">
        <f t="shared" si="79"/>
        <v>0</v>
      </c>
      <c r="I420" s="620">
        <f t="shared" si="79"/>
        <v>0</v>
      </c>
    </row>
    <row r="421" spans="2:9" x14ac:dyDescent="0.4">
      <c r="B421" s="566" t="s">
        <v>1142</v>
      </c>
      <c r="C421" s="620">
        <f t="shared" si="79"/>
        <v>0</v>
      </c>
      <c r="D421" s="620">
        <f t="shared" si="79"/>
        <v>0</v>
      </c>
      <c r="E421" s="620">
        <f t="shared" si="79"/>
        <v>0</v>
      </c>
      <c r="F421" s="620">
        <f t="shared" si="79"/>
        <v>1.8542E-4</v>
      </c>
      <c r="G421" s="620">
        <f t="shared" si="79"/>
        <v>1.778895E-3</v>
      </c>
      <c r="H421" s="620">
        <f t="shared" si="79"/>
        <v>9.4836839999999992E-3</v>
      </c>
      <c r="I421" s="620">
        <f t="shared" si="79"/>
        <v>3.2286402999999991E-2</v>
      </c>
    </row>
    <row r="422" spans="2:9" x14ac:dyDescent="0.4">
      <c r="B422" s="175" t="s">
        <v>162</v>
      </c>
      <c r="C422" s="619">
        <f>SUM(C409:C421)</f>
        <v>0.174814</v>
      </c>
      <c r="D422" s="619">
        <f t="shared" ref="D422:I422" si="80">SUM(D409:D421)</f>
        <v>0.64211980999999985</v>
      </c>
      <c r="E422" s="619">
        <f t="shared" si="80"/>
        <v>1.0565124939999999</v>
      </c>
      <c r="F422" s="619">
        <f t="shared" si="80"/>
        <v>2.1497791500000005</v>
      </c>
      <c r="G422" s="619">
        <f t="shared" si="80"/>
        <v>3.8814999492999998</v>
      </c>
      <c r="H422" s="619">
        <f t="shared" si="80"/>
        <v>5.1533617640000005</v>
      </c>
      <c r="I422" s="619">
        <f t="shared" si="80"/>
        <v>6.7050538629999989</v>
      </c>
    </row>
    <row r="423" spans="2:9" x14ac:dyDescent="0.4">
      <c r="B423" s="175"/>
      <c r="C423" s="620"/>
      <c r="D423" s="620"/>
      <c r="E423" s="620"/>
      <c r="F423" s="620"/>
      <c r="G423" s="620"/>
      <c r="H423" s="620"/>
      <c r="I423" s="620"/>
    </row>
    <row r="424" spans="2:9" x14ac:dyDescent="0.4">
      <c r="B424" s="119" t="s">
        <v>164</v>
      </c>
      <c r="C424" s="619">
        <f>+C422+C406</f>
        <v>1.1818488</v>
      </c>
      <c r="D424" s="619">
        <f t="shared" ref="D424:I424" si="81">+D422+D406</f>
        <v>3.0737359099999999</v>
      </c>
      <c r="E424" s="619">
        <f t="shared" si="81"/>
        <v>7.908983634000001</v>
      </c>
      <c r="F424" s="619">
        <f t="shared" si="81"/>
        <v>16.892089631899999</v>
      </c>
      <c r="G424" s="619">
        <f t="shared" si="81"/>
        <v>25.639202629300001</v>
      </c>
      <c r="H424" s="619">
        <f t="shared" si="81"/>
        <v>39.358659369600005</v>
      </c>
      <c r="I424" s="619">
        <f t="shared" si="81"/>
        <v>80.361865663000003</v>
      </c>
    </row>
    <row r="425" spans="2:9" x14ac:dyDescent="0.4">
      <c r="B425" s="118" t="s">
        <v>165</v>
      </c>
    </row>
    <row r="426" spans="2:9" x14ac:dyDescent="0.4">
      <c r="B426" s="27" t="s">
        <v>166</v>
      </c>
    </row>
    <row r="427" spans="2:9" x14ac:dyDescent="0.4">
      <c r="B427" s="1" t="s">
        <v>184</v>
      </c>
      <c r="C427" s="30"/>
      <c r="D427" s="30"/>
      <c r="E427" s="30"/>
      <c r="F427" s="30"/>
    </row>
    <row r="428" spans="2:9" x14ac:dyDescent="0.4">
      <c r="B428" s="27" t="s">
        <v>168</v>
      </c>
    </row>
  </sheetData>
  <mergeCells count="11">
    <mergeCell ref="B2:O2"/>
    <mergeCell ref="B3:O3"/>
    <mergeCell ref="B4:O4"/>
    <mergeCell ref="B227:B228"/>
    <mergeCell ref="C227:H227"/>
    <mergeCell ref="I227:N227"/>
    <mergeCell ref="O227:O228"/>
    <mergeCell ref="B9:B10"/>
    <mergeCell ref="J9:N9"/>
    <mergeCell ref="C46:H63"/>
    <mergeCell ref="C10:I10"/>
  </mergeCells>
  <pageMargins left="1.0236220472440944" right="0.23622047244094491" top="0.98425196850393704" bottom="0.98425196850393704" header="0.23622047244094491" footer="0.23622047244094491"/>
  <pageSetup paperSize="9" scale="28" orientation="portrait" r:id="rId1"/>
  <headerFooter alignWithMargins="0">
    <oddHeader>&amp;F</oddHeader>
  </headerFooter>
  <rowBreaks count="4" manualBreakCount="4">
    <brk id="38" min="1" max="14" man="1"/>
    <brk id="129" min="1" max="14" man="1"/>
    <brk id="223" min="1" max="14" man="1"/>
    <brk id="341" min="1" max="14"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E5E09-2184-4863-AC86-28075FB5F761}">
  <sheetPr>
    <tabColor rgb="FF00B050"/>
  </sheetPr>
  <dimension ref="B2:S49"/>
  <sheetViews>
    <sheetView showGridLines="0" topLeftCell="A22" workbookViewId="0">
      <selection activeCell="C90" sqref="B90:P113"/>
    </sheetView>
  </sheetViews>
  <sheetFormatPr defaultColWidth="9.1328125" defaultRowHeight="13.5" x14ac:dyDescent="0.35"/>
  <cols>
    <col min="1" max="1" width="4.6640625" style="285" customWidth="1"/>
    <col min="2" max="2" width="39.53125" style="285" bestFit="1" customWidth="1"/>
    <col min="3" max="3" width="15" style="285" bestFit="1" customWidth="1"/>
    <col min="4" max="6" width="12.53125" style="285" bestFit="1" customWidth="1"/>
    <col min="7" max="8" width="12.53125" style="285" customWidth="1"/>
    <col min="9" max="10" width="12.53125" style="285" bestFit="1" customWidth="1"/>
    <col min="11" max="12" width="12.53125" style="285" customWidth="1"/>
    <col min="13" max="13" width="12.53125" style="285" bestFit="1" customWidth="1"/>
    <col min="14" max="15" width="9.1328125" style="285"/>
    <col min="16" max="16" width="6.1328125" style="285" customWidth="1"/>
    <col min="17" max="17" width="7.86328125" style="285" bestFit="1" customWidth="1"/>
    <col min="18" max="18" width="6.33203125" style="285" bestFit="1" customWidth="1"/>
    <col min="19" max="16384" width="9.1328125" style="285"/>
  </cols>
  <sheetData>
    <row r="2" spans="2:19" x14ac:dyDescent="0.35">
      <c r="B2" s="309"/>
      <c r="C2" s="309"/>
      <c r="D2" s="2247" t="s">
        <v>985</v>
      </c>
      <c r="E2" s="2248"/>
      <c r="F2" s="2248"/>
      <c r="G2" s="2248"/>
      <c r="H2" s="2249"/>
      <c r="I2" s="2250" t="s">
        <v>986</v>
      </c>
      <c r="J2" s="2250"/>
      <c r="K2" s="2250"/>
      <c r="L2" s="2250"/>
      <c r="M2" s="2250"/>
    </row>
    <row r="3" spans="2:19" ht="31.5" customHeight="1" x14ac:dyDescent="0.35">
      <c r="B3" s="287" t="s">
        <v>987</v>
      </c>
      <c r="C3" s="287" t="s">
        <v>988</v>
      </c>
      <c r="D3" s="286" t="s">
        <v>197</v>
      </c>
      <c r="E3" s="286" t="s">
        <v>198</v>
      </c>
      <c r="F3" s="286" t="s">
        <v>199</v>
      </c>
      <c r="G3" s="286" t="s">
        <v>112</v>
      </c>
      <c r="H3" s="286" t="s">
        <v>113</v>
      </c>
      <c r="I3" s="286" t="s">
        <v>197</v>
      </c>
      <c r="J3" s="286" t="s">
        <v>198</v>
      </c>
      <c r="K3" s="286" t="s">
        <v>199</v>
      </c>
      <c r="L3" s="286" t="s">
        <v>112</v>
      </c>
      <c r="M3" s="286" t="s">
        <v>113</v>
      </c>
    </row>
    <row r="4" spans="2:19" x14ac:dyDescent="0.35">
      <c r="B4" s="309" t="s">
        <v>989</v>
      </c>
      <c r="C4" s="309" t="s">
        <v>990</v>
      </c>
      <c r="D4" s="309"/>
      <c r="E4" s="309"/>
      <c r="F4" s="309"/>
      <c r="G4" s="309"/>
      <c r="H4" s="309"/>
      <c r="I4" s="309"/>
      <c r="J4" s="309"/>
      <c r="K4" s="309"/>
      <c r="L4" s="309"/>
      <c r="M4" s="309"/>
    </row>
    <row r="5" spans="2:19" x14ac:dyDescent="0.35">
      <c r="B5" s="309" t="s">
        <v>991</v>
      </c>
      <c r="C5" s="309" t="s">
        <v>992</v>
      </c>
      <c r="D5" s="309"/>
      <c r="E5" s="309"/>
      <c r="F5" s="309"/>
      <c r="G5" s="309"/>
      <c r="H5" s="309"/>
      <c r="I5" s="310"/>
      <c r="J5" s="310"/>
      <c r="K5" s="310"/>
      <c r="L5" s="310"/>
      <c r="M5" s="310"/>
    </row>
    <row r="6" spans="2:19" x14ac:dyDescent="0.35">
      <c r="B6" s="309" t="s">
        <v>993</v>
      </c>
      <c r="C6" s="309" t="s">
        <v>992</v>
      </c>
      <c r="D6" s="309"/>
      <c r="E6" s="309"/>
      <c r="F6" s="309"/>
      <c r="G6" s="309"/>
      <c r="H6" s="309"/>
      <c r="I6" s="310"/>
      <c r="J6" s="310"/>
      <c r="K6" s="310"/>
      <c r="L6" s="310"/>
      <c r="M6" s="310"/>
    </row>
    <row r="7" spans="2:19" x14ac:dyDescent="0.35">
      <c r="B7" s="309" t="s">
        <v>994</v>
      </c>
      <c r="C7" s="309" t="s">
        <v>992</v>
      </c>
      <c r="D7" s="309"/>
      <c r="E7" s="309"/>
      <c r="F7" s="309"/>
      <c r="G7" s="309"/>
      <c r="H7" s="309"/>
      <c r="I7" s="310"/>
      <c r="J7" s="310"/>
      <c r="K7" s="310"/>
      <c r="L7" s="310"/>
      <c r="M7" s="310"/>
    </row>
    <row r="8" spans="2:19" x14ac:dyDescent="0.35">
      <c r="B8" s="309" t="s">
        <v>995</v>
      </c>
      <c r="C8" s="309" t="s">
        <v>992</v>
      </c>
      <c r="E8" s="309"/>
      <c r="F8" s="309"/>
      <c r="G8" s="309"/>
      <c r="H8" s="309"/>
      <c r="I8" s="310"/>
      <c r="J8" s="310"/>
      <c r="K8" s="310"/>
      <c r="L8" s="310"/>
      <c r="M8" s="310"/>
      <c r="S8" s="347"/>
    </row>
    <row r="9" spans="2:19" x14ac:dyDescent="0.35">
      <c r="B9" s="309" t="s">
        <v>996</v>
      </c>
      <c r="C9" s="309" t="s">
        <v>990</v>
      </c>
      <c r="D9" s="309"/>
      <c r="E9" s="309"/>
      <c r="F9" s="309"/>
      <c r="G9" s="309"/>
      <c r="H9" s="309"/>
      <c r="I9" s="310"/>
      <c r="J9" s="310"/>
      <c r="K9" s="310"/>
      <c r="L9" s="310"/>
      <c r="M9" s="310"/>
    </row>
    <row r="10" spans="2:19" x14ac:dyDescent="0.35">
      <c r="B10" s="309" t="s">
        <v>997</v>
      </c>
      <c r="C10" s="309" t="s">
        <v>998</v>
      </c>
      <c r="D10" s="309"/>
      <c r="E10" s="309"/>
      <c r="F10" s="309"/>
      <c r="G10" s="309"/>
      <c r="H10" s="309"/>
      <c r="I10" s="310"/>
      <c r="J10" s="310"/>
      <c r="K10" s="310"/>
      <c r="L10" s="310"/>
      <c r="M10" s="310"/>
    </row>
    <row r="11" spans="2:19" x14ac:dyDescent="0.35">
      <c r="B11" s="309" t="s">
        <v>999</v>
      </c>
      <c r="C11" s="309" t="s">
        <v>990</v>
      </c>
      <c r="D11" s="309"/>
      <c r="E11" s="309"/>
      <c r="F11" s="309"/>
      <c r="G11" s="309"/>
      <c r="H11" s="309"/>
      <c r="I11" s="310"/>
      <c r="J11" s="310"/>
      <c r="K11" s="310"/>
      <c r="L11" s="310"/>
      <c r="M11" s="310"/>
    </row>
    <row r="12" spans="2:19" x14ac:dyDescent="0.35">
      <c r="B12" s="309" t="s">
        <v>1000</v>
      </c>
      <c r="C12" s="309" t="s">
        <v>998</v>
      </c>
      <c r="D12" s="309"/>
      <c r="E12" s="309"/>
      <c r="F12" s="309"/>
      <c r="G12" s="309"/>
      <c r="H12" s="309"/>
      <c r="I12" s="310"/>
      <c r="J12" s="310"/>
      <c r="K12" s="310"/>
      <c r="L12" s="310"/>
      <c r="M12" s="310"/>
    </row>
    <row r="13" spans="2:19" x14ac:dyDescent="0.35">
      <c r="B13" s="309" t="s">
        <v>1001</v>
      </c>
      <c r="C13" s="309"/>
      <c r="D13" s="309"/>
      <c r="E13" s="309"/>
      <c r="F13" s="309"/>
      <c r="G13" s="309"/>
      <c r="H13" s="309"/>
      <c r="I13" s="310"/>
      <c r="J13" s="310"/>
      <c r="K13" s="310"/>
      <c r="L13" s="310"/>
      <c r="M13" s="310"/>
    </row>
    <row r="14" spans="2:19" x14ac:dyDescent="0.35">
      <c r="B14" s="309" t="s">
        <v>1002</v>
      </c>
      <c r="C14" s="309" t="s">
        <v>990</v>
      </c>
      <c r="D14" s="309"/>
      <c r="E14" s="309"/>
      <c r="F14" s="309"/>
      <c r="G14" s="309"/>
      <c r="H14" s="309"/>
      <c r="I14" s="310"/>
      <c r="J14" s="310"/>
      <c r="K14" s="310"/>
      <c r="L14" s="310"/>
      <c r="M14" s="310"/>
    </row>
    <row r="15" spans="2:19" x14ac:dyDescent="0.35">
      <c r="B15" s="309" t="s">
        <v>1003</v>
      </c>
      <c r="C15" s="309" t="s">
        <v>990</v>
      </c>
      <c r="D15" s="309"/>
      <c r="E15" s="309"/>
      <c r="F15" s="309"/>
      <c r="G15" s="309"/>
      <c r="H15" s="309"/>
      <c r="I15" s="310"/>
      <c r="J15" s="310"/>
      <c r="K15" s="310"/>
      <c r="L15" s="310"/>
      <c r="M15" s="310"/>
    </row>
    <row r="16" spans="2:19" x14ac:dyDescent="0.35">
      <c r="B16" s="348" t="s">
        <v>1004</v>
      </c>
      <c r="C16" s="309"/>
      <c r="D16" s="310"/>
      <c r="E16" s="310"/>
      <c r="F16" s="310"/>
      <c r="G16" s="310"/>
      <c r="H16" s="310"/>
      <c r="I16" s="309"/>
      <c r="J16" s="309"/>
      <c r="K16" s="309"/>
      <c r="L16" s="309"/>
      <c r="M16" s="309"/>
    </row>
    <row r="17" spans="2:14" x14ac:dyDescent="0.35">
      <c r="B17" s="336" t="s">
        <v>1005</v>
      </c>
      <c r="C17" s="309" t="s">
        <v>1006</v>
      </c>
      <c r="D17" s="310"/>
      <c r="E17" s="310"/>
      <c r="F17" s="310"/>
      <c r="G17" s="310"/>
      <c r="H17" s="310"/>
      <c r="I17" s="309"/>
      <c r="J17" s="309"/>
      <c r="K17" s="309"/>
      <c r="L17" s="309"/>
      <c r="M17" s="309"/>
    </row>
    <row r="18" spans="2:14" x14ac:dyDescent="0.35">
      <c r="B18" s="336" t="s">
        <v>1007</v>
      </c>
      <c r="C18" s="309" t="s">
        <v>1006</v>
      </c>
      <c r="D18" s="310"/>
      <c r="E18" s="310"/>
      <c r="F18" s="310"/>
      <c r="G18" s="310"/>
      <c r="H18" s="310"/>
      <c r="I18" s="309"/>
      <c r="J18" s="309"/>
      <c r="K18" s="309"/>
      <c r="L18" s="309"/>
      <c r="M18" s="309"/>
    </row>
    <row r="19" spans="2:14" x14ac:dyDescent="0.35">
      <c r="B19" s="349" t="s">
        <v>1008</v>
      </c>
      <c r="C19" s="309" t="s">
        <v>1006</v>
      </c>
      <c r="D19" s="310"/>
      <c r="E19" s="310"/>
      <c r="F19" s="310"/>
      <c r="G19" s="310"/>
      <c r="H19" s="310"/>
      <c r="I19" s="309"/>
      <c r="J19" s="309"/>
      <c r="K19" s="309"/>
      <c r="L19" s="309"/>
      <c r="M19" s="309"/>
    </row>
    <row r="20" spans="2:14" x14ac:dyDescent="0.35">
      <c r="B20" s="349" t="s">
        <v>1009</v>
      </c>
      <c r="C20" s="309" t="s">
        <v>1006</v>
      </c>
      <c r="D20" s="310"/>
      <c r="E20" s="310"/>
      <c r="F20" s="310"/>
      <c r="G20" s="310"/>
      <c r="H20" s="310"/>
      <c r="I20" s="309"/>
      <c r="J20" s="309"/>
      <c r="K20" s="309"/>
      <c r="L20" s="309"/>
      <c r="M20" s="309"/>
    </row>
    <row r="21" spans="2:14" ht="14.25" x14ac:dyDescent="0.35">
      <c r="B21" s="349" t="s">
        <v>1010</v>
      </c>
      <c r="C21" s="309" t="s">
        <v>1006</v>
      </c>
      <c r="D21" s="310"/>
      <c r="E21" s="310"/>
      <c r="F21" s="310"/>
      <c r="G21" s="310"/>
      <c r="H21" s="310"/>
      <c r="I21" s="309"/>
      <c r="J21" s="295"/>
      <c r="K21" s="295"/>
      <c r="L21" s="295"/>
      <c r="M21" s="295"/>
    </row>
    <row r="22" spans="2:14" ht="14.25" x14ac:dyDescent="0.35">
      <c r="B22" s="336" t="s">
        <v>1011</v>
      </c>
      <c r="C22" s="309" t="s">
        <v>1006</v>
      </c>
      <c r="D22" s="310"/>
      <c r="E22" s="310"/>
      <c r="F22" s="310"/>
      <c r="G22" s="310"/>
      <c r="H22" s="310"/>
      <c r="I22" s="309"/>
      <c r="J22" s="295"/>
      <c r="K22" s="295"/>
      <c r="L22" s="295"/>
      <c r="M22" s="295"/>
    </row>
    <row r="23" spans="2:14" x14ac:dyDescent="0.35">
      <c r="B23" s="336" t="s">
        <v>1012</v>
      </c>
      <c r="C23" s="309" t="s">
        <v>1006</v>
      </c>
      <c r="D23" s="310"/>
      <c r="E23" s="310"/>
      <c r="F23" s="310"/>
      <c r="G23" s="310"/>
      <c r="H23" s="310"/>
      <c r="I23" s="309"/>
      <c r="J23" s="309"/>
      <c r="K23" s="309"/>
      <c r="L23" s="309"/>
      <c r="M23" s="309"/>
    </row>
    <row r="24" spans="2:14" x14ac:dyDescent="0.35">
      <c r="B24" s="348" t="s">
        <v>1013</v>
      </c>
      <c r="C24" s="309"/>
      <c r="D24" s="310"/>
      <c r="E24" s="310"/>
      <c r="F24" s="310"/>
      <c r="G24" s="310"/>
      <c r="H24" s="310"/>
      <c r="I24" s="309"/>
      <c r="J24" s="309"/>
      <c r="K24" s="309"/>
      <c r="L24" s="309"/>
      <c r="M24" s="309"/>
    </row>
    <row r="25" spans="2:14" x14ac:dyDescent="0.35">
      <c r="B25" s="336" t="s">
        <v>1005</v>
      </c>
      <c r="C25" s="309" t="s">
        <v>1014</v>
      </c>
      <c r="D25" s="310"/>
      <c r="E25" s="310"/>
      <c r="F25" s="310"/>
      <c r="G25" s="310"/>
      <c r="H25" s="310"/>
      <c r="I25" s="309"/>
      <c r="J25" s="309"/>
      <c r="K25" s="309"/>
      <c r="L25" s="309"/>
      <c r="M25" s="309"/>
    </row>
    <row r="26" spans="2:14" x14ac:dyDescent="0.35">
      <c r="B26" s="336" t="s">
        <v>1007</v>
      </c>
      <c r="C26" s="309" t="s">
        <v>1014</v>
      </c>
      <c r="D26" s="310"/>
      <c r="E26" s="310"/>
      <c r="F26" s="310"/>
      <c r="G26" s="310"/>
      <c r="H26" s="310"/>
      <c r="I26" s="309"/>
      <c r="J26" s="309"/>
      <c r="K26" s="309"/>
      <c r="L26" s="309"/>
      <c r="M26" s="309"/>
    </row>
    <row r="27" spans="2:14" x14ac:dyDescent="0.35">
      <c r="B27" s="349" t="s">
        <v>1008</v>
      </c>
      <c r="C27" s="309" t="s">
        <v>1014</v>
      </c>
      <c r="D27" s="310"/>
      <c r="E27" s="310"/>
      <c r="F27" s="310"/>
      <c r="G27" s="310"/>
      <c r="H27" s="310"/>
      <c r="I27" s="309"/>
      <c r="J27" s="309"/>
      <c r="K27" s="309"/>
      <c r="L27" s="309"/>
      <c r="M27" s="309"/>
    </row>
    <row r="28" spans="2:14" x14ac:dyDescent="0.35">
      <c r="B28" s="349" t="s">
        <v>1009</v>
      </c>
      <c r="C28" s="309" t="s">
        <v>1014</v>
      </c>
      <c r="D28" s="310"/>
      <c r="E28" s="310"/>
      <c r="F28" s="310"/>
      <c r="G28" s="310"/>
      <c r="H28" s="310"/>
      <c r="I28" s="309"/>
      <c r="J28" s="309"/>
      <c r="K28" s="309"/>
      <c r="L28" s="309"/>
      <c r="M28" s="309"/>
    </row>
    <row r="29" spans="2:14" x14ac:dyDescent="0.35">
      <c r="B29" s="349" t="s">
        <v>1010</v>
      </c>
      <c r="C29" s="309" t="s">
        <v>1014</v>
      </c>
      <c r="D29" s="310"/>
      <c r="E29" s="310"/>
      <c r="F29" s="310"/>
      <c r="G29" s="310"/>
      <c r="H29" s="310"/>
      <c r="I29" s="288"/>
      <c r="J29" s="309"/>
      <c r="K29" s="309"/>
      <c r="L29" s="309"/>
      <c r="M29" s="309"/>
      <c r="N29" s="350"/>
    </row>
    <row r="30" spans="2:14" x14ac:dyDescent="0.35">
      <c r="B30" s="336" t="s">
        <v>1011</v>
      </c>
      <c r="C30" s="309" t="s">
        <v>1014</v>
      </c>
      <c r="D30" s="310"/>
      <c r="E30" s="310"/>
      <c r="F30" s="310"/>
      <c r="G30" s="310"/>
      <c r="H30" s="310"/>
      <c r="I30" s="288"/>
      <c r="J30" s="309"/>
      <c r="K30" s="309"/>
      <c r="L30" s="309"/>
      <c r="M30" s="309"/>
    </row>
    <row r="31" spans="2:14" x14ac:dyDescent="0.35">
      <c r="B31" s="336" t="s">
        <v>1012</v>
      </c>
      <c r="C31" s="309" t="s">
        <v>1014</v>
      </c>
      <c r="D31" s="310"/>
      <c r="E31" s="310"/>
      <c r="F31" s="310"/>
      <c r="G31" s="310"/>
      <c r="H31" s="310"/>
      <c r="I31" s="309"/>
      <c r="J31" s="309"/>
      <c r="K31" s="309"/>
      <c r="L31" s="309"/>
      <c r="M31" s="309"/>
    </row>
    <row r="32" spans="2:14" x14ac:dyDescent="0.35">
      <c r="B32" s="348" t="s">
        <v>1015</v>
      </c>
      <c r="C32" s="309"/>
      <c r="D32" s="310"/>
      <c r="E32" s="310"/>
      <c r="F32" s="310"/>
      <c r="G32" s="310"/>
      <c r="H32" s="310"/>
      <c r="I32" s="309"/>
      <c r="J32" s="309"/>
      <c r="K32" s="309"/>
      <c r="L32" s="309"/>
      <c r="M32" s="309"/>
    </row>
    <row r="33" spans="2:13" x14ac:dyDescent="0.35">
      <c r="B33" s="336" t="s">
        <v>1005</v>
      </c>
      <c r="C33" s="309" t="s">
        <v>1016</v>
      </c>
      <c r="D33" s="310"/>
      <c r="E33" s="310"/>
      <c r="F33" s="310"/>
      <c r="G33" s="310"/>
      <c r="H33" s="310"/>
      <c r="I33" s="309"/>
      <c r="J33" s="309"/>
      <c r="K33" s="309"/>
      <c r="L33" s="309"/>
      <c r="M33" s="309"/>
    </row>
    <row r="34" spans="2:13" x14ac:dyDescent="0.35">
      <c r="B34" s="336" t="s">
        <v>1007</v>
      </c>
      <c r="C34" s="309" t="s">
        <v>1016</v>
      </c>
      <c r="D34" s="310"/>
      <c r="E34" s="310"/>
      <c r="F34" s="310"/>
      <c r="G34" s="310"/>
      <c r="H34" s="310"/>
      <c r="I34" s="309"/>
      <c r="J34" s="309"/>
      <c r="K34" s="309"/>
      <c r="L34" s="309"/>
      <c r="M34" s="309"/>
    </row>
    <row r="35" spans="2:13" x14ac:dyDescent="0.35">
      <c r="B35" s="349" t="s">
        <v>1008</v>
      </c>
      <c r="C35" s="309" t="s">
        <v>1016</v>
      </c>
      <c r="D35" s="310"/>
      <c r="E35" s="310"/>
      <c r="F35" s="310"/>
      <c r="G35" s="310"/>
      <c r="H35" s="310"/>
      <c r="I35" s="309"/>
      <c r="J35" s="309"/>
      <c r="K35" s="309"/>
      <c r="L35" s="309"/>
      <c r="M35" s="309"/>
    </row>
    <row r="36" spans="2:13" x14ac:dyDescent="0.35">
      <c r="B36" s="349" t="s">
        <v>1009</v>
      </c>
      <c r="C36" s="309" t="s">
        <v>1016</v>
      </c>
      <c r="D36" s="310"/>
      <c r="E36" s="310"/>
      <c r="F36" s="310"/>
      <c r="G36" s="310"/>
      <c r="H36" s="310"/>
      <c r="I36" s="309"/>
      <c r="J36" s="309"/>
      <c r="K36" s="309"/>
      <c r="L36" s="309"/>
      <c r="M36" s="309"/>
    </row>
    <row r="37" spans="2:13" x14ac:dyDescent="0.35">
      <c r="B37" s="349" t="s">
        <v>1010</v>
      </c>
      <c r="C37" s="309" t="s">
        <v>1016</v>
      </c>
      <c r="D37" s="310"/>
      <c r="E37" s="310"/>
      <c r="F37" s="310"/>
      <c r="G37" s="310"/>
      <c r="H37" s="310"/>
      <c r="I37" s="351"/>
      <c r="J37" s="309"/>
      <c r="K37" s="309"/>
      <c r="L37" s="309"/>
      <c r="M37" s="309"/>
    </row>
    <row r="38" spans="2:13" x14ac:dyDescent="0.35">
      <c r="B38" s="336" t="s">
        <v>1011</v>
      </c>
      <c r="C38" s="309" t="s">
        <v>1016</v>
      </c>
      <c r="D38" s="310"/>
      <c r="E38" s="310"/>
      <c r="F38" s="310"/>
      <c r="G38" s="310"/>
      <c r="H38" s="310"/>
      <c r="I38" s="351"/>
      <c r="J38" s="309"/>
      <c r="K38" s="309"/>
      <c r="L38" s="309"/>
      <c r="M38" s="309"/>
    </row>
    <row r="39" spans="2:13" x14ac:dyDescent="0.35">
      <c r="B39" s="336" t="s">
        <v>1012</v>
      </c>
      <c r="C39" s="309" t="s">
        <v>1017</v>
      </c>
      <c r="D39" s="310"/>
      <c r="E39" s="310"/>
      <c r="F39" s="310"/>
      <c r="G39" s="310"/>
      <c r="H39" s="310"/>
      <c r="I39" s="351"/>
      <c r="J39" s="309"/>
      <c r="K39" s="309"/>
      <c r="L39" s="309"/>
      <c r="M39" s="309"/>
    </row>
    <row r="40" spans="2:13" x14ac:dyDescent="0.35">
      <c r="B40" s="348" t="s">
        <v>1018</v>
      </c>
      <c r="C40" s="309"/>
      <c r="D40" s="310"/>
      <c r="E40" s="310"/>
      <c r="F40" s="310"/>
      <c r="G40" s="310"/>
      <c r="H40" s="310"/>
      <c r="I40" s="351"/>
      <c r="J40" s="309"/>
      <c r="K40" s="309"/>
      <c r="L40" s="309"/>
      <c r="M40" s="309"/>
    </row>
    <row r="41" spans="2:13" x14ac:dyDescent="0.35">
      <c r="B41" s="336" t="s">
        <v>1005</v>
      </c>
      <c r="C41" s="309" t="s">
        <v>1016</v>
      </c>
      <c r="D41" s="310"/>
      <c r="E41" s="310"/>
      <c r="F41" s="310"/>
      <c r="G41" s="310"/>
      <c r="H41" s="310"/>
      <c r="I41" s="351"/>
      <c r="J41" s="309"/>
      <c r="K41" s="309"/>
      <c r="L41" s="309"/>
      <c r="M41" s="309"/>
    </row>
    <row r="42" spans="2:13" x14ac:dyDescent="0.35">
      <c r="B42" s="336" t="s">
        <v>1007</v>
      </c>
      <c r="C42" s="309" t="s">
        <v>1016</v>
      </c>
      <c r="D42" s="310"/>
      <c r="E42" s="310"/>
      <c r="F42" s="310"/>
      <c r="G42" s="310"/>
      <c r="H42" s="310"/>
      <c r="I42" s="351"/>
      <c r="J42" s="309"/>
      <c r="K42" s="309"/>
      <c r="L42" s="309"/>
      <c r="M42" s="309"/>
    </row>
    <row r="43" spans="2:13" x14ac:dyDescent="0.35">
      <c r="B43" s="349" t="s">
        <v>1008</v>
      </c>
      <c r="C43" s="309" t="s">
        <v>1016</v>
      </c>
      <c r="D43" s="310"/>
      <c r="E43" s="310"/>
      <c r="F43" s="310"/>
      <c r="G43" s="310"/>
      <c r="H43" s="310"/>
      <c r="I43" s="351"/>
      <c r="J43" s="309"/>
      <c r="K43" s="309"/>
      <c r="L43" s="309"/>
      <c r="M43" s="309"/>
    </row>
    <row r="44" spans="2:13" x14ac:dyDescent="0.35">
      <c r="B44" s="349" t="s">
        <v>1009</v>
      </c>
      <c r="C44" s="309" t="s">
        <v>1016</v>
      </c>
      <c r="D44" s="310"/>
      <c r="E44" s="310"/>
      <c r="F44" s="310"/>
      <c r="G44" s="310"/>
      <c r="H44" s="310"/>
      <c r="I44" s="351"/>
      <c r="J44" s="309"/>
      <c r="K44" s="309"/>
      <c r="L44" s="309"/>
      <c r="M44" s="309"/>
    </row>
    <row r="45" spans="2:13" x14ac:dyDescent="0.35">
      <c r="B45" s="349" t="s">
        <v>1010</v>
      </c>
      <c r="C45" s="309" t="s">
        <v>1016</v>
      </c>
      <c r="D45" s="310"/>
      <c r="E45" s="310"/>
      <c r="F45" s="310"/>
      <c r="G45" s="310"/>
      <c r="H45" s="310"/>
      <c r="I45" s="351"/>
      <c r="J45" s="309"/>
      <c r="K45" s="309"/>
      <c r="L45" s="309"/>
      <c r="M45" s="309"/>
    </row>
    <row r="46" spans="2:13" x14ac:dyDescent="0.35">
      <c r="B46" s="336" t="s">
        <v>1011</v>
      </c>
      <c r="C46" s="309" t="s">
        <v>1016</v>
      </c>
      <c r="D46" s="310"/>
      <c r="E46" s="310"/>
      <c r="F46" s="310"/>
      <c r="G46" s="310"/>
      <c r="H46" s="310"/>
      <c r="I46" s="351"/>
      <c r="J46" s="309"/>
      <c r="K46" s="309"/>
      <c r="L46" s="309"/>
      <c r="M46" s="309"/>
    </row>
    <row r="47" spans="2:13" x14ac:dyDescent="0.35">
      <c r="B47" s="336" t="s">
        <v>1012</v>
      </c>
      <c r="C47" s="309" t="s">
        <v>1017</v>
      </c>
      <c r="D47" s="310"/>
      <c r="E47" s="310"/>
      <c r="F47" s="310"/>
      <c r="G47" s="310"/>
      <c r="H47" s="310"/>
      <c r="I47" s="309"/>
      <c r="J47" s="309"/>
      <c r="K47" s="309"/>
      <c r="L47" s="309"/>
      <c r="M47" s="309"/>
    </row>
    <row r="48" spans="2:13" x14ac:dyDescent="0.35">
      <c r="B48" s="352"/>
    </row>
    <row r="49" spans="2:2" x14ac:dyDescent="0.35">
      <c r="B49" s="352"/>
    </row>
  </sheetData>
  <mergeCells count="2">
    <mergeCell ref="D2:H2"/>
    <mergeCell ref="I2:M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F7832-9F1E-42E2-952A-77D520B03D2F}">
  <dimension ref="B2:P427"/>
  <sheetViews>
    <sheetView showGridLines="0" view="pageBreakPreview" topLeftCell="A148" zoomScale="60" zoomScaleNormal="75" zoomScalePageLayoutView="110" workbookViewId="0">
      <selection activeCell="I177" sqref="I177:N178"/>
    </sheetView>
  </sheetViews>
  <sheetFormatPr defaultColWidth="9.33203125" defaultRowHeight="13.9" x14ac:dyDescent="0.4"/>
  <cols>
    <col min="1" max="1" width="9.33203125" style="1"/>
    <col min="2" max="2" width="44.1328125" style="1" customWidth="1"/>
    <col min="3" max="3" width="13.6640625" style="1" customWidth="1"/>
    <col min="4" max="4" width="14.6640625" style="1" customWidth="1"/>
    <col min="5" max="6" width="14.33203125" style="1" customWidth="1"/>
    <col min="7" max="7" width="15.46484375" style="1" customWidth="1"/>
    <col min="8" max="8" width="17.33203125" style="1" customWidth="1"/>
    <col min="9" max="10" width="14.53125" style="1" customWidth="1"/>
    <col min="11" max="11" width="16.6640625" style="1" customWidth="1"/>
    <col min="12" max="12" width="18.6640625" style="1" customWidth="1"/>
    <col min="13" max="13" width="18.46484375" style="1" customWidth="1"/>
    <col min="14" max="14" width="14.46484375" style="1" customWidth="1"/>
    <col min="15" max="15" width="16.6640625" style="1" customWidth="1"/>
    <col min="16" max="253" width="9.33203125" style="1"/>
    <col min="254" max="254" width="15.6640625" style="1" customWidth="1"/>
    <col min="255" max="255" width="30.46484375" style="1" customWidth="1"/>
    <col min="256" max="267" width="10.6640625" style="1" customWidth="1"/>
    <col min="268" max="268" width="12.53125" style="1" customWidth="1"/>
    <col min="269" max="269" width="6.33203125" style="1" bestFit="1" customWidth="1"/>
    <col min="270" max="270" width="11.53125" style="1" customWidth="1"/>
    <col min="271" max="509" width="9.33203125" style="1"/>
    <col min="510" max="510" width="15.6640625" style="1" customWidth="1"/>
    <col min="511" max="511" width="30.46484375" style="1" customWidth="1"/>
    <col min="512" max="523" width="10.6640625" style="1" customWidth="1"/>
    <col min="524" max="524" width="12.53125" style="1" customWidth="1"/>
    <col min="525" max="525" width="6.33203125" style="1" bestFit="1" customWidth="1"/>
    <col min="526" max="526" width="11.53125" style="1" customWidth="1"/>
    <col min="527" max="765" width="9.33203125" style="1"/>
    <col min="766" max="766" width="15.6640625" style="1" customWidth="1"/>
    <col min="767" max="767" width="30.46484375" style="1" customWidth="1"/>
    <col min="768" max="779" width="10.6640625" style="1" customWidth="1"/>
    <col min="780" max="780" width="12.53125" style="1" customWidth="1"/>
    <col min="781" max="781" width="6.33203125" style="1" bestFit="1" customWidth="1"/>
    <col min="782" max="782" width="11.53125" style="1" customWidth="1"/>
    <col min="783" max="1021" width="9.33203125" style="1"/>
    <col min="1022" max="1022" width="15.6640625" style="1" customWidth="1"/>
    <col min="1023" max="1023" width="30.46484375" style="1" customWidth="1"/>
    <col min="1024" max="1035" width="10.6640625" style="1" customWidth="1"/>
    <col min="1036" max="1036" width="12.53125" style="1" customWidth="1"/>
    <col min="1037" max="1037" width="6.33203125" style="1" bestFit="1" customWidth="1"/>
    <col min="1038" max="1038" width="11.53125" style="1" customWidth="1"/>
    <col min="1039" max="1277" width="9.33203125" style="1"/>
    <col min="1278" max="1278" width="15.6640625" style="1" customWidth="1"/>
    <col min="1279" max="1279" width="30.46484375" style="1" customWidth="1"/>
    <col min="1280" max="1291" width="10.6640625" style="1" customWidth="1"/>
    <col min="1292" max="1292" width="12.53125" style="1" customWidth="1"/>
    <col min="1293" max="1293" width="6.33203125" style="1" bestFit="1" customWidth="1"/>
    <col min="1294" max="1294" width="11.53125" style="1" customWidth="1"/>
    <col min="1295" max="1533" width="9.33203125" style="1"/>
    <col min="1534" max="1534" width="15.6640625" style="1" customWidth="1"/>
    <col min="1535" max="1535" width="30.46484375" style="1" customWidth="1"/>
    <col min="1536" max="1547" width="10.6640625" style="1" customWidth="1"/>
    <col min="1548" max="1548" width="12.53125" style="1" customWidth="1"/>
    <col min="1549" max="1549" width="6.33203125" style="1" bestFit="1" customWidth="1"/>
    <col min="1550" max="1550" width="11.53125" style="1" customWidth="1"/>
    <col min="1551" max="1789" width="9.33203125" style="1"/>
    <col min="1790" max="1790" width="15.6640625" style="1" customWidth="1"/>
    <col min="1791" max="1791" width="30.46484375" style="1" customWidth="1"/>
    <col min="1792" max="1803" width="10.6640625" style="1" customWidth="1"/>
    <col min="1804" max="1804" width="12.53125" style="1" customWidth="1"/>
    <col min="1805" max="1805" width="6.33203125" style="1" bestFit="1" customWidth="1"/>
    <col min="1806" max="1806" width="11.53125" style="1" customWidth="1"/>
    <col min="1807" max="2045" width="9.33203125" style="1"/>
    <col min="2046" max="2046" width="15.6640625" style="1" customWidth="1"/>
    <col min="2047" max="2047" width="30.46484375" style="1" customWidth="1"/>
    <col min="2048" max="2059" width="10.6640625" style="1" customWidth="1"/>
    <col min="2060" max="2060" width="12.53125" style="1" customWidth="1"/>
    <col min="2061" max="2061" width="6.33203125" style="1" bestFit="1" customWidth="1"/>
    <col min="2062" max="2062" width="11.53125" style="1" customWidth="1"/>
    <col min="2063" max="2301" width="9.33203125" style="1"/>
    <col min="2302" max="2302" width="15.6640625" style="1" customWidth="1"/>
    <col min="2303" max="2303" width="30.46484375" style="1" customWidth="1"/>
    <col min="2304" max="2315" width="10.6640625" style="1" customWidth="1"/>
    <col min="2316" max="2316" width="12.53125" style="1" customWidth="1"/>
    <col min="2317" max="2317" width="6.33203125" style="1" bestFit="1" customWidth="1"/>
    <col min="2318" max="2318" width="11.53125" style="1" customWidth="1"/>
    <col min="2319" max="2557" width="9.33203125" style="1"/>
    <col min="2558" max="2558" width="15.6640625" style="1" customWidth="1"/>
    <col min="2559" max="2559" width="30.46484375" style="1" customWidth="1"/>
    <col min="2560" max="2571" width="10.6640625" style="1" customWidth="1"/>
    <col min="2572" max="2572" width="12.53125" style="1" customWidth="1"/>
    <col min="2573" max="2573" width="6.33203125" style="1" bestFit="1" customWidth="1"/>
    <col min="2574" max="2574" width="11.53125" style="1" customWidth="1"/>
    <col min="2575" max="2813" width="9.33203125" style="1"/>
    <col min="2814" max="2814" width="15.6640625" style="1" customWidth="1"/>
    <col min="2815" max="2815" width="30.46484375" style="1" customWidth="1"/>
    <col min="2816" max="2827" width="10.6640625" style="1" customWidth="1"/>
    <col min="2828" max="2828" width="12.53125" style="1" customWidth="1"/>
    <col min="2829" max="2829" width="6.33203125" style="1" bestFit="1" customWidth="1"/>
    <col min="2830" max="2830" width="11.53125" style="1" customWidth="1"/>
    <col min="2831" max="3069" width="9.33203125" style="1"/>
    <col min="3070" max="3070" width="15.6640625" style="1" customWidth="1"/>
    <col min="3071" max="3071" width="30.46484375" style="1" customWidth="1"/>
    <col min="3072" max="3083" width="10.6640625" style="1" customWidth="1"/>
    <col min="3084" max="3084" width="12.53125" style="1" customWidth="1"/>
    <col min="3085" max="3085" width="6.33203125" style="1" bestFit="1" customWidth="1"/>
    <col min="3086" max="3086" width="11.53125" style="1" customWidth="1"/>
    <col min="3087" max="3325" width="9.33203125" style="1"/>
    <col min="3326" max="3326" width="15.6640625" style="1" customWidth="1"/>
    <col min="3327" max="3327" width="30.46484375" style="1" customWidth="1"/>
    <col min="3328" max="3339" width="10.6640625" style="1" customWidth="1"/>
    <col min="3340" max="3340" width="12.53125" style="1" customWidth="1"/>
    <col min="3341" max="3341" width="6.33203125" style="1" bestFit="1" customWidth="1"/>
    <col min="3342" max="3342" width="11.53125" style="1" customWidth="1"/>
    <col min="3343" max="3581" width="9.33203125" style="1"/>
    <col min="3582" max="3582" width="15.6640625" style="1" customWidth="1"/>
    <col min="3583" max="3583" width="30.46484375" style="1" customWidth="1"/>
    <col min="3584" max="3595" width="10.6640625" style="1" customWidth="1"/>
    <col min="3596" max="3596" width="12.53125" style="1" customWidth="1"/>
    <col min="3597" max="3597" width="6.33203125" style="1" bestFit="1" customWidth="1"/>
    <col min="3598" max="3598" width="11.53125" style="1" customWidth="1"/>
    <col min="3599" max="3837" width="9.33203125" style="1"/>
    <col min="3838" max="3838" width="15.6640625" style="1" customWidth="1"/>
    <col min="3839" max="3839" width="30.46484375" style="1" customWidth="1"/>
    <col min="3840" max="3851" width="10.6640625" style="1" customWidth="1"/>
    <col min="3852" max="3852" width="12.53125" style="1" customWidth="1"/>
    <col min="3853" max="3853" width="6.33203125" style="1" bestFit="1" customWidth="1"/>
    <col min="3854" max="3854" width="11.53125" style="1" customWidth="1"/>
    <col min="3855" max="4093" width="9.33203125" style="1"/>
    <col min="4094" max="4094" width="15.6640625" style="1" customWidth="1"/>
    <col min="4095" max="4095" width="30.46484375" style="1" customWidth="1"/>
    <col min="4096" max="4107" width="10.6640625" style="1" customWidth="1"/>
    <col min="4108" max="4108" width="12.53125" style="1" customWidth="1"/>
    <col min="4109" max="4109" width="6.33203125" style="1" bestFit="1" customWidth="1"/>
    <col min="4110" max="4110" width="11.53125" style="1" customWidth="1"/>
    <col min="4111" max="4349" width="9.33203125" style="1"/>
    <col min="4350" max="4350" width="15.6640625" style="1" customWidth="1"/>
    <col min="4351" max="4351" width="30.46484375" style="1" customWidth="1"/>
    <col min="4352" max="4363" width="10.6640625" style="1" customWidth="1"/>
    <col min="4364" max="4364" width="12.53125" style="1" customWidth="1"/>
    <col min="4365" max="4365" width="6.33203125" style="1" bestFit="1" customWidth="1"/>
    <col min="4366" max="4366" width="11.53125" style="1" customWidth="1"/>
    <col min="4367" max="4605" width="9.33203125" style="1"/>
    <col min="4606" max="4606" width="15.6640625" style="1" customWidth="1"/>
    <col min="4607" max="4607" width="30.46484375" style="1" customWidth="1"/>
    <col min="4608" max="4619" width="10.6640625" style="1" customWidth="1"/>
    <col min="4620" max="4620" width="12.53125" style="1" customWidth="1"/>
    <col min="4621" max="4621" width="6.33203125" style="1" bestFit="1" customWidth="1"/>
    <col min="4622" max="4622" width="11.53125" style="1" customWidth="1"/>
    <col min="4623" max="4861" width="9.33203125" style="1"/>
    <col min="4862" max="4862" width="15.6640625" style="1" customWidth="1"/>
    <col min="4863" max="4863" width="30.46484375" style="1" customWidth="1"/>
    <col min="4864" max="4875" width="10.6640625" style="1" customWidth="1"/>
    <col min="4876" max="4876" width="12.53125" style="1" customWidth="1"/>
    <col min="4877" max="4877" width="6.33203125" style="1" bestFit="1" customWidth="1"/>
    <col min="4878" max="4878" width="11.53125" style="1" customWidth="1"/>
    <col min="4879" max="5117" width="9.33203125" style="1"/>
    <col min="5118" max="5118" width="15.6640625" style="1" customWidth="1"/>
    <col min="5119" max="5119" width="30.46484375" style="1" customWidth="1"/>
    <col min="5120" max="5131" width="10.6640625" style="1" customWidth="1"/>
    <col min="5132" max="5132" width="12.53125" style="1" customWidth="1"/>
    <col min="5133" max="5133" width="6.33203125" style="1" bestFit="1" customWidth="1"/>
    <col min="5134" max="5134" width="11.53125" style="1" customWidth="1"/>
    <col min="5135" max="5373" width="9.33203125" style="1"/>
    <col min="5374" max="5374" width="15.6640625" style="1" customWidth="1"/>
    <col min="5375" max="5375" width="30.46484375" style="1" customWidth="1"/>
    <col min="5376" max="5387" width="10.6640625" style="1" customWidth="1"/>
    <col min="5388" max="5388" width="12.53125" style="1" customWidth="1"/>
    <col min="5389" max="5389" width="6.33203125" style="1" bestFit="1" customWidth="1"/>
    <col min="5390" max="5390" width="11.53125" style="1" customWidth="1"/>
    <col min="5391" max="5629" width="9.33203125" style="1"/>
    <col min="5630" max="5630" width="15.6640625" style="1" customWidth="1"/>
    <col min="5631" max="5631" width="30.46484375" style="1" customWidth="1"/>
    <col min="5632" max="5643" width="10.6640625" style="1" customWidth="1"/>
    <col min="5644" max="5644" width="12.53125" style="1" customWidth="1"/>
    <col min="5645" max="5645" width="6.33203125" style="1" bestFit="1" customWidth="1"/>
    <col min="5646" max="5646" width="11.53125" style="1" customWidth="1"/>
    <col min="5647" max="5885" width="9.33203125" style="1"/>
    <col min="5886" max="5886" width="15.6640625" style="1" customWidth="1"/>
    <col min="5887" max="5887" width="30.46484375" style="1" customWidth="1"/>
    <col min="5888" max="5899" width="10.6640625" style="1" customWidth="1"/>
    <col min="5900" max="5900" width="12.53125" style="1" customWidth="1"/>
    <col min="5901" max="5901" width="6.33203125" style="1" bestFit="1" customWidth="1"/>
    <col min="5902" max="5902" width="11.53125" style="1" customWidth="1"/>
    <col min="5903" max="6141" width="9.33203125" style="1"/>
    <col min="6142" max="6142" width="15.6640625" style="1" customWidth="1"/>
    <col min="6143" max="6143" width="30.46484375" style="1" customWidth="1"/>
    <col min="6144" max="6155" width="10.6640625" style="1" customWidth="1"/>
    <col min="6156" max="6156" width="12.53125" style="1" customWidth="1"/>
    <col min="6157" max="6157" width="6.33203125" style="1" bestFit="1" customWidth="1"/>
    <col min="6158" max="6158" width="11.53125" style="1" customWidth="1"/>
    <col min="6159" max="6397" width="9.33203125" style="1"/>
    <col min="6398" max="6398" width="15.6640625" style="1" customWidth="1"/>
    <col min="6399" max="6399" width="30.46484375" style="1" customWidth="1"/>
    <col min="6400" max="6411" width="10.6640625" style="1" customWidth="1"/>
    <col min="6412" max="6412" width="12.53125" style="1" customWidth="1"/>
    <col min="6413" max="6413" width="6.33203125" style="1" bestFit="1" customWidth="1"/>
    <col min="6414" max="6414" width="11.53125" style="1" customWidth="1"/>
    <col min="6415" max="6653" width="9.33203125" style="1"/>
    <col min="6654" max="6654" width="15.6640625" style="1" customWidth="1"/>
    <col min="6655" max="6655" width="30.46484375" style="1" customWidth="1"/>
    <col min="6656" max="6667" width="10.6640625" style="1" customWidth="1"/>
    <col min="6668" max="6668" width="12.53125" style="1" customWidth="1"/>
    <col min="6669" max="6669" width="6.33203125" style="1" bestFit="1" customWidth="1"/>
    <col min="6670" max="6670" width="11.53125" style="1" customWidth="1"/>
    <col min="6671" max="6909" width="9.33203125" style="1"/>
    <col min="6910" max="6910" width="15.6640625" style="1" customWidth="1"/>
    <col min="6911" max="6911" width="30.46484375" style="1" customWidth="1"/>
    <col min="6912" max="6923" width="10.6640625" style="1" customWidth="1"/>
    <col min="6924" max="6924" width="12.53125" style="1" customWidth="1"/>
    <col min="6925" max="6925" width="6.33203125" style="1" bestFit="1" customWidth="1"/>
    <col min="6926" max="6926" width="11.53125" style="1" customWidth="1"/>
    <col min="6927" max="7165" width="9.33203125" style="1"/>
    <col min="7166" max="7166" width="15.6640625" style="1" customWidth="1"/>
    <col min="7167" max="7167" width="30.46484375" style="1" customWidth="1"/>
    <col min="7168" max="7179" width="10.6640625" style="1" customWidth="1"/>
    <col min="7180" max="7180" width="12.53125" style="1" customWidth="1"/>
    <col min="7181" max="7181" width="6.33203125" style="1" bestFit="1" customWidth="1"/>
    <col min="7182" max="7182" width="11.53125" style="1" customWidth="1"/>
    <col min="7183" max="7421" width="9.33203125" style="1"/>
    <col min="7422" max="7422" width="15.6640625" style="1" customWidth="1"/>
    <col min="7423" max="7423" width="30.46484375" style="1" customWidth="1"/>
    <col min="7424" max="7435" width="10.6640625" style="1" customWidth="1"/>
    <col min="7436" max="7436" width="12.53125" style="1" customWidth="1"/>
    <col min="7437" max="7437" width="6.33203125" style="1" bestFit="1" customWidth="1"/>
    <col min="7438" max="7438" width="11.53125" style="1" customWidth="1"/>
    <col min="7439" max="7677" width="9.33203125" style="1"/>
    <col min="7678" max="7678" width="15.6640625" style="1" customWidth="1"/>
    <col min="7679" max="7679" width="30.46484375" style="1" customWidth="1"/>
    <col min="7680" max="7691" width="10.6640625" style="1" customWidth="1"/>
    <col min="7692" max="7692" width="12.53125" style="1" customWidth="1"/>
    <col min="7693" max="7693" width="6.33203125" style="1" bestFit="1" customWidth="1"/>
    <col min="7694" max="7694" width="11.53125" style="1" customWidth="1"/>
    <col min="7695" max="7933" width="9.33203125" style="1"/>
    <col min="7934" max="7934" width="15.6640625" style="1" customWidth="1"/>
    <col min="7935" max="7935" width="30.46484375" style="1" customWidth="1"/>
    <col min="7936" max="7947" width="10.6640625" style="1" customWidth="1"/>
    <col min="7948" max="7948" width="12.53125" style="1" customWidth="1"/>
    <col min="7949" max="7949" width="6.33203125" style="1" bestFit="1" customWidth="1"/>
    <col min="7950" max="7950" width="11.53125" style="1" customWidth="1"/>
    <col min="7951" max="8189" width="9.33203125" style="1"/>
    <col min="8190" max="8190" width="15.6640625" style="1" customWidth="1"/>
    <col min="8191" max="8191" width="30.46484375" style="1" customWidth="1"/>
    <col min="8192" max="8203" width="10.6640625" style="1" customWidth="1"/>
    <col min="8204" max="8204" width="12.53125" style="1" customWidth="1"/>
    <col min="8205" max="8205" width="6.33203125" style="1" bestFit="1" customWidth="1"/>
    <col min="8206" max="8206" width="11.53125" style="1" customWidth="1"/>
    <col min="8207" max="8445" width="9.33203125" style="1"/>
    <col min="8446" max="8446" width="15.6640625" style="1" customWidth="1"/>
    <col min="8447" max="8447" width="30.46484375" style="1" customWidth="1"/>
    <col min="8448" max="8459" width="10.6640625" style="1" customWidth="1"/>
    <col min="8460" max="8460" width="12.53125" style="1" customWidth="1"/>
    <col min="8461" max="8461" width="6.33203125" style="1" bestFit="1" customWidth="1"/>
    <col min="8462" max="8462" width="11.53125" style="1" customWidth="1"/>
    <col min="8463" max="8701" width="9.33203125" style="1"/>
    <col min="8702" max="8702" width="15.6640625" style="1" customWidth="1"/>
    <col min="8703" max="8703" width="30.46484375" style="1" customWidth="1"/>
    <col min="8704" max="8715" width="10.6640625" style="1" customWidth="1"/>
    <col min="8716" max="8716" width="12.53125" style="1" customWidth="1"/>
    <col min="8717" max="8717" width="6.33203125" style="1" bestFit="1" customWidth="1"/>
    <col min="8718" max="8718" width="11.53125" style="1" customWidth="1"/>
    <col min="8719" max="8957" width="9.33203125" style="1"/>
    <col min="8958" max="8958" width="15.6640625" style="1" customWidth="1"/>
    <col min="8959" max="8959" width="30.46484375" style="1" customWidth="1"/>
    <col min="8960" max="8971" width="10.6640625" style="1" customWidth="1"/>
    <col min="8972" max="8972" width="12.53125" style="1" customWidth="1"/>
    <col min="8973" max="8973" width="6.33203125" style="1" bestFit="1" customWidth="1"/>
    <col min="8974" max="8974" width="11.53125" style="1" customWidth="1"/>
    <col min="8975" max="9213" width="9.33203125" style="1"/>
    <col min="9214" max="9214" width="15.6640625" style="1" customWidth="1"/>
    <col min="9215" max="9215" width="30.46484375" style="1" customWidth="1"/>
    <col min="9216" max="9227" width="10.6640625" style="1" customWidth="1"/>
    <col min="9228" max="9228" width="12.53125" style="1" customWidth="1"/>
    <col min="9229" max="9229" width="6.33203125" style="1" bestFit="1" customWidth="1"/>
    <col min="9230" max="9230" width="11.53125" style="1" customWidth="1"/>
    <col min="9231" max="9469" width="9.33203125" style="1"/>
    <col min="9470" max="9470" width="15.6640625" style="1" customWidth="1"/>
    <col min="9471" max="9471" width="30.46484375" style="1" customWidth="1"/>
    <col min="9472" max="9483" width="10.6640625" style="1" customWidth="1"/>
    <col min="9484" max="9484" width="12.53125" style="1" customWidth="1"/>
    <col min="9485" max="9485" width="6.33203125" style="1" bestFit="1" customWidth="1"/>
    <col min="9486" max="9486" width="11.53125" style="1" customWidth="1"/>
    <col min="9487" max="9725" width="9.33203125" style="1"/>
    <col min="9726" max="9726" width="15.6640625" style="1" customWidth="1"/>
    <col min="9727" max="9727" width="30.46484375" style="1" customWidth="1"/>
    <col min="9728" max="9739" width="10.6640625" style="1" customWidth="1"/>
    <col min="9740" max="9740" width="12.53125" style="1" customWidth="1"/>
    <col min="9741" max="9741" width="6.33203125" style="1" bestFit="1" customWidth="1"/>
    <col min="9742" max="9742" width="11.53125" style="1" customWidth="1"/>
    <col min="9743" max="9981" width="9.33203125" style="1"/>
    <col min="9982" max="9982" width="15.6640625" style="1" customWidth="1"/>
    <col min="9983" max="9983" width="30.46484375" style="1" customWidth="1"/>
    <col min="9984" max="9995" width="10.6640625" style="1" customWidth="1"/>
    <col min="9996" max="9996" width="12.53125" style="1" customWidth="1"/>
    <col min="9997" max="9997" width="6.33203125" style="1" bestFit="1" customWidth="1"/>
    <col min="9998" max="9998" width="11.53125" style="1" customWidth="1"/>
    <col min="9999" max="10237" width="9.33203125" style="1"/>
    <col min="10238" max="10238" width="15.6640625" style="1" customWidth="1"/>
    <col min="10239" max="10239" width="30.46484375" style="1" customWidth="1"/>
    <col min="10240" max="10251" width="10.6640625" style="1" customWidth="1"/>
    <col min="10252" max="10252" width="12.53125" style="1" customWidth="1"/>
    <col min="10253" max="10253" width="6.33203125" style="1" bestFit="1" customWidth="1"/>
    <col min="10254" max="10254" width="11.53125" style="1" customWidth="1"/>
    <col min="10255" max="10493" width="9.33203125" style="1"/>
    <col min="10494" max="10494" width="15.6640625" style="1" customWidth="1"/>
    <col min="10495" max="10495" width="30.46484375" style="1" customWidth="1"/>
    <col min="10496" max="10507" width="10.6640625" style="1" customWidth="1"/>
    <col min="10508" max="10508" width="12.53125" style="1" customWidth="1"/>
    <col min="10509" max="10509" width="6.33203125" style="1" bestFit="1" customWidth="1"/>
    <col min="10510" max="10510" width="11.53125" style="1" customWidth="1"/>
    <col min="10511" max="10749" width="9.33203125" style="1"/>
    <col min="10750" max="10750" width="15.6640625" style="1" customWidth="1"/>
    <col min="10751" max="10751" width="30.46484375" style="1" customWidth="1"/>
    <col min="10752" max="10763" width="10.6640625" style="1" customWidth="1"/>
    <col min="10764" max="10764" width="12.53125" style="1" customWidth="1"/>
    <col min="10765" max="10765" width="6.33203125" style="1" bestFit="1" customWidth="1"/>
    <col min="10766" max="10766" width="11.53125" style="1" customWidth="1"/>
    <col min="10767" max="11005" width="9.33203125" style="1"/>
    <col min="11006" max="11006" width="15.6640625" style="1" customWidth="1"/>
    <col min="11007" max="11007" width="30.46484375" style="1" customWidth="1"/>
    <col min="11008" max="11019" width="10.6640625" style="1" customWidth="1"/>
    <col min="11020" max="11020" width="12.53125" style="1" customWidth="1"/>
    <col min="11021" max="11021" width="6.33203125" style="1" bestFit="1" customWidth="1"/>
    <col min="11022" max="11022" width="11.53125" style="1" customWidth="1"/>
    <col min="11023" max="11261" width="9.33203125" style="1"/>
    <col min="11262" max="11262" width="15.6640625" style="1" customWidth="1"/>
    <col min="11263" max="11263" width="30.46484375" style="1" customWidth="1"/>
    <col min="11264" max="11275" width="10.6640625" style="1" customWidth="1"/>
    <col min="11276" max="11276" width="12.53125" style="1" customWidth="1"/>
    <col min="11277" max="11277" width="6.33203125" style="1" bestFit="1" customWidth="1"/>
    <col min="11278" max="11278" width="11.53125" style="1" customWidth="1"/>
    <col min="11279" max="11517" width="9.33203125" style="1"/>
    <col min="11518" max="11518" width="15.6640625" style="1" customWidth="1"/>
    <col min="11519" max="11519" width="30.46484375" style="1" customWidth="1"/>
    <col min="11520" max="11531" width="10.6640625" style="1" customWidth="1"/>
    <col min="11532" max="11532" width="12.53125" style="1" customWidth="1"/>
    <col min="11533" max="11533" width="6.33203125" style="1" bestFit="1" customWidth="1"/>
    <col min="11534" max="11534" width="11.53125" style="1" customWidth="1"/>
    <col min="11535" max="11773" width="9.33203125" style="1"/>
    <col min="11774" max="11774" width="15.6640625" style="1" customWidth="1"/>
    <col min="11775" max="11775" width="30.46484375" style="1" customWidth="1"/>
    <col min="11776" max="11787" width="10.6640625" style="1" customWidth="1"/>
    <col min="11788" max="11788" width="12.53125" style="1" customWidth="1"/>
    <col min="11789" max="11789" width="6.33203125" style="1" bestFit="1" customWidth="1"/>
    <col min="11790" max="11790" width="11.53125" style="1" customWidth="1"/>
    <col min="11791" max="12029" width="9.33203125" style="1"/>
    <col min="12030" max="12030" width="15.6640625" style="1" customWidth="1"/>
    <col min="12031" max="12031" width="30.46484375" style="1" customWidth="1"/>
    <col min="12032" max="12043" width="10.6640625" style="1" customWidth="1"/>
    <col min="12044" max="12044" width="12.53125" style="1" customWidth="1"/>
    <col min="12045" max="12045" width="6.33203125" style="1" bestFit="1" customWidth="1"/>
    <col min="12046" max="12046" width="11.53125" style="1" customWidth="1"/>
    <col min="12047" max="12285" width="9.33203125" style="1"/>
    <col min="12286" max="12286" width="15.6640625" style="1" customWidth="1"/>
    <col min="12287" max="12287" width="30.46484375" style="1" customWidth="1"/>
    <col min="12288" max="12299" width="10.6640625" style="1" customWidth="1"/>
    <col min="12300" max="12300" width="12.53125" style="1" customWidth="1"/>
    <col min="12301" max="12301" width="6.33203125" style="1" bestFit="1" customWidth="1"/>
    <col min="12302" max="12302" width="11.53125" style="1" customWidth="1"/>
    <col min="12303" max="12541" width="9.33203125" style="1"/>
    <col min="12542" max="12542" width="15.6640625" style="1" customWidth="1"/>
    <col min="12543" max="12543" width="30.46484375" style="1" customWidth="1"/>
    <col min="12544" max="12555" width="10.6640625" style="1" customWidth="1"/>
    <col min="12556" max="12556" width="12.53125" style="1" customWidth="1"/>
    <col min="12557" max="12557" width="6.33203125" style="1" bestFit="1" customWidth="1"/>
    <col min="12558" max="12558" width="11.53125" style="1" customWidth="1"/>
    <col min="12559" max="12797" width="9.33203125" style="1"/>
    <col min="12798" max="12798" width="15.6640625" style="1" customWidth="1"/>
    <col min="12799" max="12799" width="30.46484375" style="1" customWidth="1"/>
    <col min="12800" max="12811" width="10.6640625" style="1" customWidth="1"/>
    <col min="12812" max="12812" width="12.53125" style="1" customWidth="1"/>
    <col min="12813" max="12813" width="6.33203125" style="1" bestFit="1" customWidth="1"/>
    <col min="12814" max="12814" width="11.53125" style="1" customWidth="1"/>
    <col min="12815" max="13053" width="9.33203125" style="1"/>
    <col min="13054" max="13054" width="15.6640625" style="1" customWidth="1"/>
    <col min="13055" max="13055" width="30.46484375" style="1" customWidth="1"/>
    <col min="13056" max="13067" width="10.6640625" style="1" customWidth="1"/>
    <col min="13068" max="13068" width="12.53125" style="1" customWidth="1"/>
    <col min="13069" max="13069" width="6.33203125" style="1" bestFit="1" customWidth="1"/>
    <col min="13070" max="13070" width="11.53125" style="1" customWidth="1"/>
    <col min="13071" max="13309" width="9.33203125" style="1"/>
    <col min="13310" max="13310" width="15.6640625" style="1" customWidth="1"/>
    <col min="13311" max="13311" width="30.46484375" style="1" customWidth="1"/>
    <col min="13312" max="13323" width="10.6640625" style="1" customWidth="1"/>
    <col min="13324" max="13324" width="12.53125" style="1" customWidth="1"/>
    <col min="13325" max="13325" width="6.33203125" style="1" bestFit="1" customWidth="1"/>
    <col min="13326" max="13326" width="11.53125" style="1" customWidth="1"/>
    <col min="13327" max="13565" width="9.33203125" style="1"/>
    <col min="13566" max="13566" width="15.6640625" style="1" customWidth="1"/>
    <col min="13567" max="13567" width="30.46484375" style="1" customWidth="1"/>
    <col min="13568" max="13579" width="10.6640625" style="1" customWidth="1"/>
    <col min="13580" max="13580" width="12.53125" style="1" customWidth="1"/>
    <col min="13581" max="13581" width="6.33203125" style="1" bestFit="1" customWidth="1"/>
    <col min="13582" max="13582" width="11.53125" style="1" customWidth="1"/>
    <col min="13583" max="13821" width="9.33203125" style="1"/>
    <col min="13822" max="13822" width="15.6640625" style="1" customWidth="1"/>
    <col min="13823" max="13823" width="30.46484375" style="1" customWidth="1"/>
    <col min="13824" max="13835" width="10.6640625" style="1" customWidth="1"/>
    <col min="13836" max="13836" width="12.53125" style="1" customWidth="1"/>
    <col min="13837" max="13837" width="6.33203125" style="1" bestFit="1" customWidth="1"/>
    <col min="13838" max="13838" width="11.53125" style="1" customWidth="1"/>
    <col min="13839" max="14077" width="9.33203125" style="1"/>
    <col min="14078" max="14078" width="15.6640625" style="1" customWidth="1"/>
    <col min="14079" max="14079" width="30.46484375" style="1" customWidth="1"/>
    <col min="14080" max="14091" width="10.6640625" style="1" customWidth="1"/>
    <col min="14092" max="14092" width="12.53125" style="1" customWidth="1"/>
    <col min="14093" max="14093" width="6.33203125" style="1" bestFit="1" customWidth="1"/>
    <col min="14094" max="14094" width="11.53125" style="1" customWidth="1"/>
    <col min="14095" max="14333" width="9.33203125" style="1"/>
    <col min="14334" max="14334" width="15.6640625" style="1" customWidth="1"/>
    <col min="14335" max="14335" width="30.46484375" style="1" customWidth="1"/>
    <col min="14336" max="14347" width="10.6640625" style="1" customWidth="1"/>
    <col min="14348" max="14348" width="12.53125" style="1" customWidth="1"/>
    <col min="14349" max="14349" width="6.33203125" style="1" bestFit="1" customWidth="1"/>
    <col min="14350" max="14350" width="11.53125" style="1" customWidth="1"/>
    <col min="14351" max="14589" width="9.33203125" style="1"/>
    <col min="14590" max="14590" width="15.6640625" style="1" customWidth="1"/>
    <col min="14591" max="14591" width="30.46484375" style="1" customWidth="1"/>
    <col min="14592" max="14603" width="10.6640625" style="1" customWidth="1"/>
    <col min="14604" max="14604" width="12.53125" style="1" customWidth="1"/>
    <col min="14605" max="14605" width="6.33203125" style="1" bestFit="1" customWidth="1"/>
    <col min="14606" max="14606" width="11.53125" style="1" customWidth="1"/>
    <col min="14607" max="14845" width="9.33203125" style="1"/>
    <col min="14846" max="14846" width="15.6640625" style="1" customWidth="1"/>
    <col min="14847" max="14847" width="30.46484375" style="1" customWidth="1"/>
    <col min="14848" max="14859" width="10.6640625" style="1" customWidth="1"/>
    <col min="14860" max="14860" width="12.53125" style="1" customWidth="1"/>
    <col min="14861" max="14861" width="6.33203125" style="1" bestFit="1" customWidth="1"/>
    <col min="14862" max="14862" width="11.53125" style="1" customWidth="1"/>
    <col min="14863" max="15101" width="9.33203125" style="1"/>
    <col min="15102" max="15102" width="15.6640625" style="1" customWidth="1"/>
    <col min="15103" max="15103" width="30.46484375" style="1" customWidth="1"/>
    <col min="15104" max="15115" width="10.6640625" style="1" customWidth="1"/>
    <col min="15116" max="15116" width="12.53125" style="1" customWidth="1"/>
    <col min="15117" max="15117" width="6.33203125" style="1" bestFit="1" customWidth="1"/>
    <col min="15118" max="15118" width="11.53125" style="1" customWidth="1"/>
    <col min="15119" max="15357" width="9.33203125" style="1"/>
    <col min="15358" max="15358" width="15.6640625" style="1" customWidth="1"/>
    <col min="15359" max="15359" width="30.46484375" style="1" customWidth="1"/>
    <col min="15360" max="15371" width="10.6640625" style="1" customWidth="1"/>
    <col min="15372" max="15372" width="12.53125" style="1" customWidth="1"/>
    <col min="15373" max="15373" width="6.33203125" style="1" bestFit="1" customWidth="1"/>
    <col min="15374" max="15374" width="11.53125" style="1" customWidth="1"/>
    <col min="15375" max="15613" width="9.33203125" style="1"/>
    <col min="15614" max="15614" width="15.6640625" style="1" customWidth="1"/>
    <col min="15615" max="15615" width="30.46484375" style="1" customWidth="1"/>
    <col min="15616" max="15627" width="10.6640625" style="1" customWidth="1"/>
    <col min="15628" max="15628" width="12.53125" style="1" customWidth="1"/>
    <col min="15629" max="15629" width="6.33203125" style="1" bestFit="1" customWidth="1"/>
    <col min="15630" max="15630" width="11.53125" style="1" customWidth="1"/>
    <col min="15631" max="15869" width="9.33203125" style="1"/>
    <col min="15870" max="15870" width="15.6640625" style="1" customWidth="1"/>
    <col min="15871" max="15871" width="30.46484375" style="1" customWidth="1"/>
    <col min="15872" max="15883" width="10.6640625" style="1" customWidth="1"/>
    <col min="15884" max="15884" width="12.53125" style="1" customWidth="1"/>
    <col min="15885" max="15885" width="6.33203125" style="1" bestFit="1" customWidth="1"/>
    <col min="15886" max="15886" width="11.53125" style="1" customWidth="1"/>
    <col min="15887" max="16125" width="9.33203125" style="1"/>
    <col min="16126" max="16126" width="15.6640625" style="1" customWidth="1"/>
    <col min="16127" max="16127" width="30.46484375" style="1" customWidth="1"/>
    <col min="16128" max="16139" width="10.6640625" style="1" customWidth="1"/>
    <col min="16140" max="16140" width="12.53125" style="1" customWidth="1"/>
    <col min="16141" max="16141" width="6.33203125" style="1" bestFit="1" customWidth="1"/>
    <col min="16142" max="16142" width="11.53125" style="1" customWidth="1"/>
    <col min="16143" max="16384" width="9.33203125" style="1"/>
  </cols>
  <sheetData>
    <row r="2" spans="2:15" x14ac:dyDescent="0.4">
      <c r="B2" s="1875" t="str">
        <f>+Index!$B$2</f>
        <v>Nidar Utilities Panvel LLP</v>
      </c>
      <c r="C2" s="1875"/>
      <c r="D2" s="1875"/>
      <c r="E2" s="1875"/>
      <c r="F2" s="1875"/>
      <c r="G2" s="1875"/>
      <c r="H2" s="1875"/>
      <c r="I2" s="1875"/>
      <c r="J2" s="1875"/>
      <c r="K2" s="1875"/>
      <c r="L2" s="1875"/>
      <c r="M2" s="1875"/>
      <c r="N2" s="1875"/>
      <c r="O2" s="1875"/>
    </row>
    <row r="3" spans="2:15" x14ac:dyDescent="0.4">
      <c r="B3" s="1875" t="s">
        <v>107</v>
      </c>
      <c r="C3" s="1875"/>
      <c r="D3" s="1875"/>
      <c r="E3" s="1875"/>
      <c r="F3" s="1875"/>
      <c r="G3" s="1875"/>
      <c r="H3" s="1875"/>
      <c r="I3" s="1875"/>
      <c r="J3" s="1875"/>
      <c r="K3" s="1875"/>
      <c r="L3" s="1875"/>
      <c r="M3" s="1875"/>
      <c r="N3" s="1875"/>
      <c r="O3" s="1875"/>
    </row>
    <row r="4" spans="2:15" x14ac:dyDescent="0.4">
      <c r="B4" s="1875" t="s">
        <v>1138</v>
      </c>
      <c r="C4" s="1875"/>
      <c r="D4" s="1875"/>
      <c r="E4" s="1875"/>
      <c r="F4" s="1875"/>
      <c r="G4" s="1875"/>
      <c r="H4" s="1875"/>
      <c r="I4" s="1875"/>
      <c r="J4" s="1875"/>
      <c r="K4" s="1875"/>
      <c r="L4" s="1875"/>
      <c r="M4" s="1875"/>
      <c r="N4" s="1875"/>
      <c r="O4" s="1875"/>
    </row>
    <row r="5" spans="2:15" x14ac:dyDescent="0.4">
      <c r="B5" s="12"/>
      <c r="C5" s="8"/>
      <c r="D5" s="8"/>
      <c r="E5" s="8"/>
      <c r="F5" s="8"/>
      <c r="G5" s="8"/>
      <c r="H5" s="8"/>
      <c r="I5" s="8"/>
      <c r="J5" s="8"/>
      <c r="K5" s="8"/>
      <c r="L5" s="8"/>
      <c r="M5" s="8"/>
      <c r="N5" s="8"/>
      <c r="O5" s="8"/>
    </row>
    <row r="6" spans="2:15" x14ac:dyDescent="0.4">
      <c r="B6" s="12"/>
      <c r="C6" s="8"/>
      <c r="D6" s="8"/>
      <c r="E6" s="8"/>
      <c r="F6" s="8"/>
      <c r="G6" s="8"/>
      <c r="H6" s="8"/>
      <c r="I6" s="8"/>
      <c r="J6" s="8"/>
      <c r="K6" s="8"/>
      <c r="L6" s="8"/>
      <c r="M6" s="8"/>
      <c r="N6" s="8"/>
      <c r="O6" s="8"/>
    </row>
    <row r="7" spans="2:15" x14ac:dyDescent="0.4">
      <c r="B7" s="32" t="s">
        <v>159</v>
      </c>
      <c r="C7" s="8"/>
      <c r="D7" s="8"/>
      <c r="E7" s="8"/>
      <c r="F7" s="8"/>
      <c r="G7" s="8"/>
      <c r="H7" s="8"/>
      <c r="I7" s="8"/>
      <c r="J7" s="8"/>
      <c r="K7" s="8"/>
      <c r="L7" s="8"/>
      <c r="M7" s="8"/>
      <c r="N7" s="8"/>
      <c r="O7" s="4"/>
    </row>
    <row r="8" spans="2:15" x14ac:dyDescent="0.4">
      <c r="B8" s="32"/>
      <c r="C8" s="8"/>
      <c r="D8" s="8"/>
      <c r="E8" s="8"/>
      <c r="F8" s="8"/>
      <c r="G8" s="8"/>
      <c r="H8" s="8"/>
      <c r="I8" s="8"/>
      <c r="J8" s="8"/>
      <c r="K8" s="8"/>
      <c r="L8" s="8"/>
      <c r="M8" s="8"/>
      <c r="N8" s="8"/>
      <c r="O8" s="4"/>
    </row>
    <row r="9" spans="2:15" x14ac:dyDescent="0.4">
      <c r="B9" s="1947" t="s">
        <v>160</v>
      </c>
      <c r="C9" s="98" t="s">
        <v>196</v>
      </c>
      <c r="D9" s="98" t="s">
        <v>197</v>
      </c>
      <c r="E9" s="98" t="s">
        <v>198</v>
      </c>
      <c r="F9" s="98" t="s">
        <v>199</v>
      </c>
      <c r="G9" s="362" t="s">
        <v>112</v>
      </c>
      <c r="H9" s="362" t="s">
        <v>113</v>
      </c>
      <c r="I9" s="362" t="s">
        <v>114</v>
      </c>
      <c r="J9" s="1934" t="s">
        <v>1019</v>
      </c>
      <c r="K9" s="1935"/>
      <c r="L9" s="1935"/>
      <c r="M9" s="1935"/>
      <c r="N9" s="1936"/>
      <c r="O9" s="363"/>
    </row>
    <row r="10" spans="2:15" ht="27" x14ac:dyDescent="0.4">
      <c r="B10" s="1947"/>
      <c r="C10" s="1934" t="s">
        <v>117</v>
      </c>
      <c r="D10" s="1935"/>
      <c r="E10" s="1935"/>
      <c r="F10" s="1935"/>
      <c r="G10" s="1935"/>
      <c r="H10" s="1936"/>
      <c r="I10" s="217" t="s">
        <v>121</v>
      </c>
      <c r="J10" s="217" t="s">
        <v>123</v>
      </c>
      <c r="K10" s="217" t="s">
        <v>124</v>
      </c>
      <c r="L10" s="217" t="s">
        <v>125</v>
      </c>
      <c r="M10" s="217" t="s">
        <v>126</v>
      </c>
      <c r="N10" s="217" t="s">
        <v>127</v>
      </c>
      <c r="O10" s="217"/>
    </row>
    <row r="11" spans="2:15" x14ac:dyDescent="0.4">
      <c r="B11" s="517" t="s">
        <v>161</v>
      </c>
      <c r="C11" s="78"/>
      <c r="D11" s="78"/>
      <c r="E11" s="78"/>
      <c r="F11" s="3"/>
      <c r="G11" s="3"/>
      <c r="H11" s="2"/>
      <c r="I11" s="43"/>
      <c r="J11" s="44"/>
      <c r="K11" s="124"/>
      <c r="L11" s="124"/>
      <c r="M11" s="2"/>
      <c r="N11" s="2"/>
      <c r="O11" s="2"/>
    </row>
    <row r="12" spans="2:15" x14ac:dyDescent="0.4">
      <c r="B12" s="429" t="s">
        <v>1129</v>
      </c>
      <c r="C12" s="523"/>
      <c r="D12" s="523">
        <f>+O75</f>
        <v>0</v>
      </c>
      <c r="E12" s="551">
        <f>+O103</f>
        <v>0</v>
      </c>
      <c r="F12" s="565">
        <f>+O133</f>
        <v>13.149180000000001</v>
      </c>
      <c r="G12" s="565">
        <f>+O164</f>
        <v>21.21162</v>
      </c>
      <c r="H12" s="565">
        <f>+O196</f>
        <v>33.574559999999998</v>
      </c>
      <c r="I12" s="565">
        <f>+O229</f>
        <v>72.979561000000004</v>
      </c>
      <c r="J12" s="565">
        <f>+O261</f>
        <v>130.39293599999999</v>
      </c>
      <c r="K12" s="618">
        <f>+O289</f>
        <v>162.55679999999998</v>
      </c>
      <c r="L12" s="618">
        <f>+O317</f>
        <v>203.13059999999999</v>
      </c>
      <c r="M12" s="565">
        <f>+O345</f>
        <v>243.762</v>
      </c>
      <c r="N12" s="565">
        <f>+O373</f>
        <v>264.78600000000006</v>
      </c>
      <c r="O12" s="2"/>
    </row>
    <row r="13" spans="2:15" x14ac:dyDescent="0.4">
      <c r="B13" s="429" t="s">
        <v>1130</v>
      </c>
      <c r="C13" s="527"/>
      <c r="D13" s="523">
        <f>+O76</f>
        <v>0.56330385000000005</v>
      </c>
      <c r="E13" s="551">
        <f>+O104</f>
        <v>5.3769855269999995</v>
      </c>
      <c r="F13" s="565">
        <f>+O134</f>
        <v>3.1858730000000002E-2</v>
      </c>
      <c r="G13" s="565">
        <f>+O165</f>
        <v>2.761328E-2</v>
      </c>
      <c r="H13" s="565">
        <f>+O197</f>
        <v>1.6677579999999997E-2</v>
      </c>
      <c r="I13" s="565">
        <f>+O230</f>
        <v>2.4935730000000003E-2</v>
      </c>
      <c r="J13" s="565">
        <f>+O262</f>
        <v>2.9878305404821962E-2</v>
      </c>
      <c r="K13" s="618">
        <f>+O290</f>
        <v>3.5853966485786364E-2</v>
      </c>
      <c r="L13" s="618">
        <f>+O318</f>
        <v>3.5853966485786364E-2</v>
      </c>
      <c r="M13" s="565">
        <f>+O346</f>
        <v>4.780528864771514E-2</v>
      </c>
      <c r="N13" s="565">
        <f>+O374</f>
        <v>4.780528864771514E-2</v>
      </c>
      <c r="O13" s="2"/>
    </row>
    <row r="14" spans="2:15" x14ac:dyDescent="0.4">
      <c r="B14" s="429" t="s">
        <v>1131</v>
      </c>
      <c r="C14" s="527"/>
      <c r="D14" s="523">
        <f>+O77</f>
        <v>0</v>
      </c>
      <c r="E14" s="551">
        <f>+O105</f>
        <v>0</v>
      </c>
      <c r="F14" s="565">
        <f>+O135</f>
        <v>0</v>
      </c>
      <c r="G14" s="565">
        <f>+O166</f>
        <v>0</v>
      </c>
      <c r="H14" s="565">
        <f>+O198</f>
        <v>0</v>
      </c>
      <c r="I14" s="565">
        <f>+O231</f>
        <v>0</v>
      </c>
      <c r="J14" s="565">
        <f>+O263</f>
        <v>0</v>
      </c>
      <c r="K14" s="618">
        <f>+O291</f>
        <v>0</v>
      </c>
      <c r="L14" s="618">
        <f>+O319</f>
        <v>0</v>
      </c>
      <c r="M14" s="565">
        <f>+O347</f>
        <v>0</v>
      </c>
      <c r="N14" s="565">
        <f>+O375</f>
        <v>0</v>
      </c>
      <c r="O14" s="2"/>
    </row>
    <row r="15" spans="2:15" x14ac:dyDescent="0.4">
      <c r="B15" s="429" t="s">
        <v>1132</v>
      </c>
      <c r="C15" s="527"/>
      <c r="D15" s="523">
        <f>+O78</f>
        <v>0</v>
      </c>
      <c r="E15" s="551">
        <f>+O106</f>
        <v>0</v>
      </c>
      <c r="F15" s="565">
        <f>+O136</f>
        <v>0</v>
      </c>
      <c r="G15" s="565">
        <f>+O167</f>
        <v>0</v>
      </c>
      <c r="H15" s="565">
        <f>+O199</f>
        <v>0</v>
      </c>
      <c r="I15" s="565">
        <f>+O232</f>
        <v>0</v>
      </c>
      <c r="J15" s="565">
        <f>+O264</f>
        <v>0</v>
      </c>
      <c r="K15" s="618">
        <f>+O292</f>
        <v>0</v>
      </c>
      <c r="L15" s="618">
        <f>+O320</f>
        <v>0</v>
      </c>
      <c r="M15" s="565">
        <f>+O348</f>
        <v>0</v>
      </c>
      <c r="N15" s="565">
        <f>+O376</f>
        <v>0</v>
      </c>
      <c r="O15" s="2"/>
    </row>
    <row r="16" spans="2:15" x14ac:dyDescent="0.4">
      <c r="B16" s="518" t="s">
        <v>162</v>
      </c>
      <c r="C16" s="532"/>
      <c r="D16" s="532">
        <f t="shared" ref="D16:N16" si="0">SUM(D12:D15)</f>
        <v>0.56330385000000005</v>
      </c>
      <c r="E16" s="532">
        <f t="shared" si="0"/>
        <v>5.3769855269999995</v>
      </c>
      <c r="F16" s="532">
        <f t="shared" si="0"/>
        <v>13.181038730000001</v>
      </c>
      <c r="G16" s="532">
        <f t="shared" si="0"/>
        <v>21.239233280000001</v>
      </c>
      <c r="H16" s="532">
        <f t="shared" si="0"/>
        <v>33.591237579999998</v>
      </c>
      <c r="I16" s="532">
        <f t="shared" si="0"/>
        <v>73.00449673</v>
      </c>
      <c r="J16" s="532">
        <f t="shared" si="0"/>
        <v>130.42281430540481</v>
      </c>
      <c r="K16" s="532">
        <f t="shared" si="0"/>
        <v>162.59265396648576</v>
      </c>
      <c r="L16" s="532">
        <f t="shared" si="0"/>
        <v>203.16645396648576</v>
      </c>
      <c r="M16" s="532">
        <f t="shared" si="0"/>
        <v>243.80980528864771</v>
      </c>
      <c r="N16" s="532">
        <f t="shared" si="0"/>
        <v>264.8338052886478</v>
      </c>
      <c r="O16" s="2"/>
    </row>
    <row r="17" spans="2:15" x14ac:dyDescent="0.4">
      <c r="B17" s="517" t="s">
        <v>163</v>
      </c>
      <c r="C17" s="533"/>
      <c r="D17" s="533"/>
      <c r="E17" s="533"/>
      <c r="F17" s="528"/>
      <c r="G17" s="528"/>
      <c r="H17" s="529"/>
      <c r="I17" s="528"/>
      <c r="J17" s="528"/>
      <c r="K17" s="530"/>
      <c r="L17" s="530"/>
      <c r="M17" s="529"/>
      <c r="N17" s="529"/>
      <c r="O17" s="2"/>
    </row>
    <row r="18" spans="2:15" x14ac:dyDescent="0.4">
      <c r="B18" s="519" t="s">
        <v>1133</v>
      </c>
      <c r="C18" s="527"/>
      <c r="D18" s="527"/>
      <c r="E18" s="527"/>
      <c r="F18" s="528"/>
      <c r="G18" s="528"/>
      <c r="H18" s="529"/>
      <c r="I18" s="528"/>
      <c r="J18" s="528"/>
      <c r="K18" s="530"/>
      <c r="L18" s="530"/>
      <c r="M18" s="529"/>
      <c r="N18" s="529"/>
      <c r="O18" s="2"/>
    </row>
    <row r="19" spans="2:15" x14ac:dyDescent="0.4">
      <c r="B19" s="520" t="s">
        <v>1106</v>
      </c>
      <c r="C19" s="527"/>
      <c r="D19" s="523">
        <f t="shared" ref="D19:D24" si="1">+O82</f>
        <v>0</v>
      </c>
      <c r="E19" s="551">
        <f t="shared" ref="E19:E26" si="2">+O110</f>
        <v>0</v>
      </c>
      <c r="F19" s="565">
        <f t="shared" ref="F19:F26" si="3">+O140</f>
        <v>0</v>
      </c>
      <c r="G19" s="565">
        <f t="shared" ref="G19:G27" si="4">+O171</f>
        <v>0</v>
      </c>
      <c r="H19" s="565">
        <f t="shared" ref="H19:H31" si="5">+O203</f>
        <v>0</v>
      </c>
      <c r="I19" s="565">
        <f t="shared" ref="I19:I31" si="6">+O236</f>
        <v>0</v>
      </c>
      <c r="J19" s="565">
        <f t="shared" ref="J19:J31" si="7">+O268</f>
        <v>0</v>
      </c>
      <c r="K19" s="618">
        <f t="shared" ref="K19:K31" si="8">+O296</f>
        <v>0</v>
      </c>
      <c r="L19" s="618">
        <f t="shared" ref="L19:L31" si="9">+O324</f>
        <v>0</v>
      </c>
      <c r="M19" s="565">
        <f t="shared" ref="M19:M31" si="10">+O352</f>
        <v>0</v>
      </c>
      <c r="N19" s="565">
        <f t="shared" ref="N19:N31" si="11">+O380</f>
        <v>0</v>
      </c>
      <c r="O19" s="2"/>
    </row>
    <row r="20" spans="2:15" x14ac:dyDescent="0.4">
      <c r="B20" s="520" t="s">
        <v>1107</v>
      </c>
      <c r="C20" s="527"/>
      <c r="D20" s="523">
        <f t="shared" si="1"/>
        <v>0</v>
      </c>
      <c r="E20" s="551">
        <f t="shared" si="2"/>
        <v>0</v>
      </c>
      <c r="F20" s="565">
        <f t="shared" si="3"/>
        <v>0</v>
      </c>
      <c r="G20" s="565">
        <f t="shared" si="4"/>
        <v>0</v>
      </c>
      <c r="H20" s="565">
        <f t="shared" si="5"/>
        <v>0</v>
      </c>
      <c r="I20" s="565">
        <f t="shared" si="6"/>
        <v>0</v>
      </c>
      <c r="J20" s="565">
        <f t="shared" si="7"/>
        <v>0</v>
      </c>
      <c r="K20" s="618">
        <f t="shared" si="8"/>
        <v>0</v>
      </c>
      <c r="L20" s="618">
        <f t="shared" si="9"/>
        <v>0</v>
      </c>
      <c r="M20" s="565">
        <f t="shared" si="10"/>
        <v>0</v>
      </c>
      <c r="N20" s="565">
        <f t="shared" si="11"/>
        <v>0</v>
      </c>
      <c r="O20" s="2"/>
    </row>
    <row r="21" spans="2:15" x14ac:dyDescent="0.4">
      <c r="B21" s="520" t="s">
        <v>1108</v>
      </c>
      <c r="C21" s="527"/>
      <c r="D21" s="523">
        <f t="shared" si="1"/>
        <v>0</v>
      </c>
      <c r="E21" s="551">
        <f t="shared" si="2"/>
        <v>0</v>
      </c>
      <c r="F21" s="565">
        <f t="shared" si="3"/>
        <v>0</v>
      </c>
      <c r="G21" s="565">
        <f t="shared" si="4"/>
        <v>0</v>
      </c>
      <c r="H21" s="565">
        <f t="shared" si="5"/>
        <v>0</v>
      </c>
      <c r="I21" s="565">
        <f t="shared" si="6"/>
        <v>0</v>
      </c>
      <c r="J21" s="565">
        <f t="shared" si="7"/>
        <v>0</v>
      </c>
      <c r="K21" s="618">
        <f t="shared" si="8"/>
        <v>0</v>
      </c>
      <c r="L21" s="618">
        <f t="shared" si="9"/>
        <v>0</v>
      </c>
      <c r="M21" s="565">
        <f t="shared" si="10"/>
        <v>0</v>
      </c>
      <c r="N21" s="565">
        <f t="shared" si="11"/>
        <v>0</v>
      </c>
      <c r="O21" s="2"/>
    </row>
    <row r="22" spans="2:15" x14ac:dyDescent="0.4">
      <c r="B22" s="520" t="s">
        <v>1109</v>
      </c>
      <c r="C22" s="527"/>
      <c r="D22" s="523">
        <f t="shared" si="1"/>
        <v>0</v>
      </c>
      <c r="E22" s="551">
        <f t="shared" si="2"/>
        <v>0</v>
      </c>
      <c r="F22" s="565">
        <f t="shared" si="3"/>
        <v>0</v>
      </c>
      <c r="G22" s="565">
        <f t="shared" si="4"/>
        <v>0</v>
      </c>
      <c r="H22" s="565">
        <f t="shared" si="5"/>
        <v>0</v>
      </c>
      <c r="I22" s="565">
        <f t="shared" si="6"/>
        <v>0</v>
      </c>
      <c r="J22" s="565">
        <f t="shared" si="7"/>
        <v>0</v>
      </c>
      <c r="K22" s="618">
        <f t="shared" si="8"/>
        <v>0</v>
      </c>
      <c r="L22" s="618">
        <f t="shared" si="9"/>
        <v>0</v>
      </c>
      <c r="M22" s="565">
        <f t="shared" si="10"/>
        <v>0</v>
      </c>
      <c r="N22" s="565">
        <f t="shared" si="11"/>
        <v>0</v>
      </c>
      <c r="O22" s="2"/>
    </row>
    <row r="23" spans="2:15" x14ac:dyDescent="0.4">
      <c r="B23" s="520" t="s">
        <v>1110</v>
      </c>
      <c r="C23" s="527"/>
      <c r="D23" s="523">
        <f t="shared" si="1"/>
        <v>0</v>
      </c>
      <c r="E23" s="551">
        <f t="shared" si="2"/>
        <v>0</v>
      </c>
      <c r="F23" s="565">
        <f t="shared" si="3"/>
        <v>0</v>
      </c>
      <c r="G23" s="565">
        <f t="shared" si="4"/>
        <v>0</v>
      </c>
      <c r="H23" s="565">
        <f t="shared" si="5"/>
        <v>0</v>
      </c>
      <c r="I23" s="565">
        <f t="shared" si="6"/>
        <v>0</v>
      </c>
      <c r="J23" s="565">
        <f t="shared" si="7"/>
        <v>0</v>
      </c>
      <c r="K23" s="618">
        <f t="shared" si="8"/>
        <v>0</v>
      </c>
      <c r="L23" s="618">
        <f t="shared" si="9"/>
        <v>0</v>
      </c>
      <c r="M23" s="565">
        <f t="shared" si="10"/>
        <v>0</v>
      </c>
      <c r="N23" s="565">
        <f t="shared" si="11"/>
        <v>0</v>
      </c>
      <c r="O23" s="2"/>
    </row>
    <row r="24" spans="2:15" x14ac:dyDescent="0.4">
      <c r="B24" s="519" t="s">
        <v>1139</v>
      </c>
      <c r="C24" s="527"/>
      <c r="D24" s="523">
        <f t="shared" si="1"/>
        <v>0</v>
      </c>
      <c r="E24" s="551">
        <f t="shared" si="2"/>
        <v>0</v>
      </c>
      <c r="F24" s="565">
        <f t="shared" si="3"/>
        <v>0</v>
      </c>
      <c r="G24" s="565">
        <f t="shared" si="4"/>
        <v>0</v>
      </c>
      <c r="H24" s="565">
        <f t="shared" si="5"/>
        <v>0</v>
      </c>
      <c r="I24" s="565">
        <f t="shared" si="6"/>
        <v>0</v>
      </c>
      <c r="J24" s="565">
        <f t="shared" si="7"/>
        <v>0</v>
      </c>
      <c r="K24" s="618">
        <f t="shared" si="8"/>
        <v>0</v>
      </c>
      <c r="L24" s="618">
        <f t="shared" si="9"/>
        <v>0</v>
      </c>
      <c r="M24" s="565">
        <f t="shared" si="10"/>
        <v>0</v>
      </c>
      <c r="N24" s="565">
        <f t="shared" si="11"/>
        <v>0</v>
      </c>
      <c r="O24" s="2"/>
    </row>
    <row r="25" spans="2:15" x14ac:dyDescent="0.4">
      <c r="B25" s="520" t="s">
        <v>1140</v>
      </c>
      <c r="C25" s="527"/>
      <c r="D25" s="523"/>
      <c r="E25" s="551">
        <f t="shared" si="2"/>
        <v>2.3799999999999998E-4</v>
      </c>
      <c r="F25" s="565">
        <f t="shared" si="3"/>
        <v>2.9300000000000002E-4</v>
      </c>
      <c r="G25" s="565">
        <f t="shared" si="4"/>
        <v>1.2899999999999999E-4</v>
      </c>
      <c r="H25" s="565">
        <f t="shared" si="5"/>
        <v>0</v>
      </c>
      <c r="I25" s="565">
        <f t="shared" si="6"/>
        <v>0</v>
      </c>
      <c r="J25" s="565">
        <f t="shared" si="7"/>
        <v>0</v>
      </c>
      <c r="K25" s="618">
        <f t="shared" si="8"/>
        <v>0</v>
      </c>
      <c r="L25" s="618">
        <f t="shared" si="9"/>
        <v>0</v>
      </c>
      <c r="M25" s="565">
        <f t="shared" si="10"/>
        <v>0</v>
      </c>
      <c r="N25" s="565">
        <f t="shared" si="11"/>
        <v>0</v>
      </c>
      <c r="O25" s="2"/>
    </row>
    <row r="26" spans="2:15" x14ac:dyDescent="0.4">
      <c r="B26" s="520" t="s">
        <v>1144</v>
      </c>
      <c r="C26" s="527"/>
      <c r="D26" s="523"/>
      <c r="E26" s="551">
        <f t="shared" si="2"/>
        <v>0</v>
      </c>
      <c r="F26" s="565">
        <f t="shared" si="3"/>
        <v>0</v>
      </c>
      <c r="G26" s="565">
        <f t="shared" si="4"/>
        <v>0</v>
      </c>
      <c r="H26" s="565">
        <f t="shared" si="5"/>
        <v>0</v>
      </c>
      <c r="I26" s="565">
        <f t="shared" si="6"/>
        <v>0</v>
      </c>
      <c r="J26" s="565">
        <f t="shared" si="7"/>
        <v>0</v>
      </c>
      <c r="K26" s="618">
        <f t="shared" si="8"/>
        <v>0</v>
      </c>
      <c r="L26" s="618">
        <f t="shared" si="9"/>
        <v>0</v>
      </c>
      <c r="M26" s="565">
        <f t="shared" si="10"/>
        <v>0</v>
      </c>
      <c r="N26" s="565">
        <f t="shared" si="11"/>
        <v>0</v>
      </c>
      <c r="O26" s="2"/>
    </row>
    <row r="27" spans="2:15" x14ac:dyDescent="0.4">
      <c r="B27" s="520" t="s">
        <v>1143</v>
      </c>
      <c r="C27" s="527"/>
      <c r="D27" s="523"/>
      <c r="E27" s="551"/>
      <c r="F27" s="565"/>
      <c r="G27" s="565">
        <f t="shared" si="4"/>
        <v>0</v>
      </c>
      <c r="H27" s="565">
        <f t="shared" si="5"/>
        <v>0</v>
      </c>
      <c r="I27" s="565">
        <f t="shared" si="6"/>
        <v>0</v>
      </c>
      <c r="J27" s="565">
        <f t="shared" si="7"/>
        <v>0</v>
      </c>
      <c r="K27" s="618">
        <f t="shared" si="8"/>
        <v>0</v>
      </c>
      <c r="L27" s="618">
        <f t="shared" si="9"/>
        <v>0</v>
      </c>
      <c r="M27" s="565">
        <f t="shared" si="10"/>
        <v>0</v>
      </c>
      <c r="N27" s="565">
        <f t="shared" si="11"/>
        <v>0</v>
      </c>
      <c r="O27" s="2"/>
    </row>
    <row r="28" spans="2:15" x14ac:dyDescent="0.4">
      <c r="B28" s="519" t="s">
        <v>1111</v>
      </c>
      <c r="C28" s="527"/>
      <c r="D28" s="523">
        <f>+O88</f>
        <v>0</v>
      </c>
      <c r="E28" s="551">
        <f>+O118</f>
        <v>0</v>
      </c>
      <c r="F28" s="565">
        <f>+O148</f>
        <v>0</v>
      </c>
      <c r="G28" s="565">
        <f>+O180</f>
        <v>0</v>
      </c>
      <c r="H28" s="565">
        <f t="shared" si="5"/>
        <v>0</v>
      </c>
      <c r="I28" s="565">
        <f t="shared" si="6"/>
        <v>0</v>
      </c>
      <c r="J28" s="565">
        <f t="shared" si="7"/>
        <v>0</v>
      </c>
      <c r="K28" s="618">
        <f t="shared" si="8"/>
        <v>0</v>
      </c>
      <c r="L28" s="618">
        <f t="shared" si="9"/>
        <v>0</v>
      </c>
      <c r="M28" s="565">
        <f t="shared" si="10"/>
        <v>0</v>
      </c>
      <c r="N28" s="565">
        <f t="shared" si="11"/>
        <v>0</v>
      </c>
      <c r="O28" s="2"/>
    </row>
    <row r="29" spans="2:15" x14ac:dyDescent="0.4">
      <c r="B29" s="519" t="s">
        <v>1135</v>
      </c>
      <c r="C29" s="527"/>
      <c r="D29" s="523">
        <f>+O89</f>
        <v>0.101504</v>
      </c>
      <c r="E29" s="551">
        <f>+O119</f>
        <v>0.11068699999999999</v>
      </c>
      <c r="F29" s="565">
        <f>+O149</f>
        <v>0.12382400000000002</v>
      </c>
      <c r="G29" s="565">
        <f>+O181</f>
        <v>0.12545599999999998</v>
      </c>
      <c r="H29" s="565">
        <f t="shared" si="5"/>
        <v>0.15712800000000002</v>
      </c>
      <c r="I29" s="565">
        <f t="shared" si="6"/>
        <v>0.15240800000000002</v>
      </c>
      <c r="J29" s="565">
        <f t="shared" si="7"/>
        <v>0.28149877689981789</v>
      </c>
      <c r="K29" s="618">
        <f t="shared" si="8"/>
        <v>0.33779853227978168</v>
      </c>
      <c r="L29" s="618">
        <f t="shared" si="9"/>
        <v>0.33779853227978168</v>
      </c>
      <c r="M29" s="565">
        <f t="shared" si="10"/>
        <v>0.45039804303970876</v>
      </c>
      <c r="N29" s="565">
        <f t="shared" si="11"/>
        <v>0.45039804303970876</v>
      </c>
      <c r="O29" s="2"/>
    </row>
    <row r="30" spans="2:15" x14ac:dyDescent="0.4">
      <c r="B30" s="519" t="s">
        <v>1136</v>
      </c>
      <c r="C30" s="527"/>
      <c r="D30" s="523">
        <f>+O90</f>
        <v>0</v>
      </c>
      <c r="E30" s="551">
        <f>+O120</f>
        <v>0</v>
      </c>
      <c r="F30" s="565">
        <f>+O150</f>
        <v>0</v>
      </c>
      <c r="G30" s="565">
        <f>+O182</f>
        <v>0</v>
      </c>
      <c r="H30" s="565">
        <f t="shared" si="5"/>
        <v>0</v>
      </c>
      <c r="I30" s="565">
        <f t="shared" si="6"/>
        <v>0</v>
      </c>
      <c r="J30" s="565">
        <f t="shared" si="7"/>
        <v>0</v>
      </c>
      <c r="K30" s="618">
        <f t="shared" si="8"/>
        <v>0</v>
      </c>
      <c r="L30" s="618">
        <f t="shared" si="9"/>
        <v>0</v>
      </c>
      <c r="M30" s="565">
        <f t="shared" si="10"/>
        <v>0</v>
      </c>
      <c r="N30" s="565">
        <f t="shared" si="11"/>
        <v>0</v>
      </c>
      <c r="O30" s="2"/>
    </row>
    <row r="31" spans="2:15" x14ac:dyDescent="0.4">
      <c r="B31" s="566" t="s">
        <v>1142</v>
      </c>
      <c r="C31" s="527"/>
      <c r="D31" s="523"/>
      <c r="E31" s="551"/>
      <c r="F31" s="565">
        <f>+O151</f>
        <v>0</v>
      </c>
      <c r="G31" s="565">
        <f>+O183</f>
        <v>0</v>
      </c>
      <c r="H31" s="565">
        <f t="shared" si="5"/>
        <v>0</v>
      </c>
      <c r="I31" s="565">
        <f t="shared" si="6"/>
        <v>0</v>
      </c>
      <c r="J31" s="565">
        <f t="shared" si="7"/>
        <v>0</v>
      </c>
      <c r="K31" s="618">
        <f t="shared" si="8"/>
        <v>0</v>
      </c>
      <c r="L31" s="618">
        <f t="shared" si="9"/>
        <v>0</v>
      </c>
      <c r="M31" s="565">
        <f t="shared" si="10"/>
        <v>0</v>
      </c>
      <c r="N31" s="565">
        <f t="shared" si="11"/>
        <v>0</v>
      </c>
      <c r="O31" s="2"/>
    </row>
    <row r="32" spans="2:15" x14ac:dyDescent="0.4">
      <c r="B32" s="518" t="s">
        <v>162</v>
      </c>
      <c r="C32" s="532"/>
      <c r="D32" s="532">
        <f t="shared" ref="D32:N32" si="12">SUM(D19:D30)</f>
        <v>0.101504</v>
      </c>
      <c r="E32" s="532">
        <f t="shared" si="12"/>
        <v>0.110925</v>
      </c>
      <c r="F32" s="532">
        <f t="shared" si="12"/>
        <v>0.12411700000000002</v>
      </c>
      <c r="G32" s="532">
        <f t="shared" si="12"/>
        <v>0.12558499999999997</v>
      </c>
      <c r="H32" s="532">
        <f t="shared" si="12"/>
        <v>0.15712800000000002</v>
      </c>
      <c r="I32" s="532">
        <f t="shared" si="12"/>
        <v>0.15240800000000002</v>
      </c>
      <c r="J32" s="532">
        <f t="shared" si="12"/>
        <v>0.28149877689981789</v>
      </c>
      <c r="K32" s="532">
        <f t="shared" si="12"/>
        <v>0.33779853227978168</v>
      </c>
      <c r="L32" s="532">
        <f t="shared" si="12"/>
        <v>0.33779853227978168</v>
      </c>
      <c r="M32" s="532">
        <f t="shared" si="12"/>
        <v>0.45039804303970876</v>
      </c>
      <c r="N32" s="532">
        <f t="shared" si="12"/>
        <v>0.45039804303970876</v>
      </c>
      <c r="O32" s="2"/>
    </row>
    <row r="33" spans="2:15" x14ac:dyDescent="0.4">
      <c r="B33" s="521"/>
      <c r="C33" s="532"/>
      <c r="D33" s="532"/>
      <c r="E33" s="532"/>
      <c r="F33" s="529"/>
      <c r="G33" s="529"/>
      <c r="H33" s="529"/>
      <c r="I33" s="529"/>
      <c r="J33" s="529"/>
      <c r="K33" s="530"/>
      <c r="L33" s="530"/>
      <c r="M33" s="529"/>
      <c r="N33" s="529"/>
      <c r="O33" s="2"/>
    </row>
    <row r="34" spans="2:15" x14ac:dyDescent="0.4">
      <c r="B34" s="43" t="s">
        <v>164</v>
      </c>
      <c r="C34" s="534"/>
      <c r="D34" s="534">
        <f t="shared" ref="D34:N34" si="13">+D32+D16</f>
        <v>0.66480785000000009</v>
      </c>
      <c r="E34" s="534">
        <f t="shared" si="13"/>
        <v>5.4879105269999995</v>
      </c>
      <c r="F34" s="534">
        <f t="shared" si="13"/>
        <v>13.305155730000001</v>
      </c>
      <c r="G34" s="534">
        <f t="shared" si="13"/>
        <v>21.364818280000001</v>
      </c>
      <c r="H34" s="534">
        <f t="shared" si="13"/>
        <v>33.748365579999998</v>
      </c>
      <c r="I34" s="534">
        <f t="shared" si="13"/>
        <v>73.156904729999994</v>
      </c>
      <c r="J34" s="534">
        <f t="shared" si="13"/>
        <v>130.70431308230462</v>
      </c>
      <c r="K34" s="534">
        <f t="shared" si="13"/>
        <v>162.93045249876553</v>
      </c>
      <c r="L34" s="534">
        <f t="shared" si="13"/>
        <v>203.50425249876554</v>
      </c>
      <c r="M34" s="534">
        <f t="shared" si="13"/>
        <v>244.26020333168742</v>
      </c>
      <c r="N34" s="534">
        <f t="shared" si="13"/>
        <v>265.28420333168748</v>
      </c>
      <c r="O34" s="2"/>
    </row>
    <row r="35" spans="2:15" x14ac:dyDescent="0.4">
      <c r="B35" s="118" t="s">
        <v>165</v>
      </c>
    </row>
    <row r="36" spans="2:15" x14ac:dyDescent="0.4">
      <c r="B36" s="27" t="s">
        <v>166</v>
      </c>
    </row>
    <row r="37" spans="2:15" x14ac:dyDescent="0.4">
      <c r="B37" s="10" t="s">
        <v>167</v>
      </c>
    </row>
    <row r="38" spans="2:15" x14ac:dyDescent="0.4">
      <c r="B38" s="27" t="s">
        <v>168</v>
      </c>
    </row>
    <row r="39" spans="2:15" x14ac:dyDescent="0.4">
      <c r="B39" s="118"/>
    </row>
    <row r="40" spans="2:15" x14ac:dyDescent="0.4">
      <c r="B40" s="118"/>
    </row>
    <row r="41" spans="2:15" x14ac:dyDescent="0.4">
      <c r="B41" s="32" t="s">
        <v>169</v>
      </c>
    </row>
    <row r="42" spans="2:15" x14ac:dyDescent="0.4">
      <c r="B42" s="32"/>
    </row>
    <row r="43" spans="2:15" x14ac:dyDescent="0.4">
      <c r="B43" s="32" t="s">
        <v>1020</v>
      </c>
      <c r="C43" s="8"/>
      <c r="D43" s="8"/>
      <c r="E43" s="8"/>
      <c r="F43" s="8"/>
      <c r="G43" s="8"/>
      <c r="H43" s="8"/>
      <c r="I43" s="8"/>
      <c r="J43" s="8"/>
      <c r="K43" s="8"/>
      <c r="L43" s="8"/>
      <c r="M43" s="8"/>
      <c r="N43" s="8"/>
      <c r="O43" s="4"/>
    </row>
    <row r="44" spans="2:15" x14ac:dyDescent="0.4">
      <c r="B44" s="32"/>
      <c r="C44" s="38"/>
      <c r="D44" s="38"/>
      <c r="O44" s="38" t="s">
        <v>171</v>
      </c>
    </row>
    <row r="45" spans="2:15" x14ac:dyDescent="0.4">
      <c r="B45" s="98" t="s">
        <v>160</v>
      </c>
      <c r="C45" s="98" t="s">
        <v>172</v>
      </c>
      <c r="D45" s="98" t="s">
        <v>173</v>
      </c>
      <c r="E45" s="98" t="s">
        <v>174</v>
      </c>
      <c r="F45" s="98" t="s">
        <v>175</v>
      </c>
      <c r="G45" s="98" t="s">
        <v>176</v>
      </c>
      <c r="H45" s="98" t="s">
        <v>177</v>
      </c>
      <c r="I45" s="98" t="s">
        <v>178</v>
      </c>
      <c r="J45" s="98" t="s">
        <v>179</v>
      </c>
      <c r="K45" s="98" t="s">
        <v>180</v>
      </c>
      <c r="L45" s="98" t="s">
        <v>181</v>
      </c>
      <c r="M45" s="98" t="s">
        <v>182</v>
      </c>
      <c r="N45" s="98" t="s">
        <v>183</v>
      </c>
      <c r="O45" s="98" t="s">
        <v>164</v>
      </c>
    </row>
    <row r="46" spans="2:15" ht="13.8" customHeight="1" x14ac:dyDescent="0.4">
      <c r="B46" s="517" t="s">
        <v>161</v>
      </c>
      <c r="C46" s="1948" t="s">
        <v>1128</v>
      </c>
      <c r="D46" s="1949"/>
      <c r="E46" s="1949"/>
      <c r="F46" s="1949"/>
      <c r="G46" s="1949"/>
      <c r="H46" s="1949"/>
      <c r="I46" s="1949"/>
      <c r="J46" s="1949"/>
      <c r="K46" s="1949"/>
      <c r="L46" s="1949"/>
      <c r="M46" s="1949"/>
      <c r="N46" s="1949"/>
      <c r="O46" s="1949"/>
    </row>
    <row r="47" spans="2:15" x14ac:dyDescent="0.4">
      <c r="B47" s="429" t="s">
        <v>1129</v>
      </c>
      <c r="C47" s="1951"/>
      <c r="D47" s="1952"/>
      <c r="E47" s="1952"/>
      <c r="F47" s="1952"/>
      <c r="G47" s="1952"/>
      <c r="H47" s="1952"/>
      <c r="I47" s="1952"/>
      <c r="J47" s="1952"/>
      <c r="K47" s="1952"/>
      <c r="L47" s="1952"/>
      <c r="M47" s="1952"/>
      <c r="N47" s="1952"/>
      <c r="O47" s="1952"/>
    </row>
    <row r="48" spans="2:15" x14ac:dyDescent="0.4">
      <c r="B48" s="429" t="s">
        <v>1130</v>
      </c>
      <c r="C48" s="1951"/>
      <c r="D48" s="1952"/>
      <c r="E48" s="1952"/>
      <c r="F48" s="1952"/>
      <c r="G48" s="1952"/>
      <c r="H48" s="1952"/>
      <c r="I48" s="1952"/>
      <c r="J48" s="1952"/>
      <c r="K48" s="1952"/>
      <c r="L48" s="1952"/>
      <c r="M48" s="1952"/>
      <c r="N48" s="1952"/>
      <c r="O48" s="1952"/>
    </row>
    <row r="49" spans="2:15" x14ac:dyDescent="0.4">
      <c r="B49" s="429" t="s">
        <v>1131</v>
      </c>
      <c r="C49" s="1951"/>
      <c r="D49" s="1952"/>
      <c r="E49" s="1952"/>
      <c r="F49" s="1952"/>
      <c r="G49" s="1952"/>
      <c r="H49" s="1952"/>
      <c r="I49" s="1952"/>
      <c r="J49" s="1952"/>
      <c r="K49" s="1952"/>
      <c r="L49" s="1952"/>
      <c r="M49" s="1952"/>
      <c r="N49" s="1952"/>
      <c r="O49" s="1952"/>
    </row>
    <row r="50" spans="2:15" x14ac:dyDescent="0.4">
      <c r="B50" s="429" t="s">
        <v>1132</v>
      </c>
      <c r="C50" s="1951"/>
      <c r="D50" s="1952"/>
      <c r="E50" s="1952"/>
      <c r="F50" s="1952"/>
      <c r="G50" s="1952"/>
      <c r="H50" s="1952"/>
      <c r="I50" s="1952"/>
      <c r="J50" s="1952"/>
      <c r="K50" s="1952"/>
      <c r="L50" s="1952"/>
      <c r="M50" s="1952"/>
      <c r="N50" s="1952"/>
      <c r="O50" s="1952"/>
    </row>
    <row r="51" spans="2:15" x14ac:dyDescent="0.4">
      <c r="B51" s="518" t="s">
        <v>162</v>
      </c>
      <c r="C51" s="1951"/>
      <c r="D51" s="1952"/>
      <c r="E51" s="1952"/>
      <c r="F51" s="1952"/>
      <c r="G51" s="1952"/>
      <c r="H51" s="1952"/>
      <c r="I51" s="1952"/>
      <c r="J51" s="1952"/>
      <c r="K51" s="1952"/>
      <c r="L51" s="1952"/>
      <c r="M51" s="1952"/>
      <c r="N51" s="1952"/>
      <c r="O51" s="1952"/>
    </row>
    <row r="52" spans="2:15" x14ac:dyDescent="0.4">
      <c r="B52" s="517" t="s">
        <v>163</v>
      </c>
      <c r="C52" s="1951"/>
      <c r="D52" s="1952"/>
      <c r="E52" s="1952"/>
      <c r="F52" s="1952"/>
      <c r="G52" s="1952"/>
      <c r="H52" s="1952"/>
      <c r="I52" s="1952"/>
      <c r="J52" s="1952"/>
      <c r="K52" s="1952"/>
      <c r="L52" s="1952"/>
      <c r="M52" s="1952"/>
      <c r="N52" s="1952"/>
      <c r="O52" s="1952"/>
    </row>
    <row r="53" spans="2:15" x14ac:dyDescent="0.4">
      <c r="B53" s="519" t="s">
        <v>1133</v>
      </c>
      <c r="C53" s="1951"/>
      <c r="D53" s="1952"/>
      <c r="E53" s="1952"/>
      <c r="F53" s="1952"/>
      <c r="G53" s="1952"/>
      <c r="H53" s="1952"/>
      <c r="I53" s="1952"/>
      <c r="J53" s="1952"/>
      <c r="K53" s="1952"/>
      <c r="L53" s="1952"/>
      <c r="M53" s="1952"/>
      <c r="N53" s="1952"/>
      <c r="O53" s="1952"/>
    </row>
    <row r="54" spans="2:15" x14ac:dyDescent="0.4">
      <c r="B54" s="520" t="s">
        <v>1106</v>
      </c>
      <c r="C54" s="1951"/>
      <c r="D54" s="1952"/>
      <c r="E54" s="1952"/>
      <c r="F54" s="1952"/>
      <c r="G54" s="1952"/>
      <c r="H54" s="1952"/>
      <c r="I54" s="1952"/>
      <c r="J54" s="1952"/>
      <c r="K54" s="1952"/>
      <c r="L54" s="1952"/>
      <c r="M54" s="1952"/>
      <c r="N54" s="1952"/>
      <c r="O54" s="1952"/>
    </row>
    <row r="55" spans="2:15" x14ac:dyDescent="0.4">
      <c r="B55" s="520" t="s">
        <v>1107</v>
      </c>
      <c r="C55" s="1951"/>
      <c r="D55" s="1952"/>
      <c r="E55" s="1952"/>
      <c r="F55" s="1952"/>
      <c r="G55" s="1952"/>
      <c r="H55" s="1952"/>
      <c r="I55" s="1952"/>
      <c r="J55" s="1952"/>
      <c r="K55" s="1952"/>
      <c r="L55" s="1952"/>
      <c r="M55" s="1952"/>
      <c r="N55" s="1952"/>
      <c r="O55" s="1952"/>
    </row>
    <row r="56" spans="2:15" x14ac:dyDescent="0.4">
      <c r="B56" s="520" t="s">
        <v>1108</v>
      </c>
      <c r="C56" s="1951"/>
      <c r="D56" s="1952"/>
      <c r="E56" s="1952"/>
      <c r="F56" s="1952"/>
      <c r="G56" s="1952"/>
      <c r="H56" s="1952"/>
      <c r="I56" s="1952"/>
      <c r="J56" s="1952"/>
      <c r="K56" s="1952"/>
      <c r="L56" s="1952"/>
      <c r="M56" s="1952"/>
      <c r="N56" s="1952"/>
      <c r="O56" s="1952"/>
    </row>
    <row r="57" spans="2:15" x14ac:dyDescent="0.4">
      <c r="B57" s="520" t="s">
        <v>1109</v>
      </c>
      <c r="C57" s="1951"/>
      <c r="D57" s="1952"/>
      <c r="E57" s="1952"/>
      <c r="F57" s="1952"/>
      <c r="G57" s="1952"/>
      <c r="H57" s="1952"/>
      <c r="I57" s="1952"/>
      <c r="J57" s="1952"/>
      <c r="K57" s="1952"/>
      <c r="L57" s="1952"/>
      <c r="M57" s="1952"/>
      <c r="N57" s="1952"/>
      <c r="O57" s="1952"/>
    </row>
    <row r="58" spans="2:15" x14ac:dyDescent="0.4">
      <c r="B58" s="520" t="s">
        <v>1110</v>
      </c>
      <c r="C58" s="1951"/>
      <c r="D58" s="1952"/>
      <c r="E58" s="1952"/>
      <c r="F58" s="1952"/>
      <c r="G58" s="1952"/>
      <c r="H58" s="1952"/>
      <c r="I58" s="1952"/>
      <c r="J58" s="1952"/>
      <c r="K58" s="1952"/>
      <c r="L58" s="1952"/>
      <c r="M58" s="1952"/>
      <c r="N58" s="1952"/>
      <c r="O58" s="1952"/>
    </row>
    <row r="59" spans="2:15" x14ac:dyDescent="0.4">
      <c r="B59" s="519" t="s">
        <v>1134</v>
      </c>
      <c r="C59" s="1951"/>
      <c r="D59" s="1952"/>
      <c r="E59" s="1952"/>
      <c r="F59" s="1952"/>
      <c r="G59" s="1952"/>
      <c r="H59" s="1952"/>
      <c r="I59" s="1952"/>
      <c r="J59" s="1952"/>
      <c r="K59" s="1952"/>
      <c r="L59" s="1952"/>
      <c r="M59" s="1952"/>
      <c r="N59" s="1952"/>
      <c r="O59" s="1952"/>
    </row>
    <row r="60" spans="2:15" x14ac:dyDescent="0.4">
      <c r="B60" s="519" t="s">
        <v>1111</v>
      </c>
      <c r="C60" s="1951"/>
      <c r="D60" s="1952"/>
      <c r="E60" s="1952"/>
      <c r="F60" s="1952"/>
      <c r="G60" s="1952"/>
      <c r="H60" s="1952"/>
      <c r="I60" s="1952"/>
      <c r="J60" s="1952"/>
      <c r="K60" s="1952"/>
      <c r="L60" s="1952"/>
      <c r="M60" s="1952"/>
      <c r="N60" s="1952"/>
      <c r="O60" s="1952"/>
    </row>
    <row r="61" spans="2:15" x14ac:dyDescent="0.4">
      <c r="B61" s="519" t="s">
        <v>1135</v>
      </c>
      <c r="C61" s="1951"/>
      <c r="D61" s="1952"/>
      <c r="E61" s="1952"/>
      <c r="F61" s="1952"/>
      <c r="G61" s="1952"/>
      <c r="H61" s="1952"/>
      <c r="I61" s="1952"/>
      <c r="J61" s="1952"/>
      <c r="K61" s="1952"/>
      <c r="L61" s="1952"/>
      <c r="M61" s="1952"/>
      <c r="N61" s="1952"/>
      <c r="O61" s="1952"/>
    </row>
    <row r="62" spans="2:15" x14ac:dyDescent="0.4">
      <c r="B62" s="519" t="s">
        <v>1136</v>
      </c>
      <c r="C62" s="1951"/>
      <c r="D62" s="1952"/>
      <c r="E62" s="1952"/>
      <c r="F62" s="1952"/>
      <c r="G62" s="1952"/>
      <c r="H62" s="1952"/>
      <c r="I62" s="1952"/>
      <c r="J62" s="1952"/>
      <c r="K62" s="1952"/>
      <c r="L62" s="1952"/>
      <c r="M62" s="1952"/>
      <c r="N62" s="1952"/>
      <c r="O62" s="1952"/>
    </row>
    <row r="63" spans="2:15" x14ac:dyDescent="0.4">
      <c r="B63" s="175" t="s">
        <v>162</v>
      </c>
      <c r="C63" s="1954"/>
      <c r="D63" s="1955"/>
      <c r="E63" s="1955"/>
      <c r="F63" s="1955"/>
      <c r="G63" s="1955"/>
      <c r="H63" s="1955"/>
      <c r="I63" s="1955"/>
      <c r="J63" s="1955"/>
      <c r="K63" s="1955"/>
      <c r="L63" s="1955"/>
      <c r="M63" s="1955"/>
      <c r="N63" s="1955"/>
      <c r="O63" s="1955"/>
    </row>
    <row r="64" spans="2:15" x14ac:dyDescent="0.4">
      <c r="B64" s="175"/>
      <c r="C64" s="522"/>
      <c r="D64" s="522"/>
      <c r="E64" s="522"/>
      <c r="F64" s="522"/>
      <c r="G64" s="522"/>
      <c r="H64" s="522"/>
      <c r="I64" s="510"/>
      <c r="J64" s="510"/>
      <c r="K64" s="510"/>
      <c r="L64" s="510"/>
      <c r="M64" s="510"/>
      <c r="N64" s="510"/>
      <c r="O64" s="510"/>
    </row>
    <row r="65" spans="2:15" x14ac:dyDescent="0.4">
      <c r="B65" s="119" t="s">
        <v>164</v>
      </c>
      <c r="C65" s="26"/>
      <c r="D65" s="26"/>
      <c r="E65" s="26"/>
      <c r="F65" s="26"/>
      <c r="G65" s="26"/>
      <c r="H65" s="26"/>
      <c r="I65" s="511">
        <f t="shared" ref="I65:O65" si="14">I51+I63</f>
        <v>0</v>
      </c>
      <c r="J65" s="511">
        <f t="shared" si="14"/>
        <v>0</v>
      </c>
      <c r="K65" s="511">
        <f t="shared" si="14"/>
        <v>0</v>
      </c>
      <c r="L65" s="511">
        <f t="shared" si="14"/>
        <v>0</v>
      </c>
      <c r="M65" s="511">
        <f t="shared" si="14"/>
        <v>0</v>
      </c>
      <c r="N65" s="511">
        <f t="shared" si="14"/>
        <v>0</v>
      </c>
      <c r="O65" s="511">
        <f t="shared" si="14"/>
        <v>0</v>
      </c>
    </row>
    <row r="66" spans="2:15" x14ac:dyDescent="0.4">
      <c r="B66" s="118" t="s">
        <v>165</v>
      </c>
    </row>
    <row r="67" spans="2:15" x14ac:dyDescent="0.4">
      <c r="B67" s="27" t="s">
        <v>166</v>
      </c>
    </row>
    <row r="68" spans="2:15" x14ac:dyDescent="0.4">
      <c r="B68" s="1" t="s">
        <v>184</v>
      </c>
      <c r="C68" s="30"/>
      <c r="D68" s="30"/>
      <c r="E68" s="30"/>
      <c r="F68" s="30"/>
    </row>
    <row r="69" spans="2:15" x14ac:dyDescent="0.4">
      <c r="B69" s="27" t="s">
        <v>168</v>
      </c>
      <c r="C69" s="30"/>
      <c r="D69" s="30"/>
      <c r="E69" s="30"/>
      <c r="F69" s="30"/>
    </row>
    <row r="70" spans="2:15" x14ac:dyDescent="0.4">
      <c r="B70" s="27"/>
      <c r="C70" s="30"/>
      <c r="D70" s="30"/>
      <c r="E70" s="30"/>
      <c r="F70" s="30"/>
    </row>
    <row r="71" spans="2:15" x14ac:dyDescent="0.4">
      <c r="B71" s="32" t="s">
        <v>1021</v>
      </c>
      <c r="C71" s="8"/>
      <c r="D71" s="8"/>
      <c r="E71" s="8"/>
      <c r="F71" s="8"/>
      <c r="G71" s="8"/>
      <c r="H71" s="8"/>
      <c r="I71" s="8"/>
      <c r="J71" s="8"/>
      <c r="K71" s="8"/>
      <c r="L71" s="8"/>
      <c r="M71" s="8"/>
      <c r="N71" s="8"/>
      <c r="O71" s="4"/>
    </row>
    <row r="72" spans="2:15" x14ac:dyDescent="0.4">
      <c r="B72" s="32"/>
      <c r="C72" s="38"/>
      <c r="D72" s="38"/>
      <c r="O72" s="38" t="s">
        <v>171</v>
      </c>
    </row>
    <row r="73" spans="2:15" x14ac:dyDescent="0.4">
      <c r="B73" s="98" t="s">
        <v>160</v>
      </c>
      <c r="C73" s="98" t="s">
        <v>172</v>
      </c>
      <c r="D73" s="98" t="s">
        <v>173</v>
      </c>
      <c r="E73" s="98" t="s">
        <v>174</v>
      </c>
      <c r="F73" s="98" t="s">
        <v>175</v>
      </c>
      <c r="G73" s="98" t="s">
        <v>176</v>
      </c>
      <c r="H73" s="98" t="s">
        <v>177</v>
      </c>
      <c r="I73" s="98" t="s">
        <v>178</v>
      </c>
      <c r="J73" s="98" t="s">
        <v>179</v>
      </c>
      <c r="K73" s="98" t="s">
        <v>180</v>
      </c>
      <c r="L73" s="98" t="s">
        <v>181</v>
      </c>
      <c r="M73" s="98" t="s">
        <v>182</v>
      </c>
      <c r="N73" s="98" t="s">
        <v>183</v>
      </c>
      <c r="O73" s="98" t="s">
        <v>164</v>
      </c>
    </row>
    <row r="74" spans="2:15" x14ac:dyDescent="0.4">
      <c r="B74" s="517" t="s">
        <v>161</v>
      </c>
      <c r="C74" s="78"/>
      <c r="D74" s="78"/>
      <c r="E74" s="78"/>
      <c r="F74" s="3"/>
      <c r="G74" s="3"/>
      <c r="H74" s="2"/>
      <c r="I74" s="43"/>
      <c r="J74" s="44"/>
      <c r="K74" s="124"/>
      <c r="L74" s="124"/>
      <c r="M74" s="2"/>
      <c r="N74" s="2"/>
      <c r="O74" s="2"/>
    </row>
    <row r="75" spans="2:15" x14ac:dyDescent="0.4">
      <c r="B75" s="429" t="s">
        <v>1129</v>
      </c>
      <c r="C75" s="512"/>
      <c r="D75" s="512"/>
      <c r="E75" s="512"/>
      <c r="F75" s="512"/>
      <c r="G75" s="512"/>
      <c r="H75" s="512"/>
      <c r="I75" s="512"/>
      <c r="J75" s="512"/>
      <c r="K75" s="512"/>
      <c r="L75" s="512"/>
      <c r="M75" s="512"/>
      <c r="N75" s="512"/>
      <c r="O75" s="510">
        <f>SUM(C75:N75)</f>
        <v>0</v>
      </c>
    </row>
    <row r="76" spans="2:15" x14ac:dyDescent="0.4">
      <c r="B76" s="429" t="s">
        <v>1130</v>
      </c>
      <c r="C76" s="554"/>
      <c r="D76" s="554">
        <v>1.9900299999999999E-2</v>
      </c>
      <c r="E76" s="554">
        <v>2.8550950000000002E-2</v>
      </c>
      <c r="F76" s="555">
        <v>4.7114749999999997E-2</v>
      </c>
      <c r="G76" s="554">
        <v>5.5926999999999998E-2</v>
      </c>
      <c r="H76" s="556">
        <v>6.2180449999999998E-2</v>
      </c>
      <c r="I76" s="554">
        <v>6.1310300000000005E-2</v>
      </c>
      <c r="J76" s="554">
        <v>5.7791459999999996E-2</v>
      </c>
      <c r="K76" s="554">
        <v>5.8304540000000002E-2</v>
      </c>
      <c r="L76" s="554">
        <v>6.0667940000000004E-2</v>
      </c>
      <c r="M76" s="554">
        <v>6.0793180000000002E-2</v>
      </c>
      <c r="N76" s="554">
        <v>5.0762980000000006E-2</v>
      </c>
      <c r="O76" s="510">
        <f>SUM(C76:N76)</f>
        <v>0.56330385000000005</v>
      </c>
    </row>
    <row r="77" spans="2:15" x14ac:dyDescent="0.4">
      <c r="B77" s="429" t="s">
        <v>1131</v>
      </c>
      <c r="C77" s="512"/>
      <c r="D77" s="512"/>
      <c r="E77" s="512"/>
      <c r="F77" s="512"/>
      <c r="G77" s="512"/>
      <c r="H77" s="512"/>
      <c r="I77" s="512"/>
      <c r="J77" s="512"/>
      <c r="K77" s="512"/>
      <c r="L77" s="512"/>
      <c r="M77" s="512"/>
      <c r="N77" s="512"/>
      <c r="O77" s="510">
        <f>SUM(C77:N77)</f>
        <v>0</v>
      </c>
    </row>
    <row r="78" spans="2:15" x14ac:dyDescent="0.4">
      <c r="B78" s="429" t="s">
        <v>1132</v>
      </c>
    </row>
    <row r="79" spans="2:15" x14ac:dyDescent="0.4">
      <c r="B79" s="518" t="s">
        <v>162</v>
      </c>
      <c r="C79" s="513">
        <f>SUM(C75:C78)</f>
        <v>0</v>
      </c>
      <c r="D79" s="513">
        <f t="shared" ref="D79:O79" si="15">SUM(D75:D78)</f>
        <v>1.9900299999999999E-2</v>
      </c>
      <c r="E79" s="513">
        <f t="shared" si="15"/>
        <v>2.8550950000000002E-2</v>
      </c>
      <c r="F79" s="513">
        <f t="shared" si="15"/>
        <v>4.7114749999999997E-2</v>
      </c>
      <c r="G79" s="513">
        <f t="shared" si="15"/>
        <v>5.5926999999999998E-2</v>
      </c>
      <c r="H79" s="513">
        <f t="shared" si="15"/>
        <v>6.2180449999999998E-2</v>
      </c>
      <c r="I79" s="513">
        <f t="shared" si="15"/>
        <v>6.1310300000000005E-2</v>
      </c>
      <c r="J79" s="513">
        <f t="shared" si="15"/>
        <v>5.7791459999999996E-2</v>
      </c>
      <c r="K79" s="513">
        <f t="shared" si="15"/>
        <v>5.8304540000000002E-2</v>
      </c>
      <c r="L79" s="513">
        <f t="shared" si="15"/>
        <v>6.0667940000000004E-2</v>
      </c>
      <c r="M79" s="513">
        <f t="shared" si="15"/>
        <v>6.0793180000000002E-2</v>
      </c>
      <c r="N79" s="513">
        <f t="shared" si="15"/>
        <v>5.0762980000000006E-2</v>
      </c>
      <c r="O79" s="513">
        <f t="shared" si="15"/>
        <v>0.56330385000000005</v>
      </c>
    </row>
    <row r="80" spans="2:15" x14ac:dyDescent="0.4">
      <c r="B80" s="517" t="s">
        <v>163</v>
      </c>
      <c r="C80" s="513"/>
      <c r="D80" s="513"/>
      <c r="E80" s="513"/>
      <c r="F80" s="513"/>
      <c r="G80" s="513"/>
      <c r="H80" s="513"/>
      <c r="I80" s="513"/>
      <c r="J80" s="513"/>
      <c r="K80" s="513"/>
      <c r="L80" s="513"/>
      <c r="M80" s="513"/>
      <c r="N80" s="513"/>
      <c r="O80" s="535"/>
    </row>
    <row r="81" spans="2:15" x14ac:dyDescent="0.4">
      <c r="B81" s="519" t="s">
        <v>1133</v>
      </c>
      <c r="C81" s="536"/>
      <c r="D81" s="536"/>
      <c r="E81" s="514"/>
      <c r="F81" s="536"/>
      <c r="G81" s="514"/>
      <c r="H81" s="514"/>
      <c r="I81" s="512"/>
      <c r="J81" s="513"/>
      <c r="K81" s="514"/>
      <c r="L81" s="513"/>
      <c r="M81" s="513"/>
      <c r="N81" s="515"/>
      <c r="O81" s="514"/>
    </row>
    <row r="82" spans="2:15" x14ac:dyDescent="0.4">
      <c r="B82" s="520" t="s">
        <v>1106</v>
      </c>
      <c r="C82" s="537"/>
      <c r="D82" s="537"/>
      <c r="E82" s="537"/>
      <c r="F82" s="537"/>
      <c r="G82" s="537"/>
      <c r="H82" s="537"/>
      <c r="I82" s="537"/>
      <c r="J82" s="537"/>
      <c r="K82" s="537"/>
      <c r="L82" s="537"/>
      <c r="M82" s="537"/>
      <c r="N82" s="537"/>
      <c r="O82" s="510">
        <f t="shared" ref="O82:O87" si="16">SUM(C82:N82)</f>
        <v>0</v>
      </c>
    </row>
    <row r="83" spans="2:15" x14ac:dyDescent="0.4">
      <c r="B83" s="520" t="s">
        <v>1107</v>
      </c>
      <c r="C83" s="537"/>
      <c r="D83" s="537"/>
      <c r="E83" s="537"/>
      <c r="F83" s="537"/>
      <c r="G83" s="537"/>
      <c r="H83" s="537"/>
      <c r="I83" s="537"/>
      <c r="J83" s="537"/>
      <c r="K83" s="537"/>
      <c r="L83" s="537"/>
      <c r="M83" s="537"/>
      <c r="N83" s="537"/>
      <c r="O83" s="510">
        <f t="shared" si="16"/>
        <v>0</v>
      </c>
    </row>
    <row r="84" spans="2:15" x14ac:dyDescent="0.4">
      <c r="B84" s="520" t="s">
        <v>1108</v>
      </c>
      <c r="C84" s="537"/>
      <c r="D84" s="537"/>
      <c r="E84" s="537"/>
      <c r="F84" s="537"/>
      <c r="G84" s="537"/>
      <c r="H84" s="537"/>
      <c r="I84" s="537"/>
      <c r="J84" s="537"/>
      <c r="K84" s="537"/>
      <c r="L84" s="537"/>
      <c r="M84" s="537"/>
      <c r="N84" s="537"/>
      <c r="O84" s="510">
        <f t="shared" si="16"/>
        <v>0</v>
      </c>
    </row>
    <row r="85" spans="2:15" x14ac:dyDescent="0.4">
      <c r="B85" s="520" t="s">
        <v>1109</v>
      </c>
      <c r="C85" s="537"/>
      <c r="D85" s="537"/>
      <c r="E85" s="537"/>
      <c r="F85" s="537"/>
      <c r="G85" s="537"/>
      <c r="H85" s="537"/>
      <c r="I85" s="537"/>
      <c r="J85" s="537"/>
      <c r="K85" s="537"/>
      <c r="L85" s="537"/>
      <c r="M85" s="537"/>
      <c r="N85" s="537"/>
      <c r="O85" s="510">
        <f t="shared" si="16"/>
        <v>0</v>
      </c>
    </row>
    <row r="86" spans="2:15" x14ac:dyDescent="0.4">
      <c r="B86" s="520" t="s">
        <v>1110</v>
      </c>
      <c r="C86" s="537"/>
      <c r="D86" s="537"/>
      <c r="E86" s="537"/>
      <c r="F86" s="537"/>
      <c r="G86" s="537"/>
      <c r="H86" s="537"/>
      <c r="I86" s="537"/>
      <c r="J86" s="537"/>
      <c r="K86" s="537"/>
      <c r="L86" s="537"/>
      <c r="M86" s="537"/>
      <c r="N86" s="537"/>
      <c r="O86" s="510">
        <f t="shared" si="16"/>
        <v>0</v>
      </c>
    </row>
    <row r="87" spans="2:15" x14ac:dyDescent="0.4">
      <c r="B87" s="519" t="s">
        <v>1134</v>
      </c>
      <c r="C87" s="537"/>
      <c r="D87" s="537"/>
      <c r="E87" s="537"/>
      <c r="F87" s="537"/>
      <c r="G87" s="537"/>
      <c r="H87" s="537"/>
      <c r="I87" s="537"/>
      <c r="J87" s="537"/>
      <c r="K87" s="537"/>
      <c r="L87" s="537"/>
      <c r="M87" s="537"/>
      <c r="N87" s="537"/>
      <c r="O87" s="510">
        <f t="shared" si="16"/>
        <v>0</v>
      </c>
    </row>
    <row r="88" spans="2:15" x14ac:dyDescent="0.4">
      <c r="B88" s="519" t="s">
        <v>1111</v>
      </c>
      <c r="C88" s="537"/>
      <c r="D88" s="537"/>
      <c r="E88" s="537"/>
      <c r="F88" s="537"/>
      <c r="G88" s="537"/>
      <c r="H88" s="537"/>
      <c r="I88" s="537"/>
      <c r="J88" s="537"/>
      <c r="K88" s="537"/>
      <c r="L88" s="537"/>
      <c r="M88" s="537"/>
      <c r="N88" s="537"/>
      <c r="O88" s="510"/>
    </row>
    <row r="89" spans="2:15" x14ac:dyDescent="0.4">
      <c r="B89" s="519" t="s">
        <v>1135</v>
      </c>
      <c r="C89" s="553">
        <v>8.1759999999999992E-3</v>
      </c>
      <c r="D89" s="553">
        <v>8.3599999999999994E-3</v>
      </c>
      <c r="E89" s="553">
        <v>1.0456E-2</v>
      </c>
      <c r="F89" s="557">
        <v>6.0879999999999997E-3</v>
      </c>
      <c r="G89" s="553">
        <v>8.5199999999999998E-3</v>
      </c>
      <c r="H89" s="558">
        <v>7.9120000000000006E-3</v>
      </c>
      <c r="I89" s="553">
        <v>8.992E-3</v>
      </c>
      <c r="J89" s="553">
        <v>8.6E-3</v>
      </c>
      <c r="K89" s="553">
        <v>9.0080000000000004E-3</v>
      </c>
      <c r="L89" s="553">
        <v>7.8320000000000004E-3</v>
      </c>
      <c r="M89" s="553">
        <v>8.6560000000000005E-3</v>
      </c>
      <c r="N89" s="553">
        <v>8.9040000000000005E-3</v>
      </c>
      <c r="O89" s="510">
        <f>SUM(C89:N89)</f>
        <v>0.101504</v>
      </c>
    </row>
    <row r="90" spans="2:15" x14ac:dyDescent="0.4">
      <c r="B90" s="519" t="s">
        <v>1136</v>
      </c>
      <c r="C90" s="537"/>
      <c r="D90" s="537"/>
      <c r="E90" s="537"/>
      <c r="F90" s="537"/>
      <c r="G90" s="537"/>
      <c r="H90" s="537"/>
      <c r="I90" s="537"/>
      <c r="J90" s="537"/>
      <c r="K90" s="537"/>
      <c r="L90" s="537"/>
      <c r="M90" s="537"/>
      <c r="N90" s="537"/>
      <c r="O90" s="510">
        <f>SUM(C90:N90)</f>
        <v>0</v>
      </c>
    </row>
    <row r="91" spans="2:15" x14ac:dyDescent="0.4">
      <c r="B91" s="175" t="s">
        <v>162</v>
      </c>
      <c r="C91" s="513">
        <f>SUM(C82:C90)</f>
        <v>8.1759999999999992E-3</v>
      </c>
      <c r="D91" s="513">
        <f t="shared" ref="D91:O91" si="17">SUM(D82:D90)</f>
        <v>8.3599999999999994E-3</v>
      </c>
      <c r="E91" s="513">
        <f t="shared" si="17"/>
        <v>1.0456E-2</v>
      </c>
      <c r="F91" s="513">
        <f t="shared" si="17"/>
        <v>6.0879999999999997E-3</v>
      </c>
      <c r="G91" s="513">
        <f t="shared" si="17"/>
        <v>8.5199999999999998E-3</v>
      </c>
      <c r="H91" s="513">
        <f t="shared" si="17"/>
        <v>7.9120000000000006E-3</v>
      </c>
      <c r="I91" s="513">
        <f t="shared" si="17"/>
        <v>8.992E-3</v>
      </c>
      <c r="J91" s="513">
        <f t="shared" si="17"/>
        <v>8.6E-3</v>
      </c>
      <c r="K91" s="513">
        <f t="shared" si="17"/>
        <v>9.0080000000000004E-3</v>
      </c>
      <c r="L91" s="513">
        <f t="shared" si="17"/>
        <v>7.8320000000000004E-3</v>
      </c>
      <c r="M91" s="513">
        <f t="shared" si="17"/>
        <v>8.6560000000000005E-3</v>
      </c>
      <c r="N91" s="513">
        <f t="shared" si="17"/>
        <v>8.9040000000000005E-3</v>
      </c>
      <c r="O91" s="513">
        <f t="shared" si="17"/>
        <v>0.101504</v>
      </c>
    </row>
    <row r="92" spans="2:15" x14ac:dyDescent="0.4">
      <c r="B92" s="175"/>
      <c r="C92" s="512"/>
      <c r="D92" s="512"/>
      <c r="E92" s="512"/>
      <c r="F92" s="512"/>
      <c r="G92" s="512"/>
      <c r="H92" s="512"/>
      <c r="I92" s="512"/>
      <c r="J92" s="512"/>
      <c r="K92" s="512"/>
      <c r="L92" s="512"/>
      <c r="M92" s="512"/>
      <c r="N92" s="512"/>
      <c r="O92" s="538"/>
    </row>
    <row r="93" spans="2:15" x14ac:dyDescent="0.4">
      <c r="B93" s="119" t="s">
        <v>164</v>
      </c>
      <c r="C93" s="513">
        <f t="shared" ref="C93:N93" si="18">C79+C91</f>
        <v>8.1759999999999992E-3</v>
      </c>
      <c r="D93" s="513">
        <f t="shared" si="18"/>
        <v>2.8260299999999999E-2</v>
      </c>
      <c r="E93" s="513">
        <f t="shared" si="18"/>
        <v>3.9006949999999999E-2</v>
      </c>
      <c r="F93" s="513">
        <f t="shared" si="18"/>
        <v>5.3202749999999993E-2</v>
      </c>
      <c r="G93" s="513">
        <f t="shared" si="18"/>
        <v>6.4447000000000004E-2</v>
      </c>
      <c r="H93" s="513">
        <f t="shared" si="18"/>
        <v>7.0092450000000001E-2</v>
      </c>
      <c r="I93" s="513">
        <f t="shared" si="18"/>
        <v>7.0302300000000012E-2</v>
      </c>
      <c r="J93" s="513">
        <f t="shared" si="18"/>
        <v>6.6391459999999999E-2</v>
      </c>
      <c r="K93" s="513">
        <f t="shared" si="18"/>
        <v>6.7312540000000004E-2</v>
      </c>
      <c r="L93" s="513">
        <f t="shared" si="18"/>
        <v>6.8499940000000009E-2</v>
      </c>
      <c r="M93" s="513">
        <f t="shared" si="18"/>
        <v>6.9449179999999999E-2</v>
      </c>
      <c r="N93" s="513">
        <f t="shared" si="18"/>
        <v>5.9666980000000008E-2</v>
      </c>
      <c r="O93" s="539">
        <f>+O79+O91</f>
        <v>0.66480785000000009</v>
      </c>
    </row>
    <row r="94" spans="2:15" x14ac:dyDescent="0.4">
      <c r="B94" s="118" t="s">
        <v>165</v>
      </c>
    </row>
    <row r="95" spans="2:15" x14ac:dyDescent="0.4">
      <c r="B95" s="27" t="s">
        <v>166</v>
      </c>
    </row>
    <row r="96" spans="2:15" x14ac:dyDescent="0.4">
      <c r="B96" s="1" t="s">
        <v>184</v>
      </c>
      <c r="C96" s="30"/>
      <c r="D96" s="30"/>
      <c r="E96" s="30"/>
      <c r="F96" s="30"/>
    </row>
    <row r="97" spans="2:15" x14ac:dyDescent="0.4">
      <c r="B97" s="27" t="s">
        <v>168</v>
      </c>
      <c r="C97" s="30"/>
      <c r="D97" s="30"/>
      <c r="E97" s="30"/>
      <c r="F97" s="30"/>
    </row>
    <row r="98" spans="2:15" x14ac:dyDescent="0.4">
      <c r="B98" s="32"/>
    </row>
    <row r="99" spans="2:15" x14ac:dyDescent="0.4">
      <c r="B99" s="32" t="s">
        <v>1022</v>
      </c>
      <c r="C99" s="8"/>
      <c r="D99" s="8"/>
      <c r="E99" s="8"/>
      <c r="F99" s="8"/>
      <c r="G99" s="8"/>
      <c r="H99" s="8"/>
      <c r="I99" s="8"/>
      <c r="J99" s="8"/>
      <c r="K99" s="8"/>
      <c r="L99" s="8"/>
      <c r="M99" s="8"/>
      <c r="N99" s="8"/>
      <c r="O99" s="4"/>
    </row>
    <row r="100" spans="2:15" x14ac:dyDescent="0.4">
      <c r="B100" s="32"/>
      <c r="C100" s="38"/>
      <c r="D100" s="38"/>
      <c r="O100" s="38" t="s">
        <v>171</v>
      </c>
    </row>
    <row r="101" spans="2:15" x14ac:dyDescent="0.4">
      <c r="B101" s="98" t="s">
        <v>160</v>
      </c>
      <c r="C101" s="98" t="s">
        <v>172</v>
      </c>
      <c r="D101" s="98" t="s">
        <v>173</v>
      </c>
      <c r="E101" s="98" t="s">
        <v>174</v>
      </c>
      <c r="F101" s="98" t="s">
        <v>175</v>
      </c>
      <c r="G101" s="98" t="s">
        <v>176</v>
      </c>
      <c r="H101" s="98" t="s">
        <v>177</v>
      </c>
      <c r="I101" s="98" t="s">
        <v>178</v>
      </c>
      <c r="J101" s="98" t="s">
        <v>179</v>
      </c>
      <c r="K101" s="98" t="s">
        <v>180</v>
      </c>
      <c r="L101" s="98" t="s">
        <v>181</v>
      </c>
      <c r="M101" s="98" t="s">
        <v>182</v>
      </c>
      <c r="N101" s="98" t="s">
        <v>183</v>
      </c>
      <c r="O101" s="98" t="s">
        <v>164</v>
      </c>
    </row>
    <row r="102" spans="2:15" x14ac:dyDescent="0.4">
      <c r="B102" s="517" t="s">
        <v>161</v>
      </c>
      <c r="C102" s="540"/>
      <c r="D102" s="540"/>
      <c r="E102" s="541"/>
      <c r="F102" s="542"/>
      <c r="G102" s="541"/>
      <c r="H102" s="541"/>
      <c r="I102" s="541"/>
      <c r="J102" s="541"/>
      <c r="K102" s="541"/>
      <c r="L102" s="541"/>
      <c r="M102" s="541"/>
      <c r="N102" s="541"/>
      <c r="O102" s="540"/>
    </row>
    <row r="103" spans="2:15" x14ac:dyDescent="0.4">
      <c r="B103" s="429" t="s">
        <v>1129</v>
      </c>
      <c r="C103" s="543"/>
      <c r="D103" s="543"/>
      <c r="E103" s="543"/>
      <c r="F103" s="543"/>
      <c r="G103" s="543"/>
      <c r="H103" s="543"/>
      <c r="I103" s="543"/>
      <c r="J103" s="543"/>
      <c r="K103" s="543"/>
      <c r="L103" s="543"/>
      <c r="M103" s="543"/>
      <c r="N103" s="543"/>
      <c r="O103" s="544">
        <f>SUM(C103:N103)</f>
        <v>0</v>
      </c>
    </row>
    <row r="104" spans="2:15" x14ac:dyDescent="0.4">
      <c r="B104" s="429" t="s">
        <v>1130</v>
      </c>
      <c r="C104" s="543">
        <v>5.8098499999999997E-2</v>
      </c>
      <c r="D104" s="543">
        <v>7.6659080000000004E-2</v>
      </c>
      <c r="E104" s="543">
        <v>0.11322874000000001</v>
      </c>
      <c r="F104" s="543">
        <v>0.24576479000000001</v>
      </c>
      <c r="G104" s="543">
        <v>0.50648804999999997</v>
      </c>
      <c r="H104" s="543">
        <v>0.59009734999999996</v>
      </c>
      <c r="I104" s="543">
        <v>0.61579264</v>
      </c>
      <c r="J104" s="543">
        <v>0.56284087999999999</v>
      </c>
      <c r="K104" s="543">
        <v>0.57358364699999997</v>
      </c>
      <c r="L104" s="543">
        <v>0.65570443</v>
      </c>
      <c r="M104" s="543">
        <v>0.60769691000000003</v>
      </c>
      <c r="N104" s="543">
        <v>0.77103051</v>
      </c>
      <c r="O104" s="544">
        <f>SUM(C104:N104)</f>
        <v>5.3769855269999995</v>
      </c>
    </row>
    <row r="105" spans="2:15" x14ac:dyDescent="0.4">
      <c r="B105" s="429" t="s">
        <v>1131</v>
      </c>
      <c r="C105" s="543"/>
      <c r="D105" s="543"/>
      <c r="E105" s="543"/>
      <c r="F105" s="543"/>
      <c r="G105" s="543"/>
      <c r="H105" s="543"/>
      <c r="I105" s="543"/>
      <c r="J105" s="543"/>
      <c r="K105" s="543"/>
      <c r="L105" s="543"/>
      <c r="M105" s="543"/>
      <c r="N105" s="543"/>
      <c r="O105" s="544">
        <f>SUM(C105:N105)</f>
        <v>0</v>
      </c>
    </row>
    <row r="106" spans="2:15" x14ac:dyDescent="0.4">
      <c r="B106" s="429" t="s">
        <v>1132</v>
      </c>
      <c r="C106" s="543"/>
      <c r="D106" s="543"/>
      <c r="E106" s="543"/>
      <c r="F106" s="543"/>
      <c r="G106" s="543"/>
      <c r="H106" s="543"/>
      <c r="I106" s="543"/>
      <c r="J106" s="543"/>
      <c r="K106" s="543"/>
      <c r="L106" s="543"/>
      <c r="M106" s="543"/>
      <c r="N106" s="543"/>
      <c r="O106" s="544">
        <f>SUM(C106:N106)</f>
        <v>0</v>
      </c>
    </row>
    <row r="107" spans="2:15" x14ac:dyDescent="0.4">
      <c r="B107" s="518" t="s">
        <v>162</v>
      </c>
      <c r="C107" s="545">
        <f>SUM(C103:C106)</f>
        <v>5.8098499999999997E-2</v>
      </c>
      <c r="D107" s="545">
        <f t="shared" ref="D107:N107" si="19">SUM(D103:D106)</f>
        <v>7.6659080000000004E-2</v>
      </c>
      <c r="E107" s="545">
        <f t="shared" si="19"/>
        <v>0.11322874000000001</v>
      </c>
      <c r="F107" s="545">
        <f t="shared" si="19"/>
        <v>0.24576479000000001</v>
      </c>
      <c r="G107" s="545">
        <f t="shared" si="19"/>
        <v>0.50648804999999997</v>
      </c>
      <c r="H107" s="545">
        <f t="shared" si="19"/>
        <v>0.59009734999999996</v>
      </c>
      <c r="I107" s="545">
        <f t="shared" si="19"/>
        <v>0.61579264</v>
      </c>
      <c r="J107" s="545">
        <f t="shared" si="19"/>
        <v>0.56284087999999999</v>
      </c>
      <c r="K107" s="545">
        <f t="shared" si="19"/>
        <v>0.57358364699999997</v>
      </c>
      <c r="L107" s="545">
        <f t="shared" si="19"/>
        <v>0.65570443</v>
      </c>
      <c r="M107" s="545">
        <f t="shared" si="19"/>
        <v>0.60769691000000003</v>
      </c>
      <c r="N107" s="545">
        <f t="shared" si="19"/>
        <v>0.77103051</v>
      </c>
      <c r="O107" s="545">
        <f>SUM(O103:O106)</f>
        <v>5.3769855269999995</v>
      </c>
    </row>
    <row r="108" spans="2:15" x14ac:dyDescent="0.4">
      <c r="B108" s="517" t="s">
        <v>163</v>
      </c>
      <c r="C108" s="545"/>
      <c r="D108" s="545"/>
      <c r="E108" s="545"/>
      <c r="F108" s="545"/>
      <c r="G108" s="545"/>
      <c r="H108" s="545"/>
      <c r="I108" s="545"/>
      <c r="J108" s="545"/>
      <c r="K108" s="545"/>
      <c r="L108" s="545"/>
      <c r="M108" s="545"/>
      <c r="N108" s="545"/>
      <c r="O108" s="545"/>
    </row>
    <row r="109" spans="2:15" x14ac:dyDescent="0.4">
      <c r="B109" s="519" t="s">
        <v>1133</v>
      </c>
      <c r="C109" s="546"/>
      <c r="D109" s="546"/>
      <c r="E109" s="547"/>
      <c r="F109" s="546"/>
      <c r="G109" s="547"/>
      <c r="H109" s="547"/>
      <c r="I109" s="543"/>
      <c r="J109" s="545"/>
      <c r="K109" s="547"/>
      <c r="L109" s="545"/>
      <c r="M109" s="545"/>
      <c r="N109" s="548"/>
      <c r="O109" s="544">
        <f t="shared" ref="O109:O116" si="20">SUM(C109:N109)</f>
        <v>0</v>
      </c>
    </row>
    <row r="110" spans="2:15" x14ac:dyDescent="0.4">
      <c r="B110" s="520" t="s">
        <v>1106</v>
      </c>
      <c r="C110" s="549"/>
      <c r="D110" s="549"/>
      <c r="E110" s="549"/>
      <c r="F110" s="549"/>
      <c r="G110" s="549"/>
      <c r="H110" s="549"/>
      <c r="I110" s="549"/>
      <c r="J110" s="549"/>
      <c r="K110" s="549"/>
      <c r="L110" s="549"/>
      <c r="M110" s="549"/>
      <c r="N110" s="549"/>
      <c r="O110" s="544">
        <f t="shared" si="20"/>
        <v>0</v>
      </c>
    </row>
    <row r="111" spans="2:15" x14ac:dyDescent="0.4">
      <c r="B111" s="520" t="s">
        <v>1107</v>
      </c>
      <c r="C111" s="549"/>
      <c r="D111" s="549"/>
      <c r="E111" s="549"/>
      <c r="F111" s="549"/>
      <c r="G111" s="549"/>
      <c r="H111" s="549"/>
      <c r="I111" s="549"/>
      <c r="J111" s="549"/>
      <c r="K111" s="549"/>
      <c r="L111" s="549"/>
      <c r="M111" s="549"/>
      <c r="N111" s="549"/>
      <c r="O111" s="544">
        <f t="shared" si="20"/>
        <v>0</v>
      </c>
    </row>
    <row r="112" spans="2:15" x14ac:dyDescent="0.4">
      <c r="B112" s="520" t="s">
        <v>1108</v>
      </c>
      <c r="C112" s="549"/>
      <c r="D112" s="549"/>
      <c r="E112" s="549"/>
      <c r="F112" s="549"/>
      <c r="G112" s="549"/>
      <c r="H112" s="549"/>
      <c r="I112" s="549"/>
      <c r="J112" s="549"/>
      <c r="K112" s="549"/>
      <c r="L112" s="549"/>
      <c r="M112" s="549"/>
      <c r="N112" s="549"/>
      <c r="O112" s="544">
        <f t="shared" si="20"/>
        <v>0</v>
      </c>
    </row>
    <row r="113" spans="2:15" x14ac:dyDescent="0.4">
      <c r="B113" s="520" t="s">
        <v>1109</v>
      </c>
      <c r="C113" s="549"/>
      <c r="D113" s="549"/>
      <c r="E113" s="549"/>
      <c r="F113" s="549"/>
      <c r="G113" s="549"/>
      <c r="H113" s="549"/>
      <c r="I113" s="549"/>
      <c r="J113" s="549"/>
      <c r="K113" s="549"/>
      <c r="L113" s="549"/>
      <c r="M113" s="549"/>
      <c r="N113" s="549"/>
      <c r="O113" s="544">
        <f t="shared" si="20"/>
        <v>0</v>
      </c>
    </row>
    <row r="114" spans="2:15" x14ac:dyDescent="0.4">
      <c r="B114" s="520" t="s">
        <v>1110</v>
      </c>
      <c r="C114" s="549"/>
      <c r="D114" s="549"/>
      <c r="E114" s="549"/>
      <c r="F114" s="549"/>
      <c r="G114" s="549"/>
      <c r="H114" s="549"/>
      <c r="I114" s="549"/>
      <c r="J114" s="549"/>
      <c r="K114" s="549"/>
      <c r="L114" s="549"/>
      <c r="M114" s="549"/>
      <c r="N114" s="549"/>
      <c r="O114" s="544">
        <f t="shared" si="20"/>
        <v>0</v>
      </c>
    </row>
    <row r="115" spans="2:15" x14ac:dyDescent="0.4">
      <c r="B115" s="519" t="s">
        <v>1139</v>
      </c>
      <c r="C115" s="550"/>
      <c r="D115" s="550"/>
      <c r="E115" s="550"/>
      <c r="F115" s="550"/>
      <c r="G115" s="550"/>
      <c r="H115" s="550"/>
      <c r="I115" s="550"/>
      <c r="J115" s="550"/>
      <c r="K115" s="550"/>
      <c r="L115" s="550"/>
      <c r="M115" s="550"/>
      <c r="N115" s="550"/>
      <c r="O115" s="544">
        <f t="shared" si="20"/>
        <v>0</v>
      </c>
    </row>
    <row r="116" spans="2:15" x14ac:dyDescent="0.4">
      <c r="B116" s="520" t="s">
        <v>1140</v>
      </c>
      <c r="C116" s="550"/>
      <c r="D116" s="550">
        <v>0</v>
      </c>
      <c r="E116" s="550">
        <v>2.4000000000000001E-5</v>
      </c>
      <c r="F116" s="550">
        <v>2.4000000000000001E-5</v>
      </c>
      <c r="G116" s="550">
        <v>2.5000000000000001E-5</v>
      </c>
      <c r="H116" s="550">
        <v>2.1999999999999999E-5</v>
      </c>
      <c r="I116" s="550">
        <v>2.3E-5</v>
      </c>
      <c r="J116" s="550">
        <v>2.5000000000000001E-5</v>
      </c>
      <c r="K116" s="550">
        <v>2.4000000000000001E-5</v>
      </c>
      <c r="L116" s="550">
        <v>2.4000000000000001E-5</v>
      </c>
      <c r="M116" s="550">
        <v>2.3E-5</v>
      </c>
      <c r="N116" s="550">
        <v>2.4000000000000001E-5</v>
      </c>
      <c r="O116" s="544">
        <f t="shared" si="20"/>
        <v>2.3799999999999998E-4</v>
      </c>
    </row>
    <row r="117" spans="2:15" x14ac:dyDescent="0.4">
      <c r="B117" s="520" t="s">
        <v>1141</v>
      </c>
      <c r="C117" s="550"/>
      <c r="D117" s="550"/>
      <c r="E117" s="550"/>
      <c r="F117" s="550"/>
      <c r="G117" s="550"/>
      <c r="H117" s="550"/>
      <c r="I117" s="550"/>
      <c r="J117" s="550"/>
      <c r="K117" s="550"/>
      <c r="L117" s="550"/>
      <c r="M117" s="550"/>
      <c r="N117" s="550"/>
      <c r="O117" s="544"/>
    </row>
    <row r="118" spans="2:15" x14ac:dyDescent="0.4">
      <c r="B118" s="519" t="s">
        <v>1111</v>
      </c>
      <c r="C118" s="550"/>
      <c r="D118" s="550"/>
      <c r="E118" s="550"/>
      <c r="F118" s="550"/>
      <c r="G118" s="550"/>
      <c r="H118" s="550"/>
      <c r="I118" s="550"/>
      <c r="J118" s="550"/>
      <c r="K118" s="550"/>
      <c r="L118" s="550"/>
      <c r="M118" s="550"/>
      <c r="N118" s="550"/>
      <c r="O118" s="544">
        <f>SUM(C118:N118)</f>
        <v>0</v>
      </c>
    </row>
    <row r="119" spans="2:15" x14ac:dyDescent="0.4">
      <c r="B119" s="519" t="s">
        <v>1135</v>
      </c>
      <c r="C119" s="543">
        <v>1.0064E-2</v>
      </c>
      <c r="D119" s="543">
        <v>1.2014E-2</v>
      </c>
      <c r="E119" s="543">
        <v>1.0071E-2</v>
      </c>
      <c r="F119" s="543">
        <v>8.6160000000000004E-3</v>
      </c>
      <c r="G119" s="543">
        <v>8.4159999999999999E-3</v>
      </c>
      <c r="H119" s="543">
        <v>9.3699999999999999E-3</v>
      </c>
      <c r="I119" s="543">
        <v>9.6080000000000002E-3</v>
      </c>
      <c r="J119" s="543">
        <v>8.8559999999999993E-3</v>
      </c>
      <c r="K119" s="543">
        <v>8.5679999999999992E-3</v>
      </c>
      <c r="L119" s="543">
        <v>8.2799999999999992E-3</v>
      </c>
      <c r="M119" s="543">
        <v>7.3439999999999998E-3</v>
      </c>
      <c r="N119" s="543">
        <v>9.4800000000000006E-3</v>
      </c>
      <c r="O119" s="544">
        <f>SUM(C119:N119)</f>
        <v>0.11068699999999999</v>
      </c>
    </row>
    <row r="120" spans="2:15" x14ac:dyDescent="0.4">
      <c r="B120" s="519" t="s">
        <v>1136</v>
      </c>
      <c r="C120" s="543"/>
      <c r="D120" s="543"/>
      <c r="E120" s="543"/>
      <c r="F120" s="543"/>
      <c r="G120" s="543"/>
      <c r="H120" s="543"/>
      <c r="I120" s="543"/>
      <c r="J120" s="543"/>
      <c r="K120" s="543"/>
      <c r="L120" s="543"/>
      <c r="M120" s="543"/>
      <c r="N120" s="543"/>
      <c r="O120" s="544">
        <f>SUM(C120:N120)</f>
        <v>0</v>
      </c>
    </row>
    <row r="121" spans="2:15" x14ac:dyDescent="0.4">
      <c r="B121" s="175" t="s">
        <v>162</v>
      </c>
      <c r="C121" s="545">
        <f>SUM(C110:C120)</f>
        <v>1.0064E-2</v>
      </c>
      <c r="D121" s="545">
        <f t="shared" ref="D121:N121" si="21">SUM(D110:D120)</f>
        <v>1.2014E-2</v>
      </c>
      <c r="E121" s="545">
        <f t="shared" si="21"/>
        <v>1.0095E-2</v>
      </c>
      <c r="F121" s="545">
        <f t="shared" si="21"/>
        <v>8.6400000000000001E-3</v>
      </c>
      <c r="G121" s="545">
        <f t="shared" si="21"/>
        <v>8.4410000000000006E-3</v>
      </c>
      <c r="H121" s="545">
        <f t="shared" si="21"/>
        <v>9.3919999999999993E-3</v>
      </c>
      <c r="I121" s="545">
        <f t="shared" si="21"/>
        <v>9.6310000000000007E-3</v>
      </c>
      <c r="J121" s="545">
        <f t="shared" si="21"/>
        <v>8.881E-3</v>
      </c>
      <c r="K121" s="545">
        <f t="shared" si="21"/>
        <v>8.5919999999999989E-3</v>
      </c>
      <c r="L121" s="545">
        <f t="shared" si="21"/>
        <v>8.3039999999999989E-3</v>
      </c>
      <c r="M121" s="545">
        <f t="shared" si="21"/>
        <v>7.3669999999999994E-3</v>
      </c>
      <c r="N121" s="545">
        <f t="shared" si="21"/>
        <v>9.5040000000000003E-3</v>
      </c>
      <c r="O121" s="545">
        <f>SUM(O110:O120)</f>
        <v>0.110925</v>
      </c>
    </row>
    <row r="122" spans="2:15" x14ac:dyDescent="0.4">
      <c r="B122" s="175"/>
      <c r="C122" s="543"/>
      <c r="D122" s="543"/>
      <c r="E122" s="543"/>
      <c r="F122" s="543"/>
      <c r="G122" s="543"/>
      <c r="H122" s="543"/>
      <c r="I122" s="543"/>
      <c r="J122" s="543"/>
      <c r="K122" s="543"/>
      <c r="L122" s="543"/>
      <c r="M122" s="543"/>
      <c r="N122" s="543"/>
      <c r="O122" s="543"/>
    </row>
    <row r="123" spans="2:15" x14ac:dyDescent="0.4">
      <c r="B123" s="119" t="s">
        <v>164</v>
      </c>
      <c r="C123" s="545">
        <f t="shared" ref="C123:N123" si="22">C107+C121</f>
        <v>6.8162500000000001E-2</v>
      </c>
      <c r="D123" s="545">
        <f t="shared" si="22"/>
        <v>8.8673080000000001E-2</v>
      </c>
      <c r="E123" s="545">
        <f t="shared" si="22"/>
        <v>0.12332374000000002</v>
      </c>
      <c r="F123" s="545">
        <f t="shared" si="22"/>
        <v>0.25440478999999999</v>
      </c>
      <c r="G123" s="545">
        <f t="shared" si="22"/>
        <v>0.51492905</v>
      </c>
      <c r="H123" s="545">
        <f t="shared" si="22"/>
        <v>0.59948934999999992</v>
      </c>
      <c r="I123" s="545">
        <f t="shared" si="22"/>
        <v>0.62542363999999995</v>
      </c>
      <c r="J123" s="545">
        <f t="shared" si="22"/>
        <v>0.57172188000000002</v>
      </c>
      <c r="K123" s="545">
        <f t="shared" si="22"/>
        <v>0.58217564700000002</v>
      </c>
      <c r="L123" s="545">
        <f t="shared" si="22"/>
        <v>0.66400842999999998</v>
      </c>
      <c r="M123" s="545">
        <f t="shared" si="22"/>
        <v>0.61506391000000005</v>
      </c>
      <c r="N123" s="545">
        <f t="shared" si="22"/>
        <v>0.78053450999999996</v>
      </c>
      <c r="O123" s="545">
        <f>O107+O121</f>
        <v>5.4879105269999995</v>
      </c>
    </row>
    <row r="124" spans="2:15" x14ac:dyDescent="0.4">
      <c r="B124" s="118" t="s">
        <v>165</v>
      </c>
    </row>
    <row r="125" spans="2:15" x14ac:dyDescent="0.4">
      <c r="B125" s="27" t="s">
        <v>166</v>
      </c>
    </row>
    <row r="126" spans="2:15" x14ac:dyDescent="0.4">
      <c r="B126" s="1" t="s">
        <v>184</v>
      </c>
      <c r="C126" s="30"/>
      <c r="D126" s="30"/>
      <c r="E126" s="30"/>
      <c r="F126" s="30"/>
    </row>
    <row r="127" spans="2:15" x14ac:dyDescent="0.4">
      <c r="B127" s="27" t="s">
        <v>168</v>
      </c>
      <c r="C127" s="30"/>
      <c r="D127" s="30"/>
      <c r="E127" s="30"/>
      <c r="F127" s="30"/>
      <c r="H127" s="6"/>
    </row>
    <row r="128" spans="2:15" x14ac:dyDescent="0.4">
      <c r="B128" s="32"/>
    </row>
    <row r="129" spans="2:15" x14ac:dyDescent="0.4">
      <c r="B129" s="32" t="s">
        <v>1023</v>
      </c>
      <c r="C129" s="8"/>
      <c r="D129" s="8"/>
      <c r="E129" s="8"/>
      <c r="F129" s="8"/>
      <c r="G129" s="8"/>
      <c r="H129" s="8"/>
      <c r="I129" s="8"/>
      <c r="J129" s="8"/>
      <c r="K129" s="8"/>
      <c r="L129" s="8"/>
      <c r="M129" s="8"/>
      <c r="N129" s="8"/>
      <c r="O129" s="4"/>
    </row>
    <row r="130" spans="2:15" x14ac:dyDescent="0.4">
      <c r="B130" s="32"/>
      <c r="C130" s="38"/>
      <c r="D130" s="38"/>
      <c r="O130" s="38" t="s">
        <v>171</v>
      </c>
    </row>
    <row r="131" spans="2:15" x14ac:dyDescent="0.4">
      <c r="B131" s="98" t="s">
        <v>160</v>
      </c>
      <c r="C131" s="98" t="s">
        <v>172</v>
      </c>
      <c r="D131" s="98" t="s">
        <v>173</v>
      </c>
      <c r="E131" s="98" t="s">
        <v>174</v>
      </c>
      <c r="F131" s="98" t="s">
        <v>175</v>
      </c>
      <c r="G131" s="98" t="s">
        <v>176</v>
      </c>
      <c r="H131" s="98" t="s">
        <v>177</v>
      </c>
      <c r="I131" s="98" t="s">
        <v>178</v>
      </c>
      <c r="J131" s="98" t="s">
        <v>179</v>
      </c>
      <c r="K131" s="98" t="s">
        <v>180</v>
      </c>
      <c r="L131" s="98" t="s">
        <v>181</v>
      </c>
      <c r="M131" s="98" t="s">
        <v>182</v>
      </c>
      <c r="N131" s="98" t="s">
        <v>183</v>
      </c>
      <c r="O131" s="98" t="s">
        <v>164</v>
      </c>
    </row>
    <row r="132" spans="2:15" x14ac:dyDescent="0.4">
      <c r="B132" s="517" t="s">
        <v>161</v>
      </c>
      <c r="C132" s="78"/>
      <c r="D132" s="78"/>
      <c r="E132" s="78"/>
      <c r="F132" s="3"/>
      <c r="G132" s="3"/>
      <c r="H132" s="2"/>
      <c r="I132" s="43"/>
      <c r="J132" s="44"/>
      <c r="K132" s="124"/>
      <c r="L132" s="124"/>
      <c r="M132" s="2"/>
      <c r="N132" s="2"/>
      <c r="O132" s="2"/>
    </row>
    <row r="133" spans="2:15" x14ac:dyDescent="0.4">
      <c r="B133" s="429" t="s">
        <v>1129</v>
      </c>
      <c r="C133" s="527">
        <v>0.81611999999999996</v>
      </c>
      <c r="D133" s="527">
        <v>0.87509999999999999</v>
      </c>
      <c r="E133" s="527">
        <v>0.95640000000000003</v>
      </c>
      <c r="F133" s="529">
        <v>1.0257000000000001</v>
      </c>
      <c r="G133" s="529">
        <v>1.01928</v>
      </c>
      <c r="H133" s="529">
        <v>0.98448000000000002</v>
      </c>
      <c r="I133" s="529">
        <v>1.1094599999999999</v>
      </c>
      <c r="J133" s="529">
        <v>1.1144400000000001</v>
      </c>
      <c r="K133" s="564">
        <v>1.2283200000000001</v>
      </c>
      <c r="L133" s="564">
        <v>1.25562</v>
      </c>
      <c r="M133" s="529">
        <v>1.1579999999999999</v>
      </c>
      <c r="N133" s="529">
        <v>1.60626</v>
      </c>
      <c r="O133" s="544">
        <f>SUM(C133:N133)</f>
        <v>13.149180000000001</v>
      </c>
    </row>
    <row r="134" spans="2:15" x14ac:dyDescent="0.4">
      <c r="B134" s="429" t="s">
        <v>1130</v>
      </c>
      <c r="C134" s="527">
        <v>3.2076500000000003E-3</v>
      </c>
      <c r="D134" s="527">
        <v>2.5557800000000001E-3</v>
      </c>
      <c r="E134" s="527">
        <v>2.4364E-3</v>
      </c>
      <c r="F134" s="529">
        <v>2.6778600000000002E-3</v>
      </c>
      <c r="G134" s="529">
        <v>2.8173899999999999E-3</v>
      </c>
      <c r="H134" s="529">
        <v>2.5188800000000003E-3</v>
      </c>
      <c r="I134" s="529">
        <v>2.3798999999999999E-3</v>
      </c>
      <c r="J134" s="529">
        <v>2.2818299999999999E-3</v>
      </c>
      <c r="K134" s="564">
        <v>2.70528E-3</v>
      </c>
      <c r="L134" s="564">
        <v>2.7830799999999998E-3</v>
      </c>
      <c r="M134" s="529">
        <v>2.6680799999999998E-3</v>
      </c>
      <c r="N134" s="529">
        <v>2.8265999999999999E-3</v>
      </c>
      <c r="O134" s="544">
        <f>SUM(C134:N134)</f>
        <v>3.1858730000000002E-2</v>
      </c>
    </row>
    <row r="135" spans="2:15" x14ac:dyDescent="0.4">
      <c r="B135" s="429" t="s">
        <v>1131</v>
      </c>
      <c r="C135" s="47"/>
      <c r="D135" s="47"/>
      <c r="E135" s="47"/>
      <c r="F135" s="3"/>
      <c r="G135" s="3"/>
      <c r="H135" s="2"/>
      <c r="I135" s="3"/>
      <c r="J135" s="3"/>
      <c r="K135" s="124"/>
      <c r="L135" s="124"/>
      <c r="M135" s="2"/>
      <c r="N135" s="2"/>
      <c r="O135" s="544">
        <f>SUM(C135:N135)</f>
        <v>0</v>
      </c>
    </row>
    <row r="136" spans="2:15" x14ac:dyDescent="0.4">
      <c r="B136" s="429" t="s">
        <v>1132</v>
      </c>
      <c r="C136" s="175"/>
      <c r="D136" s="175"/>
      <c r="E136" s="175"/>
      <c r="F136" s="3"/>
      <c r="G136" s="3"/>
      <c r="H136" s="2"/>
      <c r="I136" s="3"/>
      <c r="J136" s="3"/>
      <c r="K136" s="124"/>
      <c r="L136" s="124"/>
      <c r="M136" s="2"/>
      <c r="N136" s="2"/>
      <c r="O136" s="544">
        <f>SUM(C136:N136)</f>
        <v>0</v>
      </c>
    </row>
    <row r="137" spans="2:15" x14ac:dyDescent="0.4">
      <c r="B137" s="518" t="s">
        <v>162</v>
      </c>
      <c r="C137" s="545">
        <f>SUM(C133:C136)</f>
        <v>0.81932764999999996</v>
      </c>
      <c r="D137" s="545">
        <f t="shared" ref="D137:O137" si="23">SUM(D133:D136)</f>
        <v>0.87765578</v>
      </c>
      <c r="E137" s="545">
        <f t="shared" si="23"/>
        <v>0.95883640000000003</v>
      </c>
      <c r="F137" s="545">
        <f t="shared" si="23"/>
        <v>1.02837786</v>
      </c>
      <c r="G137" s="545">
        <f t="shared" si="23"/>
        <v>1.0220973899999999</v>
      </c>
      <c r="H137" s="545">
        <f t="shared" si="23"/>
        <v>0.98699888000000002</v>
      </c>
      <c r="I137" s="545">
        <f t="shared" si="23"/>
        <v>1.1118398999999999</v>
      </c>
      <c r="J137" s="545">
        <f t="shared" si="23"/>
        <v>1.1167218300000001</v>
      </c>
      <c r="K137" s="545">
        <f t="shared" si="23"/>
        <v>1.2310252800000001</v>
      </c>
      <c r="L137" s="545">
        <f t="shared" si="23"/>
        <v>1.2584030799999999</v>
      </c>
      <c r="M137" s="545">
        <f t="shared" si="23"/>
        <v>1.16066808</v>
      </c>
      <c r="N137" s="545">
        <f t="shared" si="23"/>
        <v>1.6090865999999999</v>
      </c>
      <c r="O137" s="545">
        <f t="shared" si="23"/>
        <v>13.181038730000001</v>
      </c>
    </row>
    <row r="138" spans="2:15" x14ac:dyDescent="0.4">
      <c r="B138" s="517" t="s">
        <v>163</v>
      </c>
      <c r="C138" s="78"/>
      <c r="D138" s="78"/>
      <c r="E138" s="78"/>
      <c r="F138" s="3"/>
      <c r="G138" s="3"/>
      <c r="H138" s="2"/>
      <c r="I138" s="3"/>
      <c r="J138" s="3"/>
      <c r="K138" s="124"/>
      <c r="L138" s="124"/>
      <c r="M138" s="2"/>
      <c r="N138" s="2"/>
      <c r="O138" s="545"/>
    </row>
    <row r="139" spans="2:15" x14ac:dyDescent="0.4">
      <c r="B139" s="519" t="s">
        <v>1133</v>
      </c>
      <c r="C139" s="46"/>
      <c r="D139" s="46"/>
      <c r="E139" s="46"/>
      <c r="F139" s="3"/>
      <c r="G139" s="3"/>
      <c r="H139" s="2"/>
      <c r="I139" s="3"/>
      <c r="J139" s="3"/>
      <c r="K139" s="124"/>
      <c r="L139" s="124"/>
      <c r="M139" s="2"/>
      <c r="N139" s="2"/>
      <c r="O139" s="544">
        <f t="shared" ref="O139:O146" si="24">SUM(C139:N139)</f>
        <v>0</v>
      </c>
    </row>
    <row r="140" spans="2:15" x14ac:dyDescent="0.4">
      <c r="B140" s="520" t="s">
        <v>1106</v>
      </c>
      <c r="C140" s="46"/>
      <c r="D140" s="46"/>
      <c r="E140" s="46"/>
      <c r="F140" s="2"/>
      <c r="G140" s="2"/>
      <c r="H140" s="2"/>
      <c r="I140" s="2"/>
      <c r="J140" s="2"/>
      <c r="K140" s="124"/>
      <c r="L140" s="124"/>
      <c r="M140" s="2"/>
      <c r="N140" s="2"/>
      <c r="O140" s="544">
        <f t="shared" si="24"/>
        <v>0</v>
      </c>
    </row>
    <row r="141" spans="2:15" x14ac:dyDescent="0.4">
      <c r="B141" s="520" t="s">
        <v>1107</v>
      </c>
      <c r="C141" s="47"/>
      <c r="D141" s="47"/>
      <c r="E141" s="47"/>
      <c r="F141" s="2"/>
      <c r="G141" s="2"/>
      <c r="H141" s="2"/>
      <c r="I141" s="2"/>
      <c r="J141" s="2"/>
      <c r="K141" s="124"/>
      <c r="L141" s="124"/>
      <c r="M141" s="2"/>
      <c r="N141" s="2"/>
      <c r="O141" s="544">
        <f t="shared" si="24"/>
        <v>0</v>
      </c>
    </row>
    <row r="142" spans="2:15" x14ac:dyDescent="0.4">
      <c r="B142" s="520" t="s">
        <v>1108</v>
      </c>
      <c r="C142" s="175"/>
      <c r="D142" s="175"/>
      <c r="E142" s="175"/>
      <c r="F142" s="2"/>
      <c r="G142" s="2"/>
      <c r="H142" s="2"/>
      <c r="I142" s="2"/>
      <c r="J142" s="2"/>
      <c r="K142" s="124"/>
      <c r="L142" s="124"/>
      <c r="M142" s="2"/>
      <c r="N142" s="2"/>
      <c r="O142" s="544">
        <f t="shared" si="24"/>
        <v>0</v>
      </c>
    </row>
    <row r="143" spans="2:15" x14ac:dyDescent="0.4">
      <c r="B143" s="520" t="s">
        <v>1109</v>
      </c>
      <c r="C143" s="175"/>
      <c r="D143" s="175"/>
      <c r="E143" s="175"/>
      <c r="F143" s="2"/>
      <c r="G143" s="2"/>
      <c r="H143" s="2"/>
      <c r="I143" s="2"/>
      <c r="J143" s="2"/>
      <c r="K143" s="124"/>
      <c r="L143" s="124"/>
      <c r="M143" s="2"/>
      <c r="N143" s="2"/>
      <c r="O143" s="544">
        <f t="shared" si="24"/>
        <v>0</v>
      </c>
    </row>
    <row r="144" spans="2:15" x14ac:dyDescent="0.4">
      <c r="B144" s="520" t="s">
        <v>1110</v>
      </c>
      <c r="C144" s="175"/>
      <c r="D144" s="175"/>
      <c r="E144" s="175"/>
      <c r="F144" s="2"/>
      <c r="G144" s="2"/>
      <c r="H144" s="2"/>
      <c r="I144" s="2"/>
      <c r="J144" s="2"/>
      <c r="K144" s="124"/>
      <c r="L144" s="124"/>
      <c r="M144" s="2"/>
      <c r="N144" s="2"/>
      <c r="O144" s="544">
        <f t="shared" si="24"/>
        <v>0</v>
      </c>
    </row>
    <row r="145" spans="2:15" x14ac:dyDescent="0.4">
      <c r="B145" s="519" t="s">
        <v>1139</v>
      </c>
      <c r="C145" s="175"/>
      <c r="D145" s="175"/>
      <c r="E145" s="175"/>
      <c r="F145" s="2"/>
      <c r="G145" s="2"/>
      <c r="H145" s="2"/>
      <c r="I145" s="2"/>
      <c r="J145" s="2"/>
      <c r="K145" s="124"/>
      <c r="L145" s="124"/>
      <c r="M145" s="2"/>
      <c r="N145" s="2"/>
      <c r="O145" s="544">
        <f t="shared" si="24"/>
        <v>0</v>
      </c>
    </row>
    <row r="146" spans="2:15" x14ac:dyDescent="0.4">
      <c r="B146" s="520" t="s">
        <v>1140</v>
      </c>
      <c r="C146" s="531">
        <v>2.3E-5</v>
      </c>
      <c r="D146" s="531">
        <v>2.3E-5</v>
      </c>
      <c r="E146" s="531">
        <v>2.3E-5</v>
      </c>
      <c r="F146" s="529">
        <v>2.4000000000000001E-5</v>
      </c>
      <c r="G146" s="529">
        <v>2.4000000000000001E-5</v>
      </c>
      <c r="H146" s="529">
        <v>2.4000000000000001E-5</v>
      </c>
      <c r="I146" s="529">
        <v>2.3E-5</v>
      </c>
      <c r="J146" s="529">
        <v>2.5000000000000001E-5</v>
      </c>
      <c r="K146" s="564">
        <v>3.3000000000000003E-5</v>
      </c>
      <c r="L146" s="564">
        <v>2.5999999999999998E-5</v>
      </c>
      <c r="M146" s="529">
        <v>2.0999999999999999E-5</v>
      </c>
      <c r="N146" s="529">
        <v>2.4000000000000001E-5</v>
      </c>
      <c r="O146" s="544">
        <f t="shared" si="24"/>
        <v>2.9300000000000002E-4</v>
      </c>
    </row>
    <row r="147" spans="2:15" x14ac:dyDescent="0.4">
      <c r="B147" s="520" t="s">
        <v>1141</v>
      </c>
      <c r="C147" s="175"/>
      <c r="D147" s="175"/>
      <c r="E147" s="175"/>
      <c r="F147" s="2"/>
      <c r="G147" s="2"/>
      <c r="H147" s="2"/>
      <c r="I147" s="2"/>
      <c r="J147" s="2"/>
      <c r="K147" s="124"/>
      <c r="L147" s="124"/>
      <c r="M147" s="2"/>
      <c r="N147" s="2"/>
      <c r="O147" s="544"/>
    </row>
    <row r="148" spans="2:15" x14ac:dyDescent="0.4">
      <c r="B148" s="519" t="s">
        <v>1111</v>
      </c>
      <c r="C148" s="175"/>
      <c r="D148" s="175"/>
      <c r="E148" s="175"/>
      <c r="F148" s="2"/>
      <c r="G148" s="2"/>
      <c r="H148" s="2"/>
      <c r="I148" s="2"/>
      <c r="J148" s="2"/>
      <c r="K148" s="124"/>
      <c r="L148" s="124"/>
      <c r="M148" s="2"/>
      <c r="N148" s="2"/>
      <c r="O148" s="544">
        <f>SUM(C148:N148)</f>
        <v>0</v>
      </c>
    </row>
    <row r="149" spans="2:15" x14ac:dyDescent="0.4">
      <c r="B149" s="519" t="s">
        <v>1135</v>
      </c>
      <c r="C149" s="531">
        <v>1.0071999999999999E-2</v>
      </c>
      <c r="D149" s="531">
        <v>1.0895999999999999E-2</v>
      </c>
      <c r="E149" s="531">
        <v>8.5760000000000003E-3</v>
      </c>
      <c r="F149" s="529">
        <v>9.8960000000000003E-3</v>
      </c>
      <c r="G149" s="529">
        <v>1.2344000000000001E-2</v>
      </c>
      <c r="H149" s="529">
        <v>1.1639999999999999E-2</v>
      </c>
      <c r="I149" s="529">
        <v>1.1256E-2</v>
      </c>
      <c r="J149" s="529">
        <v>1.0624E-2</v>
      </c>
      <c r="K149" s="564">
        <v>9.1999999999999998E-3</v>
      </c>
      <c r="L149" s="564">
        <v>9.8320000000000005E-3</v>
      </c>
      <c r="M149" s="529">
        <v>8.7679999999999998E-3</v>
      </c>
      <c r="N149" s="529">
        <v>1.072E-2</v>
      </c>
      <c r="O149" s="544">
        <f>SUM(C149:N149)</f>
        <v>0.12382400000000002</v>
      </c>
    </row>
    <row r="150" spans="2:15" x14ac:dyDescent="0.4">
      <c r="B150" s="519" t="s">
        <v>1136</v>
      </c>
      <c r="C150" s="175"/>
      <c r="D150" s="175"/>
      <c r="E150" s="175"/>
      <c r="F150" s="2"/>
      <c r="G150" s="2"/>
      <c r="H150" s="2"/>
      <c r="I150" s="2"/>
      <c r="J150" s="2"/>
      <c r="K150" s="124"/>
      <c r="L150" s="124"/>
      <c r="M150" s="2"/>
      <c r="N150" s="2"/>
      <c r="O150" s="544">
        <f>SUM(C150:N150)</f>
        <v>0</v>
      </c>
    </row>
    <row r="151" spans="2:15" x14ac:dyDescent="0.4">
      <c r="B151" s="566" t="s">
        <v>1142</v>
      </c>
      <c r="C151" s="175"/>
      <c r="D151" s="175"/>
      <c r="E151" s="175"/>
      <c r="F151" s="2"/>
      <c r="G151" s="2"/>
      <c r="H151" s="2"/>
      <c r="I151" s="2"/>
      <c r="J151" s="2"/>
      <c r="K151" s="124"/>
      <c r="L151" s="124"/>
      <c r="M151" s="2"/>
      <c r="N151" s="2"/>
      <c r="O151" s="544"/>
    </row>
    <row r="152" spans="2:15" x14ac:dyDescent="0.4">
      <c r="B152" s="175" t="s">
        <v>162</v>
      </c>
      <c r="C152" s="545">
        <f>SUM(C140:C151)</f>
        <v>1.0095E-2</v>
      </c>
      <c r="D152" s="545">
        <f t="shared" ref="D152:O152" si="25">SUM(D140:D151)</f>
        <v>1.0919E-2</v>
      </c>
      <c r="E152" s="545">
        <f t="shared" si="25"/>
        <v>8.5990000000000007E-3</v>
      </c>
      <c r="F152" s="545">
        <f t="shared" si="25"/>
        <v>9.92E-3</v>
      </c>
      <c r="G152" s="545">
        <f t="shared" si="25"/>
        <v>1.2368000000000001E-2</v>
      </c>
      <c r="H152" s="545">
        <f t="shared" si="25"/>
        <v>1.1663999999999999E-2</v>
      </c>
      <c r="I152" s="545">
        <f t="shared" si="25"/>
        <v>1.1279000000000001E-2</v>
      </c>
      <c r="J152" s="545">
        <f t="shared" si="25"/>
        <v>1.0649E-2</v>
      </c>
      <c r="K152" s="545">
        <f t="shared" si="25"/>
        <v>9.2329999999999999E-3</v>
      </c>
      <c r="L152" s="545">
        <f t="shared" si="25"/>
        <v>9.8580000000000004E-3</v>
      </c>
      <c r="M152" s="545">
        <f t="shared" si="25"/>
        <v>8.7889999999999999E-3</v>
      </c>
      <c r="N152" s="545">
        <f t="shared" si="25"/>
        <v>1.0744E-2</v>
      </c>
      <c r="O152" s="545">
        <f t="shared" si="25"/>
        <v>0.12411700000000002</v>
      </c>
    </row>
    <row r="153" spans="2:15" x14ac:dyDescent="0.4">
      <c r="B153" s="175"/>
      <c r="C153" s="543"/>
      <c r="D153" s="543"/>
      <c r="E153" s="543"/>
      <c r="F153" s="543"/>
      <c r="G153" s="543"/>
      <c r="H153" s="543"/>
      <c r="I153" s="543"/>
      <c r="J153" s="543"/>
      <c r="K153" s="543"/>
      <c r="L153" s="543"/>
      <c r="M153" s="543"/>
      <c r="N153" s="543"/>
      <c r="O153" s="543"/>
    </row>
    <row r="154" spans="2:15" x14ac:dyDescent="0.4">
      <c r="B154" s="119" t="s">
        <v>164</v>
      </c>
      <c r="C154" s="545">
        <f t="shared" ref="C154:N154" si="26">C137+C152</f>
        <v>0.82942264999999993</v>
      </c>
      <c r="D154" s="545">
        <f t="shared" si="26"/>
        <v>0.88857478000000001</v>
      </c>
      <c r="E154" s="545">
        <f t="shared" si="26"/>
        <v>0.96743540000000006</v>
      </c>
      <c r="F154" s="545">
        <f t="shared" si="26"/>
        <v>1.0382978599999999</v>
      </c>
      <c r="G154" s="545">
        <f t="shared" si="26"/>
        <v>1.0344653899999998</v>
      </c>
      <c r="H154" s="545">
        <f t="shared" si="26"/>
        <v>0.99866288000000003</v>
      </c>
      <c r="I154" s="545">
        <f t="shared" si="26"/>
        <v>1.1231188999999999</v>
      </c>
      <c r="J154" s="545">
        <f t="shared" si="26"/>
        <v>1.12737083</v>
      </c>
      <c r="K154" s="545">
        <f t="shared" si="26"/>
        <v>1.2402582800000002</v>
      </c>
      <c r="L154" s="545">
        <f t="shared" si="26"/>
        <v>1.2682610799999998</v>
      </c>
      <c r="M154" s="545">
        <f t="shared" si="26"/>
        <v>1.1694570799999999</v>
      </c>
      <c r="N154" s="545">
        <f t="shared" si="26"/>
        <v>1.6198306</v>
      </c>
      <c r="O154" s="545">
        <f>O137+O152</f>
        <v>13.305155730000001</v>
      </c>
    </row>
    <row r="155" spans="2:15" x14ac:dyDescent="0.4">
      <c r="B155" s="118" t="s">
        <v>165</v>
      </c>
    </row>
    <row r="156" spans="2:15" x14ac:dyDescent="0.4">
      <c r="B156" s="27" t="s">
        <v>166</v>
      </c>
    </row>
    <row r="157" spans="2:15" x14ac:dyDescent="0.4">
      <c r="B157" s="1" t="s">
        <v>184</v>
      </c>
      <c r="C157" s="30"/>
      <c r="D157" s="30"/>
      <c r="E157" s="30"/>
      <c r="F157" s="30"/>
    </row>
    <row r="158" spans="2:15" x14ac:dyDescent="0.4">
      <c r="B158" s="27" t="s">
        <v>168</v>
      </c>
      <c r="C158" s="30"/>
      <c r="D158" s="30"/>
      <c r="E158" s="30"/>
      <c r="F158" s="30"/>
    </row>
    <row r="159" spans="2:15" x14ac:dyDescent="0.4">
      <c r="B159" s="118"/>
    </row>
    <row r="160" spans="2:15" x14ac:dyDescent="0.4">
      <c r="B160" s="32" t="s">
        <v>170</v>
      </c>
      <c r="C160" s="8"/>
      <c r="D160" s="8"/>
      <c r="E160" s="8"/>
      <c r="F160" s="8"/>
      <c r="G160" s="8"/>
      <c r="H160" s="8"/>
      <c r="I160" s="8"/>
      <c r="J160" s="8"/>
      <c r="K160" s="8"/>
      <c r="L160" s="8"/>
      <c r="M160" s="8"/>
      <c r="N160" s="8"/>
      <c r="O160" s="4"/>
    </row>
    <row r="161" spans="2:15" x14ac:dyDescent="0.4">
      <c r="B161" s="32"/>
      <c r="C161" s="38"/>
      <c r="D161" s="38"/>
      <c r="O161" s="38" t="s">
        <v>171</v>
      </c>
    </row>
    <row r="162" spans="2:15" x14ac:dyDescent="0.4">
      <c r="B162" s="98" t="s">
        <v>160</v>
      </c>
      <c r="C162" s="98" t="s">
        <v>172</v>
      </c>
      <c r="D162" s="98" t="s">
        <v>173</v>
      </c>
      <c r="E162" s="98" t="s">
        <v>174</v>
      </c>
      <c r="F162" s="98" t="s">
        <v>175</v>
      </c>
      <c r="G162" s="98" t="s">
        <v>176</v>
      </c>
      <c r="H162" s="98" t="s">
        <v>177</v>
      </c>
      <c r="I162" s="98" t="s">
        <v>178</v>
      </c>
      <c r="J162" s="98" t="s">
        <v>179</v>
      </c>
      <c r="K162" s="98" t="s">
        <v>180</v>
      </c>
      <c r="L162" s="98" t="s">
        <v>181</v>
      </c>
      <c r="M162" s="98" t="s">
        <v>182</v>
      </c>
      <c r="N162" s="98" t="s">
        <v>183</v>
      </c>
      <c r="O162" s="98" t="s">
        <v>164</v>
      </c>
    </row>
    <row r="163" spans="2:15" x14ac:dyDescent="0.4">
      <c r="B163" s="517" t="s">
        <v>161</v>
      </c>
      <c r="C163" s="78"/>
      <c r="D163" s="78"/>
      <c r="E163" s="78"/>
      <c r="F163" s="3"/>
      <c r="G163" s="3"/>
      <c r="H163" s="2"/>
      <c r="I163" s="43"/>
      <c r="J163" s="44"/>
      <c r="K163" s="124"/>
      <c r="L163" s="124"/>
      <c r="M163" s="2"/>
      <c r="N163" s="2"/>
      <c r="O163" s="2"/>
    </row>
    <row r="164" spans="2:15" x14ac:dyDescent="0.4">
      <c r="B164" s="429" t="s">
        <v>1129</v>
      </c>
      <c r="C164" s="527">
        <v>1.65534</v>
      </c>
      <c r="D164" s="527">
        <v>1.72746</v>
      </c>
      <c r="E164" s="527">
        <v>1.6536</v>
      </c>
      <c r="F164" s="529">
        <v>1.60806</v>
      </c>
      <c r="G164" s="529">
        <v>1.72776</v>
      </c>
      <c r="H164" s="529">
        <v>1.69956</v>
      </c>
      <c r="I164" s="529">
        <v>1.7937000000000001</v>
      </c>
      <c r="J164" s="529">
        <v>1.7727599999999999</v>
      </c>
      <c r="K164" s="564">
        <v>1.8468599999999999</v>
      </c>
      <c r="L164" s="564">
        <v>1.83192</v>
      </c>
      <c r="M164" s="529">
        <v>1.76634</v>
      </c>
      <c r="N164" s="529">
        <v>2.12826</v>
      </c>
      <c r="O164" s="544">
        <f>SUM(C164:N164)</f>
        <v>21.21162</v>
      </c>
    </row>
    <row r="165" spans="2:15" x14ac:dyDescent="0.4">
      <c r="B165" s="429" t="s">
        <v>1130</v>
      </c>
      <c r="C165" s="527">
        <v>2.1122100000000002E-3</v>
      </c>
      <c r="D165" s="527">
        <v>1.6029200000000001E-3</v>
      </c>
      <c r="E165" s="527">
        <v>2.28319E-3</v>
      </c>
      <c r="F165" s="529">
        <v>3.4480300000000004E-3</v>
      </c>
      <c r="G165" s="529">
        <v>3.6456100000000001E-3</v>
      </c>
      <c r="H165" s="529">
        <v>2.1631900000000002E-3</v>
      </c>
      <c r="I165" s="529">
        <v>2.2789099999999999E-3</v>
      </c>
      <c r="J165" s="529">
        <v>2.4799000000000002E-3</v>
      </c>
      <c r="K165" s="564">
        <v>2.51644E-3</v>
      </c>
      <c r="L165" s="564">
        <v>2.0482800000000004E-3</v>
      </c>
      <c r="M165" s="529">
        <v>1.53918E-3</v>
      </c>
      <c r="N165" s="529">
        <v>1.4954200000000001E-3</v>
      </c>
      <c r="O165" s="544">
        <f>SUM(C165:N165)</f>
        <v>2.761328E-2</v>
      </c>
    </row>
    <row r="166" spans="2:15" x14ac:dyDescent="0.4">
      <c r="B166" s="429" t="s">
        <v>1131</v>
      </c>
      <c r="C166" s="47"/>
      <c r="D166" s="47"/>
      <c r="E166" s="47"/>
      <c r="F166" s="3"/>
      <c r="G166" s="3"/>
      <c r="H166" s="2"/>
      <c r="I166" s="3"/>
      <c r="J166" s="3"/>
      <c r="K166" s="124"/>
      <c r="L166" s="124"/>
      <c r="M166" s="2"/>
      <c r="N166" s="2"/>
      <c r="O166" s="544">
        <f>SUM(C166:N166)</f>
        <v>0</v>
      </c>
    </row>
    <row r="167" spans="2:15" x14ac:dyDescent="0.4">
      <c r="B167" s="429" t="s">
        <v>1132</v>
      </c>
      <c r="C167" s="175"/>
      <c r="D167" s="175"/>
      <c r="E167" s="175"/>
      <c r="F167" s="3"/>
      <c r="G167" s="3"/>
      <c r="H167" s="2"/>
      <c r="I167" s="3"/>
      <c r="J167" s="3"/>
      <c r="K167" s="124"/>
      <c r="L167" s="124"/>
      <c r="M167" s="2"/>
      <c r="N167" s="2"/>
      <c r="O167" s="544">
        <f>SUM(C167:N167)</f>
        <v>0</v>
      </c>
    </row>
    <row r="168" spans="2:15" x14ac:dyDescent="0.4">
      <c r="B168" s="518" t="s">
        <v>162</v>
      </c>
      <c r="C168" s="545">
        <f>SUM(C164:C167)</f>
        <v>1.65745221</v>
      </c>
      <c r="D168" s="545">
        <f t="shared" ref="D168:O168" si="27">SUM(D164:D167)</f>
        <v>1.7290629200000001</v>
      </c>
      <c r="E168" s="545">
        <f t="shared" si="27"/>
        <v>1.6558831899999999</v>
      </c>
      <c r="F168" s="545">
        <f t="shared" si="27"/>
        <v>1.61150803</v>
      </c>
      <c r="G168" s="545">
        <f t="shared" si="27"/>
        <v>1.7314056099999999</v>
      </c>
      <c r="H168" s="545">
        <f t="shared" si="27"/>
        <v>1.7017231900000001</v>
      </c>
      <c r="I168" s="545">
        <f t="shared" si="27"/>
        <v>1.7959789100000001</v>
      </c>
      <c r="J168" s="545">
        <f t="shared" si="27"/>
        <v>1.7752398999999999</v>
      </c>
      <c r="K168" s="545">
        <f t="shared" si="27"/>
        <v>1.8493764399999999</v>
      </c>
      <c r="L168" s="545">
        <f t="shared" si="27"/>
        <v>1.8339682799999999</v>
      </c>
      <c r="M168" s="545">
        <f t="shared" si="27"/>
        <v>1.76787918</v>
      </c>
      <c r="N168" s="545">
        <f t="shared" si="27"/>
        <v>2.12975542</v>
      </c>
      <c r="O168" s="545">
        <f t="shared" si="27"/>
        <v>21.239233280000001</v>
      </c>
    </row>
    <row r="169" spans="2:15" x14ac:dyDescent="0.4">
      <c r="B169" s="517" t="s">
        <v>163</v>
      </c>
      <c r="C169" s="78"/>
      <c r="D169" s="78"/>
      <c r="E169" s="78"/>
      <c r="F169" s="3"/>
      <c r="G169" s="3"/>
      <c r="H169" s="2"/>
      <c r="I169" s="3"/>
      <c r="J169" s="3"/>
      <c r="K169" s="124"/>
      <c r="L169" s="124"/>
      <c r="M169" s="2"/>
      <c r="N169" s="2"/>
      <c r="O169" s="545"/>
    </row>
    <row r="170" spans="2:15" x14ac:dyDescent="0.4">
      <c r="B170" s="519" t="s">
        <v>1133</v>
      </c>
      <c r="C170" s="46"/>
      <c r="D170" s="46"/>
      <c r="E170" s="46"/>
      <c r="F170" s="3"/>
      <c r="G170" s="3"/>
      <c r="H170" s="2"/>
      <c r="I170" s="3"/>
      <c r="J170" s="3"/>
      <c r="K170" s="124"/>
      <c r="L170" s="124"/>
      <c r="M170" s="2"/>
      <c r="N170" s="2"/>
      <c r="O170" s="544">
        <f t="shared" ref="O170:O177" si="28">SUM(C170:N170)</f>
        <v>0</v>
      </c>
    </row>
    <row r="171" spans="2:15" x14ac:dyDescent="0.4">
      <c r="B171" s="520" t="s">
        <v>1106</v>
      </c>
      <c r="C171" s="46"/>
      <c r="D171" s="46"/>
      <c r="E171" s="46"/>
      <c r="F171" s="2"/>
      <c r="G171" s="2"/>
      <c r="H171" s="2"/>
      <c r="I171" s="2"/>
      <c r="J171" s="2"/>
      <c r="K171" s="124"/>
      <c r="L171" s="124"/>
      <c r="M171" s="2"/>
      <c r="N171" s="2"/>
      <c r="O171" s="544">
        <f t="shared" si="28"/>
        <v>0</v>
      </c>
    </row>
    <row r="172" spans="2:15" x14ac:dyDescent="0.4">
      <c r="B172" s="520" t="s">
        <v>1107</v>
      </c>
      <c r="C172" s="47"/>
      <c r="D172" s="47"/>
      <c r="E172" s="47"/>
      <c r="F172" s="2"/>
      <c r="G172" s="2"/>
      <c r="H172" s="2"/>
      <c r="I172" s="2"/>
      <c r="J172" s="2"/>
      <c r="K172" s="124"/>
      <c r="L172" s="124"/>
      <c r="M172" s="2"/>
      <c r="N172" s="2"/>
      <c r="O172" s="544">
        <f t="shared" si="28"/>
        <v>0</v>
      </c>
    </row>
    <row r="173" spans="2:15" x14ac:dyDescent="0.4">
      <c r="B173" s="520" t="s">
        <v>1108</v>
      </c>
      <c r="C173" s="175"/>
      <c r="D173" s="175"/>
      <c r="E173" s="175"/>
      <c r="F173" s="2"/>
      <c r="G173" s="2"/>
      <c r="H173" s="2"/>
      <c r="I173" s="2"/>
      <c r="J173" s="2"/>
      <c r="K173" s="124"/>
      <c r="L173" s="124"/>
      <c r="M173" s="2"/>
      <c r="N173" s="2"/>
      <c r="O173" s="544">
        <f t="shared" si="28"/>
        <v>0</v>
      </c>
    </row>
    <row r="174" spans="2:15" x14ac:dyDescent="0.4">
      <c r="B174" s="520" t="s">
        <v>1109</v>
      </c>
      <c r="C174" s="175"/>
      <c r="D174" s="175"/>
      <c r="E174" s="175"/>
      <c r="F174" s="2"/>
      <c r="G174" s="2"/>
      <c r="H174" s="2"/>
      <c r="I174" s="2"/>
      <c r="J174" s="2"/>
      <c r="K174" s="124"/>
      <c r="L174" s="124"/>
      <c r="M174" s="2"/>
      <c r="N174" s="2"/>
      <c r="O174" s="544">
        <f t="shared" si="28"/>
        <v>0</v>
      </c>
    </row>
    <row r="175" spans="2:15" x14ac:dyDescent="0.4">
      <c r="B175" s="520" t="s">
        <v>1110</v>
      </c>
      <c r="C175" s="175"/>
      <c r="D175" s="175"/>
      <c r="E175" s="175"/>
      <c r="F175" s="2"/>
      <c r="G175" s="2"/>
      <c r="H175" s="2"/>
      <c r="I175" s="2"/>
      <c r="J175" s="2"/>
      <c r="K175" s="124"/>
      <c r="L175" s="124"/>
      <c r="M175" s="2"/>
      <c r="N175" s="2"/>
      <c r="O175" s="544">
        <f t="shared" si="28"/>
        <v>0</v>
      </c>
    </row>
    <row r="176" spans="2:15" x14ac:dyDescent="0.4">
      <c r="B176" s="519" t="s">
        <v>1139</v>
      </c>
      <c r="C176" s="175"/>
      <c r="D176" s="175"/>
      <c r="E176" s="175"/>
      <c r="F176" s="2"/>
      <c r="G176" s="2"/>
      <c r="H176" s="2"/>
      <c r="I176" s="2"/>
      <c r="J176" s="2"/>
      <c r="K176" s="124"/>
      <c r="L176" s="124"/>
      <c r="M176" s="2"/>
      <c r="N176" s="2"/>
      <c r="O176" s="544">
        <f t="shared" si="28"/>
        <v>0</v>
      </c>
    </row>
    <row r="177" spans="2:15" x14ac:dyDescent="0.4">
      <c r="B177" s="520" t="s">
        <v>1140</v>
      </c>
      <c r="C177" s="531">
        <v>2.3E-5</v>
      </c>
      <c r="D177" s="531">
        <v>2.3E-5</v>
      </c>
      <c r="E177" s="531">
        <v>2.5999999999999998E-5</v>
      </c>
      <c r="F177" s="529">
        <v>2.3E-5</v>
      </c>
      <c r="G177" s="529">
        <v>2.5000000000000001E-5</v>
      </c>
      <c r="H177" s="529">
        <v>9.0000000000000002E-6</v>
      </c>
      <c r="I177" s="2"/>
      <c r="J177" s="2"/>
      <c r="K177" s="200"/>
      <c r="L177" s="200"/>
      <c r="M177" s="2"/>
      <c r="N177" s="2"/>
      <c r="O177" s="544">
        <f t="shared" si="28"/>
        <v>1.2899999999999999E-4</v>
      </c>
    </row>
    <row r="178" spans="2:15" x14ac:dyDescent="0.4">
      <c r="B178" s="520" t="s">
        <v>1144</v>
      </c>
      <c r="C178" s="175"/>
      <c r="D178" s="175"/>
      <c r="E178" s="175"/>
      <c r="F178" s="2"/>
      <c r="G178" s="2"/>
      <c r="H178" s="2"/>
      <c r="I178" s="2"/>
      <c r="J178" s="2"/>
      <c r="K178" s="200"/>
      <c r="L178" s="200"/>
      <c r="M178" s="2"/>
      <c r="N178" s="2"/>
      <c r="O178" s="544">
        <f>SUM(C178:N178)</f>
        <v>0</v>
      </c>
    </row>
    <row r="179" spans="2:15" x14ac:dyDescent="0.4">
      <c r="B179" s="520" t="s">
        <v>1143</v>
      </c>
      <c r="C179" s="175"/>
      <c r="D179" s="175"/>
      <c r="E179" s="175"/>
      <c r="F179" s="2"/>
      <c r="G179" s="2"/>
      <c r="H179" s="2"/>
      <c r="I179" s="2"/>
      <c r="J179" s="2"/>
      <c r="K179" s="124"/>
      <c r="L179" s="124"/>
      <c r="M179" s="2"/>
      <c r="N179" s="2"/>
      <c r="O179" s="544">
        <f>SUM(C179:N179)</f>
        <v>0</v>
      </c>
    </row>
    <row r="180" spans="2:15" x14ac:dyDescent="0.4">
      <c r="B180" s="519" t="s">
        <v>1111</v>
      </c>
      <c r="C180" s="175"/>
      <c r="D180" s="175"/>
      <c r="E180" s="175"/>
      <c r="F180" s="2"/>
      <c r="G180" s="2"/>
      <c r="H180" s="2"/>
      <c r="I180" s="2"/>
      <c r="J180" s="2"/>
      <c r="K180" s="124"/>
      <c r="L180" s="124"/>
      <c r="M180" s="2"/>
      <c r="N180" s="2"/>
      <c r="O180" s="544">
        <f>SUM(C180:N180)</f>
        <v>0</v>
      </c>
    </row>
    <row r="181" spans="2:15" x14ac:dyDescent="0.4">
      <c r="B181" s="519" t="s">
        <v>1135</v>
      </c>
      <c r="C181" s="531">
        <v>1.0567999999999999E-2</v>
      </c>
      <c r="D181" s="531">
        <v>1.2319999999999999E-2</v>
      </c>
      <c r="E181" s="531">
        <v>8.9599999999999992E-3</v>
      </c>
      <c r="F181" s="529">
        <v>1.0472E-2</v>
      </c>
      <c r="G181" s="529">
        <v>1.2215999999999999E-2</v>
      </c>
      <c r="H181" s="529">
        <v>1.196E-2</v>
      </c>
      <c r="I181" s="529">
        <v>1.1672E-2</v>
      </c>
      <c r="J181" s="529">
        <v>1.0279999999999999E-2</v>
      </c>
      <c r="K181" s="564">
        <v>8.7119999999999993E-3</v>
      </c>
      <c r="L181" s="564">
        <v>8.9599999999999992E-3</v>
      </c>
      <c r="M181" s="529">
        <v>8.8959999999999994E-3</v>
      </c>
      <c r="N181" s="529">
        <v>1.044E-2</v>
      </c>
      <c r="O181" s="544">
        <f>SUM(C181:N181)</f>
        <v>0.12545599999999998</v>
      </c>
    </row>
    <row r="182" spans="2:15" x14ac:dyDescent="0.4">
      <c r="B182" s="519" t="s">
        <v>1136</v>
      </c>
      <c r="C182" s="175"/>
      <c r="D182" s="175"/>
      <c r="E182" s="175"/>
      <c r="F182" s="2"/>
      <c r="G182" s="2"/>
      <c r="H182" s="2"/>
      <c r="I182" s="2"/>
      <c r="J182" s="2"/>
      <c r="K182" s="124"/>
      <c r="L182" s="124"/>
      <c r="M182" s="2"/>
      <c r="N182" s="2"/>
      <c r="O182" s="544">
        <f>SUM(C182:N182)</f>
        <v>0</v>
      </c>
    </row>
    <row r="183" spans="2:15" x14ac:dyDescent="0.4">
      <c r="B183" s="566" t="s">
        <v>1142</v>
      </c>
      <c r="C183" s="175"/>
      <c r="D183" s="175"/>
      <c r="E183" s="175"/>
      <c r="F183" s="2"/>
      <c r="G183" s="2"/>
      <c r="H183" s="2"/>
      <c r="I183" s="2"/>
      <c r="J183" s="2"/>
      <c r="K183" s="124"/>
      <c r="L183" s="124"/>
      <c r="M183" s="2"/>
      <c r="N183" s="2"/>
      <c r="O183" s="544"/>
    </row>
    <row r="184" spans="2:15" x14ac:dyDescent="0.4">
      <c r="B184" s="175" t="s">
        <v>162</v>
      </c>
      <c r="C184" s="545">
        <f t="shared" ref="C184:O184" si="29">SUM(C171:C183)</f>
        <v>1.0591E-2</v>
      </c>
      <c r="D184" s="545">
        <f t="shared" si="29"/>
        <v>1.2343E-2</v>
      </c>
      <c r="E184" s="545">
        <f t="shared" si="29"/>
        <v>8.9859999999999992E-3</v>
      </c>
      <c r="F184" s="545">
        <f t="shared" si="29"/>
        <v>1.0495000000000001E-2</v>
      </c>
      <c r="G184" s="545">
        <f t="shared" si="29"/>
        <v>1.2241E-2</v>
      </c>
      <c r="H184" s="545">
        <f t="shared" si="29"/>
        <v>1.1969E-2</v>
      </c>
      <c r="I184" s="545">
        <f t="shared" si="29"/>
        <v>1.1672E-2</v>
      </c>
      <c r="J184" s="545">
        <f t="shared" si="29"/>
        <v>1.0279999999999999E-2</v>
      </c>
      <c r="K184" s="545">
        <f t="shared" si="29"/>
        <v>8.7119999999999993E-3</v>
      </c>
      <c r="L184" s="545">
        <f t="shared" si="29"/>
        <v>8.9599999999999992E-3</v>
      </c>
      <c r="M184" s="545">
        <f t="shared" si="29"/>
        <v>8.8959999999999994E-3</v>
      </c>
      <c r="N184" s="545">
        <f t="shared" si="29"/>
        <v>1.044E-2</v>
      </c>
      <c r="O184" s="545">
        <f t="shared" si="29"/>
        <v>0.12558499999999997</v>
      </c>
    </row>
    <row r="185" spans="2:15" x14ac:dyDescent="0.4">
      <c r="B185" s="175"/>
      <c r="C185" s="543"/>
      <c r="D185" s="543"/>
      <c r="E185" s="543"/>
      <c r="F185" s="543"/>
      <c r="G185" s="543"/>
      <c r="H185" s="543"/>
      <c r="I185" s="543"/>
      <c r="J185" s="543"/>
      <c r="K185" s="543"/>
      <c r="L185" s="543"/>
      <c r="M185" s="543"/>
      <c r="N185" s="543"/>
      <c r="O185" s="543"/>
    </row>
    <row r="186" spans="2:15" x14ac:dyDescent="0.4">
      <c r="B186" s="119" t="s">
        <v>164</v>
      </c>
      <c r="C186" s="545">
        <f t="shared" ref="C186:N186" si="30">C168+C184</f>
        <v>1.66804321</v>
      </c>
      <c r="D186" s="545">
        <f t="shared" si="30"/>
        <v>1.7414059200000001</v>
      </c>
      <c r="E186" s="545">
        <f t="shared" si="30"/>
        <v>1.6648691899999999</v>
      </c>
      <c r="F186" s="545">
        <f t="shared" si="30"/>
        <v>1.6220030299999999</v>
      </c>
      <c r="G186" s="545">
        <f t="shared" si="30"/>
        <v>1.7436466099999999</v>
      </c>
      <c r="H186" s="545">
        <f t="shared" si="30"/>
        <v>1.7136921899999999</v>
      </c>
      <c r="I186" s="545">
        <f t="shared" si="30"/>
        <v>1.80765091</v>
      </c>
      <c r="J186" s="545">
        <f t="shared" si="30"/>
        <v>1.7855198999999999</v>
      </c>
      <c r="K186" s="545">
        <f t="shared" si="30"/>
        <v>1.85808844</v>
      </c>
      <c r="L186" s="545">
        <f t="shared" si="30"/>
        <v>1.84292828</v>
      </c>
      <c r="M186" s="545">
        <f t="shared" si="30"/>
        <v>1.77677518</v>
      </c>
      <c r="N186" s="545">
        <f t="shared" si="30"/>
        <v>2.14019542</v>
      </c>
      <c r="O186" s="545">
        <f>O168+O184</f>
        <v>21.364818280000001</v>
      </c>
    </row>
    <row r="187" spans="2:15" x14ac:dyDescent="0.4">
      <c r="B187" s="118" t="s">
        <v>165</v>
      </c>
    </row>
    <row r="188" spans="2:15" x14ac:dyDescent="0.4">
      <c r="B188" s="27" t="s">
        <v>166</v>
      </c>
    </row>
    <row r="189" spans="2:15" x14ac:dyDescent="0.4">
      <c r="B189" s="1" t="s">
        <v>184</v>
      </c>
      <c r="C189" s="30"/>
      <c r="D189" s="30"/>
      <c r="E189" s="30"/>
      <c r="F189" s="30"/>
    </row>
    <row r="190" spans="2:15" x14ac:dyDescent="0.4">
      <c r="B190" s="27" t="s">
        <v>168</v>
      </c>
      <c r="C190" s="30"/>
      <c r="D190" s="30"/>
      <c r="E190" s="30"/>
      <c r="F190" s="30"/>
    </row>
    <row r="191" spans="2:15" x14ac:dyDescent="0.4">
      <c r="B191" s="27"/>
      <c r="C191" s="30"/>
      <c r="D191" s="30"/>
      <c r="E191" s="30"/>
      <c r="F191" s="30"/>
    </row>
    <row r="192" spans="2:15" x14ac:dyDescent="0.4">
      <c r="B192" s="32" t="s">
        <v>185</v>
      </c>
      <c r="C192" s="8"/>
      <c r="D192" s="8"/>
      <c r="E192" s="8"/>
      <c r="F192" s="8"/>
      <c r="G192" s="8"/>
      <c r="H192" s="8"/>
      <c r="I192" s="8"/>
      <c r="J192" s="8"/>
      <c r="K192" s="8"/>
      <c r="L192" s="8"/>
      <c r="M192" s="8"/>
      <c r="N192" s="8"/>
      <c r="O192" s="4"/>
    </row>
    <row r="193" spans="2:15" x14ac:dyDescent="0.4">
      <c r="B193" s="32"/>
      <c r="C193" s="38"/>
      <c r="D193" s="38"/>
      <c r="O193" s="38" t="s">
        <v>171</v>
      </c>
    </row>
    <row r="194" spans="2:15" x14ac:dyDescent="0.4">
      <c r="B194" s="98" t="s">
        <v>160</v>
      </c>
      <c r="C194" s="98" t="s">
        <v>172</v>
      </c>
      <c r="D194" s="98" t="s">
        <v>173</v>
      </c>
      <c r="E194" s="98" t="s">
        <v>174</v>
      </c>
      <c r="F194" s="98" t="s">
        <v>175</v>
      </c>
      <c r="G194" s="98" t="s">
        <v>176</v>
      </c>
      <c r="H194" s="98" t="s">
        <v>177</v>
      </c>
      <c r="I194" s="98" t="s">
        <v>178</v>
      </c>
      <c r="J194" s="98" t="s">
        <v>179</v>
      </c>
      <c r="K194" s="98" t="s">
        <v>180</v>
      </c>
      <c r="L194" s="98" t="s">
        <v>181</v>
      </c>
      <c r="M194" s="98" t="s">
        <v>182</v>
      </c>
      <c r="N194" s="98" t="s">
        <v>183</v>
      </c>
      <c r="O194" s="98" t="s">
        <v>164</v>
      </c>
    </row>
    <row r="195" spans="2:15" x14ac:dyDescent="0.4">
      <c r="B195" s="517" t="s">
        <v>161</v>
      </c>
      <c r="C195" s="78"/>
      <c r="D195" s="78"/>
      <c r="E195" s="78"/>
      <c r="F195" s="3"/>
      <c r="G195" s="3"/>
      <c r="H195" s="2"/>
      <c r="I195" s="43"/>
      <c r="J195" s="44"/>
      <c r="K195" s="124"/>
      <c r="L195" s="124"/>
      <c r="M195" s="2"/>
      <c r="N195" s="2"/>
      <c r="O195" s="2"/>
    </row>
    <row r="196" spans="2:15" x14ac:dyDescent="0.4">
      <c r="B196" s="429" t="s">
        <v>1129</v>
      </c>
      <c r="C196" s="527">
        <v>2.1782400000000002</v>
      </c>
      <c r="D196" s="527">
        <v>2.3902800000000002</v>
      </c>
      <c r="E196" s="527">
        <v>2.26146</v>
      </c>
      <c r="F196" s="529">
        <v>2.3292000000000002</v>
      </c>
      <c r="G196" s="529">
        <v>2.8217400000000001</v>
      </c>
      <c r="H196" s="529">
        <v>2.8147799999999998</v>
      </c>
      <c r="I196" s="529">
        <v>3.0857999999999999</v>
      </c>
      <c r="J196" s="529">
        <v>3.0021599999999999</v>
      </c>
      <c r="K196" s="564">
        <v>3.1115400000000002</v>
      </c>
      <c r="L196" s="564">
        <v>3.22824</v>
      </c>
      <c r="M196" s="529">
        <v>3.04806</v>
      </c>
      <c r="N196" s="529">
        <v>3.3030599999999999</v>
      </c>
      <c r="O196" s="544">
        <f>SUM(C196:N196)</f>
        <v>33.574559999999998</v>
      </c>
    </row>
    <row r="197" spans="2:15" x14ac:dyDescent="0.4">
      <c r="B197" s="429" t="s">
        <v>1130</v>
      </c>
      <c r="C197" s="527">
        <v>1.2610499999999999E-3</v>
      </c>
      <c r="D197" s="527">
        <v>1.1693699999999999E-3</v>
      </c>
      <c r="E197" s="527">
        <v>1.1102799999999999E-3</v>
      </c>
      <c r="F197" s="529">
        <v>1.1102799999999999E-3</v>
      </c>
      <c r="G197" s="529">
        <v>1.42402E-3</v>
      </c>
      <c r="H197" s="529">
        <v>1.56646E-3</v>
      </c>
      <c r="I197" s="529">
        <v>1.6163900000000001E-3</v>
      </c>
      <c r="J197" s="529">
        <v>1.49854E-3</v>
      </c>
      <c r="K197" s="564">
        <v>1.4577000000000001E-3</v>
      </c>
      <c r="L197" s="564">
        <v>1.4713900000000002E-3</v>
      </c>
      <c r="M197" s="529">
        <v>1.5053E-3</v>
      </c>
      <c r="N197" s="529">
        <v>1.4867999999999999E-3</v>
      </c>
      <c r="O197" s="544">
        <f>SUM(C197:N197)</f>
        <v>1.6677579999999997E-2</v>
      </c>
    </row>
    <row r="198" spans="2:15" x14ac:dyDescent="0.4">
      <c r="B198" s="429" t="s">
        <v>1131</v>
      </c>
      <c r="C198" s="47"/>
      <c r="D198" s="47"/>
      <c r="E198" s="47"/>
      <c r="F198" s="3"/>
      <c r="G198" s="3"/>
      <c r="H198" s="2"/>
      <c r="I198" s="3"/>
      <c r="J198" s="3"/>
      <c r="K198" s="124"/>
      <c r="L198" s="124"/>
      <c r="M198" s="2"/>
      <c r="N198" s="2"/>
      <c r="O198" s="544">
        <f>SUM(C198:N198)</f>
        <v>0</v>
      </c>
    </row>
    <row r="199" spans="2:15" x14ac:dyDescent="0.4">
      <c r="B199" s="429" t="s">
        <v>1132</v>
      </c>
      <c r="C199" s="175"/>
      <c r="D199" s="175"/>
      <c r="E199" s="175"/>
      <c r="F199" s="3"/>
      <c r="G199" s="3"/>
      <c r="H199" s="2"/>
      <c r="I199" s="3"/>
      <c r="J199" s="3"/>
      <c r="K199" s="124"/>
      <c r="L199" s="124"/>
      <c r="M199" s="2"/>
      <c r="N199" s="2"/>
      <c r="O199" s="544">
        <f>SUM(C199:N199)</f>
        <v>0</v>
      </c>
    </row>
    <row r="200" spans="2:15" x14ac:dyDescent="0.4">
      <c r="B200" s="518" t="s">
        <v>162</v>
      </c>
      <c r="C200" s="545">
        <f>SUM(C196:C199)</f>
        <v>2.1795010500000003</v>
      </c>
      <c r="D200" s="545">
        <f t="shared" ref="D200:O200" si="31">SUM(D196:D199)</f>
        <v>2.3914493700000001</v>
      </c>
      <c r="E200" s="545">
        <f t="shared" si="31"/>
        <v>2.2625702799999998</v>
      </c>
      <c r="F200" s="545">
        <f t="shared" si="31"/>
        <v>2.33031028</v>
      </c>
      <c r="G200" s="545">
        <f t="shared" si="31"/>
        <v>2.8231640200000001</v>
      </c>
      <c r="H200" s="545">
        <f t="shared" si="31"/>
        <v>2.8163464599999997</v>
      </c>
      <c r="I200" s="545">
        <f t="shared" si="31"/>
        <v>3.08741639</v>
      </c>
      <c r="J200" s="545">
        <f t="shared" si="31"/>
        <v>3.00365854</v>
      </c>
      <c r="K200" s="545">
        <f t="shared" si="31"/>
        <v>3.1129977000000002</v>
      </c>
      <c r="L200" s="545">
        <f t="shared" si="31"/>
        <v>3.2297113899999998</v>
      </c>
      <c r="M200" s="545">
        <f t="shared" si="31"/>
        <v>3.0495652999999998</v>
      </c>
      <c r="N200" s="545">
        <f t="shared" si="31"/>
        <v>3.3045467999999998</v>
      </c>
      <c r="O200" s="545">
        <f t="shared" si="31"/>
        <v>33.591237579999998</v>
      </c>
    </row>
    <row r="201" spans="2:15" x14ac:dyDescent="0.4">
      <c r="B201" s="517" t="s">
        <v>163</v>
      </c>
      <c r="C201" s="78"/>
      <c r="D201" s="78"/>
      <c r="E201" s="78"/>
      <c r="F201" s="3"/>
      <c r="G201" s="3"/>
      <c r="H201" s="2"/>
      <c r="I201" s="3"/>
      <c r="J201" s="3"/>
      <c r="K201" s="124"/>
      <c r="L201" s="124"/>
      <c r="M201" s="2"/>
      <c r="N201" s="2"/>
      <c r="O201" s="545"/>
    </row>
    <row r="202" spans="2:15" x14ac:dyDescent="0.4">
      <c r="B202" s="519" t="s">
        <v>1133</v>
      </c>
      <c r="C202" s="46"/>
      <c r="D202" s="46"/>
      <c r="E202" s="46"/>
      <c r="F202" s="3"/>
      <c r="G202" s="3"/>
      <c r="H202" s="2"/>
      <c r="I202" s="3"/>
      <c r="J202" s="3"/>
      <c r="K202" s="124"/>
      <c r="L202" s="124"/>
      <c r="M202" s="2"/>
      <c r="N202" s="2"/>
      <c r="O202" s="544">
        <f t="shared" ref="O202:O209" si="32">SUM(C202:N202)</f>
        <v>0</v>
      </c>
    </row>
    <row r="203" spans="2:15" x14ac:dyDescent="0.4">
      <c r="B203" s="520" t="s">
        <v>1106</v>
      </c>
      <c r="C203" s="46"/>
      <c r="D203" s="46"/>
      <c r="E203" s="46"/>
      <c r="F203" s="2"/>
      <c r="G203" s="2"/>
      <c r="H203" s="2"/>
      <c r="I203" s="2"/>
      <c r="J203" s="2"/>
      <c r="K203" s="124"/>
      <c r="L203" s="124"/>
      <c r="M203" s="2"/>
      <c r="N203" s="2"/>
      <c r="O203" s="544">
        <f t="shared" si="32"/>
        <v>0</v>
      </c>
    </row>
    <row r="204" spans="2:15" x14ac:dyDescent="0.4">
      <c r="B204" s="520" t="s">
        <v>1107</v>
      </c>
      <c r="C204" s="47"/>
      <c r="D204" s="47"/>
      <c r="E204" s="47"/>
      <c r="F204" s="2"/>
      <c r="G204" s="2"/>
      <c r="H204" s="2"/>
      <c r="I204" s="2"/>
      <c r="J204" s="2"/>
      <c r="K204" s="124"/>
      <c r="L204" s="124"/>
      <c r="M204" s="2"/>
      <c r="N204" s="2"/>
      <c r="O204" s="544">
        <f t="shared" si="32"/>
        <v>0</v>
      </c>
    </row>
    <row r="205" spans="2:15" x14ac:dyDescent="0.4">
      <c r="B205" s="520" t="s">
        <v>1108</v>
      </c>
      <c r="C205" s="175"/>
      <c r="D205" s="175"/>
      <c r="E205" s="175"/>
      <c r="F205" s="2"/>
      <c r="G205" s="2"/>
      <c r="H205" s="2"/>
      <c r="I205" s="2"/>
      <c r="J205" s="2"/>
      <c r="K205" s="124"/>
      <c r="L205" s="124"/>
      <c r="M205" s="2"/>
      <c r="N205" s="2"/>
      <c r="O205" s="544">
        <f t="shared" si="32"/>
        <v>0</v>
      </c>
    </row>
    <row r="206" spans="2:15" x14ac:dyDescent="0.4">
      <c r="B206" s="520" t="s">
        <v>1109</v>
      </c>
      <c r="C206" s="175"/>
      <c r="D206" s="175"/>
      <c r="E206" s="175"/>
      <c r="F206" s="2"/>
      <c r="G206" s="2"/>
      <c r="H206" s="2"/>
      <c r="I206" s="2"/>
      <c r="J206" s="2"/>
      <c r="K206" s="124"/>
      <c r="L206" s="124"/>
      <c r="M206" s="2"/>
      <c r="N206" s="2"/>
      <c r="O206" s="544">
        <f t="shared" si="32"/>
        <v>0</v>
      </c>
    </row>
    <row r="207" spans="2:15" x14ac:dyDescent="0.4">
      <c r="B207" s="520" t="s">
        <v>1110</v>
      </c>
      <c r="C207" s="175"/>
      <c r="D207" s="175"/>
      <c r="E207" s="175"/>
      <c r="F207" s="2"/>
      <c r="G207" s="2"/>
      <c r="H207" s="2"/>
      <c r="I207" s="2"/>
      <c r="J207" s="2"/>
      <c r="K207" s="124"/>
      <c r="L207" s="124"/>
      <c r="M207" s="2"/>
      <c r="N207" s="2"/>
      <c r="O207" s="544">
        <f t="shared" si="32"/>
        <v>0</v>
      </c>
    </row>
    <row r="208" spans="2:15" x14ac:dyDescent="0.4">
      <c r="B208" s="519" t="s">
        <v>1139</v>
      </c>
      <c r="C208" s="175"/>
      <c r="D208" s="175"/>
      <c r="E208" s="175"/>
      <c r="F208" s="2"/>
      <c r="G208" s="2"/>
      <c r="H208" s="2"/>
      <c r="I208" s="2"/>
      <c r="J208" s="2"/>
      <c r="K208" s="124"/>
      <c r="L208" s="124"/>
      <c r="M208" s="2"/>
      <c r="N208" s="2"/>
      <c r="O208" s="544">
        <f t="shared" si="32"/>
        <v>0</v>
      </c>
    </row>
    <row r="209" spans="2:15" x14ac:dyDescent="0.4">
      <c r="B209" s="520" t="s">
        <v>1140</v>
      </c>
      <c r="C209" s="175"/>
      <c r="D209" s="175"/>
      <c r="E209" s="175"/>
      <c r="F209" s="2"/>
      <c r="G209" s="2"/>
      <c r="H209" s="2"/>
      <c r="I209" s="2"/>
      <c r="J209" s="2"/>
      <c r="K209" s="124"/>
      <c r="L209" s="124"/>
      <c r="M209" s="2"/>
      <c r="N209" s="2"/>
      <c r="O209" s="544">
        <f t="shared" si="32"/>
        <v>0</v>
      </c>
    </row>
    <row r="210" spans="2:15" x14ac:dyDescent="0.4">
      <c r="B210" s="520" t="s">
        <v>1144</v>
      </c>
      <c r="C210" s="175"/>
      <c r="D210" s="175"/>
      <c r="E210" s="175"/>
      <c r="F210" s="2"/>
      <c r="G210" s="2"/>
      <c r="H210" s="2"/>
      <c r="I210" s="2"/>
      <c r="J210" s="2"/>
      <c r="K210" s="124"/>
      <c r="L210" s="124"/>
      <c r="M210" s="2"/>
      <c r="N210" s="2"/>
      <c r="O210" s="544"/>
    </row>
    <row r="211" spans="2:15" x14ac:dyDescent="0.4">
      <c r="B211" s="520" t="s">
        <v>1143</v>
      </c>
      <c r="C211" s="175"/>
      <c r="D211" s="175"/>
      <c r="E211" s="175"/>
      <c r="F211" s="2"/>
      <c r="G211" s="2"/>
      <c r="H211" s="2"/>
      <c r="I211" s="2"/>
      <c r="J211" s="2"/>
      <c r="K211" s="124"/>
      <c r="L211" s="124"/>
      <c r="M211" s="2"/>
      <c r="N211" s="2"/>
      <c r="O211" s="544"/>
    </row>
    <row r="212" spans="2:15" x14ac:dyDescent="0.4">
      <c r="B212" s="519" t="s">
        <v>1111</v>
      </c>
      <c r="C212" s="175"/>
      <c r="D212" s="175"/>
      <c r="E212" s="175"/>
      <c r="F212" s="2"/>
      <c r="G212" s="2"/>
      <c r="H212" s="2"/>
      <c r="I212" s="2"/>
      <c r="J212" s="2"/>
      <c r="K212" s="124"/>
      <c r="L212" s="124"/>
      <c r="M212" s="2"/>
      <c r="N212" s="2"/>
      <c r="O212" s="544">
        <f>SUM(C212:N212)</f>
        <v>0</v>
      </c>
    </row>
    <row r="213" spans="2:15" x14ac:dyDescent="0.4">
      <c r="B213" s="519" t="s">
        <v>1135</v>
      </c>
      <c r="C213" s="531">
        <v>1.248E-2</v>
      </c>
      <c r="D213" s="531">
        <v>1.4144E-2</v>
      </c>
      <c r="E213" s="531">
        <v>1.1967999999999999E-2</v>
      </c>
      <c r="F213" s="529">
        <v>1.3304E-2</v>
      </c>
      <c r="G213" s="529">
        <v>1.4775999999999999E-2</v>
      </c>
      <c r="H213" s="529">
        <v>1.3472E-2</v>
      </c>
      <c r="I213" s="529">
        <v>1.4840000000000001E-2</v>
      </c>
      <c r="J213" s="529">
        <v>1.3232000000000001E-2</v>
      </c>
      <c r="K213" s="564">
        <v>1.3688000000000001E-2</v>
      </c>
      <c r="L213" s="564">
        <v>1.1976000000000001E-2</v>
      </c>
      <c r="M213" s="529">
        <v>1.0448000000000001E-2</v>
      </c>
      <c r="N213" s="529">
        <v>1.2800000000000001E-2</v>
      </c>
      <c r="O213" s="544">
        <f>SUM(C213:N213)</f>
        <v>0.15712800000000002</v>
      </c>
    </row>
    <row r="214" spans="2:15" x14ac:dyDescent="0.4">
      <c r="B214" s="519" t="s">
        <v>1136</v>
      </c>
      <c r="C214" s="175"/>
      <c r="D214" s="175"/>
      <c r="E214" s="175"/>
      <c r="F214" s="2"/>
      <c r="G214" s="2"/>
      <c r="H214" s="2"/>
      <c r="I214" s="2"/>
      <c r="J214" s="2"/>
      <c r="K214" s="124"/>
      <c r="L214" s="124"/>
      <c r="M214" s="2"/>
      <c r="N214" s="2"/>
      <c r="O214" s="544">
        <f>SUM(C214:N214)</f>
        <v>0</v>
      </c>
    </row>
    <row r="215" spans="2:15" x14ac:dyDescent="0.4">
      <c r="B215" s="566" t="s">
        <v>1142</v>
      </c>
      <c r="C215" s="175"/>
      <c r="D215" s="175"/>
      <c r="E215" s="175"/>
      <c r="F215" s="2"/>
      <c r="G215" s="2"/>
      <c r="H215" s="2"/>
      <c r="I215" s="2"/>
      <c r="J215" s="2"/>
      <c r="K215" s="124"/>
      <c r="L215" s="124"/>
      <c r="M215" s="2"/>
      <c r="N215" s="2"/>
      <c r="O215" s="544"/>
    </row>
    <row r="216" spans="2:15" x14ac:dyDescent="0.4">
      <c r="B216" s="175" t="s">
        <v>162</v>
      </c>
      <c r="C216" s="545">
        <f t="shared" ref="C216:O216" si="33">SUM(C203:C215)</f>
        <v>1.248E-2</v>
      </c>
      <c r="D216" s="545">
        <f t="shared" si="33"/>
        <v>1.4144E-2</v>
      </c>
      <c r="E216" s="545">
        <f t="shared" si="33"/>
        <v>1.1967999999999999E-2</v>
      </c>
      <c r="F216" s="545">
        <f t="shared" si="33"/>
        <v>1.3304E-2</v>
      </c>
      <c r="G216" s="545">
        <f t="shared" si="33"/>
        <v>1.4775999999999999E-2</v>
      </c>
      <c r="H216" s="545">
        <f t="shared" si="33"/>
        <v>1.3472E-2</v>
      </c>
      <c r="I216" s="545">
        <f t="shared" si="33"/>
        <v>1.4840000000000001E-2</v>
      </c>
      <c r="J216" s="545">
        <f t="shared" si="33"/>
        <v>1.3232000000000001E-2</v>
      </c>
      <c r="K216" s="545">
        <f t="shared" si="33"/>
        <v>1.3688000000000001E-2</v>
      </c>
      <c r="L216" s="545">
        <f t="shared" si="33"/>
        <v>1.1976000000000001E-2</v>
      </c>
      <c r="M216" s="545">
        <f t="shared" si="33"/>
        <v>1.0448000000000001E-2</v>
      </c>
      <c r="N216" s="545">
        <f t="shared" si="33"/>
        <v>1.2800000000000001E-2</v>
      </c>
      <c r="O216" s="545">
        <f t="shared" si="33"/>
        <v>0.15712800000000002</v>
      </c>
    </row>
    <row r="217" spans="2:15" x14ac:dyDescent="0.4">
      <c r="B217" s="175"/>
      <c r="C217" s="543"/>
      <c r="D217" s="543"/>
      <c r="E217" s="543"/>
      <c r="F217" s="543"/>
      <c r="G217" s="543"/>
      <c r="H217" s="543"/>
      <c r="I217" s="543"/>
      <c r="J217" s="543"/>
      <c r="K217" s="543"/>
      <c r="L217" s="543"/>
      <c r="M217" s="543"/>
      <c r="N217" s="543"/>
      <c r="O217" s="543"/>
    </row>
    <row r="218" spans="2:15" x14ac:dyDescent="0.4">
      <c r="B218" s="119" t="s">
        <v>164</v>
      </c>
      <c r="C218" s="545">
        <f t="shared" ref="C218:N218" si="34">C200+C216</f>
        <v>2.1919810500000003</v>
      </c>
      <c r="D218" s="545">
        <f t="shared" si="34"/>
        <v>2.4055933700000001</v>
      </c>
      <c r="E218" s="545">
        <f t="shared" si="34"/>
        <v>2.2745382799999998</v>
      </c>
      <c r="F218" s="545">
        <f t="shared" si="34"/>
        <v>2.3436142800000002</v>
      </c>
      <c r="G218" s="545">
        <f t="shared" si="34"/>
        <v>2.83794002</v>
      </c>
      <c r="H218" s="545">
        <f t="shared" si="34"/>
        <v>2.8298184599999998</v>
      </c>
      <c r="I218" s="545">
        <f t="shared" si="34"/>
        <v>3.10225639</v>
      </c>
      <c r="J218" s="545">
        <f t="shared" si="34"/>
        <v>3.0168905399999999</v>
      </c>
      <c r="K218" s="545">
        <f t="shared" si="34"/>
        <v>3.1266857000000003</v>
      </c>
      <c r="L218" s="545">
        <f t="shared" si="34"/>
        <v>3.2416873900000001</v>
      </c>
      <c r="M218" s="545">
        <f t="shared" si="34"/>
        <v>3.0600132999999996</v>
      </c>
      <c r="N218" s="545">
        <f t="shared" si="34"/>
        <v>3.3173467999999997</v>
      </c>
      <c r="O218" s="545">
        <f>O200+O216</f>
        <v>33.748365579999998</v>
      </c>
    </row>
    <row r="219" spans="2:15" x14ac:dyDescent="0.4">
      <c r="B219" s="118" t="s">
        <v>165</v>
      </c>
    </row>
    <row r="220" spans="2:15" x14ac:dyDescent="0.4">
      <c r="B220" s="27" t="s">
        <v>166</v>
      </c>
    </row>
    <row r="221" spans="2:15" x14ac:dyDescent="0.4">
      <c r="B221" s="1" t="s">
        <v>184</v>
      </c>
      <c r="C221" s="30"/>
      <c r="D221" s="30"/>
      <c r="E221" s="30"/>
      <c r="F221" s="30"/>
    </row>
    <row r="222" spans="2:15" x14ac:dyDescent="0.4">
      <c r="B222" s="27" t="s">
        <v>168</v>
      </c>
      <c r="C222" s="30"/>
      <c r="D222" s="30"/>
      <c r="E222" s="30"/>
      <c r="F222" s="30"/>
    </row>
    <row r="223" spans="2:15" x14ac:dyDescent="0.4">
      <c r="B223" s="27"/>
      <c r="C223" s="30"/>
      <c r="D223" s="30"/>
      <c r="E223" s="30"/>
      <c r="F223" s="30"/>
    </row>
    <row r="224" spans="2:15" x14ac:dyDescent="0.4">
      <c r="B224" s="32" t="s">
        <v>1024</v>
      </c>
      <c r="C224" s="8"/>
      <c r="D224" s="8"/>
      <c r="E224" s="8"/>
      <c r="F224" s="8"/>
      <c r="G224" s="8"/>
      <c r="H224" s="8"/>
      <c r="I224" s="8"/>
      <c r="J224" s="8"/>
      <c r="K224" s="8"/>
      <c r="L224" s="8"/>
      <c r="M224" s="8"/>
      <c r="N224" s="8"/>
      <c r="O224" s="4"/>
    </row>
    <row r="225" spans="2:15" x14ac:dyDescent="0.4">
      <c r="B225" s="32"/>
      <c r="C225" s="38"/>
      <c r="D225" s="38"/>
      <c r="O225" s="38" t="s">
        <v>171</v>
      </c>
    </row>
    <row r="226" spans="2:15" s="51" customFormat="1" x14ac:dyDescent="0.35">
      <c r="B226" s="1940" t="s">
        <v>160</v>
      </c>
      <c r="C226" s="1945" t="s">
        <v>186</v>
      </c>
      <c r="D226" s="1945"/>
      <c r="E226" s="1945"/>
      <c r="F226" s="1945"/>
      <c r="G226" s="1945"/>
      <c r="H226" s="1945"/>
      <c r="I226" s="1946" t="s">
        <v>187</v>
      </c>
      <c r="J226" s="1946"/>
      <c r="K226" s="1946"/>
      <c r="L226" s="1946"/>
      <c r="M226" s="1946"/>
      <c r="N226" s="1946"/>
      <c r="O226" s="1947" t="s">
        <v>188</v>
      </c>
    </row>
    <row r="227" spans="2:15" s="51" customFormat="1" x14ac:dyDescent="0.35">
      <c r="B227" s="1940"/>
      <c r="C227" s="106" t="s">
        <v>172</v>
      </c>
      <c r="D227" s="106" t="s">
        <v>173</v>
      </c>
      <c r="E227" s="64" t="s">
        <v>174</v>
      </c>
      <c r="F227" s="64" t="s">
        <v>175</v>
      </c>
      <c r="G227" s="64" t="s">
        <v>176</v>
      </c>
      <c r="H227" s="64" t="s">
        <v>177</v>
      </c>
      <c r="I227" s="64" t="s">
        <v>178</v>
      </c>
      <c r="J227" s="64" t="s">
        <v>179</v>
      </c>
      <c r="K227" s="64" t="s">
        <v>180</v>
      </c>
      <c r="L227" s="64" t="s">
        <v>181</v>
      </c>
      <c r="M227" s="64" t="s">
        <v>182</v>
      </c>
      <c r="N227" s="64" t="s">
        <v>183</v>
      </c>
      <c r="O227" s="1947"/>
    </row>
    <row r="228" spans="2:15" x14ac:dyDescent="0.4">
      <c r="B228" s="517" t="s">
        <v>161</v>
      </c>
      <c r="C228" s="78"/>
      <c r="D228" s="78"/>
      <c r="E228" s="78"/>
      <c r="F228" s="3"/>
      <c r="G228" s="3"/>
      <c r="H228" s="2"/>
      <c r="I228" s="43"/>
      <c r="J228" s="44"/>
      <c r="K228" s="124"/>
      <c r="L228" s="124"/>
      <c r="M228" s="2"/>
      <c r="N228" s="2"/>
      <c r="O228" s="2"/>
    </row>
    <row r="229" spans="2:15" x14ac:dyDescent="0.4">
      <c r="B229" s="429" t="s">
        <v>1129</v>
      </c>
      <c r="C229" s="527">
        <v>3.39324</v>
      </c>
      <c r="D229" s="527">
        <v>4.125121</v>
      </c>
      <c r="E229" s="527">
        <v>5.8394399999999997</v>
      </c>
      <c r="F229" s="529">
        <v>6.2506199999999996</v>
      </c>
      <c r="G229" s="529">
        <v>5.9647199999999998</v>
      </c>
      <c r="H229" s="529">
        <v>6.2883599999999999</v>
      </c>
      <c r="I229" s="529">
        <v>6.8154000000000003</v>
      </c>
      <c r="J229" s="529">
        <v>6.7867199999999999</v>
      </c>
      <c r="K229" s="564">
        <v>7.2007199999999996</v>
      </c>
      <c r="L229" s="564">
        <v>6.3527399999999998</v>
      </c>
      <c r="M229" s="529">
        <v>6.3497399999999997</v>
      </c>
      <c r="N229" s="529">
        <v>7.6127399999999996</v>
      </c>
      <c r="O229" s="544">
        <f>SUM(C229:N229)</f>
        <v>72.979561000000004</v>
      </c>
    </row>
    <row r="230" spans="2:15" x14ac:dyDescent="0.4">
      <c r="B230" s="429" t="s">
        <v>1130</v>
      </c>
      <c r="C230" s="527">
        <v>1.3730000000000001E-3</v>
      </c>
      <c r="D230" s="527">
        <v>1.0481099999999999E-3</v>
      </c>
      <c r="E230" s="527">
        <v>1.2996400000000001E-3</v>
      </c>
      <c r="F230" s="529">
        <v>1.8011300000000002E-3</v>
      </c>
      <c r="G230" s="529">
        <v>1.71518E-3</v>
      </c>
      <c r="H230" s="529">
        <v>2.4466500000000003E-3</v>
      </c>
      <c r="I230" s="529">
        <v>3.0346100000000001E-3</v>
      </c>
      <c r="J230" s="529">
        <v>2.6158600000000002E-3</v>
      </c>
      <c r="K230" s="564">
        <v>2.60319E-3</v>
      </c>
      <c r="L230" s="564">
        <v>2.6147199999999996E-3</v>
      </c>
      <c r="M230" s="529">
        <v>2.2007600000000004E-3</v>
      </c>
      <c r="N230" s="529">
        <v>2.1828800000000003E-3</v>
      </c>
      <c r="O230" s="544">
        <f>SUM(C230:N230)</f>
        <v>2.4935730000000003E-2</v>
      </c>
    </row>
    <row r="231" spans="2:15" x14ac:dyDescent="0.4">
      <c r="B231" s="429" t="s">
        <v>1131</v>
      </c>
      <c r="C231" s="47"/>
      <c r="D231" s="47"/>
      <c r="E231" s="47"/>
      <c r="F231" s="3"/>
      <c r="G231" s="3"/>
      <c r="H231" s="2"/>
      <c r="I231" s="3"/>
      <c r="J231" s="3"/>
      <c r="K231" s="124"/>
      <c r="L231" s="124"/>
      <c r="M231" s="2"/>
      <c r="N231" s="2"/>
      <c r="O231" s="544">
        <f>SUM(C231:N231)</f>
        <v>0</v>
      </c>
    </row>
    <row r="232" spans="2:15" x14ac:dyDescent="0.4">
      <c r="B232" s="429" t="s">
        <v>1132</v>
      </c>
      <c r="C232" s="175"/>
      <c r="D232" s="175"/>
      <c r="E232" s="175"/>
      <c r="F232" s="3"/>
      <c r="G232" s="3"/>
      <c r="H232" s="2"/>
      <c r="I232" s="3"/>
      <c r="J232" s="3"/>
      <c r="K232" s="124"/>
      <c r="L232" s="124"/>
      <c r="M232" s="2"/>
      <c r="N232" s="2"/>
      <c r="O232" s="544">
        <f>SUM(C232:N232)</f>
        <v>0</v>
      </c>
    </row>
    <row r="233" spans="2:15" x14ac:dyDescent="0.4">
      <c r="B233" s="518" t="s">
        <v>162</v>
      </c>
      <c r="C233" s="545">
        <f>SUM(C229:C232)</f>
        <v>3.3946130000000001</v>
      </c>
      <c r="D233" s="545">
        <f t="shared" ref="D233:O233" si="35">SUM(D229:D232)</f>
        <v>4.1261691100000002</v>
      </c>
      <c r="E233" s="545">
        <f t="shared" si="35"/>
        <v>5.8407396399999998</v>
      </c>
      <c r="F233" s="545">
        <f t="shared" si="35"/>
        <v>6.2524211299999992</v>
      </c>
      <c r="G233" s="545">
        <f t="shared" si="35"/>
        <v>5.9664351799999995</v>
      </c>
      <c r="H233" s="545">
        <f t="shared" si="35"/>
        <v>6.2908066500000004</v>
      </c>
      <c r="I233" s="545">
        <f t="shared" si="35"/>
        <v>6.8184346100000006</v>
      </c>
      <c r="J233" s="545">
        <f t="shared" si="35"/>
        <v>6.7893358599999996</v>
      </c>
      <c r="K233" s="545">
        <f t="shared" si="35"/>
        <v>7.2033231899999999</v>
      </c>
      <c r="L233" s="545">
        <f t="shared" si="35"/>
        <v>6.3553547200000002</v>
      </c>
      <c r="M233" s="545">
        <f t="shared" si="35"/>
        <v>6.3519407599999997</v>
      </c>
      <c r="N233" s="545">
        <f t="shared" si="35"/>
        <v>7.6149228799999999</v>
      </c>
      <c r="O233" s="545">
        <f t="shared" si="35"/>
        <v>73.00449673</v>
      </c>
    </row>
    <row r="234" spans="2:15" x14ac:dyDescent="0.4">
      <c r="B234" s="517" t="s">
        <v>163</v>
      </c>
      <c r="C234" s="78"/>
      <c r="D234" s="78"/>
      <c r="E234" s="78"/>
      <c r="F234" s="3"/>
      <c r="G234" s="3"/>
      <c r="H234" s="2"/>
      <c r="I234" s="3"/>
      <c r="J234" s="3"/>
      <c r="K234" s="124"/>
      <c r="L234" s="124"/>
      <c r="M234" s="2"/>
      <c r="N234" s="2"/>
      <c r="O234" s="545"/>
    </row>
    <row r="235" spans="2:15" x14ac:dyDescent="0.4">
      <c r="B235" s="519" t="s">
        <v>1133</v>
      </c>
      <c r="C235" s="46"/>
      <c r="D235" s="46"/>
      <c r="E235" s="46"/>
      <c r="F235" s="3"/>
      <c r="G235" s="3"/>
      <c r="H235" s="2"/>
      <c r="I235" s="3"/>
      <c r="J235" s="3"/>
      <c r="K235" s="124"/>
      <c r="L235" s="124"/>
      <c r="M235" s="2"/>
      <c r="N235" s="2"/>
      <c r="O235" s="544">
        <f t="shared" ref="O235:O242" si="36">SUM(C235:N235)</f>
        <v>0</v>
      </c>
    </row>
    <row r="236" spans="2:15" x14ac:dyDescent="0.4">
      <c r="B236" s="520" t="s">
        <v>1106</v>
      </c>
      <c r="C236" s="46"/>
      <c r="D236" s="46"/>
      <c r="E236" s="46"/>
      <c r="F236" s="2"/>
      <c r="G236" s="2"/>
      <c r="H236" s="2"/>
      <c r="I236" s="2"/>
      <c r="J236" s="2"/>
      <c r="K236" s="124"/>
      <c r="L236" s="124"/>
      <c r="M236" s="2"/>
      <c r="N236" s="2"/>
      <c r="O236" s="544">
        <f t="shared" si="36"/>
        <v>0</v>
      </c>
    </row>
    <row r="237" spans="2:15" x14ac:dyDescent="0.4">
      <c r="B237" s="520" t="s">
        <v>1107</v>
      </c>
      <c r="C237" s="47"/>
      <c r="D237" s="47"/>
      <c r="E237" s="47"/>
      <c r="F237" s="2"/>
      <c r="G237" s="2"/>
      <c r="H237" s="2"/>
      <c r="I237" s="2"/>
      <c r="J237" s="2"/>
      <c r="K237" s="124"/>
      <c r="L237" s="124"/>
      <c r="M237" s="2"/>
      <c r="N237" s="2"/>
      <c r="O237" s="544">
        <f t="shared" si="36"/>
        <v>0</v>
      </c>
    </row>
    <row r="238" spans="2:15" x14ac:dyDescent="0.4">
      <c r="B238" s="520" t="s">
        <v>1108</v>
      </c>
      <c r="C238" s="175"/>
      <c r="D238" s="175"/>
      <c r="E238" s="175"/>
      <c r="F238" s="2"/>
      <c r="G238" s="2"/>
      <c r="H238" s="2"/>
      <c r="I238" s="2"/>
      <c r="J238" s="2"/>
      <c r="K238" s="124"/>
      <c r="L238" s="124"/>
      <c r="M238" s="2"/>
      <c r="N238" s="2"/>
      <c r="O238" s="544">
        <f t="shared" si="36"/>
        <v>0</v>
      </c>
    </row>
    <row r="239" spans="2:15" x14ac:dyDescent="0.4">
      <c r="B239" s="520" t="s">
        <v>1109</v>
      </c>
      <c r="C239" s="175"/>
      <c r="D239" s="175"/>
      <c r="E239" s="175"/>
      <c r="F239" s="2"/>
      <c r="G239" s="2"/>
      <c r="H239" s="2"/>
      <c r="I239" s="2"/>
      <c r="J239" s="2"/>
      <c r="K239" s="124"/>
      <c r="L239" s="124"/>
      <c r="M239" s="2"/>
      <c r="N239" s="2"/>
      <c r="O239" s="544">
        <f t="shared" si="36"/>
        <v>0</v>
      </c>
    </row>
    <row r="240" spans="2:15" x14ac:dyDescent="0.4">
      <c r="B240" s="520" t="s">
        <v>1110</v>
      </c>
      <c r="C240" s="175"/>
      <c r="D240" s="175"/>
      <c r="E240" s="175"/>
      <c r="F240" s="2"/>
      <c r="G240" s="2"/>
      <c r="H240" s="2"/>
      <c r="I240" s="2"/>
      <c r="J240" s="2"/>
      <c r="K240" s="124"/>
      <c r="L240" s="124"/>
      <c r="M240" s="2"/>
      <c r="N240" s="2"/>
      <c r="O240" s="544">
        <f t="shared" si="36"/>
        <v>0</v>
      </c>
    </row>
    <row r="241" spans="2:15" x14ac:dyDescent="0.4">
      <c r="B241" s="519" t="s">
        <v>1139</v>
      </c>
      <c r="C241" s="175"/>
      <c r="D241" s="175"/>
      <c r="E241" s="175"/>
      <c r="F241" s="2"/>
      <c r="G241" s="2"/>
      <c r="H241" s="2"/>
      <c r="I241" s="2"/>
      <c r="J241" s="2"/>
      <c r="K241" s="124"/>
      <c r="L241" s="124"/>
      <c r="M241" s="2"/>
      <c r="N241" s="2"/>
      <c r="O241" s="544">
        <f t="shared" si="36"/>
        <v>0</v>
      </c>
    </row>
    <row r="242" spans="2:15" x14ac:dyDescent="0.4">
      <c r="B242" s="520" t="s">
        <v>1140</v>
      </c>
      <c r="C242" s="175"/>
      <c r="D242" s="175"/>
      <c r="E242" s="175"/>
      <c r="F242" s="2"/>
      <c r="G242" s="2"/>
      <c r="H242" s="2"/>
      <c r="I242" s="2"/>
      <c r="J242" s="2"/>
      <c r="K242" s="124"/>
      <c r="L242" s="124"/>
      <c r="M242" s="2"/>
      <c r="N242" s="2"/>
      <c r="O242" s="544">
        <f t="shared" si="36"/>
        <v>0</v>
      </c>
    </row>
    <row r="243" spans="2:15" x14ac:dyDescent="0.4">
      <c r="B243" s="520" t="s">
        <v>1144</v>
      </c>
      <c r="C243" s="175"/>
      <c r="D243" s="175"/>
      <c r="E243" s="175"/>
      <c r="F243" s="2"/>
      <c r="G243" s="2"/>
      <c r="H243" s="2"/>
      <c r="I243" s="2"/>
      <c r="J243" s="2"/>
      <c r="K243" s="124"/>
      <c r="L243" s="124"/>
      <c r="M243" s="2"/>
      <c r="N243" s="2"/>
      <c r="O243" s="544"/>
    </row>
    <row r="244" spans="2:15" x14ac:dyDescent="0.4">
      <c r="B244" s="520" t="s">
        <v>1143</v>
      </c>
      <c r="C244" s="175"/>
      <c r="D244" s="175"/>
      <c r="E244" s="175"/>
      <c r="F244" s="2"/>
      <c r="G244" s="2"/>
      <c r="H244" s="2"/>
      <c r="I244" s="2"/>
      <c r="J244" s="2"/>
      <c r="K244" s="124"/>
      <c r="L244" s="124"/>
      <c r="M244" s="2"/>
      <c r="N244" s="2"/>
      <c r="O244" s="544"/>
    </row>
    <row r="245" spans="2:15" x14ac:dyDescent="0.4">
      <c r="B245" s="519" t="s">
        <v>1111</v>
      </c>
      <c r="C245" s="175"/>
      <c r="D245" s="175"/>
      <c r="E245" s="175"/>
      <c r="F245" s="2"/>
      <c r="G245" s="2"/>
      <c r="H245" s="2"/>
      <c r="I245" s="2"/>
      <c r="J245" s="2"/>
      <c r="K245" s="124"/>
      <c r="L245" s="124"/>
      <c r="M245" s="2"/>
      <c r="N245" s="2"/>
      <c r="O245" s="544">
        <f>SUM(C245:N245)</f>
        <v>0</v>
      </c>
    </row>
    <row r="246" spans="2:15" x14ac:dyDescent="0.4">
      <c r="B246" s="519" t="s">
        <v>1135</v>
      </c>
      <c r="C246" s="525">
        <v>1.3599999999999999E-2</v>
      </c>
      <c r="D246" s="525">
        <v>1.2160000000000001E-2</v>
      </c>
      <c r="E246" s="525">
        <v>1.3256E-2</v>
      </c>
      <c r="F246" s="524">
        <v>1.2984000000000001E-2</v>
      </c>
      <c r="G246" s="524">
        <v>1.3224E-2</v>
      </c>
      <c r="H246" s="524">
        <v>1.3136E-2</v>
      </c>
      <c r="I246" s="524">
        <v>1.5272000000000001E-2</v>
      </c>
      <c r="J246" s="524">
        <v>1.2696000000000001E-2</v>
      </c>
      <c r="K246" s="563">
        <v>1.1039999999999999E-2</v>
      </c>
      <c r="L246" s="563">
        <v>1.1679999999999999E-2</v>
      </c>
      <c r="M246" s="524">
        <v>1.056E-2</v>
      </c>
      <c r="N246" s="524">
        <v>1.2800000000000001E-2</v>
      </c>
      <c r="O246" s="544">
        <f>SUM(C246:N246)</f>
        <v>0.15240800000000002</v>
      </c>
    </row>
    <row r="247" spans="2:15" x14ac:dyDescent="0.4">
      <c r="B247" s="519" t="s">
        <v>1136</v>
      </c>
      <c r="C247" s="175"/>
      <c r="D247" s="175"/>
      <c r="E247" s="175"/>
      <c r="F247" s="2"/>
      <c r="G247" s="2"/>
      <c r="H247" s="2"/>
      <c r="I247" s="2"/>
      <c r="J247" s="2"/>
      <c r="K247" s="124"/>
      <c r="L247" s="124"/>
      <c r="M247" s="2"/>
      <c r="N247" s="2"/>
      <c r="O247" s="544">
        <f>SUM(C247:N247)</f>
        <v>0</v>
      </c>
    </row>
    <row r="248" spans="2:15" x14ac:dyDescent="0.4">
      <c r="B248" s="566" t="s">
        <v>1142</v>
      </c>
      <c r="C248" s="175"/>
      <c r="D248" s="175"/>
      <c r="E248" s="175"/>
      <c r="F248" s="2"/>
      <c r="G248" s="2"/>
      <c r="H248" s="2"/>
      <c r="I248" s="2"/>
      <c r="J248" s="2"/>
      <c r="K248" s="124"/>
      <c r="L248" s="124"/>
      <c r="M248" s="2"/>
      <c r="N248" s="2"/>
      <c r="O248" s="544"/>
    </row>
    <row r="249" spans="2:15" x14ac:dyDescent="0.4">
      <c r="B249" s="175" t="s">
        <v>162</v>
      </c>
      <c r="C249" s="545">
        <f t="shared" ref="C249:O249" si="37">SUM(C236:C248)</f>
        <v>1.3599999999999999E-2</v>
      </c>
      <c r="D249" s="545">
        <f t="shared" si="37"/>
        <v>1.2160000000000001E-2</v>
      </c>
      <c r="E249" s="545">
        <f t="shared" si="37"/>
        <v>1.3256E-2</v>
      </c>
      <c r="F249" s="545">
        <f t="shared" si="37"/>
        <v>1.2984000000000001E-2</v>
      </c>
      <c r="G249" s="545">
        <f t="shared" si="37"/>
        <v>1.3224E-2</v>
      </c>
      <c r="H249" s="545">
        <f t="shared" si="37"/>
        <v>1.3136E-2</v>
      </c>
      <c r="I249" s="545">
        <f t="shared" si="37"/>
        <v>1.5272000000000001E-2</v>
      </c>
      <c r="J249" s="545">
        <f t="shared" si="37"/>
        <v>1.2696000000000001E-2</v>
      </c>
      <c r="K249" s="545">
        <f t="shared" si="37"/>
        <v>1.1039999999999999E-2</v>
      </c>
      <c r="L249" s="545">
        <f t="shared" si="37"/>
        <v>1.1679999999999999E-2</v>
      </c>
      <c r="M249" s="545">
        <f t="shared" si="37"/>
        <v>1.056E-2</v>
      </c>
      <c r="N249" s="545">
        <f t="shared" si="37"/>
        <v>1.2800000000000001E-2</v>
      </c>
      <c r="O249" s="545">
        <f t="shared" si="37"/>
        <v>0.15240800000000002</v>
      </c>
    </row>
    <row r="250" spans="2:15" x14ac:dyDescent="0.4">
      <c r="B250" s="175"/>
      <c r="C250" s="543"/>
      <c r="D250" s="543"/>
      <c r="E250" s="543"/>
      <c r="F250" s="543"/>
      <c r="G250" s="543"/>
      <c r="H250" s="543"/>
      <c r="I250" s="543"/>
      <c r="J250" s="543"/>
      <c r="K250" s="543"/>
      <c r="L250" s="543"/>
      <c r="M250" s="543"/>
      <c r="N250" s="543"/>
      <c r="O250" s="543"/>
    </row>
    <row r="251" spans="2:15" x14ac:dyDescent="0.4">
      <c r="B251" s="119" t="s">
        <v>164</v>
      </c>
      <c r="C251" s="545">
        <f t="shared" ref="C251:N251" si="38">C233+C249</f>
        <v>3.4082129999999999</v>
      </c>
      <c r="D251" s="545">
        <f t="shared" si="38"/>
        <v>4.1383291099999999</v>
      </c>
      <c r="E251" s="545">
        <f t="shared" si="38"/>
        <v>5.8539956399999999</v>
      </c>
      <c r="F251" s="545">
        <f t="shared" si="38"/>
        <v>6.2654051299999995</v>
      </c>
      <c r="G251" s="545">
        <f t="shared" si="38"/>
        <v>5.9796591799999996</v>
      </c>
      <c r="H251" s="545">
        <f t="shared" si="38"/>
        <v>6.3039426500000006</v>
      </c>
      <c r="I251" s="545">
        <f t="shared" si="38"/>
        <v>6.833706610000001</v>
      </c>
      <c r="J251" s="545">
        <f t="shared" si="38"/>
        <v>6.8020318599999996</v>
      </c>
      <c r="K251" s="545">
        <f t="shared" si="38"/>
        <v>7.2143631900000003</v>
      </c>
      <c r="L251" s="545">
        <f t="shared" si="38"/>
        <v>6.3670347200000004</v>
      </c>
      <c r="M251" s="545">
        <f t="shared" si="38"/>
        <v>6.3625007599999996</v>
      </c>
      <c r="N251" s="545">
        <f t="shared" si="38"/>
        <v>7.6277228800000003</v>
      </c>
      <c r="O251" s="545">
        <f>O233+O249</f>
        <v>73.156904729999994</v>
      </c>
    </row>
    <row r="252" spans="2:15" x14ac:dyDescent="0.4">
      <c r="B252" s="118" t="s">
        <v>165</v>
      </c>
    </row>
    <row r="253" spans="2:15" x14ac:dyDescent="0.4">
      <c r="B253" s="27" t="s">
        <v>166</v>
      </c>
    </row>
    <row r="254" spans="2:15" x14ac:dyDescent="0.4">
      <c r="B254" s="1" t="s">
        <v>184</v>
      </c>
      <c r="C254" s="30"/>
      <c r="D254" s="30"/>
      <c r="E254" s="30"/>
      <c r="F254" s="30"/>
    </row>
    <row r="255" spans="2:15" x14ac:dyDescent="0.4">
      <c r="B255" s="27" t="s">
        <v>168</v>
      </c>
      <c r="C255" s="30"/>
      <c r="D255" s="30"/>
      <c r="E255" s="30"/>
      <c r="F255" s="30"/>
    </row>
    <row r="257" spans="2:16" x14ac:dyDescent="0.4">
      <c r="B257" s="32" t="s">
        <v>189</v>
      </c>
      <c r="C257" s="8"/>
      <c r="D257" s="8"/>
      <c r="E257" s="8"/>
      <c r="F257" s="8"/>
      <c r="G257" s="8"/>
      <c r="H257" s="8"/>
      <c r="I257" s="8"/>
      <c r="J257" s="8"/>
      <c r="K257" s="8"/>
      <c r="L257" s="8"/>
      <c r="M257" s="8"/>
      <c r="N257" s="8"/>
      <c r="O257" s="4"/>
    </row>
    <row r="258" spans="2:16" x14ac:dyDescent="0.4">
      <c r="B258" s="32"/>
      <c r="C258" s="38"/>
      <c r="D258" s="38"/>
      <c r="O258" s="38" t="s">
        <v>171</v>
      </c>
    </row>
    <row r="259" spans="2:16" s="51" customFormat="1" ht="27" x14ac:dyDescent="0.35">
      <c r="B259" s="169" t="s">
        <v>160</v>
      </c>
      <c r="C259" s="106" t="s">
        <v>172</v>
      </c>
      <c r="D259" s="106" t="s">
        <v>173</v>
      </c>
      <c r="E259" s="64" t="s">
        <v>174</v>
      </c>
      <c r="F259" s="64" t="s">
        <v>175</v>
      </c>
      <c r="G259" s="64" t="s">
        <v>176</v>
      </c>
      <c r="H259" s="64" t="s">
        <v>177</v>
      </c>
      <c r="I259" s="64" t="s">
        <v>178</v>
      </c>
      <c r="J259" s="64" t="s">
        <v>179</v>
      </c>
      <c r="K259" s="64" t="s">
        <v>180</v>
      </c>
      <c r="L259" s="64" t="s">
        <v>181</v>
      </c>
      <c r="M259" s="64" t="s">
        <v>182</v>
      </c>
      <c r="N259" s="64" t="s">
        <v>183</v>
      </c>
      <c r="O259" s="158" t="s">
        <v>188</v>
      </c>
    </row>
    <row r="260" spans="2:16" x14ac:dyDescent="0.4">
      <c r="B260" s="517" t="s">
        <v>161</v>
      </c>
      <c r="C260" s="78"/>
      <c r="D260" s="78"/>
      <c r="E260" s="78"/>
      <c r="F260" s="3"/>
      <c r="G260" s="3"/>
      <c r="H260" s="2"/>
      <c r="I260" s="43"/>
      <c r="J260" s="44"/>
      <c r="K260" s="124"/>
      <c r="L260" s="124"/>
      <c r="M260" s="2"/>
      <c r="N260" s="2"/>
      <c r="O260" s="2"/>
    </row>
    <row r="261" spans="2:16" x14ac:dyDescent="0.4">
      <c r="B261" s="429" t="s">
        <v>1129</v>
      </c>
      <c r="C261" s="616">
        <f>+'Sales Proj'!S4</f>
        <v>9.1562400000000004</v>
      </c>
      <c r="D261" s="616">
        <f>+'Sales Proj'!T4</f>
        <v>9.4614480000000025</v>
      </c>
      <c r="E261" s="616">
        <f>+'Sales Proj'!U4</f>
        <v>9.1562400000000004</v>
      </c>
      <c r="F261" s="616">
        <f>+'Sales Proj'!V4</f>
        <v>11.038356</v>
      </c>
      <c r="G261" s="616">
        <f>+'Sales Proj'!W4</f>
        <v>11.038356</v>
      </c>
      <c r="H261" s="616">
        <f>+'Sales Proj'!X4</f>
        <v>10.68228</v>
      </c>
      <c r="I261" s="616">
        <f>+'Sales Proj'!Y4</f>
        <v>11.637647999999999</v>
      </c>
      <c r="J261" s="616">
        <f>+'Sales Proj'!Z4</f>
        <v>11.262239999999998</v>
      </c>
      <c r="K261" s="616">
        <f>+'Sales Proj'!AA4</f>
        <v>11.637647999999999</v>
      </c>
      <c r="L261" s="616">
        <f>+'Sales Proj'!AB4</f>
        <v>12.166632000000003</v>
      </c>
      <c r="M261" s="616">
        <f>+'Sales Proj'!AC4</f>
        <v>10.989216000000003</v>
      </c>
      <c r="N261" s="616">
        <f>+'Sales Proj'!AD4</f>
        <v>12.166632000000003</v>
      </c>
      <c r="O261" s="544">
        <f>SUM(C261:N261)</f>
        <v>130.39293599999999</v>
      </c>
    </row>
    <row r="262" spans="2:16" x14ac:dyDescent="0.4">
      <c r="B262" s="429" t="s">
        <v>1130</v>
      </c>
      <c r="C262" s="527">
        <f>+$P262*C230/$O230</f>
        <v>1.6451458738453036E-3</v>
      </c>
      <c r="D262" s="527">
        <f t="shared" ref="D262:N262" si="39">+$P262*D230/$O230</f>
        <v>1.2558585883729065E-3</v>
      </c>
      <c r="E262" s="527">
        <f t="shared" si="39"/>
        <v>1.5572449988960745E-3</v>
      </c>
      <c r="F262" s="527">
        <f t="shared" si="39"/>
        <v>2.1581366261900887E-3</v>
      </c>
      <c r="G262" s="527">
        <f t="shared" si="39"/>
        <v>2.0551502548448561E-3</v>
      </c>
      <c r="H262" s="527">
        <f t="shared" si="39"/>
        <v>2.9316068115394119E-3</v>
      </c>
      <c r="I262" s="527">
        <f t="shared" si="39"/>
        <v>3.6361078807208278E-3</v>
      </c>
      <c r="J262" s="527">
        <f t="shared" si="39"/>
        <v>3.1343563623867266E-3</v>
      </c>
      <c r="K262" s="527">
        <f t="shared" si="39"/>
        <v>3.1191750089842357E-3</v>
      </c>
      <c r="L262" s="527">
        <f t="shared" si="39"/>
        <v>3.1329904000442763E-3</v>
      </c>
      <c r="M262" s="527">
        <f t="shared" si="39"/>
        <v>2.6369783199736273E-3</v>
      </c>
      <c r="N262" s="527">
        <f t="shared" si="39"/>
        <v>2.6155542790236245E-3</v>
      </c>
      <c r="O262" s="544">
        <f>SUM(C262:N262)</f>
        <v>2.9878305404821962E-2</v>
      </c>
      <c r="P262" s="617">
        <f>+'Sales Proj'!H72</f>
        <v>2.9878305404821962E-2</v>
      </c>
    </row>
    <row r="263" spans="2:16" x14ac:dyDescent="0.4">
      <c r="B263" s="429" t="s">
        <v>1131</v>
      </c>
      <c r="C263" s="47"/>
      <c r="D263" s="47"/>
      <c r="E263" s="47"/>
      <c r="F263" s="3"/>
      <c r="G263" s="3"/>
      <c r="H263" s="2"/>
      <c r="I263" s="3"/>
      <c r="J263" s="3"/>
      <c r="K263" s="124"/>
      <c r="L263" s="124"/>
      <c r="M263" s="2"/>
      <c r="N263" s="2"/>
      <c r="O263" s="544">
        <f>SUM(C263:N263)</f>
        <v>0</v>
      </c>
    </row>
    <row r="264" spans="2:16" x14ac:dyDescent="0.4">
      <c r="B264" s="429" t="s">
        <v>1132</v>
      </c>
      <c r="C264" s="175"/>
      <c r="D264" s="175"/>
      <c r="E264" s="175"/>
      <c r="F264" s="3"/>
      <c r="G264" s="3"/>
      <c r="H264" s="2"/>
      <c r="I264" s="3"/>
      <c r="J264" s="3"/>
      <c r="K264" s="124"/>
      <c r="L264" s="124"/>
      <c r="M264" s="2"/>
      <c r="N264" s="2"/>
      <c r="O264" s="544">
        <f>SUM(C264:N264)</f>
        <v>0</v>
      </c>
    </row>
    <row r="265" spans="2:16" x14ac:dyDescent="0.4">
      <c r="B265" s="518" t="s">
        <v>162</v>
      </c>
      <c r="C265" s="545">
        <f>SUM(C261:C264)</f>
        <v>9.1578851458738448</v>
      </c>
      <c r="D265" s="545">
        <f t="shared" ref="D265:O265" si="40">SUM(D261:D264)</f>
        <v>9.4627038585883749</v>
      </c>
      <c r="E265" s="545">
        <f t="shared" si="40"/>
        <v>9.1577972449988962</v>
      </c>
      <c r="F265" s="545">
        <f t="shared" si="40"/>
        <v>11.040514136626191</v>
      </c>
      <c r="G265" s="545">
        <f t="shared" si="40"/>
        <v>11.040411150254846</v>
      </c>
      <c r="H265" s="545">
        <f t="shared" si="40"/>
        <v>10.68521160681154</v>
      </c>
      <c r="I265" s="545">
        <f t="shared" si="40"/>
        <v>11.64128410788072</v>
      </c>
      <c r="J265" s="545">
        <f t="shared" si="40"/>
        <v>11.265374356362384</v>
      </c>
      <c r="K265" s="545">
        <f t="shared" si="40"/>
        <v>11.640767175008984</v>
      </c>
      <c r="L265" s="545">
        <f t="shared" si="40"/>
        <v>12.169764990400047</v>
      </c>
      <c r="M265" s="545">
        <f t="shared" si="40"/>
        <v>10.991852978319976</v>
      </c>
      <c r="N265" s="545">
        <f t="shared" si="40"/>
        <v>12.169247554279027</v>
      </c>
      <c r="O265" s="545">
        <f t="shared" si="40"/>
        <v>130.42281430540481</v>
      </c>
    </row>
    <row r="266" spans="2:16" x14ac:dyDescent="0.4">
      <c r="B266" s="517" t="s">
        <v>163</v>
      </c>
      <c r="C266" s="78"/>
      <c r="D266" s="78"/>
      <c r="E266" s="78"/>
      <c r="F266" s="3"/>
      <c r="G266" s="3"/>
      <c r="H266" s="2"/>
      <c r="I266" s="3"/>
      <c r="J266" s="3"/>
      <c r="K266" s="124"/>
      <c r="L266" s="124"/>
      <c r="M266" s="2"/>
      <c r="N266" s="2"/>
      <c r="O266" s="545"/>
    </row>
    <row r="267" spans="2:16" x14ac:dyDescent="0.4">
      <c r="B267" s="519" t="s">
        <v>1133</v>
      </c>
      <c r="C267" s="46"/>
      <c r="D267" s="46"/>
      <c r="E267" s="46"/>
      <c r="F267" s="3"/>
      <c r="G267" s="3"/>
      <c r="H267" s="2"/>
      <c r="I267" s="3"/>
      <c r="J267" s="3"/>
      <c r="K267" s="124"/>
      <c r="L267" s="124"/>
      <c r="M267" s="2"/>
      <c r="N267" s="2"/>
      <c r="O267" s="544">
        <f t="shared" ref="O267:O274" si="41">SUM(C267:N267)</f>
        <v>0</v>
      </c>
    </row>
    <row r="268" spans="2:16" x14ac:dyDescent="0.4">
      <c r="B268" s="520" t="s">
        <v>1106</v>
      </c>
      <c r="C268" s="46"/>
      <c r="D268" s="46"/>
      <c r="E268" s="46"/>
      <c r="F268" s="2"/>
      <c r="G268" s="2"/>
      <c r="H268" s="2"/>
      <c r="I268" s="2"/>
      <c r="J268" s="2"/>
      <c r="K268" s="124"/>
      <c r="L268" s="124"/>
      <c r="M268" s="2"/>
      <c r="N268" s="2"/>
      <c r="O268" s="544">
        <f t="shared" si="41"/>
        <v>0</v>
      </c>
    </row>
    <row r="269" spans="2:16" x14ac:dyDescent="0.4">
      <c r="B269" s="520" t="s">
        <v>1107</v>
      </c>
      <c r="C269" s="47"/>
      <c r="D269" s="47"/>
      <c r="E269" s="47"/>
      <c r="F269" s="2"/>
      <c r="G269" s="2"/>
      <c r="H269" s="2"/>
      <c r="I269" s="2"/>
      <c r="J269" s="2"/>
      <c r="K269" s="124"/>
      <c r="L269" s="124"/>
      <c r="M269" s="2"/>
      <c r="N269" s="2"/>
      <c r="O269" s="544">
        <f t="shared" si="41"/>
        <v>0</v>
      </c>
    </row>
    <row r="270" spans="2:16" x14ac:dyDescent="0.4">
      <c r="B270" s="520" t="s">
        <v>1108</v>
      </c>
      <c r="C270" s="175"/>
      <c r="D270" s="175"/>
      <c r="E270" s="175"/>
      <c r="F270" s="2"/>
      <c r="G270" s="2"/>
      <c r="H270" s="2"/>
      <c r="I270" s="2"/>
      <c r="J270" s="2"/>
      <c r="K270" s="124"/>
      <c r="L270" s="124"/>
      <c r="M270" s="2"/>
      <c r="N270" s="2"/>
      <c r="O270" s="544">
        <f t="shared" si="41"/>
        <v>0</v>
      </c>
    </row>
    <row r="271" spans="2:16" x14ac:dyDescent="0.4">
      <c r="B271" s="520" t="s">
        <v>1109</v>
      </c>
      <c r="C271" s="175"/>
      <c r="D271" s="175"/>
      <c r="E271" s="175"/>
      <c r="F271" s="2"/>
      <c r="G271" s="2"/>
      <c r="H271" s="2"/>
      <c r="I271" s="2"/>
      <c r="J271" s="2"/>
      <c r="K271" s="124"/>
      <c r="L271" s="124"/>
      <c r="M271" s="2"/>
      <c r="N271" s="2"/>
      <c r="O271" s="544">
        <f t="shared" si="41"/>
        <v>0</v>
      </c>
    </row>
    <row r="272" spans="2:16" x14ac:dyDescent="0.4">
      <c r="B272" s="520" t="s">
        <v>1110</v>
      </c>
      <c r="C272" s="175"/>
      <c r="D272" s="175"/>
      <c r="E272" s="175"/>
      <c r="F272" s="2"/>
      <c r="G272" s="2"/>
      <c r="H272" s="2"/>
      <c r="I272" s="2"/>
      <c r="J272" s="2"/>
      <c r="K272" s="124"/>
      <c r="L272" s="124"/>
      <c r="M272" s="2"/>
      <c r="N272" s="2"/>
      <c r="O272" s="544">
        <f t="shared" si="41"/>
        <v>0</v>
      </c>
    </row>
    <row r="273" spans="2:16" x14ac:dyDescent="0.4">
      <c r="B273" s="519" t="s">
        <v>1139</v>
      </c>
      <c r="C273" s="175"/>
      <c r="D273" s="175"/>
      <c r="E273" s="175"/>
      <c r="F273" s="2"/>
      <c r="G273" s="2"/>
      <c r="H273" s="2"/>
      <c r="I273" s="2"/>
      <c r="J273" s="2"/>
      <c r="K273" s="124"/>
      <c r="L273" s="124"/>
      <c r="M273" s="2"/>
      <c r="N273" s="2"/>
      <c r="O273" s="544">
        <f t="shared" si="41"/>
        <v>0</v>
      </c>
    </row>
    <row r="274" spans="2:16" x14ac:dyDescent="0.4">
      <c r="B274" s="520" t="s">
        <v>1140</v>
      </c>
      <c r="C274" s="175"/>
      <c r="D274" s="175"/>
      <c r="E274" s="175"/>
      <c r="F274" s="2"/>
      <c r="G274" s="2"/>
      <c r="H274" s="2"/>
      <c r="I274" s="2"/>
      <c r="J274" s="2"/>
      <c r="K274" s="124"/>
      <c r="L274" s="124"/>
      <c r="M274" s="2"/>
      <c r="N274" s="2"/>
      <c r="O274" s="544">
        <f t="shared" si="41"/>
        <v>0</v>
      </c>
    </row>
    <row r="275" spans="2:16" x14ac:dyDescent="0.4">
      <c r="B275" s="520" t="s">
        <v>1144</v>
      </c>
      <c r="C275" s="175"/>
      <c r="D275" s="175"/>
      <c r="E275" s="175"/>
      <c r="F275" s="2"/>
      <c r="G275" s="2"/>
      <c r="H275" s="2"/>
      <c r="I275" s="2"/>
      <c r="J275" s="2"/>
      <c r="K275" s="124"/>
      <c r="L275" s="124"/>
      <c r="M275" s="2"/>
      <c r="N275" s="2"/>
      <c r="O275" s="544"/>
    </row>
    <row r="276" spans="2:16" x14ac:dyDescent="0.4">
      <c r="B276" s="520" t="s">
        <v>1143</v>
      </c>
      <c r="C276" s="175"/>
      <c r="D276" s="175"/>
      <c r="E276" s="175"/>
      <c r="F276" s="2"/>
      <c r="G276" s="2"/>
      <c r="H276" s="2"/>
      <c r="I276" s="2"/>
      <c r="J276" s="2"/>
      <c r="K276" s="124"/>
      <c r="L276" s="124"/>
      <c r="M276" s="2"/>
      <c r="N276" s="2"/>
      <c r="O276" s="544"/>
    </row>
    <row r="277" spans="2:16" x14ac:dyDescent="0.4">
      <c r="B277" s="519" t="s">
        <v>1111</v>
      </c>
      <c r="C277" s="175"/>
      <c r="D277" s="175"/>
      <c r="E277" s="175"/>
      <c r="F277" s="2"/>
      <c r="G277" s="2"/>
      <c r="H277" s="2"/>
      <c r="I277" s="2"/>
      <c r="J277" s="2"/>
      <c r="K277" s="124"/>
      <c r="L277" s="124"/>
      <c r="M277" s="2"/>
      <c r="N277" s="2"/>
      <c r="O277" s="544">
        <f>SUM(C277:N277)</f>
        <v>0</v>
      </c>
    </row>
    <row r="278" spans="2:16" x14ac:dyDescent="0.4">
      <c r="B278" s="519" t="s">
        <v>1135</v>
      </c>
      <c r="C278" s="527">
        <f>+$P278*C246/$O246</f>
        <v>2.5119307161287619E-2</v>
      </c>
      <c r="D278" s="527">
        <f t="shared" ref="D278:N278" si="42">+$P278*D246/$O246</f>
        <v>2.2459615814798342E-2</v>
      </c>
      <c r="E278" s="527">
        <f t="shared" si="42"/>
        <v>2.4483936450737404E-2</v>
      </c>
      <c r="F278" s="527">
        <f t="shared" si="42"/>
        <v>2.3981550307511656E-2</v>
      </c>
      <c r="G278" s="527">
        <f t="shared" si="42"/>
        <v>2.4424832198593198E-2</v>
      </c>
      <c r="H278" s="527">
        <f t="shared" si="42"/>
        <v>2.4262295505196631E-2</v>
      </c>
      <c r="I278" s="527">
        <f t="shared" si="42"/>
        <v>2.8207504335822392E-2</v>
      </c>
      <c r="J278" s="527">
        <f t="shared" si="42"/>
        <v>2.3449612038213798E-2</v>
      </c>
      <c r="K278" s="527">
        <f t="shared" si="42"/>
        <v>2.0390966989751125E-2</v>
      </c>
      <c r="L278" s="527">
        <f t="shared" si="42"/>
        <v>2.1573052032635247E-2</v>
      </c>
      <c r="M278" s="527">
        <f t="shared" si="42"/>
        <v>1.9504403207588034E-2</v>
      </c>
      <c r="N278" s="527">
        <f t="shared" si="42"/>
        <v>2.3641700857682468E-2</v>
      </c>
      <c r="O278" s="544">
        <f>SUM(C278:N278)</f>
        <v>0.28149877689981789</v>
      </c>
      <c r="P278" s="617">
        <f>+'Sales Proj'!H88</f>
        <v>0.28149877689981795</v>
      </c>
    </row>
    <row r="279" spans="2:16" x14ac:dyDescent="0.4">
      <c r="B279" s="519" t="s">
        <v>1136</v>
      </c>
      <c r="C279" s="175"/>
      <c r="D279" s="175"/>
      <c r="E279" s="175"/>
      <c r="F279" s="2"/>
      <c r="G279" s="2"/>
      <c r="H279" s="2"/>
      <c r="I279" s="2"/>
      <c r="J279" s="2"/>
      <c r="K279" s="124"/>
      <c r="L279" s="124"/>
      <c r="M279" s="2"/>
      <c r="N279" s="2"/>
      <c r="O279" s="544">
        <f>SUM(C279:N279)</f>
        <v>0</v>
      </c>
    </row>
    <row r="280" spans="2:16" x14ac:dyDescent="0.4">
      <c r="B280" s="566" t="s">
        <v>1142</v>
      </c>
      <c r="C280" s="175"/>
      <c r="D280" s="175"/>
      <c r="E280" s="175"/>
      <c r="F280" s="2"/>
      <c r="G280" s="2"/>
      <c r="H280" s="2"/>
      <c r="I280" s="2"/>
      <c r="J280" s="2"/>
      <c r="K280" s="124"/>
      <c r="L280" s="124"/>
      <c r="M280" s="2"/>
      <c r="N280" s="2"/>
      <c r="O280" s="544"/>
    </row>
    <row r="281" spans="2:16" x14ac:dyDescent="0.4">
      <c r="B281" s="175" t="s">
        <v>162</v>
      </c>
      <c r="C281" s="545">
        <f t="shared" ref="C281:O281" si="43">SUM(C268:C280)</f>
        <v>2.5119307161287619E-2</v>
      </c>
      <c r="D281" s="545">
        <f t="shared" si="43"/>
        <v>2.2459615814798342E-2</v>
      </c>
      <c r="E281" s="545">
        <f t="shared" si="43"/>
        <v>2.4483936450737404E-2</v>
      </c>
      <c r="F281" s="545">
        <f t="shared" si="43"/>
        <v>2.3981550307511656E-2</v>
      </c>
      <c r="G281" s="545">
        <f t="shared" si="43"/>
        <v>2.4424832198593198E-2</v>
      </c>
      <c r="H281" s="545">
        <f t="shared" si="43"/>
        <v>2.4262295505196631E-2</v>
      </c>
      <c r="I281" s="545">
        <f t="shared" si="43"/>
        <v>2.8207504335822392E-2</v>
      </c>
      <c r="J281" s="545">
        <f t="shared" si="43"/>
        <v>2.3449612038213798E-2</v>
      </c>
      <c r="K281" s="545">
        <f t="shared" si="43"/>
        <v>2.0390966989751125E-2</v>
      </c>
      <c r="L281" s="545">
        <f t="shared" si="43"/>
        <v>2.1573052032635247E-2</v>
      </c>
      <c r="M281" s="545">
        <f t="shared" si="43"/>
        <v>1.9504403207588034E-2</v>
      </c>
      <c r="N281" s="545">
        <f t="shared" si="43"/>
        <v>2.3641700857682468E-2</v>
      </c>
      <c r="O281" s="545">
        <f t="shared" si="43"/>
        <v>0.28149877689981789</v>
      </c>
    </row>
    <row r="282" spans="2:16" x14ac:dyDescent="0.4">
      <c r="B282" s="175"/>
      <c r="C282" s="543"/>
      <c r="D282" s="543"/>
      <c r="E282" s="543"/>
      <c r="F282" s="543"/>
      <c r="G282" s="543"/>
      <c r="H282" s="543"/>
      <c r="I282" s="543"/>
      <c r="J282" s="543"/>
      <c r="K282" s="543"/>
      <c r="L282" s="543"/>
      <c r="M282" s="543"/>
      <c r="N282" s="543"/>
      <c r="O282" s="543"/>
    </row>
    <row r="283" spans="2:16" x14ac:dyDescent="0.4">
      <c r="B283" s="119" t="s">
        <v>164</v>
      </c>
      <c r="C283" s="545">
        <f t="shared" ref="C283:N283" si="44">C265+C281</f>
        <v>9.1830044530351316</v>
      </c>
      <c r="D283" s="545">
        <f t="shared" si="44"/>
        <v>9.4851634744031728</v>
      </c>
      <c r="E283" s="545">
        <f t="shared" si="44"/>
        <v>9.1822811814496337</v>
      </c>
      <c r="F283" s="545">
        <f t="shared" si="44"/>
        <v>11.064495686933704</v>
      </c>
      <c r="G283" s="545">
        <f t="shared" si="44"/>
        <v>11.064835982453438</v>
      </c>
      <c r="H283" s="545">
        <f t="shared" si="44"/>
        <v>10.709473902316738</v>
      </c>
      <c r="I283" s="545">
        <f t="shared" si="44"/>
        <v>11.669491612216543</v>
      </c>
      <c r="J283" s="545">
        <f t="shared" si="44"/>
        <v>11.288823968400598</v>
      </c>
      <c r="K283" s="545">
        <f t="shared" si="44"/>
        <v>11.661158141998735</v>
      </c>
      <c r="L283" s="545">
        <f t="shared" si="44"/>
        <v>12.191338042432683</v>
      </c>
      <c r="M283" s="545">
        <f t="shared" si="44"/>
        <v>11.011357381527564</v>
      </c>
      <c r="N283" s="545">
        <f t="shared" si="44"/>
        <v>12.192889255136709</v>
      </c>
      <c r="O283" s="545">
        <f>O265+O281</f>
        <v>130.70431308230462</v>
      </c>
    </row>
    <row r="284" spans="2:16" x14ac:dyDescent="0.4">
      <c r="B284" s="118"/>
      <c r="E284" s="198"/>
      <c r="F284" s="199"/>
      <c r="G284" s="198"/>
      <c r="H284" s="198"/>
      <c r="I284" s="198"/>
      <c r="J284" s="198"/>
      <c r="K284" s="198"/>
      <c r="L284" s="198"/>
      <c r="M284" s="198"/>
      <c r="N284" s="198"/>
      <c r="O284" s="199"/>
    </row>
    <row r="285" spans="2:16" x14ac:dyDescent="0.4">
      <c r="B285" s="32" t="s">
        <v>190</v>
      </c>
      <c r="C285" s="8"/>
      <c r="D285" s="8"/>
      <c r="E285" s="8"/>
      <c r="F285" s="8"/>
      <c r="G285" s="8"/>
      <c r="H285" s="8"/>
      <c r="I285" s="8"/>
      <c r="J285" s="8"/>
      <c r="K285" s="8"/>
      <c r="L285" s="8"/>
      <c r="M285" s="8"/>
      <c r="N285" s="8"/>
      <c r="O285" s="4"/>
    </row>
    <row r="286" spans="2:16" x14ac:dyDescent="0.4">
      <c r="B286" s="32"/>
      <c r="C286" s="38"/>
      <c r="D286" s="38"/>
      <c r="O286" s="38" t="s">
        <v>171</v>
      </c>
    </row>
    <row r="287" spans="2:16" s="51" customFormat="1" ht="27" x14ac:dyDescent="0.35">
      <c r="B287" s="169" t="s">
        <v>160</v>
      </c>
      <c r="C287" s="106" t="s">
        <v>172</v>
      </c>
      <c r="D287" s="106" t="s">
        <v>173</v>
      </c>
      <c r="E287" s="64" t="s">
        <v>174</v>
      </c>
      <c r="F287" s="64" t="s">
        <v>175</v>
      </c>
      <c r="G287" s="64" t="s">
        <v>176</v>
      </c>
      <c r="H287" s="64" t="s">
        <v>177</v>
      </c>
      <c r="I287" s="64" t="s">
        <v>178</v>
      </c>
      <c r="J287" s="64" t="s">
        <v>179</v>
      </c>
      <c r="K287" s="64" t="s">
        <v>180</v>
      </c>
      <c r="L287" s="64" t="s">
        <v>181</v>
      </c>
      <c r="M287" s="64" t="s">
        <v>182</v>
      </c>
      <c r="N287" s="64" t="s">
        <v>183</v>
      </c>
      <c r="O287" s="158" t="s">
        <v>188</v>
      </c>
    </row>
    <row r="288" spans="2:16" x14ac:dyDescent="0.4">
      <c r="B288" s="517" t="s">
        <v>161</v>
      </c>
      <c r="C288" s="78"/>
      <c r="D288" s="78"/>
      <c r="E288" s="78"/>
      <c r="F288" s="3"/>
      <c r="G288" s="3"/>
      <c r="H288" s="2"/>
      <c r="I288" s="43"/>
      <c r="J288" s="44"/>
      <c r="K288" s="124"/>
      <c r="L288" s="124"/>
      <c r="M288" s="2"/>
      <c r="N288" s="2"/>
      <c r="O288" s="2"/>
    </row>
    <row r="289" spans="2:16" x14ac:dyDescent="0.4">
      <c r="B289" s="429" t="s">
        <v>1129</v>
      </c>
      <c r="C289" s="616">
        <f>+'Sales Proj'!S16+'Sales Proj'!S18</f>
        <v>12.4992</v>
      </c>
      <c r="D289" s="616">
        <f>+'Sales Proj'!T16+'Sales Proj'!T18</f>
        <v>12.915839999999999</v>
      </c>
      <c r="E289" s="616">
        <f>+'Sales Proj'!U16+'Sales Proj'!U18</f>
        <v>12.4992</v>
      </c>
      <c r="F289" s="616">
        <f>+'Sales Proj'!V16+'Sales Proj'!V18</f>
        <v>13.511039999999999</v>
      </c>
      <c r="G289" s="616">
        <f>+'Sales Proj'!W16+'Sales Proj'!W18</f>
        <v>13.511039999999999</v>
      </c>
      <c r="H289" s="616">
        <f>+'Sales Proj'!X16+'Sales Proj'!X18</f>
        <v>13.075199999999999</v>
      </c>
      <c r="I289" s="616">
        <f>+'Sales Proj'!Y16+'Sales Proj'!Y18</f>
        <v>14.10624</v>
      </c>
      <c r="J289" s="616">
        <f>+'Sales Proj'!Z16+'Sales Proj'!Z18</f>
        <v>13.651199999999999</v>
      </c>
      <c r="K289" s="616">
        <f>+'Sales Proj'!AA16+'Sales Proj'!AA18</f>
        <v>14.10624</v>
      </c>
      <c r="L289" s="616">
        <f>+'Sales Proj'!AB16+'Sales Proj'!AB18</f>
        <v>14.70144</v>
      </c>
      <c r="M289" s="616">
        <f>+'Sales Proj'!AC16+'Sales Proj'!AC18</f>
        <v>13.27872</v>
      </c>
      <c r="N289" s="616">
        <f>+'Sales Proj'!AD16+'Sales Proj'!AD18</f>
        <v>14.70144</v>
      </c>
      <c r="O289" s="544">
        <f>SUM(C289:N289)</f>
        <v>162.55679999999998</v>
      </c>
    </row>
    <row r="290" spans="2:16" x14ac:dyDescent="0.4">
      <c r="B290" s="429" t="s">
        <v>1130</v>
      </c>
      <c r="C290" s="527">
        <f>+$P290*C230/$O230</f>
        <v>1.9741750486143646E-3</v>
      </c>
      <c r="D290" s="527">
        <f t="shared" ref="D290:N290" si="45">+$P290*D230/$O230</f>
        <v>1.5070303060474885E-3</v>
      </c>
      <c r="E290" s="527">
        <f t="shared" si="45"/>
        <v>1.8686939986752901E-3</v>
      </c>
      <c r="F290" s="527">
        <f t="shared" si="45"/>
        <v>2.589763951428107E-3</v>
      </c>
      <c r="G290" s="527">
        <f t="shared" si="45"/>
        <v>2.4661803058138279E-3</v>
      </c>
      <c r="H290" s="527">
        <f t="shared" si="45"/>
        <v>3.5179281738472951E-3</v>
      </c>
      <c r="I290" s="527">
        <f t="shared" si="45"/>
        <v>4.3633294568649946E-3</v>
      </c>
      <c r="J290" s="527">
        <f t="shared" si="45"/>
        <v>3.761227634864073E-3</v>
      </c>
      <c r="K290" s="527">
        <f t="shared" si="45"/>
        <v>3.7430100107810837E-3</v>
      </c>
      <c r="L290" s="527">
        <f t="shared" si="45"/>
        <v>3.7595884800531321E-3</v>
      </c>
      <c r="M290" s="527">
        <f t="shared" si="45"/>
        <v>3.1643739839683541E-3</v>
      </c>
      <c r="N290" s="527">
        <f t="shared" si="45"/>
        <v>3.1386651348283504E-3</v>
      </c>
      <c r="O290" s="544">
        <f>SUM(C290:N290)</f>
        <v>3.5853966485786364E-2</v>
      </c>
      <c r="P290" s="617">
        <f>+'Sales Proj'!I72</f>
        <v>3.5853966485786364E-2</v>
      </c>
    </row>
    <row r="291" spans="2:16" x14ac:dyDescent="0.4">
      <c r="B291" s="429" t="s">
        <v>1131</v>
      </c>
      <c r="C291" s="47"/>
      <c r="D291" s="47"/>
      <c r="E291" s="47"/>
      <c r="F291" s="3"/>
      <c r="G291" s="3"/>
      <c r="H291" s="2"/>
      <c r="I291" s="3"/>
      <c r="J291" s="3"/>
      <c r="K291" s="124"/>
      <c r="L291" s="124"/>
      <c r="M291" s="2"/>
      <c r="N291" s="2"/>
      <c r="O291" s="544">
        <f>SUM(C291:N291)</f>
        <v>0</v>
      </c>
    </row>
    <row r="292" spans="2:16" x14ac:dyDescent="0.4">
      <c r="B292" s="429" t="s">
        <v>1132</v>
      </c>
      <c r="C292" s="175"/>
      <c r="D292" s="175"/>
      <c r="E292" s="175"/>
      <c r="F292" s="3"/>
      <c r="G292" s="3"/>
      <c r="H292" s="2"/>
      <c r="I292" s="3"/>
      <c r="J292" s="3"/>
      <c r="K292" s="124"/>
      <c r="L292" s="124"/>
      <c r="M292" s="2"/>
      <c r="N292" s="2"/>
      <c r="O292" s="544">
        <f>SUM(C292:N292)</f>
        <v>0</v>
      </c>
    </row>
    <row r="293" spans="2:16" x14ac:dyDescent="0.4">
      <c r="B293" s="518" t="s">
        <v>162</v>
      </c>
      <c r="C293" s="545">
        <f>SUM(C289:C292)</f>
        <v>12.501174175048615</v>
      </c>
      <c r="D293" s="545">
        <f t="shared" ref="D293:O293" si="46">SUM(D289:D292)</f>
        <v>12.917347030306047</v>
      </c>
      <c r="E293" s="545">
        <f t="shared" si="46"/>
        <v>12.501068693998675</v>
      </c>
      <c r="F293" s="545">
        <f t="shared" si="46"/>
        <v>13.513629763951428</v>
      </c>
      <c r="G293" s="545">
        <f t="shared" si="46"/>
        <v>13.513506180305813</v>
      </c>
      <c r="H293" s="545">
        <f t="shared" si="46"/>
        <v>13.078717928173846</v>
      </c>
      <c r="I293" s="545">
        <f t="shared" si="46"/>
        <v>14.110603329456865</v>
      </c>
      <c r="J293" s="545">
        <f t="shared" si="46"/>
        <v>13.654961227634864</v>
      </c>
      <c r="K293" s="545">
        <f t="shared" si="46"/>
        <v>14.109983010010781</v>
      </c>
      <c r="L293" s="545">
        <f t="shared" si="46"/>
        <v>14.705199588480053</v>
      </c>
      <c r="M293" s="545">
        <f t="shared" si="46"/>
        <v>13.281884373983969</v>
      </c>
      <c r="N293" s="545">
        <f t="shared" si="46"/>
        <v>14.704578665134829</v>
      </c>
      <c r="O293" s="545">
        <f t="shared" si="46"/>
        <v>162.59265396648576</v>
      </c>
    </row>
    <row r="294" spans="2:16" x14ac:dyDescent="0.4">
      <c r="B294" s="517" t="s">
        <v>163</v>
      </c>
      <c r="C294" s="78"/>
      <c r="D294" s="78"/>
      <c r="E294" s="78"/>
      <c r="F294" s="3"/>
      <c r="G294" s="3"/>
      <c r="H294" s="2"/>
      <c r="I294" s="3"/>
      <c r="J294" s="3"/>
      <c r="K294" s="124"/>
      <c r="L294" s="124"/>
      <c r="M294" s="2"/>
      <c r="N294" s="2"/>
      <c r="O294" s="545"/>
    </row>
    <row r="295" spans="2:16" x14ac:dyDescent="0.4">
      <c r="B295" s="519" t="s">
        <v>1133</v>
      </c>
      <c r="C295" s="46"/>
      <c r="D295" s="46"/>
      <c r="E295" s="46"/>
      <c r="F295" s="3"/>
      <c r="G295" s="3"/>
      <c r="H295" s="2"/>
      <c r="I295" s="3"/>
      <c r="J295" s="3"/>
      <c r="K295" s="124"/>
      <c r="L295" s="124"/>
      <c r="M295" s="2"/>
      <c r="N295" s="2"/>
      <c r="O295" s="544">
        <f t="shared" ref="O295:O302" si="47">SUM(C295:N295)</f>
        <v>0</v>
      </c>
    </row>
    <row r="296" spans="2:16" x14ac:dyDescent="0.4">
      <c r="B296" s="520" t="s">
        <v>1106</v>
      </c>
      <c r="C296" s="46"/>
      <c r="D296" s="46"/>
      <c r="E296" s="46"/>
      <c r="F296" s="2"/>
      <c r="G296" s="2"/>
      <c r="H296" s="2"/>
      <c r="I296" s="2"/>
      <c r="J296" s="2"/>
      <c r="K296" s="124"/>
      <c r="L296" s="124"/>
      <c r="M296" s="2"/>
      <c r="N296" s="2"/>
      <c r="O296" s="544">
        <f t="shared" si="47"/>
        <v>0</v>
      </c>
    </row>
    <row r="297" spans="2:16" x14ac:dyDescent="0.4">
      <c r="B297" s="520" t="s">
        <v>1107</v>
      </c>
      <c r="C297" s="47"/>
      <c r="D297" s="47"/>
      <c r="E297" s="47"/>
      <c r="F297" s="2"/>
      <c r="G297" s="2"/>
      <c r="H297" s="2"/>
      <c r="I297" s="2"/>
      <c r="J297" s="2"/>
      <c r="K297" s="124"/>
      <c r="L297" s="124"/>
      <c r="M297" s="2"/>
      <c r="N297" s="2"/>
      <c r="O297" s="544">
        <f t="shared" si="47"/>
        <v>0</v>
      </c>
    </row>
    <row r="298" spans="2:16" x14ac:dyDescent="0.4">
      <c r="B298" s="520" t="s">
        <v>1108</v>
      </c>
      <c r="C298" s="175"/>
      <c r="D298" s="175"/>
      <c r="E298" s="175"/>
      <c r="F298" s="2"/>
      <c r="G298" s="2"/>
      <c r="H298" s="2"/>
      <c r="I298" s="2"/>
      <c r="J298" s="2"/>
      <c r="K298" s="124"/>
      <c r="L298" s="124"/>
      <c r="M298" s="2"/>
      <c r="N298" s="2"/>
      <c r="O298" s="544">
        <f t="shared" si="47"/>
        <v>0</v>
      </c>
    </row>
    <row r="299" spans="2:16" x14ac:dyDescent="0.4">
      <c r="B299" s="520" t="s">
        <v>1109</v>
      </c>
      <c r="C299" s="175"/>
      <c r="D299" s="175"/>
      <c r="E299" s="175"/>
      <c r="F299" s="2"/>
      <c r="G299" s="2"/>
      <c r="H299" s="2"/>
      <c r="I299" s="2"/>
      <c r="J299" s="2"/>
      <c r="K299" s="124"/>
      <c r="L299" s="124"/>
      <c r="M299" s="2"/>
      <c r="N299" s="2"/>
      <c r="O299" s="544">
        <f t="shared" si="47"/>
        <v>0</v>
      </c>
    </row>
    <row r="300" spans="2:16" x14ac:dyDescent="0.4">
      <c r="B300" s="520" t="s">
        <v>1110</v>
      </c>
      <c r="C300" s="175"/>
      <c r="D300" s="175"/>
      <c r="E300" s="175"/>
      <c r="F300" s="2"/>
      <c r="G300" s="2"/>
      <c r="H300" s="2"/>
      <c r="I300" s="2"/>
      <c r="J300" s="2"/>
      <c r="K300" s="124"/>
      <c r="L300" s="124"/>
      <c r="M300" s="2"/>
      <c r="N300" s="2"/>
      <c r="O300" s="544">
        <f t="shared" si="47"/>
        <v>0</v>
      </c>
    </row>
    <row r="301" spans="2:16" x14ac:dyDescent="0.4">
      <c r="B301" s="519" t="s">
        <v>1139</v>
      </c>
      <c r="C301" s="175"/>
      <c r="D301" s="175"/>
      <c r="E301" s="175"/>
      <c r="F301" s="2"/>
      <c r="G301" s="2"/>
      <c r="H301" s="2"/>
      <c r="I301" s="2"/>
      <c r="J301" s="2"/>
      <c r="K301" s="124"/>
      <c r="L301" s="124"/>
      <c r="M301" s="2"/>
      <c r="N301" s="2"/>
      <c r="O301" s="544">
        <f t="shared" si="47"/>
        <v>0</v>
      </c>
    </row>
    <row r="302" spans="2:16" x14ac:dyDescent="0.4">
      <c r="B302" s="520" t="s">
        <v>1140</v>
      </c>
      <c r="C302" s="175"/>
      <c r="D302" s="175"/>
      <c r="E302" s="175"/>
      <c r="F302" s="2"/>
      <c r="G302" s="2"/>
      <c r="H302" s="2"/>
      <c r="I302" s="2"/>
      <c r="J302" s="2"/>
      <c r="K302" s="124"/>
      <c r="L302" s="124"/>
      <c r="M302" s="2"/>
      <c r="N302" s="2"/>
      <c r="O302" s="544">
        <f t="shared" si="47"/>
        <v>0</v>
      </c>
    </row>
    <row r="303" spans="2:16" x14ac:dyDescent="0.4">
      <c r="B303" s="520" t="s">
        <v>1144</v>
      </c>
      <c r="C303" s="175"/>
      <c r="D303" s="175"/>
      <c r="E303" s="175"/>
      <c r="F303" s="2"/>
      <c r="G303" s="2"/>
      <c r="H303" s="2"/>
      <c r="I303" s="2"/>
      <c r="J303" s="2"/>
      <c r="K303" s="124"/>
      <c r="L303" s="124"/>
      <c r="M303" s="2"/>
      <c r="N303" s="2"/>
      <c r="O303" s="544"/>
    </row>
    <row r="304" spans="2:16" x14ac:dyDescent="0.4">
      <c r="B304" s="520" t="s">
        <v>1143</v>
      </c>
      <c r="C304" s="175"/>
      <c r="D304" s="175"/>
      <c r="E304" s="175"/>
      <c r="F304" s="2"/>
      <c r="G304" s="2"/>
      <c r="H304" s="2"/>
      <c r="I304" s="2"/>
      <c r="J304" s="2"/>
      <c r="K304" s="124"/>
      <c r="L304" s="124"/>
      <c r="M304" s="2"/>
      <c r="N304" s="2"/>
      <c r="O304" s="544"/>
    </row>
    <row r="305" spans="2:16" x14ac:dyDescent="0.4">
      <c r="B305" s="519" t="s">
        <v>1111</v>
      </c>
      <c r="C305" s="175"/>
      <c r="D305" s="175"/>
      <c r="E305" s="175"/>
      <c r="F305" s="2"/>
      <c r="G305" s="2"/>
      <c r="H305" s="2"/>
      <c r="I305" s="2"/>
      <c r="J305" s="2"/>
      <c r="K305" s="124"/>
      <c r="L305" s="124"/>
      <c r="M305" s="2"/>
      <c r="N305" s="2"/>
      <c r="O305" s="544">
        <f>SUM(C305:N305)</f>
        <v>0</v>
      </c>
    </row>
    <row r="306" spans="2:16" x14ac:dyDescent="0.4">
      <c r="B306" s="519" t="s">
        <v>1135</v>
      </c>
      <c r="C306" s="527">
        <f>+$P306*C246/$O246</f>
        <v>3.0143168593545152E-2</v>
      </c>
      <c r="D306" s="527">
        <f t="shared" ref="D306:N306" si="48">+$P306*D246/$O246</f>
        <v>2.6951538977758024E-2</v>
      </c>
      <c r="E306" s="527">
        <f t="shared" si="48"/>
        <v>2.9380723740884896E-2</v>
      </c>
      <c r="F306" s="527">
        <f t="shared" si="48"/>
        <v>2.8777860369013995E-2</v>
      </c>
      <c r="G306" s="527">
        <f t="shared" si="48"/>
        <v>2.9309798638311846E-2</v>
      </c>
      <c r="H306" s="527">
        <f t="shared" si="48"/>
        <v>2.9114754606235967E-2</v>
      </c>
      <c r="I306" s="527">
        <f t="shared" si="48"/>
        <v>3.3849005202986886E-2</v>
      </c>
      <c r="J306" s="527">
        <f t="shared" si="48"/>
        <v>2.8139534445856564E-2</v>
      </c>
      <c r="K306" s="527">
        <f t="shared" si="48"/>
        <v>2.4469160387701361E-2</v>
      </c>
      <c r="L306" s="527">
        <f t="shared" si="48"/>
        <v>2.5887662439162309E-2</v>
      </c>
      <c r="M306" s="527">
        <f t="shared" si="48"/>
        <v>2.3405283849105646E-2</v>
      </c>
      <c r="N306" s="527">
        <f t="shared" si="48"/>
        <v>2.8370041029218966E-2</v>
      </c>
      <c r="O306" s="544">
        <f>SUM(C306:N306)</f>
        <v>0.33779853227978168</v>
      </c>
      <c r="P306" s="617">
        <f>+'Sales Proj'!I88</f>
        <v>0.33779853227978163</v>
      </c>
    </row>
    <row r="307" spans="2:16" x14ac:dyDescent="0.4">
      <c r="B307" s="519" t="s">
        <v>1136</v>
      </c>
      <c r="C307" s="175"/>
      <c r="D307" s="175"/>
      <c r="E307" s="175"/>
      <c r="F307" s="2"/>
      <c r="G307" s="2"/>
      <c r="H307" s="2"/>
      <c r="I307" s="2"/>
      <c r="J307" s="2"/>
      <c r="K307" s="124"/>
      <c r="L307" s="124"/>
      <c r="M307" s="2"/>
      <c r="N307" s="2"/>
      <c r="O307" s="544">
        <f>SUM(C307:N307)</f>
        <v>0</v>
      </c>
    </row>
    <row r="308" spans="2:16" x14ac:dyDescent="0.4">
      <c r="B308" s="566" t="s">
        <v>1142</v>
      </c>
      <c r="C308" s="175"/>
      <c r="D308" s="175"/>
      <c r="E308" s="175"/>
      <c r="F308" s="2"/>
      <c r="G308" s="2"/>
      <c r="H308" s="2"/>
      <c r="I308" s="2"/>
      <c r="J308" s="2"/>
      <c r="K308" s="124"/>
      <c r="L308" s="124"/>
      <c r="M308" s="2"/>
      <c r="N308" s="2"/>
      <c r="O308" s="544">
        <f>SUM(C308:N308)</f>
        <v>0</v>
      </c>
    </row>
    <row r="309" spans="2:16" x14ac:dyDescent="0.4">
      <c r="B309" s="175" t="s">
        <v>162</v>
      </c>
      <c r="C309" s="545">
        <f t="shared" ref="C309:O309" si="49">SUM(C296:C308)</f>
        <v>3.0143168593545152E-2</v>
      </c>
      <c r="D309" s="545">
        <f t="shared" si="49"/>
        <v>2.6951538977758024E-2</v>
      </c>
      <c r="E309" s="545">
        <f t="shared" si="49"/>
        <v>2.9380723740884896E-2</v>
      </c>
      <c r="F309" s="545">
        <f t="shared" si="49"/>
        <v>2.8777860369013995E-2</v>
      </c>
      <c r="G309" s="545">
        <f t="shared" si="49"/>
        <v>2.9309798638311846E-2</v>
      </c>
      <c r="H309" s="545">
        <f t="shared" si="49"/>
        <v>2.9114754606235967E-2</v>
      </c>
      <c r="I309" s="545">
        <f t="shared" si="49"/>
        <v>3.3849005202986886E-2</v>
      </c>
      <c r="J309" s="545">
        <f t="shared" si="49"/>
        <v>2.8139534445856564E-2</v>
      </c>
      <c r="K309" s="545">
        <f t="shared" si="49"/>
        <v>2.4469160387701361E-2</v>
      </c>
      <c r="L309" s="545">
        <f t="shared" si="49"/>
        <v>2.5887662439162309E-2</v>
      </c>
      <c r="M309" s="545">
        <f t="shared" si="49"/>
        <v>2.3405283849105646E-2</v>
      </c>
      <c r="N309" s="545">
        <f t="shared" si="49"/>
        <v>2.8370041029218966E-2</v>
      </c>
      <c r="O309" s="545">
        <f t="shared" si="49"/>
        <v>0.33779853227978168</v>
      </c>
    </row>
    <row r="310" spans="2:16" x14ac:dyDescent="0.4">
      <c r="B310" s="175"/>
      <c r="C310" s="543"/>
      <c r="D310" s="543"/>
      <c r="E310" s="543"/>
      <c r="F310" s="543"/>
      <c r="G310" s="543"/>
      <c r="H310" s="543"/>
      <c r="I310" s="543"/>
      <c r="J310" s="543"/>
      <c r="K310" s="543"/>
      <c r="L310" s="543"/>
      <c r="M310" s="543"/>
      <c r="N310" s="543"/>
      <c r="O310" s="543"/>
    </row>
    <row r="311" spans="2:16" x14ac:dyDescent="0.4">
      <c r="B311" s="119" t="s">
        <v>164</v>
      </c>
      <c r="C311" s="545">
        <f t="shared" ref="C311:N311" si="50">C293+C309</f>
        <v>12.53131734364216</v>
      </c>
      <c r="D311" s="545">
        <f t="shared" si="50"/>
        <v>12.944298569283806</v>
      </c>
      <c r="E311" s="545">
        <f t="shared" si="50"/>
        <v>12.530449417739561</v>
      </c>
      <c r="F311" s="545">
        <f t="shared" si="50"/>
        <v>13.542407624320441</v>
      </c>
      <c r="G311" s="545">
        <f t="shared" si="50"/>
        <v>13.542815978944125</v>
      </c>
      <c r="H311" s="545">
        <f t="shared" si="50"/>
        <v>13.107832682780082</v>
      </c>
      <c r="I311" s="545">
        <f t="shared" si="50"/>
        <v>14.144452334659851</v>
      </c>
      <c r="J311" s="545">
        <f t="shared" si="50"/>
        <v>13.68310076208072</v>
      </c>
      <c r="K311" s="545">
        <f t="shared" si="50"/>
        <v>14.134452170398482</v>
      </c>
      <c r="L311" s="545">
        <f t="shared" si="50"/>
        <v>14.731087250919215</v>
      </c>
      <c r="M311" s="545">
        <f t="shared" si="50"/>
        <v>13.305289657833075</v>
      </c>
      <c r="N311" s="545">
        <f t="shared" si="50"/>
        <v>14.732948706164049</v>
      </c>
      <c r="O311" s="545">
        <f>O293+O309</f>
        <v>162.93045249876553</v>
      </c>
    </row>
    <row r="312" spans="2:16" x14ac:dyDescent="0.4">
      <c r="B312" s="118"/>
      <c r="E312" s="198"/>
      <c r="F312" s="199"/>
      <c r="G312" s="198"/>
      <c r="H312" s="198"/>
      <c r="I312" s="198"/>
      <c r="J312" s="198"/>
      <c r="K312" s="198"/>
      <c r="L312" s="198"/>
      <c r="M312" s="198"/>
      <c r="N312" s="198"/>
      <c r="O312" s="199"/>
    </row>
    <row r="313" spans="2:16" x14ac:dyDescent="0.4">
      <c r="B313" s="32" t="s">
        <v>191</v>
      </c>
      <c r="C313" s="8"/>
      <c r="D313" s="8"/>
      <c r="E313" s="8"/>
      <c r="F313" s="8"/>
      <c r="G313" s="8"/>
      <c r="H313" s="8"/>
      <c r="I313" s="8"/>
      <c r="J313" s="8"/>
      <c r="K313" s="8"/>
      <c r="L313" s="8"/>
      <c r="M313" s="8"/>
      <c r="N313" s="8"/>
      <c r="O313" s="4"/>
    </row>
    <row r="314" spans="2:16" x14ac:dyDescent="0.4">
      <c r="B314" s="32"/>
      <c r="C314" s="38"/>
      <c r="D314" s="38"/>
      <c r="O314" s="38" t="s">
        <v>171</v>
      </c>
    </row>
    <row r="315" spans="2:16" s="51" customFormat="1" ht="27" x14ac:dyDescent="0.35">
      <c r="B315" s="169" t="s">
        <v>160</v>
      </c>
      <c r="C315" s="106" t="s">
        <v>172</v>
      </c>
      <c r="D315" s="106" t="s">
        <v>173</v>
      </c>
      <c r="E315" s="64" t="s">
        <v>174</v>
      </c>
      <c r="F315" s="64" t="s">
        <v>175</v>
      </c>
      <c r="G315" s="64" t="s">
        <v>176</v>
      </c>
      <c r="H315" s="64" t="s">
        <v>177</v>
      </c>
      <c r="I315" s="64" t="s">
        <v>178</v>
      </c>
      <c r="J315" s="64" t="s">
        <v>179</v>
      </c>
      <c r="K315" s="64" t="s">
        <v>180</v>
      </c>
      <c r="L315" s="64" t="s">
        <v>181</v>
      </c>
      <c r="M315" s="64" t="s">
        <v>182</v>
      </c>
      <c r="N315" s="64" t="s">
        <v>183</v>
      </c>
      <c r="O315" s="158" t="s">
        <v>188</v>
      </c>
    </row>
    <row r="316" spans="2:16" x14ac:dyDescent="0.4">
      <c r="B316" s="517" t="s">
        <v>161</v>
      </c>
      <c r="C316" s="78"/>
      <c r="D316" s="78"/>
      <c r="E316" s="78"/>
      <c r="F316" s="3"/>
      <c r="G316" s="3"/>
      <c r="H316" s="2"/>
      <c r="I316" s="43"/>
      <c r="J316" s="44"/>
      <c r="K316" s="124"/>
      <c r="L316" s="124"/>
      <c r="M316" s="2"/>
      <c r="N316" s="2"/>
      <c r="O316" s="2"/>
    </row>
    <row r="317" spans="2:16" x14ac:dyDescent="0.4">
      <c r="B317" s="429" t="s">
        <v>1129</v>
      </c>
      <c r="C317" s="616">
        <f>+'Sales Proj'!S29+'Sales Proj'!S31</f>
        <v>14.9724</v>
      </c>
      <c r="D317" s="616">
        <f>+'Sales Proj'!T29+'Sales Proj'!T31</f>
        <v>15.471480000000001</v>
      </c>
      <c r="E317" s="616">
        <f>+'Sales Proj'!U29+'Sales Proj'!U31</f>
        <v>14.9724</v>
      </c>
      <c r="F317" s="616">
        <f>+'Sales Proj'!V29+'Sales Proj'!V31</f>
        <v>16.66188</v>
      </c>
      <c r="G317" s="616">
        <f>+'Sales Proj'!W29+'Sales Proj'!W31</f>
        <v>16.66188</v>
      </c>
      <c r="H317" s="616">
        <f>+'Sales Proj'!X29+'Sales Proj'!X31</f>
        <v>16.124400000000001</v>
      </c>
      <c r="I317" s="616">
        <f>+'Sales Proj'!Y29+'Sales Proj'!Y31</f>
        <v>17.85228</v>
      </c>
      <c r="J317" s="616">
        <f>+'Sales Proj'!Z29+'Sales Proj'!Z31</f>
        <v>17.276399999999999</v>
      </c>
      <c r="K317" s="616">
        <f>+'Sales Proj'!AA29+'Sales Proj'!AA31</f>
        <v>17.85228</v>
      </c>
      <c r="L317" s="616">
        <f>+'Sales Proj'!AB29+'Sales Proj'!AB31</f>
        <v>19.042680000000001</v>
      </c>
      <c r="M317" s="616">
        <f>+'Sales Proj'!AC29+'Sales Proj'!AC31</f>
        <v>17.199839999999998</v>
      </c>
      <c r="N317" s="616">
        <f>+'Sales Proj'!AD29+'Sales Proj'!AD31</f>
        <v>19.042680000000001</v>
      </c>
      <c r="O317" s="544">
        <f>SUM(C317:N317)</f>
        <v>203.13059999999999</v>
      </c>
    </row>
    <row r="318" spans="2:16" x14ac:dyDescent="0.4">
      <c r="B318" s="429" t="s">
        <v>1130</v>
      </c>
      <c r="C318" s="527">
        <f>+$P318*C262/$O262</f>
        <v>1.974175048614365E-3</v>
      </c>
      <c r="D318" s="527">
        <f t="shared" ref="D318:N318" si="51">+$P318*D262/$O262</f>
        <v>1.5070303060474883E-3</v>
      </c>
      <c r="E318" s="527">
        <f t="shared" si="51"/>
        <v>1.8686939986752901E-3</v>
      </c>
      <c r="F318" s="527">
        <f t="shared" si="51"/>
        <v>2.589763951428107E-3</v>
      </c>
      <c r="G318" s="527">
        <f t="shared" si="51"/>
        <v>2.4661803058138279E-3</v>
      </c>
      <c r="H318" s="527">
        <f t="shared" si="51"/>
        <v>3.5179281738472951E-3</v>
      </c>
      <c r="I318" s="527">
        <f t="shared" si="51"/>
        <v>4.3633294568649946E-3</v>
      </c>
      <c r="J318" s="527">
        <f t="shared" si="51"/>
        <v>3.761227634864073E-3</v>
      </c>
      <c r="K318" s="527">
        <f t="shared" si="51"/>
        <v>3.7430100107810837E-3</v>
      </c>
      <c r="L318" s="527">
        <f t="shared" si="51"/>
        <v>3.7595884800531326E-3</v>
      </c>
      <c r="M318" s="527">
        <f t="shared" si="51"/>
        <v>3.1643739839683537E-3</v>
      </c>
      <c r="N318" s="527">
        <f t="shared" si="51"/>
        <v>3.1386651348283504E-3</v>
      </c>
      <c r="O318" s="544">
        <f>SUM(C318:N318)</f>
        <v>3.5853966485786364E-2</v>
      </c>
      <c r="P318" s="617">
        <f>+'Sales Proj'!J72</f>
        <v>3.5853966485786364E-2</v>
      </c>
    </row>
    <row r="319" spans="2:16" x14ac:dyDescent="0.4">
      <c r="B319" s="429" t="s">
        <v>1131</v>
      </c>
      <c r="C319" s="47"/>
      <c r="D319" s="47"/>
      <c r="E319" s="47"/>
      <c r="F319" s="3"/>
      <c r="G319" s="3"/>
      <c r="H319" s="2"/>
      <c r="I319" s="3"/>
      <c r="J319" s="3"/>
      <c r="K319" s="124"/>
      <c r="L319" s="124"/>
      <c r="M319" s="2"/>
      <c r="N319" s="2"/>
      <c r="O319" s="544">
        <f>SUM(C319:N319)</f>
        <v>0</v>
      </c>
    </row>
    <row r="320" spans="2:16" x14ac:dyDescent="0.4">
      <c r="B320" s="429" t="s">
        <v>1132</v>
      </c>
      <c r="C320" s="175"/>
      <c r="D320" s="175"/>
      <c r="E320" s="175"/>
      <c r="F320" s="3"/>
      <c r="G320" s="3"/>
      <c r="H320" s="2"/>
      <c r="I320" s="3"/>
      <c r="J320" s="3"/>
      <c r="K320" s="124"/>
      <c r="L320" s="124"/>
      <c r="M320" s="2"/>
      <c r="N320" s="2"/>
      <c r="O320" s="544">
        <f>SUM(C320:N320)</f>
        <v>0</v>
      </c>
    </row>
    <row r="321" spans="2:16" x14ac:dyDescent="0.4">
      <c r="B321" s="518" t="s">
        <v>162</v>
      </c>
      <c r="C321" s="545">
        <f>SUM(C317:C320)</f>
        <v>14.974374175048615</v>
      </c>
      <c r="D321" s="545">
        <f t="shared" ref="D321:O321" si="52">SUM(D317:D320)</f>
        <v>15.472987030306049</v>
      </c>
      <c r="E321" s="545">
        <f t="shared" si="52"/>
        <v>14.974268693998676</v>
      </c>
      <c r="F321" s="545">
        <f t="shared" si="52"/>
        <v>16.664469763951427</v>
      </c>
      <c r="G321" s="545">
        <f t="shared" si="52"/>
        <v>16.664346180305813</v>
      </c>
      <c r="H321" s="545">
        <f t="shared" si="52"/>
        <v>16.127917928173847</v>
      </c>
      <c r="I321" s="545">
        <f t="shared" si="52"/>
        <v>17.856643329456865</v>
      </c>
      <c r="J321" s="545">
        <f t="shared" si="52"/>
        <v>17.280161227634864</v>
      </c>
      <c r="K321" s="545">
        <f t="shared" si="52"/>
        <v>17.85602301001078</v>
      </c>
      <c r="L321" s="545">
        <f t="shared" si="52"/>
        <v>19.046439588480055</v>
      </c>
      <c r="M321" s="545">
        <f t="shared" si="52"/>
        <v>17.203004373983966</v>
      </c>
      <c r="N321" s="545">
        <f t="shared" si="52"/>
        <v>19.045818665134828</v>
      </c>
      <c r="O321" s="545">
        <f t="shared" si="52"/>
        <v>203.16645396648576</v>
      </c>
    </row>
    <row r="322" spans="2:16" x14ac:dyDescent="0.4">
      <c r="B322" s="517" t="s">
        <v>163</v>
      </c>
      <c r="C322" s="78"/>
      <c r="D322" s="78"/>
      <c r="E322" s="78"/>
      <c r="F322" s="3"/>
      <c r="G322" s="3"/>
      <c r="H322" s="2"/>
      <c r="I322" s="3"/>
      <c r="J322" s="3"/>
      <c r="K322" s="124"/>
      <c r="L322" s="124"/>
      <c r="M322" s="2"/>
      <c r="N322" s="2"/>
      <c r="O322" s="545"/>
    </row>
    <row r="323" spans="2:16" x14ac:dyDescent="0.4">
      <c r="B323" s="519" t="s">
        <v>1133</v>
      </c>
      <c r="C323" s="46"/>
      <c r="D323" s="46"/>
      <c r="E323" s="46"/>
      <c r="F323" s="3"/>
      <c r="G323" s="3"/>
      <c r="H323" s="2"/>
      <c r="I323" s="3"/>
      <c r="J323" s="3"/>
      <c r="K323" s="124"/>
      <c r="L323" s="124"/>
      <c r="M323" s="2"/>
      <c r="N323" s="2"/>
      <c r="O323" s="544">
        <f t="shared" ref="O323:O330" si="53">SUM(C323:N323)</f>
        <v>0</v>
      </c>
    </row>
    <row r="324" spans="2:16" x14ac:dyDescent="0.4">
      <c r="B324" s="520" t="s">
        <v>1106</v>
      </c>
      <c r="C324" s="46"/>
      <c r="D324" s="46"/>
      <c r="E324" s="46"/>
      <c r="F324" s="2"/>
      <c r="G324" s="2"/>
      <c r="H324" s="2"/>
      <c r="I324" s="2"/>
      <c r="J324" s="2"/>
      <c r="K324" s="124"/>
      <c r="L324" s="124"/>
      <c r="M324" s="2"/>
      <c r="N324" s="2"/>
      <c r="O324" s="544">
        <f t="shared" si="53"/>
        <v>0</v>
      </c>
    </row>
    <row r="325" spans="2:16" x14ac:dyDescent="0.4">
      <c r="B325" s="520" t="s">
        <v>1107</v>
      </c>
      <c r="C325" s="47"/>
      <c r="D325" s="47"/>
      <c r="E325" s="47"/>
      <c r="F325" s="2"/>
      <c r="G325" s="2"/>
      <c r="H325" s="2"/>
      <c r="I325" s="2"/>
      <c r="J325" s="2"/>
      <c r="K325" s="124"/>
      <c r="L325" s="124"/>
      <c r="M325" s="2"/>
      <c r="N325" s="2"/>
      <c r="O325" s="544">
        <f t="shared" si="53"/>
        <v>0</v>
      </c>
    </row>
    <row r="326" spans="2:16" x14ac:dyDescent="0.4">
      <c r="B326" s="520" t="s">
        <v>1108</v>
      </c>
      <c r="C326" s="175"/>
      <c r="D326" s="175"/>
      <c r="E326" s="175"/>
      <c r="F326" s="2"/>
      <c r="G326" s="2"/>
      <c r="H326" s="2"/>
      <c r="I326" s="2"/>
      <c r="J326" s="2"/>
      <c r="K326" s="124"/>
      <c r="L326" s="124"/>
      <c r="M326" s="2"/>
      <c r="N326" s="2"/>
      <c r="O326" s="544">
        <f t="shared" si="53"/>
        <v>0</v>
      </c>
    </row>
    <row r="327" spans="2:16" x14ac:dyDescent="0.4">
      <c r="B327" s="520" t="s">
        <v>1109</v>
      </c>
      <c r="C327" s="175"/>
      <c r="D327" s="175"/>
      <c r="E327" s="175"/>
      <c r="F327" s="2"/>
      <c r="G327" s="2"/>
      <c r="H327" s="2"/>
      <c r="I327" s="2"/>
      <c r="J327" s="2"/>
      <c r="K327" s="124"/>
      <c r="L327" s="124"/>
      <c r="M327" s="2"/>
      <c r="N327" s="2"/>
      <c r="O327" s="544">
        <f t="shared" si="53"/>
        <v>0</v>
      </c>
    </row>
    <row r="328" spans="2:16" x14ac:dyDescent="0.4">
      <c r="B328" s="520" t="s">
        <v>1110</v>
      </c>
      <c r="C328" s="175"/>
      <c r="D328" s="175"/>
      <c r="E328" s="175"/>
      <c r="F328" s="2"/>
      <c r="G328" s="2"/>
      <c r="H328" s="2"/>
      <c r="I328" s="2"/>
      <c r="J328" s="2"/>
      <c r="K328" s="124"/>
      <c r="L328" s="124"/>
      <c r="M328" s="2"/>
      <c r="N328" s="2"/>
      <c r="O328" s="544">
        <f t="shared" si="53"/>
        <v>0</v>
      </c>
    </row>
    <row r="329" spans="2:16" x14ac:dyDescent="0.4">
      <c r="B329" s="519" t="s">
        <v>1139</v>
      </c>
      <c r="C329" s="175"/>
      <c r="D329" s="175"/>
      <c r="E329" s="175"/>
      <c r="F329" s="2"/>
      <c r="G329" s="2"/>
      <c r="H329" s="2"/>
      <c r="I329" s="2"/>
      <c r="J329" s="2"/>
      <c r="K329" s="124"/>
      <c r="L329" s="124"/>
      <c r="M329" s="2"/>
      <c r="N329" s="2"/>
      <c r="O329" s="544">
        <f t="shared" si="53"/>
        <v>0</v>
      </c>
    </row>
    <row r="330" spans="2:16" x14ac:dyDescent="0.4">
      <c r="B330" s="520" t="s">
        <v>1140</v>
      </c>
      <c r="C330" s="175"/>
      <c r="D330" s="175"/>
      <c r="E330" s="175"/>
      <c r="F330" s="2"/>
      <c r="G330" s="2"/>
      <c r="H330" s="2"/>
      <c r="I330" s="2"/>
      <c r="J330" s="2"/>
      <c r="K330" s="124"/>
      <c r="L330" s="124"/>
      <c r="M330" s="2"/>
      <c r="N330" s="2"/>
      <c r="O330" s="544">
        <f t="shared" si="53"/>
        <v>0</v>
      </c>
    </row>
    <row r="331" spans="2:16" x14ac:dyDescent="0.4">
      <c r="B331" s="520" t="s">
        <v>1144</v>
      </c>
      <c r="C331" s="175"/>
      <c r="D331" s="175"/>
      <c r="E331" s="175"/>
      <c r="F331" s="2"/>
      <c r="G331" s="2"/>
      <c r="H331" s="2"/>
      <c r="I331" s="2"/>
      <c r="J331" s="2"/>
      <c r="K331" s="124"/>
      <c r="L331" s="124"/>
      <c r="M331" s="2"/>
      <c r="N331" s="2"/>
      <c r="O331" s="544"/>
    </row>
    <row r="332" spans="2:16" x14ac:dyDescent="0.4">
      <c r="B332" s="520" t="s">
        <v>1143</v>
      </c>
      <c r="C332" s="175"/>
      <c r="D332" s="175"/>
      <c r="E332" s="175"/>
      <c r="F332" s="2"/>
      <c r="G332" s="2"/>
      <c r="H332" s="2"/>
      <c r="I332" s="2"/>
      <c r="J332" s="2"/>
      <c r="K332" s="124"/>
      <c r="L332" s="124"/>
      <c r="M332" s="2"/>
      <c r="N332" s="2"/>
      <c r="O332" s="544"/>
    </row>
    <row r="333" spans="2:16" x14ac:dyDescent="0.4">
      <c r="B333" s="519" t="s">
        <v>1111</v>
      </c>
      <c r="C333" s="175"/>
      <c r="D333" s="175"/>
      <c r="E333" s="175"/>
      <c r="F333" s="2"/>
      <c r="G333" s="2"/>
      <c r="H333" s="2"/>
      <c r="I333" s="2"/>
      <c r="J333" s="2"/>
      <c r="K333" s="124"/>
      <c r="L333" s="124"/>
      <c r="M333" s="2"/>
      <c r="N333" s="2"/>
      <c r="O333" s="544">
        <f>SUM(C333:N333)</f>
        <v>0</v>
      </c>
    </row>
    <row r="334" spans="2:16" x14ac:dyDescent="0.4">
      <c r="B334" s="519" t="s">
        <v>1135</v>
      </c>
      <c r="C334" s="527">
        <f>+$P334*C278/$O278</f>
        <v>3.0143168593545159E-2</v>
      </c>
      <c r="D334" s="527">
        <f t="shared" ref="D334:N334" si="54">+$P334*D278/$O278</f>
        <v>2.6951538977758024E-2</v>
      </c>
      <c r="E334" s="527">
        <f t="shared" si="54"/>
        <v>2.93807237408849E-2</v>
      </c>
      <c r="F334" s="527">
        <f t="shared" si="54"/>
        <v>2.8777860369013999E-2</v>
      </c>
      <c r="G334" s="527">
        <f t="shared" si="54"/>
        <v>2.9309798638311849E-2</v>
      </c>
      <c r="H334" s="527">
        <f t="shared" si="54"/>
        <v>2.9114754606235967E-2</v>
      </c>
      <c r="I334" s="527">
        <f t="shared" si="54"/>
        <v>3.3849005202986886E-2</v>
      </c>
      <c r="J334" s="527">
        <f t="shared" si="54"/>
        <v>2.8139534445856571E-2</v>
      </c>
      <c r="K334" s="527">
        <f t="shared" si="54"/>
        <v>2.4469160387701361E-2</v>
      </c>
      <c r="L334" s="527">
        <f t="shared" si="54"/>
        <v>2.5887662439162309E-2</v>
      </c>
      <c r="M334" s="527">
        <f t="shared" si="54"/>
        <v>2.3405283849105653E-2</v>
      </c>
      <c r="N334" s="527">
        <f t="shared" si="54"/>
        <v>2.8370041029218973E-2</v>
      </c>
      <c r="O334" s="544">
        <f>SUM(C334:N334)</f>
        <v>0.33779853227978168</v>
      </c>
      <c r="P334" s="617">
        <f>+'Sales Proj'!J88</f>
        <v>0.33779853227978163</v>
      </c>
    </row>
    <row r="335" spans="2:16" x14ac:dyDescent="0.4">
      <c r="B335" s="519" t="s">
        <v>1136</v>
      </c>
      <c r="C335" s="175"/>
      <c r="D335" s="175"/>
      <c r="E335" s="175"/>
      <c r="F335" s="2"/>
      <c r="G335" s="2"/>
      <c r="H335" s="2"/>
      <c r="I335" s="2"/>
      <c r="J335" s="2"/>
      <c r="K335" s="124"/>
      <c r="L335" s="124"/>
      <c r="M335" s="2"/>
      <c r="N335" s="2"/>
      <c r="O335" s="544">
        <f>SUM(C335:N335)</f>
        <v>0</v>
      </c>
    </row>
    <row r="336" spans="2:16" x14ac:dyDescent="0.4">
      <c r="B336" s="566" t="s">
        <v>1142</v>
      </c>
      <c r="C336" s="175"/>
      <c r="D336" s="175"/>
      <c r="E336" s="175"/>
      <c r="F336" s="2"/>
      <c r="G336" s="2"/>
      <c r="H336" s="2"/>
      <c r="I336" s="2"/>
      <c r="J336" s="2"/>
      <c r="K336" s="124"/>
      <c r="L336" s="124"/>
      <c r="M336" s="2"/>
      <c r="N336" s="2"/>
      <c r="O336" s="544"/>
    </row>
    <row r="337" spans="2:16" x14ac:dyDescent="0.4">
      <c r="B337" s="175" t="s">
        <v>162</v>
      </c>
      <c r="C337" s="545">
        <f t="shared" ref="C337:O337" si="55">SUM(C324:C336)</f>
        <v>3.0143168593545159E-2</v>
      </c>
      <c r="D337" s="545">
        <f t="shared" si="55"/>
        <v>2.6951538977758024E-2</v>
      </c>
      <c r="E337" s="545">
        <f t="shared" si="55"/>
        <v>2.93807237408849E-2</v>
      </c>
      <c r="F337" s="545">
        <f t="shared" si="55"/>
        <v>2.8777860369013999E-2</v>
      </c>
      <c r="G337" s="545">
        <f t="shared" si="55"/>
        <v>2.9309798638311849E-2</v>
      </c>
      <c r="H337" s="545">
        <f t="shared" si="55"/>
        <v>2.9114754606235967E-2</v>
      </c>
      <c r="I337" s="545">
        <f t="shared" si="55"/>
        <v>3.3849005202986886E-2</v>
      </c>
      <c r="J337" s="545">
        <f t="shared" si="55"/>
        <v>2.8139534445856571E-2</v>
      </c>
      <c r="K337" s="545">
        <f t="shared" si="55"/>
        <v>2.4469160387701361E-2</v>
      </c>
      <c r="L337" s="545">
        <f t="shared" si="55"/>
        <v>2.5887662439162309E-2</v>
      </c>
      <c r="M337" s="545">
        <f t="shared" si="55"/>
        <v>2.3405283849105653E-2</v>
      </c>
      <c r="N337" s="545">
        <f t="shared" si="55"/>
        <v>2.8370041029218973E-2</v>
      </c>
      <c r="O337" s="545">
        <f t="shared" si="55"/>
        <v>0.33779853227978168</v>
      </c>
    </row>
    <row r="338" spans="2:16" x14ac:dyDescent="0.4">
      <c r="B338" s="175"/>
      <c r="C338" s="543"/>
      <c r="D338" s="543"/>
      <c r="E338" s="543"/>
      <c r="F338" s="543"/>
      <c r="G338" s="543"/>
      <c r="H338" s="543"/>
      <c r="I338" s="543"/>
      <c r="J338" s="543"/>
      <c r="K338" s="543"/>
      <c r="L338" s="543"/>
      <c r="M338" s="543"/>
      <c r="N338" s="543"/>
      <c r="O338" s="543"/>
    </row>
    <row r="339" spans="2:16" x14ac:dyDescent="0.4">
      <c r="B339" s="119" t="s">
        <v>164</v>
      </c>
      <c r="C339" s="545">
        <f t="shared" ref="C339:N339" si="56">C321+C337</f>
        <v>15.00451734364216</v>
      </c>
      <c r="D339" s="545">
        <f t="shared" si="56"/>
        <v>15.499938569283808</v>
      </c>
      <c r="E339" s="545">
        <f t="shared" si="56"/>
        <v>15.003649417739561</v>
      </c>
      <c r="F339" s="545">
        <f t="shared" si="56"/>
        <v>16.693247624320442</v>
      </c>
      <c r="G339" s="545">
        <f t="shared" si="56"/>
        <v>16.693655978944125</v>
      </c>
      <c r="H339" s="545">
        <f t="shared" si="56"/>
        <v>16.157032682780084</v>
      </c>
      <c r="I339" s="545">
        <f t="shared" si="56"/>
        <v>17.890492334659854</v>
      </c>
      <c r="J339" s="545">
        <f t="shared" si="56"/>
        <v>17.308300762080719</v>
      </c>
      <c r="K339" s="545">
        <f t="shared" si="56"/>
        <v>17.880492170398483</v>
      </c>
      <c r="L339" s="545">
        <f t="shared" si="56"/>
        <v>19.072327250919219</v>
      </c>
      <c r="M339" s="545">
        <f t="shared" si="56"/>
        <v>17.22640965783307</v>
      </c>
      <c r="N339" s="545">
        <f t="shared" si="56"/>
        <v>19.074188706164048</v>
      </c>
      <c r="O339" s="545">
        <f>O321+O337</f>
        <v>203.50425249876554</v>
      </c>
    </row>
    <row r="340" spans="2:16" x14ac:dyDescent="0.4">
      <c r="B340" s="118"/>
      <c r="E340" s="198"/>
      <c r="F340" s="199"/>
      <c r="G340" s="198"/>
      <c r="H340" s="198"/>
      <c r="I340" s="198"/>
      <c r="J340" s="198"/>
      <c r="K340" s="198"/>
      <c r="L340" s="198"/>
      <c r="M340" s="198"/>
      <c r="N340" s="198"/>
      <c r="O340" s="199"/>
    </row>
    <row r="341" spans="2:16" x14ac:dyDescent="0.4">
      <c r="B341" s="32" t="s">
        <v>192</v>
      </c>
      <c r="C341" s="8"/>
      <c r="D341" s="8"/>
      <c r="E341" s="8"/>
      <c r="F341" s="8"/>
      <c r="G341" s="8"/>
      <c r="H341" s="8"/>
      <c r="I341" s="8"/>
      <c r="J341" s="8"/>
      <c r="K341" s="8"/>
      <c r="L341" s="8"/>
      <c r="M341" s="8"/>
      <c r="N341" s="8"/>
      <c r="O341" s="4"/>
    </row>
    <row r="342" spans="2:16" x14ac:dyDescent="0.4">
      <c r="B342" s="32"/>
      <c r="C342" s="38"/>
      <c r="D342" s="38"/>
      <c r="O342" s="38" t="s">
        <v>171</v>
      </c>
    </row>
    <row r="343" spans="2:16" s="51" customFormat="1" ht="27" x14ac:dyDescent="0.35">
      <c r="B343" s="169" t="s">
        <v>160</v>
      </c>
      <c r="C343" s="106" t="s">
        <v>172</v>
      </c>
      <c r="D343" s="106" t="s">
        <v>173</v>
      </c>
      <c r="E343" s="64" t="s">
        <v>174</v>
      </c>
      <c r="F343" s="64" t="s">
        <v>175</v>
      </c>
      <c r="G343" s="64" t="s">
        <v>176</v>
      </c>
      <c r="H343" s="64" t="s">
        <v>177</v>
      </c>
      <c r="I343" s="64" t="s">
        <v>178</v>
      </c>
      <c r="J343" s="64" t="s">
        <v>179</v>
      </c>
      <c r="K343" s="64" t="s">
        <v>180</v>
      </c>
      <c r="L343" s="64" t="s">
        <v>181</v>
      </c>
      <c r="M343" s="64" t="s">
        <v>182</v>
      </c>
      <c r="N343" s="64" t="s">
        <v>183</v>
      </c>
      <c r="O343" s="158" t="s">
        <v>188</v>
      </c>
    </row>
    <row r="344" spans="2:16" x14ac:dyDescent="0.4">
      <c r="B344" s="517" t="s">
        <v>161</v>
      </c>
      <c r="C344" s="78"/>
      <c r="D344" s="78"/>
      <c r="E344" s="78"/>
      <c r="F344" s="3"/>
      <c r="G344" s="3"/>
      <c r="H344" s="2"/>
      <c r="I344" s="43"/>
      <c r="J344" s="44"/>
      <c r="K344" s="124"/>
      <c r="L344" s="124"/>
      <c r="M344" s="2"/>
      <c r="N344" s="2"/>
      <c r="O344" s="2"/>
    </row>
    <row r="345" spans="2:16" x14ac:dyDescent="0.4">
      <c r="B345" s="429" t="s">
        <v>1129</v>
      </c>
      <c r="C345" s="616">
        <f>+'Sales Proj'!S42+'Sales Proj'!S44</f>
        <v>19.1736</v>
      </c>
      <c r="D345" s="616">
        <f>+'Sales Proj'!T42+'Sales Proj'!T44</f>
        <v>19.812719999999999</v>
      </c>
      <c r="E345" s="616">
        <f>+'Sales Proj'!U42+'Sales Proj'!U44</f>
        <v>19.1736</v>
      </c>
      <c r="F345" s="616">
        <f>+'Sales Proj'!V42+'Sales Proj'!V44</f>
        <v>20.407919999999997</v>
      </c>
      <c r="G345" s="616">
        <f>+'Sales Proj'!W42+'Sales Proj'!W44</f>
        <v>20.407919999999997</v>
      </c>
      <c r="H345" s="616">
        <f>+'Sales Proj'!X42+'Sales Proj'!X44</f>
        <v>19.749600000000001</v>
      </c>
      <c r="I345" s="616">
        <f>+'Sales Proj'!Y42+'Sales Proj'!Y44</f>
        <v>21.003119999999999</v>
      </c>
      <c r="J345" s="616">
        <f>+'Sales Proj'!Z42+'Sales Proj'!Z44</f>
        <v>20.325600000000001</v>
      </c>
      <c r="K345" s="616">
        <f>+'Sales Proj'!AA42+'Sales Proj'!AA44</f>
        <v>21.003119999999999</v>
      </c>
      <c r="L345" s="616">
        <f>+'Sales Proj'!AB42+'Sales Proj'!AB44</f>
        <v>21.598320000000001</v>
      </c>
      <c r="M345" s="616">
        <f>+'Sales Proj'!AC42+'Sales Proj'!AC44</f>
        <v>19.508160000000004</v>
      </c>
      <c r="N345" s="616">
        <f>+'Sales Proj'!AD42+'Sales Proj'!AD44</f>
        <v>21.598320000000001</v>
      </c>
      <c r="O345" s="544">
        <f>SUM(C345:N345)</f>
        <v>243.762</v>
      </c>
    </row>
    <row r="346" spans="2:16" x14ac:dyDescent="0.4">
      <c r="B346" s="429" t="s">
        <v>1130</v>
      </c>
      <c r="C346" s="527">
        <f>+$P346*C290/$O290</f>
        <v>2.6322333981524857E-3</v>
      </c>
      <c r="D346" s="527">
        <f t="shared" ref="D346:N346" si="57">+$P346*D290/$O290</f>
        <v>2.0093737413966512E-3</v>
      </c>
      <c r="E346" s="527">
        <f t="shared" si="57"/>
        <v>2.4915919982337197E-3</v>
      </c>
      <c r="F346" s="527">
        <f t="shared" si="57"/>
        <v>3.453018601904142E-3</v>
      </c>
      <c r="G346" s="527">
        <f t="shared" si="57"/>
        <v>3.2882404077517698E-3</v>
      </c>
      <c r="H346" s="527">
        <f t="shared" si="57"/>
        <v>4.690570898463059E-3</v>
      </c>
      <c r="I346" s="527">
        <f t="shared" si="57"/>
        <v>5.8177726091533247E-3</v>
      </c>
      <c r="J346" s="527">
        <f t="shared" si="57"/>
        <v>5.0149701798187628E-3</v>
      </c>
      <c r="K346" s="527">
        <f t="shared" si="57"/>
        <v>4.9906800143747774E-3</v>
      </c>
      <c r="L346" s="527">
        <f t="shared" si="57"/>
        <v>5.0127846400708411E-3</v>
      </c>
      <c r="M346" s="527">
        <f t="shared" si="57"/>
        <v>4.2191653119578046E-3</v>
      </c>
      <c r="N346" s="527">
        <f t="shared" si="57"/>
        <v>4.1848868464377988E-3</v>
      </c>
      <c r="O346" s="544">
        <f>SUM(C346:N346)</f>
        <v>4.780528864771514E-2</v>
      </c>
      <c r="P346" s="617">
        <f>+'Sales Proj'!K72</f>
        <v>4.780528864771514E-2</v>
      </c>
    </row>
    <row r="347" spans="2:16" x14ac:dyDescent="0.4">
      <c r="B347" s="429" t="s">
        <v>1131</v>
      </c>
      <c r="C347" s="47"/>
      <c r="D347" s="47"/>
      <c r="E347" s="47"/>
      <c r="F347" s="3"/>
      <c r="G347" s="3"/>
      <c r="H347" s="2"/>
      <c r="I347" s="3"/>
      <c r="J347" s="3"/>
      <c r="K347" s="124"/>
      <c r="L347" s="124"/>
      <c r="M347" s="2"/>
      <c r="N347" s="2"/>
      <c r="O347" s="544">
        <f>SUM(C347:N347)</f>
        <v>0</v>
      </c>
    </row>
    <row r="348" spans="2:16" x14ac:dyDescent="0.4">
      <c r="B348" s="429" t="s">
        <v>1132</v>
      </c>
      <c r="C348" s="175"/>
      <c r="D348" s="175"/>
      <c r="E348" s="175"/>
      <c r="F348" s="3"/>
      <c r="G348" s="3"/>
      <c r="H348" s="2"/>
      <c r="I348" s="3"/>
      <c r="J348" s="3"/>
      <c r="K348" s="124"/>
      <c r="L348" s="124"/>
      <c r="M348" s="2"/>
      <c r="N348" s="2"/>
      <c r="O348" s="544">
        <f>SUM(C348:N348)</f>
        <v>0</v>
      </c>
    </row>
    <row r="349" spans="2:16" x14ac:dyDescent="0.4">
      <c r="B349" s="518" t="s">
        <v>162</v>
      </c>
      <c r="C349" s="545">
        <f>SUM(C345:C348)</f>
        <v>19.176232233398153</v>
      </c>
      <c r="D349" s="545">
        <f t="shared" ref="D349:O349" si="58">SUM(D345:D348)</f>
        <v>19.814729373741397</v>
      </c>
      <c r="E349" s="545">
        <f t="shared" si="58"/>
        <v>19.176091591998233</v>
      </c>
      <c r="F349" s="545">
        <f t="shared" si="58"/>
        <v>20.4113730186019</v>
      </c>
      <c r="G349" s="545">
        <f t="shared" si="58"/>
        <v>20.411208240407749</v>
      </c>
      <c r="H349" s="545">
        <f t="shared" si="58"/>
        <v>19.754290570898466</v>
      </c>
      <c r="I349" s="545">
        <f t="shared" si="58"/>
        <v>21.008937772609151</v>
      </c>
      <c r="J349" s="545">
        <f t="shared" si="58"/>
        <v>20.33061497017982</v>
      </c>
      <c r="K349" s="545">
        <f t="shared" si="58"/>
        <v>21.008110680014372</v>
      </c>
      <c r="L349" s="545">
        <f t="shared" si="58"/>
        <v>21.60333278464007</v>
      </c>
      <c r="M349" s="545">
        <f t="shared" si="58"/>
        <v>19.512379165311962</v>
      </c>
      <c r="N349" s="545">
        <f t="shared" si="58"/>
        <v>21.60250488684644</v>
      </c>
      <c r="O349" s="545">
        <f t="shared" si="58"/>
        <v>243.80980528864771</v>
      </c>
    </row>
    <row r="350" spans="2:16" x14ac:dyDescent="0.4">
      <c r="B350" s="517" t="s">
        <v>163</v>
      </c>
      <c r="C350" s="78"/>
      <c r="D350" s="78"/>
      <c r="E350" s="78"/>
      <c r="F350" s="3"/>
      <c r="G350" s="3"/>
      <c r="H350" s="2"/>
      <c r="I350" s="3"/>
      <c r="J350" s="3"/>
      <c r="K350" s="124"/>
      <c r="L350" s="124"/>
      <c r="M350" s="2"/>
      <c r="N350" s="2"/>
      <c r="O350" s="545"/>
    </row>
    <row r="351" spans="2:16" x14ac:dyDescent="0.4">
      <c r="B351" s="519" t="s">
        <v>1133</v>
      </c>
      <c r="C351" s="46"/>
      <c r="D351" s="46"/>
      <c r="E351" s="46"/>
      <c r="F351" s="3"/>
      <c r="G351" s="3"/>
      <c r="H351" s="2"/>
      <c r="I351" s="3"/>
      <c r="J351" s="3"/>
      <c r="K351" s="124"/>
      <c r="L351" s="124"/>
      <c r="M351" s="2"/>
      <c r="N351" s="2"/>
      <c r="O351" s="544">
        <f t="shared" ref="O351:O358" si="59">SUM(C351:N351)</f>
        <v>0</v>
      </c>
    </row>
    <row r="352" spans="2:16" x14ac:dyDescent="0.4">
      <c r="B352" s="520" t="s">
        <v>1106</v>
      </c>
      <c r="C352" s="46"/>
      <c r="D352" s="46"/>
      <c r="E352" s="46"/>
      <c r="F352" s="2"/>
      <c r="G352" s="2"/>
      <c r="H352" s="2"/>
      <c r="I352" s="2"/>
      <c r="J352" s="2"/>
      <c r="K352" s="124"/>
      <c r="L352" s="124"/>
      <c r="M352" s="2"/>
      <c r="N352" s="2"/>
      <c r="O352" s="544">
        <f t="shared" si="59"/>
        <v>0</v>
      </c>
    </row>
    <row r="353" spans="2:16" x14ac:dyDescent="0.4">
      <c r="B353" s="520" t="s">
        <v>1107</v>
      </c>
      <c r="C353" s="47"/>
      <c r="D353" s="47"/>
      <c r="E353" s="47"/>
      <c r="F353" s="2"/>
      <c r="G353" s="2"/>
      <c r="H353" s="2"/>
      <c r="I353" s="2"/>
      <c r="J353" s="2"/>
      <c r="K353" s="124"/>
      <c r="L353" s="124"/>
      <c r="M353" s="2"/>
      <c r="N353" s="2"/>
      <c r="O353" s="544">
        <f t="shared" si="59"/>
        <v>0</v>
      </c>
    </row>
    <row r="354" spans="2:16" x14ac:dyDescent="0.4">
      <c r="B354" s="520" t="s">
        <v>1108</v>
      </c>
      <c r="C354" s="175"/>
      <c r="D354" s="175"/>
      <c r="E354" s="175"/>
      <c r="F354" s="2"/>
      <c r="G354" s="2"/>
      <c r="H354" s="2"/>
      <c r="I354" s="2"/>
      <c r="J354" s="2"/>
      <c r="K354" s="124"/>
      <c r="L354" s="124"/>
      <c r="M354" s="2"/>
      <c r="N354" s="2"/>
      <c r="O354" s="544">
        <f t="shared" si="59"/>
        <v>0</v>
      </c>
    </row>
    <row r="355" spans="2:16" x14ac:dyDescent="0.4">
      <c r="B355" s="520" t="s">
        <v>1109</v>
      </c>
      <c r="C355" s="175"/>
      <c r="D355" s="175"/>
      <c r="E355" s="175"/>
      <c r="F355" s="2"/>
      <c r="G355" s="2"/>
      <c r="H355" s="2"/>
      <c r="I355" s="2"/>
      <c r="J355" s="2"/>
      <c r="K355" s="124"/>
      <c r="L355" s="124"/>
      <c r="M355" s="2"/>
      <c r="N355" s="2"/>
      <c r="O355" s="544">
        <f t="shared" si="59"/>
        <v>0</v>
      </c>
    </row>
    <row r="356" spans="2:16" x14ac:dyDescent="0.4">
      <c r="B356" s="520" t="s">
        <v>1110</v>
      </c>
      <c r="C356" s="175"/>
      <c r="D356" s="175"/>
      <c r="E356" s="175"/>
      <c r="F356" s="2"/>
      <c r="G356" s="2"/>
      <c r="H356" s="2"/>
      <c r="I356" s="2"/>
      <c r="J356" s="2"/>
      <c r="K356" s="124"/>
      <c r="L356" s="124"/>
      <c r="M356" s="2"/>
      <c r="N356" s="2"/>
      <c r="O356" s="544">
        <f t="shared" si="59"/>
        <v>0</v>
      </c>
    </row>
    <row r="357" spans="2:16" x14ac:dyDescent="0.4">
      <c r="B357" s="519" t="s">
        <v>1139</v>
      </c>
      <c r="C357" s="175"/>
      <c r="D357" s="175"/>
      <c r="E357" s="175"/>
      <c r="F357" s="2"/>
      <c r="G357" s="2"/>
      <c r="H357" s="2"/>
      <c r="I357" s="2"/>
      <c r="J357" s="2"/>
      <c r="K357" s="124"/>
      <c r="L357" s="124"/>
      <c r="M357" s="2"/>
      <c r="N357" s="2"/>
      <c r="O357" s="544">
        <f t="shared" si="59"/>
        <v>0</v>
      </c>
    </row>
    <row r="358" spans="2:16" x14ac:dyDescent="0.4">
      <c r="B358" s="520" t="s">
        <v>1140</v>
      </c>
      <c r="C358" s="175"/>
      <c r="D358" s="175"/>
      <c r="E358" s="175"/>
      <c r="F358" s="2"/>
      <c r="G358" s="2"/>
      <c r="H358" s="2"/>
      <c r="I358" s="2"/>
      <c r="J358" s="2"/>
      <c r="K358" s="124"/>
      <c r="L358" s="124"/>
      <c r="M358" s="2"/>
      <c r="N358" s="2"/>
      <c r="O358" s="544">
        <f t="shared" si="59"/>
        <v>0</v>
      </c>
    </row>
    <row r="359" spans="2:16" x14ac:dyDescent="0.4">
      <c r="B359" s="520" t="s">
        <v>1144</v>
      </c>
      <c r="C359" s="175"/>
      <c r="D359" s="175"/>
      <c r="E359" s="175"/>
      <c r="F359" s="2"/>
      <c r="G359" s="2"/>
      <c r="H359" s="2"/>
      <c r="I359" s="2"/>
      <c r="J359" s="2"/>
      <c r="K359" s="124"/>
      <c r="L359" s="124"/>
      <c r="M359" s="2"/>
      <c r="N359" s="2"/>
      <c r="O359" s="544"/>
    </row>
    <row r="360" spans="2:16" x14ac:dyDescent="0.4">
      <c r="B360" s="520" t="s">
        <v>1143</v>
      </c>
      <c r="C360" s="175"/>
      <c r="D360" s="175"/>
      <c r="E360" s="175"/>
      <c r="F360" s="2"/>
      <c r="G360" s="2"/>
      <c r="H360" s="2"/>
      <c r="I360" s="2"/>
      <c r="J360" s="2"/>
      <c r="K360" s="124"/>
      <c r="L360" s="124"/>
      <c r="M360" s="2"/>
      <c r="N360" s="2"/>
      <c r="O360" s="544"/>
    </row>
    <row r="361" spans="2:16" x14ac:dyDescent="0.4">
      <c r="B361" s="519" t="s">
        <v>1111</v>
      </c>
      <c r="C361" s="175"/>
      <c r="D361" s="175"/>
      <c r="E361" s="175"/>
      <c r="F361" s="2"/>
      <c r="G361" s="2"/>
      <c r="H361" s="2"/>
      <c r="I361" s="2"/>
      <c r="J361" s="2"/>
      <c r="K361" s="124"/>
      <c r="L361" s="124"/>
      <c r="M361" s="2"/>
      <c r="N361" s="2"/>
      <c r="O361" s="544">
        <f>SUM(C361:N361)</f>
        <v>0</v>
      </c>
    </row>
    <row r="362" spans="2:16" x14ac:dyDescent="0.4">
      <c r="B362" s="519" t="s">
        <v>1135</v>
      </c>
      <c r="C362" s="527">
        <f>+$P362*C306/$O306</f>
        <v>4.0190891458060193E-2</v>
      </c>
      <c r="D362" s="527">
        <f t="shared" ref="D362:N362" si="60">+$P362*D306/$O306</f>
        <v>3.5935385303677361E-2</v>
      </c>
      <c r="E362" s="527">
        <f t="shared" si="60"/>
        <v>3.917429832117985E-2</v>
      </c>
      <c r="F362" s="527">
        <f t="shared" si="60"/>
        <v>3.8370480492018653E-2</v>
      </c>
      <c r="G362" s="527">
        <f t="shared" si="60"/>
        <v>3.9079731517749121E-2</v>
      </c>
      <c r="H362" s="527">
        <f t="shared" si="60"/>
        <v>3.8819672808314616E-2</v>
      </c>
      <c r="I362" s="527">
        <f t="shared" si="60"/>
        <v>4.5132006937315838E-2</v>
      </c>
      <c r="J362" s="527">
        <f t="shared" si="60"/>
        <v>3.7519379261142079E-2</v>
      </c>
      <c r="K362" s="527">
        <f t="shared" si="60"/>
        <v>3.2625547183601812E-2</v>
      </c>
      <c r="L362" s="527">
        <f t="shared" si="60"/>
        <v>3.4516883252216406E-2</v>
      </c>
      <c r="M362" s="527">
        <f t="shared" si="60"/>
        <v>3.1207045132140853E-2</v>
      </c>
      <c r="N362" s="527">
        <f t="shared" si="60"/>
        <v>3.7826721372291948E-2</v>
      </c>
      <c r="O362" s="544">
        <f>SUM(C362:N362)</f>
        <v>0.45039804303970876</v>
      </c>
      <c r="P362" s="617">
        <f>+'Sales Proj'!K88</f>
        <v>0.45039804303970882</v>
      </c>
    </row>
    <row r="363" spans="2:16" x14ac:dyDescent="0.4">
      <c r="B363" s="519" t="s">
        <v>1136</v>
      </c>
      <c r="C363" s="175"/>
      <c r="D363" s="175"/>
      <c r="E363" s="175"/>
      <c r="F363" s="2"/>
      <c r="G363" s="2"/>
      <c r="H363" s="2"/>
      <c r="I363" s="2"/>
      <c r="J363" s="2"/>
      <c r="K363" s="124"/>
      <c r="L363" s="124"/>
      <c r="M363" s="2"/>
      <c r="N363" s="2"/>
      <c r="O363" s="544">
        <f>SUM(C363:N363)</f>
        <v>0</v>
      </c>
    </row>
    <row r="364" spans="2:16" x14ac:dyDescent="0.4">
      <c r="B364" s="566" t="s">
        <v>1142</v>
      </c>
      <c r="C364" s="175"/>
      <c r="D364" s="175"/>
      <c r="E364" s="175"/>
      <c r="F364" s="2"/>
      <c r="G364" s="2"/>
      <c r="H364" s="2"/>
      <c r="I364" s="2"/>
      <c r="J364" s="2"/>
      <c r="K364" s="124"/>
      <c r="L364" s="124"/>
      <c r="M364" s="2"/>
      <c r="N364" s="2"/>
      <c r="O364" s="544"/>
    </row>
    <row r="365" spans="2:16" x14ac:dyDescent="0.4">
      <c r="B365" s="175" t="s">
        <v>162</v>
      </c>
      <c r="C365" s="545">
        <f t="shared" ref="C365:O365" si="61">SUM(C352:C364)</f>
        <v>4.0190891458060193E-2</v>
      </c>
      <c r="D365" s="545">
        <f t="shared" si="61"/>
        <v>3.5935385303677361E-2</v>
      </c>
      <c r="E365" s="545">
        <f t="shared" si="61"/>
        <v>3.917429832117985E-2</v>
      </c>
      <c r="F365" s="545">
        <f t="shared" si="61"/>
        <v>3.8370480492018653E-2</v>
      </c>
      <c r="G365" s="545">
        <f t="shared" si="61"/>
        <v>3.9079731517749121E-2</v>
      </c>
      <c r="H365" s="545">
        <f t="shared" si="61"/>
        <v>3.8819672808314616E-2</v>
      </c>
      <c r="I365" s="545">
        <f t="shared" si="61"/>
        <v>4.5132006937315838E-2</v>
      </c>
      <c r="J365" s="545">
        <f t="shared" si="61"/>
        <v>3.7519379261142079E-2</v>
      </c>
      <c r="K365" s="545">
        <f t="shared" si="61"/>
        <v>3.2625547183601812E-2</v>
      </c>
      <c r="L365" s="545">
        <f t="shared" si="61"/>
        <v>3.4516883252216406E-2</v>
      </c>
      <c r="M365" s="545">
        <f t="shared" si="61"/>
        <v>3.1207045132140853E-2</v>
      </c>
      <c r="N365" s="545">
        <f t="shared" si="61"/>
        <v>3.7826721372291948E-2</v>
      </c>
      <c r="O365" s="545">
        <f t="shared" si="61"/>
        <v>0.45039804303970876</v>
      </c>
    </row>
    <row r="366" spans="2:16" x14ac:dyDescent="0.4">
      <c r="B366" s="175"/>
      <c r="C366" s="543"/>
      <c r="D366" s="543"/>
      <c r="E366" s="543"/>
      <c r="F366" s="543"/>
      <c r="G366" s="543"/>
      <c r="H366" s="543"/>
      <c r="I366" s="543"/>
      <c r="J366" s="543"/>
      <c r="K366" s="543"/>
      <c r="L366" s="543"/>
      <c r="M366" s="543"/>
      <c r="N366" s="543"/>
      <c r="O366" s="543"/>
    </row>
    <row r="367" spans="2:16" x14ac:dyDescent="0.4">
      <c r="B367" s="119" t="s">
        <v>164</v>
      </c>
      <c r="C367" s="545">
        <f t="shared" ref="C367:N367" si="62">C349+C365</f>
        <v>19.216423124856213</v>
      </c>
      <c r="D367" s="545">
        <f t="shared" si="62"/>
        <v>19.850664759045074</v>
      </c>
      <c r="E367" s="545">
        <f t="shared" si="62"/>
        <v>19.215265890319412</v>
      </c>
      <c r="F367" s="545">
        <f t="shared" si="62"/>
        <v>20.44974349909392</v>
      </c>
      <c r="G367" s="545">
        <f t="shared" si="62"/>
        <v>20.450287971925498</v>
      </c>
      <c r="H367" s="545">
        <f t="shared" si="62"/>
        <v>19.793110243706781</v>
      </c>
      <c r="I367" s="545">
        <f t="shared" si="62"/>
        <v>21.054069779546467</v>
      </c>
      <c r="J367" s="545">
        <f t="shared" si="62"/>
        <v>20.368134349440961</v>
      </c>
      <c r="K367" s="545">
        <f t="shared" si="62"/>
        <v>21.040736227197975</v>
      </c>
      <c r="L367" s="545">
        <f t="shared" si="62"/>
        <v>21.637849667892286</v>
      </c>
      <c r="M367" s="545">
        <f t="shared" si="62"/>
        <v>19.543586210444104</v>
      </c>
      <c r="N367" s="545">
        <f t="shared" si="62"/>
        <v>21.64033160821873</v>
      </c>
      <c r="O367" s="545">
        <f>O349+O365</f>
        <v>244.26020333168742</v>
      </c>
    </row>
    <row r="368" spans="2:16" x14ac:dyDescent="0.4">
      <c r="B368" s="118"/>
      <c r="E368" s="198"/>
      <c r="F368" s="199"/>
      <c r="G368" s="198"/>
      <c r="H368" s="198"/>
      <c r="I368" s="198"/>
      <c r="J368" s="198"/>
      <c r="K368" s="198"/>
      <c r="L368" s="198"/>
      <c r="M368" s="198"/>
      <c r="N368" s="198"/>
      <c r="O368" s="199"/>
    </row>
    <row r="369" spans="2:16" x14ac:dyDescent="0.4">
      <c r="B369" s="32" t="s">
        <v>193</v>
      </c>
      <c r="C369" s="8"/>
      <c r="D369" s="8"/>
      <c r="E369" s="8"/>
      <c r="F369" s="8"/>
      <c r="G369" s="8"/>
      <c r="H369" s="8"/>
      <c r="I369" s="8"/>
      <c r="J369" s="8"/>
      <c r="K369" s="8"/>
      <c r="L369" s="8"/>
      <c r="M369" s="8"/>
      <c r="N369" s="8"/>
      <c r="O369" s="4"/>
    </row>
    <row r="370" spans="2:16" x14ac:dyDescent="0.4">
      <c r="B370" s="32"/>
      <c r="C370" s="38"/>
      <c r="D370" s="38"/>
      <c r="O370" s="38" t="s">
        <v>171</v>
      </c>
    </row>
    <row r="371" spans="2:16" s="51" customFormat="1" ht="27" x14ac:dyDescent="0.35">
      <c r="B371" s="169" t="s">
        <v>160</v>
      </c>
      <c r="C371" s="106" t="s">
        <v>172</v>
      </c>
      <c r="D371" s="106" t="s">
        <v>173</v>
      </c>
      <c r="E371" s="64" t="s">
        <v>174</v>
      </c>
      <c r="F371" s="64" t="s">
        <v>175</v>
      </c>
      <c r="G371" s="64" t="s">
        <v>176</v>
      </c>
      <c r="H371" s="64" t="s">
        <v>177</v>
      </c>
      <c r="I371" s="64" t="s">
        <v>178</v>
      </c>
      <c r="J371" s="64" t="s">
        <v>179</v>
      </c>
      <c r="K371" s="64" t="s">
        <v>180</v>
      </c>
      <c r="L371" s="64" t="s">
        <v>181</v>
      </c>
      <c r="M371" s="64" t="s">
        <v>182</v>
      </c>
      <c r="N371" s="64" t="s">
        <v>183</v>
      </c>
      <c r="O371" s="158" t="s">
        <v>188</v>
      </c>
    </row>
    <row r="372" spans="2:16" x14ac:dyDescent="0.4">
      <c r="B372" s="517" t="s">
        <v>161</v>
      </c>
      <c r="C372" s="78"/>
      <c r="D372" s="78"/>
      <c r="E372" s="78"/>
      <c r="F372" s="3"/>
      <c r="G372" s="3"/>
      <c r="H372" s="2"/>
      <c r="I372" s="43"/>
      <c r="J372" s="44"/>
      <c r="K372" s="124"/>
      <c r="L372" s="124"/>
      <c r="M372" s="2"/>
      <c r="N372" s="2"/>
      <c r="O372" s="2"/>
    </row>
    <row r="373" spans="2:16" x14ac:dyDescent="0.4">
      <c r="B373" s="429" t="s">
        <v>1129</v>
      </c>
      <c r="C373" s="616">
        <f>+'Sales Proj'!S55+'Sales Proj'!S57</f>
        <v>20.901600000000002</v>
      </c>
      <c r="D373" s="616">
        <f>+'Sales Proj'!T55+'Sales Proj'!T57</f>
        <v>21.598320000000001</v>
      </c>
      <c r="E373" s="616">
        <f>+'Sales Proj'!U55+'Sales Proj'!U57</f>
        <v>20.901600000000002</v>
      </c>
      <c r="F373" s="616">
        <f>+'Sales Proj'!V55+'Sales Proj'!V57</f>
        <v>22.193519999999999</v>
      </c>
      <c r="G373" s="616">
        <f>+'Sales Proj'!W55+'Sales Proj'!W57</f>
        <v>22.193519999999999</v>
      </c>
      <c r="H373" s="616">
        <f>+'Sales Proj'!X55+'Sales Proj'!X57</f>
        <v>21.477600000000002</v>
      </c>
      <c r="I373" s="616">
        <f>+'Sales Proj'!Y55+'Sales Proj'!Y57</f>
        <v>22.788719999999998</v>
      </c>
      <c r="J373" s="616">
        <f>+'Sales Proj'!Z55+'Sales Proj'!Z57</f>
        <v>22.053600000000003</v>
      </c>
      <c r="K373" s="616">
        <f>+'Sales Proj'!AA55+'Sales Proj'!AA57</f>
        <v>22.788719999999998</v>
      </c>
      <c r="L373" s="616">
        <f>+'Sales Proj'!AB55+'Sales Proj'!AB57</f>
        <v>23.38392</v>
      </c>
      <c r="M373" s="616">
        <f>+'Sales Proj'!AC55+'Sales Proj'!AC57</f>
        <v>21.120960000000004</v>
      </c>
      <c r="N373" s="616">
        <f>+'Sales Proj'!AD55+'Sales Proj'!AD57</f>
        <v>23.38392</v>
      </c>
      <c r="O373" s="544">
        <f>SUM(C373:N373)</f>
        <v>264.78600000000006</v>
      </c>
    </row>
    <row r="374" spans="2:16" x14ac:dyDescent="0.4">
      <c r="B374" s="429" t="s">
        <v>1130</v>
      </c>
      <c r="C374" s="527">
        <f>+$P374*C318/$O318</f>
        <v>2.6322333981524861E-3</v>
      </c>
      <c r="D374" s="527">
        <f t="shared" ref="D374:N374" si="63">+$P374*D318/$O318</f>
        <v>2.0093737413966507E-3</v>
      </c>
      <c r="E374" s="527">
        <f t="shared" si="63"/>
        <v>2.4915919982337197E-3</v>
      </c>
      <c r="F374" s="527">
        <f t="shared" si="63"/>
        <v>3.453018601904142E-3</v>
      </c>
      <c r="G374" s="527">
        <f t="shared" si="63"/>
        <v>3.2882404077517698E-3</v>
      </c>
      <c r="H374" s="527">
        <f t="shared" si="63"/>
        <v>4.690570898463059E-3</v>
      </c>
      <c r="I374" s="527">
        <f t="shared" si="63"/>
        <v>5.8177726091533247E-3</v>
      </c>
      <c r="J374" s="527">
        <f t="shared" si="63"/>
        <v>5.0149701798187628E-3</v>
      </c>
      <c r="K374" s="527">
        <f t="shared" si="63"/>
        <v>4.9906800143747774E-3</v>
      </c>
      <c r="L374" s="527">
        <f t="shared" si="63"/>
        <v>5.012784640070842E-3</v>
      </c>
      <c r="M374" s="527">
        <f t="shared" si="63"/>
        <v>4.2191653119578038E-3</v>
      </c>
      <c r="N374" s="527">
        <f t="shared" si="63"/>
        <v>4.1848868464377988E-3</v>
      </c>
      <c r="O374" s="544">
        <f>SUM(C374:N374)</f>
        <v>4.780528864771514E-2</v>
      </c>
      <c r="P374" s="617">
        <f>+'Sales Proj'!L72</f>
        <v>4.780528864771514E-2</v>
      </c>
    </row>
    <row r="375" spans="2:16" x14ac:dyDescent="0.4">
      <c r="B375" s="429" t="s">
        <v>1131</v>
      </c>
      <c r="C375" s="47"/>
      <c r="D375" s="47"/>
      <c r="E375" s="47"/>
      <c r="F375" s="3"/>
      <c r="G375" s="3"/>
      <c r="H375" s="2"/>
      <c r="I375" s="3"/>
      <c r="J375" s="3"/>
      <c r="K375" s="124"/>
      <c r="L375" s="124"/>
      <c r="M375" s="2"/>
      <c r="N375" s="2"/>
      <c r="O375" s="544">
        <f>SUM(C375:N375)</f>
        <v>0</v>
      </c>
    </row>
    <row r="376" spans="2:16" x14ac:dyDescent="0.4">
      <c r="B376" s="429" t="s">
        <v>1132</v>
      </c>
      <c r="C376" s="175"/>
      <c r="D376" s="175"/>
      <c r="E376" s="175"/>
      <c r="F376" s="3"/>
      <c r="G376" s="3"/>
      <c r="H376" s="2"/>
      <c r="I376" s="3"/>
      <c r="J376" s="3"/>
      <c r="K376" s="124"/>
      <c r="L376" s="124"/>
      <c r="M376" s="2"/>
      <c r="N376" s="2"/>
      <c r="O376" s="544">
        <f>SUM(C376:N376)</f>
        <v>0</v>
      </c>
    </row>
    <row r="377" spans="2:16" x14ac:dyDescent="0.4">
      <c r="B377" s="518" t="s">
        <v>162</v>
      </c>
      <c r="C377" s="545">
        <f>SUM(C373:C376)</f>
        <v>20.904232233398155</v>
      </c>
      <c r="D377" s="545">
        <f t="shared" ref="D377:O377" si="64">SUM(D373:D376)</f>
        <v>21.600329373741399</v>
      </c>
      <c r="E377" s="545">
        <f t="shared" si="64"/>
        <v>20.904091591998235</v>
      </c>
      <c r="F377" s="545">
        <f t="shared" si="64"/>
        <v>22.196973018601902</v>
      </c>
      <c r="G377" s="545">
        <f t="shared" si="64"/>
        <v>22.196808240407751</v>
      </c>
      <c r="H377" s="545">
        <f t="shared" si="64"/>
        <v>21.482290570898467</v>
      </c>
      <c r="I377" s="545">
        <f t="shared" si="64"/>
        <v>22.79453777260915</v>
      </c>
      <c r="J377" s="545">
        <f t="shared" si="64"/>
        <v>22.058614970179821</v>
      </c>
      <c r="K377" s="545">
        <f t="shared" si="64"/>
        <v>22.793710680014371</v>
      </c>
      <c r="L377" s="545">
        <f t="shared" si="64"/>
        <v>23.388932784640069</v>
      </c>
      <c r="M377" s="545">
        <f t="shared" si="64"/>
        <v>21.125179165311962</v>
      </c>
      <c r="N377" s="545">
        <f t="shared" si="64"/>
        <v>23.388104886846438</v>
      </c>
      <c r="O377" s="545">
        <f t="shared" si="64"/>
        <v>264.8338052886478</v>
      </c>
    </row>
    <row r="378" spans="2:16" x14ac:dyDescent="0.4">
      <c r="B378" s="517" t="s">
        <v>163</v>
      </c>
      <c r="C378" s="78"/>
      <c r="D378" s="78"/>
      <c r="E378" s="78"/>
      <c r="F378" s="3"/>
      <c r="G378" s="3"/>
      <c r="H378" s="2"/>
      <c r="I378" s="3"/>
      <c r="J378" s="3"/>
      <c r="K378" s="124"/>
      <c r="L378" s="124"/>
      <c r="M378" s="2"/>
      <c r="N378" s="2"/>
      <c r="O378" s="545"/>
    </row>
    <row r="379" spans="2:16" x14ac:dyDescent="0.4">
      <c r="B379" s="519" t="s">
        <v>1133</v>
      </c>
      <c r="C379" s="46"/>
      <c r="D379" s="46"/>
      <c r="E379" s="46"/>
      <c r="F379" s="3"/>
      <c r="G379" s="3"/>
      <c r="H379" s="2"/>
      <c r="I379" s="3"/>
      <c r="J379" s="3"/>
      <c r="K379" s="124"/>
      <c r="L379" s="124"/>
      <c r="M379" s="2"/>
      <c r="N379" s="2"/>
      <c r="O379" s="544">
        <f t="shared" ref="O379:O386" si="65">SUM(C379:N379)</f>
        <v>0</v>
      </c>
    </row>
    <row r="380" spans="2:16" x14ac:dyDescent="0.4">
      <c r="B380" s="520" t="s">
        <v>1106</v>
      </c>
      <c r="C380" s="46"/>
      <c r="D380" s="46"/>
      <c r="E380" s="46"/>
      <c r="F380" s="2"/>
      <c r="G380" s="2"/>
      <c r="H380" s="2"/>
      <c r="I380" s="2"/>
      <c r="J380" s="2"/>
      <c r="K380" s="124"/>
      <c r="L380" s="124"/>
      <c r="M380" s="2"/>
      <c r="N380" s="2"/>
      <c r="O380" s="544">
        <f t="shared" si="65"/>
        <v>0</v>
      </c>
    </row>
    <row r="381" spans="2:16" x14ac:dyDescent="0.4">
      <c r="B381" s="520" t="s">
        <v>1107</v>
      </c>
      <c r="C381" s="47"/>
      <c r="D381" s="47"/>
      <c r="E381" s="47"/>
      <c r="F381" s="2"/>
      <c r="G381" s="2"/>
      <c r="H381" s="2"/>
      <c r="I381" s="2"/>
      <c r="J381" s="2"/>
      <c r="K381" s="124"/>
      <c r="L381" s="124"/>
      <c r="M381" s="2"/>
      <c r="N381" s="2"/>
      <c r="O381" s="544">
        <f t="shared" si="65"/>
        <v>0</v>
      </c>
    </row>
    <row r="382" spans="2:16" x14ac:dyDescent="0.4">
      <c r="B382" s="520" t="s">
        <v>1108</v>
      </c>
      <c r="C382" s="175"/>
      <c r="D382" s="175"/>
      <c r="E382" s="175"/>
      <c r="F382" s="2"/>
      <c r="G382" s="2"/>
      <c r="H382" s="2"/>
      <c r="I382" s="2"/>
      <c r="J382" s="2"/>
      <c r="K382" s="124"/>
      <c r="L382" s="124"/>
      <c r="M382" s="2"/>
      <c r="N382" s="2"/>
      <c r="O382" s="544">
        <f t="shared" si="65"/>
        <v>0</v>
      </c>
    </row>
    <row r="383" spans="2:16" x14ac:dyDescent="0.4">
      <c r="B383" s="520" t="s">
        <v>1109</v>
      </c>
      <c r="C383" s="175"/>
      <c r="D383" s="175"/>
      <c r="E383" s="175"/>
      <c r="F383" s="2"/>
      <c r="G383" s="2"/>
      <c r="H383" s="2"/>
      <c r="I383" s="2"/>
      <c r="J383" s="2"/>
      <c r="K383" s="124"/>
      <c r="L383" s="124"/>
      <c r="M383" s="2"/>
      <c r="N383" s="2"/>
      <c r="O383" s="544">
        <f t="shared" si="65"/>
        <v>0</v>
      </c>
    </row>
    <row r="384" spans="2:16" x14ac:dyDescent="0.4">
      <c r="B384" s="520" t="s">
        <v>1110</v>
      </c>
      <c r="C384" s="175"/>
      <c r="D384" s="175"/>
      <c r="E384" s="175"/>
      <c r="F384" s="2"/>
      <c r="G384" s="2"/>
      <c r="H384" s="2"/>
      <c r="I384" s="2"/>
      <c r="J384" s="2"/>
      <c r="K384" s="124"/>
      <c r="L384" s="124"/>
      <c r="M384" s="2"/>
      <c r="N384" s="2"/>
      <c r="O384" s="544">
        <f t="shared" si="65"/>
        <v>0</v>
      </c>
    </row>
    <row r="385" spans="2:16" x14ac:dyDescent="0.4">
      <c r="B385" s="519" t="s">
        <v>1139</v>
      </c>
      <c r="C385" s="175"/>
      <c r="D385" s="175"/>
      <c r="E385" s="175"/>
      <c r="F385" s="2"/>
      <c r="G385" s="2"/>
      <c r="H385" s="2"/>
      <c r="I385" s="2"/>
      <c r="J385" s="2"/>
      <c r="K385" s="124"/>
      <c r="L385" s="124"/>
      <c r="M385" s="2"/>
      <c r="N385" s="2"/>
      <c r="O385" s="544">
        <f t="shared" si="65"/>
        <v>0</v>
      </c>
    </row>
    <row r="386" spans="2:16" x14ac:dyDescent="0.4">
      <c r="B386" s="520" t="s">
        <v>1140</v>
      </c>
      <c r="C386" s="175"/>
      <c r="D386" s="175"/>
      <c r="E386" s="175"/>
      <c r="F386" s="2"/>
      <c r="G386" s="2"/>
      <c r="H386" s="2"/>
      <c r="I386" s="2"/>
      <c r="J386" s="2"/>
      <c r="K386" s="124"/>
      <c r="L386" s="124"/>
      <c r="M386" s="2"/>
      <c r="N386" s="2"/>
      <c r="O386" s="544">
        <f t="shared" si="65"/>
        <v>0</v>
      </c>
    </row>
    <row r="387" spans="2:16" x14ac:dyDescent="0.4">
      <c r="B387" s="520" t="s">
        <v>1144</v>
      </c>
      <c r="C387" s="175"/>
      <c r="D387" s="175"/>
      <c r="E387" s="175"/>
      <c r="F387" s="2"/>
      <c r="G387" s="2"/>
      <c r="H387" s="2"/>
      <c r="I387" s="2"/>
      <c r="J387" s="2"/>
      <c r="K387" s="124"/>
      <c r="L387" s="124"/>
      <c r="M387" s="2"/>
      <c r="N387" s="2"/>
      <c r="O387" s="544"/>
    </row>
    <row r="388" spans="2:16" x14ac:dyDescent="0.4">
      <c r="B388" s="520" t="s">
        <v>1143</v>
      </c>
      <c r="C388" s="175"/>
      <c r="D388" s="175"/>
      <c r="E388" s="175"/>
      <c r="F388" s="2"/>
      <c r="G388" s="2"/>
      <c r="H388" s="2"/>
      <c r="I388" s="2"/>
      <c r="J388" s="2"/>
      <c r="K388" s="124"/>
      <c r="L388" s="124"/>
      <c r="M388" s="2"/>
      <c r="N388" s="2"/>
      <c r="O388" s="544"/>
    </row>
    <row r="389" spans="2:16" x14ac:dyDescent="0.4">
      <c r="B389" s="519" t="s">
        <v>1111</v>
      </c>
      <c r="C389" s="175"/>
      <c r="D389" s="175"/>
      <c r="E389" s="175"/>
      <c r="F389" s="2"/>
      <c r="G389" s="2"/>
      <c r="H389" s="2"/>
      <c r="I389" s="2"/>
      <c r="J389" s="2"/>
      <c r="K389" s="124"/>
      <c r="L389" s="124"/>
      <c r="M389" s="2"/>
      <c r="N389" s="2"/>
      <c r="O389" s="544">
        <f>SUM(C389:N389)</f>
        <v>0</v>
      </c>
    </row>
    <row r="390" spans="2:16" x14ac:dyDescent="0.4">
      <c r="B390" s="519" t="s">
        <v>1135</v>
      </c>
      <c r="C390" s="527">
        <f>+$P390*C334/$O334</f>
        <v>4.0190891458060207E-2</v>
      </c>
      <c r="D390" s="527">
        <f t="shared" ref="D390:N390" si="66">+$P390*D334/$O334</f>
        <v>3.5935385303677361E-2</v>
      </c>
      <c r="E390" s="527">
        <f t="shared" si="66"/>
        <v>3.9174298321179857E-2</v>
      </c>
      <c r="F390" s="527">
        <f t="shared" si="66"/>
        <v>3.837048049201866E-2</v>
      </c>
      <c r="G390" s="527">
        <f t="shared" si="66"/>
        <v>3.9079731517749128E-2</v>
      </c>
      <c r="H390" s="527">
        <f t="shared" si="66"/>
        <v>3.8819672808314616E-2</v>
      </c>
      <c r="I390" s="527">
        <f t="shared" si="66"/>
        <v>4.5132006937315838E-2</v>
      </c>
      <c r="J390" s="527">
        <f t="shared" si="66"/>
        <v>3.7519379261142086E-2</v>
      </c>
      <c r="K390" s="527">
        <f t="shared" si="66"/>
        <v>3.2625547183601812E-2</v>
      </c>
      <c r="L390" s="527">
        <f t="shared" si="66"/>
        <v>3.4516883252216406E-2</v>
      </c>
      <c r="M390" s="527">
        <f t="shared" si="66"/>
        <v>3.1207045132140863E-2</v>
      </c>
      <c r="N390" s="527">
        <f t="shared" si="66"/>
        <v>3.7826721372291955E-2</v>
      </c>
      <c r="O390" s="544">
        <f>SUM(C390:N390)</f>
        <v>0.45039804303970876</v>
      </c>
      <c r="P390" s="617">
        <f>+'Sales Proj'!L88</f>
        <v>0.45039804303970882</v>
      </c>
    </row>
    <row r="391" spans="2:16" x14ac:dyDescent="0.4">
      <c r="B391" s="519" t="s">
        <v>1136</v>
      </c>
      <c r="C391" s="175"/>
      <c r="D391" s="175"/>
      <c r="E391" s="175"/>
      <c r="F391" s="2"/>
      <c r="G391" s="2"/>
      <c r="H391" s="2"/>
      <c r="I391" s="2"/>
      <c r="J391" s="2"/>
      <c r="K391" s="124"/>
      <c r="L391" s="124"/>
      <c r="M391" s="2"/>
      <c r="N391" s="2"/>
      <c r="O391" s="544">
        <f>SUM(C391:N391)</f>
        <v>0</v>
      </c>
    </row>
    <row r="392" spans="2:16" x14ac:dyDescent="0.4">
      <c r="B392" s="566" t="s">
        <v>1142</v>
      </c>
      <c r="C392" s="175"/>
      <c r="D392" s="175"/>
      <c r="E392" s="175"/>
      <c r="F392" s="2"/>
      <c r="G392" s="2"/>
      <c r="H392" s="2"/>
      <c r="I392" s="2"/>
      <c r="J392" s="2"/>
      <c r="K392" s="124"/>
      <c r="L392" s="124"/>
      <c r="M392" s="2"/>
      <c r="N392" s="2"/>
      <c r="O392" s="544"/>
    </row>
    <row r="393" spans="2:16" x14ac:dyDescent="0.4">
      <c r="B393" s="175" t="s">
        <v>162</v>
      </c>
      <c r="C393" s="545">
        <f t="shared" ref="C393:O393" si="67">SUM(C380:C392)</f>
        <v>4.0190891458060207E-2</v>
      </c>
      <c r="D393" s="545">
        <f t="shared" si="67"/>
        <v>3.5935385303677361E-2</v>
      </c>
      <c r="E393" s="545">
        <f t="shared" si="67"/>
        <v>3.9174298321179857E-2</v>
      </c>
      <c r="F393" s="545">
        <f t="shared" si="67"/>
        <v>3.837048049201866E-2</v>
      </c>
      <c r="G393" s="545">
        <f t="shared" si="67"/>
        <v>3.9079731517749128E-2</v>
      </c>
      <c r="H393" s="545">
        <f t="shared" si="67"/>
        <v>3.8819672808314616E-2</v>
      </c>
      <c r="I393" s="545">
        <f t="shared" si="67"/>
        <v>4.5132006937315838E-2</v>
      </c>
      <c r="J393" s="545">
        <f t="shared" si="67"/>
        <v>3.7519379261142086E-2</v>
      </c>
      <c r="K393" s="545">
        <f t="shared" si="67"/>
        <v>3.2625547183601812E-2</v>
      </c>
      <c r="L393" s="545">
        <f t="shared" si="67"/>
        <v>3.4516883252216406E-2</v>
      </c>
      <c r="M393" s="545">
        <f t="shared" si="67"/>
        <v>3.1207045132140863E-2</v>
      </c>
      <c r="N393" s="545">
        <f t="shared" si="67"/>
        <v>3.7826721372291955E-2</v>
      </c>
      <c r="O393" s="545">
        <f t="shared" si="67"/>
        <v>0.45039804303970876</v>
      </c>
    </row>
    <row r="394" spans="2:16" x14ac:dyDescent="0.4">
      <c r="B394" s="175"/>
      <c r="C394" s="543"/>
      <c r="D394" s="543"/>
      <c r="E394" s="543"/>
      <c r="F394" s="543"/>
      <c r="G394" s="543"/>
      <c r="H394" s="543"/>
      <c r="I394" s="543"/>
      <c r="J394" s="543"/>
      <c r="K394" s="543"/>
      <c r="L394" s="543"/>
      <c r="M394" s="543"/>
      <c r="N394" s="543"/>
      <c r="O394" s="543"/>
    </row>
    <row r="395" spans="2:16" x14ac:dyDescent="0.4">
      <c r="B395" s="119" t="s">
        <v>164</v>
      </c>
      <c r="C395" s="545">
        <f t="shared" ref="C395:N395" si="68">C377+C393</f>
        <v>20.944423124856215</v>
      </c>
      <c r="D395" s="545">
        <f t="shared" si="68"/>
        <v>21.636264759045076</v>
      </c>
      <c r="E395" s="545">
        <f t="shared" si="68"/>
        <v>20.943265890319413</v>
      </c>
      <c r="F395" s="545">
        <f t="shared" si="68"/>
        <v>22.235343499093922</v>
      </c>
      <c r="G395" s="545">
        <f t="shared" si="68"/>
        <v>22.2358879719255</v>
      </c>
      <c r="H395" s="545">
        <f t="shared" si="68"/>
        <v>21.521110243706783</v>
      </c>
      <c r="I395" s="545">
        <f t="shared" si="68"/>
        <v>22.839669779546465</v>
      </c>
      <c r="J395" s="545">
        <f t="shared" si="68"/>
        <v>22.096134349440963</v>
      </c>
      <c r="K395" s="545">
        <f t="shared" si="68"/>
        <v>22.826336227197974</v>
      </c>
      <c r="L395" s="545">
        <f t="shared" si="68"/>
        <v>23.423449667892285</v>
      </c>
      <c r="M395" s="545">
        <f t="shared" si="68"/>
        <v>21.156386210444104</v>
      </c>
      <c r="N395" s="545">
        <f t="shared" si="68"/>
        <v>23.425931608218729</v>
      </c>
      <c r="O395" s="545">
        <f>O377+O393</f>
        <v>265.28420333168748</v>
      </c>
    </row>
    <row r="396" spans="2:16" x14ac:dyDescent="0.4">
      <c r="B396" s="118"/>
      <c r="E396" s="198"/>
      <c r="F396" s="199"/>
      <c r="G396" s="198"/>
      <c r="H396" s="198"/>
      <c r="I396" s="198"/>
      <c r="J396" s="198"/>
      <c r="K396" s="198"/>
      <c r="L396" s="198"/>
      <c r="M396" s="198"/>
      <c r="N396" s="198"/>
      <c r="O396" s="199"/>
    </row>
    <row r="397" spans="2:16" x14ac:dyDescent="0.4">
      <c r="B397" s="6" t="s">
        <v>194</v>
      </c>
    </row>
    <row r="399" spans="2:16" x14ac:dyDescent="0.4">
      <c r="B399" s="106" t="s">
        <v>160</v>
      </c>
      <c r="C399" s="64" t="s">
        <v>196</v>
      </c>
      <c r="D399" s="64" t="s">
        <v>197</v>
      </c>
      <c r="E399" s="64" t="s">
        <v>198</v>
      </c>
      <c r="F399" s="64" t="s">
        <v>199</v>
      </c>
      <c r="G399" s="64" t="s">
        <v>112</v>
      </c>
      <c r="H399" s="64" t="s">
        <v>113</v>
      </c>
      <c r="I399" s="64" t="s">
        <v>114</v>
      </c>
    </row>
    <row r="400" spans="2:16" x14ac:dyDescent="0.4">
      <c r="B400" s="517" t="s">
        <v>161</v>
      </c>
      <c r="C400" s="65"/>
      <c r="D400" s="65"/>
      <c r="E400" s="65"/>
      <c r="F400" s="65"/>
      <c r="G400" s="65"/>
      <c r="H400" s="65"/>
      <c r="I400" s="65"/>
    </row>
    <row r="401" spans="2:9" x14ac:dyDescent="0.4">
      <c r="B401" s="429" t="s">
        <v>1129</v>
      </c>
      <c r="C401" s="2"/>
      <c r="D401" s="620">
        <f t="shared" ref="D401:I404" si="69">+D12</f>
        <v>0</v>
      </c>
      <c r="E401" s="620">
        <f t="shared" si="69"/>
        <v>0</v>
      </c>
      <c r="F401" s="620">
        <f t="shared" si="69"/>
        <v>13.149180000000001</v>
      </c>
      <c r="G401" s="620">
        <f t="shared" si="69"/>
        <v>21.21162</v>
      </c>
      <c r="H401" s="620">
        <f t="shared" si="69"/>
        <v>33.574559999999998</v>
      </c>
      <c r="I401" s="620">
        <f t="shared" si="69"/>
        <v>72.979561000000004</v>
      </c>
    </row>
    <row r="402" spans="2:9" x14ac:dyDescent="0.4">
      <c r="B402" s="429" t="s">
        <v>1130</v>
      </c>
      <c r="C402" s="2"/>
      <c r="D402" s="620">
        <f t="shared" si="69"/>
        <v>0.56330385000000005</v>
      </c>
      <c r="E402" s="620">
        <f t="shared" si="69"/>
        <v>5.3769855269999995</v>
      </c>
      <c r="F402" s="620">
        <f t="shared" si="69"/>
        <v>3.1858730000000002E-2</v>
      </c>
      <c r="G402" s="620">
        <f t="shared" si="69"/>
        <v>2.761328E-2</v>
      </c>
      <c r="H402" s="620">
        <f t="shared" si="69"/>
        <v>1.6677579999999997E-2</v>
      </c>
      <c r="I402" s="620">
        <f t="shared" si="69"/>
        <v>2.4935730000000003E-2</v>
      </c>
    </row>
    <row r="403" spans="2:9" x14ac:dyDescent="0.4">
      <c r="B403" s="429" t="s">
        <v>1131</v>
      </c>
      <c r="C403" s="2"/>
      <c r="D403" s="620">
        <f t="shared" si="69"/>
        <v>0</v>
      </c>
      <c r="E403" s="620">
        <f t="shared" si="69"/>
        <v>0</v>
      </c>
      <c r="F403" s="620">
        <f t="shared" si="69"/>
        <v>0</v>
      </c>
      <c r="G403" s="620">
        <f t="shared" si="69"/>
        <v>0</v>
      </c>
      <c r="H403" s="620">
        <f t="shared" si="69"/>
        <v>0</v>
      </c>
      <c r="I403" s="620">
        <f t="shared" si="69"/>
        <v>0</v>
      </c>
    </row>
    <row r="404" spans="2:9" x14ac:dyDescent="0.4">
      <c r="B404" s="429" t="s">
        <v>1132</v>
      </c>
      <c r="C404" s="2"/>
      <c r="D404" s="620">
        <f t="shared" si="69"/>
        <v>0</v>
      </c>
      <c r="E404" s="620">
        <f t="shared" si="69"/>
        <v>0</v>
      </c>
      <c r="F404" s="620">
        <f t="shared" si="69"/>
        <v>0</v>
      </c>
      <c r="G404" s="620">
        <f t="shared" si="69"/>
        <v>0</v>
      </c>
      <c r="H404" s="620">
        <f t="shared" si="69"/>
        <v>0</v>
      </c>
      <c r="I404" s="620">
        <f t="shared" si="69"/>
        <v>0</v>
      </c>
    </row>
    <row r="405" spans="2:9" x14ac:dyDescent="0.4">
      <c r="B405" s="518" t="s">
        <v>162</v>
      </c>
      <c r="C405" s="2"/>
      <c r="D405" s="619">
        <f t="shared" ref="D405:I405" si="70">SUM(D401:D404)</f>
        <v>0.56330385000000005</v>
      </c>
      <c r="E405" s="619">
        <f t="shared" si="70"/>
        <v>5.3769855269999995</v>
      </c>
      <c r="F405" s="619">
        <f t="shared" si="70"/>
        <v>13.181038730000001</v>
      </c>
      <c r="G405" s="619">
        <f t="shared" si="70"/>
        <v>21.239233280000001</v>
      </c>
      <c r="H405" s="619">
        <f t="shared" si="70"/>
        <v>33.591237579999998</v>
      </c>
      <c r="I405" s="619">
        <f t="shared" si="70"/>
        <v>73.00449673</v>
      </c>
    </row>
    <row r="406" spans="2:9" x14ac:dyDescent="0.4">
      <c r="B406" s="517" t="s">
        <v>163</v>
      </c>
      <c r="C406" s="2"/>
      <c r="D406" s="65"/>
      <c r="E406" s="65"/>
      <c r="F406" s="65"/>
      <c r="G406" s="65"/>
      <c r="H406" s="65"/>
      <c r="I406" s="65"/>
    </row>
    <row r="407" spans="2:9" x14ac:dyDescent="0.4">
      <c r="B407" s="519" t="s">
        <v>1133</v>
      </c>
      <c r="C407" s="2"/>
      <c r="D407" s="65"/>
      <c r="E407" s="65"/>
      <c r="F407" s="65"/>
      <c r="G407" s="65"/>
      <c r="H407" s="65"/>
      <c r="I407" s="65"/>
    </row>
    <row r="408" spans="2:9" x14ac:dyDescent="0.4">
      <c r="B408" s="520" t="s">
        <v>1106</v>
      </c>
      <c r="C408" s="2"/>
      <c r="D408" s="620">
        <f t="shared" ref="D408:I420" si="71">+D19</f>
        <v>0</v>
      </c>
      <c r="E408" s="620">
        <f t="shared" si="71"/>
        <v>0</v>
      </c>
      <c r="F408" s="620">
        <f t="shared" si="71"/>
        <v>0</v>
      </c>
      <c r="G408" s="620">
        <f t="shared" si="71"/>
        <v>0</v>
      </c>
      <c r="H408" s="620">
        <f t="shared" si="71"/>
        <v>0</v>
      </c>
      <c r="I408" s="620">
        <f t="shared" si="71"/>
        <v>0</v>
      </c>
    </row>
    <row r="409" spans="2:9" x14ac:dyDescent="0.4">
      <c r="B409" s="520" t="s">
        <v>1107</v>
      </c>
      <c r="C409" s="2"/>
      <c r="D409" s="620">
        <f t="shared" si="71"/>
        <v>0</v>
      </c>
      <c r="E409" s="620">
        <f t="shared" si="71"/>
        <v>0</v>
      </c>
      <c r="F409" s="620">
        <f t="shared" si="71"/>
        <v>0</v>
      </c>
      <c r="G409" s="620">
        <f t="shared" si="71"/>
        <v>0</v>
      </c>
      <c r="H409" s="620">
        <f t="shared" si="71"/>
        <v>0</v>
      </c>
      <c r="I409" s="620">
        <f t="shared" si="71"/>
        <v>0</v>
      </c>
    </row>
    <row r="410" spans="2:9" x14ac:dyDescent="0.4">
      <c r="B410" s="520" t="s">
        <v>1108</v>
      </c>
      <c r="C410" s="2"/>
      <c r="D410" s="620">
        <f t="shared" si="71"/>
        <v>0</v>
      </c>
      <c r="E410" s="620">
        <f t="shared" si="71"/>
        <v>0</v>
      </c>
      <c r="F410" s="620">
        <f t="shared" si="71"/>
        <v>0</v>
      </c>
      <c r="G410" s="620">
        <f t="shared" si="71"/>
        <v>0</v>
      </c>
      <c r="H410" s="620">
        <f t="shared" si="71"/>
        <v>0</v>
      </c>
      <c r="I410" s="620">
        <f t="shared" si="71"/>
        <v>0</v>
      </c>
    </row>
    <row r="411" spans="2:9" x14ac:dyDescent="0.4">
      <c r="B411" s="520" t="s">
        <v>1109</v>
      </c>
      <c r="C411" s="2"/>
      <c r="D411" s="620">
        <f t="shared" si="71"/>
        <v>0</v>
      </c>
      <c r="E411" s="620">
        <f t="shared" si="71"/>
        <v>0</v>
      </c>
      <c r="F411" s="620">
        <f t="shared" si="71"/>
        <v>0</v>
      </c>
      <c r="G411" s="620">
        <f t="shared" si="71"/>
        <v>0</v>
      </c>
      <c r="H411" s="620">
        <f t="shared" si="71"/>
        <v>0</v>
      </c>
      <c r="I411" s="620">
        <f t="shared" si="71"/>
        <v>0</v>
      </c>
    </row>
    <row r="412" spans="2:9" x14ac:dyDescent="0.4">
      <c r="B412" s="520" t="s">
        <v>1110</v>
      </c>
      <c r="C412" s="2"/>
      <c r="D412" s="620">
        <f t="shared" si="71"/>
        <v>0</v>
      </c>
      <c r="E412" s="620">
        <f t="shared" si="71"/>
        <v>0</v>
      </c>
      <c r="F412" s="620">
        <f t="shared" si="71"/>
        <v>0</v>
      </c>
      <c r="G412" s="620">
        <f t="shared" si="71"/>
        <v>0</v>
      </c>
      <c r="H412" s="620">
        <f t="shared" si="71"/>
        <v>0</v>
      </c>
      <c r="I412" s="620">
        <f t="shared" si="71"/>
        <v>0</v>
      </c>
    </row>
    <row r="413" spans="2:9" x14ac:dyDescent="0.4">
      <c r="B413" s="519" t="s">
        <v>1139</v>
      </c>
      <c r="C413" s="2"/>
      <c r="D413" s="620">
        <f t="shared" si="71"/>
        <v>0</v>
      </c>
      <c r="E413" s="620">
        <f t="shared" si="71"/>
        <v>0</v>
      </c>
      <c r="F413" s="620">
        <f t="shared" si="71"/>
        <v>0</v>
      </c>
      <c r="G413" s="620">
        <f t="shared" si="71"/>
        <v>0</v>
      </c>
      <c r="H413" s="620">
        <f t="shared" si="71"/>
        <v>0</v>
      </c>
      <c r="I413" s="620">
        <f t="shared" si="71"/>
        <v>0</v>
      </c>
    </row>
    <row r="414" spans="2:9" x14ac:dyDescent="0.4">
      <c r="B414" s="520" t="s">
        <v>1140</v>
      </c>
      <c r="C414" s="2"/>
      <c r="D414" s="620">
        <f t="shared" si="71"/>
        <v>0</v>
      </c>
      <c r="E414" s="620">
        <f t="shared" si="71"/>
        <v>2.3799999999999998E-4</v>
      </c>
      <c r="F414" s="620">
        <f t="shared" si="71"/>
        <v>2.9300000000000002E-4</v>
      </c>
      <c r="G414" s="620">
        <f t="shared" si="71"/>
        <v>1.2899999999999999E-4</v>
      </c>
      <c r="H414" s="620">
        <f t="shared" si="71"/>
        <v>0</v>
      </c>
      <c r="I414" s="620">
        <f t="shared" si="71"/>
        <v>0</v>
      </c>
    </row>
    <row r="415" spans="2:9" x14ac:dyDescent="0.4">
      <c r="B415" s="520" t="s">
        <v>1144</v>
      </c>
      <c r="C415" s="2"/>
      <c r="D415" s="620">
        <f t="shared" si="71"/>
        <v>0</v>
      </c>
      <c r="E415" s="620">
        <f t="shared" si="71"/>
        <v>0</v>
      </c>
      <c r="F415" s="620">
        <f t="shared" si="71"/>
        <v>0</v>
      </c>
      <c r="G415" s="620">
        <f t="shared" si="71"/>
        <v>0</v>
      </c>
      <c r="H415" s="620">
        <f t="shared" si="71"/>
        <v>0</v>
      </c>
      <c r="I415" s="620">
        <f t="shared" si="71"/>
        <v>0</v>
      </c>
    </row>
    <row r="416" spans="2:9" x14ac:dyDescent="0.4">
      <c r="B416" s="520" t="s">
        <v>1143</v>
      </c>
      <c r="C416" s="2"/>
      <c r="D416" s="620">
        <f t="shared" si="71"/>
        <v>0</v>
      </c>
      <c r="E416" s="620">
        <f t="shared" si="71"/>
        <v>0</v>
      </c>
      <c r="F416" s="620">
        <f t="shared" si="71"/>
        <v>0</v>
      </c>
      <c r="G416" s="620">
        <f t="shared" si="71"/>
        <v>0</v>
      </c>
      <c r="H416" s="620">
        <f t="shared" si="71"/>
        <v>0</v>
      </c>
      <c r="I416" s="620">
        <f t="shared" si="71"/>
        <v>0</v>
      </c>
    </row>
    <row r="417" spans="2:9" x14ac:dyDescent="0.4">
      <c r="B417" s="519" t="s">
        <v>1111</v>
      </c>
      <c r="C417" s="2"/>
      <c r="D417" s="620">
        <f t="shared" si="71"/>
        <v>0</v>
      </c>
      <c r="E417" s="620">
        <f t="shared" si="71"/>
        <v>0</v>
      </c>
      <c r="F417" s="620">
        <f t="shared" si="71"/>
        <v>0</v>
      </c>
      <c r="G417" s="620">
        <f t="shared" si="71"/>
        <v>0</v>
      </c>
      <c r="H417" s="620">
        <f t="shared" si="71"/>
        <v>0</v>
      </c>
      <c r="I417" s="620">
        <f t="shared" si="71"/>
        <v>0</v>
      </c>
    </row>
    <row r="418" spans="2:9" x14ac:dyDescent="0.4">
      <c r="B418" s="519" t="s">
        <v>1135</v>
      </c>
      <c r="C418" s="2"/>
      <c r="D418" s="620">
        <f t="shared" si="71"/>
        <v>0.101504</v>
      </c>
      <c r="E418" s="620">
        <f t="shared" si="71"/>
        <v>0.11068699999999999</v>
      </c>
      <c r="F418" s="620">
        <f t="shared" si="71"/>
        <v>0.12382400000000002</v>
      </c>
      <c r="G418" s="620">
        <f t="shared" si="71"/>
        <v>0.12545599999999998</v>
      </c>
      <c r="H418" s="620">
        <f t="shared" si="71"/>
        <v>0.15712800000000002</v>
      </c>
      <c r="I418" s="620">
        <f t="shared" si="71"/>
        <v>0.15240800000000002</v>
      </c>
    </row>
    <row r="419" spans="2:9" x14ac:dyDescent="0.4">
      <c r="B419" s="519" t="s">
        <v>1136</v>
      </c>
      <c r="C419" s="2"/>
      <c r="D419" s="620">
        <f t="shared" si="71"/>
        <v>0</v>
      </c>
      <c r="E419" s="620">
        <f t="shared" si="71"/>
        <v>0</v>
      </c>
      <c r="F419" s="620">
        <f t="shared" si="71"/>
        <v>0</v>
      </c>
      <c r="G419" s="620">
        <f t="shared" si="71"/>
        <v>0</v>
      </c>
      <c r="H419" s="620">
        <f t="shared" si="71"/>
        <v>0</v>
      </c>
      <c r="I419" s="620">
        <f t="shared" si="71"/>
        <v>0</v>
      </c>
    </row>
    <row r="420" spans="2:9" x14ac:dyDescent="0.4">
      <c r="B420" s="566" t="s">
        <v>1142</v>
      </c>
      <c r="C420" s="2"/>
      <c r="D420" s="620">
        <f t="shared" si="71"/>
        <v>0</v>
      </c>
      <c r="E420" s="620">
        <f t="shared" si="71"/>
        <v>0</v>
      </c>
      <c r="F420" s="620">
        <f t="shared" si="71"/>
        <v>0</v>
      </c>
      <c r="G420" s="620">
        <f t="shared" si="71"/>
        <v>0</v>
      </c>
      <c r="H420" s="620">
        <f t="shared" si="71"/>
        <v>0</v>
      </c>
      <c r="I420" s="620">
        <f t="shared" si="71"/>
        <v>0</v>
      </c>
    </row>
    <row r="421" spans="2:9" x14ac:dyDescent="0.4">
      <c r="B421" s="175" t="s">
        <v>162</v>
      </c>
      <c r="C421" s="2"/>
      <c r="D421" s="619">
        <f t="shared" ref="D421:I421" si="72">SUM(D408:D420)</f>
        <v>0.101504</v>
      </c>
      <c r="E421" s="619">
        <f t="shared" si="72"/>
        <v>0.110925</v>
      </c>
      <c r="F421" s="619">
        <f t="shared" si="72"/>
        <v>0.12411700000000002</v>
      </c>
      <c r="G421" s="619">
        <f t="shared" si="72"/>
        <v>0.12558499999999997</v>
      </c>
      <c r="H421" s="619">
        <f t="shared" si="72"/>
        <v>0.15712800000000002</v>
      </c>
      <c r="I421" s="619">
        <f t="shared" si="72"/>
        <v>0.15240800000000002</v>
      </c>
    </row>
    <row r="422" spans="2:9" x14ac:dyDescent="0.4">
      <c r="B422" s="175"/>
      <c r="C422" s="2"/>
      <c r="D422" s="65"/>
      <c r="E422" s="65"/>
      <c r="F422" s="65"/>
      <c r="G422" s="65"/>
      <c r="H422" s="65"/>
      <c r="I422" s="65"/>
    </row>
    <row r="423" spans="2:9" x14ac:dyDescent="0.4">
      <c r="B423" s="119" t="s">
        <v>164</v>
      </c>
      <c r="C423" s="2"/>
      <c r="D423" s="621">
        <f t="shared" ref="D423:I423" si="73">+D421+D405</f>
        <v>0.66480785000000009</v>
      </c>
      <c r="E423" s="621">
        <f t="shared" si="73"/>
        <v>5.4879105269999995</v>
      </c>
      <c r="F423" s="621">
        <f t="shared" si="73"/>
        <v>13.305155730000001</v>
      </c>
      <c r="G423" s="621">
        <f t="shared" si="73"/>
        <v>21.364818280000001</v>
      </c>
      <c r="H423" s="621">
        <f t="shared" si="73"/>
        <v>33.748365579999998</v>
      </c>
      <c r="I423" s="621">
        <f t="shared" si="73"/>
        <v>73.156904729999994</v>
      </c>
    </row>
    <row r="424" spans="2:9" x14ac:dyDescent="0.4">
      <c r="B424" s="118" t="s">
        <v>165</v>
      </c>
    </row>
    <row r="425" spans="2:9" x14ac:dyDescent="0.4">
      <c r="B425" s="27" t="s">
        <v>166</v>
      </c>
    </row>
    <row r="426" spans="2:9" x14ac:dyDescent="0.4">
      <c r="B426" s="1" t="s">
        <v>184</v>
      </c>
      <c r="C426" s="30"/>
      <c r="D426" s="30"/>
      <c r="E426" s="30"/>
      <c r="F426" s="30"/>
    </row>
    <row r="427" spans="2:9" x14ac:dyDescent="0.4">
      <c r="B427" s="27" t="s">
        <v>168</v>
      </c>
    </row>
  </sheetData>
  <mergeCells count="11">
    <mergeCell ref="B2:O2"/>
    <mergeCell ref="B3:O3"/>
    <mergeCell ref="B4:O4"/>
    <mergeCell ref="B9:B10"/>
    <mergeCell ref="J9:N9"/>
    <mergeCell ref="C10:H10"/>
    <mergeCell ref="B226:B227"/>
    <mergeCell ref="C226:H226"/>
    <mergeCell ref="I226:N226"/>
    <mergeCell ref="O226:O227"/>
    <mergeCell ref="C46:O63"/>
  </mergeCells>
  <pageMargins left="1.0236220472440944" right="0.23622047244094491" top="0.98425196850393704" bottom="0.98425196850393704" header="0.23622047244094491" footer="0.23622047244094491"/>
  <pageSetup paperSize="9" scale="28" orientation="portrait" r:id="rId1"/>
  <headerFooter alignWithMargins="0">
    <oddHeader>&amp;F</oddHeader>
  </headerFooter>
  <rowBreaks count="4" manualBreakCount="4">
    <brk id="38" min="1" max="14" man="1"/>
    <brk id="128" min="1" max="14" man="1"/>
    <brk id="222" min="1" max="14" man="1"/>
    <brk id="339" min="1"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69</vt:i4>
      </vt:variant>
    </vt:vector>
  </HeadingPairs>
  <TitlesOfParts>
    <vt:vector size="149" baseType="lpstr">
      <vt:lpstr>CPI WPI</vt:lpstr>
      <vt:lpstr>SBI MCLR</vt:lpstr>
      <vt:lpstr>Sales Proj</vt:lpstr>
      <vt:lpstr>Index</vt:lpstr>
      <vt:lpstr>Assum</vt:lpstr>
      <vt:lpstr>Recon</vt:lpstr>
      <vt:lpstr>ARR-Summary</vt:lpstr>
      <vt:lpstr>F1</vt:lpstr>
      <vt:lpstr>F1 SEZ</vt:lpstr>
      <vt:lpstr>F1 Non-SEZ</vt:lpstr>
      <vt:lpstr>F1.1</vt:lpstr>
      <vt:lpstr>F1.2</vt:lpstr>
      <vt:lpstr>F1.3</vt:lpstr>
      <vt:lpstr>F1.4</vt:lpstr>
      <vt:lpstr>F1.5</vt:lpstr>
      <vt:lpstr>F2</vt:lpstr>
      <vt:lpstr>F2.1</vt:lpstr>
      <vt:lpstr>F2.2</vt:lpstr>
      <vt:lpstr>F2.3</vt:lpstr>
      <vt:lpstr>F3</vt:lpstr>
      <vt:lpstr>F3.1</vt:lpstr>
      <vt:lpstr>F3.2</vt:lpstr>
      <vt:lpstr>F3.3</vt:lpstr>
      <vt:lpstr>F3.4</vt:lpstr>
      <vt:lpstr>FA Bifrucation</vt:lpstr>
      <vt:lpstr>Capitalisation</vt:lpstr>
      <vt:lpstr>F4</vt:lpstr>
      <vt:lpstr>F4.1</vt:lpstr>
      <vt:lpstr>F4.2</vt:lpstr>
      <vt:lpstr>F4.3</vt:lpstr>
      <vt:lpstr>F21</vt:lpstr>
      <vt:lpstr>F5</vt:lpstr>
      <vt:lpstr>F5.1 (E) Exisiting</vt:lpstr>
      <vt:lpstr>F5.1 (N) New</vt:lpstr>
      <vt:lpstr>F5.2 (E) Existing</vt:lpstr>
      <vt:lpstr>F5.2 (N) New</vt:lpstr>
      <vt:lpstr>F6</vt:lpstr>
      <vt:lpstr>F7</vt:lpstr>
      <vt:lpstr>F8</vt:lpstr>
      <vt:lpstr>F9</vt:lpstr>
      <vt:lpstr>F10</vt:lpstr>
      <vt:lpstr>F11</vt:lpstr>
      <vt:lpstr>F12</vt:lpstr>
      <vt:lpstr>F12 A</vt:lpstr>
      <vt:lpstr>F13</vt:lpstr>
      <vt:lpstr>F13 SEZ</vt:lpstr>
      <vt:lpstr>F13 Non SEZ</vt:lpstr>
      <vt:lpstr>ToD 25-26</vt:lpstr>
      <vt:lpstr>F13.1</vt:lpstr>
      <vt:lpstr>F13.2</vt:lpstr>
      <vt:lpstr>F13.3</vt:lpstr>
      <vt:lpstr>F13.4</vt:lpstr>
      <vt:lpstr>F13.5</vt:lpstr>
      <vt:lpstr>CSS</vt:lpstr>
      <vt:lpstr>Gap Adjustment</vt:lpstr>
      <vt:lpstr>Tariff Schedule</vt:lpstr>
      <vt:lpstr>F14.2</vt:lpstr>
      <vt:lpstr>F14.3</vt:lpstr>
      <vt:lpstr>F14.4</vt:lpstr>
      <vt:lpstr>F14.5</vt:lpstr>
      <vt:lpstr>F15</vt:lpstr>
      <vt:lpstr>F16</vt:lpstr>
      <vt:lpstr>F17</vt:lpstr>
      <vt:lpstr>F18</vt:lpstr>
      <vt:lpstr>F19</vt:lpstr>
      <vt:lpstr>F20</vt:lpstr>
      <vt:lpstr>F22</vt:lpstr>
      <vt:lpstr>Voltage Wise Asset Details ---&gt;</vt:lpstr>
      <vt:lpstr>Note</vt:lpstr>
      <vt:lpstr>Summary</vt:lpstr>
      <vt:lpstr>Block of Assets</vt:lpstr>
      <vt:lpstr>Voltage identifiable</vt:lpstr>
      <vt:lpstr>Common to Voltage</vt:lpstr>
      <vt:lpstr>Common to business</vt:lpstr>
      <vt:lpstr>Unallocable Assets</vt:lpstr>
      <vt:lpstr>O&amp;M</vt:lpstr>
      <vt:lpstr>Employee Cost</vt:lpstr>
      <vt:lpstr>R&amp;M Cost</vt:lpstr>
      <vt:lpstr>A&amp;G Cost</vt:lpstr>
      <vt:lpstr>Employee and Network</vt:lpstr>
      <vt:lpstr>'ARR-Summary'!Print_Area</vt:lpstr>
      <vt:lpstr>'F1'!Print_Area</vt:lpstr>
      <vt:lpstr>'F1 Non-SEZ'!Print_Area</vt:lpstr>
      <vt:lpstr>'F1 SEZ'!Print_Area</vt:lpstr>
      <vt:lpstr>F1.1!Print_Area</vt:lpstr>
      <vt:lpstr>F1.2!Print_Area</vt:lpstr>
      <vt:lpstr>F1.4!Print_Area</vt:lpstr>
      <vt:lpstr>'F10'!Print_Area</vt:lpstr>
      <vt:lpstr>'F11'!Print_Area</vt:lpstr>
      <vt:lpstr>'F12'!Print_Area</vt:lpstr>
      <vt:lpstr>'F12 A'!Print_Area</vt:lpstr>
      <vt:lpstr>'F13'!Print_Area</vt:lpstr>
      <vt:lpstr>'F13 Non SEZ'!Print_Area</vt:lpstr>
      <vt:lpstr>'F13 SEZ'!Print_Area</vt:lpstr>
      <vt:lpstr>F13.1!Print_Area</vt:lpstr>
      <vt:lpstr>F13.2!Print_Area</vt:lpstr>
      <vt:lpstr>F13.3!Print_Area</vt:lpstr>
      <vt:lpstr>F13.4!Print_Area</vt:lpstr>
      <vt:lpstr>F13.5!Print_Area</vt:lpstr>
      <vt:lpstr>F14.2!Print_Area</vt:lpstr>
      <vt:lpstr>F14.3!Print_Area</vt:lpstr>
      <vt:lpstr>F14.4!Print_Area</vt:lpstr>
      <vt:lpstr>F14.5!Print_Area</vt:lpstr>
      <vt:lpstr>'F15'!Print_Area</vt:lpstr>
      <vt:lpstr>'F16'!Print_Area</vt:lpstr>
      <vt:lpstr>'F18'!Print_Area</vt:lpstr>
      <vt:lpstr>'F19'!Print_Area</vt:lpstr>
      <vt:lpstr>'F2'!Print_Area</vt:lpstr>
      <vt:lpstr>F2.1!Print_Area</vt:lpstr>
      <vt:lpstr>F2.2!Print_Area</vt:lpstr>
      <vt:lpstr>'F20'!Print_Area</vt:lpstr>
      <vt:lpstr>'F22'!Print_Area</vt:lpstr>
      <vt:lpstr>'F3'!Print_Area</vt:lpstr>
      <vt:lpstr>F3.1!Print_Area</vt:lpstr>
      <vt:lpstr>F3.2!Print_Area</vt:lpstr>
      <vt:lpstr>F3.3!Print_Area</vt:lpstr>
      <vt:lpstr>F3.4!Print_Area</vt:lpstr>
      <vt:lpstr>'F4'!Print_Area</vt:lpstr>
      <vt:lpstr>F4.1!Print_Area</vt:lpstr>
      <vt:lpstr>F4.2!Print_Area</vt:lpstr>
      <vt:lpstr>F4.3!Print_Area</vt:lpstr>
      <vt:lpstr>'F5'!Print_Area</vt:lpstr>
      <vt:lpstr>'F5.1 (E) Exisiting'!Print_Area</vt:lpstr>
      <vt:lpstr>'F5.1 (N) New'!Print_Area</vt:lpstr>
      <vt:lpstr>'F5.2 (E) Existing'!Print_Area</vt:lpstr>
      <vt:lpstr>'F5.2 (N) New'!Print_Area</vt:lpstr>
      <vt:lpstr>'F6'!Print_Area</vt:lpstr>
      <vt:lpstr>'F7'!Print_Area</vt:lpstr>
      <vt:lpstr>'F8'!Print_Area</vt:lpstr>
      <vt:lpstr>'F9'!Print_Area</vt:lpstr>
      <vt:lpstr>Index!Print_Area</vt:lpstr>
      <vt:lpstr>'Sales Proj'!Print_Area</vt:lpstr>
      <vt:lpstr>F1.3!Print_Titles</vt:lpstr>
      <vt:lpstr>'F12 A'!Print_Titles</vt:lpstr>
      <vt:lpstr>'F13'!Print_Titles</vt:lpstr>
      <vt:lpstr>'F13 Non SEZ'!Print_Titles</vt:lpstr>
      <vt:lpstr>'F13 SEZ'!Print_Titles</vt:lpstr>
      <vt:lpstr>'F2'!Print_Titles</vt:lpstr>
      <vt:lpstr>F2.1!Print_Titles</vt:lpstr>
      <vt:lpstr>'F20'!Print_Titles</vt:lpstr>
      <vt:lpstr>F3.2!Print_Titles</vt:lpstr>
      <vt:lpstr>F3.3!Print_Titles</vt:lpstr>
      <vt:lpstr>F4.1!Print_Titles</vt:lpstr>
      <vt:lpstr>F4.2!Print_Titles</vt:lpstr>
      <vt:lpstr>F4.3!Print_Titles</vt:lpstr>
      <vt:lpstr>'F5'!Print_Titles</vt:lpstr>
      <vt:lpstr>'F5.1 (E) Exisiting'!Print_Titles</vt:lpstr>
      <vt:lpstr>'F5.1 (N) New'!Print_Titles</vt:lpstr>
      <vt:lpstr>'F6'!Print_Titles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Idam</dc:creator>
  <cp:keywords/>
  <dc:description/>
  <cp:lastModifiedBy>Pramod Burle</cp:lastModifiedBy>
  <cp:revision/>
  <cp:lastPrinted>2025-07-06T15:13:18Z</cp:lastPrinted>
  <dcterms:created xsi:type="dcterms:W3CDTF">2004-07-28T05:30:50Z</dcterms:created>
  <dcterms:modified xsi:type="dcterms:W3CDTF">2026-02-27T03:19:08Z</dcterms:modified>
  <cp:category/>
  <cp:contentStatus/>
</cp:coreProperties>
</file>